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3.xml" ContentType="application/vnd.openxmlformats-officedocument.drawing+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LEADS" sheetId="3" state="visible" r:id="rId3"/>
    <sheet xmlns:r="http://schemas.openxmlformats.org/officeDocument/2006/relationships" name="CUSTOMERS" sheetId="4" state="visible" r:id="rId4"/>
    <sheet xmlns:r="http://schemas.openxmlformats.org/officeDocument/2006/relationships" name="PROPERTIES" sheetId="5" state="visible" r:id="rId5"/>
    <sheet xmlns:r="http://schemas.openxmlformats.org/officeDocument/2006/relationships" name="QUOTE BUILDER" sheetId="6" state="visible" r:id="rId6"/>
    <sheet xmlns:r="http://schemas.openxmlformats.org/officeDocument/2006/relationships" name="PRICING" sheetId="7" state="visible" r:id="rId7"/>
    <sheet xmlns:r="http://schemas.openxmlformats.org/officeDocument/2006/relationships" name="JOBS" sheetId="8" state="visible" r:id="rId8"/>
    <sheet xmlns:r="http://schemas.openxmlformats.org/officeDocument/2006/relationships" name="RECURRING" sheetId="9" state="visible" r:id="rId9"/>
    <sheet xmlns:r="http://schemas.openxmlformats.org/officeDocument/2006/relationships" name="SCHEDULE" sheetId="10" state="visible" r:id="rId10"/>
    <sheet xmlns:r="http://schemas.openxmlformats.org/officeDocument/2006/relationships" name="STAFF &amp; TASKS" sheetId="11" state="visible" r:id="rId11"/>
    <sheet xmlns:r="http://schemas.openxmlformats.org/officeDocument/2006/relationships" name="REVENUE" sheetId="12" state="visible" r:id="rId12"/>
    <sheet xmlns:r="http://schemas.openxmlformats.org/officeDocument/2006/relationships" name="EXPENSES" sheetId="13" state="visible" r:id="rId13"/>
    <sheet xmlns:r="http://schemas.openxmlformats.org/officeDocument/2006/relationships" name="PROFITABILITY" sheetId="14" state="visible" r:id="rId14"/>
    <sheet xmlns:r="http://schemas.openxmlformats.org/officeDocument/2006/relationships" name="MILEAGE" sheetId="15" state="visible" r:id="rId15"/>
    <sheet xmlns:r="http://schemas.openxmlformats.org/officeDocument/2006/relationships" name="SUPPLIES" sheetId="16" state="visible" r:id="rId16"/>
    <sheet xmlns:r="http://schemas.openxmlformats.org/officeDocument/2006/relationships" name="FOLLOW-UPS" sheetId="17" state="visible" r:id="rId17"/>
    <sheet xmlns:r="http://schemas.openxmlformats.org/officeDocument/2006/relationships" name="REVIEWS" sheetId="18" state="visible" r:id="rId18"/>
    <sheet xmlns:r="http://schemas.openxmlformats.org/officeDocument/2006/relationships" name="REFERRALS" sheetId="19" state="visible" r:id="rId19"/>
    <sheet xmlns:r="http://schemas.openxmlformats.org/officeDocument/2006/relationships" name="QUALITY CONTROL" sheetId="20" state="visible" r:id="rId20"/>
    <sheet xmlns:r="http://schemas.openxmlformats.org/officeDocument/2006/relationships" name="QC CHECKLISTS" sheetId="21" state="visible" r:id="rId21"/>
    <sheet xmlns:r="http://schemas.openxmlformats.org/officeDocument/2006/relationships" name="MONTHLY" sheetId="22" state="visible" r:id="rId22"/>
    <sheet xmlns:r="http://schemas.openxmlformats.org/officeDocument/2006/relationships" name="SETTINGS" sheetId="23" state="visible" r:id="rId23"/>
  </sheets>
  <definedNames>
    <definedName name="BizName">'SETTINGS'!$B$6</definedName>
    <definedName name="OwnerName">'SETTINGS'!$B$7</definedName>
    <definedName name="BizPhone">'SETTINGS'!$B$8</definedName>
    <definedName name="BizEmail">'SETTINGS'!$B$9</definedName>
    <definedName name="BizWeb">'SETTINGS'!$B$10</definedName>
    <definedName name="BizArea">'SETTINGS'!$B$11</definedName>
    <definedName name="AsOfInput">'SETTINGS'!$B$13</definedName>
    <definedName name="AsOf">'SETTINGS'!$B$14</definedName>
    <definedName name="RMInput">'SETTINGS'!$B$15</definedName>
    <definedName name="ReportMonth">'SETTINGS'!$B$16</definedName>
    <definedName name="ReportYear">'SETTINGS'!$B$17</definedName>
    <definedName name="PayRate">'SETTINGS'!$B$19</definedName>
    <definedName name="Burden">'SETTINGS'!$B$20</definedName>
    <definedName name="SupHr">'SETTINGS'!$B$21</definedName>
    <definedName name="MileRate">'SETTINGS'!$B$22</definedName>
    <definedName name="TravelMin">'SETTINGS'!$B$23</definedName>
    <definedName name="FeePct">'SETTINGS'!$B$24</definedName>
    <definedName name="TaxDefault">'SETTINGS'!$B$25</definedName>
    <definedName name="OverheadHr">'SETTINGS'!$B$26</definedName>
    <definedName name="TargetMargin">'SETTINGS'!$B$28</definedName>
    <definedName name="MinJob">'SETTINGS'!$B$29</definedName>
    <definedName name="SoonDays">'SETTINGS'!$B$30</definedName>
    <definedName name="ReactDays">'SETTINGS'!$B$31</definedName>
    <definedName name="QCPass">'SETTINGS'!$B$32</definedName>
    <definedName name="ReviewWait">'SETTINGS'!$B$33</definedName>
    <definedName name="_xlnm._FilterDatabase" localSheetId="2" hidden="1">'LEADS'!$A$4:$U$504</definedName>
    <definedName name="_xlnm.Print_Titles" localSheetId="2">'LEADS'!$4:$4</definedName>
    <definedName name="_xlnm._FilterDatabase" localSheetId="3" hidden="1">'CUSTOMERS'!$A$4:$S$404</definedName>
    <definedName name="_xlnm.Print_Titles" localSheetId="3">'CUSTOMERS'!$4:$4</definedName>
    <definedName name="_xlnm._FilterDatabase" localSheetId="4" hidden="1">'PROPERTIES'!$A$4:$O$404</definedName>
    <definedName name="_xlnm.Print_Titles" localSheetId="4">'PROPERTIES'!$4:$4</definedName>
    <definedName name="_xlnm._FilterDatabase" localSheetId="7" hidden="1">'JOBS'!$A$4:$AL$1504</definedName>
    <definedName name="_xlnm.Print_Titles" localSheetId="7">'JOBS'!$4:$4</definedName>
    <definedName name="_xlnm._FilterDatabase" localSheetId="8" hidden="1">'RECURRING'!$A$4:$U$154</definedName>
    <definedName name="_xlnm.Print_Titles" localSheetId="8">'RECURRING'!$4:$4</definedName>
    <definedName name="_xlnm._FilterDatabase" localSheetId="10" hidden="1">'STAFF &amp; TASKS'!$A$30:$H$230</definedName>
    <definedName name="_xlnm._FilterDatabase" localSheetId="11" hidden="1">'REVENUE'!$A$4:$K$1504</definedName>
    <definedName name="_xlnm.Print_Titles" localSheetId="11">'REVENUE'!$4:$4</definedName>
    <definedName name="_xlnm._FilterDatabase" localSheetId="12" hidden="1">'EXPENSES'!$A$4:$K$1004</definedName>
    <definedName name="_xlnm.Print_Titles" localSheetId="12">'EXPENSES'!$4:$4</definedName>
    <definedName name="_xlnm._FilterDatabase" localSheetId="14" hidden="1">'MILEAGE'!$A$4:$L$1504</definedName>
    <definedName name="_xlnm.Print_Titles" localSheetId="14">'MILEAGE'!$4:$4</definedName>
    <definedName name="_xlnm._FilterDatabase" localSheetId="15" hidden="1">'SUPPLIES'!$A$4:$K$104</definedName>
    <definedName name="_xlnm.Print_Titles" localSheetId="15">'SUPPLIES'!$4:$4</definedName>
    <definedName name="_xlnm._FilterDatabase" localSheetId="16" hidden="1">'FOLLOW-UPS'!$A$24:$I$324</definedName>
    <definedName name="_xlnm.Print_Titles" localSheetId="16">'FOLLOW-UPS'!$24:$24</definedName>
    <definedName name="_xlnm._FilterDatabase" localSheetId="17" hidden="1">'REVIEWS'!$A$4:$M$504</definedName>
    <definedName name="_xlnm.Print_Titles" localSheetId="17">'REVIEWS'!$4:$4</definedName>
    <definedName name="_xlnm._FilterDatabase" localSheetId="18" hidden="1">'REFERRALS'!$A$4:$J$204</definedName>
    <definedName name="_xlnm.Print_Titles" localSheetId="18">'REFERRALS'!$4:$4</definedName>
    <definedName name="_xlnm._FilterDatabase" localSheetId="19" hidden="1">'QUALITY CONTROL'!$A$4:$P$304</definedName>
    <definedName name="_xlnm.Print_Titles" localSheetId="19">'QUALITY CONTROL'!$4:$4</definedName>
  </definedNames>
  <calcPr calcId="124519" fullCalcOnLoad="1"/>
</workbook>
</file>

<file path=xl/styles.xml><?xml version="1.0" encoding="utf-8"?>
<styleSheet xmlns="http://schemas.openxmlformats.org/spreadsheetml/2006/main">
  <numFmts count="16">
    <numFmt numFmtId="164" formatCode="yyyy-mm-dd"/>
    <numFmt numFmtId="165" formatCode="mmm d, yyyy"/>
    <numFmt numFmtId="166" formatCode="mmmm yyyy"/>
    <numFmt numFmtId="167" formatCode="$#,##0.00;[Red]-$#,##0.00;&quot;–&quot;"/>
    <numFmt numFmtId="168" formatCode="0.0%;[Red]-0.0%;&quot;–&quot;"/>
    <numFmt numFmtId="169" formatCode="0.00;-0.00;&quot;–&quot;"/>
    <numFmt numFmtId="170" formatCode="0.00&quot;x&quot;"/>
    <numFmt numFmtId="171" formatCode="$#,##0;[Red]-$#,##0;&quot;–&quot;"/>
    <numFmt numFmtId="172" formatCode="mmm yyyy"/>
    <numFmt numFmtId="173" formatCode="#,##0;-#,##0;&quot;–&quot;"/>
    <numFmt numFmtId="174" formatCode="0.0"/>
    <numFmt numFmtId="175" formatCode="0.0;-0.0;&quot;–&quot;"/>
    <numFmt numFmtId="176" formatCode="+0.00;-0.00;&quot;–&quot;"/>
    <numFmt numFmtId="177" formatCode="0;[Red]-0;0"/>
    <numFmt numFmtId="178" formatCode="mmm d"/>
    <numFmt numFmtId="179" formatCode="mmm"/>
  </numFmts>
  <fonts count="30">
    <font>
      <name val="Calibri"/>
      <family val="2"/>
      <color theme="1"/>
      <sz val="11"/>
      <scheme val="minor"/>
    </font>
    <font>
      <name val="Arial"/>
      <b val="1"/>
      <color rgb="00FFFFFF"/>
      <sz val="18"/>
    </font>
    <font>
      <name val="Arial"/>
      <i val="1"/>
      <color rgb="006B7B83"/>
      <sz val="10"/>
    </font>
    <font>
      <name val="Arial"/>
      <b val="1"/>
      <color rgb="002A5D8F"/>
      <sz val="9"/>
      <u val="single"/>
    </font>
    <font>
      <name val="Arial"/>
      <b val="1"/>
      <color rgb="000F4C5C"/>
      <sz val="11"/>
    </font>
    <font>
      <name val="Arial"/>
      <color rgb="001E2A30"/>
      <sz val="10"/>
    </font>
    <font>
      <name val="Arial"/>
      <b val="1"/>
      <color rgb="001E2A30"/>
      <sz val="10"/>
    </font>
    <font>
      <name val="Arial"/>
      <color rgb="006B7B83"/>
      <sz val="9"/>
    </font>
    <font>
      <name val="Arial"/>
      <b val="1"/>
      <color rgb="000F4C5C"/>
      <sz val="10"/>
    </font>
    <font>
      <name val="Arial"/>
      <b val="1"/>
      <color rgb="00FFFFFF"/>
      <sz val="9"/>
    </font>
    <font>
      <name val="Arial"/>
      <color rgb="001E2A30"/>
      <sz val="9"/>
    </font>
    <font>
      <name val="Arial"/>
      <i val="1"/>
      <color rgb="006B7B83"/>
      <sz val="8"/>
    </font>
    <font>
      <name val="Arial"/>
      <color rgb="0033434A"/>
      <sz val="9"/>
    </font>
    <font>
      <name val="Arial"/>
      <b val="1"/>
      <color rgb="002BB3A3"/>
      <sz val="9"/>
    </font>
    <font>
      <name val="Arial"/>
      <b val="1"/>
      <color rgb="000F4C5C"/>
      <sz val="12"/>
    </font>
    <font>
      <name val="Arial"/>
      <color rgb="006B7B83"/>
      <sz val="10"/>
    </font>
    <font>
      <name val="Arial"/>
      <b val="1"/>
      <color rgb="00FFFFFF"/>
      <sz val="10"/>
    </font>
    <font>
      <name val="Arial"/>
      <b val="1"/>
      <color rgb="006B7B83"/>
      <sz val="10"/>
    </font>
    <font>
      <name val="Arial"/>
      <b val="1"/>
      <color rgb="000F4C5C"/>
      <sz val="9"/>
    </font>
    <font>
      <name val="Arial"/>
      <b val="1"/>
      <color rgb="00FFFFFF"/>
      <sz val="12"/>
    </font>
    <font>
      <name val="Arial"/>
      <b val="1"/>
      <color rgb="006B7B83"/>
      <sz val="8"/>
    </font>
    <font>
      <name val="Arial"/>
      <b val="1"/>
      <color rgb="000F4C5C"/>
      <sz val="20"/>
    </font>
    <font>
      <name val="Arial"/>
      <b val="1"/>
      <color rgb="00FFFFFF"/>
      <sz val="22"/>
    </font>
    <font>
      <name val="Arial"/>
      <i val="1"/>
      <color rgb="00D8F0EC"/>
      <sz val="11"/>
    </font>
    <font>
      <name val="Arial"/>
      <b val="1"/>
      <color rgb="00B7791F"/>
      <sz val="10"/>
    </font>
    <font>
      <name val="Arial"/>
      <b val="1"/>
      <color rgb="002BB3A3"/>
      <sz val="10"/>
    </font>
    <font>
      <name val="Arial"/>
      <b val="1"/>
      <color rgb="002A5D8F"/>
      <sz val="10"/>
      <u val="single"/>
    </font>
    <font>
      <name val="Arial"/>
      <b val="1"/>
      <color rgb="0033434A"/>
      <sz val="10"/>
    </font>
    <font>
      <name val="Arial"/>
      <b val="1"/>
      <color rgb="00C0392B"/>
      <sz val="10"/>
    </font>
    <font>
      <name val="Arial"/>
      <b val="1"/>
      <color rgb="001E7F4F"/>
      <sz val="10"/>
    </font>
  </fonts>
  <fills count="11">
    <fill>
      <patternFill/>
    </fill>
    <fill>
      <patternFill patternType="gray125"/>
    </fill>
    <fill>
      <patternFill patternType="solid">
        <fgColor rgb="000F4C5C"/>
        <bgColor rgb="000F4C5C"/>
      </patternFill>
    </fill>
    <fill>
      <patternFill patternType="solid">
        <fgColor rgb="00FFFDF2"/>
        <bgColor rgb="00FFFDF2"/>
      </patternFill>
    </fill>
    <fill>
      <patternFill patternType="solid">
        <fgColor rgb="00EEF3F5"/>
        <bgColor rgb="00EEF3F5"/>
      </patternFill>
    </fill>
    <fill>
      <patternFill patternType="solid">
        <fgColor rgb="00FFFFFF"/>
        <bgColor rgb="00FFFFFF"/>
      </patternFill>
    </fill>
    <fill>
      <patternFill patternType="solid">
        <fgColor rgb="005B8A95"/>
        <bgColor rgb="005B8A95"/>
      </patternFill>
    </fill>
    <fill>
      <patternFill patternType="solid">
        <fgColor rgb="00E2F4EA"/>
        <bgColor rgb="00E2F4EA"/>
      </patternFill>
    </fill>
    <fill>
      <patternFill patternType="solid">
        <fgColor rgb="00F5F8F9"/>
        <bgColor rgb="00F5F8F9"/>
      </patternFill>
    </fill>
    <fill>
      <patternFill patternType="solid">
        <fgColor rgb="00FBE3E0"/>
        <bgColor rgb="00FBE3E0"/>
      </patternFill>
    </fill>
    <fill>
      <patternFill patternType="solid">
        <fgColor rgb="00FDF1DC"/>
        <bgColor rgb="00FDF1DC"/>
      </patternFill>
    </fill>
  </fills>
  <borders count="8">
    <border>
      <left/>
      <right/>
      <top/>
      <bottom/>
      <diagonal/>
    </border>
    <border>
      <bottom style="medium">
        <color rgb="002BB3A3"/>
      </bottom>
    </border>
    <border>
      <left style="thin">
        <color rgb="00D5DEE2"/>
      </left>
      <right style="thin">
        <color rgb="00D5DEE2"/>
      </right>
      <top style="thin">
        <color rgb="00D5DEE2"/>
      </top>
      <bottom style="thin">
        <color rgb="00D5DEE2"/>
      </bottom>
    </border>
    <border>
      <left style="thick">
        <color rgb="002BB3A3"/>
      </left>
    </border>
    <border>
      <bottom style="hair">
        <color rgb="00C9D3D7"/>
      </bottom>
    </border>
    <border>
      <left/>
      <right/>
      <top style="thin">
        <color rgb="00D5DEE2"/>
      </top>
      <bottom/>
      <diagonal/>
    </border>
    <border>
      <left/>
      <right style="thin">
        <color rgb="00D5DEE2"/>
      </right>
      <top style="thin">
        <color rgb="00D5DEE2"/>
      </top>
      <bottom/>
      <diagonal/>
    </border>
    <border>
      <left/>
      <right style="thin">
        <color rgb="00D5DEE2"/>
      </right>
      <top style="thin">
        <color rgb="00D5DEE2"/>
      </top>
      <bottom style="thin">
        <color rgb="00D5DEE2"/>
      </bottom>
      <diagonal/>
    </border>
  </borders>
  <cellStyleXfs count="1">
    <xf numFmtId="0" fontId="0" fillId="0" borderId="0"/>
  </cellStyleXfs>
  <cellXfs count="150">
    <xf numFmtId="0" fontId="0" fillId="0" borderId="0" pivotButton="0" quotePrefix="0" xfId="0"/>
    <xf numFmtId="0" fontId="0" fillId="2" borderId="0" pivotButton="0" quotePrefix="0" xfId="0"/>
    <xf numFmtId="0" fontId="22" fillId="2" borderId="0" pivotButton="0" quotePrefix="0" xfId="0"/>
    <xf numFmtId="0" fontId="23" fillId="2" borderId="0" pivotButton="0" quotePrefix="0" xfId="0"/>
    <xf numFmtId="0" fontId="24" fillId="0" borderId="0" pivotButton="0" quotePrefix="0" xfId="0"/>
    <xf numFmtId="0" fontId="4" fillId="0" borderId="1" pivotButton="0" quotePrefix="0" xfId="0"/>
    <xf numFmtId="0" fontId="0" fillId="0" borderId="1" pivotButton="0" quotePrefix="0" xfId="0"/>
    <xf numFmtId="0" fontId="8" fillId="0" borderId="0" pivotButton="0" quotePrefix="0" xfId="0"/>
    <xf numFmtId="0" fontId="5" fillId="0" borderId="0" applyAlignment="1" pivotButton="0" quotePrefix="0" xfId="0">
      <alignment vertical="top" wrapText="1"/>
    </xf>
    <xf numFmtId="0" fontId="6" fillId="5" borderId="2" pivotButton="0" quotePrefix="0" xfId="0"/>
    <xf numFmtId="0" fontId="6" fillId="3" borderId="2" pivotButton="0" quotePrefix="0" xfId="0"/>
    <xf numFmtId="0" fontId="27" fillId="4" borderId="2" pivotButton="0" quotePrefix="0" xfId="0"/>
    <xf numFmtId="0" fontId="16" fillId="2" borderId="2" pivotButton="0" quotePrefix="0" xfId="0"/>
    <xf numFmtId="0" fontId="16" fillId="6" borderId="2" pivotButton="0" quotePrefix="0" xfId="0"/>
    <xf numFmtId="0" fontId="28" fillId="9" borderId="2" pivotButton="0" quotePrefix="0" xfId="0"/>
    <xf numFmtId="0" fontId="24" fillId="10" borderId="2" pivotButton="0" quotePrefix="0" xfId="0"/>
    <xf numFmtId="0" fontId="29" fillId="7" borderId="2" pivotButton="0" quotePrefix="0" xfId="0"/>
    <xf numFmtId="0" fontId="25" fillId="0" borderId="0" pivotButton="0" quotePrefix="0" xfId="0"/>
    <xf numFmtId="0" fontId="26" fillId="0" borderId="4" pivotButton="0" quotePrefix="0" xfId="0"/>
    <xf numFmtId="0" fontId="5" fillId="0" borderId="4" pivotButton="0" quotePrefix="0" xfId="0"/>
    <xf numFmtId="0" fontId="10" fillId="0" borderId="0" applyAlignment="1" pivotButton="0" quotePrefix="0" xfId="0">
      <alignment vertical="top" wrapText="1"/>
    </xf>
    <xf numFmtId="0" fontId="1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20" fillId="8" borderId="3" applyAlignment="1" pivotButton="0" quotePrefix="0" xfId="0">
      <alignment vertical="bottom" indent="1"/>
    </xf>
    <xf numFmtId="0" fontId="0" fillId="8" borderId="0" pivotButton="0" quotePrefix="0" xfId="0"/>
    <xf numFmtId="171" fontId="21" fillId="8" borderId="3" applyAlignment="1" pivotButton="0" quotePrefix="0" xfId="0">
      <alignment horizontal="left" indent="1"/>
    </xf>
    <xf numFmtId="168" fontId="21" fillId="8" borderId="3" applyAlignment="1" pivotButton="0" quotePrefix="0" xfId="0">
      <alignment horizontal="left" indent="1"/>
    </xf>
    <xf numFmtId="0" fontId="11" fillId="8" borderId="3" applyAlignment="1" pivotButton="0" quotePrefix="0" xfId="0">
      <alignment vertical="top" indent="1"/>
    </xf>
    <xf numFmtId="173" fontId="21" fillId="8" borderId="3" applyAlignment="1" pivotButton="0" quotePrefix="0" xfId="0">
      <alignment horizontal="left" indent="1"/>
    </xf>
    <xf numFmtId="167" fontId="21" fillId="8" borderId="3" applyAlignment="1" pivotButton="0" quotePrefix="0" xfId="0">
      <alignment horizontal="left" indent="1"/>
    </xf>
    <xf numFmtId="174" fontId="21" fillId="8" borderId="3" applyAlignment="1" pivotButton="0" quotePrefix="0" xfId="0">
      <alignment horizontal="left" indent="1"/>
    </xf>
    <xf numFmtId="0" fontId="0" fillId="0" borderId="4" pivotButton="0" quotePrefix="0" xfId="0"/>
    <xf numFmtId="173" fontId="8" fillId="0" borderId="4" applyAlignment="1" pivotButton="0" quotePrefix="0" xfId="0">
      <alignment horizontal="center"/>
    </xf>
    <xf numFmtId="0" fontId="3" fillId="0" borderId="4" pivotButton="0" quotePrefix="0" xfId="0"/>
    <xf numFmtId="0" fontId="9" fillId="2" borderId="2" pivotButton="0" quotePrefix="0" xfId="0"/>
    <xf numFmtId="0" fontId="0" fillId="0" borderId="7" pivotButton="0" quotePrefix="0" xfId="0"/>
    <xf numFmtId="0" fontId="10" fillId="0" borderId="2" pivotButton="0" quotePrefix="0" xfId="0"/>
    <xf numFmtId="173" fontId="10" fillId="0" borderId="2" applyAlignment="1" pivotButton="0" quotePrefix="0" xfId="0">
      <alignment horizontal="center"/>
    </xf>
    <xf numFmtId="171" fontId="10" fillId="0" borderId="2" pivotButton="0" quotePrefix="0" xfId="0"/>
    <xf numFmtId="0" fontId="11"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9" fillId="2" borderId="2" applyAlignment="1" pivotButton="0" quotePrefix="0" xfId="0">
      <alignment horizontal="center" vertical="center" wrapText="1"/>
    </xf>
    <xf numFmtId="0" fontId="9" fillId="6" borderId="2" applyAlignment="1" pivotButton="0" quotePrefix="0" xfId="0">
      <alignment horizontal="center" vertical="center" wrapText="1"/>
    </xf>
    <xf numFmtId="0" fontId="7" fillId="4" borderId="2" pivotButton="0" quotePrefix="0" xfId="0"/>
    <xf numFmtId="165" fontId="10" fillId="0" borderId="2" pivotButton="0" quotePrefix="0" xfId="0"/>
    <xf numFmtId="167" fontId="10" fillId="0" borderId="2" pivotButton="0" quotePrefix="0" xfId="0"/>
    <xf numFmtId="0" fontId="12" fillId="4" borderId="2" pivotButton="0" quotePrefix="0" xfId="0"/>
    <xf numFmtId="1" fontId="12" fillId="4" borderId="2" pivotButton="0" quotePrefix="0" xfId="0"/>
    <xf numFmtId="172" fontId="12" fillId="4" borderId="2" pivotButton="0" quotePrefix="0" xfId="0"/>
    <xf numFmtId="165" fontId="12" fillId="4" borderId="2" pivotButton="0" quotePrefix="0" xfId="0"/>
    <xf numFmtId="173" fontId="12" fillId="4" borderId="2" pivotButton="0" quotePrefix="0" xfId="0"/>
    <xf numFmtId="171" fontId="12" fillId="4" borderId="2" pivotButton="0" quotePrefix="0" xfId="0"/>
    <xf numFmtId="167" fontId="12" fillId="4" borderId="2" pivotButton="0" quotePrefix="0" xfId="0"/>
    <xf numFmtId="173" fontId="10" fillId="0" borderId="2" pivotButton="0" quotePrefix="0" xfId="0"/>
    <xf numFmtId="1" fontId="10" fillId="0" borderId="2" pivotButton="0" quotePrefix="0" xfId="0"/>
    <xf numFmtId="174" fontId="10" fillId="0" borderId="2" pivotButton="0" quotePrefix="0" xfId="0"/>
    <xf numFmtId="0" fontId="5" fillId="0" borderId="2" pivotButton="0" quotePrefix="0" xfId="0"/>
    <xf numFmtId="165" fontId="6" fillId="3" borderId="2" applyAlignment="1" pivotButton="0" quotePrefix="0" xfId="0">
      <alignment horizontal="left"/>
    </xf>
    <xf numFmtId="0" fontId="0" fillId="0" borderId="2" pivotButton="0" quotePrefix="0" xfId="0"/>
    <xf numFmtId="0" fontId="13" fillId="0" borderId="0" pivotButton="0" quotePrefix="0" xfId="0"/>
    <xf numFmtId="0" fontId="6" fillId="3" borderId="2" applyAlignment="1" pivotButton="0" quotePrefix="0" xfId="0">
      <alignment horizontal="left"/>
    </xf>
    <xf numFmtId="169" fontId="6" fillId="4" borderId="2" pivotButton="0" quotePrefix="0" xfId="0"/>
    <xf numFmtId="3" fontId="6" fillId="3" borderId="2" applyAlignment="1" pivotButton="0" quotePrefix="0" xfId="0">
      <alignment horizontal="left"/>
    </xf>
    <xf numFmtId="1" fontId="6" fillId="3" borderId="2" applyAlignment="1" pivotButton="0" quotePrefix="0" xfId="0">
      <alignment horizontal="left"/>
    </xf>
    <xf numFmtId="167" fontId="6" fillId="4" borderId="2" pivotButton="0" quotePrefix="0" xfId="0"/>
    <xf numFmtId="174" fontId="6" fillId="3" borderId="2" applyAlignment="1" pivotButton="0" quotePrefix="0" xfId="0">
      <alignment horizontal="left"/>
    </xf>
    <xf numFmtId="169" fontId="6" fillId="3" borderId="2" applyAlignment="1" pivotButton="0" quotePrefix="0" xfId="0">
      <alignment horizontal="left"/>
    </xf>
    <xf numFmtId="0" fontId="6" fillId="0" borderId="2" pivotButton="0" quotePrefix="0" xfId="0"/>
    <xf numFmtId="167" fontId="14" fillId="7" borderId="2" pivotButton="0" quotePrefix="0" xfId="0"/>
    <xf numFmtId="167" fontId="6" fillId="3" borderId="2" applyAlignment="1" pivotButton="0" quotePrefix="0" xfId="0">
      <alignment horizontal="left"/>
    </xf>
    <xf numFmtId="175" fontId="6" fillId="3" borderId="2" applyAlignment="1" pivotButton="0" quotePrefix="0" xfId="0">
      <alignment horizontal="left"/>
    </xf>
    <xf numFmtId="0" fontId="9" fillId="2" borderId="2" applyAlignment="1" pivotButton="0" quotePrefix="0" xfId="0">
      <alignment horizontal="center"/>
    </xf>
    <xf numFmtId="0" fontId="9" fillId="6" borderId="2" applyAlignment="1" pivotButton="0" quotePrefix="0" xfId="0">
      <alignment horizontal="center"/>
    </xf>
    <xf numFmtId="0" fontId="5" fillId="3" borderId="2" pivotButton="0" quotePrefix="0" xfId="0"/>
    <xf numFmtId="1" fontId="5" fillId="3" borderId="2" pivotButton="0" quotePrefix="0" xfId="0"/>
    <xf numFmtId="167" fontId="5" fillId="4" borderId="2" pivotButton="0" quotePrefix="0" xfId="0"/>
    <xf numFmtId="1" fontId="5" fillId="4" borderId="2" pivotButton="0" quotePrefix="0" xfId="0"/>
    <xf numFmtId="168" fontId="14" fillId="7" borderId="2" pivotButton="0" quotePrefix="0" xfId="0"/>
    <xf numFmtId="168" fontId="6" fillId="3" borderId="2" applyAlignment="1" pivotButton="0" quotePrefix="0" xfId="0">
      <alignment horizontal="left"/>
    </xf>
    <xf numFmtId="0" fontId="6" fillId="4" borderId="2" pivotButton="0" quotePrefix="0" xfId="0"/>
    <xf numFmtId="0" fontId="5" fillId="8" borderId="0" applyAlignment="1" pivotButton="0" quotePrefix="0" xfId="0">
      <alignment vertical="top" wrapText="1"/>
    </xf>
    <xf numFmtId="167" fontId="5" fillId="0" borderId="2" pivotButton="0" quotePrefix="0" xfId="0"/>
    <xf numFmtId="3" fontId="5" fillId="0" borderId="2" pivotButton="0" quotePrefix="0" xfId="0"/>
    <xf numFmtId="1" fontId="5" fillId="0" borderId="2" pivotButton="0" quotePrefix="0" xfId="0"/>
    <xf numFmtId="2" fontId="5" fillId="0" borderId="2" pivotButton="0" quotePrefix="0" xfId="0"/>
    <xf numFmtId="169" fontId="5" fillId="4" borderId="2" pivotButton="0" quotePrefix="0" xfId="0"/>
    <xf numFmtId="0" fontId="7" fillId="0" borderId="2" pivotButton="0" quotePrefix="0" xfId="0"/>
    <xf numFmtId="170" fontId="5" fillId="0" borderId="2" pivotButton="0" quotePrefix="0" xfId="0"/>
    <xf numFmtId="168" fontId="5" fillId="0" borderId="2" pivotButton="0" quotePrefix="0" xfId="0"/>
    <xf numFmtId="3" fontId="6" fillId="0" borderId="2" pivotButton="0" quotePrefix="0" xfId="0"/>
    <xf numFmtId="171" fontId="5" fillId="4" borderId="2" pivotButton="0" quotePrefix="0" xfId="0"/>
    <xf numFmtId="18" fontId="10" fillId="0" borderId="2" pivotButton="0" quotePrefix="0" xfId="0"/>
    <xf numFmtId="169" fontId="10" fillId="0" borderId="2" pivotButton="0" quotePrefix="0" xfId="0"/>
    <xf numFmtId="168" fontId="10" fillId="0" borderId="2" pivotButton="0" quotePrefix="0" xfId="0"/>
    <xf numFmtId="169" fontId="12" fillId="4" borderId="2" pivotButton="0" quotePrefix="0" xfId="0"/>
    <xf numFmtId="175" fontId="12" fillId="4" borderId="2" pivotButton="0" quotePrefix="0" xfId="0"/>
    <xf numFmtId="168" fontId="12" fillId="4" borderId="2" pivotButton="0" quotePrefix="0" xfId="0"/>
    <xf numFmtId="176" fontId="12" fillId="4" borderId="2" pivotButton="0" quotePrefix="0" xfId="0"/>
    <xf numFmtId="177" fontId="12" fillId="4" borderId="2" pivotButton="0" quotePrefix="0" xfId="0"/>
    <xf numFmtId="165" fontId="6" fillId="3" borderId="2" pivotButton="0" quotePrefix="0" xfId="0"/>
    <xf numFmtId="0" fontId="15" fillId="0" borderId="0" pivotButton="0" quotePrefix="0" xfId="0"/>
    <xf numFmtId="165" fontId="7" fillId="0" borderId="0" pivotButton="0" quotePrefix="0" xfId="0"/>
    <xf numFmtId="0" fontId="16" fillId="2" borderId="2" applyAlignment="1" pivotButton="0" quotePrefix="0" xfId="0">
      <alignment horizontal="center"/>
    </xf>
    <xf numFmtId="0" fontId="5" fillId="2" borderId="2" pivotButton="0" quotePrefix="0" xfId="0"/>
    <xf numFmtId="178" fontId="16" fillId="2" borderId="2" applyAlignment="1" pivotButton="0" quotePrefix="0" xfId="0">
      <alignment horizontal="center"/>
    </xf>
    <xf numFmtId="1" fontId="17" fillId="8" borderId="2" applyAlignment="1" pivotButton="0" quotePrefix="0" xfId="0">
      <alignment horizontal="center" vertical="top"/>
    </xf>
    <xf numFmtId="0" fontId="10" fillId="0" borderId="2" applyAlignment="1" pivotButton="0" quotePrefix="0" xfId="0">
      <alignment vertical="top" wrapText="1"/>
    </xf>
    <xf numFmtId="0" fontId="6" fillId="8" borderId="2" pivotButton="0" quotePrefix="0" xfId="0"/>
    <xf numFmtId="1" fontId="6" fillId="4" borderId="2" applyAlignment="1" pivotButton="0" quotePrefix="0" xfId="0">
      <alignment horizontal="center"/>
    </xf>
    <xf numFmtId="175" fontId="6" fillId="4" borderId="2" applyAlignment="1" pivotButton="0" quotePrefix="0" xfId="0">
      <alignment horizontal="center"/>
    </xf>
    <xf numFmtId="171" fontId="6" fillId="4" borderId="2" applyAlignment="1" pivotButton="0" quotePrefix="0" xfId="0">
      <alignment horizontal="center"/>
    </xf>
    <xf numFmtId="1" fontId="15" fillId="8" borderId="2" pivotButton="0" quotePrefix="0" xfId="0"/>
    <xf numFmtId="0" fontId="4" fillId="0" borderId="0" pivotButton="0" quotePrefix="0" xfId="0"/>
    <xf numFmtId="0" fontId="15" fillId="0" borderId="2" pivotButton="0" quotePrefix="0" xfId="0"/>
    <xf numFmtId="165" fontId="5" fillId="4" borderId="2" pivotButton="0" quotePrefix="0" xfId="0"/>
    <xf numFmtId="173" fontId="5" fillId="4" borderId="2" pivotButton="0" quotePrefix="0" xfId="0"/>
    <xf numFmtId="168" fontId="5" fillId="4" borderId="2" pivotButton="0" quotePrefix="0" xfId="0"/>
    <xf numFmtId="175" fontId="5" fillId="4" borderId="2" pivotButton="0" quotePrefix="0" xfId="0"/>
    <xf numFmtId="176" fontId="5" fillId="4" borderId="2" pivotButton="0" quotePrefix="0" xfId="0"/>
    <xf numFmtId="173" fontId="6" fillId="8" borderId="2" pivotButton="0" quotePrefix="0" xfId="0"/>
    <xf numFmtId="171" fontId="6" fillId="8" borderId="2" pivotButton="0" quotePrefix="0" xfId="0"/>
    <xf numFmtId="168" fontId="6" fillId="8" borderId="2" pivotButton="0" quotePrefix="0" xfId="0"/>
    <xf numFmtId="175" fontId="6" fillId="8" borderId="2" pivotButton="0" quotePrefix="0" xfId="0"/>
    <xf numFmtId="167" fontId="6" fillId="8" borderId="2" pivotButton="0" quotePrefix="0" xfId="0"/>
    <xf numFmtId="176" fontId="6" fillId="8" borderId="2" pivotButton="0" quotePrefix="0" xfId="0"/>
    <xf numFmtId="3" fontId="10" fillId="0" borderId="2" pivotButton="0" quotePrefix="0" xfId="0"/>
    <xf numFmtId="175" fontId="10" fillId="0" borderId="2" pivotButton="0" quotePrefix="0" xfId="0"/>
    <xf numFmtId="0" fontId="19" fillId="2" borderId="2" pivotButton="0" quotePrefix="0" xfId="0"/>
    <xf numFmtId="0" fontId="18" fillId="0" borderId="0" pivotButton="0" quotePrefix="0" xfId="0"/>
    <xf numFmtId="0" fontId="5" fillId="3" borderId="2" applyAlignment="1" pivotButton="0" quotePrefix="0" xfId="0">
      <alignment horizontal="center"/>
    </xf>
    <xf numFmtId="179" fontId="16" fillId="2" borderId="2" applyAlignment="1" pivotButton="0" quotePrefix="0" xfId="0">
      <alignment horizontal="center"/>
    </xf>
    <xf numFmtId="173" fontId="5" fillId="0" borderId="2" pivotButton="0" quotePrefix="0" xfId="0"/>
    <xf numFmtId="171" fontId="5" fillId="0" borderId="2" pivotButton="0" quotePrefix="0" xfId="0"/>
    <xf numFmtId="175" fontId="5" fillId="0" borderId="2" pivotButton="0" quotePrefix="0" xfId="0"/>
    <xf numFmtId="171" fontId="6" fillId="7" borderId="2" pivotButton="0" quotePrefix="0" xfId="0"/>
    <xf numFmtId="174" fontId="5" fillId="0" borderId="2" pivotButton="0" quotePrefix="0" xfId="0"/>
    <xf numFmtId="174" fontId="6" fillId="8" borderId="2" pivotButton="0" quotePrefix="0" xfId="0"/>
    <xf numFmtId="0" fontId="11" fillId="0" borderId="0" applyAlignment="1" pivotButton="0" quotePrefix="0" xfId="0">
      <alignment vertical="top" wrapText="1"/>
    </xf>
    <xf numFmtId="0" fontId="9" fillId="2" borderId="0" applyAlignment="1" pivotButton="0" quotePrefix="0" xfId="0">
      <alignment vertical="center" wrapText="1"/>
    </xf>
    <xf numFmtId="0" fontId="9" fillId="6" borderId="0" applyAlignment="1" pivotButton="0" quotePrefix="0" xfId="0">
      <alignment vertical="center" wrapText="1"/>
    </xf>
    <xf numFmtId="0" fontId="10" fillId="5" borderId="2" pivotButton="0" quotePrefix="0" xfId="0"/>
    <xf numFmtId="0" fontId="10" fillId="4" borderId="2" pivotButton="0" quotePrefix="0" xfId="0"/>
    <xf numFmtId="0" fontId="7" fillId="0" borderId="2" applyAlignment="1" pivotButton="0" quotePrefix="0" xfId="0">
      <alignment vertical="center" wrapText="1"/>
    </xf>
    <xf numFmtId="165" fontId="6" fillId="4" borderId="2" applyAlignment="1" pivotButton="0" quotePrefix="0" xfId="0">
      <alignment horizontal="left"/>
    </xf>
    <xf numFmtId="166" fontId="6" fillId="3" borderId="2" applyAlignment="1" pivotButton="0" quotePrefix="0" xfId="0">
      <alignment horizontal="left"/>
    </xf>
    <xf numFmtId="166" fontId="6" fillId="4" borderId="2" applyAlignment="1" pivotButton="0" quotePrefix="0" xfId="0">
      <alignment horizontal="left"/>
    </xf>
    <xf numFmtId="1" fontId="6" fillId="4" borderId="2" applyAlignment="1" pivotButton="0" quotePrefix="0" xfId="0">
      <alignment horizontal="left"/>
    </xf>
  </cellXfs>
  <cellStyles count="1">
    <cellStyle name="Normal" xfId="0" builtinId="0" hidden="0"/>
  </cellStyles>
  <dxfs count="5">
    <dxf>
      <font>
        <name val="Arial"/>
        <b val="1"/>
        <color rgb="00C0392B"/>
      </font>
      <fill>
        <patternFill patternType="solid">
          <fgColor rgb="00FBE3E0"/>
          <bgColor rgb="00FBE3E0"/>
        </patternFill>
      </fill>
    </dxf>
    <dxf>
      <font>
        <name val="Arial"/>
        <b val="1"/>
        <color rgb="002A5D8F"/>
      </font>
      <fill>
        <patternFill patternType="solid">
          <fgColor rgb="00E4EEF7"/>
          <bgColor rgb="00E4EEF7"/>
        </patternFill>
      </fill>
    </dxf>
    <dxf>
      <font>
        <name val="Arial"/>
        <b val="1"/>
        <color rgb="00B7791F"/>
      </font>
      <fill>
        <patternFill patternType="solid">
          <fgColor rgb="00FDF1DC"/>
          <bgColor rgb="00FDF1DC"/>
        </patternFill>
      </fill>
    </dxf>
    <dxf>
      <font>
        <name val="Arial"/>
        <b val="1"/>
        <color rgb="001E7F4F"/>
      </font>
      <fill>
        <patternFill patternType="solid">
          <fgColor rgb="00E2F4EA"/>
          <bgColor rgb="00E2F4EA"/>
        </patternFill>
      </fill>
    </dxf>
    <dxf>
      <font>
        <name val="Arial"/>
        <b val="1"/>
        <color rgb="006B7B83"/>
      </font>
      <fill>
        <patternFill patternType="solid">
          <fgColor rgb="00ECEFF1"/>
          <bgColor rgb="00ECEF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Leads by stage</a:t>
            </a:r>
          </a:p>
        </rich>
      </tx>
    </title>
    <plotArea>
      <barChart>
        <barDir val="bar"/>
        <grouping val="clustered"/>
        <ser>
          <idx val="0"/>
          <order val="0"/>
          <spPr>
            <a:solidFill xmlns:a="http://schemas.openxmlformats.org/drawingml/2006/main">
              <a:srgbClr val="2A5D8F"/>
            </a:solidFill>
            <a:ln xmlns:a="http://schemas.openxmlformats.org/drawingml/2006/main">
              <a:prstDash val="solid"/>
            </a:ln>
          </spPr>
          <cat>
            <numRef>
              <f>'DASHBOARD'!$I$26:$I$33</f>
            </numRef>
          </cat>
          <val>
            <numRef>
              <f>'DASHBOARD'!$K$26:$K$33</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Revenue &amp; job gross profit by month</a:t>
            </a:r>
          </a:p>
        </rich>
      </tx>
    </title>
    <plotArea>
      <barChart>
        <barDir val="col"/>
        <grouping val="clustered"/>
        <ser>
          <idx val="0"/>
          <order val="0"/>
          <tx>
            <strRef>
              <f>'MONTHLY'!A19</f>
            </strRef>
          </tx>
          <spPr>
            <a:solidFill xmlns:a="http://schemas.openxmlformats.org/drawingml/2006/main">
              <a:srgbClr val="0F4C5C"/>
            </a:solidFill>
            <a:ln xmlns:a="http://schemas.openxmlformats.org/drawingml/2006/main">
              <a:prstDash val="solid"/>
            </a:ln>
          </spPr>
          <cat>
            <numRef>
              <f>'MONTHLY'!$B$4:$M$4</f>
            </numRef>
          </cat>
          <val>
            <numRef>
              <f>'MONTHLY'!$B$19:$M$19</f>
            </numRef>
          </val>
        </ser>
        <ser>
          <idx val="1"/>
          <order val="1"/>
          <tx>
            <strRef>
              <f>'MONTHLY'!A24</f>
            </strRef>
          </tx>
          <spPr>
            <a:solidFill xmlns:a="http://schemas.openxmlformats.org/drawingml/2006/main">
              <a:srgbClr val="2BB3A3"/>
            </a:solidFill>
            <a:ln xmlns:a="http://schemas.openxmlformats.org/drawingml/2006/main">
              <a:prstDash val="solid"/>
            </a:ln>
          </spPr>
          <cat>
            <numRef>
              <f>'MONTHLY'!$B$4:$M$4</f>
            </numRef>
          </cat>
          <val>
            <numRef>
              <f>'MONTHLY'!$B$24:$M$24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Gross profit by service</a:t>
            </a:r>
          </a:p>
        </rich>
      </tx>
    </title>
    <plotArea>
      <barChart>
        <barDir val="bar"/>
        <grouping val="clustered"/>
        <ser>
          <idx val="0"/>
          <order val="0"/>
          <tx>
            <strRef>
              <f>'PROFITABILITY'!H7</f>
            </strRef>
          </tx>
          <spPr>
            <a:solidFill xmlns:a="http://schemas.openxmlformats.org/drawingml/2006/main">
              <a:srgbClr val="2BB3A3"/>
            </a:solidFill>
            <a:ln xmlns:a="http://schemas.openxmlformats.org/drawingml/2006/main">
              <a:prstDash val="solid"/>
            </a:ln>
          </spPr>
          <cat>
            <numRef>
              <f>'PROFITABILITY'!$A$8:$A$12</f>
            </numRef>
          </cat>
          <val>
            <numRef>
              <f>'PROFITABILITY'!$H$8:$H$12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Revenue vs job gross profit vs operating profit</a:t>
            </a:r>
          </a:p>
        </rich>
      </tx>
    </title>
    <plotArea>
      <barChart>
        <barDir val="col"/>
        <grouping val="clustered"/>
        <ser>
          <idx val="0"/>
          <order val="0"/>
          <tx>
            <strRef>
              <f>'MONTHLY'!A19</f>
            </strRef>
          </tx>
          <spPr>
            <a:solidFill xmlns:a="http://schemas.openxmlformats.org/drawingml/2006/main">
              <a:srgbClr val="0F4C5C"/>
            </a:solidFill>
            <a:ln xmlns:a="http://schemas.openxmlformats.org/drawingml/2006/main">
              <a:prstDash val="solid"/>
            </a:ln>
          </spPr>
          <cat>
            <numRef>
              <f>'MONTHLY'!$B$4:$M$4</f>
            </numRef>
          </cat>
          <val>
            <numRef>
              <f>'MONTHLY'!$B$19:$M$19</f>
            </numRef>
          </val>
        </ser>
        <ser>
          <idx val="1"/>
          <order val="1"/>
          <tx>
            <strRef>
              <f>'MONTHLY'!A24</f>
            </strRef>
          </tx>
          <spPr>
            <a:solidFill xmlns:a="http://schemas.openxmlformats.org/drawingml/2006/main">
              <a:srgbClr val="2BB3A3"/>
            </a:solidFill>
            <a:ln xmlns:a="http://schemas.openxmlformats.org/drawingml/2006/main">
              <a:prstDash val="solid"/>
            </a:ln>
          </spPr>
          <cat>
            <numRef>
              <f>'MONTHLY'!$B$4:$M$4</f>
            </numRef>
          </cat>
          <val>
            <numRef>
              <f>'MONTHLY'!$B$24:$M$24</f>
            </numRef>
          </val>
        </ser>
        <ser>
          <idx val="2"/>
          <order val="2"/>
          <tx>
            <strRef>
              <f>'MONTHLY'!A27</f>
            </strRef>
          </tx>
          <spPr>
            <a:solidFill xmlns:a="http://schemas.openxmlformats.org/drawingml/2006/main">
              <a:srgbClr val="E08E2B"/>
            </a:solidFill>
            <a:ln xmlns:a="http://schemas.openxmlformats.org/drawingml/2006/main">
              <a:prstDash val="solid"/>
            </a:ln>
          </spPr>
          <cat>
            <numRef>
              <f>'MONTHLY'!$B$4:$M$4</f>
            </numRef>
          </cat>
          <val>
            <numRef>
              <f>'MONTHLY'!$B$27:$M$27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Growth OS</author>
  </authors>
  <commentList>
    <comment ref="J4" authorId="0" shapeId="0">
      <text>
        <t>Total labor hours for all workers. Leave blank to use the automatic estimate from the property details.</t>
      </text>
    </comment>
    <comment ref="K4" authorId="0" shapeId="0">
      <text>
        <t>Total labor hours actually worked (all workers combined).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8</col>
      <colOff>0</colOff>
      <row>37</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37</row>
      <rowOff>0</rowOff>
    </from>
    <ext cx="61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45</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40</row>
      <rowOff>0</rowOff>
    </from>
    <ext cx="93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2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0F4C5C"/>
    <outlinePr summaryBelow="1" summaryRight="1"/>
    <pageSetUpPr fitToPage="1"/>
  </sheetPr>
  <dimension ref="A1:F45"/>
  <sheetViews>
    <sheetView showGridLines="0" workbookViewId="0">
      <pane ySplit="3" topLeftCell="A4" activePane="bottomLeft" state="frozen"/>
      <selection pane="bottomLeft" activeCell="A1" sqref="A1"/>
    </sheetView>
  </sheetViews>
  <sheetFormatPr baseColWidth="8" defaultRowHeight="15"/>
  <cols>
    <col width="3" customWidth="1" min="1" max="1"/>
    <col width="26" customWidth="1" min="2" max="2"/>
    <col width="72" customWidth="1" min="3" max="3"/>
    <col width="3" customWidth="1" min="4" max="4"/>
    <col width="30" customWidth="1" min="5" max="5"/>
    <col width="30" customWidth="1" min="6" max="6"/>
  </cols>
  <sheetData>
    <row r="1" ht="42" customHeight="1">
      <c r="A1" s="1" t="n"/>
      <c r="B1" s="2" t="inlineStr">
        <is>
          <t>CLEANING BUSINESS AI GROWTH OS</t>
        </is>
      </c>
      <c r="C1" s="1" t="n"/>
      <c r="D1" s="1" t="n"/>
      <c r="E1" s="1" t="n"/>
      <c r="F1" s="1" t="n"/>
    </row>
    <row r="2" ht="22" customHeight="1">
      <c r="A2" s="1" t="n"/>
      <c r="B2" s="3" t="inlineStr">
        <is>
          <t>Run your cleaning business from lead to payment in one connected system.</t>
        </is>
      </c>
      <c r="C2" s="1" t="n"/>
      <c r="D2" s="1" t="n"/>
      <c r="E2" s="1" t="n"/>
      <c r="F2" s="1" t="n"/>
    </row>
    <row r="3">
      <c r="B3" s="4" t="inlineStr">
        <is>
          <t>DEMO FILE — every name, address and number is fictional sample data. Explore it, then use the CLEAN file for your business.</t>
        </is>
      </c>
    </row>
    <row r="5">
      <c r="B5" s="5" t="inlineStr">
        <is>
          <t>SET UP IN 5 STEPS  (about 30 minutes)</t>
        </is>
      </c>
      <c r="C5" s="6" t="n"/>
      <c r="E5" s="5" t="inlineStr">
        <is>
          <t>COLOR LEGEND</t>
        </is>
      </c>
      <c r="F5" s="6" t="n"/>
    </row>
    <row r="6" ht="30" customHeight="1">
      <c r="B6" s="7" t="inlineStr">
        <is>
          <t>1. SETTINGS</t>
        </is>
      </c>
      <c r="C6" s="8" t="inlineStr">
        <is>
          <t>Enter your business details. Replace the example labor, supply, vehicle and fee assumptions with your own. Leave the as-of date BLANK.</t>
        </is>
      </c>
      <c r="E6" s="9" t="inlineStr">
        <is>
          <t>Type here</t>
        </is>
      </c>
    </row>
    <row r="7" ht="30" customHeight="1">
      <c r="B7" s="7" t="inlineStr">
        <is>
          <t>2. STAFF &amp; TASKS</t>
        </is>
      </c>
      <c r="C7" s="8" t="inlineStr">
        <is>
          <t>Add each worker's name and pay rate (the owner too, if you clean).</t>
        </is>
      </c>
      <c r="E7" s="10" t="inlineStr">
        <is>
          <t>Key setting / input</t>
        </is>
      </c>
    </row>
    <row r="8" ht="30" customHeight="1">
      <c r="B8" s="7" t="inlineStr">
        <is>
          <t>3. PRICING</t>
        </is>
      </c>
      <c r="C8" s="8" t="inlineStr">
        <is>
          <t>Adjust billing rates, time assumptions and add-ons until the rate card matches how you want to price. Test a few quotes.</t>
        </is>
      </c>
      <c r="E8" s="11" t="inlineStr">
        <is>
          <t>Automatic — don't type</t>
        </is>
      </c>
    </row>
    <row r="9" ht="30" customHeight="1">
      <c r="B9" s="7" t="inlineStr">
        <is>
          <t>4. CUSTOMERS &amp; PROPERTIES</t>
        </is>
      </c>
      <c r="C9" s="8" t="inlineStr">
        <is>
          <t>Add current customers and their properties (square feet, bedrooms and bathrooms power automatic time estimates).</t>
        </is>
      </c>
      <c r="E9" s="12" t="inlineStr">
        <is>
          <t>Column header you fill</t>
        </is>
      </c>
    </row>
    <row r="10" ht="30" customHeight="1">
      <c r="B10" s="7" t="inlineStr">
        <is>
          <t>5. RECURRING &amp; JOBS</t>
        </is>
      </c>
      <c r="C10" s="8" t="inlineStr">
        <is>
          <t>Add recurring plans, then your upcoming jobs. From then on: log payments in REVENUE and check the DASHBOARD daily.</t>
        </is>
      </c>
      <c r="E10" s="13" t="inlineStr">
        <is>
          <t>Automatic column header ⚙</t>
        </is>
      </c>
    </row>
    <row r="11">
      <c r="E11" s="14" t="inlineStr">
        <is>
          <t>Needs attention</t>
        </is>
      </c>
    </row>
    <row r="12">
      <c r="B12" s="5" t="inlineStr">
        <is>
          <t>DAILY FLOW:  Lead → Quote → Book → Schedule → Clean → Inspect → Get paid → Review → Referral → Repeat</t>
        </is>
      </c>
      <c r="C12" s="6" t="n"/>
      <c r="E12" s="15" t="inlineStr">
        <is>
          <t>Below target</t>
        </is>
      </c>
    </row>
    <row r="13">
      <c r="E13" s="16" t="inlineStr">
        <is>
          <t>Good / done</t>
        </is>
      </c>
    </row>
    <row r="14">
      <c r="B14" s="17" t="inlineStr">
        <is>
          <t>GET STARTED</t>
        </is>
      </c>
    </row>
    <row r="15">
      <c r="B15" s="18" t="inlineStr">
        <is>
          <t>START HERE  →</t>
        </is>
      </c>
      <c r="C15" s="19" t="inlineStr">
        <is>
          <t>This page: setup steps, map and color legend.</t>
        </is>
      </c>
    </row>
    <row r="16">
      <c r="B16" s="18" t="inlineStr">
        <is>
          <t>DASHBOARD  →</t>
        </is>
      </c>
      <c r="C16" s="19" t="inlineStr">
        <is>
          <t>Executive dashboard: money, pipeline, operations, reputation and today's action list.</t>
        </is>
      </c>
      <c r="E16" s="5" t="inlineStr">
        <is>
          <t>GOLDEN RULES</t>
        </is>
      </c>
      <c r="F16" s="6" t="n"/>
    </row>
    <row r="17" ht="26" customHeight="1">
      <c r="B17" s="18" t="inlineStr">
        <is>
          <t>SETTINGS  →</t>
        </is>
      </c>
      <c r="C17" s="19" t="inlineStr">
        <is>
          <t>Business details, cost assumptions, targets, dates and all dropdown lists.</t>
        </is>
      </c>
      <c r="E17" s="20" t="inlineStr">
        <is>
          <t>•  Never type in gray cells or ⚙ columns.</t>
        </is>
      </c>
    </row>
    <row r="18" ht="26" customHeight="1">
      <c r="E18" s="20" t="inlineStr">
        <is>
          <t>•  Keep customer names, property labels and staff names unique.</t>
        </is>
      </c>
    </row>
    <row r="19" ht="26" customHeight="1">
      <c r="B19" s="17" t="inlineStr">
        <is>
          <t>WIN THE CUSTOMER</t>
        </is>
      </c>
      <c r="E19" s="20" t="inlineStr">
        <is>
          <t>•  Use dropdowns — they keep the links working.</t>
        </is>
      </c>
    </row>
    <row r="20" ht="26" customHeight="1">
      <c r="B20" s="18" t="inlineStr">
        <is>
          <t>LEADS  →</t>
        </is>
      </c>
      <c r="C20" s="19" t="inlineStr">
        <is>
          <t>Lead CRM and sales pipeline: 8 stages, automatic follow-up status and outcome.</t>
        </is>
      </c>
      <c r="E20" s="20" t="inlineStr">
        <is>
          <t>•  Filter freely; sort a sheet only by selecting the whole table.</t>
        </is>
      </c>
    </row>
    <row r="21" ht="26" customHeight="1">
      <c r="B21" s="18" t="inlineStr">
        <is>
          <t>QUOTE BUILDER  →</t>
        </is>
      </c>
      <c r="C21" s="19" t="inlineStr">
        <is>
          <t>Price one job: price, labor cost, direct costs, gross profit, margin and break-even.</t>
        </is>
      </c>
      <c r="E21" s="20" t="inlineStr">
        <is>
          <t>•  Add rows by typing in the next empty row (1,500 job rows included).</t>
        </is>
      </c>
    </row>
    <row r="22" ht="26" customHeight="1">
      <c r="B22" s="18" t="inlineStr">
        <is>
          <t>PRICING  →</t>
        </is>
      </c>
      <c r="C22" s="19" t="inlineStr">
        <is>
          <t>Your pricing assumptions by cleaning type, condition, frequency and add-ons + rate card.</t>
        </is>
      </c>
      <c r="E22" s="20" t="inlineStr">
        <is>
          <t>•  Back up weekly (File → Save a copy).</t>
        </is>
      </c>
    </row>
    <row r="23" ht="26" customHeight="1">
      <c r="B23" s="18" t="inlineStr">
        <is>
          <t>CUSTOMERS  →</t>
        </is>
      </c>
      <c r="C23" s="19" t="inlineStr">
        <is>
          <t>Customer list with lifetime revenue, balance due and a suggested next action.</t>
        </is>
      </c>
      <c r="E23" s="20" t="inlineStr">
        <is>
          <t>•  Numbers are estimates from your assumptions — not tax, legal or accounting advice.</t>
        </is>
      </c>
    </row>
    <row r="24">
      <c r="B24" s="18" t="inlineStr">
        <is>
          <t>PROPERTIES  →</t>
        </is>
      </c>
      <c r="C24" s="19" t="inlineStr">
        <is>
          <t>Property details (size, rooms, access, pets) that feed automatic time estimates.</t>
        </is>
      </c>
    </row>
    <row r="25">
      <c r="E25" s="5" t="inlineStr">
        <is>
          <t>INCLUDED WITH THIS SYSTEM</t>
        </is>
      </c>
      <c r="F25" s="6" t="n"/>
    </row>
    <row r="26">
      <c r="B26" s="17" t="inlineStr">
        <is>
          <t>DO THE WORK</t>
        </is>
      </c>
      <c r="E26" s="21" t="inlineStr">
        <is>
          <t>✓  Quick Start Guide (PDF)</t>
        </is>
      </c>
    </row>
    <row r="27">
      <c r="B27" s="18" t="inlineStr">
        <is>
          <t>JOBS  →</t>
        </is>
      </c>
      <c r="C27" s="19" t="inlineStr">
        <is>
          <t>Every job: schedule, worker, hours, price, payment status and estimated profit.</t>
        </is>
      </c>
      <c r="E27" s="21" t="inlineStr">
        <is>
          <t>✓  Full User Guide (PDF)</t>
        </is>
      </c>
    </row>
    <row r="28">
      <c r="B28" s="18" t="inlineStr">
        <is>
          <t>RECURRING  →</t>
        </is>
      </c>
      <c r="C28" s="19" t="inlineStr">
        <is>
          <t>Recurring plans: next visit due, booking status and recurring revenue.</t>
        </is>
      </c>
      <c r="E28" s="21" t="inlineStr">
        <is>
          <t>✓  AI Workflow Library — 18 workflows (PDF)</t>
        </is>
      </c>
    </row>
    <row r="29">
      <c r="B29" s="18" t="inlineStr">
        <is>
          <t>SCHEDULE  →</t>
        </is>
      </c>
      <c r="C29" s="19" t="inlineStr">
        <is>
          <t>Weekly calendar built from JOBS + recurring visits that need booking.</t>
        </is>
      </c>
      <c r="E29" s="21" t="inlineStr">
        <is>
          <t>✓  Client Forms — 14 editable templates</t>
        </is>
      </c>
    </row>
    <row r="30">
      <c r="B30" s="18" t="inlineStr">
        <is>
          <t>STAFF &amp; TASKS  →</t>
        </is>
      </c>
      <c r="C30" s="19" t="inlineStr">
        <is>
          <t>Team roster with pay rates and monthly output, plus a task assignment list.</t>
        </is>
      </c>
      <c r="E30" s="21" t="inlineStr">
        <is>
          <t>✓  Marketing Kit — print + social templates</t>
        </is>
      </c>
    </row>
    <row r="31">
      <c r="B31" s="18" t="inlineStr">
        <is>
          <t>SUPPLIES  →</t>
        </is>
      </c>
      <c r="C31" s="19" t="inlineStr">
        <is>
          <t>Supply inventory with reorder alerts.</t>
        </is>
      </c>
    </row>
    <row r="32">
      <c r="B32" s="18" t="inlineStr">
        <is>
          <t>QUALITY CONTROL  →</t>
        </is>
      </c>
      <c r="C32" s="19" t="inlineStr">
        <is>
          <t>Inspection log with pass/fail scores, rework tracking and an issue log.</t>
        </is>
      </c>
    </row>
    <row r="33">
      <c r="B33" s="18" t="inlineStr">
        <is>
          <t>QC CHECKLISTS  →</t>
        </is>
      </c>
      <c r="C33" s="19" t="inlineStr">
        <is>
          <t>Six printable checklists: standard, deep, move, Airbnb, commercial, final inspection.</t>
        </is>
      </c>
    </row>
    <row r="35">
      <c r="B35" s="17" t="inlineStr">
        <is>
          <t>GET PAID &amp; KNOW YOUR NUMBERS</t>
        </is>
      </c>
    </row>
    <row r="36">
      <c r="B36" s="18" t="inlineStr">
        <is>
          <t>REVENUE  →</t>
        </is>
      </c>
      <c r="C36" s="19" t="inlineStr">
        <is>
          <t>Payments received, linked to jobs, with processing-fee estimates.</t>
        </is>
      </c>
    </row>
    <row r="37">
      <c r="B37" s="18" t="inlineStr">
        <is>
          <t>EXPENSES  →</t>
        </is>
      </c>
      <c r="C37" s="19" t="inlineStr">
        <is>
          <t>Business expenses with overhead flag.</t>
        </is>
      </c>
    </row>
    <row r="38">
      <c r="B38" s="18" t="inlineStr">
        <is>
          <t>MILEAGE  →</t>
        </is>
      </c>
      <c r="C38" s="19" t="inlineStr">
        <is>
          <t>Trip log that feeds vehicle cost into each job.</t>
        </is>
      </c>
    </row>
    <row r="39">
      <c r="B39" s="18" t="inlineStr">
        <is>
          <t>PROFITABILITY  →</t>
        </is>
      </c>
      <c r="C39" s="19" t="inlineStr">
        <is>
          <t>Profit by service, worker and customer type, for any period.</t>
        </is>
      </c>
    </row>
    <row r="40">
      <c r="B40" s="18" t="inlineStr">
        <is>
          <t>MONTHLY  →</t>
        </is>
      </c>
      <c r="C40" s="19" t="inlineStr">
        <is>
          <t>Twelve-month performance: sales, operations, money and growth.</t>
        </is>
      </c>
    </row>
    <row r="42">
      <c r="B42" s="17" t="inlineStr">
        <is>
          <t>GROW</t>
        </is>
      </c>
    </row>
    <row r="43">
      <c r="B43" s="18" t="inlineStr">
        <is>
          <t>FOLLOW-UPS  →</t>
        </is>
      </c>
      <c r="C43" s="19" t="inlineStr">
        <is>
          <t>Automatic list of leads to chase and unpaid jobs, plus your follow-up log.</t>
        </is>
      </c>
    </row>
    <row r="44">
      <c r="B44" s="18" t="inlineStr">
        <is>
          <t>REVIEWS  →</t>
        </is>
      </c>
      <c r="C44" s="19" t="inlineStr">
        <is>
          <t>Review requests, ratings and reply tracking.</t>
        </is>
      </c>
    </row>
    <row r="45">
      <c r="B45" s="18" t="inlineStr">
        <is>
          <t>REFERRALS  →</t>
        </is>
      </c>
      <c r="C45" s="19" t="inlineStr">
        <is>
          <t>Referrals, rewards owed and revenue from referrals.</t>
        </is>
      </c>
    </row>
  </sheetData>
  <mergeCells count="7">
    <mergeCell ref="E20:F20"/>
    <mergeCell ref="E19:F19"/>
    <mergeCell ref="E23:F23"/>
    <mergeCell ref="E22:F22"/>
    <mergeCell ref="E17:F17"/>
    <mergeCell ref="E18:F18"/>
    <mergeCell ref="E21:F21"/>
  </mergeCells>
  <hyperlinks>
    <hyperlink ref="B15" location="'START HERE'!A1" display="START HERE  →"/>
    <hyperlink ref="B16" location="'DASHBOARD'!A1" display="DASHBOARD  →"/>
    <hyperlink ref="B17" location="'SETTINGS'!A1" display="SETTINGS  →"/>
    <hyperlink ref="B20" location="'LEADS'!A1" display="LEADS  →"/>
    <hyperlink ref="B21" location="'QUOTE BUILDER'!A1" display="QUOTE BUILDER  →"/>
    <hyperlink ref="B22" location="'PRICING'!A1" display="PRICING  →"/>
    <hyperlink ref="B23" location="'CUSTOMERS'!A1" display="CUSTOMERS  →"/>
    <hyperlink ref="B24" location="'PROPERTIES'!A1" display="PROPERTIES  →"/>
    <hyperlink ref="B27" location="'JOBS'!A1" display="JOBS  →"/>
    <hyperlink ref="B28" location="'RECURRING'!A1" display="RECURRING  →"/>
    <hyperlink ref="B29" location="'SCHEDULE'!A1" display="SCHEDULE  →"/>
    <hyperlink ref="B30" location="'STAFF &amp; TASKS'!A1" display="STAFF &amp; TASKS  →"/>
    <hyperlink ref="B31" location="'SUPPLIES'!A1" display="SUPPLIES  →"/>
    <hyperlink ref="B32" location="'QUALITY CONTROL'!A1" display="QUALITY CONTROL  →"/>
    <hyperlink ref="B33" location="'QC CHECKLISTS'!A1" display="QC CHECKLISTS  →"/>
    <hyperlink ref="B36" location="'REVENUE'!A1" display="REVENUE  →"/>
    <hyperlink ref="B37" location="'EXPENSES'!A1" display="EXPENSES  →"/>
    <hyperlink ref="B38" location="'MILEAGE'!A1" display="MILEAGE  →"/>
    <hyperlink ref="B39" location="'PROFITABILITY'!A1" display="PROFITABILITY  →"/>
    <hyperlink ref="B40" location="'MONTHLY'!A1" display="MONTHLY  →"/>
    <hyperlink ref="B43" location="'FOLLOW-UPS'!A1" display="FOLLOW-UPS  →"/>
    <hyperlink ref="B44" location="'REVIEWS'!A1" display="REVIEWS  →"/>
    <hyperlink ref="B45" location="'REFERRALS'!A1" display="REFERRALS  →"/>
  </hyperlinks>
  <printOptions horizontalCentered="1"/>
  <pageMargins left="0.4" right="0.4" top="1" bottom="1" header="0.5" footer="0.5"/>
  <pageSetup orientation="portrait" fitToHeight="1" fitToWidth="1"/>
</worksheet>
</file>

<file path=xl/worksheets/sheet2.xml><?xml version="1.0" encoding="utf-8"?>
<worksheet xmlns="http://schemas.openxmlformats.org/spreadsheetml/2006/main">
  <sheetPr>
    <tabColor rgb="000F4C5C"/>
    <outlinePr summaryBelow="1" summaryRight="1"/>
    <pageSetUpPr fitToPage="1"/>
  </sheetPr>
  <dimension ref="A1:N54"/>
  <sheetViews>
    <sheetView showGridLines="0" workbookViewId="0">
      <selection activeCell="A1" sqref="A1"/>
    </sheetView>
  </sheetViews>
  <sheetFormatPr baseColWidth="8" defaultRowHeight="15"/>
  <cols>
    <col width="2"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2" customWidth="1" min="14" max="14"/>
  </cols>
  <sheetData>
    <row r="1" ht="36" customHeight="1">
      <c r="A1" s="1" t="n"/>
      <c r="B1" s="22">
        <f>"EXECUTIVE DASHBOARD  ·  "&amp;UPPER(BizName)</f>
        <v/>
      </c>
      <c r="C1" s="1" t="n"/>
      <c r="D1" s="1" t="n"/>
      <c r="E1" s="1" t="n"/>
      <c r="F1" s="1" t="n"/>
      <c r="G1" s="1" t="n"/>
      <c r="H1" s="1" t="n"/>
      <c r="I1" s="1" t="n"/>
      <c r="J1" s="1" t="n"/>
      <c r="K1" s="1" t="n"/>
      <c r="L1" s="1" t="n"/>
      <c r="M1" s="1" t="n"/>
      <c r="N1" s="1" t="n"/>
    </row>
    <row r="2">
      <c r="B2" s="23">
        <f>"Reporting month: "&amp;TEXT(ReportMonth,"mmmm yyyy")&amp;"   ·   As of "&amp;TEXT(AsOf,"mmm d, yyyy")&amp;"   ·   Change dates in SETTINGS"</f>
        <v/>
      </c>
    </row>
    <row r="3">
      <c r="B3" s="24" t="inlineStr">
        <is>
          <t>← Start Here</t>
        </is>
      </c>
      <c r="D3" s="24" t="inlineStr">
        <is>
          <t>Settings →</t>
        </is>
      </c>
    </row>
    <row r="4">
      <c r="B4" s="5" t="inlineStr">
        <is>
          <t>MONEY  —  REPORTING MONTH</t>
        </is>
      </c>
      <c r="C4" s="6" t="n"/>
      <c r="D4" s="6" t="n"/>
      <c r="E4" s="6" t="n"/>
      <c r="F4" s="6" t="n"/>
      <c r="G4" s="6" t="n"/>
      <c r="H4" s="6" t="n"/>
      <c r="I4" s="6" t="n"/>
      <c r="J4" s="6" t="n"/>
      <c r="K4" s="6" t="n"/>
      <c r="L4" s="6" t="n"/>
      <c r="M4" s="6" t="n"/>
    </row>
    <row r="5" ht="18" customHeight="1">
      <c r="B5" s="25" t="inlineStr">
        <is>
          <t>REVENUE</t>
        </is>
      </c>
      <c r="C5" s="26" t="n"/>
      <c r="D5" s="25" t="inlineStr">
        <is>
          <t>JOB GROSS PROFIT</t>
        </is>
      </c>
      <c r="E5" s="26" t="n"/>
      <c r="F5" s="25" t="inlineStr">
        <is>
          <t>GROSS MARGIN</t>
        </is>
      </c>
      <c r="G5" s="26" t="n"/>
      <c r="H5" s="25" t="inlineStr">
        <is>
          <t>EST. OPERATING PROFIT</t>
        </is>
      </c>
      <c r="I5" s="26" t="n"/>
      <c r="J5" s="25" t="inlineStr">
        <is>
          <t>PAYMENTS COLLECTED</t>
        </is>
      </c>
      <c r="K5" s="26" t="n"/>
      <c r="L5" s="25" t="inlineStr">
        <is>
          <t>UNPAID BALANCES (ALL)</t>
        </is>
      </c>
      <c r="M5" s="26" t="n"/>
    </row>
    <row r="6" ht="30" customHeight="1">
      <c r="B6" s="27">
        <f>INDEX(MONTHLY!$B$19:$M$19,MONTH(ReportMonth))</f>
        <v/>
      </c>
      <c r="C6" s="26" t="n"/>
      <c r="D6" s="27">
        <f>INDEX(MONTHLY!$B$24:$M$24,MONTH(ReportMonth))</f>
        <v/>
      </c>
      <c r="E6" s="26" t="n"/>
      <c r="F6" s="28">
        <f>INDEX(MONTHLY!$B$25:$M$25,MONTH(ReportMonth))</f>
        <v/>
      </c>
      <c r="G6" s="26" t="n"/>
      <c r="H6" s="27">
        <f>INDEX(MONTHLY!$B$27:$M$27,MONTH(ReportMonth))</f>
        <v/>
      </c>
      <c r="I6" s="26" t="n"/>
      <c r="J6" s="27">
        <f>INDEX(MONTHLY!$B$31:$M$31,MONTH(ReportMonth))</f>
        <v/>
      </c>
      <c r="K6" s="26" t="n"/>
      <c r="L6" s="27">
        <f>SUM('JOBS'!$U$5:$U$1504)</f>
        <v/>
      </c>
      <c r="M6" s="26" t="n"/>
    </row>
    <row r="7" ht="16" customHeight="1">
      <c r="B7" s="29">
        <f>IFERROR(IF(OR(IF(MONTH(ReportMonth)=1,"",INDEX(MONTHLY!$B$19:$M$19,MONTH(ReportMonth)-1))="",N(IF(MONTH(ReportMonth)=1,"",INDEX(MONTHLY!$B$19:$M$19,MONTH(ReportMonth)-1)))=0),"No prior-month comparison",TEXT(INDEX(MONTHLY!$B$19:$M$19,MONTH(ReportMonth))/IF(MONTH(ReportMonth)=1,"",INDEX(MONTHLY!$B$19:$M$19,MONTH(ReportMonth)-1))-1,"+0%;-0%;0%")&amp;" vs last month"),"No prior-month comparison")</f>
        <v/>
      </c>
      <c r="C7" s="26" t="n"/>
      <c r="D7" s="29">
        <f>IFERROR(IF(OR(IF(MONTH(ReportMonth)=1,"",INDEX(MONTHLY!$B$24:$M$24,MONTH(ReportMonth)-1))="",N(IF(MONTH(ReportMonth)=1,"",INDEX(MONTHLY!$B$24:$M$24,MONTH(ReportMonth)-1)))=0),"No prior-month comparison",TEXT(INDEX(MONTHLY!$B$24:$M$24,MONTH(ReportMonth))/IF(MONTH(ReportMonth)=1,"",INDEX(MONTHLY!$B$24:$M$24,MONTH(ReportMonth)-1))-1,"+0%;-0%;0%")&amp;" vs last month"),"No prior-month comparison")</f>
        <v/>
      </c>
      <c r="E7" s="26" t="n"/>
      <c r="F7" s="29">
        <f>"Target: "&amp;TEXT(TargetMargin,"0%")</f>
        <v/>
      </c>
      <c r="G7" s="26" t="n"/>
      <c r="H7" s="29">
        <f>"After overhead expenses"</f>
        <v/>
      </c>
      <c r="I7" s="26" t="n"/>
      <c r="J7" s="29">
        <f>"Incl. tax, by payment date"</f>
        <v/>
      </c>
      <c r="K7" s="26" t="n"/>
      <c r="L7" s="29">
        <f>COUNTIF('JOBS'!$V$5:$V$1504,"Unpaid")+COUNTIF('JOBS'!$V$5:$V$1504,"Partial")&amp;" jobs with a balance"</f>
        <v/>
      </c>
      <c r="M7" s="26" t="n"/>
    </row>
    <row r="8"/>
    <row r="9">
      <c r="B9" s="5" t="inlineStr">
        <is>
          <t>SALES PIPELINE</t>
        </is>
      </c>
      <c r="C9" s="6" t="n"/>
      <c r="D9" s="6" t="n"/>
      <c r="E9" s="6" t="n"/>
      <c r="F9" s="6" t="n"/>
      <c r="G9" s="6" t="n"/>
      <c r="H9" s="6" t="n"/>
      <c r="I9" s="6" t="n"/>
      <c r="J9" s="6" t="n"/>
      <c r="K9" s="6" t="n"/>
      <c r="L9" s="6" t="n"/>
      <c r="M9" s="6" t="n"/>
    </row>
    <row r="10" ht="18" customHeight="1">
      <c r="B10" s="25" t="inlineStr">
        <is>
          <t>NEW LEADS</t>
        </is>
      </c>
      <c r="C10" s="26" t="n"/>
      <c r="D10" s="25" t="inlineStr">
        <is>
          <t>QUOTES GIVEN</t>
        </is>
      </c>
      <c r="E10" s="26" t="n"/>
      <c r="F10" s="25" t="inlineStr">
        <is>
          <t>LEADS BOOKED</t>
        </is>
      </c>
      <c r="G10" s="26" t="n"/>
      <c r="H10" s="25" t="inlineStr">
        <is>
          <t>CONVERSION RATE</t>
        </is>
      </c>
      <c r="I10" s="26" t="n"/>
      <c r="J10" s="25" t="inlineStr">
        <is>
          <t>AVERAGE QUOTE</t>
        </is>
      </c>
      <c r="K10" s="26" t="n"/>
      <c r="L10" s="25" t="inlineStr">
        <is>
          <t>FOLLOW-UPS DUE NOW</t>
        </is>
      </c>
      <c r="M10" s="26" t="n"/>
    </row>
    <row r="11" ht="30" customHeight="1">
      <c r="B11" s="30">
        <f>INDEX(MONTHLY!$B$6:$M$6,MONTH(ReportMonth))</f>
        <v/>
      </c>
      <c r="C11" s="26" t="n"/>
      <c r="D11" s="30">
        <f>INDEX(MONTHLY!$B$7:$M$7,MONTH(ReportMonth))</f>
        <v/>
      </c>
      <c r="E11" s="26" t="n"/>
      <c r="F11" s="30">
        <f>INDEX(MONTHLY!$B$8:$M$8,MONTH(ReportMonth))</f>
        <v/>
      </c>
      <c r="G11" s="26" t="n"/>
      <c r="H11" s="28">
        <f>INDEX(MONTHLY!$B$9:$M$9,MONTH(ReportMonth))</f>
        <v/>
      </c>
      <c r="I11" s="26" t="n"/>
      <c r="J11" s="27">
        <f>INDEX(MONTHLY!$B$10:$M$10,MONTH(ReportMonth))</f>
        <v/>
      </c>
      <c r="K11" s="26" t="n"/>
      <c r="L11" s="30">
        <f>COUNTIF('LEADS'!$P$5:$P$504,"Overdue")+COUNTIF('LEADS'!$P$5:$P$504,"Due today")+COUNTIFS('FOLLOW-UPS'!$G$25:$G$324,"Open",'FOLLOW-UPS'!$A$25:$A$324,"&lt;="&amp;AsOf)</f>
        <v/>
      </c>
      <c r="M11" s="26" t="n"/>
    </row>
    <row r="12" ht="16" customHeight="1">
      <c r="B12" s="29">
        <f>IFERROR(IF(OR(IF(MONTH(ReportMonth)=1,"",INDEX(MONTHLY!$B$6:$M$6,MONTH(ReportMonth)-1))="",N(IF(MONTH(ReportMonth)=1,"",INDEX(MONTHLY!$B$6:$M$6,MONTH(ReportMonth)-1)))=0),"No prior-month comparison",TEXT(INDEX(MONTHLY!$B$6:$M$6,MONTH(ReportMonth))/IF(MONTH(ReportMonth)=1,"",INDEX(MONTHLY!$B$6:$M$6,MONTH(ReportMonth)-1))-1,"+0%;-0%;0%")&amp;" vs last month"),"No prior-month comparison")</f>
        <v/>
      </c>
      <c r="C12" s="26" t="n"/>
      <c r="D12" s="29">
        <f>"Leads added this month with a quote"</f>
        <v/>
      </c>
      <c r="E12" s="26" t="n"/>
      <c r="F12" s="29">
        <f>"From this month's leads"</f>
        <v/>
      </c>
      <c r="G12" s="26" t="n"/>
      <c r="H12" s="29">
        <f>"Booked ÷ new leads"</f>
        <v/>
      </c>
      <c r="I12" s="26" t="n"/>
      <c r="J12" s="29">
        <f>"This month's quotes"</f>
        <v/>
      </c>
      <c r="K12" s="26" t="n"/>
      <c r="L12" s="29">
        <f>"Overdue + due today"</f>
        <v/>
      </c>
      <c r="M12" s="26" t="n"/>
    </row>
    <row r="13"/>
    <row r="14">
      <c r="B14" s="5" t="inlineStr">
        <is>
          <t>OPERATIONS</t>
        </is>
      </c>
      <c r="C14" s="6" t="n"/>
      <c r="D14" s="6" t="n"/>
      <c r="E14" s="6" t="n"/>
      <c r="F14" s="6" t="n"/>
      <c r="G14" s="6" t="n"/>
      <c r="H14" s="6" t="n"/>
      <c r="I14" s="6" t="n"/>
      <c r="J14" s="6" t="n"/>
      <c r="K14" s="6" t="n"/>
      <c r="L14" s="6" t="n"/>
      <c r="M14" s="6" t="n"/>
    </row>
    <row r="15" ht="18" customHeight="1">
      <c r="B15" s="25" t="inlineStr">
        <is>
          <t>JOBS COMPLETED</t>
        </is>
      </c>
      <c r="C15" s="26" t="n"/>
      <c r="D15" s="25" t="inlineStr">
        <is>
          <t>AVERAGE JOB VALUE</t>
        </is>
      </c>
      <c r="E15" s="26" t="n"/>
      <c r="F15" s="25" t="inlineStr">
        <is>
          <t>REVENUE / LABOR HOUR</t>
        </is>
      </c>
      <c r="G15" s="26" t="n"/>
      <c r="H15" s="25" t="inlineStr">
        <is>
          <t>JOBS NEXT 7 DAYS</t>
        </is>
      </c>
      <c r="I15" s="26" t="n"/>
      <c r="J15" s="25" t="inlineStr">
        <is>
          <t>ACTIVE RECURRING PLANS</t>
        </is>
      </c>
      <c r="K15" s="26" t="n"/>
      <c r="L15" s="25" t="inlineStr">
        <is>
          <t>RECURRING MONTHLY VALUE</t>
        </is>
      </c>
      <c r="M15" s="26" t="n"/>
    </row>
    <row r="16" ht="30" customHeight="1">
      <c r="B16" s="30">
        <f>INDEX(MONTHLY!$B$12:$M$12,MONTH(ReportMonth))</f>
        <v/>
      </c>
      <c r="C16" s="26" t="n"/>
      <c r="D16" s="27">
        <f>INDEX(MONTHLY!$B$29:$M$29,MONTH(ReportMonth))</f>
        <v/>
      </c>
      <c r="E16" s="26" t="n"/>
      <c r="F16" s="31">
        <f>INDEX(MONTHLY!$B$30:$M$30,MONTH(ReportMonth))</f>
        <v/>
      </c>
      <c r="G16" s="26" t="n"/>
      <c r="H16" s="30">
        <f>COUNTIFS('JOBS'!$B$5:$B$1504,"&gt;="&amp;AsOf,'JOBS'!$B$5:$B$1504,"&lt;="&amp;AsOf+7,'JOBS'!$O$5:$O$1504,"Scheduled")</f>
        <v/>
      </c>
      <c r="I16" s="26" t="n"/>
      <c r="J16" s="30">
        <f>COUNTIF('RECURRING'!$J$5:$J$154,"Active")</f>
        <v/>
      </c>
      <c r="K16" s="26" t="n"/>
      <c r="L16" s="27">
        <f>SUM('RECURRING'!$R$5:$R$154)</f>
        <v/>
      </c>
      <c r="M16" s="26" t="n"/>
    </row>
    <row r="17" ht="16" customHeight="1">
      <c r="B17" s="29">
        <f>IFERROR(IF(OR(IF(MONTH(ReportMonth)=1,"",INDEX(MONTHLY!$B$12:$M$12,MONTH(ReportMonth)-1))="",N(IF(MONTH(ReportMonth)=1,"",INDEX(MONTHLY!$B$12:$M$12,MONTH(ReportMonth)-1)))=0),"No prior-month comparison",TEXT(INDEX(MONTHLY!$B$12:$M$12,MONTH(ReportMonth))/IF(MONTH(ReportMonth)=1,"",INDEX(MONTHLY!$B$12:$M$12,MONTH(ReportMonth)-1))-1,"+0%;-0%;0%")&amp;" vs last month"),"No prior-month comparison")</f>
        <v/>
      </c>
      <c r="C17" s="26" t="n"/>
      <c r="D17" s="29">
        <f>"Revenue ÷ jobs"</f>
        <v/>
      </c>
      <c r="E17" s="26" t="n"/>
      <c r="F17" s="29">
        <f>"All workers combined"</f>
        <v/>
      </c>
      <c r="G17" s="26" t="n"/>
      <c r="H17" s="29">
        <f>"Scheduled in JOBS"</f>
        <v/>
      </c>
      <c r="I17" s="26" t="n"/>
      <c r="J17" s="29">
        <f>SUMPRODUCT(('CUSTOMERS'!$P$5:$P$404="Yes")*1)&amp;" recurring clients"</f>
        <v/>
      </c>
      <c r="K17" s="26" t="n"/>
      <c r="L17" s="29">
        <f>"Active plans, per month"</f>
        <v/>
      </c>
      <c r="M17" s="26" t="n"/>
    </row>
    <row r="18"/>
    <row r="19">
      <c r="B19" s="5" t="inlineStr">
        <is>
          <t>REPUTATION &amp; QUALITY</t>
        </is>
      </c>
      <c r="C19" s="6" t="n"/>
      <c r="D19" s="6" t="n"/>
      <c r="E19" s="6" t="n"/>
      <c r="F19" s="6" t="n"/>
      <c r="G19" s="6" t="n"/>
      <c r="H19" s="6" t="n"/>
      <c r="I19" s="6" t="n"/>
      <c r="J19" s="6" t="n"/>
      <c r="K19" s="6" t="n"/>
      <c r="L19" s="6" t="n"/>
      <c r="M19" s="6" t="n"/>
    </row>
    <row r="20" ht="18" customHeight="1">
      <c r="B20" s="25" t="inlineStr">
        <is>
          <t>REVIEWS RECEIVED</t>
        </is>
      </c>
      <c r="C20" s="26" t="n"/>
      <c r="D20" s="25" t="inlineStr">
        <is>
          <t>AVERAGE RATING</t>
        </is>
      </c>
      <c r="E20" s="26" t="n"/>
      <c r="F20" s="25" t="inlineStr">
        <is>
          <t>REFERRALS</t>
        </is>
      </c>
      <c r="G20" s="26" t="n"/>
      <c r="H20" s="25" t="inlineStr">
        <is>
          <t>QC PASS RATE</t>
        </is>
      </c>
      <c r="I20" s="26" t="n"/>
      <c r="J20" s="25" t="inlineStr">
        <is>
          <t>OPEN ISSUES</t>
        </is>
      </c>
      <c r="K20" s="26" t="n"/>
      <c r="L20" s="25" t="inlineStr">
        <is>
          <t>CUSTOMERS TO REACTIVATE</t>
        </is>
      </c>
      <c r="M20" s="26" t="n"/>
    </row>
    <row r="21" ht="30" customHeight="1">
      <c r="B21" s="30">
        <f>INDEX(MONTHLY!$B$34:$M$34,MONTH(ReportMonth))</f>
        <v/>
      </c>
      <c r="C21" s="26" t="n"/>
      <c r="D21" s="32">
        <f>IFERROR(AVERAGEIFS('REVIEWS'!$G$5:$G$504,'REVIEWS'!$E$5:$E$504,"Received"),"")</f>
        <v/>
      </c>
      <c r="E21" s="26" t="n"/>
      <c r="F21" s="30">
        <f>INDEX(MONTHLY!$B$36:$M$36,MONTH(ReportMonth))</f>
        <v/>
      </c>
      <c r="G21" s="26" t="n"/>
      <c r="H21" s="28">
        <f>IFERROR(COUNTIFS('QUALITY CONTROL'!$P$5:$P$304,ReportMonth,'QUALITY CONTROL'!$N$5:$N$304,"Pass")/COUNTIFS('QUALITY CONTROL'!$P$5:$P$304,ReportMonth,'QUALITY CONTROL'!$N$5:$N$304,"?*"),"")</f>
        <v/>
      </c>
      <c r="I21" s="26" t="n"/>
      <c r="J21" s="30">
        <f>COUNTIF('QUALITY CONTROL'!$H$312:$H$461,"Open")+COUNTIF('QUALITY CONTROL'!$H$312:$H$461,"In progress")</f>
        <v/>
      </c>
      <c r="K21" s="26" t="n"/>
      <c r="L21" s="30">
        <f>COUNTIF('CUSTOMERS'!$R$5:$R$404,"Reactivate")</f>
        <v/>
      </c>
      <c r="M21" s="26" t="n"/>
    </row>
    <row r="22" ht="16" customHeight="1">
      <c r="B22" s="29">
        <f>"This month"</f>
        <v/>
      </c>
      <c r="C22" s="26" t="n"/>
      <c r="D22" s="29">
        <f>"All-time, received reviews"</f>
        <v/>
      </c>
      <c r="E22" s="26" t="n"/>
      <c r="F22" s="29">
        <f>COUNTIF('REFERRALS'!$E$5:$E$204,"Booked")&amp;" booked all-time"</f>
        <v/>
      </c>
      <c r="G22" s="26" t="n"/>
      <c r="H22" s="29">
        <f>"Inspections this month"</f>
        <v/>
      </c>
      <c r="I22" s="26" t="n"/>
      <c r="J22" s="29">
        <f>"From the issue log"</f>
        <v/>
      </c>
      <c r="K22" s="26" t="n"/>
      <c r="L22" s="29">
        <f>"No job in "&amp;ReactDays&amp;"+ days"</f>
        <v/>
      </c>
      <c r="M22" s="26" t="n"/>
    </row>
    <row r="23"/>
    <row r="24">
      <c r="B24" s="5" t="inlineStr">
        <is>
          <t>ACTION CENTER  —  what needs attention today</t>
        </is>
      </c>
      <c r="C24" s="6" t="n"/>
      <c r="D24" s="6" t="n"/>
      <c r="E24" s="6" t="n"/>
      <c r="F24" s="6" t="n"/>
      <c r="G24" s="6" t="n"/>
      <c r="H24" s="6" t="n"/>
      <c r="I24" s="5" t="inlineStr">
        <is>
          <t>PIPELINE BY STAGE  (all leads, current stage)</t>
        </is>
      </c>
      <c r="J24" s="6" t="n"/>
      <c r="K24" s="6" t="n"/>
      <c r="L24" s="6" t="n"/>
      <c r="M24" s="6" t="n"/>
    </row>
    <row r="25">
      <c r="B25" s="19" t="inlineStr">
        <is>
          <t>Leads overdue or due for follow-up</t>
        </is>
      </c>
      <c r="C25" s="33" t="n"/>
      <c r="D25" s="33" t="n"/>
      <c r="E25" s="33" t="n"/>
      <c r="F25" s="34">
        <f>COUNTIF('LEADS'!$P$5:$P$504,"Overdue")+COUNTIF('LEADS'!$P$5:$P$504,"Due today")</f>
        <v/>
      </c>
      <c r="G25" s="35" t="inlineStr">
        <is>
          <t>Open Follow-Ups →</t>
        </is>
      </c>
      <c r="I25" s="36" t="inlineStr">
        <is>
          <t>Stage</t>
        </is>
      </c>
      <c r="J25" s="37" t="n"/>
      <c r="K25" s="36" t="inlineStr">
        <is>
          <t>Leads</t>
        </is>
      </c>
      <c r="L25" s="37" t="n"/>
      <c r="M25" s="36" t="inlineStr">
        <is>
          <t>Quote Value</t>
        </is>
      </c>
    </row>
    <row r="26">
      <c r="B26" s="19" t="inlineStr">
        <is>
          <t>Other follow-ups overdue / due (your log)</t>
        </is>
      </c>
      <c r="C26" s="33" t="n"/>
      <c r="D26" s="33" t="n"/>
      <c r="E26" s="33" t="n"/>
      <c r="F26" s="34">
        <f>COUNTIFS('FOLLOW-UPS'!$G$25:$G$324,"Open",'FOLLOW-UPS'!$A$25:$A$324,"&lt;="&amp;AsOf)</f>
        <v/>
      </c>
      <c r="G26" s="35" t="inlineStr">
        <is>
          <t>Open Follow-Ups →</t>
        </is>
      </c>
      <c r="I26" s="38" t="inlineStr">
        <is>
          <t>New Lead</t>
        </is>
      </c>
      <c r="K26" s="39">
        <f>COUNTIF('LEADS'!$J$5:$J$504,I26)</f>
        <v/>
      </c>
      <c r="M26" s="40">
        <f>SUMIF('LEADS'!$J$5:$J$504,I26,'LEADS'!$I$5:$I$504)</f>
        <v/>
      </c>
    </row>
    <row r="27">
      <c r="B27" s="19" t="inlineStr">
        <is>
          <t>Completed jobs not fully paid</t>
        </is>
      </c>
      <c r="C27" s="33" t="n"/>
      <c r="D27" s="33" t="n"/>
      <c r="E27" s="33" t="n"/>
      <c r="F27" s="34">
        <f>COUNTIF('JOBS'!$V$5:$V$1504,"Unpaid")+COUNTIF('JOBS'!$V$5:$V$1504,"Partial")</f>
        <v/>
      </c>
      <c r="G27" s="35" t="inlineStr">
        <is>
          <t>Open Follow-Ups →</t>
        </is>
      </c>
      <c r="I27" s="38" t="inlineStr">
        <is>
          <t>Contacted</t>
        </is>
      </c>
      <c r="K27" s="39">
        <f>COUNTIF('LEADS'!$J$5:$J$504,I27)</f>
        <v/>
      </c>
      <c r="M27" s="40">
        <f>SUMIF('LEADS'!$J$5:$J$504,I27,'LEADS'!$I$5:$I$504)</f>
        <v/>
      </c>
    </row>
    <row r="28">
      <c r="B28" s="19" t="inlineStr">
        <is>
          <t>Recurring visits that need booking</t>
        </is>
      </c>
      <c r="C28" s="33" t="n"/>
      <c r="D28" s="33" t="n"/>
      <c r="E28" s="33" t="n"/>
      <c r="F28" s="34">
        <f>SUM('RECURRING'!$T$5:$T$154)</f>
        <v/>
      </c>
      <c r="G28" s="35" t="inlineStr">
        <is>
          <t>Open Schedule →</t>
        </is>
      </c>
      <c r="I28" s="38" t="inlineStr">
        <is>
          <t>Quote Requested</t>
        </is>
      </c>
      <c r="K28" s="39">
        <f>COUNTIF('LEADS'!$J$5:$J$504,I28)</f>
        <v/>
      </c>
      <c r="M28" s="40">
        <f>SUMIF('LEADS'!$J$5:$J$504,I28,'LEADS'!$I$5:$I$504)</f>
        <v/>
      </c>
    </row>
    <row r="29">
      <c r="B29" s="19" t="inlineStr">
        <is>
          <t>Booked leads missing from CUSTOMERS</t>
        </is>
      </c>
      <c r="C29" s="33" t="n"/>
      <c r="D29" s="33" t="n"/>
      <c r="E29" s="33" t="n"/>
      <c r="F29" s="34">
        <f>COUNTIF('LEADS'!$R$5:$R$504,"Add to CUSTOMERS")</f>
        <v/>
      </c>
      <c r="G29" s="35" t="inlineStr">
        <is>
          <t>Open Leads →</t>
        </is>
      </c>
      <c r="I29" s="38" t="inlineStr">
        <is>
          <t>Quote Sent</t>
        </is>
      </c>
      <c r="K29" s="39">
        <f>COUNTIF('LEADS'!$J$5:$J$504,I29)</f>
        <v/>
      </c>
      <c r="M29" s="40">
        <f>SUMIF('LEADS'!$J$5:$J$504,I29,'LEADS'!$I$5:$I$504)</f>
        <v/>
      </c>
    </row>
    <row r="30">
      <c r="B30" s="19" t="inlineStr">
        <is>
          <t>Review requests needing a reminder or reply</t>
        </is>
      </c>
      <c r="C30" s="33" t="n"/>
      <c r="D30" s="33" t="n"/>
      <c r="E30" s="33" t="n"/>
      <c r="F30" s="34">
        <f>COUNTIF('REVIEWS'!$K$5:$K$504,"Send reminder")+COUNTIF('REVIEWS'!$K$5:$K$504,"Reply to review")</f>
        <v/>
      </c>
      <c r="G30" s="35" t="inlineStr">
        <is>
          <t>Open Reviews →</t>
        </is>
      </c>
      <c r="I30" s="38" t="inlineStr">
        <is>
          <t>Follow-Up</t>
        </is>
      </c>
      <c r="K30" s="39">
        <f>COUNTIF('LEADS'!$J$5:$J$504,I30)</f>
        <v/>
      </c>
      <c r="M30" s="40">
        <f>SUMIF('LEADS'!$J$5:$J$504,I30,'LEADS'!$I$5:$I$504)</f>
        <v/>
      </c>
    </row>
    <row r="31">
      <c r="B31" s="19" t="inlineStr">
        <is>
          <t>Referral rewards owed</t>
        </is>
      </c>
      <c r="C31" s="33" t="n"/>
      <c r="D31" s="33" t="n"/>
      <c r="E31" s="33" t="n"/>
      <c r="F31" s="34">
        <f>COUNTIF('REFERRALS'!$G$5:$G$204,"Owed")</f>
        <v/>
      </c>
      <c r="G31" s="35" t="inlineStr">
        <is>
          <t>Open Referrals →</t>
        </is>
      </c>
      <c r="I31" s="38" t="inlineStr">
        <is>
          <t>Booked</t>
        </is>
      </c>
      <c r="K31" s="39">
        <f>COUNTIF('LEADS'!$J$5:$J$504,I31)</f>
        <v/>
      </c>
      <c r="M31" s="40">
        <f>SUMIF('LEADS'!$J$5:$J$504,I31,'LEADS'!$I$5:$I$504)</f>
        <v/>
      </c>
    </row>
    <row r="32">
      <c r="B32" s="19" t="inlineStr">
        <is>
          <t>Rework jobs still open</t>
        </is>
      </c>
      <c r="C32" s="33" t="n"/>
      <c r="D32" s="33" t="n"/>
      <c r="E32" s="33" t="n"/>
      <c r="F32" s="34">
        <f>COUNTIF('QUALITY CONTROL'!$O$5:$O$304,"Rework open")</f>
        <v/>
      </c>
      <c r="G32" s="35" t="inlineStr">
        <is>
          <t>Open Quality Control →</t>
        </is>
      </c>
      <c r="I32" s="38" t="inlineStr">
        <is>
          <t>Recurring Client</t>
        </is>
      </c>
      <c r="K32" s="39">
        <f>COUNTIF('LEADS'!$J$5:$J$504,I32)</f>
        <v/>
      </c>
      <c r="M32" s="40">
        <f>SUMIF('LEADS'!$J$5:$J$504,I32,'LEADS'!$I$5:$I$504)</f>
        <v/>
      </c>
    </row>
    <row r="33">
      <c r="B33" s="19" t="inlineStr">
        <is>
          <t>Supplies at or below reorder level</t>
        </is>
      </c>
      <c r="C33" s="33" t="n"/>
      <c r="D33" s="33" t="n"/>
      <c r="E33" s="33" t="n"/>
      <c r="F33" s="34">
        <f>COUNTIF('SUPPLIES'!$K$5:$K$104,"Reorder")</f>
        <v/>
      </c>
      <c r="G33" s="35" t="inlineStr">
        <is>
          <t>Open Supplies →</t>
        </is>
      </c>
      <c r="I33" s="38" t="inlineStr">
        <is>
          <t>Lost/Declined</t>
        </is>
      </c>
      <c r="K33" s="39">
        <f>COUNTIF('LEADS'!$J$5:$J$504,I33)</f>
        <v/>
      </c>
      <c r="M33" s="40">
        <f>SUMIF('LEADS'!$J$5:$J$504,I33,'LEADS'!$I$5:$I$504)</f>
        <v/>
      </c>
    </row>
    <row r="34">
      <c r="B34" s="19" t="inlineStr">
        <is>
          <t>Overdue staff tasks</t>
        </is>
      </c>
      <c r="C34" s="33" t="n"/>
      <c r="D34" s="33" t="n"/>
      <c r="E34" s="33" t="n"/>
      <c r="F34" s="34">
        <f>COUNTIF('STAFF &amp; TASKS'!$H$31:$H$230,"Overdue")</f>
        <v/>
      </c>
      <c r="G34" s="35" t="inlineStr">
        <is>
          <t>Open Staff &amp; Tasks →</t>
        </is>
      </c>
    </row>
    <row r="37">
      <c r="B37" s="5" t="inlineStr">
        <is>
          <t>TRENDS</t>
        </is>
      </c>
      <c r="C37" s="6" t="n"/>
      <c r="D37" s="6" t="n"/>
      <c r="E37" s="6" t="n"/>
      <c r="F37" s="6" t="n"/>
      <c r="G37" s="6" t="n"/>
      <c r="H37" s="6" t="n"/>
      <c r="I37" s="6" t="n"/>
      <c r="J37" s="6" t="n"/>
      <c r="K37" s="6" t="n"/>
      <c r="L37" s="6" t="n"/>
      <c r="M37" s="6" t="n"/>
    </row>
    <row r="54">
      <c r="B54" s="41" t="inlineStr">
        <is>
          <t>All figures come from your logs and your assumptions. They are management estimates, not accounting, tax or legal advice.</t>
        </is>
      </c>
    </row>
  </sheetData>
  <mergeCells count="102">
    <mergeCell ref="L17:M17"/>
    <mergeCell ref="B2:M2"/>
    <mergeCell ref="D20:E20"/>
    <mergeCell ref="F16:G16"/>
    <mergeCell ref="H10:I10"/>
    <mergeCell ref="J10:K10"/>
    <mergeCell ref="K33:L33"/>
    <mergeCell ref="B22:C22"/>
    <mergeCell ref="D22:E22"/>
    <mergeCell ref="I26:J26"/>
    <mergeCell ref="K26:L26"/>
    <mergeCell ref="B12:C12"/>
    <mergeCell ref="D6:E6"/>
    <mergeCell ref="B21:C21"/>
    <mergeCell ref="L12:M12"/>
    <mergeCell ref="F15:G15"/>
    <mergeCell ref="I25:J25"/>
    <mergeCell ref="L5:M5"/>
    <mergeCell ref="B31:E31"/>
    <mergeCell ref="D7:E7"/>
    <mergeCell ref="J21:K21"/>
    <mergeCell ref="L21:M21"/>
    <mergeCell ref="H15:I15"/>
    <mergeCell ref="K28:L28"/>
    <mergeCell ref="I30:J30"/>
    <mergeCell ref="K30:L30"/>
    <mergeCell ref="B16:C16"/>
    <mergeCell ref="L7:M7"/>
    <mergeCell ref="D10:E10"/>
    <mergeCell ref="F10:G10"/>
    <mergeCell ref="L16:M16"/>
    <mergeCell ref="B33:E33"/>
    <mergeCell ref="F6:G6"/>
    <mergeCell ref="B32:E32"/>
    <mergeCell ref="B26:E26"/>
    <mergeCell ref="B11:C11"/>
    <mergeCell ref="I32:J32"/>
    <mergeCell ref="D11:E11"/>
    <mergeCell ref="F5:G5"/>
    <mergeCell ref="F20:G20"/>
    <mergeCell ref="K32:L32"/>
    <mergeCell ref="B25:E25"/>
    <mergeCell ref="F17:G17"/>
    <mergeCell ref="H17:I17"/>
    <mergeCell ref="H11:I11"/>
    <mergeCell ref="B27:E27"/>
    <mergeCell ref="J11:K11"/>
    <mergeCell ref="J20:K20"/>
    <mergeCell ref="L20:M20"/>
    <mergeCell ref="I33:J33"/>
    <mergeCell ref="K27:L27"/>
    <mergeCell ref="J22:K22"/>
    <mergeCell ref="L22:M22"/>
    <mergeCell ref="B6:C6"/>
    <mergeCell ref="H12:I12"/>
    <mergeCell ref="J12:K12"/>
    <mergeCell ref="B15:C15"/>
    <mergeCell ref="L6:M6"/>
    <mergeCell ref="D15:E15"/>
    <mergeCell ref="B29:E29"/>
    <mergeCell ref="H5:I5"/>
    <mergeCell ref="K25:L25"/>
    <mergeCell ref="B7:C7"/>
    <mergeCell ref="F7:G7"/>
    <mergeCell ref="F21:G21"/>
    <mergeCell ref="K29:L29"/>
    <mergeCell ref="H21:I21"/>
    <mergeCell ref="K31:L31"/>
    <mergeCell ref="B17:C17"/>
    <mergeCell ref="D17:E17"/>
    <mergeCell ref="H16:I16"/>
    <mergeCell ref="J16:K16"/>
    <mergeCell ref="L10:M10"/>
    <mergeCell ref="F22:G22"/>
    <mergeCell ref="H22:I22"/>
    <mergeCell ref="D12:E12"/>
    <mergeCell ref="B5:C5"/>
    <mergeCell ref="B20:C20"/>
    <mergeCell ref="D5:E5"/>
    <mergeCell ref="L11:M11"/>
    <mergeCell ref="B34:E34"/>
    <mergeCell ref="B28:E28"/>
    <mergeCell ref="F11:G11"/>
    <mergeCell ref="H20:I20"/>
    <mergeCell ref="J5:K5"/>
    <mergeCell ref="B30:E30"/>
    <mergeCell ref="I27:J27"/>
    <mergeCell ref="B1:M1"/>
    <mergeCell ref="D21:E21"/>
    <mergeCell ref="F12:G12"/>
    <mergeCell ref="H6:I6"/>
    <mergeCell ref="J6:K6"/>
    <mergeCell ref="J15:K15"/>
    <mergeCell ref="L15:M15"/>
    <mergeCell ref="I28:J28"/>
    <mergeCell ref="D16:E16"/>
    <mergeCell ref="H7:I7"/>
    <mergeCell ref="J7:K7"/>
    <mergeCell ref="B10:C10"/>
    <mergeCell ref="I29:J29"/>
    <mergeCell ref="I31:J31"/>
    <mergeCell ref="J17:K17"/>
  </mergeCells>
  <conditionalFormatting sqref="F25">
    <cfRule type="expression" priority="1" dxfId="0">
      <formula>F25&gt;0</formula>
    </cfRule>
  </conditionalFormatting>
  <conditionalFormatting sqref="F26">
    <cfRule type="expression" priority="2" dxfId="0">
      <formula>F26&gt;0</formula>
    </cfRule>
  </conditionalFormatting>
  <conditionalFormatting sqref="F27">
    <cfRule type="expression" priority="3" dxfId="0">
      <formula>F27&gt;0</formula>
    </cfRule>
  </conditionalFormatting>
  <conditionalFormatting sqref="F28">
    <cfRule type="expression" priority="4" dxfId="0">
      <formula>F28&gt;0</formula>
    </cfRule>
  </conditionalFormatting>
  <conditionalFormatting sqref="F29">
    <cfRule type="expression" priority="5" dxfId="0">
      <formula>F29&gt;0</formula>
    </cfRule>
  </conditionalFormatting>
  <conditionalFormatting sqref="F30">
    <cfRule type="expression" priority="6" dxfId="0">
      <formula>F30&gt;0</formula>
    </cfRule>
  </conditionalFormatting>
  <conditionalFormatting sqref="F31">
    <cfRule type="expression" priority="7" dxfId="0">
      <formula>F31&gt;0</formula>
    </cfRule>
  </conditionalFormatting>
  <conditionalFormatting sqref="F32">
    <cfRule type="expression" priority="8" dxfId="0">
      <formula>F32&gt;0</formula>
    </cfRule>
  </conditionalFormatting>
  <conditionalFormatting sqref="F33">
    <cfRule type="expression" priority="9" dxfId="0">
      <formula>F33&gt;0</formula>
    </cfRule>
  </conditionalFormatting>
  <conditionalFormatting sqref="F34">
    <cfRule type="expression" priority="10" dxfId="0">
      <formula>F34&gt;0</formula>
    </cfRule>
  </conditionalFormatting>
  <hyperlinks>
    <hyperlink ref="B3" location="'START HERE'!A1" display="← Start Here"/>
    <hyperlink ref="D3" location="'SETTINGS'!A1" display="Settings →"/>
    <hyperlink ref="G25" location="'FOLLOW-UPS'!A1" display="Open Follow-Ups →"/>
    <hyperlink ref="G26" location="'FOLLOW-UPS'!A1" display="Open Follow-Ups →"/>
    <hyperlink ref="G27" location="'FOLLOW-UPS'!A1" display="Open Follow-Ups →"/>
    <hyperlink ref="G28" location="'SCHEDULE'!A1" display="Open Schedule →"/>
    <hyperlink ref="G29" location="'LEADS'!A1" display="Open Leads →"/>
    <hyperlink ref="G30" location="'REVIEWS'!A1" display="Open Reviews →"/>
    <hyperlink ref="G31" location="'REFERRALS'!A1" display="Open Referrals →"/>
    <hyperlink ref="G32" location="'QUALITY CONTROL'!A1" display="Open Quality Control →"/>
    <hyperlink ref="G33" location="'SUPPLIES'!A1" display="Open Supplies →"/>
    <hyperlink ref="G34" location="'STAFF &amp; TASKS'!A1" display="Open Staff &amp; Tasks →"/>
  </hyperlinks>
  <printOptions horizontalCentered="1"/>
  <pageMargins left="0.4" right="0.4" top="1" bottom="1" header="0.5" footer="0.5"/>
  <pageSetup orientation="landscape" fitToHeight="1" fitToWidth="1"/>
  <drawing xmlns:r="http://schemas.openxmlformats.org/officeDocument/2006/relationships" r:id="rId1"/>
</worksheet>
</file>

<file path=xl/worksheets/sheet3.xml><?xml version="1.0" encoding="utf-8"?>
<worksheet xmlns="http://schemas.openxmlformats.org/spreadsheetml/2006/main">
  <sheetPr>
    <tabColor rgb="002A5D8F"/>
    <outlinePr summaryBelow="1" summaryRight="1"/>
    <pageSetUpPr fitToPage="1"/>
  </sheetPr>
  <dimension ref="A1:U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0" customWidth="1" min="3" max="3"/>
    <col width="15" customWidth="1" min="4" max="4"/>
    <col width="24" customWidth="1" min="5" max="5"/>
    <col width="18" customWidth="1" min="6" max="6"/>
    <col width="18" customWidth="1" min="7" max="7"/>
    <col width="22" customWidth="1" min="8" max="8"/>
    <col width="13" customWidth="1" min="9" max="9"/>
    <col width="16" customWidth="1" min="10" max="10"/>
    <col width="13" customWidth="1" min="11" max="11"/>
    <col width="13" customWidth="1" min="12" max="12"/>
    <col width="17" customWidth="1" min="13" max="13"/>
    <col width="28" customWidth="1" min="14" max="14"/>
    <col width="13" customWidth="1" min="15" max="15"/>
    <col width="13" customWidth="1" min="16" max="16"/>
    <col width="13" customWidth="1" min="17" max="17"/>
    <col width="16" customWidth="1" min="18" max="18"/>
    <col width="13" customWidth="1" min="19" max="19"/>
    <col width="13" customWidth="1" min="20" max="20"/>
    <col width="13" customWidth="1" min="21" max="21"/>
  </cols>
  <sheetData>
    <row r="1" ht="34" customHeight="1">
      <c r="A1" s="42" t="inlineStr">
        <is>
          <t>LEAD CRM &amp; SALES PIPELINE</t>
        </is>
      </c>
      <c r="B1" s="1" t="n"/>
      <c r="C1" s="1" t="n"/>
      <c r="D1" s="1" t="n"/>
      <c r="E1" s="1" t="n"/>
      <c r="F1" s="1" t="n"/>
      <c r="G1" s="1" t="n"/>
      <c r="H1" s="1" t="n"/>
      <c r="I1" s="1" t="n"/>
      <c r="J1" s="1" t="n"/>
      <c r="K1" s="1" t="n"/>
      <c r="L1" s="1" t="n"/>
      <c r="M1" s="1" t="n"/>
      <c r="N1" s="1" t="n"/>
      <c r="O1" s="1" t="n"/>
      <c r="P1" s="1" t="n"/>
      <c r="Q1" s="1" t="n"/>
      <c r="R1" s="1" t="n"/>
      <c r="S1" s="1" t="n"/>
      <c r="T1" s="1" t="n"/>
      <c r="U1" s="1" t="n"/>
    </row>
    <row r="2" ht="30" customHeight="1">
      <c r="A2" s="43" t="inlineStr">
        <is>
          <t>One row per lead. Move the Stage as the lead progresses. Follow-up status, outcome and 'add to customers' reminders are automatic.</t>
        </is>
      </c>
    </row>
    <row r="3" ht="18" customHeight="1">
      <c r="A3" s="24" t="inlineStr">
        <is>
          <t>← Start Here</t>
        </is>
      </c>
      <c r="B3" s="24" t="inlineStr">
        <is>
          <t>Dashboard →</t>
        </is>
      </c>
    </row>
    <row r="4" ht="42" customHeight="1">
      <c r="A4" s="44" t="inlineStr">
        <is>
          <t>Lead ID</t>
        </is>
      </c>
      <c r="B4" s="44" t="inlineStr">
        <is>
          <t>Date Added</t>
        </is>
      </c>
      <c r="C4" s="44" t="inlineStr">
        <is>
          <t>Name</t>
        </is>
      </c>
      <c r="D4" s="44" t="inlineStr">
        <is>
          <t>Phone</t>
        </is>
      </c>
      <c r="E4" s="44" t="inlineStr">
        <is>
          <t>Email</t>
        </is>
      </c>
      <c r="F4" s="44" t="inlineStr">
        <is>
          <t>Lead Source</t>
        </is>
      </c>
      <c r="G4" s="44" t="inlineStr">
        <is>
          <t>Requested Service</t>
        </is>
      </c>
      <c r="H4" s="44" t="inlineStr">
        <is>
          <t>Area / Property Notes</t>
        </is>
      </c>
      <c r="I4" s="44" t="inlineStr">
        <is>
          <t>Quote Value ($)</t>
        </is>
      </c>
      <c r="J4" s="44" t="inlineStr">
        <is>
          <t>Stage</t>
        </is>
      </c>
      <c r="K4" s="44" t="inlineStr">
        <is>
          <t>Last Contact</t>
        </is>
      </c>
      <c r="L4" s="44" t="inlineStr">
        <is>
          <t>Next Follow-Up</t>
        </is>
      </c>
      <c r="M4" s="44" t="inlineStr">
        <is>
          <t>Lost Reason</t>
        </is>
      </c>
      <c r="N4" s="44" t="inlineStr">
        <is>
          <t>Notes</t>
        </is>
      </c>
      <c r="O4" s="45" t="inlineStr">
        <is>
          <t>Booking Outcome ⚙</t>
        </is>
      </c>
      <c r="P4" s="45" t="inlineStr">
        <is>
          <t>Follow-Up Status ⚙</t>
        </is>
      </c>
      <c r="Q4" s="45" t="inlineStr">
        <is>
          <t>Days Since Added ⚙</t>
        </is>
      </c>
      <c r="R4" s="45" t="inlineStr">
        <is>
          <t>Customer Record ⚙</t>
        </is>
      </c>
      <c r="S4" s="45" t="inlineStr">
        <is>
          <t>Open? (1/0) ⚙</t>
        </is>
      </c>
      <c r="T4" s="45" t="inlineStr">
        <is>
          <t>Month ⚙</t>
        </is>
      </c>
      <c r="U4" s="45" t="inlineStr">
        <is>
          <t>Follow-Up Order ⚙</t>
        </is>
      </c>
    </row>
    <row r="5">
      <c r="A5" s="46" t="inlineStr">
        <is>
          <t>L-0001</t>
        </is>
      </c>
      <c r="B5" s="47" t="n">
        <v>46024</v>
      </c>
      <c r="C5" s="38" t="inlineStr">
        <is>
          <t>Dana Collins</t>
        </is>
      </c>
      <c r="D5" s="38" t="inlineStr">
        <is>
          <t>555-0109</t>
        </is>
      </c>
      <c r="E5" s="38" t="inlineStr">
        <is>
          <t>dana.collins@example.com</t>
        </is>
      </c>
      <c r="F5" s="38" t="inlineStr">
        <is>
          <t>Google Business Profile</t>
        </is>
      </c>
      <c r="G5" s="38" t="inlineStr">
        <is>
          <t>Deep Clean</t>
        </is>
      </c>
      <c r="H5" s="38" t="inlineStr">
        <is>
          <t>Lakeview (fictional)</t>
        </is>
      </c>
      <c r="I5" s="48" t="n">
        <v>450</v>
      </c>
      <c r="J5" s="38" t="inlineStr">
        <is>
          <t>Recurring Client</t>
        </is>
      </c>
      <c r="K5" s="47" t="n">
        <v>46025</v>
      </c>
      <c r="L5" s="47" t="n"/>
      <c r="M5" s="38" t="n"/>
      <c r="N5" s="38" t="inlineStr"/>
      <c r="O5" s="49">
        <f>IF(C5="","",IF(OR(J5="Booked",J5="Recurring Client"),"Booked",IF(J5="Lost/Declined","Lost","Open")))</f>
        <v/>
      </c>
      <c r="P5" s="49">
        <f>IF(C5="","",IF(S5=0,"—",IF(L5="","Set date",IF(L5&lt;AsOf,"Overdue",IF(L5=AsOf,"Due today",IF(L5&lt;=AsOf+SoonDays,"Due soon","Scheduled"))))))</f>
        <v/>
      </c>
      <c r="Q5" s="50">
        <f>IF(C5="","",IF(B5="","",AsOf-B5))</f>
        <v/>
      </c>
      <c r="R5" s="49">
        <f>IF(C5="","",IF(O5&lt;&gt;"Booked","",IF(COUNTIF('CUSTOMERS'!$B$5:$B$404,C5)&gt;0,"✓ In CUSTOMERS","Add to CUSTOMERS")))</f>
        <v/>
      </c>
      <c r="S5" s="49">
        <f>IF(C5="","",IF(OR(J5="Booked",J5="Recurring Client",J5="Lost/Declined"),0,1))</f>
        <v/>
      </c>
      <c r="T5" s="51">
        <f>IF(B5="","",DATE(YEAR(B5),MONTH(B5),1))</f>
        <v/>
      </c>
      <c r="U5" s="49">
        <f>IF(OR(S5&lt;&gt;1,L5=""),"",COUNTIFS('LEADS'!$S$5:$S$504,1,'LEADS'!$L$5:$L$504,"&lt;"&amp;L5)+COUNTIFS($S$5:S5,1,$L$5:L5,L5))</f>
        <v/>
      </c>
    </row>
    <row r="6">
      <c r="A6" s="46" t="inlineStr">
        <is>
          <t>L-0002</t>
        </is>
      </c>
      <c r="B6" s="47" t="n">
        <v>46030</v>
      </c>
      <c r="C6" s="38" t="inlineStr">
        <is>
          <t>Lane Northcott</t>
        </is>
      </c>
      <c r="D6" s="38" t="inlineStr">
        <is>
          <t>555-0113</t>
        </is>
      </c>
      <c r="E6" s="38" t="inlineStr">
        <is>
          <t>lane.northcott@example.com</t>
        </is>
      </c>
      <c r="F6" s="38" t="inlineStr">
        <is>
          <t>Google Business Profile</t>
        </is>
      </c>
      <c r="G6" s="38" t="inlineStr">
        <is>
          <t>Deep Clean</t>
        </is>
      </c>
      <c r="H6" s="38" t="inlineStr">
        <is>
          <t>Lakeview (fictional)</t>
        </is>
      </c>
      <c r="I6" s="48" t="n">
        <v>345</v>
      </c>
      <c r="J6" s="38" t="inlineStr">
        <is>
          <t>Recurring Client</t>
        </is>
      </c>
      <c r="K6" s="47" t="n">
        <v>46031</v>
      </c>
      <c r="L6" s="47" t="n"/>
      <c r="M6" s="38" t="n"/>
      <c r="N6" s="38" t="inlineStr"/>
      <c r="O6" s="49">
        <f>IF(C6="","",IF(OR(J6="Booked",J6="Recurring Client"),"Booked",IF(J6="Lost/Declined","Lost","Open")))</f>
        <v/>
      </c>
      <c r="P6" s="49">
        <f>IF(C6="","",IF(S6=0,"—",IF(L6="","Set date",IF(L6&lt;AsOf,"Overdue",IF(L6=AsOf,"Due today",IF(L6&lt;=AsOf+SoonDays,"Due soon","Scheduled"))))))</f>
        <v/>
      </c>
      <c r="Q6" s="50">
        <f>IF(C6="","",IF(B6="","",AsOf-B6))</f>
        <v/>
      </c>
      <c r="R6" s="49">
        <f>IF(C6="","",IF(O6&lt;&gt;"Booked","",IF(COUNTIF('CUSTOMERS'!$B$5:$B$404,C6)&gt;0,"✓ In CUSTOMERS","Add to CUSTOMERS")))</f>
        <v/>
      </c>
      <c r="S6" s="49">
        <f>IF(C6="","",IF(OR(J6="Booked",J6="Recurring Client",J6="Lost/Declined"),0,1))</f>
        <v/>
      </c>
      <c r="T6" s="51">
        <f>IF(B6="","",DATE(YEAR(B6),MONTH(B6),1))</f>
        <v/>
      </c>
      <c r="U6" s="49">
        <f>IF(OR(S6&lt;&gt;1,L6=""),"",COUNTIFS('LEADS'!$S$5:$S$504,1,'LEADS'!$L$5:$L$504,"&lt;"&amp;L6)+COUNTIFS($S$5:S6,1,$L$5:L6,L6))</f>
        <v/>
      </c>
    </row>
    <row r="7">
      <c r="A7" s="46" t="inlineStr">
        <is>
          <t>L-0003</t>
        </is>
      </c>
      <c r="B7" s="47" t="n">
        <v>46032</v>
      </c>
      <c r="C7" s="38" t="inlineStr">
        <is>
          <t>Elliot Collins</t>
        </is>
      </c>
      <c r="D7" s="38" t="inlineStr">
        <is>
          <t>555-0150</t>
        </is>
      </c>
      <c r="E7" s="38" t="inlineStr">
        <is>
          <t>elliot.collins@example.com</t>
        </is>
      </c>
      <c r="F7" s="38" t="inlineStr">
        <is>
          <t>Facebook</t>
        </is>
      </c>
      <c r="G7" s="38" t="inlineStr">
        <is>
          <t>Move-In/Move-Out</t>
        </is>
      </c>
      <c r="H7" s="38" t="inlineStr">
        <is>
          <t>Riverbend (fictional)</t>
        </is>
      </c>
      <c r="I7" s="48" t="n">
        <v>340</v>
      </c>
      <c r="J7" s="38" t="inlineStr">
        <is>
          <t>Lost/Declined</t>
        </is>
      </c>
      <c r="K7" s="47" t="n">
        <v>46034</v>
      </c>
      <c r="L7" s="47" t="n"/>
      <c r="M7" s="38" t="inlineStr">
        <is>
          <t>Price</t>
        </is>
      </c>
      <c r="N7" s="38" t="inlineStr"/>
      <c r="O7" s="49">
        <f>IF(C7="","",IF(OR(J7="Booked",J7="Recurring Client"),"Booked",IF(J7="Lost/Declined","Lost","Open")))</f>
        <v/>
      </c>
      <c r="P7" s="49">
        <f>IF(C7="","",IF(S7=0,"—",IF(L7="","Set date",IF(L7&lt;AsOf,"Overdue",IF(L7=AsOf,"Due today",IF(L7&lt;=AsOf+SoonDays,"Due soon","Scheduled"))))))</f>
        <v/>
      </c>
      <c r="Q7" s="50">
        <f>IF(C7="","",IF(B7="","",AsOf-B7))</f>
        <v/>
      </c>
      <c r="R7" s="49">
        <f>IF(C7="","",IF(O7&lt;&gt;"Booked","",IF(COUNTIF('CUSTOMERS'!$B$5:$B$404,C7)&gt;0,"✓ In CUSTOMERS","Add to CUSTOMERS")))</f>
        <v/>
      </c>
      <c r="S7" s="49">
        <f>IF(C7="","",IF(OR(J7="Booked",J7="Recurring Client",J7="Lost/Declined"),0,1))</f>
        <v/>
      </c>
      <c r="T7" s="51">
        <f>IF(B7="","",DATE(YEAR(B7),MONTH(B7),1))</f>
        <v/>
      </c>
      <c r="U7" s="49">
        <f>IF(OR(S7&lt;&gt;1,L7=""),"",COUNTIFS('LEADS'!$S$5:$S$504,1,'LEADS'!$L$5:$L$504,"&lt;"&amp;L7)+COUNTIFS($S$5:S7,1,$L$5:L7,L7))</f>
        <v/>
      </c>
    </row>
    <row r="8">
      <c r="A8" s="46" t="inlineStr">
        <is>
          <t>L-0004</t>
        </is>
      </c>
      <c r="B8" s="47" t="n">
        <v>46033</v>
      </c>
      <c r="C8" s="38" t="inlineStr">
        <is>
          <t>Micah Quigley</t>
        </is>
      </c>
      <c r="D8" s="38" t="inlineStr">
        <is>
          <t>555-0141</t>
        </is>
      </c>
      <c r="E8" s="38" t="inlineStr">
        <is>
          <t>micah.quigley@example.com</t>
        </is>
      </c>
      <c r="F8" s="38" t="inlineStr">
        <is>
          <t>Flyer / Door Hanger</t>
        </is>
      </c>
      <c r="G8" s="38" t="inlineStr">
        <is>
          <t>Standard Clean</t>
        </is>
      </c>
      <c r="H8" s="38" t="inlineStr">
        <is>
          <t>Sampletown</t>
        </is>
      </c>
      <c r="I8" s="48" t="n">
        <v>160</v>
      </c>
      <c r="J8" s="38" t="inlineStr">
        <is>
          <t>Lost/Declined</t>
        </is>
      </c>
      <c r="K8" s="47" t="n">
        <v>46040</v>
      </c>
      <c r="L8" s="47" t="n"/>
      <c r="M8" s="38" t="inlineStr">
        <is>
          <t>Price</t>
        </is>
      </c>
      <c r="N8" s="38" t="inlineStr"/>
      <c r="O8" s="49">
        <f>IF(C8="","",IF(OR(J8="Booked",J8="Recurring Client"),"Booked",IF(J8="Lost/Declined","Lost","Open")))</f>
        <v/>
      </c>
      <c r="P8" s="49">
        <f>IF(C8="","",IF(S8=0,"—",IF(L8="","Set date",IF(L8&lt;AsOf,"Overdue",IF(L8=AsOf,"Due today",IF(L8&lt;=AsOf+SoonDays,"Due soon","Scheduled"))))))</f>
        <v/>
      </c>
      <c r="Q8" s="50">
        <f>IF(C8="","",IF(B8="","",AsOf-B8))</f>
        <v/>
      </c>
      <c r="R8" s="49">
        <f>IF(C8="","",IF(O8&lt;&gt;"Booked","",IF(COUNTIF('CUSTOMERS'!$B$5:$B$404,C8)&gt;0,"✓ In CUSTOMERS","Add to CUSTOMERS")))</f>
        <v/>
      </c>
      <c r="S8" s="49">
        <f>IF(C8="","",IF(OR(J8="Booked",J8="Recurring Client",J8="Lost/Declined"),0,1))</f>
        <v/>
      </c>
      <c r="T8" s="51">
        <f>IF(B8="","",DATE(YEAR(B8),MONTH(B8),1))</f>
        <v/>
      </c>
      <c r="U8" s="49">
        <f>IF(OR(S8&lt;&gt;1,L8=""),"",COUNTIFS('LEADS'!$S$5:$S$504,1,'LEADS'!$L$5:$L$504,"&lt;"&amp;L8)+COUNTIFS($S$5:S8,1,$L$5:L8,L8))</f>
        <v/>
      </c>
    </row>
    <row r="9">
      <c r="A9" s="46" t="inlineStr">
        <is>
          <t>L-0005</t>
        </is>
      </c>
      <c r="B9" s="47" t="n">
        <v>46035</v>
      </c>
      <c r="C9" s="38" t="inlineStr">
        <is>
          <t>Dana Oakes</t>
        </is>
      </c>
      <c r="D9" s="38" t="inlineStr">
        <is>
          <t>555-0129</t>
        </is>
      </c>
      <c r="E9" s="38" t="inlineStr">
        <is>
          <t>dana.oakes@example.com</t>
        </is>
      </c>
      <c r="F9" s="38" t="inlineStr">
        <is>
          <t>Facebook</t>
        </is>
      </c>
      <c r="G9" s="38" t="inlineStr">
        <is>
          <t>Airbnb Turnover</t>
        </is>
      </c>
      <c r="H9" s="38" t="inlineStr">
        <is>
          <t>North Sampletown</t>
        </is>
      </c>
      <c r="I9" s="48" t="n">
        <v>135</v>
      </c>
      <c r="J9" s="38" t="inlineStr">
        <is>
          <t>Booked</t>
        </is>
      </c>
      <c r="K9" s="47" t="n">
        <v>46036</v>
      </c>
      <c r="L9" s="47" t="n"/>
      <c r="M9" s="38" t="n"/>
      <c r="N9" s="38" t="inlineStr"/>
      <c r="O9" s="49">
        <f>IF(C9="","",IF(OR(J9="Booked",J9="Recurring Client"),"Booked",IF(J9="Lost/Declined","Lost","Open")))</f>
        <v/>
      </c>
      <c r="P9" s="49">
        <f>IF(C9="","",IF(S9=0,"—",IF(L9="","Set date",IF(L9&lt;AsOf,"Overdue",IF(L9=AsOf,"Due today",IF(L9&lt;=AsOf+SoonDays,"Due soon","Scheduled"))))))</f>
        <v/>
      </c>
      <c r="Q9" s="50">
        <f>IF(C9="","",IF(B9="","",AsOf-B9))</f>
        <v/>
      </c>
      <c r="R9" s="49">
        <f>IF(C9="","",IF(O9&lt;&gt;"Booked","",IF(COUNTIF('CUSTOMERS'!$B$5:$B$404,C9)&gt;0,"✓ In CUSTOMERS","Add to CUSTOMERS")))</f>
        <v/>
      </c>
      <c r="S9" s="49">
        <f>IF(C9="","",IF(OR(J9="Booked",J9="Recurring Client",J9="Lost/Declined"),0,1))</f>
        <v/>
      </c>
      <c r="T9" s="51">
        <f>IF(B9="","",DATE(YEAR(B9),MONTH(B9),1))</f>
        <v/>
      </c>
      <c r="U9" s="49">
        <f>IF(OR(S9&lt;&gt;1,L9=""),"",COUNTIFS('LEADS'!$S$5:$S$504,1,'LEADS'!$L$5:$L$504,"&lt;"&amp;L9)+COUNTIFS($S$5:S9,1,$L$5:L9,L9))</f>
        <v/>
      </c>
    </row>
    <row r="10">
      <c r="A10" s="46" t="inlineStr">
        <is>
          <t>L-0006</t>
        </is>
      </c>
      <c r="B10" s="47" t="n">
        <v>46036</v>
      </c>
      <c r="C10" s="38" t="inlineStr">
        <is>
          <t>Taylor Quigley</t>
        </is>
      </c>
      <c r="D10" s="38" t="inlineStr">
        <is>
          <t>555-0112</t>
        </is>
      </c>
      <c r="E10" s="38" t="inlineStr">
        <is>
          <t>taylor.quigley@example.com</t>
        </is>
      </c>
      <c r="F10" s="38" t="inlineStr">
        <is>
          <t>Flyer / Door Hanger</t>
        </is>
      </c>
      <c r="G10" s="38" t="inlineStr">
        <is>
          <t>Deep Clean</t>
        </is>
      </c>
      <c r="H10" s="38" t="inlineStr">
        <is>
          <t>Sampletown</t>
        </is>
      </c>
      <c r="I10" s="48" t="n">
        <v>330</v>
      </c>
      <c r="J10" s="38" t="inlineStr">
        <is>
          <t>Recurring Client</t>
        </is>
      </c>
      <c r="K10" s="47" t="n">
        <v>46037</v>
      </c>
      <c r="L10" s="47" t="n"/>
      <c r="M10" s="38" t="n"/>
      <c r="N10" s="38" t="inlineStr"/>
      <c r="O10" s="49">
        <f>IF(C10="","",IF(OR(J10="Booked",J10="Recurring Client"),"Booked",IF(J10="Lost/Declined","Lost","Open")))</f>
        <v/>
      </c>
      <c r="P10" s="49">
        <f>IF(C10="","",IF(S10=0,"—",IF(L10="","Set date",IF(L10&lt;AsOf,"Overdue",IF(L10=AsOf,"Due today",IF(L10&lt;=AsOf+SoonDays,"Due soon","Scheduled"))))))</f>
        <v/>
      </c>
      <c r="Q10" s="50">
        <f>IF(C10="","",IF(B10="","",AsOf-B10))</f>
        <v/>
      </c>
      <c r="R10" s="49">
        <f>IF(C10="","",IF(O10&lt;&gt;"Booked","",IF(COUNTIF('CUSTOMERS'!$B$5:$B$404,C10)&gt;0,"✓ In CUSTOMERS","Add to CUSTOMERS")))</f>
        <v/>
      </c>
      <c r="S10" s="49">
        <f>IF(C10="","",IF(OR(J10="Booked",J10="Recurring Client",J10="Lost/Declined"),0,1))</f>
        <v/>
      </c>
      <c r="T10" s="51">
        <f>IF(B10="","",DATE(YEAR(B10),MONTH(B10),1))</f>
        <v/>
      </c>
      <c r="U10" s="49">
        <f>IF(OR(S10&lt;&gt;1,L10=""),"",COUNTIFS('LEADS'!$S$5:$S$504,1,'LEADS'!$L$5:$L$504,"&lt;"&amp;L10)+COUNTIFS($S$5:S10,1,$L$5:L10,L10))</f>
        <v/>
      </c>
    </row>
    <row r="11">
      <c r="A11" s="46" t="inlineStr">
        <is>
          <t>L-0007</t>
        </is>
      </c>
      <c r="B11" s="47" t="n">
        <v>46036</v>
      </c>
      <c r="C11" s="38" t="inlineStr">
        <is>
          <t>Emerson Holloway</t>
        </is>
      </c>
      <c r="D11" s="38" t="inlineStr">
        <is>
          <t>555-0131</t>
        </is>
      </c>
      <c r="E11" s="38" t="inlineStr">
        <is>
          <t>emerson.holloway@example.com</t>
        </is>
      </c>
      <c r="F11" s="38" t="inlineStr">
        <is>
          <t>Google Business Profile</t>
        </is>
      </c>
      <c r="G11" s="38" t="inlineStr">
        <is>
          <t>Airbnb Turnover</t>
        </is>
      </c>
      <c r="H11" s="38" t="inlineStr">
        <is>
          <t>North Sampletown</t>
        </is>
      </c>
      <c r="I11" s="48" t="n">
        <v>150</v>
      </c>
      <c r="J11" s="38" t="inlineStr">
        <is>
          <t>Booked</t>
        </is>
      </c>
      <c r="K11" s="47" t="n">
        <v>46037</v>
      </c>
      <c r="L11" s="47" t="n"/>
      <c r="M11" s="38" t="n"/>
      <c r="N11" s="38" t="inlineStr"/>
      <c r="O11" s="49">
        <f>IF(C11="","",IF(OR(J11="Booked",J11="Recurring Client"),"Booked",IF(J11="Lost/Declined","Lost","Open")))</f>
        <v/>
      </c>
      <c r="P11" s="49">
        <f>IF(C11="","",IF(S11=0,"—",IF(L11="","Set date",IF(L11&lt;AsOf,"Overdue",IF(L11=AsOf,"Due today",IF(L11&lt;=AsOf+SoonDays,"Due soon","Scheduled"))))))</f>
        <v/>
      </c>
      <c r="Q11" s="50">
        <f>IF(C11="","",IF(B11="","",AsOf-B11))</f>
        <v/>
      </c>
      <c r="R11" s="49">
        <f>IF(C11="","",IF(O11&lt;&gt;"Booked","",IF(COUNTIF('CUSTOMERS'!$B$5:$B$404,C11)&gt;0,"✓ In CUSTOMERS","Add to CUSTOMERS")))</f>
        <v/>
      </c>
      <c r="S11" s="49">
        <f>IF(C11="","",IF(OR(J11="Booked",J11="Recurring Client",J11="Lost/Declined"),0,1))</f>
        <v/>
      </c>
      <c r="T11" s="51">
        <f>IF(B11="","",DATE(YEAR(B11),MONTH(B11),1))</f>
        <v/>
      </c>
      <c r="U11" s="49">
        <f>IF(OR(S11&lt;&gt;1,L11=""),"",COUNTIFS('LEADS'!$S$5:$S$504,1,'LEADS'!$L$5:$L$504,"&lt;"&amp;L11)+COUNTIFS($S$5:S11,1,$L$5:L11,L11))</f>
        <v/>
      </c>
    </row>
    <row r="12">
      <c r="A12" s="46" t="inlineStr">
        <is>
          <t>L-0008</t>
        </is>
      </c>
      <c r="B12" s="47" t="n">
        <v>46038</v>
      </c>
      <c r="C12" s="38" t="inlineStr">
        <is>
          <t>Blake Oakes</t>
        </is>
      </c>
      <c r="D12" s="38" t="inlineStr">
        <is>
          <t>555-0130</t>
        </is>
      </c>
      <c r="E12" s="38" t="inlineStr">
        <is>
          <t>blake.oakes@example.com</t>
        </is>
      </c>
      <c r="F12" s="38" t="inlineStr">
        <is>
          <t>Google Search</t>
        </is>
      </c>
      <c r="G12" s="38" t="inlineStr">
        <is>
          <t>Airbnb Turnover</t>
        </is>
      </c>
      <c r="H12" s="38" t="inlineStr">
        <is>
          <t>North Sampletown</t>
        </is>
      </c>
      <c r="I12" s="48" t="n">
        <v>135</v>
      </c>
      <c r="J12" s="38" t="inlineStr">
        <is>
          <t>Booked</t>
        </is>
      </c>
      <c r="K12" s="47" t="n">
        <v>46039</v>
      </c>
      <c r="L12" s="47" t="n"/>
      <c r="M12" s="38" t="n"/>
      <c r="N12" s="38" t="inlineStr"/>
      <c r="O12" s="49">
        <f>IF(C12="","",IF(OR(J12="Booked",J12="Recurring Client"),"Booked",IF(J12="Lost/Declined","Lost","Open")))</f>
        <v/>
      </c>
      <c r="P12" s="49">
        <f>IF(C12="","",IF(S12=0,"—",IF(L12="","Set date",IF(L12&lt;AsOf,"Overdue",IF(L12=AsOf,"Due today",IF(L12&lt;=AsOf+SoonDays,"Due soon","Scheduled"))))))</f>
        <v/>
      </c>
      <c r="Q12" s="50">
        <f>IF(C12="","",IF(B12="","",AsOf-B12))</f>
        <v/>
      </c>
      <c r="R12" s="49">
        <f>IF(C12="","",IF(O12&lt;&gt;"Booked","",IF(COUNTIF('CUSTOMERS'!$B$5:$B$404,C12)&gt;0,"✓ In CUSTOMERS","Add to CUSTOMERS")))</f>
        <v/>
      </c>
      <c r="S12" s="49">
        <f>IF(C12="","",IF(OR(J12="Booked",J12="Recurring Client",J12="Lost/Declined"),0,1))</f>
        <v/>
      </c>
      <c r="T12" s="51">
        <f>IF(B12="","",DATE(YEAR(B12),MONTH(B12),1))</f>
        <v/>
      </c>
      <c r="U12" s="49">
        <f>IF(OR(S12&lt;&gt;1,L12=""),"",COUNTIFS('LEADS'!$S$5:$S$504,1,'LEADS'!$L$5:$L$504,"&lt;"&amp;L12)+COUNTIFS($S$5:S12,1,$L$5:L12,L12))</f>
        <v/>
      </c>
    </row>
    <row r="13">
      <c r="A13" s="46" t="inlineStr">
        <is>
          <t>L-0009</t>
        </is>
      </c>
      <c r="B13" s="47" t="n">
        <v>46042</v>
      </c>
      <c r="C13" s="38" t="inlineStr">
        <is>
          <t>Lane Ivers</t>
        </is>
      </c>
      <c r="D13" s="38" t="inlineStr">
        <is>
          <t>555-0104</t>
        </is>
      </c>
      <c r="E13" s="38" t="inlineStr">
        <is>
          <t>lane.ivers@example.com</t>
        </is>
      </c>
      <c r="F13" s="38" t="inlineStr">
        <is>
          <t>Website Form</t>
        </is>
      </c>
      <c r="G13" s="38" t="inlineStr">
        <is>
          <t>Deep Clean</t>
        </is>
      </c>
      <c r="H13" s="38" t="inlineStr">
        <is>
          <t>Sampletown</t>
        </is>
      </c>
      <c r="I13" s="48" t="n">
        <v>450</v>
      </c>
      <c r="J13" s="38" t="inlineStr">
        <is>
          <t>Recurring Client</t>
        </is>
      </c>
      <c r="K13" s="47" t="n">
        <v>46043</v>
      </c>
      <c r="L13" s="47" t="n"/>
      <c r="M13" s="38" t="n"/>
      <c r="N13" s="38" t="inlineStr"/>
      <c r="O13" s="49">
        <f>IF(C13="","",IF(OR(J13="Booked",J13="Recurring Client"),"Booked",IF(J13="Lost/Declined","Lost","Open")))</f>
        <v/>
      </c>
      <c r="P13" s="49">
        <f>IF(C13="","",IF(S13=0,"—",IF(L13="","Set date",IF(L13&lt;AsOf,"Overdue",IF(L13=AsOf,"Due today",IF(L13&lt;=AsOf+SoonDays,"Due soon","Scheduled"))))))</f>
        <v/>
      </c>
      <c r="Q13" s="50">
        <f>IF(C13="","",IF(B13="","",AsOf-B13))</f>
        <v/>
      </c>
      <c r="R13" s="49">
        <f>IF(C13="","",IF(O13&lt;&gt;"Booked","",IF(COUNTIF('CUSTOMERS'!$B$5:$B$404,C13)&gt;0,"✓ In CUSTOMERS","Add to CUSTOMERS")))</f>
        <v/>
      </c>
      <c r="S13" s="49">
        <f>IF(C13="","",IF(OR(J13="Booked",J13="Recurring Client",J13="Lost/Declined"),0,1))</f>
        <v/>
      </c>
      <c r="T13" s="51">
        <f>IF(B13="","",DATE(YEAR(B13),MONTH(B13),1))</f>
        <v/>
      </c>
      <c r="U13" s="49">
        <f>IF(OR(S13&lt;&gt;1,L13=""),"",COUNTIFS('LEADS'!$S$5:$S$504,1,'LEADS'!$L$5:$L$504,"&lt;"&amp;L13)+COUNTIFS($S$5:S13,1,$L$5:L13,L13))</f>
        <v/>
      </c>
    </row>
    <row r="14">
      <c r="A14" s="46" t="inlineStr">
        <is>
          <t>L-0010</t>
        </is>
      </c>
      <c r="B14" s="47" t="n">
        <v>46045</v>
      </c>
      <c r="C14" s="38" t="inlineStr">
        <is>
          <t>Dana Hartwell</t>
        </is>
      </c>
      <c r="D14" s="38" t="inlineStr">
        <is>
          <t>555-0158</t>
        </is>
      </c>
      <c r="E14" s="38" t="inlineStr">
        <is>
          <t>dana.hartwell@example.com</t>
        </is>
      </c>
      <c r="F14" s="38" t="inlineStr">
        <is>
          <t>Google Search</t>
        </is>
      </c>
      <c r="G14" s="38" t="inlineStr">
        <is>
          <t>Move-In/Move-Out</t>
        </is>
      </c>
      <c r="H14" s="38" t="inlineStr">
        <is>
          <t>Lakeview (fictional)</t>
        </is>
      </c>
      <c r="I14" s="48" t="n">
        <v>395</v>
      </c>
      <c r="J14" s="38" t="inlineStr">
        <is>
          <t>Lost/Declined</t>
        </is>
      </c>
      <c r="K14" s="47" t="n">
        <v>46053</v>
      </c>
      <c r="L14" s="47" t="n"/>
      <c r="M14" s="38" t="inlineStr">
        <is>
          <t>Timing / availability</t>
        </is>
      </c>
      <c r="N14" s="38" t="inlineStr"/>
      <c r="O14" s="49">
        <f>IF(C14="","",IF(OR(J14="Booked",J14="Recurring Client"),"Booked",IF(J14="Lost/Declined","Lost","Open")))</f>
        <v/>
      </c>
      <c r="P14" s="49">
        <f>IF(C14="","",IF(S14=0,"—",IF(L14="","Set date",IF(L14&lt;AsOf,"Overdue",IF(L14=AsOf,"Due today",IF(L14&lt;=AsOf+SoonDays,"Due soon","Scheduled"))))))</f>
        <v/>
      </c>
      <c r="Q14" s="50">
        <f>IF(C14="","",IF(B14="","",AsOf-B14))</f>
        <v/>
      </c>
      <c r="R14" s="49">
        <f>IF(C14="","",IF(O14&lt;&gt;"Booked","",IF(COUNTIF('CUSTOMERS'!$B$5:$B$404,C14)&gt;0,"✓ In CUSTOMERS","Add to CUSTOMERS")))</f>
        <v/>
      </c>
      <c r="S14" s="49">
        <f>IF(C14="","",IF(OR(J14="Booked",J14="Recurring Client",J14="Lost/Declined"),0,1))</f>
        <v/>
      </c>
      <c r="T14" s="51">
        <f>IF(B14="","",DATE(YEAR(B14),MONTH(B14),1))</f>
        <v/>
      </c>
      <c r="U14" s="49">
        <f>IF(OR(S14&lt;&gt;1,L14=""),"",COUNTIFS('LEADS'!$S$5:$S$504,1,'LEADS'!$L$5:$L$504,"&lt;"&amp;L14)+COUNTIFS($S$5:S14,1,$L$5:L14,L14))</f>
        <v/>
      </c>
    </row>
    <row r="15">
      <c r="A15" s="46" t="inlineStr">
        <is>
          <t>L-0011</t>
        </is>
      </c>
      <c r="B15" s="47" t="n">
        <v>46046</v>
      </c>
      <c r="C15" s="38" t="inlineStr">
        <is>
          <t>Parker Lockhart</t>
        </is>
      </c>
      <c r="D15" s="38" t="inlineStr">
        <is>
          <t>555-0132</t>
        </is>
      </c>
      <c r="E15" s="38" t="inlineStr">
        <is>
          <t>parker.lockhart@example.com</t>
        </is>
      </c>
      <c r="F15" s="38" t="inlineStr">
        <is>
          <t>Google Search</t>
        </is>
      </c>
      <c r="G15" s="38" t="inlineStr">
        <is>
          <t>Airbnb Turnover</t>
        </is>
      </c>
      <c r="H15" s="38" t="inlineStr">
        <is>
          <t>Sampletown</t>
        </is>
      </c>
      <c r="I15" s="48" t="n">
        <v>150</v>
      </c>
      <c r="J15" s="38" t="inlineStr">
        <is>
          <t>Booked</t>
        </is>
      </c>
      <c r="K15" s="47" t="n">
        <v>46047</v>
      </c>
      <c r="L15" s="47" t="n"/>
      <c r="M15" s="38" t="n"/>
      <c r="N15" s="38" t="inlineStr"/>
      <c r="O15" s="49">
        <f>IF(C15="","",IF(OR(J15="Booked",J15="Recurring Client"),"Booked",IF(J15="Lost/Declined","Lost","Open")))</f>
        <v/>
      </c>
      <c r="P15" s="49">
        <f>IF(C15="","",IF(S15=0,"—",IF(L15="","Set date",IF(L15&lt;AsOf,"Overdue",IF(L15=AsOf,"Due today",IF(L15&lt;=AsOf+SoonDays,"Due soon","Scheduled"))))))</f>
        <v/>
      </c>
      <c r="Q15" s="50">
        <f>IF(C15="","",IF(B15="","",AsOf-B15))</f>
        <v/>
      </c>
      <c r="R15" s="49">
        <f>IF(C15="","",IF(O15&lt;&gt;"Booked","",IF(COUNTIF('CUSTOMERS'!$B$5:$B$404,C15)&gt;0,"✓ In CUSTOMERS","Add to CUSTOMERS")))</f>
        <v/>
      </c>
      <c r="S15" s="49">
        <f>IF(C15="","",IF(OR(J15="Booked",J15="Recurring Client",J15="Lost/Declined"),0,1))</f>
        <v/>
      </c>
      <c r="T15" s="51">
        <f>IF(B15="","",DATE(YEAR(B15),MONTH(B15),1))</f>
        <v/>
      </c>
      <c r="U15" s="49">
        <f>IF(OR(S15&lt;&gt;1,L15=""),"",COUNTIFS('LEADS'!$S$5:$S$504,1,'LEADS'!$L$5:$L$504,"&lt;"&amp;L15)+COUNTIFS($S$5:S15,1,$L$5:L15,L15))</f>
        <v/>
      </c>
    </row>
    <row r="16">
      <c r="A16" s="46" t="inlineStr">
        <is>
          <t>L-0012</t>
        </is>
      </c>
      <c r="B16" s="47" t="n">
        <v>46049</v>
      </c>
      <c r="C16" s="38" t="inlineStr">
        <is>
          <t>Brightside Dental Studio (sample)</t>
        </is>
      </c>
      <c r="D16" s="38" t="inlineStr">
        <is>
          <t>555-0126</t>
        </is>
      </c>
      <c r="E16" s="38" t="inlineStr">
        <is>
          <t>brightside.dental.studio.(sample)@example.com</t>
        </is>
      </c>
      <c r="F16" s="38" t="inlineStr">
        <is>
          <t>Referral</t>
        </is>
      </c>
      <c r="G16" s="38" t="inlineStr">
        <is>
          <t>Commercial Clean</t>
        </is>
      </c>
      <c r="H16" s="38" t="inlineStr">
        <is>
          <t>North Sampletown</t>
        </is>
      </c>
      <c r="I16" s="48" t="n">
        <v>100</v>
      </c>
      <c r="J16" s="38" t="inlineStr">
        <is>
          <t>Recurring Client</t>
        </is>
      </c>
      <c r="K16" s="47" t="n">
        <v>46050</v>
      </c>
      <c r="L16" s="47" t="n"/>
      <c r="M16" s="38" t="n"/>
      <c r="N16" s="38" t="inlineStr"/>
      <c r="O16" s="49">
        <f>IF(C16="","",IF(OR(J16="Booked",J16="Recurring Client"),"Booked",IF(J16="Lost/Declined","Lost","Open")))</f>
        <v/>
      </c>
      <c r="P16" s="49">
        <f>IF(C16="","",IF(S16=0,"—",IF(L16="","Set date",IF(L16&lt;AsOf,"Overdue",IF(L16=AsOf,"Due today",IF(L16&lt;=AsOf+SoonDays,"Due soon","Scheduled"))))))</f>
        <v/>
      </c>
      <c r="Q16" s="50">
        <f>IF(C16="","",IF(B16="","",AsOf-B16))</f>
        <v/>
      </c>
      <c r="R16" s="49">
        <f>IF(C16="","",IF(O16&lt;&gt;"Booked","",IF(COUNTIF('CUSTOMERS'!$B$5:$B$404,C16)&gt;0,"✓ In CUSTOMERS","Add to CUSTOMERS")))</f>
        <v/>
      </c>
      <c r="S16" s="49">
        <f>IF(C16="","",IF(OR(J16="Booked",J16="Recurring Client",J16="Lost/Declined"),0,1))</f>
        <v/>
      </c>
      <c r="T16" s="51">
        <f>IF(B16="","",DATE(YEAR(B16),MONTH(B16),1))</f>
        <v/>
      </c>
      <c r="U16" s="49">
        <f>IF(OR(S16&lt;&gt;1,L16=""),"",COUNTIFS('LEADS'!$S$5:$S$504,1,'LEADS'!$L$5:$L$504,"&lt;"&amp;L16)+COUNTIFS($S$5:S16,1,$L$5:L16,L16))</f>
        <v/>
      </c>
    </row>
    <row r="17">
      <c r="A17" s="46" t="inlineStr">
        <is>
          <t>L-0013</t>
        </is>
      </c>
      <c r="B17" s="47" t="n">
        <v>46050</v>
      </c>
      <c r="C17" s="38" t="inlineStr">
        <is>
          <t>Wren Porter</t>
        </is>
      </c>
      <c r="D17" s="38" t="inlineStr">
        <is>
          <t>555-0123</t>
        </is>
      </c>
      <c r="E17" s="38" t="inlineStr">
        <is>
          <t>wren.porter@example.com</t>
        </is>
      </c>
      <c r="F17" s="38" t="inlineStr">
        <is>
          <t>Referral</t>
        </is>
      </c>
      <c r="G17" s="38" t="inlineStr">
        <is>
          <t>Deep Clean</t>
        </is>
      </c>
      <c r="H17" s="38" t="inlineStr">
        <is>
          <t>North Sampletown</t>
        </is>
      </c>
      <c r="I17" s="48" t="n">
        <v>685</v>
      </c>
      <c r="J17" s="38" t="inlineStr">
        <is>
          <t>Booked</t>
        </is>
      </c>
      <c r="K17" s="47" t="n">
        <v>46051</v>
      </c>
      <c r="L17" s="47" t="n"/>
      <c r="M17" s="38" t="n"/>
      <c r="N17" s="38" t="inlineStr"/>
      <c r="O17" s="49">
        <f>IF(C17="","",IF(OR(J17="Booked",J17="Recurring Client"),"Booked",IF(J17="Lost/Declined","Lost","Open")))</f>
        <v/>
      </c>
      <c r="P17" s="49">
        <f>IF(C17="","",IF(S17=0,"—",IF(L17="","Set date",IF(L17&lt;AsOf,"Overdue",IF(L17=AsOf,"Due today",IF(L17&lt;=AsOf+SoonDays,"Due soon","Scheduled"))))))</f>
        <v/>
      </c>
      <c r="Q17" s="50">
        <f>IF(C17="","",IF(B17="","",AsOf-B17))</f>
        <v/>
      </c>
      <c r="R17" s="49">
        <f>IF(C17="","",IF(O17&lt;&gt;"Booked","",IF(COUNTIF('CUSTOMERS'!$B$5:$B$404,C17)&gt;0,"✓ In CUSTOMERS","Add to CUSTOMERS")))</f>
        <v/>
      </c>
      <c r="S17" s="49">
        <f>IF(C17="","",IF(OR(J17="Booked",J17="Recurring Client",J17="Lost/Declined"),0,1))</f>
        <v/>
      </c>
      <c r="T17" s="51">
        <f>IF(B17="","",DATE(YEAR(B17),MONTH(B17),1))</f>
        <v/>
      </c>
      <c r="U17" s="49">
        <f>IF(OR(S17&lt;&gt;1,L17=""),"",COUNTIFS('LEADS'!$S$5:$S$504,1,'LEADS'!$L$5:$L$504,"&lt;"&amp;L17)+COUNTIFS($S$5:S17,1,$L$5:L17,L17))</f>
        <v/>
      </c>
    </row>
    <row r="18">
      <c r="A18" s="46" t="inlineStr">
        <is>
          <t>L-0014</t>
        </is>
      </c>
      <c r="B18" s="47" t="n">
        <v>46052</v>
      </c>
      <c r="C18" s="38" t="inlineStr">
        <is>
          <t>Dana Delgado</t>
        </is>
      </c>
      <c r="D18" s="38" t="inlineStr">
        <is>
          <t>555-0163</t>
        </is>
      </c>
      <c r="E18" s="38" t="inlineStr">
        <is>
          <t>dana.delgado@example.com</t>
        </is>
      </c>
      <c r="F18" s="38" t="inlineStr">
        <is>
          <t>Google Business Profile</t>
        </is>
      </c>
      <c r="G18" s="38" t="inlineStr">
        <is>
          <t>Airbnb Turnover</t>
        </is>
      </c>
      <c r="H18" s="38" t="inlineStr">
        <is>
          <t>Riverbend (fictional)</t>
        </is>
      </c>
      <c r="I18" s="48" t="n"/>
      <c r="J18" s="38" t="inlineStr">
        <is>
          <t>Lost/Declined</t>
        </is>
      </c>
      <c r="K18" s="47" t="n">
        <v>46057</v>
      </c>
      <c r="L18" s="47" t="n"/>
      <c r="M18" s="38" t="inlineStr">
        <is>
          <t>No response</t>
        </is>
      </c>
      <c r="N18" s="38" t="inlineStr"/>
      <c r="O18" s="49">
        <f>IF(C18="","",IF(OR(J18="Booked",J18="Recurring Client"),"Booked",IF(J18="Lost/Declined","Lost","Open")))</f>
        <v/>
      </c>
      <c r="P18" s="49">
        <f>IF(C18="","",IF(S18=0,"—",IF(L18="","Set date",IF(L18&lt;AsOf,"Overdue",IF(L18=AsOf,"Due today",IF(L18&lt;=AsOf+SoonDays,"Due soon","Scheduled"))))))</f>
        <v/>
      </c>
      <c r="Q18" s="50">
        <f>IF(C18="","",IF(B18="","",AsOf-B18))</f>
        <v/>
      </c>
      <c r="R18" s="49">
        <f>IF(C18="","",IF(O18&lt;&gt;"Booked","",IF(COUNTIF('CUSTOMERS'!$B$5:$B$404,C18)&gt;0,"✓ In CUSTOMERS","Add to CUSTOMERS")))</f>
        <v/>
      </c>
      <c r="S18" s="49">
        <f>IF(C18="","",IF(OR(J18="Booked",J18="Recurring Client",J18="Lost/Declined"),0,1))</f>
        <v/>
      </c>
      <c r="T18" s="51">
        <f>IF(B18="","",DATE(YEAR(B18),MONTH(B18),1))</f>
        <v/>
      </c>
      <c r="U18" s="49">
        <f>IF(OR(S18&lt;&gt;1,L18=""),"",COUNTIFS('LEADS'!$S$5:$S$504,1,'LEADS'!$L$5:$L$504,"&lt;"&amp;L18)+COUNTIFS($S$5:S18,1,$L$5:L18,L18))</f>
        <v/>
      </c>
    </row>
    <row r="19">
      <c r="A19" s="46" t="inlineStr">
        <is>
          <t>L-0015</t>
        </is>
      </c>
      <c r="B19" s="47" t="n">
        <v>46055</v>
      </c>
      <c r="C19" s="38" t="inlineStr">
        <is>
          <t>Peyton Thornbury</t>
        </is>
      </c>
      <c r="D19" s="38" t="inlineStr">
        <is>
          <t>555-0157</t>
        </is>
      </c>
      <c r="E19" s="38" t="inlineStr">
        <is>
          <t>peyton.thornbury@example.com</t>
        </is>
      </c>
      <c r="F19" s="38" t="inlineStr">
        <is>
          <t>Referral</t>
        </is>
      </c>
      <c r="G19" s="38" t="inlineStr">
        <is>
          <t>Standard Clean</t>
        </is>
      </c>
      <c r="H19" s="38" t="inlineStr">
        <is>
          <t>Lakeview (fictional)</t>
        </is>
      </c>
      <c r="I19" s="48" t="n">
        <v>285</v>
      </c>
      <c r="J19" s="38" t="inlineStr">
        <is>
          <t>Lost/Declined</t>
        </is>
      </c>
      <c r="K19" s="47" t="n">
        <v>46060</v>
      </c>
      <c r="L19" s="47" t="n"/>
      <c r="M19" s="38" t="inlineStr">
        <is>
          <t>No response</t>
        </is>
      </c>
      <c r="N19" s="38" t="inlineStr"/>
      <c r="O19" s="49">
        <f>IF(C19="","",IF(OR(J19="Booked",J19="Recurring Client"),"Booked",IF(J19="Lost/Declined","Lost","Open")))</f>
        <v/>
      </c>
      <c r="P19" s="49">
        <f>IF(C19="","",IF(S19=0,"—",IF(L19="","Set date",IF(L19&lt;AsOf,"Overdue",IF(L19=AsOf,"Due today",IF(L19&lt;=AsOf+SoonDays,"Due soon","Scheduled"))))))</f>
        <v/>
      </c>
      <c r="Q19" s="50">
        <f>IF(C19="","",IF(B19="","",AsOf-B19))</f>
        <v/>
      </c>
      <c r="R19" s="49">
        <f>IF(C19="","",IF(O19&lt;&gt;"Booked","",IF(COUNTIF('CUSTOMERS'!$B$5:$B$404,C19)&gt;0,"✓ In CUSTOMERS","Add to CUSTOMERS")))</f>
        <v/>
      </c>
      <c r="S19" s="49">
        <f>IF(C19="","",IF(OR(J19="Booked",J19="Recurring Client",J19="Lost/Declined"),0,1))</f>
        <v/>
      </c>
      <c r="T19" s="51">
        <f>IF(B19="","",DATE(YEAR(B19),MONTH(B19),1))</f>
        <v/>
      </c>
      <c r="U19" s="49">
        <f>IF(OR(S19&lt;&gt;1,L19=""),"",COUNTIFS('LEADS'!$S$5:$S$504,1,'LEADS'!$L$5:$L$504,"&lt;"&amp;L19)+COUNTIFS($S$5:S19,1,$L$5:L19,L19))</f>
        <v/>
      </c>
    </row>
    <row r="20">
      <c r="A20" s="46" t="inlineStr">
        <is>
          <t>L-0016</t>
        </is>
      </c>
      <c r="B20" s="47" t="n">
        <v>46062</v>
      </c>
      <c r="C20" s="38" t="inlineStr">
        <is>
          <t>Drew Underhill</t>
        </is>
      </c>
      <c r="D20" s="38" t="inlineStr">
        <is>
          <t>555-0145</t>
        </is>
      </c>
      <c r="E20" s="38" t="inlineStr">
        <is>
          <t>drew.underhill@example.com</t>
        </is>
      </c>
      <c r="F20" s="38" t="inlineStr">
        <is>
          <t>Flyer / Door Hanger</t>
        </is>
      </c>
      <c r="G20" s="38" t="inlineStr">
        <is>
          <t>Move-In/Move-Out</t>
        </is>
      </c>
      <c r="H20" s="38" t="inlineStr">
        <is>
          <t>Riverbend (fictional)</t>
        </is>
      </c>
      <c r="I20" s="48" t="n">
        <v>395</v>
      </c>
      <c r="J20" s="38" t="inlineStr">
        <is>
          <t>Lost/Declined</t>
        </is>
      </c>
      <c r="K20" s="47" t="n">
        <v>46068</v>
      </c>
      <c r="L20" s="47" t="n"/>
      <c r="M20" s="38" t="inlineStr">
        <is>
          <t>Outside service area</t>
        </is>
      </c>
      <c r="N20" s="38" t="inlineStr"/>
      <c r="O20" s="49">
        <f>IF(C20="","",IF(OR(J20="Booked",J20="Recurring Client"),"Booked",IF(J20="Lost/Declined","Lost","Open")))</f>
        <v/>
      </c>
      <c r="P20" s="49">
        <f>IF(C20="","",IF(S20=0,"—",IF(L20="","Set date",IF(L20&lt;AsOf,"Overdue",IF(L20=AsOf,"Due today",IF(L20&lt;=AsOf+SoonDays,"Due soon","Scheduled"))))))</f>
        <v/>
      </c>
      <c r="Q20" s="50">
        <f>IF(C20="","",IF(B20="","",AsOf-B20))</f>
        <v/>
      </c>
      <c r="R20" s="49">
        <f>IF(C20="","",IF(O20&lt;&gt;"Booked","",IF(COUNTIF('CUSTOMERS'!$B$5:$B$404,C20)&gt;0,"✓ In CUSTOMERS","Add to CUSTOMERS")))</f>
        <v/>
      </c>
      <c r="S20" s="49">
        <f>IF(C20="","",IF(OR(J20="Booked",J20="Recurring Client",J20="Lost/Declined"),0,1))</f>
        <v/>
      </c>
      <c r="T20" s="51">
        <f>IF(B20="","",DATE(YEAR(B20),MONTH(B20),1))</f>
        <v/>
      </c>
      <c r="U20" s="49">
        <f>IF(OR(S20&lt;&gt;1,L20=""),"",COUNTIFS('LEADS'!$S$5:$S$504,1,'LEADS'!$L$5:$L$504,"&lt;"&amp;L20)+COUNTIFS($S$5:S20,1,$L$5:L20,L20))</f>
        <v/>
      </c>
    </row>
    <row r="21">
      <c r="A21" s="46" t="inlineStr">
        <is>
          <t>L-0017</t>
        </is>
      </c>
      <c r="B21" s="47" t="n">
        <v>46067</v>
      </c>
      <c r="C21" s="38" t="inlineStr">
        <is>
          <t>Arden Northcott</t>
        </is>
      </c>
      <c r="D21" s="38" t="inlineStr">
        <is>
          <t>555-0155</t>
        </is>
      </c>
      <c r="E21" s="38" t="inlineStr">
        <is>
          <t>arden.northcott@example.com</t>
        </is>
      </c>
      <c r="F21" s="38" t="inlineStr">
        <is>
          <t>Referral</t>
        </is>
      </c>
      <c r="G21" s="38" t="inlineStr">
        <is>
          <t>Move-In/Move-Out</t>
        </is>
      </c>
      <c r="H21" s="38" t="inlineStr">
        <is>
          <t>Lakeview (fictional)</t>
        </is>
      </c>
      <c r="I21" s="48" t="n"/>
      <c r="J21" s="38" t="inlineStr">
        <is>
          <t>Lost/Declined</t>
        </is>
      </c>
      <c r="K21" s="47" t="n">
        <v>46069</v>
      </c>
      <c r="L21" s="47" t="n"/>
      <c r="M21" s="38" t="inlineStr">
        <is>
          <t>Price</t>
        </is>
      </c>
      <c r="N21" s="38" t="inlineStr"/>
      <c r="O21" s="49">
        <f>IF(C21="","",IF(OR(J21="Booked",J21="Recurring Client"),"Booked",IF(J21="Lost/Declined","Lost","Open")))</f>
        <v/>
      </c>
      <c r="P21" s="49">
        <f>IF(C21="","",IF(S21=0,"—",IF(L21="","Set date",IF(L21&lt;AsOf,"Overdue",IF(L21=AsOf,"Due today",IF(L21&lt;=AsOf+SoonDays,"Due soon","Scheduled"))))))</f>
        <v/>
      </c>
      <c r="Q21" s="50">
        <f>IF(C21="","",IF(B21="","",AsOf-B21))</f>
        <v/>
      </c>
      <c r="R21" s="49">
        <f>IF(C21="","",IF(O21&lt;&gt;"Booked","",IF(COUNTIF('CUSTOMERS'!$B$5:$B$404,C21)&gt;0,"✓ In CUSTOMERS","Add to CUSTOMERS")))</f>
        <v/>
      </c>
      <c r="S21" s="49">
        <f>IF(C21="","",IF(OR(J21="Booked",J21="Recurring Client",J21="Lost/Declined"),0,1))</f>
        <v/>
      </c>
      <c r="T21" s="51">
        <f>IF(B21="","",DATE(YEAR(B21),MONTH(B21),1))</f>
        <v/>
      </c>
      <c r="U21" s="49">
        <f>IF(OR(S21&lt;&gt;1,L21=""),"",COUNTIFS('LEADS'!$S$5:$S$504,1,'LEADS'!$L$5:$L$504,"&lt;"&amp;L21)+COUNTIFS($S$5:S21,1,$L$5:L21,L21))</f>
        <v/>
      </c>
    </row>
    <row r="22">
      <c r="A22" s="46" t="inlineStr">
        <is>
          <t>L-0018</t>
        </is>
      </c>
      <c r="B22" s="47" t="n">
        <v>46068</v>
      </c>
      <c r="C22" s="38" t="inlineStr">
        <is>
          <t>Skyler Winslow</t>
        </is>
      </c>
      <c r="D22" s="38" t="inlineStr">
        <is>
          <t>555-0146</t>
        </is>
      </c>
      <c r="E22" s="38" t="inlineStr">
        <is>
          <t>skyler.winslow@example.com</t>
        </is>
      </c>
      <c r="F22" s="38" t="inlineStr">
        <is>
          <t>Facebook</t>
        </is>
      </c>
      <c r="G22" s="38" t="inlineStr">
        <is>
          <t>Airbnb Turnover</t>
        </is>
      </c>
      <c r="H22" s="38" t="inlineStr">
        <is>
          <t>North Sampletown</t>
        </is>
      </c>
      <c r="I22" s="48" t="n">
        <v>395</v>
      </c>
      <c r="J22" s="38" t="inlineStr">
        <is>
          <t>Lost/Declined</t>
        </is>
      </c>
      <c r="K22" s="47" t="n">
        <v>46070</v>
      </c>
      <c r="L22" s="47" t="n"/>
      <c r="M22" s="38" t="inlineStr">
        <is>
          <t>Timing / availability</t>
        </is>
      </c>
      <c r="N22" s="38" t="inlineStr"/>
      <c r="O22" s="49">
        <f>IF(C22="","",IF(OR(J22="Booked",J22="Recurring Client"),"Booked",IF(J22="Lost/Declined","Lost","Open")))</f>
        <v/>
      </c>
      <c r="P22" s="49">
        <f>IF(C22="","",IF(S22=0,"—",IF(L22="","Set date",IF(L22&lt;AsOf,"Overdue",IF(L22=AsOf,"Due today",IF(L22&lt;=AsOf+SoonDays,"Due soon","Scheduled"))))))</f>
        <v/>
      </c>
      <c r="Q22" s="50">
        <f>IF(C22="","",IF(B22="","",AsOf-B22))</f>
        <v/>
      </c>
      <c r="R22" s="49">
        <f>IF(C22="","",IF(O22&lt;&gt;"Booked","",IF(COUNTIF('CUSTOMERS'!$B$5:$B$404,C22)&gt;0,"✓ In CUSTOMERS","Add to CUSTOMERS")))</f>
        <v/>
      </c>
      <c r="S22" s="49">
        <f>IF(C22="","",IF(OR(J22="Booked",J22="Recurring Client",J22="Lost/Declined"),0,1))</f>
        <v/>
      </c>
      <c r="T22" s="51">
        <f>IF(B22="","",DATE(YEAR(B22),MONTH(B22),1))</f>
        <v/>
      </c>
      <c r="U22" s="49">
        <f>IF(OR(S22&lt;&gt;1,L22=""),"",COUNTIFS('LEADS'!$S$5:$S$504,1,'LEADS'!$L$5:$L$504,"&lt;"&amp;L22)+COUNTIFS($S$5:S22,1,$L$5:L22,L22))</f>
        <v/>
      </c>
    </row>
    <row r="23">
      <c r="A23" s="46" t="inlineStr">
        <is>
          <t>L-0019</t>
        </is>
      </c>
      <c r="B23" s="47" t="n">
        <v>46073</v>
      </c>
      <c r="C23" s="38" t="inlineStr">
        <is>
          <t>Crescent Property Group (sample)</t>
        </is>
      </c>
      <c r="D23" s="38" t="inlineStr">
        <is>
          <t>555-0133</t>
        </is>
      </c>
      <c r="E23" s="38" t="inlineStr">
        <is>
          <t>crescent.property.group.(sample)@example.com</t>
        </is>
      </c>
      <c r="F23" s="38" t="inlineStr">
        <is>
          <t>Google Business Profile</t>
        </is>
      </c>
      <c r="G23" s="38" t="inlineStr">
        <is>
          <t>Move-In/Move-Out</t>
        </is>
      </c>
      <c r="H23" s="38" t="inlineStr">
        <is>
          <t>North Sampletown</t>
        </is>
      </c>
      <c r="I23" s="48" t="n">
        <v>300</v>
      </c>
      <c r="J23" s="38" t="inlineStr">
        <is>
          <t>Booked</t>
        </is>
      </c>
      <c r="K23" s="47" t="n">
        <v>46074</v>
      </c>
      <c r="L23" s="47" t="n"/>
      <c r="M23" s="38" t="n"/>
      <c r="N23" s="38" t="inlineStr"/>
      <c r="O23" s="49">
        <f>IF(C23="","",IF(OR(J23="Booked",J23="Recurring Client"),"Booked",IF(J23="Lost/Declined","Lost","Open")))</f>
        <v/>
      </c>
      <c r="P23" s="49">
        <f>IF(C23="","",IF(S23=0,"—",IF(L23="","Set date",IF(L23&lt;AsOf,"Overdue",IF(L23=AsOf,"Due today",IF(L23&lt;=AsOf+SoonDays,"Due soon","Scheduled"))))))</f>
        <v/>
      </c>
      <c r="Q23" s="50">
        <f>IF(C23="","",IF(B23="","",AsOf-B23))</f>
        <v/>
      </c>
      <c r="R23" s="49">
        <f>IF(C23="","",IF(O23&lt;&gt;"Booked","",IF(COUNTIF('CUSTOMERS'!$B$5:$B$404,C23)&gt;0,"✓ In CUSTOMERS","Add to CUSTOMERS")))</f>
        <v/>
      </c>
      <c r="S23" s="49">
        <f>IF(C23="","",IF(OR(J23="Booked",J23="Recurring Client",J23="Lost/Declined"),0,1))</f>
        <v/>
      </c>
      <c r="T23" s="51">
        <f>IF(B23="","",DATE(YEAR(B23),MONTH(B23),1))</f>
        <v/>
      </c>
      <c r="U23" s="49">
        <f>IF(OR(S23&lt;&gt;1,L23=""),"",COUNTIFS('LEADS'!$S$5:$S$504,1,'LEADS'!$L$5:$L$504,"&lt;"&amp;L23)+COUNTIFS($S$5:S23,1,$L$5:L23,L23))</f>
        <v/>
      </c>
    </row>
    <row r="24">
      <c r="A24" s="46" t="inlineStr">
        <is>
          <t>L-0020</t>
        </is>
      </c>
      <c r="B24" s="47" t="n">
        <v>46075</v>
      </c>
      <c r="C24" s="38" t="inlineStr">
        <is>
          <t>Rory Vance</t>
        </is>
      </c>
      <c r="D24" s="38" t="inlineStr">
        <is>
          <t>555-0140</t>
        </is>
      </c>
      <c r="E24" s="38" t="inlineStr">
        <is>
          <t>rory.vance@example.com</t>
        </is>
      </c>
      <c r="F24" s="38" t="inlineStr">
        <is>
          <t>Google Business Profile</t>
        </is>
      </c>
      <c r="G24" s="38" t="inlineStr">
        <is>
          <t>Airbnb Turnover</t>
        </is>
      </c>
      <c r="H24" s="38" t="inlineStr">
        <is>
          <t>Old Mill District</t>
        </is>
      </c>
      <c r="I24" s="48" t="n">
        <v>395</v>
      </c>
      <c r="J24" s="38" t="inlineStr">
        <is>
          <t>Lost/Declined</t>
        </is>
      </c>
      <c r="K24" s="47" t="n">
        <v>46078</v>
      </c>
      <c r="L24" s="47" t="n"/>
      <c r="M24" s="38" t="inlineStr">
        <is>
          <t>Timing / availability</t>
        </is>
      </c>
      <c r="N24" s="38" t="inlineStr"/>
      <c r="O24" s="49">
        <f>IF(C24="","",IF(OR(J24="Booked",J24="Recurring Client"),"Booked",IF(J24="Lost/Declined","Lost","Open")))</f>
        <v/>
      </c>
      <c r="P24" s="49">
        <f>IF(C24="","",IF(S24=0,"—",IF(L24="","Set date",IF(L24&lt;AsOf,"Overdue",IF(L24=AsOf,"Due today",IF(L24&lt;=AsOf+SoonDays,"Due soon","Scheduled"))))))</f>
        <v/>
      </c>
      <c r="Q24" s="50">
        <f>IF(C24="","",IF(B24="","",AsOf-B24))</f>
        <v/>
      </c>
      <c r="R24" s="49">
        <f>IF(C24="","",IF(O24&lt;&gt;"Booked","",IF(COUNTIF('CUSTOMERS'!$B$5:$B$404,C24)&gt;0,"✓ In CUSTOMERS","Add to CUSTOMERS")))</f>
        <v/>
      </c>
      <c r="S24" s="49">
        <f>IF(C24="","",IF(OR(J24="Booked",J24="Recurring Client",J24="Lost/Declined"),0,1))</f>
        <v/>
      </c>
      <c r="T24" s="51">
        <f>IF(B24="","",DATE(YEAR(B24),MONTH(B24),1))</f>
        <v/>
      </c>
      <c r="U24" s="49">
        <f>IF(OR(S24&lt;&gt;1,L24=""),"",COUNTIFS('LEADS'!$S$5:$S$504,1,'LEADS'!$L$5:$L$504,"&lt;"&amp;L24)+COUNTIFS($S$5:S24,1,$L$5:L24,L24))</f>
        <v/>
      </c>
    </row>
    <row r="25">
      <c r="A25" s="46" t="inlineStr">
        <is>
          <t>L-0021</t>
        </is>
      </c>
      <c r="B25" s="47" t="n">
        <v>46079</v>
      </c>
      <c r="C25" s="38" t="inlineStr">
        <is>
          <t>Peyton Underhill</t>
        </is>
      </c>
      <c r="D25" s="38" t="inlineStr">
        <is>
          <t>555-0114</t>
        </is>
      </c>
      <c r="E25" s="38" t="inlineStr">
        <is>
          <t>peyton.underhill@example.com</t>
        </is>
      </c>
      <c r="F25" s="38" t="inlineStr">
        <is>
          <t>Referral</t>
        </is>
      </c>
      <c r="G25" s="38" t="inlineStr">
        <is>
          <t>Deep Clean</t>
        </is>
      </c>
      <c r="H25" s="38" t="inlineStr">
        <is>
          <t>Sampletown</t>
        </is>
      </c>
      <c r="I25" s="48" t="n">
        <v>300</v>
      </c>
      <c r="J25" s="38" t="inlineStr">
        <is>
          <t>Booked</t>
        </is>
      </c>
      <c r="K25" s="47" t="n">
        <v>46080</v>
      </c>
      <c r="L25" s="47" t="n"/>
      <c r="M25" s="38" t="n"/>
      <c r="N25" s="38" t="inlineStr"/>
      <c r="O25" s="49">
        <f>IF(C25="","",IF(OR(J25="Booked",J25="Recurring Client"),"Booked",IF(J25="Lost/Declined","Lost","Open")))</f>
        <v/>
      </c>
      <c r="P25" s="49">
        <f>IF(C25="","",IF(S25=0,"—",IF(L25="","Set date",IF(L25&lt;AsOf,"Overdue",IF(L25=AsOf,"Due today",IF(L25&lt;=AsOf+SoonDays,"Due soon","Scheduled"))))))</f>
        <v/>
      </c>
      <c r="Q25" s="50">
        <f>IF(C25="","",IF(B25="","",AsOf-B25))</f>
        <v/>
      </c>
      <c r="R25" s="49">
        <f>IF(C25="","",IF(O25&lt;&gt;"Booked","",IF(COUNTIF('CUSTOMERS'!$B$5:$B$404,C25)&gt;0,"✓ In CUSTOMERS","Add to CUSTOMERS")))</f>
        <v/>
      </c>
      <c r="S25" s="49">
        <f>IF(C25="","",IF(OR(J25="Booked",J25="Recurring Client",J25="Lost/Declined"),0,1))</f>
        <v/>
      </c>
      <c r="T25" s="51">
        <f>IF(B25="","",DATE(YEAR(B25),MONTH(B25),1))</f>
        <v/>
      </c>
      <c r="U25" s="49">
        <f>IF(OR(S25&lt;&gt;1,L25=""),"",COUNTIFS('LEADS'!$S$5:$S$504,1,'LEADS'!$L$5:$L$504,"&lt;"&amp;L25)+COUNTIFS($S$5:S25,1,$L$5:L25,L25))</f>
        <v/>
      </c>
    </row>
    <row r="26">
      <c r="A26" s="46" t="inlineStr">
        <is>
          <t>L-0022</t>
        </is>
      </c>
      <c r="B26" s="47" t="n">
        <v>46080</v>
      </c>
      <c r="C26" s="38" t="inlineStr">
        <is>
          <t>Noel Hayes</t>
        </is>
      </c>
      <c r="D26" s="38" t="inlineStr">
        <is>
          <t>555-0135</t>
        </is>
      </c>
      <c r="E26" s="38" t="inlineStr">
        <is>
          <t>noel.hayes@example.com</t>
        </is>
      </c>
      <c r="F26" s="38" t="inlineStr">
        <is>
          <t>Referral</t>
        </is>
      </c>
      <c r="G26" s="38" t="inlineStr">
        <is>
          <t>Standard Clean</t>
        </is>
      </c>
      <c r="H26" s="38" t="inlineStr">
        <is>
          <t>Sampletown</t>
        </is>
      </c>
      <c r="I26" s="48" t="n">
        <v>160</v>
      </c>
      <c r="J26" s="38" t="inlineStr">
        <is>
          <t>Lost/Declined</t>
        </is>
      </c>
      <c r="K26" s="47" t="n">
        <v>46085</v>
      </c>
      <c r="L26" s="47" t="n"/>
      <c r="M26" s="38" t="inlineStr">
        <is>
          <t>Timing / availability</t>
        </is>
      </c>
      <c r="N26" s="38" t="inlineStr"/>
      <c r="O26" s="49">
        <f>IF(C26="","",IF(OR(J26="Booked",J26="Recurring Client"),"Booked",IF(J26="Lost/Declined","Lost","Open")))</f>
        <v/>
      </c>
      <c r="P26" s="49">
        <f>IF(C26="","",IF(S26=0,"—",IF(L26="","Set date",IF(L26&lt;AsOf,"Overdue",IF(L26=AsOf,"Due today",IF(L26&lt;=AsOf+SoonDays,"Due soon","Scheduled"))))))</f>
        <v/>
      </c>
      <c r="Q26" s="50">
        <f>IF(C26="","",IF(B26="","",AsOf-B26))</f>
        <v/>
      </c>
      <c r="R26" s="49">
        <f>IF(C26="","",IF(O26&lt;&gt;"Booked","",IF(COUNTIF('CUSTOMERS'!$B$5:$B$404,C26)&gt;0,"✓ In CUSTOMERS","Add to CUSTOMERS")))</f>
        <v/>
      </c>
      <c r="S26" s="49">
        <f>IF(C26="","",IF(OR(J26="Booked",J26="Recurring Client",J26="Lost/Declined"),0,1))</f>
        <v/>
      </c>
      <c r="T26" s="51">
        <f>IF(B26="","",DATE(YEAR(B26),MONTH(B26),1))</f>
        <v/>
      </c>
      <c r="U26" s="49">
        <f>IF(OR(S26&lt;&gt;1,L26=""),"",COUNTIFS('LEADS'!$S$5:$S$504,1,'LEADS'!$L$5:$L$504,"&lt;"&amp;L26)+COUNTIFS($S$5:S26,1,$L$5:L26,L26))</f>
        <v/>
      </c>
    </row>
    <row r="27">
      <c r="A27" s="46" t="inlineStr">
        <is>
          <t>L-0023</t>
        </is>
      </c>
      <c r="B27" s="47" t="n">
        <v>46086</v>
      </c>
      <c r="C27" s="38" t="inlineStr">
        <is>
          <t>Harbor Yoga Loft (sample)</t>
        </is>
      </c>
      <c r="D27" s="38" t="inlineStr">
        <is>
          <t>555-0128</t>
        </is>
      </c>
      <c r="E27" s="38" t="inlineStr">
        <is>
          <t>harbor.yoga.loft.(sample)@example.com</t>
        </is>
      </c>
      <c r="F27" s="38" t="inlineStr">
        <is>
          <t>Nextdoor</t>
        </is>
      </c>
      <c r="G27" s="38" t="inlineStr">
        <is>
          <t>Commercial Clean</t>
        </is>
      </c>
      <c r="H27" s="38" t="inlineStr">
        <is>
          <t>Sampletown</t>
        </is>
      </c>
      <c r="I27" s="48" t="n">
        <v>160</v>
      </c>
      <c r="J27" s="38" t="inlineStr">
        <is>
          <t>Booked</t>
        </is>
      </c>
      <c r="K27" s="47" t="n">
        <v>46087</v>
      </c>
      <c r="L27" s="47" t="n"/>
      <c r="M27" s="38" t="n"/>
      <c r="N27" s="38" t="inlineStr"/>
      <c r="O27" s="49">
        <f>IF(C27="","",IF(OR(J27="Booked",J27="Recurring Client"),"Booked",IF(J27="Lost/Declined","Lost","Open")))</f>
        <v/>
      </c>
      <c r="P27" s="49">
        <f>IF(C27="","",IF(S27=0,"—",IF(L27="","Set date",IF(L27&lt;AsOf,"Overdue",IF(L27=AsOf,"Due today",IF(L27&lt;=AsOf+SoonDays,"Due soon","Scheduled"))))))</f>
        <v/>
      </c>
      <c r="Q27" s="50">
        <f>IF(C27="","",IF(B27="","",AsOf-B27))</f>
        <v/>
      </c>
      <c r="R27" s="49">
        <f>IF(C27="","",IF(O27&lt;&gt;"Booked","",IF(COUNTIF('CUSTOMERS'!$B$5:$B$404,C27)&gt;0,"✓ In CUSTOMERS","Add to CUSTOMERS")))</f>
        <v/>
      </c>
      <c r="S27" s="49">
        <f>IF(C27="","",IF(OR(J27="Booked",J27="Recurring Client",J27="Lost/Declined"),0,1))</f>
        <v/>
      </c>
      <c r="T27" s="51">
        <f>IF(B27="","",DATE(YEAR(B27),MONTH(B27),1))</f>
        <v/>
      </c>
      <c r="U27" s="49">
        <f>IF(OR(S27&lt;&gt;1,L27=""),"",COUNTIFS('LEADS'!$S$5:$S$504,1,'LEADS'!$L$5:$L$504,"&lt;"&amp;L27)+COUNTIFS($S$5:S27,1,$L$5:L27,L27))</f>
        <v/>
      </c>
    </row>
    <row r="28">
      <c r="A28" s="46" t="inlineStr">
        <is>
          <t>L-0024</t>
        </is>
      </c>
      <c r="B28" s="47" t="n">
        <v>46086</v>
      </c>
      <c r="C28" s="38" t="inlineStr">
        <is>
          <t>Avery Brightwater</t>
        </is>
      </c>
      <c r="D28" s="38" t="inlineStr">
        <is>
          <t>555-0159</t>
        </is>
      </c>
      <c r="E28" s="38" t="inlineStr">
        <is>
          <t>avery.brightwater@example.com</t>
        </is>
      </c>
      <c r="F28" s="38" t="inlineStr">
        <is>
          <t>Website Form</t>
        </is>
      </c>
      <c r="G28" s="38" t="inlineStr">
        <is>
          <t>Airbnb Turnover</t>
        </is>
      </c>
      <c r="H28" s="38" t="inlineStr">
        <is>
          <t>Riverbend (fictional)</t>
        </is>
      </c>
      <c r="I28" s="48" t="n">
        <v>340</v>
      </c>
      <c r="J28" s="38" t="inlineStr">
        <is>
          <t>Lost/Declined</t>
        </is>
      </c>
      <c r="K28" s="47" t="n">
        <v>46090</v>
      </c>
      <c r="L28" s="47" t="n"/>
      <c r="M28" s="38" t="inlineStr">
        <is>
          <t>Outside service area</t>
        </is>
      </c>
      <c r="N28" s="38" t="inlineStr"/>
      <c r="O28" s="49">
        <f>IF(C28="","",IF(OR(J28="Booked",J28="Recurring Client"),"Booked",IF(J28="Lost/Declined","Lost","Open")))</f>
        <v/>
      </c>
      <c r="P28" s="49">
        <f>IF(C28="","",IF(S28=0,"—",IF(L28="","Set date",IF(L28&lt;AsOf,"Overdue",IF(L28=AsOf,"Due today",IF(L28&lt;=AsOf+SoonDays,"Due soon","Scheduled"))))))</f>
        <v/>
      </c>
      <c r="Q28" s="50">
        <f>IF(C28="","",IF(B28="","",AsOf-B28))</f>
        <v/>
      </c>
      <c r="R28" s="49">
        <f>IF(C28="","",IF(O28&lt;&gt;"Booked","",IF(COUNTIF('CUSTOMERS'!$B$5:$B$404,C28)&gt;0,"✓ In CUSTOMERS","Add to CUSTOMERS")))</f>
        <v/>
      </c>
      <c r="S28" s="49">
        <f>IF(C28="","",IF(OR(J28="Booked",J28="Recurring Client",J28="Lost/Declined"),0,1))</f>
        <v/>
      </c>
      <c r="T28" s="51">
        <f>IF(B28="","",DATE(YEAR(B28),MONTH(B28),1))</f>
        <v/>
      </c>
      <c r="U28" s="49">
        <f>IF(OR(S28&lt;&gt;1,L28=""),"",COUNTIFS('LEADS'!$S$5:$S$504,1,'LEADS'!$L$5:$L$504,"&lt;"&amp;L28)+COUNTIFS($S$5:S28,1,$L$5:L28,L28))</f>
        <v/>
      </c>
    </row>
    <row r="29">
      <c r="A29" s="46" t="inlineStr">
        <is>
          <t>L-0025</t>
        </is>
      </c>
      <c r="B29" s="47" t="n">
        <v>46089</v>
      </c>
      <c r="C29" s="38" t="inlineStr">
        <is>
          <t>Rowan Foxworth</t>
        </is>
      </c>
      <c r="D29" s="38" t="inlineStr">
        <is>
          <t>555-0108</t>
        </is>
      </c>
      <c r="E29" s="38" t="inlineStr">
        <is>
          <t>rowan.foxworth@example.com</t>
        </is>
      </c>
      <c r="F29" s="38" t="inlineStr">
        <is>
          <t>Google Search</t>
        </is>
      </c>
      <c r="G29" s="38" t="inlineStr">
        <is>
          <t>Deep Clean</t>
        </is>
      </c>
      <c r="H29" s="38" t="inlineStr">
        <is>
          <t>North Sampletown</t>
        </is>
      </c>
      <c r="I29" s="48" t="n">
        <v>530</v>
      </c>
      <c r="J29" s="38" t="inlineStr">
        <is>
          <t>Recurring Client</t>
        </is>
      </c>
      <c r="K29" s="47" t="n">
        <v>46090</v>
      </c>
      <c r="L29" s="47" t="n"/>
      <c r="M29" s="38" t="n"/>
      <c r="N29" s="38" t="inlineStr"/>
      <c r="O29" s="49">
        <f>IF(C29="","",IF(OR(J29="Booked",J29="Recurring Client"),"Booked",IF(J29="Lost/Declined","Lost","Open")))</f>
        <v/>
      </c>
      <c r="P29" s="49">
        <f>IF(C29="","",IF(S29=0,"—",IF(L29="","Set date",IF(L29&lt;AsOf,"Overdue",IF(L29=AsOf,"Due today",IF(L29&lt;=AsOf+SoonDays,"Due soon","Scheduled"))))))</f>
        <v/>
      </c>
      <c r="Q29" s="50">
        <f>IF(C29="","",IF(B29="","",AsOf-B29))</f>
        <v/>
      </c>
      <c r="R29" s="49">
        <f>IF(C29="","",IF(O29&lt;&gt;"Booked","",IF(COUNTIF('CUSTOMERS'!$B$5:$B$404,C29)&gt;0,"✓ In CUSTOMERS","Add to CUSTOMERS")))</f>
        <v/>
      </c>
      <c r="S29" s="49">
        <f>IF(C29="","",IF(OR(J29="Booked",J29="Recurring Client",J29="Lost/Declined"),0,1))</f>
        <v/>
      </c>
      <c r="T29" s="51">
        <f>IF(B29="","",DATE(YEAR(B29),MONTH(B29),1))</f>
        <v/>
      </c>
      <c r="U29" s="49">
        <f>IF(OR(S29&lt;&gt;1,L29=""),"",COUNTIFS('LEADS'!$S$5:$S$504,1,'LEADS'!$L$5:$L$504,"&lt;"&amp;L29)+COUNTIFS($S$5:S29,1,$L$5:L29,L29))</f>
        <v/>
      </c>
    </row>
    <row r="30">
      <c r="A30" s="46" t="inlineStr">
        <is>
          <t>L-0026</t>
        </is>
      </c>
      <c r="B30" s="47" t="n">
        <v>46091</v>
      </c>
      <c r="C30" s="38" t="inlineStr">
        <is>
          <t>Rowan Merriweather</t>
        </is>
      </c>
      <c r="D30" s="38" t="inlineStr">
        <is>
          <t>555-0115</t>
        </is>
      </c>
      <c r="E30" s="38" t="inlineStr">
        <is>
          <t>rowan.merriweather@example.com</t>
        </is>
      </c>
      <c r="F30" s="38" t="inlineStr">
        <is>
          <t>Nextdoor</t>
        </is>
      </c>
      <c r="G30" s="38" t="inlineStr">
        <is>
          <t>Deep Clean</t>
        </is>
      </c>
      <c r="H30" s="38" t="inlineStr">
        <is>
          <t>North Sampletown</t>
        </is>
      </c>
      <c r="I30" s="48" t="n">
        <v>650</v>
      </c>
      <c r="J30" s="38" t="inlineStr">
        <is>
          <t>Booked</t>
        </is>
      </c>
      <c r="K30" s="47" t="n">
        <v>46092</v>
      </c>
      <c r="L30" s="47" t="n"/>
      <c r="M30" s="38" t="n"/>
      <c r="N30" s="38" t="inlineStr"/>
      <c r="O30" s="49">
        <f>IF(C30="","",IF(OR(J30="Booked",J30="Recurring Client"),"Booked",IF(J30="Lost/Declined","Lost","Open")))</f>
        <v/>
      </c>
      <c r="P30" s="49">
        <f>IF(C30="","",IF(S30=0,"—",IF(L30="","Set date",IF(L30&lt;AsOf,"Overdue",IF(L30=AsOf,"Due today",IF(L30&lt;=AsOf+SoonDays,"Due soon","Scheduled"))))))</f>
        <v/>
      </c>
      <c r="Q30" s="50">
        <f>IF(C30="","",IF(B30="","",AsOf-B30))</f>
        <v/>
      </c>
      <c r="R30" s="49">
        <f>IF(C30="","",IF(O30&lt;&gt;"Booked","",IF(COUNTIF('CUSTOMERS'!$B$5:$B$404,C30)&gt;0,"✓ In CUSTOMERS","Add to CUSTOMERS")))</f>
        <v/>
      </c>
      <c r="S30" s="49">
        <f>IF(C30="","",IF(OR(J30="Booked",J30="Recurring Client",J30="Lost/Declined"),0,1))</f>
        <v/>
      </c>
      <c r="T30" s="51">
        <f>IF(B30="","",DATE(YEAR(B30),MONTH(B30),1))</f>
        <v/>
      </c>
      <c r="U30" s="49">
        <f>IF(OR(S30&lt;&gt;1,L30=""),"",COUNTIFS('LEADS'!$S$5:$S$504,1,'LEADS'!$L$5:$L$504,"&lt;"&amp;L30)+COUNTIFS($S$5:S30,1,$L$5:L30,L30))</f>
        <v/>
      </c>
    </row>
    <row r="31">
      <c r="A31" s="46" t="inlineStr">
        <is>
          <t>L-0027</t>
        </is>
      </c>
      <c r="B31" s="47" t="n">
        <v>46094</v>
      </c>
      <c r="C31" s="38" t="inlineStr">
        <is>
          <t>Logan Porter</t>
        </is>
      </c>
      <c r="D31" s="38" t="inlineStr">
        <is>
          <t>555-0105</t>
        </is>
      </c>
      <c r="E31" s="38" t="inlineStr">
        <is>
          <t>logan.porter@example.com</t>
        </is>
      </c>
      <c r="F31" s="38" t="inlineStr">
        <is>
          <t>Referral</t>
        </is>
      </c>
      <c r="G31" s="38" t="inlineStr">
        <is>
          <t>Deep Clean</t>
        </is>
      </c>
      <c r="H31" s="38" t="inlineStr">
        <is>
          <t>Lakeview (fictional)</t>
        </is>
      </c>
      <c r="I31" s="48" t="n">
        <v>530</v>
      </c>
      <c r="J31" s="38" t="inlineStr">
        <is>
          <t>Recurring Client</t>
        </is>
      </c>
      <c r="K31" s="47" t="n">
        <v>46095</v>
      </c>
      <c r="L31" s="47" t="n"/>
      <c r="M31" s="38" t="n"/>
      <c r="N31" s="38" t="inlineStr"/>
      <c r="O31" s="49">
        <f>IF(C31="","",IF(OR(J31="Booked",J31="Recurring Client"),"Booked",IF(J31="Lost/Declined","Lost","Open")))</f>
        <v/>
      </c>
      <c r="P31" s="49">
        <f>IF(C31="","",IF(S31=0,"—",IF(L31="","Set date",IF(L31&lt;AsOf,"Overdue",IF(L31=AsOf,"Due today",IF(L31&lt;=AsOf+SoonDays,"Due soon","Scheduled"))))))</f>
        <v/>
      </c>
      <c r="Q31" s="50">
        <f>IF(C31="","",IF(B31="","",AsOf-B31))</f>
        <v/>
      </c>
      <c r="R31" s="49">
        <f>IF(C31="","",IF(O31&lt;&gt;"Booked","",IF(COUNTIF('CUSTOMERS'!$B$5:$B$404,C31)&gt;0,"✓ In CUSTOMERS","Add to CUSTOMERS")))</f>
        <v/>
      </c>
      <c r="S31" s="49">
        <f>IF(C31="","",IF(OR(J31="Booked",J31="Recurring Client",J31="Lost/Declined"),0,1))</f>
        <v/>
      </c>
      <c r="T31" s="51">
        <f>IF(B31="","",DATE(YEAR(B31),MONTH(B31),1))</f>
        <v/>
      </c>
      <c r="U31" s="49">
        <f>IF(OR(S31&lt;&gt;1,L31=""),"",COUNTIFS('LEADS'!$S$5:$S$504,1,'LEADS'!$L$5:$L$504,"&lt;"&amp;L31)+COUNTIFS($S$5:S31,1,$L$5:L31,L31))</f>
        <v/>
      </c>
    </row>
    <row r="32">
      <c r="A32" s="46" t="inlineStr">
        <is>
          <t>L-0028</t>
        </is>
      </c>
      <c r="B32" s="47" t="n">
        <v>46098</v>
      </c>
      <c r="C32" s="38" t="inlineStr">
        <is>
          <t>Noel Collins</t>
        </is>
      </c>
      <c r="D32" s="38" t="inlineStr">
        <is>
          <t>555-0107</t>
        </is>
      </c>
      <c r="E32" s="38" t="inlineStr">
        <is>
          <t>noel.collins@example.com</t>
        </is>
      </c>
      <c r="F32" s="38" t="inlineStr">
        <is>
          <t>Facebook</t>
        </is>
      </c>
      <c r="G32" s="38" t="inlineStr">
        <is>
          <t>Deep Clean</t>
        </is>
      </c>
      <c r="H32" s="38" t="inlineStr">
        <is>
          <t>Lakeview (fictional)</t>
        </is>
      </c>
      <c r="I32" s="48" t="n">
        <v>595</v>
      </c>
      <c r="J32" s="38" t="inlineStr">
        <is>
          <t>Booked</t>
        </is>
      </c>
      <c r="K32" s="47" t="n">
        <v>46099</v>
      </c>
      <c r="L32" s="47" t="n"/>
      <c r="M32" s="38" t="n"/>
      <c r="N32" s="38" t="inlineStr"/>
      <c r="O32" s="49">
        <f>IF(C32="","",IF(OR(J32="Booked",J32="Recurring Client"),"Booked",IF(J32="Lost/Declined","Lost","Open")))</f>
        <v/>
      </c>
      <c r="P32" s="49">
        <f>IF(C32="","",IF(S32=0,"—",IF(L32="","Set date",IF(L32&lt;AsOf,"Overdue",IF(L32=AsOf,"Due today",IF(L32&lt;=AsOf+SoonDays,"Due soon","Scheduled"))))))</f>
        <v/>
      </c>
      <c r="Q32" s="50">
        <f>IF(C32="","",IF(B32="","",AsOf-B32))</f>
        <v/>
      </c>
      <c r="R32" s="49">
        <f>IF(C32="","",IF(O32&lt;&gt;"Booked","",IF(COUNTIF('CUSTOMERS'!$B$5:$B$404,C32)&gt;0,"✓ In CUSTOMERS","Add to CUSTOMERS")))</f>
        <v/>
      </c>
      <c r="S32" s="49">
        <f>IF(C32="","",IF(OR(J32="Booked",J32="Recurring Client",J32="Lost/Declined"),0,1))</f>
        <v/>
      </c>
      <c r="T32" s="51">
        <f>IF(B32="","",DATE(YEAR(B32),MONTH(B32),1))</f>
        <v/>
      </c>
      <c r="U32" s="49">
        <f>IF(OR(S32&lt;&gt;1,L32=""),"",COUNTIFS('LEADS'!$S$5:$S$504,1,'LEADS'!$L$5:$L$504,"&lt;"&amp;L32)+COUNTIFS($S$5:S32,1,$L$5:L32,L32))</f>
        <v/>
      </c>
    </row>
    <row r="33">
      <c r="A33" s="46" t="inlineStr">
        <is>
          <t>L-0029</t>
        </is>
      </c>
      <c r="B33" s="47" t="n">
        <v>46100</v>
      </c>
      <c r="C33" s="38" t="inlineStr">
        <is>
          <t>Devon Hartwell</t>
        </is>
      </c>
      <c r="D33" s="38" t="inlineStr">
        <is>
          <t>555-0160</t>
        </is>
      </c>
      <c r="E33" s="38" t="inlineStr">
        <is>
          <t>devon.hartwell@example.com</t>
        </is>
      </c>
      <c r="F33" s="38" t="inlineStr">
        <is>
          <t>Google Search</t>
        </is>
      </c>
      <c r="G33" s="38" t="inlineStr">
        <is>
          <t>Deep Clean</t>
        </is>
      </c>
      <c r="H33" s="38" t="inlineStr">
        <is>
          <t>Lakeview (fictional)</t>
        </is>
      </c>
      <c r="I33" s="48" t="n">
        <v>395</v>
      </c>
      <c r="J33" s="38" t="inlineStr">
        <is>
          <t>Lost/Declined</t>
        </is>
      </c>
      <c r="K33" s="47" t="n">
        <v>46103</v>
      </c>
      <c r="L33" s="47" t="n"/>
      <c r="M33" s="38" t="inlineStr">
        <is>
          <t>No response</t>
        </is>
      </c>
      <c r="N33" s="38" t="inlineStr"/>
      <c r="O33" s="49">
        <f>IF(C33="","",IF(OR(J33="Booked",J33="Recurring Client"),"Booked",IF(J33="Lost/Declined","Lost","Open")))</f>
        <v/>
      </c>
      <c r="P33" s="49">
        <f>IF(C33="","",IF(S33=0,"—",IF(L33="","Set date",IF(L33&lt;AsOf,"Overdue",IF(L33=AsOf,"Due today",IF(L33&lt;=AsOf+SoonDays,"Due soon","Scheduled"))))))</f>
        <v/>
      </c>
      <c r="Q33" s="50">
        <f>IF(C33="","",IF(B33="","",AsOf-B33))</f>
        <v/>
      </c>
      <c r="R33" s="49">
        <f>IF(C33="","",IF(O33&lt;&gt;"Booked","",IF(COUNTIF('CUSTOMERS'!$B$5:$B$404,C33)&gt;0,"✓ In CUSTOMERS","Add to CUSTOMERS")))</f>
        <v/>
      </c>
      <c r="S33" s="49">
        <f>IF(C33="","",IF(OR(J33="Booked",J33="Recurring Client",J33="Lost/Declined"),0,1))</f>
        <v/>
      </c>
      <c r="T33" s="51">
        <f>IF(B33="","",DATE(YEAR(B33),MONTH(B33),1))</f>
        <v/>
      </c>
      <c r="U33" s="49">
        <f>IF(OR(S33&lt;&gt;1,L33=""),"",COUNTIFS('LEADS'!$S$5:$S$504,1,'LEADS'!$L$5:$L$504,"&lt;"&amp;L33)+COUNTIFS($S$5:S33,1,$L$5:L33,L33))</f>
        <v/>
      </c>
    </row>
    <row r="34">
      <c r="A34" s="46" t="inlineStr">
        <is>
          <t>L-0030</t>
        </is>
      </c>
      <c r="B34" s="47" t="n">
        <v>46105</v>
      </c>
      <c r="C34" s="38" t="inlineStr">
        <is>
          <t>Finley Quigley</t>
        </is>
      </c>
      <c r="D34" s="38" t="inlineStr">
        <is>
          <t>555-0110</t>
        </is>
      </c>
      <c r="E34" s="38" t="inlineStr">
        <is>
          <t>finley.quigley@example.com</t>
        </is>
      </c>
      <c r="F34" s="38" t="inlineStr">
        <is>
          <t>Google Search</t>
        </is>
      </c>
      <c r="G34" s="38" t="inlineStr">
        <is>
          <t>Deep Clean</t>
        </is>
      </c>
      <c r="H34" s="38" t="inlineStr">
        <is>
          <t>North Sampletown</t>
        </is>
      </c>
      <c r="I34" s="48" t="n">
        <v>250</v>
      </c>
      <c r="J34" s="38" t="inlineStr">
        <is>
          <t>Recurring Client</t>
        </is>
      </c>
      <c r="K34" s="47" t="n">
        <v>46106</v>
      </c>
      <c r="L34" s="47" t="n"/>
      <c r="M34" s="38" t="n"/>
      <c r="N34" s="38" t="inlineStr"/>
      <c r="O34" s="49">
        <f>IF(C34="","",IF(OR(J34="Booked",J34="Recurring Client"),"Booked",IF(J34="Lost/Declined","Lost","Open")))</f>
        <v/>
      </c>
      <c r="P34" s="49">
        <f>IF(C34="","",IF(S34=0,"—",IF(L34="","Set date",IF(L34&lt;AsOf,"Overdue",IF(L34=AsOf,"Due today",IF(L34&lt;=AsOf+SoonDays,"Due soon","Scheduled"))))))</f>
        <v/>
      </c>
      <c r="Q34" s="50">
        <f>IF(C34="","",IF(B34="","",AsOf-B34))</f>
        <v/>
      </c>
      <c r="R34" s="49">
        <f>IF(C34="","",IF(O34&lt;&gt;"Booked","",IF(COUNTIF('CUSTOMERS'!$B$5:$B$404,C34)&gt;0,"✓ In CUSTOMERS","Add to CUSTOMERS")))</f>
        <v/>
      </c>
      <c r="S34" s="49">
        <f>IF(C34="","",IF(OR(J34="Booked",J34="Recurring Client",J34="Lost/Declined"),0,1))</f>
        <v/>
      </c>
      <c r="T34" s="51">
        <f>IF(B34="","",DATE(YEAR(B34),MONTH(B34),1))</f>
        <v/>
      </c>
      <c r="U34" s="49">
        <f>IF(OR(S34&lt;&gt;1,L34=""),"",COUNTIFS('LEADS'!$S$5:$S$504,1,'LEADS'!$L$5:$L$504,"&lt;"&amp;L34)+COUNTIFS($S$5:S34,1,$L$5:L34,L34))</f>
        <v/>
      </c>
    </row>
    <row r="35">
      <c r="A35" s="46" t="inlineStr">
        <is>
          <t>L-0031</t>
        </is>
      </c>
      <c r="B35" s="47" t="n">
        <v>46105</v>
      </c>
      <c r="C35" s="38" t="inlineStr">
        <is>
          <t>Parker Holloway</t>
        </is>
      </c>
      <c r="D35" s="38" t="inlineStr">
        <is>
          <t>555-0139</t>
        </is>
      </c>
      <c r="E35" s="38" t="inlineStr">
        <is>
          <t>parker.holloway@example.com</t>
        </is>
      </c>
      <c r="F35" s="38" t="inlineStr">
        <is>
          <t>Google Business Profile</t>
        </is>
      </c>
      <c r="G35" s="38" t="inlineStr">
        <is>
          <t>Airbnb Turnover</t>
        </is>
      </c>
      <c r="H35" s="38" t="inlineStr">
        <is>
          <t>North Sampletown</t>
        </is>
      </c>
      <c r="I35" s="48" t="n"/>
      <c r="J35" s="38" t="inlineStr">
        <is>
          <t>Lost/Declined</t>
        </is>
      </c>
      <c r="K35" s="47" t="n">
        <v>46109</v>
      </c>
      <c r="L35" s="47" t="n"/>
      <c r="M35" s="38" t="inlineStr">
        <is>
          <t>Price</t>
        </is>
      </c>
      <c r="N35" s="38" t="inlineStr"/>
      <c r="O35" s="49">
        <f>IF(C35="","",IF(OR(J35="Booked",J35="Recurring Client"),"Booked",IF(J35="Lost/Declined","Lost","Open")))</f>
        <v/>
      </c>
      <c r="P35" s="49">
        <f>IF(C35="","",IF(S35=0,"—",IF(L35="","Set date",IF(L35&lt;AsOf,"Overdue",IF(L35=AsOf,"Due today",IF(L35&lt;=AsOf+SoonDays,"Due soon","Scheduled"))))))</f>
        <v/>
      </c>
      <c r="Q35" s="50">
        <f>IF(C35="","",IF(B35="","",AsOf-B35))</f>
        <v/>
      </c>
      <c r="R35" s="49">
        <f>IF(C35="","",IF(O35&lt;&gt;"Booked","",IF(COUNTIF('CUSTOMERS'!$B$5:$B$404,C35)&gt;0,"✓ In CUSTOMERS","Add to CUSTOMERS")))</f>
        <v/>
      </c>
      <c r="S35" s="49">
        <f>IF(C35="","",IF(OR(J35="Booked",J35="Recurring Client",J35="Lost/Declined"),0,1))</f>
        <v/>
      </c>
      <c r="T35" s="51">
        <f>IF(B35="","",DATE(YEAR(B35),MONTH(B35),1))</f>
        <v/>
      </c>
      <c r="U35" s="49">
        <f>IF(OR(S35&lt;&gt;1,L35=""),"",COUNTIFS('LEADS'!$S$5:$S$504,1,'LEADS'!$L$5:$L$504,"&lt;"&amp;L35)+COUNTIFS($S$5:S35,1,$L$5:L35,L35))</f>
        <v/>
      </c>
    </row>
    <row r="36">
      <c r="A36" s="46" t="inlineStr">
        <is>
          <t>L-0032</t>
        </is>
      </c>
      <c r="B36" s="47" t="n">
        <v>46111</v>
      </c>
      <c r="C36" s="38" t="inlineStr">
        <is>
          <t>Oakview Office Suites (sample)</t>
        </is>
      </c>
      <c r="D36" s="38" t="inlineStr">
        <is>
          <t>555-0127</t>
        </is>
      </c>
      <c r="E36" s="38" t="inlineStr">
        <is>
          <t>oakview.office.suites.(sample)@example.com</t>
        </is>
      </c>
      <c r="F36" s="38" t="inlineStr">
        <is>
          <t>Referral</t>
        </is>
      </c>
      <c r="G36" s="38" t="inlineStr">
        <is>
          <t>Commercial Clean</t>
        </is>
      </c>
      <c r="H36" s="38" t="inlineStr">
        <is>
          <t>North Sampletown</t>
        </is>
      </c>
      <c r="I36" s="48" t="n">
        <v>140</v>
      </c>
      <c r="J36" s="38" t="inlineStr">
        <is>
          <t>Recurring Client</t>
        </is>
      </c>
      <c r="K36" s="47" t="n">
        <v>46112</v>
      </c>
      <c r="L36" s="47" t="n"/>
      <c r="M36" s="38" t="n"/>
      <c r="N36" s="38" t="inlineStr"/>
      <c r="O36" s="49">
        <f>IF(C36="","",IF(OR(J36="Booked",J36="Recurring Client"),"Booked",IF(J36="Lost/Declined","Lost","Open")))</f>
        <v/>
      </c>
      <c r="P36" s="49">
        <f>IF(C36="","",IF(S36=0,"—",IF(L36="","Set date",IF(L36&lt;AsOf,"Overdue",IF(L36=AsOf,"Due today",IF(L36&lt;=AsOf+SoonDays,"Due soon","Scheduled"))))))</f>
        <v/>
      </c>
      <c r="Q36" s="50">
        <f>IF(C36="","",IF(B36="","",AsOf-B36))</f>
        <v/>
      </c>
      <c r="R36" s="49">
        <f>IF(C36="","",IF(O36&lt;&gt;"Booked","",IF(COUNTIF('CUSTOMERS'!$B$5:$B$404,C36)&gt;0,"✓ In CUSTOMERS","Add to CUSTOMERS")))</f>
        <v/>
      </c>
      <c r="S36" s="49">
        <f>IF(C36="","",IF(OR(J36="Booked",J36="Recurring Client",J36="Lost/Declined"),0,1))</f>
        <v/>
      </c>
      <c r="T36" s="51">
        <f>IF(B36="","",DATE(YEAR(B36),MONTH(B36),1))</f>
        <v/>
      </c>
      <c r="U36" s="49">
        <f>IF(OR(S36&lt;&gt;1,L36=""),"",COUNTIFS('LEADS'!$S$5:$S$504,1,'LEADS'!$L$5:$L$504,"&lt;"&amp;L36)+COUNTIFS($S$5:S36,1,$L$5:L36,L36))</f>
        <v/>
      </c>
    </row>
    <row r="37">
      <c r="A37" s="46" t="inlineStr">
        <is>
          <t>L-0033</t>
        </is>
      </c>
      <c r="B37" s="47" t="n">
        <v>46113</v>
      </c>
      <c r="C37" s="38" t="inlineStr">
        <is>
          <t>Kai Winslow</t>
        </is>
      </c>
      <c r="D37" s="38" t="inlineStr">
        <is>
          <t>555-0152</t>
        </is>
      </c>
      <c r="E37" s="38" t="inlineStr">
        <is>
          <t>kai.winslow@example.com</t>
        </is>
      </c>
      <c r="F37" s="38" t="inlineStr">
        <is>
          <t>Google Search</t>
        </is>
      </c>
      <c r="G37" s="38" t="inlineStr">
        <is>
          <t>Deep Clean</t>
        </is>
      </c>
      <c r="H37" s="38" t="inlineStr">
        <is>
          <t>Riverbend (fictional)</t>
        </is>
      </c>
      <c r="I37" s="48" t="n">
        <v>340</v>
      </c>
      <c r="J37" s="38" t="inlineStr">
        <is>
          <t>Lost/Declined</t>
        </is>
      </c>
      <c r="K37" s="47" t="n">
        <v>46117</v>
      </c>
      <c r="L37" s="47" t="n"/>
      <c r="M37" s="38" t="inlineStr">
        <is>
          <t>No response</t>
        </is>
      </c>
      <c r="N37" s="38" t="inlineStr"/>
      <c r="O37" s="49">
        <f>IF(C37="","",IF(OR(J37="Booked",J37="Recurring Client"),"Booked",IF(J37="Lost/Declined","Lost","Open")))</f>
        <v/>
      </c>
      <c r="P37" s="49">
        <f>IF(C37="","",IF(S37=0,"—",IF(L37="","Set date",IF(L37&lt;AsOf,"Overdue",IF(L37=AsOf,"Due today",IF(L37&lt;=AsOf+SoonDays,"Due soon","Scheduled"))))))</f>
        <v/>
      </c>
      <c r="Q37" s="50">
        <f>IF(C37="","",IF(B37="","",AsOf-B37))</f>
        <v/>
      </c>
      <c r="R37" s="49">
        <f>IF(C37="","",IF(O37&lt;&gt;"Booked","",IF(COUNTIF('CUSTOMERS'!$B$5:$B$404,C37)&gt;0,"✓ In CUSTOMERS","Add to CUSTOMERS")))</f>
        <v/>
      </c>
      <c r="S37" s="49">
        <f>IF(C37="","",IF(OR(J37="Booked",J37="Recurring Client",J37="Lost/Declined"),0,1))</f>
        <v/>
      </c>
      <c r="T37" s="51">
        <f>IF(B37="","",DATE(YEAR(B37),MONTH(B37),1))</f>
        <v/>
      </c>
      <c r="U37" s="49">
        <f>IF(OR(S37&lt;&gt;1,L37=""),"",COUNTIFS('LEADS'!$S$5:$S$504,1,'LEADS'!$L$5:$L$504,"&lt;"&amp;L37)+COUNTIFS($S$5:S37,1,$L$5:L37,L37))</f>
        <v/>
      </c>
    </row>
    <row r="38">
      <c r="A38" s="46" t="inlineStr">
        <is>
          <t>L-0034</t>
        </is>
      </c>
      <c r="B38" s="47" t="n">
        <v>46117</v>
      </c>
      <c r="C38" s="38" t="inlineStr">
        <is>
          <t>Skyler Yardley</t>
        </is>
      </c>
      <c r="D38" s="38" t="inlineStr">
        <is>
          <t>555-0122</t>
        </is>
      </c>
      <c r="E38" s="38" t="inlineStr">
        <is>
          <t>skyler.yardley@example.com</t>
        </is>
      </c>
      <c r="F38" s="38" t="inlineStr">
        <is>
          <t>Nextdoor</t>
        </is>
      </c>
      <c r="G38" s="38" t="inlineStr">
        <is>
          <t>Deep Clean</t>
        </is>
      </c>
      <c r="H38" s="38" t="inlineStr">
        <is>
          <t>Sampletown</t>
        </is>
      </c>
      <c r="I38" s="48" t="n">
        <v>685</v>
      </c>
      <c r="J38" s="38" t="inlineStr">
        <is>
          <t>Booked</t>
        </is>
      </c>
      <c r="K38" s="47" t="n">
        <v>46118</v>
      </c>
      <c r="L38" s="47" t="n"/>
      <c r="M38" s="38" t="n"/>
      <c r="N38" s="38" t="inlineStr"/>
      <c r="O38" s="49">
        <f>IF(C38="","",IF(OR(J38="Booked",J38="Recurring Client"),"Booked",IF(J38="Lost/Declined","Lost","Open")))</f>
        <v/>
      </c>
      <c r="P38" s="49">
        <f>IF(C38="","",IF(S38=0,"—",IF(L38="","Set date",IF(L38&lt;AsOf,"Overdue",IF(L38=AsOf,"Due today",IF(L38&lt;=AsOf+SoonDays,"Due soon","Scheduled"))))))</f>
        <v/>
      </c>
      <c r="Q38" s="50">
        <f>IF(C38="","",IF(B38="","",AsOf-B38))</f>
        <v/>
      </c>
      <c r="R38" s="49">
        <f>IF(C38="","",IF(O38&lt;&gt;"Booked","",IF(COUNTIF('CUSTOMERS'!$B$5:$B$404,C38)&gt;0,"✓ In CUSTOMERS","Add to CUSTOMERS")))</f>
        <v/>
      </c>
      <c r="S38" s="49">
        <f>IF(C38="","",IF(OR(J38="Booked",J38="Recurring Client",J38="Lost/Declined"),0,1))</f>
        <v/>
      </c>
      <c r="T38" s="51">
        <f>IF(B38="","",DATE(YEAR(B38),MONTH(B38),1))</f>
        <v/>
      </c>
      <c r="U38" s="49">
        <f>IF(OR(S38&lt;&gt;1,L38=""),"",COUNTIFS('LEADS'!$S$5:$S$504,1,'LEADS'!$L$5:$L$504,"&lt;"&amp;L38)+COUNTIFS($S$5:S38,1,$L$5:L38,L38))</f>
        <v/>
      </c>
    </row>
    <row r="39">
      <c r="A39" s="46" t="inlineStr">
        <is>
          <t>L-0035</t>
        </is>
      </c>
      <c r="B39" s="47" t="n">
        <v>46129</v>
      </c>
      <c r="C39" s="38" t="inlineStr">
        <is>
          <t>Frankie Hayes</t>
        </is>
      </c>
      <c r="D39" s="38" t="inlineStr">
        <is>
          <t>555-0138</t>
        </is>
      </c>
      <c r="E39" s="38" t="inlineStr">
        <is>
          <t>frankie.hayes@example.com</t>
        </is>
      </c>
      <c r="F39" s="38" t="inlineStr">
        <is>
          <t>Website Form</t>
        </is>
      </c>
      <c r="G39" s="38" t="inlineStr">
        <is>
          <t>Deep Clean</t>
        </is>
      </c>
      <c r="H39" s="38" t="inlineStr">
        <is>
          <t>Old Mill District</t>
        </is>
      </c>
      <c r="I39" s="48" t="n"/>
      <c r="J39" s="38" t="inlineStr">
        <is>
          <t>Lost/Declined</t>
        </is>
      </c>
      <c r="K39" s="47" t="n">
        <v>46132</v>
      </c>
      <c r="L39" s="47" t="n"/>
      <c r="M39" s="38" t="inlineStr">
        <is>
          <t>Chose another company</t>
        </is>
      </c>
      <c r="N39" s="38" t="inlineStr"/>
      <c r="O39" s="49">
        <f>IF(C39="","",IF(OR(J39="Booked",J39="Recurring Client"),"Booked",IF(J39="Lost/Declined","Lost","Open")))</f>
        <v/>
      </c>
      <c r="P39" s="49">
        <f>IF(C39="","",IF(S39=0,"—",IF(L39="","Set date",IF(L39&lt;AsOf,"Overdue",IF(L39=AsOf,"Due today",IF(L39&lt;=AsOf+SoonDays,"Due soon","Scheduled"))))))</f>
        <v/>
      </c>
      <c r="Q39" s="50">
        <f>IF(C39="","",IF(B39="","",AsOf-B39))</f>
        <v/>
      </c>
      <c r="R39" s="49">
        <f>IF(C39="","",IF(O39&lt;&gt;"Booked","",IF(COUNTIF('CUSTOMERS'!$B$5:$B$404,C39)&gt;0,"✓ In CUSTOMERS","Add to CUSTOMERS")))</f>
        <v/>
      </c>
      <c r="S39" s="49">
        <f>IF(C39="","",IF(OR(J39="Booked",J39="Recurring Client",J39="Lost/Declined"),0,1))</f>
        <v/>
      </c>
      <c r="T39" s="51">
        <f>IF(B39="","",DATE(YEAR(B39),MONTH(B39),1))</f>
        <v/>
      </c>
      <c r="U39" s="49">
        <f>IF(OR(S39&lt;&gt;1,L39=""),"",COUNTIFS('LEADS'!$S$5:$S$504,1,'LEADS'!$L$5:$L$504,"&lt;"&amp;L39)+COUNTIFS($S$5:S39,1,$L$5:L39,L39))</f>
        <v/>
      </c>
    </row>
    <row r="40">
      <c r="A40" s="46" t="inlineStr">
        <is>
          <t>L-0036</t>
        </is>
      </c>
      <c r="B40" s="47" t="n">
        <v>46134</v>
      </c>
      <c r="C40" s="38" t="inlineStr">
        <is>
          <t>Parker Pembrook</t>
        </is>
      </c>
      <c r="D40" s="38" t="inlineStr">
        <is>
          <t>555-0118</t>
        </is>
      </c>
      <c r="E40" s="38" t="inlineStr">
        <is>
          <t>parker.pembrook@example.com</t>
        </is>
      </c>
      <c r="F40" s="38" t="inlineStr">
        <is>
          <t>Google Search</t>
        </is>
      </c>
      <c r="G40" s="38" t="inlineStr">
        <is>
          <t>Deep Clean</t>
        </is>
      </c>
      <c r="H40" s="38" t="inlineStr">
        <is>
          <t>Lakeview (fictional)</t>
        </is>
      </c>
      <c r="I40" s="48" t="n">
        <v>320</v>
      </c>
      <c r="J40" s="38" t="inlineStr">
        <is>
          <t>Booked</t>
        </is>
      </c>
      <c r="K40" s="47" t="n">
        <v>46135</v>
      </c>
      <c r="L40" s="47" t="n"/>
      <c r="M40" s="38" t="n"/>
      <c r="N40" s="38" t="inlineStr"/>
      <c r="O40" s="49">
        <f>IF(C40="","",IF(OR(J40="Booked",J40="Recurring Client"),"Booked",IF(J40="Lost/Declined","Lost","Open")))</f>
        <v/>
      </c>
      <c r="P40" s="49">
        <f>IF(C40="","",IF(S40=0,"—",IF(L40="","Set date",IF(L40&lt;AsOf,"Overdue",IF(L40=AsOf,"Due today",IF(L40&lt;=AsOf+SoonDays,"Due soon","Scheduled"))))))</f>
        <v/>
      </c>
      <c r="Q40" s="50">
        <f>IF(C40="","",IF(B40="","",AsOf-B40))</f>
        <v/>
      </c>
      <c r="R40" s="49">
        <f>IF(C40="","",IF(O40&lt;&gt;"Booked","",IF(COUNTIF('CUSTOMERS'!$B$5:$B$404,C40)&gt;0,"✓ In CUSTOMERS","Add to CUSTOMERS")))</f>
        <v/>
      </c>
      <c r="S40" s="49">
        <f>IF(C40="","",IF(OR(J40="Booked",J40="Recurring Client",J40="Lost/Declined"),0,1))</f>
        <v/>
      </c>
      <c r="T40" s="51">
        <f>IF(B40="","",DATE(YEAR(B40),MONTH(B40),1))</f>
        <v/>
      </c>
      <c r="U40" s="49">
        <f>IF(OR(S40&lt;&gt;1,L40=""),"",COUNTIFS('LEADS'!$S$5:$S$504,1,'LEADS'!$L$5:$L$504,"&lt;"&amp;L40)+COUNTIFS($S$5:S40,1,$L$5:L40,L40))</f>
        <v/>
      </c>
    </row>
    <row r="41">
      <c r="A41" s="46" t="inlineStr">
        <is>
          <t>L-0037</t>
        </is>
      </c>
      <c r="B41" s="47" t="n">
        <v>46140</v>
      </c>
      <c r="C41" s="38" t="inlineStr">
        <is>
          <t>Oakley Winslow</t>
        </is>
      </c>
      <c r="D41" s="38" t="inlineStr">
        <is>
          <t>555-0142</t>
        </is>
      </c>
      <c r="E41" s="38" t="inlineStr">
        <is>
          <t>oakley.winslow@example.com</t>
        </is>
      </c>
      <c r="F41" s="38" t="inlineStr">
        <is>
          <t>Referral</t>
        </is>
      </c>
      <c r="G41" s="38" t="inlineStr">
        <is>
          <t>Move-In/Move-Out</t>
        </is>
      </c>
      <c r="H41" s="38" t="inlineStr">
        <is>
          <t>North Sampletown</t>
        </is>
      </c>
      <c r="I41" s="48" t="n">
        <v>160</v>
      </c>
      <c r="J41" s="38" t="inlineStr">
        <is>
          <t>Lost/Declined</t>
        </is>
      </c>
      <c r="K41" s="47" t="n">
        <v>46148</v>
      </c>
      <c r="L41" s="47" t="n"/>
      <c r="M41" s="38" t="inlineStr">
        <is>
          <t>No response</t>
        </is>
      </c>
      <c r="N41" s="38" t="inlineStr"/>
      <c r="O41" s="49">
        <f>IF(C41="","",IF(OR(J41="Booked",J41="Recurring Client"),"Booked",IF(J41="Lost/Declined","Lost","Open")))</f>
        <v/>
      </c>
      <c r="P41" s="49">
        <f>IF(C41="","",IF(S41=0,"—",IF(L41="","Set date",IF(L41&lt;AsOf,"Overdue",IF(L41=AsOf,"Due today",IF(L41&lt;=AsOf+SoonDays,"Due soon","Scheduled"))))))</f>
        <v/>
      </c>
      <c r="Q41" s="50">
        <f>IF(C41="","",IF(B41="","",AsOf-B41))</f>
        <v/>
      </c>
      <c r="R41" s="49">
        <f>IF(C41="","",IF(O41&lt;&gt;"Booked","",IF(COUNTIF('CUSTOMERS'!$B$5:$B$404,C41)&gt;0,"✓ In CUSTOMERS","Add to CUSTOMERS")))</f>
        <v/>
      </c>
      <c r="S41" s="49">
        <f>IF(C41="","",IF(OR(J41="Booked",J41="Recurring Client",J41="Lost/Declined"),0,1))</f>
        <v/>
      </c>
      <c r="T41" s="51">
        <f>IF(B41="","",DATE(YEAR(B41),MONTH(B41),1))</f>
        <v/>
      </c>
      <c r="U41" s="49">
        <f>IF(OR(S41&lt;&gt;1,L41=""),"",COUNTIFS('LEADS'!$S$5:$S$504,1,'LEADS'!$L$5:$L$504,"&lt;"&amp;L41)+COUNTIFS($S$5:S41,1,$L$5:L41,L41))</f>
        <v/>
      </c>
    </row>
    <row r="42">
      <c r="A42" s="46" t="inlineStr">
        <is>
          <t>L-0038</t>
        </is>
      </c>
      <c r="B42" s="47" t="n">
        <v>46142</v>
      </c>
      <c r="C42" s="38" t="inlineStr">
        <is>
          <t>Frankie Lockhart</t>
        </is>
      </c>
      <c r="D42" s="38" t="inlineStr">
        <is>
          <t>555-0151</t>
        </is>
      </c>
      <c r="E42" s="38" t="inlineStr">
        <is>
          <t>frankie.lockhart@example.com</t>
        </is>
      </c>
      <c r="F42" s="38" t="inlineStr">
        <is>
          <t>Google Business Profile</t>
        </is>
      </c>
      <c r="G42" s="38" t="inlineStr">
        <is>
          <t>Airbnb Turnover</t>
        </is>
      </c>
      <c r="H42" s="38" t="inlineStr">
        <is>
          <t>Riverbend (fictional)</t>
        </is>
      </c>
      <c r="I42" s="48" t="n">
        <v>285</v>
      </c>
      <c r="J42" s="38" t="inlineStr">
        <is>
          <t>Lost/Declined</t>
        </is>
      </c>
      <c r="K42" s="47" t="n">
        <v>46150</v>
      </c>
      <c r="L42" s="47" t="n"/>
      <c r="M42" s="38" t="inlineStr">
        <is>
          <t>No response</t>
        </is>
      </c>
      <c r="N42" s="38" t="inlineStr"/>
      <c r="O42" s="49">
        <f>IF(C42="","",IF(OR(J42="Booked",J42="Recurring Client"),"Booked",IF(J42="Lost/Declined","Lost","Open")))</f>
        <v/>
      </c>
      <c r="P42" s="49">
        <f>IF(C42="","",IF(S42=0,"—",IF(L42="","Set date",IF(L42&lt;AsOf,"Overdue",IF(L42=AsOf,"Due today",IF(L42&lt;=AsOf+SoonDays,"Due soon","Scheduled"))))))</f>
        <v/>
      </c>
      <c r="Q42" s="50">
        <f>IF(C42="","",IF(B42="","",AsOf-B42))</f>
        <v/>
      </c>
      <c r="R42" s="49">
        <f>IF(C42="","",IF(O42&lt;&gt;"Booked","",IF(COUNTIF('CUSTOMERS'!$B$5:$B$404,C42)&gt;0,"✓ In CUSTOMERS","Add to CUSTOMERS")))</f>
        <v/>
      </c>
      <c r="S42" s="49">
        <f>IF(C42="","",IF(OR(J42="Booked",J42="Recurring Client",J42="Lost/Declined"),0,1))</f>
        <v/>
      </c>
      <c r="T42" s="51">
        <f>IF(B42="","",DATE(YEAR(B42),MONTH(B42),1))</f>
        <v/>
      </c>
      <c r="U42" s="49">
        <f>IF(OR(S42&lt;&gt;1,L42=""),"",COUNTIFS('LEADS'!$S$5:$S$504,1,'LEADS'!$L$5:$L$504,"&lt;"&amp;L42)+COUNTIFS($S$5:S42,1,$L$5:L42,L42))</f>
        <v/>
      </c>
    </row>
    <row r="43">
      <c r="A43" s="46" t="inlineStr">
        <is>
          <t>L-0039</t>
        </is>
      </c>
      <c r="B43" s="47" t="n">
        <v>46146</v>
      </c>
      <c r="C43" s="38" t="inlineStr">
        <is>
          <t>Carmen Bennett</t>
        </is>
      </c>
      <c r="D43" s="38" t="inlineStr">
        <is>
          <t>555-0148</t>
        </is>
      </c>
      <c r="E43" s="38" t="inlineStr">
        <is>
          <t>carmen.bennett@example.com</t>
        </is>
      </c>
      <c r="F43" s="38" t="inlineStr">
        <is>
          <t>Google Business Profile</t>
        </is>
      </c>
      <c r="G43" s="38" t="inlineStr">
        <is>
          <t>Move-In/Move-Out</t>
        </is>
      </c>
      <c r="H43" s="38" t="inlineStr">
        <is>
          <t>Old Mill District</t>
        </is>
      </c>
      <c r="I43" s="48" t="n">
        <v>395</v>
      </c>
      <c r="J43" s="38" t="inlineStr">
        <is>
          <t>Lost/Declined</t>
        </is>
      </c>
      <c r="K43" s="47" t="n">
        <v>46151</v>
      </c>
      <c r="L43" s="47" t="n"/>
      <c r="M43" s="38" t="inlineStr">
        <is>
          <t>Outside service area</t>
        </is>
      </c>
      <c r="N43" s="38" t="inlineStr"/>
      <c r="O43" s="49">
        <f>IF(C43="","",IF(OR(J43="Booked",J43="Recurring Client"),"Booked",IF(J43="Lost/Declined","Lost","Open")))</f>
        <v/>
      </c>
      <c r="P43" s="49">
        <f>IF(C43="","",IF(S43=0,"—",IF(L43="","Set date",IF(L43&lt;AsOf,"Overdue",IF(L43=AsOf,"Due today",IF(L43&lt;=AsOf+SoonDays,"Due soon","Scheduled"))))))</f>
        <v/>
      </c>
      <c r="Q43" s="50">
        <f>IF(C43="","",IF(B43="","",AsOf-B43))</f>
        <v/>
      </c>
      <c r="R43" s="49">
        <f>IF(C43="","",IF(O43&lt;&gt;"Booked","",IF(COUNTIF('CUSTOMERS'!$B$5:$B$404,C43)&gt;0,"✓ In CUSTOMERS","Add to CUSTOMERS")))</f>
        <v/>
      </c>
      <c r="S43" s="49">
        <f>IF(C43="","",IF(OR(J43="Booked",J43="Recurring Client",J43="Lost/Declined"),0,1))</f>
        <v/>
      </c>
      <c r="T43" s="51">
        <f>IF(B43="","",DATE(YEAR(B43),MONTH(B43),1))</f>
        <v/>
      </c>
      <c r="U43" s="49">
        <f>IF(OR(S43&lt;&gt;1,L43=""),"",COUNTIFS('LEADS'!$S$5:$S$504,1,'LEADS'!$L$5:$L$504,"&lt;"&amp;L43)+COUNTIFS($S$5:S43,1,$L$5:L43,L43))</f>
        <v/>
      </c>
    </row>
    <row r="44">
      <c r="A44" s="46" t="inlineStr">
        <is>
          <t>L-0040</t>
        </is>
      </c>
      <c r="B44" s="47" t="n">
        <v>46147</v>
      </c>
      <c r="C44" s="38" t="inlineStr">
        <is>
          <t>Dana Ivers</t>
        </is>
      </c>
      <c r="D44" s="38" t="inlineStr">
        <is>
          <t>555-0111</t>
        </is>
      </c>
      <c r="E44" s="38" t="inlineStr">
        <is>
          <t>dana.ivers@example.com</t>
        </is>
      </c>
      <c r="F44" s="38" t="inlineStr">
        <is>
          <t>Google Business Profile</t>
        </is>
      </c>
      <c r="G44" s="38" t="inlineStr">
        <is>
          <t>Deep Clean</t>
        </is>
      </c>
      <c r="H44" s="38" t="inlineStr">
        <is>
          <t>North Sampletown</t>
        </is>
      </c>
      <c r="I44" s="48" t="n">
        <v>650</v>
      </c>
      <c r="J44" s="38" t="inlineStr">
        <is>
          <t>Booked</t>
        </is>
      </c>
      <c r="K44" s="47" t="n">
        <v>46148</v>
      </c>
      <c r="L44" s="47" t="n"/>
      <c r="M44" s="38" t="n"/>
      <c r="N44" s="38" t="inlineStr"/>
      <c r="O44" s="49">
        <f>IF(C44="","",IF(OR(J44="Booked",J44="Recurring Client"),"Booked",IF(J44="Lost/Declined","Lost","Open")))</f>
        <v/>
      </c>
      <c r="P44" s="49">
        <f>IF(C44="","",IF(S44=0,"—",IF(L44="","Set date",IF(L44&lt;AsOf,"Overdue",IF(L44=AsOf,"Due today",IF(L44&lt;=AsOf+SoonDays,"Due soon","Scheduled"))))))</f>
        <v/>
      </c>
      <c r="Q44" s="50">
        <f>IF(C44="","",IF(B44="","",AsOf-B44))</f>
        <v/>
      </c>
      <c r="R44" s="49">
        <f>IF(C44="","",IF(O44&lt;&gt;"Booked","",IF(COUNTIF('CUSTOMERS'!$B$5:$B$404,C44)&gt;0,"✓ In CUSTOMERS","Add to CUSTOMERS")))</f>
        <v/>
      </c>
      <c r="S44" s="49">
        <f>IF(C44="","",IF(OR(J44="Booked",J44="Recurring Client",J44="Lost/Declined"),0,1))</f>
        <v/>
      </c>
      <c r="T44" s="51">
        <f>IF(B44="","",DATE(YEAR(B44),MONTH(B44),1))</f>
        <v/>
      </c>
      <c r="U44" s="49">
        <f>IF(OR(S44&lt;&gt;1,L44=""),"",COUNTIFS('LEADS'!$S$5:$S$504,1,'LEADS'!$L$5:$L$504,"&lt;"&amp;L44)+COUNTIFS($S$5:S44,1,$L$5:L44,L44))</f>
        <v/>
      </c>
    </row>
    <row r="45">
      <c r="A45" s="46" t="inlineStr">
        <is>
          <t>L-0041</t>
        </is>
      </c>
      <c r="B45" s="47" t="n">
        <v>46151</v>
      </c>
      <c r="C45" s="38" t="inlineStr">
        <is>
          <t>Rowan Ashworth</t>
        </is>
      </c>
      <c r="D45" s="38" t="inlineStr">
        <is>
          <t>555-0136</t>
        </is>
      </c>
      <c r="E45" s="38" t="inlineStr">
        <is>
          <t>rowan.ashworth@example.com</t>
        </is>
      </c>
      <c r="F45" s="38" t="inlineStr">
        <is>
          <t>Nextdoor</t>
        </is>
      </c>
      <c r="G45" s="38" t="inlineStr">
        <is>
          <t>Airbnb Turnover</t>
        </is>
      </c>
      <c r="H45" s="38" t="inlineStr">
        <is>
          <t>Lakeview (fictional)</t>
        </is>
      </c>
      <c r="I45" s="48" t="n">
        <v>395</v>
      </c>
      <c r="J45" s="38" t="inlineStr">
        <is>
          <t>Lost/Declined</t>
        </is>
      </c>
      <c r="K45" s="47" t="n">
        <v>46153</v>
      </c>
      <c r="L45" s="47" t="n"/>
      <c r="M45" s="38" t="inlineStr">
        <is>
          <t>No response</t>
        </is>
      </c>
      <c r="N45" s="38" t="inlineStr"/>
      <c r="O45" s="49">
        <f>IF(C45="","",IF(OR(J45="Booked",J45="Recurring Client"),"Booked",IF(J45="Lost/Declined","Lost","Open")))</f>
        <v/>
      </c>
      <c r="P45" s="49">
        <f>IF(C45="","",IF(S45=0,"—",IF(L45="","Set date",IF(L45&lt;AsOf,"Overdue",IF(L45=AsOf,"Due today",IF(L45&lt;=AsOf+SoonDays,"Due soon","Scheduled"))))))</f>
        <v/>
      </c>
      <c r="Q45" s="50">
        <f>IF(C45="","",IF(B45="","",AsOf-B45))</f>
        <v/>
      </c>
      <c r="R45" s="49">
        <f>IF(C45="","",IF(O45&lt;&gt;"Booked","",IF(COUNTIF('CUSTOMERS'!$B$5:$B$404,C45)&gt;0,"✓ In CUSTOMERS","Add to CUSTOMERS")))</f>
        <v/>
      </c>
      <c r="S45" s="49">
        <f>IF(C45="","",IF(OR(J45="Booked",J45="Recurring Client",J45="Lost/Declined"),0,1))</f>
        <v/>
      </c>
      <c r="T45" s="51">
        <f>IF(B45="","",DATE(YEAR(B45),MONTH(B45),1))</f>
        <v/>
      </c>
      <c r="U45" s="49">
        <f>IF(OR(S45&lt;&gt;1,L45=""),"",COUNTIFS('LEADS'!$S$5:$S$504,1,'LEADS'!$L$5:$L$504,"&lt;"&amp;L45)+COUNTIFS($S$5:S45,1,$L$5:L45,L45))</f>
        <v/>
      </c>
    </row>
    <row r="46">
      <c r="A46" s="46" t="inlineStr">
        <is>
          <t>L-0042</t>
        </is>
      </c>
      <c r="B46" s="47" t="n">
        <v>46155</v>
      </c>
      <c r="C46" s="38" t="inlineStr">
        <is>
          <t>Remy Dunmore</t>
        </is>
      </c>
      <c r="D46" s="38" t="inlineStr">
        <is>
          <t>555-0162</t>
        </is>
      </c>
      <c r="E46" s="38" t="inlineStr">
        <is>
          <t>remy.dunmore@example.com</t>
        </is>
      </c>
      <c r="F46" s="38" t="inlineStr">
        <is>
          <t>Google Business Profile</t>
        </is>
      </c>
      <c r="G46" s="38" t="inlineStr">
        <is>
          <t>Move-In/Move-Out</t>
        </is>
      </c>
      <c r="H46" s="38" t="inlineStr">
        <is>
          <t>Sampletown</t>
        </is>
      </c>
      <c r="I46" s="48" t="n"/>
      <c r="J46" s="38" t="inlineStr">
        <is>
          <t>Lost/Declined</t>
        </is>
      </c>
      <c r="K46" s="47" t="n">
        <v>46163</v>
      </c>
      <c r="L46" s="47" t="n"/>
      <c r="M46" s="38" t="inlineStr">
        <is>
          <t>Outside service area</t>
        </is>
      </c>
      <c r="N46" s="38" t="inlineStr"/>
      <c r="O46" s="49">
        <f>IF(C46="","",IF(OR(J46="Booked",J46="Recurring Client"),"Booked",IF(J46="Lost/Declined","Lost","Open")))</f>
        <v/>
      </c>
      <c r="P46" s="49">
        <f>IF(C46="","",IF(S46=0,"—",IF(L46="","Set date",IF(L46&lt;AsOf,"Overdue",IF(L46=AsOf,"Due today",IF(L46&lt;=AsOf+SoonDays,"Due soon","Scheduled"))))))</f>
        <v/>
      </c>
      <c r="Q46" s="50">
        <f>IF(C46="","",IF(B46="","",AsOf-B46))</f>
        <v/>
      </c>
      <c r="R46" s="49">
        <f>IF(C46="","",IF(O46&lt;&gt;"Booked","",IF(COUNTIF('CUSTOMERS'!$B$5:$B$404,C46)&gt;0,"✓ In CUSTOMERS","Add to CUSTOMERS")))</f>
        <v/>
      </c>
      <c r="S46" s="49">
        <f>IF(C46="","",IF(OR(J46="Booked",J46="Recurring Client",J46="Lost/Declined"),0,1))</f>
        <v/>
      </c>
      <c r="T46" s="51">
        <f>IF(B46="","",DATE(YEAR(B46),MONTH(B46),1))</f>
        <v/>
      </c>
      <c r="U46" s="49">
        <f>IF(OR(S46&lt;&gt;1,L46=""),"",COUNTIFS('LEADS'!$S$5:$S$504,1,'LEADS'!$L$5:$L$504,"&lt;"&amp;L46)+COUNTIFS($S$5:S46,1,$L$5:L46,L46))</f>
        <v/>
      </c>
    </row>
    <row r="47">
      <c r="A47" s="46" t="inlineStr">
        <is>
          <t>L-0043</t>
        </is>
      </c>
      <c r="B47" s="47" t="n">
        <v>46159</v>
      </c>
      <c r="C47" s="38" t="inlineStr">
        <is>
          <t>Blake Dunmore</t>
        </is>
      </c>
      <c r="D47" s="38" t="inlineStr">
        <is>
          <t>555-0119</t>
        </is>
      </c>
      <c r="E47" s="38" t="inlineStr">
        <is>
          <t>blake.dunmore@example.com</t>
        </is>
      </c>
      <c r="F47" s="38" t="inlineStr">
        <is>
          <t>Instagram</t>
        </is>
      </c>
      <c r="G47" s="38" t="inlineStr">
        <is>
          <t>Deep Clean</t>
        </is>
      </c>
      <c r="H47" s="38" t="inlineStr">
        <is>
          <t>Lakeview (fictional)</t>
        </is>
      </c>
      <c r="I47" s="48" t="n">
        <v>260</v>
      </c>
      <c r="J47" s="38" t="inlineStr">
        <is>
          <t>Booked</t>
        </is>
      </c>
      <c r="K47" s="47" t="n">
        <v>46160</v>
      </c>
      <c r="L47" s="47" t="n"/>
      <c r="M47" s="38" t="n"/>
      <c r="N47" s="38" t="inlineStr"/>
      <c r="O47" s="49">
        <f>IF(C47="","",IF(OR(J47="Booked",J47="Recurring Client"),"Booked",IF(J47="Lost/Declined","Lost","Open")))</f>
        <v/>
      </c>
      <c r="P47" s="49">
        <f>IF(C47="","",IF(S47=0,"—",IF(L47="","Set date",IF(L47&lt;AsOf,"Overdue",IF(L47=AsOf,"Due today",IF(L47&lt;=AsOf+SoonDays,"Due soon","Scheduled"))))))</f>
        <v/>
      </c>
      <c r="Q47" s="50">
        <f>IF(C47="","",IF(B47="","",AsOf-B47))</f>
        <v/>
      </c>
      <c r="R47" s="49">
        <f>IF(C47="","",IF(O47&lt;&gt;"Booked","",IF(COUNTIF('CUSTOMERS'!$B$5:$B$404,C47)&gt;0,"✓ In CUSTOMERS","Add to CUSTOMERS")))</f>
        <v/>
      </c>
      <c r="S47" s="49">
        <f>IF(C47="","",IF(OR(J47="Booked",J47="Recurring Client",J47="Lost/Declined"),0,1))</f>
        <v/>
      </c>
      <c r="T47" s="51">
        <f>IF(B47="","",DATE(YEAR(B47),MONTH(B47),1))</f>
        <v/>
      </c>
      <c r="U47" s="49">
        <f>IF(OR(S47&lt;&gt;1,L47=""),"",COUNTIFS('LEADS'!$S$5:$S$504,1,'LEADS'!$L$5:$L$504,"&lt;"&amp;L47)+COUNTIFS($S$5:S47,1,$L$5:L47,L47))</f>
        <v/>
      </c>
    </row>
    <row r="48">
      <c r="A48" s="46" t="inlineStr">
        <is>
          <t>L-0044</t>
        </is>
      </c>
      <c r="B48" s="47" t="n">
        <v>46161</v>
      </c>
      <c r="C48" s="38" t="inlineStr">
        <is>
          <t>Devon Hayes</t>
        </is>
      </c>
      <c r="D48" s="38" t="inlineStr">
        <is>
          <t>555-0106</t>
        </is>
      </c>
      <c r="E48" s="38" t="inlineStr">
        <is>
          <t>devon.hayes@example.com</t>
        </is>
      </c>
      <c r="F48" s="38" t="inlineStr">
        <is>
          <t>Google Business Profile</t>
        </is>
      </c>
      <c r="G48" s="38" t="inlineStr">
        <is>
          <t>Deep Clean</t>
        </is>
      </c>
      <c r="H48" s="38" t="inlineStr">
        <is>
          <t>Lakeview (fictional)</t>
        </is>
      </c>
      <c r="I48" s="48" t="n">
        <v>530</v>
      </c>
      <c r="J48" s="38" t="inlineStr">
        <is>
          <t>Recurring Client</t>
        </is>
      </c>
      <c r="K48" s="47" t="n">
        <v>46162</v>
      </c>
      <c r="L48" s="47" t="n"/>
      <c r="M48" s="38" t="n"/>
      <c r="N48" s="38" t="inlineStr"/>
      <c r="O48" s="49">
        <f>IF(C48="","",IF(OR(J48="Booked",J48="Recurring Client"),"Booked",IF(J48="Lost/Declined","Lost","Open")))</f>
        <v/>
      </c>
      <c r="P48" s="49">
        <f>IF(C48="","",IF(S48=0,"—",IF(L48="","Set date",IF(L48&lt;AsOf,"Overdue",IF(L48=AsOf,"Due today",IF(L48&lt;=AsOf+SoonDays,"Due soon","Scheduled"))))))</f>
        <v/>
      </c>
      <c r="Q48" s="50">
        <f>IF(C48="","",IF(B48="","",AsOf-B48))</f>
        <v/>
      </c>
      <c r="R48" s="49">
        <f>IF(C48="","",IF(O48&lt;&gt;"Booked","",IF(COUNTIF('CUSTOMERS'!$B$5:$B$404,C48)&gt;0,"✓ In CUSTOMERS","Add to CUSTOMERS")))</f>
        <v/>
      </c>
      <c r="S48" s="49">
        <f>IF(C48="","",IF(OR(J48="Booked",J48="Recurring Client",J48="Lost/Declined"),0,1))</f>
        <v/>
      </c>
      <c r="T48" s="51">
        <f>IF(B48="","",DATE(YEAR(B48),MONTH(B48),1))</f>
        <v/>
      </c>
      <c r="U48" s="49">
        <f>IF(OR(S48&lt;&gt;1,L48=""),"",COUNTIFS('LEADS'!$S$5:$S$504,1,'LEADS'!$L$5:$L$504,"&lt;"&amp;L48)+COUNTIFS($S$5:S48,1,$L$5:L48,L48))</f>
        <v/>
      </c>
    </row>
    <row r="49">
      <c r="A49" s="46" t="inlineStr">
        <is>
          <t>L-0045</t>
        </is>
      </c>
      <c r="B49" s="47" t="n">
        <v>46181</v>
      </c>
      <c r="C49" s="38" t="inlineStr">
        <is>
          <t>Wren Delgado</t>
        </is>
      </c>
      <c r="D49" s="38" t="inlineStr">
        <is>
          <t>555-0124</t>
        </is>
      </c>
      <c r="E49" s="38" t="inlineStr">
        <is>
          <t>wren.delgado@example.com</t>
        </is>
      </c>
      <c r="F49" s="38" t="inlineStr">
        <is>
          <t>Nextdoor</t>
        </is>
      </c>
      <c r="G49" s="38" t="inlineStr">
        <is>
          <t>Deep Clean</t>
        </is>
      </c>
      <c r="H49" s="38" t="inlineStr">
        <is>
          <t>North Sampletown</t>
        </is>
      </c>
      <c r="I49" s="48" t="n">
        <v>490</v>
      </c>
      <c r="J49" s="38" t="inlineStr">
        <is>
          <t>Booked</t>
        </is>
      </c>
      <c r="K49" s="47" t="n">
        <v>46182</v>
      </c>
      <c r="L49" s="47" t="n"/>
      <c r="M49" s="38" t="n"/>
      <c r="N49" s="38" t="inlineStr"/>
      <c r="O49" s="49">
        <f>IF(C49="","",IF(OR(J49="Booked",J49="Recurring Client"),"Booked",IF(J49="Lost/Declined","Lost","Open")))</f>
        <v/>
      </c>
      <c r="P49" s="49">
        <f>IF(C49="","",IF(S49=0,"—",IF(L49="","Set date",IF(L49&lt;AsOf,"Overdue",IF(L49=AsOf,"Due today",IF(L49&lt;=AsOf+SoonDays,"Due soon","Scheduled"))))))</f>
        <v/>
      </c>
      <c r="Q49" s="50">
        <f>IF(C49="","",IF(B49="","",AsOf-B49))</f>
        <v/>
      </c>
      <c r="R49" s="49">
        <f>IF(C49="","",IF(O49&lt;&gt;"Booked","",IF(COUNTIF('CUSTOMERS'!$B$5:$B$404,C49)&gt;0,"✓ In CUSTOMERS","Add to CUSTOMERS")))</f>
        <v/>
      </c>
      <c r="S49" s="49">
        <f>IF(C49="","",IF(OR(J49="Booked",J49="Recurring Client",J49="Lost/Declined"),0,1))</f>
        <v/>
      </c>
      <c r="T49" s="51">
        <f>IF(B49="","",DATE(YEAR(B49),MONTH(B49),1))</f>
        <v/>
      </c>
      <c r="U49" s="49">
        <f>IF(OR(S49&lt;&gt;1,L49=""),"",COUNTIFS('LEADS'!$S$5:$S$504,1,'LEADS'!$L$5:$L$504,"&lt;"&amp;L49)+COUNTIFS($S$5:S49,1,$L$5:L49,L49))</f>
        <v/>
      </c>
    </row>
    <row r="50">
      <c r="A50" s="46" t="inlineStr">
        <is>
          <t>L-0046</t>
        </is>
      </c>
      <c r="B50" s="47" t="n">
        <v>46192</v>
      </c>
      <c r="C50" s="38" t="inlineStr">
        <is>
          <t>Oakley Oakes</t>
        </is>
      </c>
      <c r="D50" s="38" t="inlineStr">
        <is>
          <t>555-0147</t>
        </is>
      </c>
      <c r="E50" s="38" t="inlineStr">
        <is>
          <t>oakley.oakes@example.com</t>
        </is>
      </c>
      <c r="F50" s="38" t="inlineStr">
        <is>
          <t>Google Search</t>
        </is>
      </c>
      <c r="G50" s="38" t="inlineStr">
        <is>
          <t>Deep Clean</t>
        </is>
      </c>
      <c r="H50" s="38" t="inlineStr">
        <is>
          <t>Old Mill District</t>
        </is>
      </c>
      <c r="I50" s="48" t="n">
        <v>285</v>
      </c>
      <c r="J50" s="38" t="inlineStr">
        <is>
          <t>Lost/Declined</t>
        </is>
      </c>
      <c r="K50" s="47" t="n">
        <v>46197</v>
      </c>
      <c r="L50" s="47" t="n"/>
      <c r="M50" s="38" t="inlineStr">
        <is>
          <t>No response</t>
        </is>
      </c>
      <c r="N50" s="38" t="inlineStr"/>
      <c r="O50" s="49">
        <f>IF(C50="","",IF(OR(J50="Booked",J50="Recurring Client"),"Booked",IF(J50="Lost/Declined","Lost","Open")))</f>
        <v/>
      </c>
      <c r="P50" s="49">
        <f>IF(C50="","",IF(S50=0,"—",IF(L50="","Set date",IF(L50&lt;AsOf,"Overdue",IF(L50=AsOf,"Due today",IF(L50&lt;=AsOf+SoonDays,"Due soon","Scheduled"))))))</f>
        <v/>
      </c>
      <c r="Q50" s="50">
        <f>IF(C50="","",IF(B50="","",AsOf-B50))</f>
        <v/>
      </c>
      <c r="R50" s="49">
        <f>IF(C50="","",IF(O50&lt;&gt;"Booked","",IF(COUNTIF('CUSTOMERS'!$B$5:$B$404,C50)&gt;0,"✓ In CUSTOMERS","Add to CUSTOMERS")))</f>
        <v/>
      </c>
      <c r="S50" s="49">
        <f>IF(C50="","",IF(OR(J50="Booked",J50="Recurring Client",J50="Lost/Declined"),0,1))</f>
        <v/>
      </c>
      <c r="T50" s="51">
        <f>IF(B50="","",DATE(YEAR(B50),MONTH(B50),1))</f>
        <v/>
      </c>
      <c r="U50" s="49">
        <f>IF(OR(S50&lt;&gt;1,L50=""),"",COUNTIFS('LEADS'!$S$5:$S$504,1,'LEADS'!$L$5:$L$504,"&lt;"&amp;L50)+COUNTIFS($S$5:S50,1,$L$5:L50,L50))</f>
        <v/>
      </c>
    </row>
    <row r="51">
      <c r="A51" s="46" t="inlineStr">
        <is>
          <t>L-0047</t>
        </is>
      </c>
      <c r="B51" s="47" t="n">
        <v>46196</v>
      </c>
      <c r="C51" s="38" t="inlineStr">
        <is>
          <t>Peyton Garrison</t>
        </is>
      </c>
      <c r="D51" s="38" t="inlineStr">
        <is>
          <t>555-0134</t>
        </is>
      </c>
      <c r="E51" s="38" t="inlineStr">
        <is>
          <t>peyton.garrison@example.com</t>
        </is>
      </c>
      <c r="F51" s="38" t="inlineStr">
        <is>
          <t>Referral</t>
        </is>
      </c>
      <c r="G51" s="38" t="inlineStr">
        <is>
          <t>Deep Clean</t>
        </is>
      </c>
      <c r="H51" s="38" t="inlineStr">
        <is>
          <t>Riverbend (fictional)</t>
        </is>
      </c>
      <c r="I51" s="48" t="n">
        <v>395</v>
      </c>
      <c r="J51" s="38" t="inlineStr">
        <is>
          <t>Lost/Declined</t>
        </is>
      </c>
      <c r="K51" s="47" t="n">
        <v>46201</v>
      </c>
      <c r="L51" s="47" t="n"/>
      <c r="M51" s="38" t="inlineStr">
        <is>
          <t>Timing / availability</t>
        </is>
      </c>
      <c r="N51" s="38" t="inlineStr"/>
      <c r="O51" s="49">
        <f>IF(C51="","",IF(OR(J51="Booked",J51="Recurring Client"),"Booked",IF(J51="Lost/Declined","Lost","Open")))</f>
        <v/>
      </c>
      <c r="P51" s="49">
        <f>IF(C51="","",IF(S51=0,"—",IF(L51="","Set date",IF(L51&lt;AsOf,"Overdue",IF(L51=AsOf,"Due today",IF(L51&lt;=AsOf+SoonDays,"Due soon","Scheduled"))))))</f>
        <v/>
      </c>
      <c r="Q51" s="50">
        <f>IF(C51="","",IF(B51="","",AsOf-B51))</f>
        <v/>
      </c>
      <c r="R51" s="49">
        <f>IF(C51="","",IF(O51&lt;&gt;"Booked","",IF(COUNTIF('CUSTOMERS'!$B$5:$B$404,C51)&gt;0,"✓ In CUSTOMERS","Add to CUSTOMERS")))</f>
        <v/>
      </c>
      <c r="S51" s="49">
        <f>IF(C51="","",IF(OR(J51="Booked",J51="Recurring Client",J51="Lost/Declined"),0,1))</f>
        <v/>
      </c>
      <c r="T51" s="51">
        <f>IF(B51="","",DATE(YEAR(B51),MONTH(B51),1))</f>
        <v/>
      </c>
      <c r="U51" s="49">
        <f>IF(OR(S51&lt;&gt;1,L51=""),"",COUNTIFS('LEADS'!$S$5:$S$504,1,'LEADS'!$L$5:$L$504,"&lt;"&amp;L51)+COUNTIFS($S$5:S51,1,$L$5:L51,L51))</f>
        <v/>
      </c>
    </row>
    <row r="52">
      <c r="A52" s="46" t="inlineStr">
        <is>
          <t>L-0048</t>
        </is>
      </c>
      <c r="B52" s="47" t="n">
        <v>46197</v>
      </c>
      <c r="C52" s="38" t="inlineStr">
        <is>
          <t>Rowan Ellison</t>
        </is>
      </c>
      <c r="D52" s="38" t="inlineStr">
        <is>
          <t>555-0156</t>
        </is>
      </c>
      <c r="E52" s="38" t="inlineStr">
        <is>
          <t>rowan.ellison@example.com</t>
        </is>
      </c>
      <c r="F52" s="38" t="inlineStr">
        <is>
          <t>Facebook</t>
        </is>
      </c>
      <c r="G52" s="38" t="inlineStr">
        <is>
          <t>Standard Clean</t>
        </is>
      </c>
      <c r="H52" s="38" t="inlineStr">
        <is>
          <t>Sampletown</t>
        </is>
      </c>
      <c r="I52" s="48" t="n">
        <v>160</v>
      </c>
      <c r="J52" s="38" t="inlineStr">
        <is>
          <t>Lost/Declined</t>
        </is>
      </c>
      <c r="K52" s="47" t="n">
        <v>46204</v>
      </c>
      <c r="L52" s="47" t="n"/>
      <c r="M52" s="38" t="inlineStr">
        <is>
          <t>Chose another company</t>
        </is>
      </c>
      <c r="N52" s="38" t="inlineStr"/>
      <c r="O52" s="49">
        <f>IF(C52="","",IF(OR(J52="Booked",J52="Recurring Client"),"Booked",IF(J52="Lost/Declined","Lost","Open")))</f>
        <v/>
      </c>
      <c r="P52" s="49">
        <f>IF(C52="","",IF(S52=0,"—",IF(L52="","Set date",IF(L52&lt;AsOf,"Overdue",IF(L52=AsOf,"Due today",IF(L52&lt;=AsOf+SoonDays,"Due soon","Scheduled"))))))</f>
        <v/>
      </c>
      <c r="Q52" s="50">
        <f>IF(C52="","",IF(B52="","",AsOf-B52))</f>
        <v/>
      </c>
      <c r="R52" s="49">
        <f>IF(C52="","",IF(O52&lt;&gt;"Booked","",IF(COUNTIF('CUSTOMERS'!$B$5:$B$404,C52)&gt;0,"✓ In CUSTOMERS","Add to CUSTOMERS")))</f>
        <v/>
      </c>
      <c r="S52" s="49">
        <f>IF(C52="","",IF(OR(J52="Booked",J52="Recurring Client",J52="Lost/Declined"),0,1))</f>
        <v/>
      </c>
      <c r="T52" s="51">
        <f>IF(B52="","",DATE(YEAR(B52),MONTH(B52),1))</f>
        <v/>
      </c>
      <c r="U52" s="49">
        <f>IF(OR(S52&lt;&gt;1,L52=""),"",COUNTIFS('LEADS'!$S$5:$S$504,1,'LEADS'!$L$5:$L$504,"&lt;"&amp;L52)+COUNTIFS($S$5:S52,1,$L$5:L52,L52))</f>
        <v/>
      </c>
    </row>
    <row r="53">
      <c r="A53" s="46" t="inlineStr">
        <is>
          <t>L-0049</t>
        </is>
      </c>
      <c r="B53" s="47" t="n">
        <v>46199</v>
      </c>
      <c r="C53" s="38" t="inlineStr">
        <is>
          <t>Quinn Calloway</t>
        </is>
      </c>
      <c r="D53" s="38" t="inlineStr">
        <is>
          <t>555-0153</t>
        </is>
      </c>
      <c r="E53" s="38" t="inlineStr">
        <is>
          <t>quinn.calloway@example.com</t>
        </is>
      </c>
      <c r="F53" s="38" t="inlineStr">
        <is>
          <t>Nextdoor</t>
        </is>
      </c>
      <c r="G53" s="38" t="inlineStr">
        <is>
          <t>Deep Clean</t>
        </is>
      </c>
      <c r="H53" s="38" t="inlineStr">
        <is>
          <t>Riverbend (fictional)</t>
        </is>
      </c>
      <c r="I53" s="48" t="n">
        <v>285</v>
      </c>
      <c r="J53" s="38" t="inlineStr">
        <is>
          <t>Lost/Declined</t>
        </is>
      </c>
      <c r="K53" s="47" t="n">
        <v>46203</v>
      </c>
      <c r="L53" s="47" t="n"/>
      <c r="M53" s="38" t="inlineStr">
        <is>
          <t>Outside service area</t>
        </is>
      </c>
      <c r="N53" s="38" t="inlineStr"/>
      <c r="O53" s="49">
        <f>IF(C53="","",IF(OR(J53="Booked",J53="Recurring Client"),"Booked",IF(J53="Lost/Declined","Lost","Open")))</f>
        <v/>
      </c>
      <c r="P53" s="49">
        <f>IF(C53="","",IF(S53=0,"—",IF(L53="","Set date",IF(L53&lt;AsOf,"Overdue",IF(L53=AsOf,"Due today",IF(L53&lt;=AsOf+SoonDays,"Due soon","Scheduled"))))))</f>
        <v/>
      </c>
      <c r="Q53" s="50">
        <f>IF(C53="","",IF(B53="","",AsOf-B53))</f>
        <v/>
      </c>
      <c r="R53" s="49">
        <f>IF(C53="","",IF(O53&lt;&gt;"Booked","",IF(COUNTIF('CUSTOMERS'!$B$5:$B$404,C53)&gt;0,"✓ In CUSTOMERS","Add to CUSTOMERS")))</f>
        <v/>
      </c>
      <c r="S53" s="49">
        <f>IF(C53="","",IF(OR(J53="Booked",J53="Recurring Client",J53="Lost/Declined"),0,1))</f>
        <v/>
      </c>
      <c r="T53" s="51">
        <f>IF(B53="","",DATE(YEAR(B53),MONTH(B53),1))</f>
        <v/>
      </c>
      <c r="U53" s="49">
        <f>IF(OR(S53&lt;&gt;1,L53=""),"",COUNTIFS('LEADS'!$S$5:$S$504,1,'LEADS'!$L$5:$L$504,"&lt;"&amp;L53)+COUNTIFS($S$5:S53,1,$L$5:L53,L53))</f>
        <v/>
      </c>
    </row>
    <row r="54">
      <c r="A54" s="46" t="inlineStr">
        <is>
          <t>L-0050</t>
        </is>
      </c>
      <c r="B54" s="47" t="n">
        <v>46211</v>
      </c>
      <c r="C54" s="38" t="inlineStr">
        <is>
          <t>Drew Bennett</t>
        </is>
      </c>
      <c r="D54" s="38" t="inlineStr">
        <is>
          <t>555-0121</t>
        </is>
      </c>
      <c r="E54" s="38" t="inlineStr">
        <is>
          <t>drew.bennett@example.com</t>
        </is>
      </c>
      <c r="F54" s="38" t="inlineStr">
        <is>
          <t>Website Form</t>
        </is>
      </c>
      <c r="G54" s="38" t="inlineStr">
        <is>
          <t>Deep Clean</t>
        </is>
      </c>
      <c r="H54" s="38" t="inlineStr">
        <is>
          <t>Sampletown</t>
        </is>
      </c>
      <c r="I54" s="48" t="n">
        <v>530</v>
      </c>
      <c r="J54" s="38" t="inlineStr">
        <is>
          <t>Booked</t>
        </is>
      </c>
      <c r="K54" s="47" t="n">
        <v>46212</v>
      </c>
      <c r="L54" s="47" t="n"/>
      <c r="M54" s="38" t="n"/>
      <c r="N54" s="38" t="inlineStr"/>
      <c r="O54" s="49">
        <f>IF(C54="","",IF(OR(J54="Booked",J54="Recurring Client"),"Booked",IF(J54="Lost/Declined","Lost","Open")))</f>
        <v/>
      </c>
      <c r="P54" s="49">
        <f>IF(C54="","",IF(S54=0,"—",IF(L54="","Set date",IF(L54&lt;AsOf,"Overdue",IF(L54=AsOf,"Due today",IF(L54&lt;=AsOf+SoonDays,"Due soon","Scheduled"))))))</f>
        <v/>
      </c>
      <c r="Q54" s="50">
        <f>IF(C54="","",IF(B54="","",AsOf-B54))</f>
        <v/>
      </c>
      <c r="R54" s="49">
        <f>IF(C54="","",IF(O54&lt;&gt;"Booked","",IF(COUNTIF('CUSTOMERS'!$B$5:$B$404,C54)&gt;0,"✓ In CUSTOMERS","Add to CUSTOMERS")))</f>
        <v/>
      </c>
      <c r="S54" s="49">
        <f>IF(C54="","",IF(OR(J54="Booked",J54="Recurring Client",J54="Lost/Declined"),0,1))</f>
        <v/>
      </c>
      <c r="T54" s="51">
        <f>IF(B54="","",DATE(YEAR(B54),MONTH(B54),1))</f>
        <v/>
      </c>
      <c r="U54" s="49">
        <f>IF(OR(S54&lt;&gt;1,L54=""),"",COUNTIFS('LEADS'!$S$5:$S$504,1,'LEADS'!$L$5:$L$504,"&lt;"&amp;L54)+COUNTIFS($S$5:S54,1,$L$5:L54,L54))</f>
        <v/>
      </c>
    </row>
    <row r="55">
      <c r="A55" s="46" t="inlineStr">
        <is>
          <t>L-0051</t>
        </is>
      </c>
      <c r="B55" s="47" t="n">
        <v>46213</v>
      </c>
      <c r="C55" s="38" t="inlineStr">
        <is>
          <t>Robin Ellison</t>
        </is>
      </c>
      <c r="D55" s="38" t="inlineStr">
        <is>
          <t>555-0143</t>
        </is>
      </c>
      <c r="E55" s="38" t="inlineStr">
        <is>
          <t>robin.ellison@example.com</t>
        </is>
      </c>
      <c r="F55" s="38" t="inlineStr">
        <is>
          <t>Google Search</t>
        </is>
      </c>
      <c r="G55" s="38" t="inlineStr">
        <is>
          <t>Standard Clean</t>
        </is>
      </c>
      <c r="H55" s="38" t="inlineStr">
        <is>
          <t>Lakeview (fictional)</t>
        </is>
      </c>
      <c r="I55" s="48" t="n">
        <v>210</v>
      </c>
      <c r="J55" s="38" t="inlineStr">
        <is>
          <t>Lost/Declined</t>
        </is>
      </c>
      <c r="K55" s="47" t="n">
        <v>46218</v>
      </c>
      <c r="L55" s="47" t="n"/>
      <c r="M55" s="38" t="inlineStr">
        <is>
          <t>No response</t>
        </is>
      </c>
      <c r="N55" s="38" t="inlineStr"/>
      <c r="O55" s="49">
        <f>IF(C55="","",IF(OR(J55="Booked",J55="Recurring Client"),"Booked",IF(J55="Lost/Declined","Lost","Open")))</f>
        <v/>
      </c>
      <c r="P55" s="49">
        <f>IF(C55="","",IF(S55=0,"—",IF(L55="","Set date",IF(L55&lt;AsOf,"Overdue",IF(L55=AsOf,"Due today",IF(L55&lt;=AsOf+SoonDays,"Due soon","Scheduled"))))))</f>
        <v/>
      </c>
      <c r="Q55" s="50">
        <f>IF(C55="","",IF(B55="","",AsOf-B55))</f>
        <v/>
      </c>
      <c r="R55" s="49">
        <f>IF(C55="","",IF(O55&lt;&gt;"Booked","",IF(COUNTIF('CUSTOMERS'!$B$5:$B$404,C55)&gt;0,"✓ In CUSTOMERS","Add to CUSTOMERS")))</f>
        <v/>
      </c>
      <c r="S55" s="49">
        <f>IF(C55="","",IF(OR(J55="Booked",J55="Recurring Client",J55="Lost/Declined"),0,1))</f>
        <v/>
      </c>
      <c r="T55" s="51">
        <f>IF(B55="","",DATE(YEAR(B55),MONTH(B55),1))</f>
        <v/>
      </c>
      <c r="U55" s="49">
        <f>IF(OR(S55&lt;&gt;1,L55=""),"",COUNTIFS('LEADS'!$S$5:$S$504,1,'LEADS'!$L$5:$L$504,"&lt;"&amp;L55)+COUNTIFS($S$5:S55,1,$L$5:L55,L55))</f>
        <v/>
      </c>
    </row>
    <row r="56">
      <c r="A56" s="46" t="inlineStr">
        <is>
          <t>L-0052</t>
        </is>
      </c>
      <c r="B56" s="47" t="n">
        <v>46218</v>
      </c>
      <c r="C56" s="38" t="inlineStr">
        <is>
          <t>Toni Sutton</t>
        </is>
      </c>
      <c r="D56" s="38" t="inlineStr">
        <is>
          <t>555-0161</t>
        </is>
      </c>
      <c r="E56" s="38" t="inlineStr">
        <is>
          <t>toni.sutton@example.com</t>
        </is>
      </c>
      <c r="F56" s="38" t="inlineStr">
        <is>
          <t>Facebook</t>
        </is>
      </c>
      <c r="G56" s="38" t="inlineStr">
        <is>
          <t>Airbnb Turnover</t>
        </is>
      </c>
      <c r="H56" s="38" t="inlineStr">
        <is>
          <t>Riverbend (fictional)</t>
        </is>
      </c>
      <c r="I56" s="48" t="n">
        <v>210</v>
      </c>
      <c r="J56" s="38" t="inlineStr">
        <is>
          <t>Lost/Declined</t>
        </is>
      </c>
      <c r="K56" s="47" t="n">
        <v>46226</v>
      </c>
      <c r="L56" s="47" t="n"/>
      <c r="M56" s="38" t="inlineStr">
        <is>
          <t>Price</t>
        </is>
      </c>
      <c r="N56" s="38" t="inlineStr"/>
      <c r="O56" s="49">
        <f>IF(C56="","",IF(OR(J56="Booked",J56="Recurring Client"),"Booked",IF(J56="Lost/Declined","Lost","Open")))</f>
        <v/>
      </c>
      <c r="P56" s="49">
        <f>IF(C56="","",IF(S56=0,"—",IF(L56="","Set date",IF(L56&lt;AsOf,"Overdue",IF(L56=AsOf,"Due today",IF(L56&lt;=AsOf+SoonDays,"Due soon","Scheduled"))))))</f>
        <v/>
      </c>
      <c r="Q56" s="50">
        <f>IF(C56="","",IF(B56="","",AsOf-B56))</f>
        <v/>
      </c>
      <c r="R56" s="49">
        <f>IF(C56="","",IF(O56&lt;&gt;"Booked","",IF(COUNTIF('CUSTOMERS'!$B$5:$B$404,C56)&gt;0,"✓ In CUSTOMERS","Add to CUSTOMERS")))</f>
        <v/>
      </c>
      <c r="S56" s="49">
        <f>IF(C56="","",IF(OR(J56="Booked",J56="Recurring Client",J56="Lost/Declined"),0,1))</f>
        <v/>
      </c>
      <c r="T56" s="51">
        <f>IF(B56="","",DATE(YEAR(B56),MONTH(B56),1))</f>
        <v/>
      </c>
      <c r="U56" s="49">
        <f>IF(OR(S56&lt;&gt;1,L56=""),"",COUNTIFS('LEADS'!$S$5:$S$504,1,'LEADS'!$L$5:$L$504,"&lt;"&amp;L56)+COUNTIFS($S$5:S56,1,$L$5:L56,L56))</f>
        <v/>
      </c>
    </row>
    <row r="57">
      <c r="A57" s="46" t="inlineStr">
        <is>
          <t>L-0053</t>
        </is>
      </c>
      <c r="B57" s="47" t="n">
        <v>46219</v>
      </c>
      <c r="C57" s="38" t="inlineStr">
        <is>
          <t>Quinn Jessup</t>
        </is>
      </c>
      <c r="D57" s="38" t="inlineStr">
        <is>
          <t>555-0154</t>
        </is>
      </c>
      <c r="E57" s="38" t="inlineStr">
        <is>
          <t>quinn.jessup@example.com</t>
        </is>
      </c>
      <c r="F57" s="38" t="inlineStr">
        <is>
          <t>Flyer / Door Hanger</t>
        </is>
      </c>
      <c r="G57" s="38" t="inlineStr">
        <is>
          <t>Move-In/Move-Out</t>
        </is>
      </c>
      <c r="H57" s="38" t="inlineStr">
        <is>
          <t>Sampletown</t>
        </is>
      </c>
      <c r="I57" s="48" t="n">
        <v>210</v>
      </c>
      <c r="J57" s="38" t="inlineStr">
        <is>
          <t>Lost/Declined</t>
        </is>
      </c>
      <c r="K57" s="47" t="n">
        <v>46222</v>
      </c>
      <c r="L57" s="47" t="n"/>
      <c r="M57" s="38" t="inlineStr">
        <is>
          <t>Price</t>
        </is>
      </c>
      <c r="N57" s="38" t="inlineStr"/>
      <c r="O57" s="49">
        <f>IF(C57="","",IF(OR(J57="Booked",J57="Recurring Client"),"Booked",IF(J57="Lost/Declined","Lost","Open")))</f>
        <v/>
      </c>
      <c r="P57" s="49">
        <f>IF(C57="","",IF(S57=0,"—",IF(L57="","Set date",IF(L57&lt;AsOf,"Overdue",IF(L57=AsOf,"Due today",IF(L57&lt;=AsOf+SoonDays,"Due soon","Scheduled"))))))</f>
        <v/>
      </c>
      <c r="Q57" s="50">
        <f>IF(C57="","",IF(B57="","",AsOf-B57))</f>
        <v/>
      </c>
      <c r="R57" s="49">
        <f>IF(C57="","",IF(O57&lt;&gt;"Booked","",IF(COUNTIF('CUSTOMERS'!$B$5:$B$404,C57)&gt;0,"✓ In CUSTOMERS","Add to CUSTOMERS")))</f>
        <v/>
      </c>
      <c r="S57" s="49">
        <f>IF(C57="","",IF(OR(J57="Booked",J57="Recurring Client",J57="Lost/Declined"),0,1))</f>
        <v/>
      </c>
      <c r="T57" s="51">
        <f>IF(B57="","",DATE(YEAR(B57),MONTH(B57),1))</f>
        <v/>
      </c>
      <c r="U57" s="49">
        <f>IF(OR(S57&lt;&gt;1,L57=""),"",COUNTIFS('LEADS'!$S$5:$S$504,1,'LEADS'!$L$5:$L$504,"&lt;"&amp;L57)+COUNTIFS($S$5:S57,1,$L$5:L57,L57))</f>
        <v/>
      </c>
    </row>
    <row r="58">
      <c r="A58" s="46" t="inlineStr">
        <is>
          <t>L-0054</t>
        </is>
      </c>
      <c r="B58" s="47" t="n">
        <v>46221</v>
      </c>
      <c r="C58" s="38" t="inlineStr">
        <is>
          <t>Quinn Ashworth</t>
        </is>
      </c>
      <c r="D58" s="38" t="inlineStr">
        <is>
          <t>555-0125</t>
        </is>
      </c>
      <c r="E58" s="38" t="inlineStr">
        <is>
          <t>quinn.ashworth@example.com</t>
        </is>
      </c>
      <c r="F58" s="38" t="inlineStr">
        <is>
          <t>Website Form</t>
        </is>
      </c>
      <c r="G58" s="38" t="inlineStr">
        <is>
          <t>Deep Clean</t>
        </is>
      </c>
      <c r="H58" s="38" t="inlineStr">
        <is>
          <t>Sampletown</t>
        </is>
      </c>
      <c r="I58" s="48" t="n">
        <v>400</v>
      </c>
      <c r="J58" s="38" t="inlineStr">
        <is>
          <t>Booked</t>
        </is>
      </c>
      <c r="K58" s="47" t="n">
        <v>46222</v>
      </c>
      <c r="L58" s="47" t="n"/>
      <c r="M58" s="38" t="n"/>
      <c r="N58" s="38" t="inlineStr"/>
      <c r="O58" s="49">
        <f>IF(C58="","",IF(OR(J58="Booked",J58="Recurring Client"),"Booked",IF(J58="Lost/Declined","Lost","Open")))</f>
        <v/>
      </c>
      <c r="P58" s="49">
        <f>IF(C58="","",IF(S58=0,"—",IF(L58="","Set date",IF(L58&lt;AsOf,"Overdue",IF(L58=AsOf,"Due today",IF(L58&lt;=AsOf+SoonDays,"Due soon","Scheduled"))))))</f>
        <v/>
      </c>
      <c r="Q58" s="50">
        <f>IF(C58="","",IF(B58="","",AsOf-B58))</f>
        <v/>
      </c>
      <c r="R58" s="49">
        <f>IF(C58="","",IF(O58&lt;&gt;"Booked","",IF(COUNTIF('CUSTOMERS'!$B$5:$B$404,C58)&gt;0,"✓ In CUSTOMERS","Add to CUSTOMERS")))</f>
        <v/>
      </c>
      <c r="S58" s="49">
        <f>IF(C58="","",IF(OR(J58="Booked",J58="Recurring Client",J58="Lost/Declined"),0,1))</f>
        <v/>
      </c>
      <c r="T58" s="51">
        <f>IF(B58="","",DATE(YEAR(B58),MONTH(B58),1))</f>
        <v/>
      </c>
      <c r="U58" s="49">
        <f>IF(OR(S58&lt;&gt;1,L58=""),"",COUNTIFS('LEADS'!$S$5:$S$504,1,'LEADS'!$L$5:$L$504,"&lt;"&amp;L58)+COUNTIFS($S$5:S58,1,$L$5:L58,L58))</f>
        <v/>
      </c>
    </row>
    <row r="59">
      <c r="A59" s="46" t="inlineStr">
        <is>
          <t>L-0055</t>
        </is>
      </c>
      <c r="B59" s="47" t="n">
        <v>46228</v>
      </c>
      <c r="C59" s="38" t="inlineStr">
        <is>
          <t>Kendall Sutton</t>
        </is>
      </c>
      <c r="D59" s="38" t="inlineStr">
        <is>
          <t>555-0120</t>
        </is>
      </c>
      <c r="E59" s="38" t="inlineStr">
        <is>
          <t>kendall.sutton@example.com</t>
        </is>
      </c>
      <c r="F59" s="38" t="inlineStr">
        <is>
          <t>Google Business Profile</t>
        </is>
      </c>
      <c r="G59" s="38" t="inlineStr">
        <is>
          <t>Deep Clean</t>
        </is>
      </c>
      <c r="H59" s="38" t="inlineStr">
        <is>
          <t>Lakeview (fictional)</t>
        </is>
      </c>
      <c r="I59" s="48" t="n">
        <v>685</v>
      </c>
      <c r="J59" s="38" t="inlineStr">
        <is>
          <t>Booked</t>
        </is>
      </c>
      <c r="K59" s="47" t="n">
        <v>46229</v>
      </c>
      <c r="L59" s="47" t="n"/>
      <c r="M59" s="38" t="n"/>
      <c r="N59" s="38" t="inlineStr"/>
      <c r="O59" s="49">
        <f>IF(C59="","",IF(OR(J59="Booked",J59="Recurring Client"),"Booked",IF(J59="Lost/Declined","Lost","Open")))</f>
        <v/>
      </c>
      <c r="P59" s="49">
        <f>IF(C59="","",IF(S59=0,"—",IF(L59="","Set date",IF(L59&lt;AsOf,"Overdue",IF(L59=AsOf,"Due today",IF(L59&lt;=AsOf+SoonDays,"Due soon","Scheduled"))))))</f>
        <v/>
      </c>
      <c r="Q59" s="50">
        <f>IF(C59="","",IF(B59="","",AsOf-B59))</f>
        <v/>
      </c>
      <c r="R59" s="49">
        <f>IF(C59="","",IF(O59&lt;&gt;"Booked","",IF(COUNTIF('CUSTOMERS'!$B$5:$B$404,C59)&gt;0,"✓ In CUSTOMERS","Add to CUSTOMERS")))</f>
        <v/>
      </c>
      <c r="S59" s="49">
        <f>IF(C59="","",IF(OR(J59="Booked",J59="Recurring Client",J59="Lost/Declined"),0,1))</f>
        <v/>
      </c>
      <c r="T59" s="51">
        <f>IF(B59="","",DATE(YEAR(B59),MONTH(B59),1))</f>
        <v/>
      </c>
      <c r="U59" s="49">
        <f>IF(OR(S59&lt;&gt;1,L59=""),"",COUNTIFS('LEADS'!$S$5:$S$504,1,'LEADS'!$L$5:$L$504,"&lt;"&amp;L59)+COUNTIFS($S$5:S59,1,$L$5:L59,L59))</f>
        <v/>
      </c>
    </row>
    <row r="60">
      <c r="A60" s="46" t="inlineStr">
        <is>
          <t>L-0056</t>
        </is>
      </c>
      <c r="B60" s="47" t="n">
        <v>46232</v>
      </c>
      <c r="C60" s="38" t="inlineStr">
        <is>
          <t>Harper Garrison</t>
        </is>
      </c>
      <c r="D60" s="38" t="inlineStr">
        <is>
          <t>555-0144</t>
        </is>
      </c>
      <c r="E60" s="38" t="inlineStr">
        <is>
          <t>harper.garrison@example.com</t>
        </is>
      </c>
      <c r="F60" s="38" t="inlineStr">
        <is>
          <t>Website Form</t>
        </is>
      </c>
      <c r="G60" s="38" t="inlineStr">
        <is>
          <t>Airbnb Turnover</t>
        </is>
      </c>
      <c r="H60" s="38" t="inlineStr">
        <is>
          <t>Lakeview (fictional)</t>
        </is>
      </c>
      <c r="I60" s="48" t="n">
        <v>210</v>
      </c>
      <c r="J60" s="38" t="inlineStr">
        <is>
          <t>Lost/Declined</t>
        </is>
      </c>
      <c r="K60" s="47" t="n">
        <v>46235</v>
      </c>
      <c r="L60" s="47" t="n"/>
      <c r="M60" s="38" t="inlineStr">
        <is>
          <t>Outside service area</t>
        </is>
      </c>
      <c r="N60" s="38" t="inlineStr"/>
      <c r="O60" s="49">
        <f>IF(C60="","",IF(OR(J60="Booked",J60="Recurring Client"),"Booked",IF(J60="Lost/Declined","Lost","Open")))</f>
        <v/>
      </c>
      <c r="P60" s="49">
        <f>IF(C60="","",IF(S60=0,"—",IF(L60="","Set date",IF(L60&lt;AsOf,"Overdue",IF(L60=AsOf,"Due today",IF(L60&lt;=AsOf+SoonDays,"Due soon","Scheduled"))))))</f>
        <v/>
      </c>
      <c r="Q60" s="50">
        <f>IF(C60="","",IF(B60="","",AsOf-B60))</f>
        <v/>
      </c>
      <c r="R60" s="49">
        <f>IF(C60="","",IF(O60&lt;&gt;"Booked","",IF(COUNTIF('CUSTOMERS'!$B$5:$B$404,C60)&gt;0,"✓ In CUSTOMERS","Add to CUSTOMERS")))</f>
        <v/>
      </c>
      <c r="S60" s="49">
        <f>IF(C60="","",IF(OR(J60="Booked",J60="Recurring Client",J60="Lost/Declined"),0,1))</f>
        <v/>
      </c>
      <c r="T60" s="51">
        <f>IF(B60="","",DATE(YEAR(B60),MONTH(B60),1))</f>
        <v/>
      </c>
      <c r="U60" s="49">
        <f>IF(OR(S60&lt;&gt;1,L60=""),"",COUNTIFS('LEADS'!$S$5:$S$504,1,'LEADS'!$L$5:$L$504,"&lt;"&amp;L60)+COUNTIFS($S$5:S60,1,$L$5:L60,L60))</f>
        <v/>
      </c>
    </row>
    <row r="61">
      <c r="A61" s="46" t="inlineStr">
        <is>
          <t>L-0057</t>
        </is>
      </c>
      <c r="B61" s="47" t="n">
        <v>46243</v>
      </c>
      <c r="C61" s="38" t="inlineStr">
        <is>
          <t>Emerson Delgado</t>
        </is>
      </c>
      <c r="D61" s="38" t="inlineStr">
        <is>
          <t>555-0137</t>
        </is>
      </c>
      <c r="E61" s="38" t="inlineStr">
        <is>
          <t>emerson.delgado@example.com</t>
        </is>
      </c>
      <c r="F61" s="38" t="inlineStr">
        <is>
          <t>Google Business Profile</t>
        </is>
      </c>
      <c r="G61" s="38" t="inlineStr">
        <is>
          <t>Move-In/Move-Out</t>
        </is>
      </c>
      <c r="H61" s="38" t="inlineStr">
        <is>
          <t>Sampletown</t>
        </is>
      </c>
      <c r="I61" s="48" t="n"/>
      <c r="J61" s="38" t="inlineStr">
        <is>
          <t>Lost/Declined</t>
        </is>
      </c>
      <c r="K61" s="47" t="n">
        <v>46248</v>
      </c>
      <c r="L61" s="47" t="n"/>
      <c r="M61" s="38" t="inlineStr">
        <is>
          <t>Price</t>
        </is>
      </c>
      <c r="N61" s="38" t="inlineStr"/>
      <c r="O61" s="49">
        <f>IF(C61="","",IF(OR(J61="Booked",J61="Recurring Client"),"Booked",IF(J61="Lost/Declined","Lost","Open")))</f>
        <v/>
      </c>
      <c r="P61" s="49">
        <f>IF(C61="","",IF(S61=0,"—",IF(L61="","Set date",IF(L61&lt;AsOf,"Overdue",IF(L61=AsOf,"Due today",IF(L61&lt;=AsOf+SoonDays,"Due soon","Scheduled"))))))</f>
        <v/>
      </c>
      <c r="Q61" s="50">
        <f>IF(C61="","",IF(B61="","",AsOf-B61))</f>
        <v/>
      </c>
      <c r="R61" s="49">
        <f>IF(C61="","",IF(O61&lt;&gt;"Booked","",IF(COUNTIF('CUSTOMERS'!$B$5:$B$404,C61)&gt;0,"✓ In CUSTOMERS","Add to CUSTOMERS")))</f>
        <v/>
      </c>
      <c r="S61" s="49">
        <f>IF(C61="","",IF(OR(J61="Booked",J61="Recurring Client",J61="Lost/Declined"),0,1))</f>
        <v/>
      </c>
      <c r="T61" s="51">
        <f>IF(B61="","",DATE(YEAR(B61),MONTH(B61),1))</f>
        <v/>
      </c>
      <c r="U61" s="49">
        <f>IF(OR(S61&lt;&gt;1,L61=""),"",COUNTIFS('LEADS'!$S$5:$S$504,1,'LEADS'!$L$5:$L$504,"&lt;"&amp;L61)+COUNTIFS($S$5:S61,1,$L$5:L61,L61))</f>
        <v/>
      </c>
    </row>
    <row r="62">
      <c r="A62" s="46" t="inlineStr">
        <is>
          <t>L-0058</t>
        </is>
      </c>
      <c r="B62" s="47" t="n">
        <v>46244</v>
      </c>
      <c r="C62" s="38" t="inlineStr">
        <is>
          <t>Emerson Calloway</t>
        </is>
      </c>
      <c r="D62" s="38" t="inlineStr">
        <is>
          <t>555-0117</t>
        </is>
      </c>
      <c r="E62" s="38" t="inlineStr">
        <is>
          <t>emerson.calloway@example.com</t>
        </is>
      </c>
      <c r="F62" s="38" t="inlineStr">
        <is>
          <t>Google Search</t>
        </is>
      </c>
      <c r="G62" s="38" t="inlineStr">
        <is>
          <t>Deep Clean</t>
        </is>
      </c>
      <c r="H62" s="38" t="inlineStr">
        <is>
          <t>North Sampletown</t>
        </is>
      </c>
      <c r="I62" s="48" t="n">
        <v>380</v>
      </c>
      <c r="J62" s="38" t="inlineStr">
        <is>
          <t>Booked</t>
        </is>
      </c>
      <c r="K62" s="47" t="n">
        <v>46245</v>
      </c>
      <c r="L62" s="47" t="n"/>
      <c r="M62" s="38" t="n"/>
      <c r="N62" s="38" t="inlineStr"/>
      <c r="O62" s="49">
        <f>IF(C62="","",IF(OR(J62="Booked",J62="Recurring Client"),"Booked",IF(J62="Lost/Declined","Lost","Open")))</f>
        <v/>
      </c>
      <c r="P62" s="49">
        <f>IF(C62="","",IF(S62=0,"—",IF(L62="","Set date",IF(L62&lt;AsOf,"Overdue",IF(L62=AsOf,"Due today",IF(L62&lt;=AsOf+SoonDays,"Due soon","Scheduled"))))))</f>
        <v/>
      </c>
      <c r="Q62" s="50">
        <f>IF(C62="","",IF(B62="","",AsOf-B62))</f>
        <v/>
      </c>
      <c r="R62" s="49">
        <f>IF(C62="","",IF(O62&lt;&gt;"Booked","",IF(COUNTIF('CUSTOMERS'!$B$5:$B$404,C62)&gt;0,"✓ In CUSTOMERS","Add to CUSTOMERS")))</f>
        <v/>
      </c>
      <c r="S62" s="49">
        <f>IF(C62="","",IF(OR(J62="Booked",J62="Recurring Client",J62="Lost/Declined"),0,1))</f>
        <v/>
      </c>
      <c r="T62" s="51">
        <f>IF(B62="","",DATE(YEAR(B62),MONTH(B62),1))</f>
        <v/>
      </c>
      <c r="U62" s="49">
        <f>IF(OR(S62&lt;&gt;1,L62=""),"",COUNTIFS('LEADS'!$S$5:$S$504,1,'LEADS'!$L$5:$L$504,"&lt;"&amp;L62)+COUNTIFS($S$5:S62,1,$L$5:L62,L62))</f>
        <v/>
      </c>
    </row>
    <row r="63">
      <c r="A63" s="46" t="inlineStr">
        <is>
          <t>L-0059</t>
        </is>
      </c>
      <c r="B63" s="47" t="n">
        <v>46249</v>
      </c>
      <c r="C63" s="38" t="inlineStr">
        <is>
          <t>Skyler Holloway</t>
        </is>
      </c>
      <c r="D63" s="38" t="inlineStr">
        <is>
          <t>555-0149</t>
        </is>
      </c>
      <c r="E63" s="38" t="inlineStr">
        <is>
          <t>skyler.holloway@example.com</t>
        </is>
      </c>
      <c r="F63" s="38" t="inlineStr">
        <is>
          <t>Facebook</t>
        </is>
      </c>
      <c r="G63" s="38" t="inlineStr">
        <is>
          <t>Airbnb Turnover</t>
        </is>
      </c>
      <c r="H63" s="38" t="inlineStr">
        <is>
          <t>Lakeview (fictional)</t>
        </is>
      </c>
      <c r="I63" s="48" t="n">
        <v>395</v>
      </c>
      <c r="J63" s="38" t="inlineStr">
        <is>
          <t>Lost/Declined</t>
        </is>
      </c>
      <c r="K63" s="47" t="n">
        <v>46251</v>
      </c>
      <c r="L63" s="47" t="n"/>
      <c r="M63" s="38" t="inlineStr">
        <is>
          <t>Price</t>
        </is>
      </c>
      <c r="N63" s="38" t="inlineStr"/>
      <c r="O63" s="49">
        <f>IF(C63="","",IF(OR(J63="Booked",J63="Recurring Client"),"Booked",IF(J63="Lost/Declined","Lost","Open")))</f>
        <v/>
      </c>
      <c r="P63" s="49">
        <f>IF(C63="","",IF(S63=0,"—",IF(L63="","Set date",IF(L63&lt;AsOf,"Overdue",IF(L63=AsOf,"Due today",IF(L63&lt;=AsOf+SoonDays,"Due soon","Scheduled"))))))</f>
        <v/>
      </c>
      <c r="Q63" s="50">
        <f>IF(C63="","",IF(B63="","",AsOf-B63))</f>
        <v/>
      </c>
      <c r="R63" s="49">
        <f>IF(C63="","",IF(O63&lt;&gt;"Booked","",IF(COUNTIF('CUSTOMERS'!$B$5:$B$404,C63)&gt;0,"✓ In CUSTOMERS","Add to CUSTOMERS")))</f>
        <v/>
      </c>
      <c r="S63" s="49">
        <f>IF(C63="","",IF(OR(J63="Booked",J63="Recurring Client",J63="Lost/Declined"),0,1))</f>
        <v/>
      </c>
      <c r="T63" s="51">
        <f>IF(B63="","",DATE(YEAR(B63),MONTH(B63),1))</f>
        <v/>
      </c>
      <c r="U63" s="49">
        <f>IF(OR(S63&lt;&gt;1,L63=""),"",COUNTIFS('LEADS'!$S$5:$S$504,1,'LEADS'!$L$5:$L$504,"&lt;"&amp;L63)+COUNTIFS($S$5:S63,1,$L$5:L63,L63))</f>
        <v/>
      </c>
    </row>
    <row r="64">
      <c r="A64" s="46" t="inlineStr">
        <is>
          <t>L-0060</t>
        </is>
      </c>
      <c r="B64" s="47" t="n">
        <v>46254</v>
      </c>
      <c r="C64" s="38" t="inlineStr">
        <is>
          <t>Peyton Merriweather</t>
        </is>
      </c>
      <c r="D64" s="38" t="inlineStr">
        <is>
          <t>555-0178</t>
        </is>
      </c>
      <c r="E64" s="38" t="inlineStr">
        <is>
          <t>peyton.merriweather@example.com</t>
        </is>
      </c>
      <c r="F64" s="38" t="inlineStr">
        <is>
          <t>Nextdoor</t>
        </is>
      </c>
      <c r="G64" s="38" t="inlineStr">
        <is>
          <t>Deep Clean</t>
        </is>
      </c>
      <c r="H64" s="38" t="inlineStr">
        <is>
          <t>Old Mill District</t>
        </is>
      </c>
      <c r="I64" s="48" t="n">
        <v>165</v>
      </c>
      <c r="J64" s="38" t="inlineStr">
        <is>
          <t>Follow-Up</t>
        </is>
      </c>
      <c r="K64" s="47" t="n">
        <v>46255</v>
      </c>
      <c r="L64" s="47" t="n">
        <v>46300</v>
      </c>
      <c r="M64" s="38" t="n"/>
      <c r="N64" s="38" t="inlineStr"/>
      <c r="O64" s="49">
        <f>IF(C64="","",IF(OR(J64="Booked",J64="Recurring Client"),"Booked",IF(J64="Lost/Declined","Lost","Open")))</f>
        <v/>
      </c>
      <c r="P64" s="49">
        <f>IF(C64="","",IF(S64=0,"—",IF(L64="","Set date",IF(L64&lt;AsOf,"Overdue",IF(L64=AsOf,"Due today",IF(L64&lt;=AsOf+SoonDays,"Due soon","Scheduled"))))))</f>
        <v/>
      </c>
      <c r="Q64" s="50">
        <f>IF(C64="","",IF(B64="","",AsOf-B64))</f>
        <v/>
      </c>
      <c r="R64" s="49">
        <f>IF(C64="","",IF(O64&lt;&gt;"Booked","",IF(COUNTIF('CUSTOMERS'!$B$5:$B$404,C64)&gt;0,"✓ In CUSTOMERS","Add to CUSTOMERS")))</f>
        <v/>
      </c>
      <c r="S64" s="49">
        <f>IF(C64="","",IF(OR(J64="Booked",J64="Recurring Client",J64="Lost/Declined"),0,1))</f>
        <v/>
      </c>
      <c r="T64" s="51">
        <f>IF(B64="","",DATE(YEAR(B64),MONTH(B64),1))</f>
        <v/>
      </c>
      <c r="U64" s="49">
        <f>IF(OR(S64&lt;&gt;1,L64=""),"",COUNTIFS('LEADS'!$S$5:$S$504,1,'LEADS'!$L$5:$L$504,"&lt;"&amp;L64)+COUNTIFS($S$5:S64,1,$L$5:L64,L64))</f>
        <v/>
      </c>
    </row>
    <row r="65">
      <c r="A65" s="46" t="inlineStr">
        <is>
          <t>L-0061</t>
        </is>
      </c>
      <c r="B65" s="47" t="n">
        <v>46257</v>
      </c>
      <c r="C65" s="38" t="inlineStr">
        <is>
          <t>Noel Everly</t>
        </is>
      </c>
      <c r="D65" s="38" t="inlineStr">
        <is>
          <t>555-0177</t>
        </is>
      </c>
      <c r="E65" s="38" t="inlineStr">
        <is>
          <t>noel.everly@example.com</t>
        </is>
      </c>
      <c r="F65" s="38" t="inlineStr">
        <is>
          <t>Google Search</t>
        </is>
      </c>
      <c r="G65" s="38" t="inlineStr">
        <is>
          <t>Move-In/Move-Out</t>
        </is>
      </c>
      <c r="H65" s="38" t="inlineStr">
        <is>
          <t>North Sampletown</t>
        </is>
      </c>
      <c r="I65" s="48" t="n">
        <v>190</v>
      </c>
      <c r="J65" s="38" t="inlineStr">
        <is>
          <t>Follow-Up</t>
        </is>
      </c>
      <c r="K65" s="47" t="n">
        <v>46258</v>
      </c>
      <c r="L65" s="47" t="n">
        <v>46298</v>
      </c>
      <c r="M65" s="38" t="n"/>
      <c r="N65" s="38" t="inlineStr"/>
      <c r="O65" s="49">
        <f>IF(C65="","",IF(OR(J65="Booked",J65="Recurring Client"),"Booked",IF(J65="Lost/Declined","Lost","Open")))</f>
        <v/>
      </c>
      <c r="P65" s="49">
        <f>IF(C65="","",IF(S65=0,"—",IF(L65="","Set date",IF(L65&lt;AsOf,"Overdue",IF(L65=AsOf,"Due today",IF(L65&lt;=AsOf+SoonDays,"Due soon","Scheduled"))))))</f>
        <v/>
      </c>
      <c r="Q65" s="50">
        <f>IF(C65="","",IF(B65="","",AsOf-B65))</f>
        <v/>
      </c>
      <c r="R65" s="49">
        <f>IF(C65="","",IF(O65&lt;&gt;"Booked","",IF(COUNTIF('CUSTOMERS'!$B$5:$B$404,C65)&gt;0,"✓ In CUSTOMERS","Add to CUSTOMERS")))</f>
        <v/>
      </c>
      <c r="S65" s="49">
        <f>IF(C65="","",IF(OR(J65="Booked",J65="Recurring Client",J65="Lost/Declined"),0,1))</f>
        <v/>
      </c>
      <c r="T65" s="51">
        <f>IF(B65="","",DATE(YEAR(B65),MONTH(B65),1))</f>
        <v/>
      </c>
      <c r="U65" s="49">
        <f>IF(OR(S65&lt;&gt;1,L65=""),"",COUNTIFS('LEADS'!$S$5:$S$504,1,'LEADS'!$L$5:$L$504,"&lt;"&amp;L65)+COUNTIFS($S$5:S65,1,$L$5:L65,L65))</f>
        <v/>
      </c>
    </row>
    <row r="66">
      <c r="A66" s="46" t="inlineStr">
        <is>
          <t>L-0062</t>
        </is>
      </c>
      <c r="B66" s="47" t="n">
        <v>46264</v>
      </c>
      <c r="C66" s="38" t="inlineStr">
        <is>
          <t>Harper Hayes</t>
        </is>
      </c>
      <c r="D66" s="38" t="inlineStr">
        <is>
          <t>555-0116</t>
        </is>
      </c>
      <c r="E66" s="38" t="inlineStr">
        <is>
          <t>harper.hayes@example.com</t>
        </is>
      </c>
      <c r="F66" s="38" t="inlineStr">
        <is>
          <t>Referral</t>
        </is>
      </c>
      <c r="G66" s="38" t="inlineStr">
        <is>
          <t>Deep Clean</t>
        </is>
      </c>
      <c r="H66" s="38" t="inlineStr">
        <is>
          <t>North Sampletown</t>
        </is>
      </c>
      <c r="I66" s="48" t="n">
        <v>365</v>
      </c>
      <c r="J66" s="38" t="inlineStr">
        <is>
          <t>Booked</t>
        </is>
      </c>
      <c r="K66" s="47" t="n">
        <v>46265</v>
      </c>
      <c r="L66" s="47" t="n"/>
      <c r="M66" s="38" t="n"/>
      <c r="N66" s="38" t="inlineStr"/>
      <c r="O66" s="49">
        <f>IF(C66="","",IF(OR(J66="Booked",J66="Recurring Client"),"Booked",IF(J66="Lost/Declined","Lost","Open")))</f>
        <v/>
      </c>
      <c r="P66" s="49">
        <f>IF(C66="","",IF(S66=0,"—",IF(L66="","Set date",IF(L66&lt;AsOf,"Overdue",IF(L66=AsOf,"Due today",IF(L66&lt;=AsOf+SoonDays,"Due soon","Scheduled"))))))</f>
        <v/>
      </c>
      <c r="Q66" s="50">
        <f>IF(C66="","",IF(B66="","",AsOf-B66))</f>
        <v/>
      </c>
      <c r="R66" s="49">
        <f>IF(C66="","",IF(O66&lt;&gt;"Booked","",IF(COUNTIF('CUSTOMERS'!$B$5:$B$404,C66)&gt;0,"✓ In CUSTOMERS","Add to CUSTOMERS")))</f>
        <v/>
      </c>
      <c r="S66" s="49">
        <f>IF(C66="","",IF(OR(J66="Booked",J66="Recurring Client",J66="Lost/Declined"),0,1))</f>
        <v/>
      </c>
      <c r="T66" s="51">
        <f>IF(B66="","",DATE(YEAR(B66),MONTH(B66),1))</f>
        <v/>
      </c>
      <c r="U66" s="49">
        <f>IF(OR(S66&lt;&gt;1,L66=""),"",COUNTIFS('LEADS'!$S$5:$S$504,1,'LEADS'!$L$5:$L$504,"&lt;"&amp;L66)+COUNTIFS($S$5:S66,1,$L$5:L66,L66))</f>
        <v/>
      </c>
    </row>
    <row r="67">
      <c r="A67" s="46" t="inlineStr">
        <is>
          <t>L-0063</t>
        </is>
      </c>
      <c r="B67" s="47" t="n">
        <v>46264</v>
      </c>
      <c r="C67" s="38" t="inlineStr">
        <is>
          <t>Emerson Whitaker</t>
        </is>
      </c>
      <c r="D67" s="38" t="inlineStr">
        <is>
          <t>555-0176</t>
        </is>
      </c>
      <c r="E67" s="38" t="inlineStr">
        <is>
          <t>emerson.whitaker@example.com</t>
        </is>
      </c>
      <c r="F67" s="38" t="inlineStr">
        <is>
          <t>Google Search</t>
        </is>
      </c>
      <c r="G67" s="38" t="inlineStr">
        <is>
          <t>Commercial Clean</t>
        </is>
      </c>
      <c r="H67" s="38" t="inlineStr">
        <is>
          <t>North Sampletown</t>
        </is>
      </c>
      <c r="I67" s="48" t="n">
        <v>165</v>
      </c>
      <c r="J67" s="38" t="inlineStr">
        <is>
          <t>Follow-Up</t>
        </is>
      </c>
      <c r="K67" s="47" t="n">
        <v>46265</v>
      </c>
      <c r="L67" s="47" t="n">
        <v>46294</v>
      </c>
      <c r="M67" s="38" t="n"/>
      <c r="N67" s="38" t="inlineStr"/>
      <c r="O67" s="49">
        <f>IF(C67="","",IF(OR(J67="Booked",J67="Recurring Client"),"Booked",IF(J67="Lost/Declined","Lost","Open")))</f>
        <v/>
      </c>
      <c r="P67" s="49">
        <f>IF(C67="","",IF(S67=0,"—",IF(L67="","Set date",IF(L67&lt;AsOf,"Overdue",IF(L67=AsOf,"Due today",IF(L67&lt;=AsOf+SoonDays,"Due soon","Scheduled"))))))</f>
        <v/>
      </c>
      <c r="Q67" s="50">
        <f>IF(C67="","",IF(B67="","",AsOf-B67))</f>
        <v/>
      </c>
      <c r="R67" s="49">
        <f>IF(C67="","",IF(O67&lt;&gt;"Booked","",IF(COUNTIF('CUSTOMERS'!$B$5:$B$404,C67)&gt;0,"✓ In CUSTOMERS","Add to CUSTOMERS")))</f>
        <v/>
      </c>
      <c r="S67" s="49">
        <f>IF(C67="","",IF(OR(J67="Booked",J67="Recurring Client",J67="Lost/Declined"),0,1))</f>
        <v/>
      </c>
      <c r="T67" s="51">
        <f>IF(B67="","",DATE(YEAR(B67),MONTH(B67),1))</f>
        <v/>
      </c>
      <c r="U67" s="49">
        <f>IF(OR(S67&lt;&gt;1,L67=""),"",COUNTIFS('LEADS'!$S$5:$S$504,1,'LEADS'!$L$5:$L$504,"&lt;"&amp;L67)+COUNTIFS($S$5:S67,1,$L$5:L67,L67))</f>
        <v/>
      </c>
    </row>
    <row r="68">
      <c r="A68" s="46" t="inlineStr">
        <is>
          <t>L-0064</t>
        </is>
      </c>
      <c r="B68" s="47" t="n">
        <v>46273</v>
      </c>
      <c r="C68" s="38" t="inlineStr">
        <is>
          <t>Sage Sterling</t>
        </is>
      </c>
      <c r="D68" s="38" t="inlineStr">
        <is>
          <t>555-0175</t>
        </is>
      </c>
      <c r="E68" s="38" t="inlineStr">
        <is>
          <t>sage.sterling@example.com</t>
        </is>
      </c>
      <c r="F68" s="38" t="inlineStr">
        <is>
          <t>Nextdoor</t>
        </is>
      </c>
      <c r="G68" s="38" t="inlineStr">
        <is>
          <t>Airbnb Turnover</t>
        </is>
      </c>
      <c r="H68" s="38" t="inlineStr">
        <is>
          <t>North Sampletown</t>
        </is>
      </c>
      <c r="I68" s="48" t="n">
        <v>520</v>
      </c>
      <c r="J68" s="38" t="inlineStr">
        <is>
          <t>Quote Sent</t>
        </is>
      </c>
      <c r="K68" s="47" t="n">
        <v>46274</v>
      </c>
      <c r="L68" s="47" t="n">
        <v>46291</v>
      </c>
      <c r="M68" s="38" t="n"/>
      <c r="N68" s="38" t="inlineStr"/>
      <c r="O68" s="49">
        <f>IF(C68="","",IF(OR(J68="Booked",J68="Recurring Client"),"Booked",IF(J68="Lost/Declined","Lost","Open")))</f>
        <v/>
      </c>
      <c r="P68" s="49">
        <f>IF(C68="","",IF(S68=0,"—",IF(L68="","Set date",IF(L68&lt;AsOf,"Overdue",IF(L68=AsOf,"Due today",IF(L68&lt;=AsOf+SoonDays,"Due soon","Scheduled"))))))</f>
        <v/>
      </c>
      <c r="Q68" s="50">
        <f>IF(C68="","",IF(B68="","",AsOf-B68))</f>
        <v/>
      </c>
      <c r="R68" s="49">
        <f>IF(C68="","",IF(O68&lt;&gt;"Booked","",IF(COUNTIF('CUSTOMERS'!$B$5:$B$404,C68)&gt;0,"✓ In CUSTOMERS","Add to CUSTOMERS")))</f>
        <v/>
      </c>
      <c r="S68" s="49">
        <f>IF(C68="","",IF(OR(J68="Booked",J68="Recurring Client",J68="Lost/Declined"),0,1))</f>
        <v/>
      </c>
      <c r="T68" s="51">
        <f>IF(B68="","",DATE(YEAR(B68),MONTH(B68),1))</f>
        <v/>
      </c>
      <c r="U68" s="49">
        <f>IF(OR(S68&lt;&gt;1,L68=""),"",COUNTIFS('LEADS'!$S$5:$S$504,1,'LEADS'!$L$5:$L$504,"&lt;"&amp;L68)+COUNTIFS($S$5:S68,1,$L$5:L68,L68))</f>
        <v/>
      </c>
    </row>
    <row r="69">
      <c r="A69" s="46" t="inlineStr">
        <is>
          <t>L-0065</t>
        </is>
      </c>
      <c r="B69" s="47" t="n">
        <v>46280</v>
      </c>
      <c r="C69" s="38" t="inlineStr">
        <is>
          <t>Morgan Ivers</t>
        </is>
      </c>
      <c r="D69" s="38" t="inlineStr">
        <is>
          <t>555-0174</t>
        </is>
      </c>
      <c r="E69" s="38" t="inlineStr">
        <is>
          <t>morgan.ivers@example.com</t>
        </is>
      </c>
      <c r="F69" s="38" t="inlineStr">
        <is>
          <t>Website Form</t>
        </is>
      </c>
      <c r="G69" s="38" t="inlineStr">
        <is>
          <t>Commercial Clean</t>
        </is>
      </c>
      <c r="H69" s="38" t="inlineStr">
        <is>
          <t>Old Mill District</t>
        </is>
      </c>
      <c r="I69" s="48" t="n">
        <v>240</v>
      </c>
      <c r="J69" s="38" t="inlineStr">
        <is>
          <t>Quote Sent</t>
        </is>
      </c>
      <c r="K69" s="47" t="n">
        <v>46281</v>
      </c>
      <c r="L69" s="47" t="n">
        <v>46297</v>
      </c>
      <c r="M69" s="38" t="n"/>
      <c r="N69" s="38" t="inlineStr"/>
      <c r="O69" s="49">
        <f>IF(C69="","",IF(OR(J69="Booked",J69="Recurring Client"),"Booked",IF(J69="Lost/Declined","Lost","Open")))</f>
        <v/>
      </c>
      <c r="P69" s="49">
        <f>IF(C69="","",IF(S69=0,"—",IF(L69="","Set date",IF(L69&lt;AsOf,"Overdue",IF(L69=AsOf,"Due today",IF(L69&lt;=AsOf+SoonDays,"Due soon","Scheduled"))))))</f>
        <v/>
      </c>
      <c r="Q69" s="50">
        <f>IF(C69="","",IF(B69="","",AsOf-B69))</f>
        <v/>
      </c>
      <c r="R69" s="49">
        <f>IF(C69="","",IF(O69&lt;&gt;"Booked","",IF(COUNTIF('CUSTOMERS'!$B$5:$B$404,C69)&gt;0,"✓ In CUSTOMERS","Add to CUSTOMERS")))</f>
        <v/>
      </c>
      <c r="S69" s="49">
        <f>IF(C69="","",IF(OR(J69="Booked",J69="Recurring Client",J69="Lost/Declined"),0,1))</f>
        <v/>
      </c>
      <c r="T69" s="51">
        <f>IF(B69="","",DATE(YEAR(B69),MONTH(B69),1))</f>
        <v/>
      </c>
      <c r="U69" s="49">
        <f>IF(OR(S69&lt;&gt;1,L69=""),"",COUNTIFS('LEADS'!$S$5:$S$504,1,'LEADS'!$L$5:$L$504,"&lt;"&amp;L69)+COUNTIFS($S$5:S69,1,$L$5:L69,L69))</f>
        <v/>
      </c>
    </row>
    <row r="70">
      <c r="A70" s="46" t="inlineStr">
        <is>
          <t>L-0066</t>
        </is>
      </c>
      <c r="B70" s="47" t="n">
        <v>46283</v>
      </c>
      <c r="C70" s="38" t="inlineStr">
        <is>
          <t>Sage Calloway</t>
        </is>
      </c>
      <c r="D70" s="38" t="inlineStr">
        <is>
          <t>555-0173</t>
        </is>
      </c>
      <c r="E70" s="38" t="inlineStr">
        <is>
          <t>sage.calloway@example.com</t>
        </is>
      </c>
      <c r="F70" s="38" t="inlineStr">
        <is>
          <t>Flyer / Door Hanger</t>
        </is>
      </c>
      <c r="G70" s="38" t="inlineStr">
        <is>
          <t>Commercial Clean</t>
        </is>
      </c>
      <c r="H70" s="38" t="inlineStr">
        <is>
          <t>Lakeview (fictional)</t>
        </is>
      </c>
      <c r="I70" s="48" t="n">
        <v>365</v>
      </c>
      <c r="J70" s="38" t="inlineStr">
        <is>
          <t>Quote Sent</t>
        </is>
      </c>
      <c r="K70" s="47" t="n">
        <v>46284</v>
      </c>
      <c r="L70" s="47" t="n">
        <v>46292</v>
      </c>
      <c r="M70" s="38" t="n"/>
      <c r="N70" s="38" t="inlineStr"/>
      <c r="O70" s="49">
        <f>IF(C70="","",IF(OR(J70="Booked",J70="Recurring Client"),"Booked",IF(J70="Lost/Declined","Lost","Open")))</f>
        <v/>
      </c>
      <c r="P70" s="49">
        <f>IF(C70="","",IF(S70=0,"—",IF(L70="","Set date",IF(L70&lt;AsOf,"Overdue",IF(L70=AsOf,"Due today",IF(L70&lt;=AsOf+SoonDays,"Due soon","Scheduled"))))))</f>
        <v/>
      </c>
      <c r="Q70" s="50">
        <f>IF(C70="","",IF(B70="","",AsOf-B70))</f>
        <v/>
      </c>
      <c r="R70" s="49">
        <f>IF(C70="","",IF(O70&lt;&gt;"Booked","",IF(COUNTIF('CUSTOMERS'!$B$5:$B$404,C70)&gt;0,"✓ In CUSTOMERS","Add to CUSTOMERS")))</f>
        <v/>
      </c>
      <c r="S70" s="49">
        <f>IF(C70="","",IF(OR(J70="Booked",J70="Recurring Client",J70="Lost/Declined"),0,1))</f>
        <v/>
      </c>
      <c r="T70" s="51">
        <f>IF(B70="","",DATE(YEAR(B70),MONTH(B70),1))</f>
        <v/>
      </c>
      <c r="U70" s="49">
        <f>IF(OR(S70&lt;&gt;1,L70=""),"",COUNTIFS('LEADS'!$S$5:$S$504,1,'LEADS'!$L$5:$L$504,"&lt;"&amp;L70)+COUNTIFS($S$5:S70,1,$L$5:L70,L70))</f>
        <v/>
      </c>
    </row>
    <row r="71">
      <c r="A71" s="46" t="inlineStr">
        <is>
          <t>L-0067</t>
        </is>
      </c>
      <c r="B71" s="47" t="n">
        <v>46286</v>
      </c>
      <c r="C71" s="38" t="inlineStr">
        <is>
          <t>Parker Ransford</t>
        </is>
      </c>
      <c r="D71" s="38" t="inlineStr">
        <is>
          <t>555-0172</t>
        </is>
      </c>
      <c r="E71" s="38" t="inlineStr">
        <is>
          <t>parker.ransford@example.com</t>
        </is>
      </c>
      <c r="F71" s="38" t="inlineStr">
        <is>
          <t>Referral</t>
        </is>
      </c>
      <c r="G71" s="38" t="inlineStr">
        <is>
          <t>Standard Clean</t>
        </is>
      </c>
      <c r="H71" s="38" t="inlineStr">
        <is>
          <t>Sampletown</t>
        </is>
      </c>
      <c r="I71" s="48" t="n">
        <v>420</v>
      </c>
      <c r="J71" s="38" t="inlineStr">
        <is>
          <t>Quote Sent</t>
        </is>
      </c>
      <c r="K71" s="47" t="n">
        <v>46287</v>
      </c>
      <c r="L71" s="47" t="n">
        <v>46296</v>
      </c>
      <c r="M71" s="38" t="n"/>
      <c r="N71" s="38" t="inlineStr"/>
      <c r="O71" s="49">
        <f>IF(C71="","",IF(OR(J71="Booked",J71="Recurring Client"),"Booked",IF(J71="Lost/Declined","Lost","Open")))</f>
        <v/>
      </c>
      <c r="P71" s="49">
        <f>IF(C71="","",IF(S71=0,"—",IF(L71="","Set date",IF(L71&lt;AsOf,"Overdue",IF(L71=AsOf,"Due today",IF(L71&lt;=AsOf+SoonDays,"Due soon","Scheduled"))))))</f>
        <v/>
      </c>
      <c r="Q71" s="50">
        <f>IF(C71="","",IF(B71="","",AsOf-B71))</f>
        <v/>
      </c>
      <c r="R71" s="49">
        <f>IF(C71="","",IF(O71&lt;&gt;"Booked","",IF(COUNTIF('CUSTOMERS'!$B$5:$B$404,C71)&gt;0,"✓ In CUSTOMERS","Add to CUSTOMERS")))</f>
        <v/>
      </c>
      <c r="S71" s="49">
        <f>IF(C71="","",IF(OR(J71="Booked",J71="Recurring Client",J71="Lost/Declined"),0,1))</f>
        <v/>
      </c>
      <c r="T71" s="51">
        <f>IF(B71="","",DATE(YEAR(B71),MONTH(B71),1))</f>
        <v/>
      </c>
      <c r="U71" s="49">
        <f>IF(OR(S71&lt;&gt;1,L71=""),"",COUNTIFS('LEADS'!$S$5:$S$504,1,'LEADS'!$L$5:$L$504,"&lt;"&amp;L71)+COUNTIFS($S$5:S71,1,$L$5:L71,L71))</f>
        <v/>
      </c>
    </row>
    <row r="72">
      <c r="A72" s="46" t="inlineStr">
        <is>
          <t>L-0068</t>
        </is>
      </c>
      <c r="B72" s="47" t="n">
        <v>46287</v>
      </c>
      <c r="C72" s="38" t="inlineStr">
        <is>
          <t>Casey Sterling</t>
        </is>
      </c>
      <c r="D72" s="38" t="inlineStr">
        <is>
          <t>555-0169</t>
        </is>
      </c>
      <c r="E72" s="38" t="inlineStr">
        <is>
          <t>casey.sterling@example.com</t>
        </is>
      </c>
      <c r="F72" s="38" t="inlineStr">
        <is>
          <t>Referral</t>
        </is>
      </c>
      <c r="G72" s="38" t="inlineStr">
        <is>
          <t>Airbnb Turnover</t>
        </is>
      </c>
      <c r="H72" s="38" t="inlineStr">
        <is>
          <t>North Sampletown</t>
        </is>
      </c>
      <c r="I72" s="48" t="n"/>
      <c r="J72" s="38" t="inlineStr">
        <is>
          <t>Contacted</t>
        </is>
      </c>
      <c r="K72" s="47" t="n">
        <v>46288</v>
      </c>
      <c r="L72" s="47" t="n">
        <v>46297</v>
      </c>
      <c r="M72" s="38" t="n"/>
      <c r="N72" s="38" t="inlineStr"/>
      <c r="O72" s="49">
        <f>IF(C72="","",IF(OR(J72="Booked",J72="Recurring Client"),"Booked",IF(J72="Lost/Declined","Lost","Open")))</f>
        <v/>
      </c>
      <c r="P72" s="49">
        <f>IF(C72="","",IF(S72=0,"—",IF(L72="","Set date",IF(L72&lt;AsOf,"Overdue",IF(L72=AsOf,"Due today",IF(L72&lt;=AsOf+SoonDays,"Due soon","Scheduled"))))))</f>
        <v/>
      </c>
      <c r="Q72" s="50">
        <f>IF(C72="","",IF(B72="","",AsOf-B72))</f>
        <v/>
      </c>
      <c r="R72" s="49">
        <f>IF(C72="","",IF(O72&lt;&gt;"Booked","",IF(COUNTIF('CUSTOMERS'!$B$5:$B$404,C72)&gt;0,"✓ In CUSTOMERS","Add to CUSTOMERS")))</f>
        <v/>
      </c>
      <c r="S72" s="49">
        <f>IF(C72="","",IF(OR(J72="Booked",J72="Recurring Client",J72="Lost/Declined"),0,1))</f>
        <v/>
      </c>
      <c r="T72" s="51">
        <f>IF(B72="","",DATE(YEAR(B72),MONTH(B72),1))</f>
        <v/>
      </c>
      <c r="U72" s="49">
        <f>IF(OR(S72&lt;&gt;1,L72=""),"",COUNTIFS('LEADS'!$S$5:$S$504,1,'LEADS'!$L$5:$L$504,"&lt;"&amp;L72)+COUNTIFS($S$5:S72,1,$L$5:L72,L72))</f>
        <v/>
      </c>
    </row>
    <row r="73">
      <c r="A73" s="46" t="inlineStr">
        <is>
          <t>L-0069</t>
        </is>
      </c>
      <c r="B73" s="47" t="n">
        <v>46288</v>
      </c>
      <c r="C73" s="38" t="inlineStr">
        <is>
          <t>Blair Sutton</t>
        </is>
      </c>
      <c r="D73" s="38" t="inlineStr">
        <is>
          <t>555-0171</t>
        </is>
      </c>
      <c r="E73" s="38" t="inlineStr">
        <is>
          <t>blair.sutton@example.com</t>
        </is>
      </c>
      <c r="F73" s="38" t="inlineStr">
        <is>
          <t>Instagram</t>
        </is>
      </c>
      <c r="G73" s="38" t="inlineStr">
        <is>
          <t>Airbnb Turnover</t>
        </is>
      </c>
      <c r="H73" s="38" t="inlineStr">
        <is>
          <t>Riverbend (fictional)</t>
        </is>
      </c>
      <c r="I73" s="48" t="n"/>
      <c r="J73" s="38" t="inlineStr">
        <is>
          <t>Quote Requested</t>
        </is>
      </c>
      <c r="K73" s="47" t="n">
        <v>46289</v>
      </c>
      <c r="L73" s="47" t="n">
        <v>46294</v>
      </c>
      <c r="M73" s="38" t="n"/>
      <c r="N73" s="38" t="inlineStr"/>
      <c r="O73" s="49">
        <f>IF(C73="","",IF(OR(J73="Booked",J73="Recurring Client"),"Booked",IF(J73="Lost/Declined","Lost","Open")))</f>
        <v/>
      </c>
      <c r="P73" s="49">
        <f>IF(C73="","",IF(S73=0,"—",IF(L73="","Set date",IF(L73&lt;AsOf,"Overdue",IF(L73=AsOf,"Due today",IF(L73&lt;=AsOf+SoonDays,"Due soon","Scheduled"))))))</f>
        <v/>
      </c>
      <c r="Q73" s="50">
        <f>IF(C73="","",IF(B73="","",AsOf-B73))</f>
        <v/>
      </c>
      <c r="R73" s="49">
        <f>IF(C73="","",IF(O73&lt;&gt;"Booked","",IF(COUNTIF('CUSTOMERS'!$B$5:$B$404,C73)&gt;0,"✓ In CUSTOMERS","Add to CUSTOMERS")))</f>
        <v/>
      </c>
      <c r="S73" s="49">
        <f>IF(C73="","",IF(OR(J73="Booked",J73="Recurring Client",J73="Lost/Declined"),0,1))</f>
        <v/>
      </c>
      <c r="T73" s="51">
        <f>IF(B73="","",DATE(YEAR(B73),MONTH(B73),1))</f>
        <v/>
      </c>
      <c r="U73" s="49">
        <f>IF(OR(S73&lt;&gt;1,L73=""),"",COUNTIFS('LEADS'!$S$5:$S$504,1,'LEADS'!$L$5:$L$504,"&lt;"&amp;L73)+COUNTIFS($S$5:S73,1,$L$5:L73,L73))</f>
        <v/>
      </c>
    </row>
    <row r="74">
      <c r="A74" s="46" t="inlineStr">
        <is>
          <t>L-0070</t>
        </is>
      </c>
      <c r="B74" s="47" t="n">
        <v>46290</v>
      </c>
      <c r="C74" s="38" t="inlineStr">
        <is>
          <t>Lane Garrison</t>
        </is>
      </c>
      <c r="D74" s="38" t="inlineStr">
        <is>
          <t>555-0167</t>
        </is>
      </c>
      <c r="E74" s="38" t="inlineStr">
        <is>
          <t>lane.garrison@example.com</t>
        </is>
      </c>
      <c r="F74" s="38" t="inlineStr">
        <is>
          <t>Flyer / Door Hanger</t>
        </is>
      </c>
      <c r="G74" s="38" t="inlineStr">
        <is>
          <t>Commercial Clean</t>
        </is>
      </c>
      <c r="H74" s="38" t="inlineStr">
        <is>
          <t>Lakeview (fictional)</t>
        </is>
      </c>
      <c r="I74" s="48" t="n"/>
      <c r="J74" s="38" t="inlineStr">
        <is>
          <t>Contacted</t>
        </is>
      </c>
      <c r="K74" s="47" t="n">
        <v>46291</v>
      </c>
      <c r="L74" s="47" t="n">
        <v>46295</v>
      </c>
      <c r="M74" s="38" t="n"/>
      <c r="N74" s="38" t="inlineStr"/>
      <c r="O74" s="49">
        <f>IF(C74="","",IF(OR(J74="Booked",J74="Recurring Client"),"Booked",IF(J74="Lost/Declined","Lost","Open")))</f>
        <v/>
      </c>
      <c r="P74" s="49">
        <f>IF(C74="","",IF(S74=0,"—",IF(L74="","Set date",IF(L74&lt;AsOf,"Overdue",IF(L74=AsOf,"Due today",IF(L74&lt;=AsOf+SoonDays,"Due soon","Scheduled"))))))</f>
        <v/>
      </c>
      <c r="Q74" s="50">
        <f>IF(C74="","",IF(B74="","",AsOf-B74))</f>
        <v/>
      </c>
      <c r="R74" s="49">
        <f>IF(C74="","",IF(O74&lt;&gt;"Booked","",IF(COUNTIF('CUSTOMERS'!$B$5:$B$404,C74)&gt;0,"✓ In CUSTOMERS","Add to CUSTOMERS")))</f>
        <v/>
      </c>
      <c r="S74" s="49">
        <f>IF(C74="","",IF(OR(J74="Booked",J74="Recurring Client",J74="Lost/Declined"),0,1))</f>
        <v/>
      </c>
      <c r="T74" s="51">
        <f>IF(B74="","",DATE(YEAR(B74),MONTH(B74),1))</f>
        <v/>
      </c>
      <c r="U74" s="49">
        <f>IF(OR(S74&lt;&gt;1,L74=""),"",COUNTIFS('LEADS'!$S$5:$S$504,1,'LEADS'!$L$5:$L$504,"&lt;"&amp;L74)+COUNTIFS($S$5:S74,1,$L$5:L74,L74))</f>
        <v/>
      </c>
    </row>
    <row r="75">
      <c r="A75" s="46" t="inlineStr">
        <is>
          <t>L-0071</t>
        </is>
      </c>
      <c r="B75" s="47" t="n">
        <v>46290</v>
      </c>
      <c r="C75" s="38" t="inlineStr">
        <is>
          <t>Marlow Delgado</t>
        </is>
      </c>
      <c r="D75" s="38" t="inlineStr">
        <is>
          <t>555-0168</t>
        </is>
      </c>
      <c r="E75" s="38" t="inlineStr">
        <is>
          <t>marlow.delgado@example.com</t>
        </is>
      </c>
      <c r="F75" s="38" t="inlineStr">
        <is>
          <t>Website Form</t>
        </is>
      </c>
      <c r="G75" s="38" t="inlineStr">
        <is>
          <t>Airbnb Turnover</t>
        </is>
      </c>
      <c r="H75" s="38" t="inlineStr">
        <is>
          <t>Sampletown</t>
        </is>
      </c>
      <c r="I75" s="48" t="n"/>
      <c r="J75" s="38" t="inlineStr">
        <is>
          <t>Contacted</t>
        </is>
      </c>
      <c r="K75" s="47" t="n">
        <v>46291</v>
      </c>
      <c r="L75" s="47" t="n">
        <v>46293</v>
      </c>
      <c r="M75" s="38" t="n"/>
      <c r="N75" s="38" t="inlineStr"/>
      <c r="O75" s="49">
        <f>IF(C75="","",IF(OR(J75="Booked",J75="Recurring Client"),"Booked",IF(J75="Lost/Declined","Lost","Open")))</f>
        <v/>
      </c>
      <c r="P75" s="49">
        <f>IF(C75="","",IF(S75=0,"—",IF(L75="","Set date",IF(L75&lt;AsOf,"Overdue",IF(L75=AsOf,"Due today",IF(L75&lt;=AsOf+SoonDays,"Due soon","Scheduled"))))))</f>
        <v/>
      </c>
      <c r="Q75" s="50">
        <f>IF(C75="","",IF(B75="","",AsOf-B75))</f>
        <v/>
      </c>
      <c r="R75" s="49">
        <f>IF(C75="","",IF(O75&lt;&gt;"Booked","",IF(COUNTIF('CUSTOMERS'!$B$5:$B$404,C75)&gt;0,"✓ In CUSTOMERS","Add to CUSTOMERS")))</f>
        <v/>
      </c>
      <c r="S75" s="49">
        <f>IF(C75="","",IF(OR(J75="Booked",J75="Recurring Client",J75="Lost/Declined"),0,1))</f>
        <v/>
      </c>
      <c r="T75" s="51">
        <f>IF(B75="","",DATE(YEAR(B75),MONTH(B75),1))</f>
        <v/>
      </c>
      <c r="U75" s="49">
        <f>IF(OR(S75&lt;&gt;1,L75=""),"",COUNTIFS('LEADS'!$S$5:$S$504,1,'LEADS'!$L$5:$L$504,"&lt;"&amp;L75)+COUNTIFS($S$5:S75,1,$L$5:L75,L75))</f>
        <v/>
      </c>
    </row>
    <row r="76">
      <c r="A76" s="46" t="inlineStr">
        <is>
          <t>L-0072</t>
        </is>
      </c>
      <c r="B76" s="47" t="n">
        <v>46292</v>
      </c>
      <c r="C76" s="38" t="inlineStr">
        <is>
          <t>Jamie Sutton</t>
        </is>
      </c>
      <c r="D76" s="38" t="inlineStr">
        <is>
          <t>555-0166</t>
        </is>
      </c>
      <c r="E76" s="38" t="inlineStr">
        <is>
          <t>jamie.sutton@example.com</t>
        </is>
      </c>
      <c r="F76" s="38" t="inlineStr">
        <is>
          <t>Nextdoor</t>
        </is>
      </c>
      <c r="G76" s="38" t="inlineStr">
        <is>
          <t>Commercial Clean</t>
        </is>
      </c>
      <c r="H76" s="38" t="inlineStr">
        <is>
          <t>North Sampletown</t>
        </is>
      </c>
      <c r="I76" s="48" t="n"/>
      <c r="J76" s="38" t="inlineStr">
        <is>
          <t>New Lead</t>
        </is>
      </c>
      <c r="K76" s="47" t="n">
        <v>46293</v>
      </c>
      <c r="L76" s="47" t="n">
        <v>46294</v>
      </c>
      <c r="M76" s="38" t="n"/>
      <c r="N76" s="38" t="inlineStr"/>
      <c r="O76" s="49">
        <f>IF(C76="","",IF(OR(J76="Booked",J76="Recurring Client"),"Booked",IF(J76="Lost/Declined","Lost","Open")))</f>
        <v/>
      </c>
      <c r="P76" s="49">
        <f>IF(C76="","",IF(S76=0,"—",IF(L76="","Set date",IF(L76&lt;AsOf,"Overdue",IF(L76=AsOf,"Due today",IF(L76&lt;=AsOf+SoonDays,"Due soon","Scheduled"))))))</f>
        <v/>
      </c>
      <c r="Q76" s="50">
        <f>IF(C76="","",IF(B76="","",AsOf-B76))</f>
        <v/>
      </c>
      <c r="R76" s="49">
        <f>IF(C76="","",IF(O76&lt;&gt;"Booked","",IF(COUNTIF('CUSTOMERS'!$B$5:$B$404,C76)&gt;0,"✓ In CUSTOMERS","Add to CUSTOMERS")))</f>
        <v/>
      </c>
      <c r="S76" s="49">
        <f>IF(C76="","",IF(OR(J76="Booked",J76="Recurring Client",J76="Lost/Declined"),0,1))</f>
        <v/>
      </c>
      <c r="T76" s="51">
        <f>IF(B76="","",DATE(YEAR(B76),MONTH(B76),1))</f>
        <v/>
      </c>
      <c r="U76" s="49">
        <f>IF(OR(S76&lt;&gt;1,L76=""),"",COUNTIFS('LEADS'!$S$5:$S$504,1,'LEADS'!$L$5:$L$504,"&lt;"&amp;L76)+COUNTIFS($S$5:S76,1,$L$5:L76,L76))</f>
        <v/>
      </c>
    </row>
    <row r="77">
      <c r="A77" s="46" t="inlineStr">
        <is>
          <t>L-0073</t>
        </is>
      </c>
      <c r="B77" s="47" t="n">
        <v>46292</v>
      </c>
      <c r="C77" s="38" t="inlineStr">
        <is>
          <t>Tatum Ashworth</t>
        </is>
      </c>
      <c r="D77" s="38" t="inlineStr">
        <is>
          <t>555-0179</t>
        </is>
      </c>
      <c r="E77" s="38" t="inlineStr">
        <is>
          <t>tatum.ashworth@example.com</t>
        </is>
      </c>
      <c r="F77" s="38" t="inlineStr">
        <is>
          <t>Referral</t>
        </is>
      </c>
      <c r="G77" s="38" t="inlineStr">
        <is>
          <t>Deep Clean</t>
        </is>
      </c>
      <c r="H77" s="38" t="inlineStr">
        <is>
          <t>Sampletown</t>
        </is>
      </c>
      <c r="I77" s="48" t="n">
        <v>345</v>
      </c>
      <c r="J77" s="38" t="inlineStr">
        <is>
          <t>Booked</t>
        </is>
      </c>
      <c r="K77" s="47" t="n">
        <v>46294</v>
      </c>
      <c r="L77" s="47" t="n"/>
      <c r="M77" s="38" t="n"/>
      <c r="N77" s="38" t="inlineStr">
        <is>
          <t>Booked for Oct 8 — add to CUSTOMERS</t>
        </is>
      </c>
      <c r="O77" s="49">
        <f>IF(C77="","",IF(OR(J77="Booked",J77="Recurring Client"),"Booked",IF(J77="Lost/Declined","Lost","Open")))</f>
        <v/>
      </c>
      <c r="P77" s="49">
        <f>IF(C77="","",IF(S77=0,"—",IF(L77="","Set date",IF(L77&lt;AsOf,"Overdue",IF(L77=AsOf,"Due today",IF(L77&lt;=AsOf+SoonDays,"Due soon","Scheduled"))))))</f>
        <v/>
      </c>
      <c r="Q77" s="50">
        <f>IF(C77="","",IF(B77="","",AsOf-B77))</f>
        <v/>
      </c>
      <c r="R77" s="49">
        <f>IF(C77="","",IF(O77&lt;&gt;"Booked","",IF(COUNTIF('CUSTOMERS'!$B$5:$B$404,C77)&gt;0,"✓ In CUSTOMERS","Add to CUSTOMERS")))</f>
        <v/>
      </c>
      <c r="S77" s="49">
        <f>IF(C77="","",IF(OR(J77="Booked",J77="Recurring Client",J77="Lost/Declined"),0,1))</f>
        <v/>
      </c>
      <c r="T77" s="51">
        <f>IF(B77="","",DATE(YEAR(B77),MONTH(B77),1))</f>
        <v/>
      </c>
      <c r="U77" s="49">
        <f>IF(OR(S77&lt;&gt;1,L77=""),"",COUNTIFS('LEADS'!$S$5:$S$504,1,'LEADS'!$L$5:$L$504,"&lt;"&amp;L77)+COUNTIFS($S$5:S77,1,$L$5:L77,L77))</f>
        <v/>
      </c>
    </row>
    <row r="78">
      <c r="A78" s="46" t="inlineStr">
        <is>
          <t>L-0074</t>
        </is>
      </c>
      <c r="B78" s="47" t="n">
        <v>46293</v>
      </c>
      <c r="C78" s="38" t="inlineStr">
        <is>
          <t>Micah Everly</t>
        </is>
      </c>
      <c r="D78" s="38" t="inlineStr">
        <is>
          <t>555-0170</t>
        </is>
      </c>
      <c r="E78" s="38" t="inlineStr">
        <is>
          <t>micah.everly@example.com</t>
        </is>
      </c>
      <c r="F78" s="38" t="inlineStr">
        <is>
          <t>Google Search</t>
        </is>
      </c>
      <c r="G78" s="38" t="inlineStr">
        <is>
          <t>Move-In/Move-Out</t>
        </is>
      </c>
      <c r="H78" s="38" t="inlineStr">
        <is>
          <t>Riverbend (fictional)</t>
        </is>
      </c>
      <c r="I78" s="48" t="n"/>
      <c r="J78" s="38" t="inlineStr">
        <is>
          <t>Quote Requested</t>
        </is>
      </c>
      <c r="K78" s="47" t="n">
        <v>46294</v>
      </c>
      <c r="L78" s="47" t="n">
        <v>46296</v>
      </c>
      <c r="M78" s="38" t="n"/>
      <c r="N78" s="38" t="inlineStr"/>
      <c r="O78" s="49">
        <f>IF(C78="","",IF(OR(J78="Booked",J78="Recurring Client"),"Booked",IF(J78="Lost/Declined","Lost","Open")))</f>
        <v/>
      </c>
      <c r="P78" s="49">
        <f>IF(C78="","",IF(S78=0,"—",IF(L78="","Set date",IF(L78&lt;AsOf,"Overdue",IF(L78=AsOf,"Due today",IF(L78&lt;=AsOf+SoonDays,"Due soon","Scheduled"))))))</f>
        <v/>
      </c>
      <c r="Q78" s="50">
        <f>IF(C78="","",IF(B78="","",AsOf-B78))</f>
        <v/>
      </c>
      <c r="R78" s="49">
        <f>IF(C78="","",IF(O78&lt;&gt;"Booked","",IF(COUNTIF('CUSTOMERS'!$B$5:$B$404,C78)&gt;0,"✓ In CUSTOMERS","Add to CUSTOMERS")))</f>
        <v/>
      </c>
      <c r="S78" s="49">
        <f>IF(C78="","",IF(OR(J78="Booked",J78="Recurring Client",J78="Lost/Declined"),0,1))</f>
        <v/>
      </c>
      <c r="T78" s="51">
        <f>IF(B78="","",DATE(YEAR(B78),MONTH(B78),1))</f>
        <v/>
      </c>
      <c r="U78" s="49">
        <f>IF(OR(S78&lt;&gt;1,L78=""),"",COUNTIFS('LEADS'!$S$5:$S$504,1,'LEADS'!$L$5:$L$504,"&lt;"&amp;L78)+COUNTIFS($S$5:S78,1,$L$5:L78,L78))</f>
        <v/>
      </c>
    </row>
    <row r="79">
      <c r="A79" s="46" t="inlineStr">
        <is>
          <t>L-0075</t>
        </is>
      </c>
      <c r="B79" s="47" t="n">
        <v>46294</v>
      </c>
      <c r="C79" s="38" t="inlineStr">
        <is>
          <t>Lane Pembrook</t>
        </is>
      </c>
      <c r="D79" s="38" t="inlineStr">
        <is>
          <t>555-0164</t>
        </is>
      </c>
      <c r="E79" s="38" t="inlineStr">
        <is>
          <t>lane.pembrook@example.com</t>
        </is>
      </c>
      <c r="F79" s="38" t="inlineStr">
        <is>
          <t>Google Search</t>
        </is>
      </c>
      <c r="G79" s="38" t="inlineStr">
        <is>
          <t>Move-In/Move-Out</t>
        </is>
      </c>
      <c r="H79" s="38" t="inlineStr">
        <is>
          <t>North Sampletown</t>
        </is>
      </c>
      <c r="I79" s="48" t="n"/>
      <c r="J79" s="38" t="inlineStr">
        <is>
          <t>New Lead</t>
        </is>
      </c>
      <c r="K79" s="47" t="n"/>
      <c r="L79" s="47" t="n"/>
      <c r="M79" s="38" t="n"/>
      <c r="N79" s="38" t="inlineStr"/>
      <c r="O79" s="49">
        <f>IF(C79="","",IF(OR(J79="Booked",J79="Recurring Client"),"Booked",IF(J79="Lost/Declined","Lost","Open")))</f>
        <v/>
      </c>
      <c r="P79" s="49">
        <f>IF(C79="","",IF(S79=0,"—",IF(L79="","Set date",IF(L79&lt;AsOf,"Overdue",IF(L79=AsOf,"Due today",IF(L79&lt;=AsOf+SoonDays,"Due soon","Scheduled"))))))</f>
        <v/>
      </c>
      <c r="Q79" s="50">
        <f>IF(C79="","",IF(B79="","",AsOf-B79))</f>
        <v/>
      </c>
      <c r="R79" s="49">
        <f>IF(C79="","",IF(O79&lt;&gt;"Booked","",IF(COUNTIF('CUSTOMERS'!$B$5:$B$404,C79)&gt;0,"✓ In CUSTOMERS","Add to CUSTOMERS")))</f>
        <v/>
      </c>
      <c r="S79" s="49">
        <f>IF(C79="","",IF(OR(J79="Booked",J79="Recurring Client",J79="Lost/Declined"),0,1))</f>
        <v/>
      </c>
      <c r="T79" s="51">
        <f>IF(B79="","",DATE(YEAR(B79),MONTH(B79),1))</f>
        <v/>
      </c>
      <c r="U79" s="49">
        <f>IF(OR(S79&lt;&gt;1,L79=""),"",COUNTIFS('LEADS'!$S$5:$S$504,1,'LEADS'!$L$5:$L$504,"&lt;"&amp;L79)+COUNTIFS($S$5:S79,1,$L$5:L79,L79))</f>
        <v/>
      </c>
    </row>
    <row r="80">
      <c r="A80" s="46" t="inlineStr">
        <is>
          <t>L-0076</t>
        </is>
      </c>
      <c r="B80" s="47" t="n">
        <v>46294</v>
      </c>
      <c r="C80" s="38" t="inlineStr">
        <is>
          <t>Avery Fairbanks</t>
        </is>
      </c>
      <c r="D80" s="38" t="inlineStr">
        <is>
          <t>555-0165</t>
        </is>
      </c>
      <c r="E80" s="38" t="inlineStr">
        <is>
          <t>avery.fairbanks@example.com</t>
        </is>
      </c>
      <c r="F80" s="38" t="inlineStr">
        <is>
          <t>Google Business Profile</t>
        </is>
      </c>
      <c r="G80" s="38" t="inlineStr">
        <is>
          <t>Airbnb Turnover</t>
        </is>
      </c>
      <c r="H80" s="38" t="inlineStr">
        <is>
          <t>North Sampletown</t>
        </is>
      </c>
      <c r="I80" s="48" t="n"/>
      <c r="J80" s="38" t="inlineStr">
        <is>
          <t>New Lead</t>
        </is>
      </c>
      <c r="K80" s="47" t="n">
        <v>46295</v>
      </c>
      <c r="L80" s="47" t="n">
        <v>46295</v>
      </c>
      <c r="M80" s="38" t="n"/>
      <c r="N80" s="38" t="inlineStr"/>
      <c r="O80" s="49">
        <f>IF(C80="","",IF(OR(J80="Booked",J80="Recurring Client"),"Booked",IF(J80="Lost/Declined","Lost","Open")))</f>
        <v/>
      </c>
      <c r="P80" s="49">
        <f>IF(C80="","",IF(S80=0,"—",IF(L80="","Set date",IF(L80&lt;AsOf,"Overdue",IF(L80=AsOf,"Due today",IF(L80&lt;=AsOf+SoonDays,"Due soon","Scheduled"))))))</f>
        <v/>
      </c>
      <c r="Q80" s="50">
        <f>IF(C80="","",IF(B80="","",AsOf-B80))</f>
        <v/>
      </c>
      <c r="R80" s="49">
        <f>IF(C80="","",IF(O80&lt;&gt;"Booked","",IF(COUNTIF('CUSTOMERS'!$B$5:$B$404,C80)&gt;0,"✓ In CUSTOMERS","Add to CUSTOMERS")))</f>
        <v/>
      </c>
      <c r="S80" s="49">
        <f>IF(C80="","",IF(OR(J80="Booked",J80="Recurring Client",J80="Lost/Declined"),0,1))</f>
        <v/>
      </c>
      <c r="T80" s="51">
        <f>IF(B80="","",DATE(YEAR(B80),MONTH(B80),1))</f>
        <v/>
      </c>
      <c r="U80" s="49">
        <f>IF(OR(S80&lt;&gt;1,L80=""),"",COUNTIFS('LEADS'!$S$5:$S$504,1,'LEADS'!$L$5:$L$504,"&lt;"&amp;L80)+COUNTIFS($S$5:S80,1,$L$5:L80,L80))</f>
        <v/>
      </c>
    </row>
    <row r="81">
      <c r="A81" s="46" t="inlineStr">
        <is>
          <t>L-0077</t>
        </is>
      </c>
      <c r="B81" s="47" t="n"/>
      <c r="C81" s="38" t="n"/>
      <c r="D81" s="38" t="n"/>
      <c r="E81" s="38" t="n"/>
      <c r="F81" s="38" t="n"/>
      <c r="G81" s="38" t="n"/>
      <c r="H81" s="38" t="n"/>
      <c r="I81" s="48" t="n"/>
      <c r="J81" s="38" t="n"/>
      <c r="K81" s="47" t="n"/>
      <c r="L81" s="47" t="n"/>
      <c r="M81" s="38" t="n"/>
      <c r="N81" s="38" t="n"/>
      <c r="O81" s="49">
        <f>IF(C81="","",IF(OR(J81="Booked",J81="Recurring Client"),"Booked",IF(J81="Lost/Declined","Lost","Open")))</f>
        <v/>
      </c>
      <c r="P81" s="49">
        <f>IF(C81="","",IF(S81=0,"—",IF(L81="","Set date",IF(L81&lt;AsOf,"Overdue",IF(L81=AsOf,"Due today",IF(L81&lt;=AsOf+SoonDays,"Due soon","Scheduled"))))))</f>
        <v/>
      </c>
      <c r="Q81" s="50">
        <f>IF(C81="","",IF(B81="","",AsOf-B81))</f>
        <v/>
      </c>
      <c r="R81" s="49">
        <f>IF(C81="","",IF(O81&lt;&gt;"Booked","",IF(COUNTIF('CUSTOMERS'!$B$5:$B$404,C81)&gt;0,"✓ In CUSTOMERS","Add to CUSTOMERS")))</f>
        <v/>
      </c>
      <c r="S81" s="49">
        <f>IF(C81="","",IF(OR(J81="Booked",J81="Recurring Client",J81="Lost/Declined"),0,1))</f>
        <v/>
      </c>
      <c r="T81" s="51">
        <f>IF(B81="","",DATE(YEAR(B81),MONTH(B81),1))</f>
        <v/>
      </c>
      <c r="U81" s="49">
        <f>IF(OR(S81&lt;&gt;1,L81=""),"",COUNTIFS('LEADS'!$S$5:$S$504,1,'LEADS'!$L$5:$L$504,"&lt;"&amp;L81)+COUNTIFS($S$5:S81,1,$L$5:L81,L81))</f>
        <v/>
      </c>
    </row>
    <row r="82">
      <c r="A82" s="46" t="inlineStr">
        <is>
          <t>L-0078</t>
        </is>
      </c>
      <c r="B82" s="47" t="n"/>
      <c r="C82" s="38" t="n"/>
      <c r="D82" s="38" t="n"/>
      <c r="E82" s="38" t="n"/>
      <c r="F82" s="38" t="n"/>
      <c r="G82" s="38" t="n"/>
      <c r="H82" s="38" t="n"/>
      <c r="I82" s="48" t="n"/>
      <c r="J82" s="38" t="n"/>
      <c r="K82" s="47" t="n"/>
      <c r="L82" s="47" t="n"/>
      <c r="M82" s="38" t="n"/>
      <c r="N82" s="38" t="n"/>
      <c r="O82" s="49">
        <f>IF(C82="","",IF(OR(J82="Booked",J82="Recurring Client"),"Booked",IF(J82="Lost/Declined","Lost","Open")))</f>
        <v/>
      </c>
      <c r="P82" s="49">
        <f>IF(C82="","",IF(S82=0,"—",IF(L82="","Set date",IF(L82&lt;AsOf,"Overdue",IF(L82=AsOf,"Due today",IF(L82&lt;=AsOf+SoonDays,"Due soon","Scheduled"))))))</f>
        <v/>
      </c>
      <c r="Q82" s="50">
        <f>IF(C82="","",IF(B82="","",AsOf-B82))</f>
        <v/>
      </c>
      <c r="R82" s="49">
        <f>IF(C82="","",IF(O82&lt;&gt;"Booked","",IF(COUNTIF('CUSTOMERS'!$B$5:$B$404,C82)&gt;0,"✓ In CUSTOMERS","Add to CUSTOMERS")))</f>
        <v/>
      </c>
      <c r="S82" s="49">
        <f>IF(C82="","",IF(OR(J82="Booked",J82="Recurring Client",J82="Lost/Declined"),0,1))</f>
        <v/>
      </c>
      <c r="T82" s="51">
        <f>IF(B82="","",DATE(YEAR(B82),MONTH(B82),1))</f>
        <v/>
      </c>
      <c r="U82" s="49">
        <f>IF(OR(S82&lt;&gt;1,L82=""),"",COUNTIFS('LEADS'!$S$5:$S$504,1,'LEADS'!$L$5:$L$504,"&lt;"&amp;L82)+COUNTIFS($S$5:S82,1,$L$5:L82,L82))</f>
        <v/>
      </c>
    </row>
    <row r="83">
      <c r="A83" s="46" t="inlineStr">
        <is>
          <t>L-0079</t>
        </is>
      </c>
      <c r="B83" s="47" t="n"/>
      <c r="C83" s="38" t="n"/>
      <c r="D83" s="38" t="n"/>
      <c r="E83" s="38" t="n"/>
      <c r="F83" s="38" t="n"/>
      <c r="G83" s="38" t="n"/>
      <c r="H83" s="38" t="n"/>
      <c r="I83" s="48" t="n"/>
      <c r="J83" s="38" t="n"/>
      <c r="K83" s="47" t="n"/>
      <c r="L83" s="47" t="n"/>
      <c r="M83" s="38" t="n"/>
      <c r="N83" s="38" t="n"/>
      <c r="O83" s="49">
        <f>IF(C83="","",IF(OR(J83="Booked",J83="Recurring Client"),"Booked",IF(J83="Lost/Declined","Lost","Open")))</f>
        <v/>
      </c>
      <c r="P83" s="49">
        <f>IF(C83="","",IF(S83=0,"—",IF(L83="","Set date",IF(L83&lt;AsOf,"Overdue",IF(L83=AsOf,"Due today",IF(L83&lt;=AsOf+SoonDays,"Due soon","Scheduled"))))))</f>
        <v/>
      </c>
      <c r="Q83" s="50">
        <f>IF(C83="","",IF(B83="","",AsOf-B83))</f>
        <v/>
      </c>
      <c r="R83" s="49">
        <f>IF(C83="","",IF(O83&lt;&gt;"Booked","",IF(COUNTIF('CUSTOMERS'!$B$5:$B$404,C83)&gt;0,"✓ In CUSTOMERS","Add to CUSTOMERS")))</f>
        <v/>
      </c>
      <c r="S83" s="49">
        <f>IF(C83="","",IF(OR(J83="Booked",J83="Recurring Client",J83="Lost/Declined"),0,1))</f>
        <v/>
      </c>
      <c r="T83" s="51">
        <f>IF(B83="","",DATE(YEAR(B83),MONTH(B83),1))</f>
        <v/>
      </c>
      <c r="U83" s="49">
        <f>IF(OR(S83&lt;&gt;1,L83=""),"",COUNTIFS('LEADS'!$S$5:$S$504,1,'LEADS'!$L$5:$L$504,"&lt;"&amp;L83)+COUNTIFS($S$5:S83,1,$L$5:L83,L83))</f>
        <v/>
      </c>
    </row>
    <row r="84">
      <c r="A84" s="46" t="inlineStr">
        <is>
          <t>L-0080</t>
        </is>
      </c>
      <c r="B84" s="47" t="n"/>
      <c r="C84" s="38" t="n"/>
      <c r="D84" s="38" t="n"/>
      <c r="E84" s="38" t="n"/>
      <c r="F84" s="38" t="n"/>
      <c r="G84" s="38" t="n"/>
      <c r="H84" s="38" t="n"/>
      <c r="I84" s="48" t="n"/>
      <c r="J84" s="38" t="n"/>
      <c r="K84" s="47" t="n"/>
      <c r="L84" s="47" t="n"/>
      <c r="M84" s="38" t="n"/>
      <c r="N84" s="38" t="n"/>
      <c r="O84" s="49">
        <f>IF(C84="","",IF(OR(J84="Booked",J84="Recurring Client"),"Booked",IF(J84="Lost/Declined","Lost","Open")))</f>
        <v/>
      </c>
      <c r="P84" s="49">
        <f>IF(C84="","",IF(S84=0,"—",IF(L84="","Set date",IF(L84&lt;AsOf,"Overdue",IF(L84=AsOf,"Due today",IF(L84&lt;=AsOf+SoonDays,"Due soon","Scheduled"))))))</f>
        <v/>
      </c>
      <c r="Q84" s="50">
        <f>IF(C84="","",IF(B84="","",AsOf-B84))</f>
        <v/>
      </c>
      <c r="R84" s="49">
        <f>IF(C84="","",IF(O84&lt;&gt;"Booked","",IF(COUNTIF('CUSTOMERS'!$B$5:$B$404,C84)&gt;0,"✓ In CUSTOMERS","Add to CUSTOMERS")))</f>
        <v/>
      </c>
      <c r="S84" s="49">
        <f>IF(C84="","",IF(OR(J84="Booked",J84="Recurring Client",J84="Lost/Declined"),0,1))</f>
        <v/>
      </c>
      <c r="T84" s="51">
        <f>IF(B84="","",DATE(YEAR(B84),MONTH(B84),1))</f>
        <v/>
      </c>
      <c r="U84" s="49">
        <f>IF(OR(S84&lt;&gt;1,L84=""),"",COUNTIFS('LEADS'!$S$5:$S$504,1,'LEADS'!$L$5:$L$504,"&lt;"&amp;L84)+COUNTIFS($S$5:S84,1,$L$5:L84,L84))</f>
        <v/>
      </c>
    </row>
    <row r="85">
      <c r="A85" s="46" t="inlineStr">
        <is>
          <t>L-0081</t>
        </is>
      </c>
      <c r="B85" s="47" t="n"/>
      <c r="C85" s="38" t="n"/>
      <c r="D85" s="38" t="n"/>
      <c r="E85" s="38" t="n"/>
      <c r="F85" s="38" t="n"/>
      <c r="G85" s="38" t="n"/>
      <c r="H85" s="38" t="n"/>
      <c r="I85" s="48" t="n"/>
      <c r="J85" s="38" t="n"/>
      <c r="K85" s="47" t="n"/>
      <c r="L85" s="47" t="n"/>
      <c r="M85" s="38" t="n"/>
      <c r="N85" s="38" t="n"/>
      <c r="O85" s="49">
        <f>IF(C85="","",IF(OR(J85="Booked",J85="Recurring Client"),"Booked",IF(J85="Lost/Declined","Lost","Open")))</f>
        <v/>
      </c>
      <c r="P85" s="49">
        <f>IF(C85="","",IF(S85=0,"—",IF(L85="","Set date",IF(L85&lt;AsOf,"Overdue",IF(L85=AsOf,"Due today",IF(L85&lt;=AsOf+SoonDays,"Due soon","Scheduled"))))))</f>
        <v/>
      </c>
      <c r="Q85" s="50">
        <f>IF(C85="","",IF(B85="","",AsOf-B85))</f>
        <v/>
      </c>
      <c r="R85" s="49">
        <f>IF(C85="","",IF(O85&lt;&gt;"Booked","",IF(COUNTIF('CUSTOMERS'!$B$5:$B$404,C85)&gt;0,"✓ In CUSTOMERS","Add to CUSTOMERS")))</f>
        <v/>
      </c>
      <c r="S85" s="49">
        <f>IF(C85="","",IF(OR(J85="Booked",J85="Recurring Client",J85="Lost/Declined"),0,1))</f>
        <v/>
      </c>
      <c r="T85" s="51">
        <f>IF(B85="","",DATE(YEAR(B85),MONTH(B85),1))</f>
        <v/>
      </c>
      <c r="U85" s="49">
        <f>IF(OR(S85&lt;&gt;1,L85=""),"",COUNTIFS('LEADS'!$S$5:$S$504,1,'LEADS'!$L$5:$L$504,"&lt;"&amp;L85)+COUNTIFS($S$5:S85,1,$L$5:L85,L85))</f>
        <v/>
      </c>
    </row>
    <row r="86">
      <c r="A86" s="46" t="inlineStr">
        <is>
          <t>L-0082</t>
        </is>
      </c>
      <c r="B86" s="47" t="n"/>
      <c r="C86" s="38" t="n"/>
      <c r="D86" s="38" t="n"/>
      <c r="E86" s="38" t="n"/>
      <c r="F86" s="38" t="n"/>
      <c r="G86" s="38" t="n"/>
      <c r="H86" s="38" t="n"/>
      <c r="I86" s="48" t="n"/>
      <c r="J86" s="38" t="n"/>
      <c r="K86" s="47" t="n"/>
      <c r="L86" s="47" t="n"/>
      <c r="M86" s="38" t="n"/>
      <c r="N86" s="38" t="n"/>
      <c r="O86" s="49">
        <f>IF(C86="","",IF(OR(J86="Booked",J86="Recurring Client"),"Booked",IF(J86="Lost/Declined","Lost","Open")))</f>
        <v/>
      </c>
      <c r="P86" s="49">
        <f>IF(C86="","",IF(S86=0,"—",IF(L86="","Set date",IF(L86&lt;AsOf,"Overdue",IF(L86=AsOf,"Due today",IF(L86&lt;=AsOf+SoonDays,"Due soon","Scheduled"))))))</f>
        <v/>
      </c>
      <c r="Q86" s="50">
        <f>IF(C86="","",IF(B86="","",AsOf-B86))</f>
        <v/>
      </c>
      <c r="R86" s="49">
        <f>IF(C86="","",IF(O86&lt;&gt;"Booked","",IF(COUNTIF('CUSTOMERS'!$B$5:$B$404,C86)&gt;0,"✓ In CUSTOMERS","Add to CUSTOMERS")))</f>
        <v/>
      </c>
      <c r="S86" s="49">
        <f>IF(C86="","",IF(OR(J86="Booked",J86="Recurring Client",J86="Lost/Declined"),0,1))</f>
        <v/>
      </c>
      <c r="T86" s="51">
        <f>IF(B86="","",DATE(YEAR(B86),MONTH(B86),1))</f>
        <v/>
      </c>
      <c r="U86" s="49">
        <f>IF(OR(S86&lt;&gt;1,L86=""),"",COUNTIFS('LEADS'!$S$5:$S$504,1,'LEADS'!$L$5:$L$504,"&lt;"&amp;L86)+COUNTIFS($S$5:S86,1,$L$5:L86,L86))</f>
        <v/>
      </c>
    </row>
    <row r="87">
      <c r="A87" s="46" t="inlineStr">
        <is>
          <t>L-0083</t>
        </is>
      </c>
      <c r="B87" s="47" t="n"/>
      <c r="C87" s="38" t="n"/>
      <c r="D87" s="38" t="n"/>
      <c r="E87" s="38" t="n"/>
      <c r="F87" s="38" t="n"/>
      <c r="G87" s="38" t="n"/>
      <c r="H87" s="38" t="n"/>
      <c r="I87" s="48" t="n"/>
      <c r="J87" s="38" t="n"/>
      <c r="K87" s="47" t="n"/>
      <c r="L87" s="47" t="n"/>
      <c r="M87" s="38" t="n"/>
      <c r="N87" s="38" t="n"/>
      <c r="O87" s="49">
        <f>IF(C87="","",IF(OR(J87="Booked",J87="Recurring Client"),"Booked",IF(J87="Lost/Declined","Lost","Open")))</f>
        <v/>
      </c>
      <c r="P87" s="49">
        <f>IF(C87="","",IF(S87=0,"—",IF(L87="","Set date",IF(L87&lt;AsOf,"Overdue",IF(L87=AsOf,"Due today",IF(L87&lt;=AsOf+SoonDays,"Due soon","Scheduled"))))))</f>
        <v/>
      </c>
      <c r="Q87" s="50">
        <f>IF(C87="","",IF(B87="","",AsOf-B87))</f>
        <v/>
      </c>
      <c r="R87" s="49">
        <f>IF(C87="","",IF(O87&lt;&gt;"Booked","",IF(COUNTIF('CUSTOMERS'!$B$5:$B$404,C87)&gt;0,"✓ In CUSTOMERS","Add to CUSTOMERS")))</f>
        <v/>
      </c>
      <c r="S87" s="49">
        <f>IF(C87="","",IF(OR(J87="Booked",J87="Recurring Client",J87="Lost/Declined"),0,1))</f>
        <v/>
      </c>
      <c r="T87" s="51">
        <f>IF(B87="","",DATE(YEAR(B87),MONTH(B87),1))</f>
        <v/>
      </c>
      <c r="U87" s="49">
        <f>IF(OR(S87&lt;&gt;1,L87=""),"",COUNTIFS('LEADS'!$S$5:$S$504,1,'LEADS'!$L$5:$L$504,"&lt;"&amp;L87)+COUNTIFS($S$5:S87,1,$L$5:L87,L87))</f>
        <v/>
      </c>
    </row>
    <row r="88">
      <c r="A88" s="46" t="inlineStr">
        <is>
          <t>L-0084</t>
        </is>
      </c>
      <c r="B88" s="47" t="n"/>
      <c r="C88" s="38" t="n"/>
      <c r="D88" s="38" t="n"/>
      <c r="E88" s="38" t="n"/>
      <c r="F88" s="38" t="n"/>
      <c r="G88" s="38" t="n"/>
      <c r="H88" s="38" t="n"/>
      <c r="I88" s="48" t="n"/>
      <c r="J88" s="38" t="n"/>
      <c r="K88" s="47" t="n"/>
      <c r="L88" s="47" t="n"/>
      <c r="M88" s="38" t="n"/>
      <c r="N88" s="38" t="n"/>
      <c r="O88" s="49">
        <f>IF(C88="","",IF(OR(J88="Booked",J88="Recurring Client"),"Booked",IF(J88="Lost/Declined","Lost","Open")))</f>
        <v/>
      </c>
      <c r="P88" s="49">
        <f>IF(C88="","",IF(S88=0,"—",IF(L88="","Set date",IF(L88&lt;AsOf,"Overdue",IF(L88=AsOf,"Due today",IF(L88&lt;=AsOf+SoonDays,"Due soon","Scheduled"))))))</f>
        <v/>
      </c>
      <c r="Q88" s="50">
        <f>IF(C88="","",IF(B88="","",AsOf-B88))</f>
        <v/>
      </c>
      <c r="R88" s="49">
        <f>IF(C88="","",IF(O88&lt;&gt;"Booked","",IF(COUNTIF('CUSTOMERS'!$B$5:$B$404,C88)&gt;0,"✓ In CUSTOMERS","Add to CUSTOMERS")))</f>
        <v/>
      </c>
      <c r="S88" s="49">
        <f>IF(C88="","",IF(OR(J88="Booked",J88="Recurring Client",J88="Lost/Declined"),0,1))</f>
        <v/>
      </c>
      <c r="T88" s="51">
        <f>IF(B88="","",DATE(YEAR(B88),MONTH(B88),1))</f>
        <v/>
      </c>
      <c r="U88" s="49">
        <f>IF(OR(S88&lt;&gt;1,L88=""),"",COUNTIFS('LEADS'!$S$5:$S$504,1,'LEADS'!$L$5:$L$504,"&lt;"&amp;L88)+COUNTIFS($S$5:S88,1,$L$5:L88,L88))</f>
        <v/>
      </c>
    </row>
    <row r="89">
      <c r="A89" s="46" t="inlineStr">
        <is>
          <t>L-0085</t>
        </is>
      </c>
      <c r="B89" s="47" t="n"/>
      <c r="C89" s="38" t="n"/>
      <c r="D89" s="38" t="n"/>
      <c r="E89" s="38" t="n"/>
      <c r="F89" s="38" t="n"/>
      <c r="G89" s="38" t="n"/>
      <c r="H89" s="38" t="n"/>
      <c r="I89" s="48" t="n"/>
      <c r="J89" s="38" t="n"/>
      <c r="K89" s="47" t="n"/>
      <c r="L89" s="47" t="n"/>
      <c r="M89" s="38" t="n"/>
      <c r="N89" s="38" t="n"/>
      <c r="O89" s="49">
        <f>IF(C89="","",IF(OR(J89="Booked",J89="Recurring Client"),"Booked",IF(J89="Lost/Declined","Lost","Open")))</f>
        <v/>
      </c>
      <c r="P89" s="49">
        <f>IF(C89="","",IF(S89=0,"—",IF(L89="","Set date",IF(L89&lt;AsOf,"Overdue",IF(L89=AsOf,"Due today",IF(L89&lt;=AsOf+SoonDays,"Due soon","Scheduled"))))))</f>
        <v/>
      </c>
      <c r="Q89" s="50">
        <f>IF(C89="","",IF(B89="","",AsOf-B89))</f>
        <v/>
      </c>
      <c r="R89" s="49">
        <f>IF(C89="","",IF(O89&lt;&gt;"Booked","",IF(COUNTIF('CUSTOMERS'!$B$5:$B$404,C89)&gt;0,"✓ In CUSTOMERS","Add to CUSTOMERS")))</f>
        <v/>
      </c>
      <c r="S89" s="49">
        <f>IF(C89="","",IF(OR(J89="Booked",J89="Recurring Client",J89="Lost/Declined"),0,1))</f>
        <v/>
      </c>
      <c r="T89" s="51">
        <f>IF(B89="","",DATE(YEAR(B89),MONTH(B89),1))</f>
        <v/>
      </c>
      <c r="U89" s="49">
        <f>IF(OR(S89&lt;&gt;1,L89=""),"",COUNTIFS('LEADS'!$S$5:$S$504,1,'LEADS'!$L$5:$L$504,"&lt;"&amp;L89)+COUNTIFS($S$5:S89,1,$L$5:L89,L89))</f>
        <v/>
      </c>
    </row>
    <row r="90">
      <c r="A90" s="46" t="inlineStr">
        <is>
          <t>L-0086</t>
        </is>
      </c>
      <c r="B90" s="47" t="n"/>
      <c r="C90" s="38" t="n"/>
      <c r="D90" s="38" t="n"/>
      <c r="E90" s="38" t="n"/>
      <c r="F90" s="38" t="n"/>
      <c r="G90" s="38" t="n"/>
      <c r="H90" s="38" t="n"/>
      <c r="I90" s="48" t="n"/>
      <c r="J90" s="38" t="n"/>
      <c r="K90" s="47" t="n"/>
      <c r="L90" s="47" t="n"/>
      <c r="M90" s="38" t="n"/>
      <c r="N90" s="38" t="n"/>
      <c r="O90" s="49">
        <f>IF(C90="","",IF(OR(J90="Booked",J90="Recurring Client"),"Booked",IF(J90="Lost/Declined","Lost","Open")))</f>
        <v/>
      </c>
      <c r="P90" s="49">
        <f>IF(C90="","",IF(S90=0,"—",IF(L90="","Set date",IF(L90&lt;AsOf,"Overdue",IF(L90=AsOf,"Due today",IF(L90&lt;=AsOf+SoonDays,"Due soon","Scheduled"))))))</f>
        <v/>
      </c>
      <c r="Q90" s="50">
        <f>IF(C90="","",IF(B90="","",AsOf-B90))</f>
        <v/>
      </c>
      <c r="R90" s="49">
        <f>IF(C90="","",IF(O90&lt;&gt;"Booked","",IF(COUNTIF('CUSTOMERS'!$B$5:$B$404,C90)&gt;0,"✓ In CUSTOMERS","Add to CUSTOMERS")))</f>
        <v/>
      </c>
      <c r="S90" s="49">
        <f>IF(C90="","",IF(OR(J90="Booked",J90="Recurring Client",J90="Lost/Declined"),0,1))</f>
        <v/>
      </c>
      <c r="T90" s="51">
        <f>IF(B90="","",DATE(YEAR(B90),MONTH(B90),1))</f>
        <v/>
      </c>
      <c r="U90" s="49">
        <f>IF(OR(S90&lt;&gt;1,L90=""),"",COUNTIFS('LEADS'!$S$5:$S$504,1,'LEADS'!$L$5:$L$504,"&lt;"&amp;L90)+COUNTIFS($S$5:S90,1,$L$5:L90,L90))</f>
        <v/>
      </c>
    </row>
    <row r="91">
      <c r="A91" s="46" t="inlineStr">
        <is>
          <t>L-0087</t>
        </is>
      </c>
      <c r="B91" s="47" t="n"/>
      <c r="C91" s="38" t="n"/>
      <c r="D91" s="38" t="n"/>
      <c r="E91" s="38" t="n"/>
      <c r="F91" s="38" t="n"/>
      <c r="G91" s="38" t="n"/>
      <c r="H91" s="38" t="n"/>
      <c r="I91" s="48" t="n"/>
      <c r="J91" s="38" t="n"/>
      <c r="K91" s="47" t="n"/>
      <c r="L91" s="47" t="n"/>
      <c r="M91" s="38" t="n"/>
      <c r="N91" s="38" t="n"/>
      <c r="O91" s="49">
        <f>IF(C91="","",IF(OR(J91="Booked",J91="Recurring Client"),"Booked",IF(J91="Lost/Declined","Lost","Open")))</f>
        <v/>
      </c>
      <c r="P91" s="49">
        <f>IF(C91="","",IF(S91=0,"—",IF(L91="","Set date",IF(L91&lt;AsOf,"Overdue",IF(L91=AsOf,"Due today",IF(L91&lt;=AsOf+SoonDays,"Due soon","Scheduled"))))))</f>
        <v/>
      </c>
      <c r="Q91" s="50">
        <f>IF(C91="","",IF(B91="","",AsOf-B91))</f>
        <v/>
      </c>
      <c r="R91" s="49">
        <f>IF(C91="","",IF(O91&lt;&gt;"Booked","",IF(COUNTIF('CUSTOMERS'!$B$5:$B$404,C91)&gt;0,"✓ In CUSTOMERS","Add to CUSTOMERS")))</f>
        <v/>
      </c>
      <c r="S91" s="49">
        <f>IF(C91="","",IF(OR(J91="Booked",J91="Recurring Client",J91="Lost/Declined"),0,1))</f>
        <v/>
      </c>
      <c r="T91" s="51">
        <f>IF(B91="","",DATE(YEAR(B91),MONTH(B91),1))</f>
        <v/>
      </c>
      <c r="U91" s="49">
        <f>IF(OR(S91&lt;&gt;1,L91=""),"",COUNTIFS('LEADS'!$S$5:$S$504,1,'LEADS'!$L$5:$L$504,"&lt;"&amp;L91)+COUNTIFS($S$5:S91,1,$L$5:L91,L91))</f>
        <v/>
      </c>
    </row>
    <row r="92">
      <c r="A92" s="46" t="inlineStr">
        <is>
          <t>L-0088</t>
        </is>
      </c>
      <c r="B92" s="47" t="n"/>
      <c r="C92" s="38" t="n"/>
      <c r="D92" s="38" t="n"/>
      <c r="E92" s="38" t="n"/>
      <c r="F92" s="38" t="n"/>
      <c r="G92" s="38" t="n"/>
      <c r="H92" s="38" t="n"/>
      <c r="I92" s="48" t="n"/>
      <c r="J92" s="38" t="n"/>
      <c r="K92" s="47" t="n"/>
      <c r="L92" s="47" t="n"/>
      <c r="M92" s="38" t="n"/>
      <c r="N92" s="38" t="n"/>
      <c r="O92" s="49">
        <f>IF(C92="","",IF(OR(J92="Booked",J92="Recurring Client"),"Booked",IF(J92="Lost/Declined","Lost","Open")))</f>
        <v/>
      </c>
      <c r="P92" s="49">
        <f>IF(C92="","",IF(S92=0,"—",IF(L92="","Set date",IF(L92&lt;AsOf,"Overdue",IF(L92=AsOf,"Due today",IF(L92&lt;=AsOf+SoonDays,"Due soon","Scheduled"))))))</f>
        <v/>
      </c>
      <c r="Q92" s="50">
        <f>IF(C92="","",IF(B92="","",AsOf-B92))</f>
        <v/>
      </c>
      <c r="R92" s="49">
        <f>IF(C92="","",IF(O92&lt;&gt;"Booked","",IF(COUNTIF('CUSTOMERS'!$B$5:$B$404,C92)&gt;0,"✓ In CUSTOMERS","Add to CUSTOMERS")))</f>
        <v/>
      </c>
      <c r="S92" s="49">
        <f>IF(C92="","",IF(OR(J92="Booked",J92="Recurring Client",J92="Lost/Declined"),0,1))</f>
        <v/>
      </c>
      <c r="T92" s="51">
        <f>IF(B92="","",DATE(YEAR(B92),MONTH(B92),1))</f>
        <v/>
      </c>
      <c r="U92" s="49">
        <f>IF(OR(S92&lt;&gt;1,L92=""),"",COUNTIFS('LEADS'!$S$5:$S$504,1,'LEADS'!$L$5:$L$504,"&lt;"&amp;L92)+COUNTIFS($S$5:S92,1,$L$5:L92,L92))</f>
        <v/>
      </c>
    </row>
    <row r="93">
      <c r="A93" s="46" t="inlineStr">
        <is>
          <t>L-0089</t>
        </is>
      </c>
      <c r="B93" s="47" t="n"/>
      <c r="C93" s="38" t="n"/>
      <c r="D93" s="38" t="n"/>
      <c r="E93" s="38" t="n"/>
      <c r="F93" s="38" t="n"/>
      <c r="G93" s="38" t="n"/>
      <c r="H93" s="38" t="n"/>
      <c r="I93" s="48" t="n"/>
      <c r="J93" s="38" t="n"/>
      <c r="K93" s="47" t="n"/>
      <c r="L93" s="47" t="n"/>
      <c r="M93" s="38" t="n"/>
      <c r="N93" s="38" t="n"/>
      <c r="O93" s="49">
        <f>IF(C93="","",IF(OR(J93="Booked",J93="Recurring Client"),"Booked",IF(J93="Lost/Declined","Lost","Open")))</f>
        <v/>
      </c>
      <c r="P93" s="49">
        <f>IF(C93="","",IF(S93=0,"—",IF(L93="","Set date",IF(L93&lt;AsOf,"Overdue",IF(L93=AsOf,"Due today",IF(L93&lt;=AsOf+SoonDays,"Due soon","Scheduled"))))))</f>
        <v/>
      </c>
      <c r="Q93" s="50">
        <f>IF(C93="","",IF(B93="","",AsOf-B93))</f>
        <v/>
      </c>
      <c r="R93" s="49">
        <f>IF(C93="","",IF(O93&lt;&gt;"Booked","",IF(COUNTIF('CUSTOMERS'!$B$5:$B$404,C93)&gt;0,"✓ In CUSTOMERS","Add to CUSTOMERS")))</f>
        <v/>
      </c>
      <c r="S93" s="49">
        <f>IF(C93="","",IF(OR(J93="Booked",J93="Recurring Client",J93="Lost/Declined"),0,1))</f>
        <v/>
      </c>
      <c r="T93" s="51">
        <f>IF(B93="","",DATE(YEAR(B93),MONTH(B93),1))</f>
        <v/>
      </c>
      <c r="U93" s="49">
        <f>IF(OR(S93&lt;&gt;1,L93=""),"",COUNTIFS('LEADS'!$S$5:$S$504,1,'LEADS'!$L$5:$L$504,"&lt;"&amp;L93)+COUNTIFS($S$5:S93,1,$L$5:L93,L93))</f>
        <v/>
      </c>
    </row>
    <row r="94">
      <c r="A94" s="46" t="inlineStr">
        <is>
          <t>L-0090</t>
        </is>
      </c>
      <c r="B94" s="47" t="n"/>
      <c r="C94" s="38" t="n"/>
      <c r="D94" s="38" t="n"/>
      <c r="E94" s="38" t="n"/>
      <c r="F94" s="38" t="n"/>
      <c r="G94" s="38" t="n"/>
      <c r="H94" s="38" t="n"/>
      <c r="I94" s="48" t="n"/>
      <c r="J94" s="38" t="n"/>
      <c r="K94" s="47" t="n"/>
      <c r="L94" s="47" t="n"/>
      <c r="M94" s="38" t="n"/>
      <c r="N94" s="38" t="n"/>
      <c r="O94" s="49">
        <f>IF(C94="","",IF(OR(J94="Booked",J94="Recurring Client"),"Booked",IF(J94="Lost/Declined","Lost","Open")))</f>
        <v/>
      </c>
      <c r="P94" s="49">
        <f>IF(C94="","",IF(S94=0,"—",IF(L94="","Set date",IF(L94&lt;AsOf,"Overdue",IF(L94=AsOf,"Due today",IF(L94&lt;=AsOf+SoonDays,"Due soon","Scheduled"))))))</f>
        <v/>
      </c>
      <c r="Q94" s="50">
        <f>IF(C94="","",IF(B94="","",AsOf-B94))</f>
        <v/>
      </c>
      <c r="R94" s="49">
        <f>IF(C94="","",IF(O94&lt;&gt;"Booked","",IF(COUNTIF('CUSTOMERS'!$B$5:$B$404,C94)&gt;0,"✓ In CUSTOMERS","Add to CUSTOMERS")))</f>
        <v/>
      </c>
      <c r="S94" s="49">
        <f>IF(C94="","",IF(OR(J94="Booked",J94="Recurring Client",J94="Lost/Declined"),0,1))</f>
        <v/>
      </c>
      <c r="T94" s="51">
        <f>IF(B94="","",DATE(YEAR(B94),MONTH(B94),1))</f>
        <v/>
      </c>
      <c r="U94" s="49">
        <f>IF(OR(S94&lt;&gt;1,L94=""),"",COUNTIFS('LEADS'!$S$5:$S$504,1,'LEADS'!$L$5:$L$504,"&lt;"&amp;L94)+COUNTIFS($S$5:S94,1,$L$5:L94,L94))</f>
        <v/>
      </c>
    </row>
    <row r="95">
      <c r="A95" s="46" t="inlineStr">
        <is>
          <t>L-0091</t>
        </is>
      </c>
      <c r="B95" s="47" t="n"/>
      <c r="C95" s="38" t="n"/>
      <c r="D95" s="38" t="n"/>
      <c r="E95" s="38" t="n"/>
      <c r="F95" s="38" t="n"/>
      <c r="G95" s="38" t="n"/>
      <c r="H95" s="38" t="n"/>
      <c r="I95" s="48" t="n"/>
      <c r="J95" s="38" t="n"/>
      <c r="K95" s="47" t="n"/>
      <c r="L95" s="47" t="n"/>
      <c r="M95" s="38" t="n"/>
      <c r="N95" s="38" t="n"/>
      <c r="O95" s="49">
        <f>IF(C95="","",IF(OR(J95="Booked",J95="Recurring Client"),"Booked",IF(J95="Lost/Declined","Lost","Open")))</f>
        <v/>
      </c>
      <c r="P95" s="49">
        <f>IF(C95="","",IF(S95=0,"—",IF(L95="","Set date",IF(L95&lt;AsOf,"Overdue",IF(L95=AsOf,"Due today",IF(L95&lt;=AsOf+SoonDays,"Due soon","Scheduled"))))))</f>
        <v/>
      </c>
      <c r="Q95" s="50">
        <f>IF(C95="","",IF(B95="","",AsOf-B95))</f>
        <v/>
      </c>
      <c r="R95" s="49">
        <f>IF(C95="","",IF(O95&lt;&gt;"Booked","",IF(COUNTIF('CUSTOMERS'!$B$5:$B$404,C95)&gt;0,"✓ In CUSTOMERS","Add to CUSTOMERS")))</f>
        <v/>
      </c>
      <c r="S95" s="49">
        <f>IF(C95="","",IF(OR(J95="Booked",J95="Recurring Client",J95="Lost/Declined"),0,1))</f>
        <v/>
      </c>
      <c r="T95" s="51">
        <f>IF(B95="","",DATE(YEAR(B95),MONTH(B95),1))</f>
        <v/>
      </c>
      <c r="U95" s="49">
        <f>IF(OR(S95&lt;&gt;1,L95=""),"",COUNTIFS('LEADS'!$S$5:$S$504,1,'LEADS'!$L$5:$L$504,"&lt;"&amp;L95)+COUNTIFS($S$5:S95,1,$L$5:L95,L95))</f>
        <v/>
      </c>
    </row>
    <row r="96">
      <c r="A96" s="46" t="inlineStr">
        <is>
          <t>L-0092</t>
        </is>
      </c>
      <c r="B96" s="47" t="n"/>
      <c r="C96" s="38" t="n"/>
      <c r="D96" s="38" t="n"/>
      <c r="E96" s="38" t="n"/>
      <c r="F96" s="38" t="n"/>
      <c r="G96" s="38" t="n"/>
      <c r="H96" s="38" t="n"/>
      <c r="I96" s="48" t="n"/>
      <c r="J96" s="38" t="n"/>
      <c r="K96" s="47" t="n"/>
      <c r="L96" s="47" t="n"/>
      <c r="M96" s="38" t="n"/>
      <c r="N96" s="38" t="n"/>
      <c r="O96" s="49">
        <f>IF(C96="","",IF(OR(J96="Booked",J96="Recurring Client"),"Booked",IF(J96="Lost/Declined","Lost","Open")))</f>
        <v/>
      </c>
      <c r="P96" s="49">
        <f>IF(C96="","",IF(S96=0,"—",IF(L96="","Set date",IF(L96&lt;AsOf,"Overdue",IF(L96=AsOf,"Due today",IF(L96&lt;=AsOf+SoonDays,"Due soon","Scheduled"))))))</f>
        <v/>
      </c>
      <c r="Q96" s="50">
        <f>IF(C96="","",IF(B96="","",AsOf-B96))</f>
        <v/>
      </c>
      <c r="R96" s="49">
        <f>IF(C96="","",IF(O96&lt;&gt;"Booked","",IF(COUNTIF('CUSTOMERS'!$B$5:$B$404,C96)&gt;0,"✓ In CUSTOMERS","Add to CUSTOMERS")))</f>
        <v/>
      </c>
      <c r="S96" s="49">
        <f>IF(C96="","",IF(OR(J96="Booked",J96="Recurring Client",J96="Lost/Declined"),0,1))</f>
        <v/>
      </c>
      <c r="T96" s="51">
        <f>IF(B96="","",DATE(YEAR(B96),MONTH(B96),1))</f>
        <v/>
      </c>
      <c r="U96" s="49">
        <f>IF(OR(S96&lt;&gt;1,L96=""),"",COUNTIFS('LEADS'!$S$5:$S$504,1,'LEADS'!$L$5:$L$504,"&lt;"&amp;L96)+COUNTIFS($S$5:S96,1,$L$5:L96,L96))</f>
        <v/>
      </c>
    </row>
    <row r="97">
      <c r="A97" s="46" t="inlineStr">
        <is>
          <t>L-0093</t>
        </is>
      </c>
      <c r="B97" s="47" t="n"/>
      <c r="C97" s="38" t="n"/>
      <c r="D97" s="38" t="n"/>
      <c r="E97" s="38" t="n"/>
      <c r="F97" s="38" t="n"/>
      <c r="G97" s="38" t="n"/>
      <c r="H97" s="38" t="n"/>
      <c r="I97" s="48" t="n"/>
      <c r="J97" s="38" t="n"/>
      <c r="K97" s="47" t="n"/>
      <c r="L97" s="47" t="n"/>
      <c r="M97" s="38" t="n"/>
      <c r="N97" s="38" t="n"/>
      <c r="O97" s="49">
        <f>IF(C97="","",IF(OR(J97="Booked",J97="Recurring Client"),"Booked",IF(J97="Lost/Declined","Lost","Open")))</f>
        <v/>
      </c>
      <c r="P97" s="49">
        <f>IF(C97="","",IF(S97=0,"—",IF(L97="","Set date",IF(L97&lt;AsOf,"Overdue",IF(L97=AsOf,"Due today",IF(L97&lt;=AsOf+SoonDays,"Due soon","Scheduled"))))))</f>
        <v/>
      </c>
      <c r="Q97" s="50">
        <f>IF(C97="","",IF(B97="","",AsOf-B97))</f>
        <v/>
      </c>
      <c r="R97" s="49">
        <f>IF(C97="","",IF(O97&lt;&gt;"Booked","",IF(COUNTIF('CUSTOMERS'!$B$5:$B$404,C97)&gt;0,"✓ In CUSTOMERS","Add to CUSTOMERS")))</f>
        <v/>
      </c>
      <c r="S97" s="49">
        <f>IF(C97="","",IF(OR(J97="Booked",J97="Recurring Client",J97="Lost/Declined"),0,1))</f>
        <v/>
      </c>
      <c r="T97" s="51">
        <f>IF(B97="","",DATE(YEAR(B97),MONTH(B97),1))</f>
        <v/>
      </c>
      <c r="U97" s="49">
        <f>IF(OR(S97&lt;&gt;1,L97=""),"",COUNTIFS('LEADS'!$S$5:$S$504,1,'LEADS'!$L$5:$L$504,"&lt;"&amp;L97)+COUNTIFS($S$5:S97,1,$L$5:L97,L97))</f>
        <v/>
      </c>
    </row>
    <row r="98">
      <c r="A98" s="46" t="inlineStr">
        <is>
          <t>L-0094</t>
        </is>
      </c>
      <c r="B98" s="47" t="n"/>
      <c r="C98" s="38" t="n"/>
      <c r="D98" s="38" t="n"/>
      <c r="E98" s="38" t="n"/>
      <c r="F98" s="38" t="n"/>
      <c r="G98" s="38" t="n"/>
      <c r="H98" s="38" t="n"/>
      <c r="I98" s="48" t="n"/>
      <c r="J98" s="38" t="n"/>
      <c r="K98" s="47" t="n"/>
      <c r="L98" s="47" t="n"/>
      <c r="M98" s="38" t="n"/>
      <c r="N98" s="38" t="n"/>
      <c r="O98" s="49">
        <f>IF(C98="","",IF(OR(J98="Booked",J98="Recurring Client"),"Booked",IF(J98="Lost/Declined","Lost","Open")))</f>
        <v/>
      </c>
      <c r="P98" s="49">
        <f>IF(C98="","",IF(S98=0,"—",IF(L98="","Set date",IF(L98&lt;AsOf,"Overdue",IF(L98=AsOf,"Due today",IF(L98&lt;=AsOf+SoonDays,"Due soon","Scheduled"))))))</f>
        <v/>
      </c>
      <c r="Q98" s="50">
        <f>IF(C98="","",IF(B98="","",AsOf-B98))</f>
        <v/>
      </c>
      <c r="R98" s="49">
        <f>IF(C98="","",IF(O98&lt;&gt;"Booked","",IF(COUNTIF('CUSTOMERS'!$B$5:$B$404,C98)&gt;0,"✓ In CUSTOMERS","Add to CUSTOMERS")))</f>
        <v/>
      </c>
      <c r="S98" s="49">
        <f>IF(C98="","",IF(OR(J98="Booked",J98="Recurring Client",J98="Lost/Declined"),0,1))</f>
        <v/>
      </c>
      <c r="T98" s="51">
        <f>IF(B98="","",DATE(YEAR(B98),MONTH(B98),1))</f>
        <v/>
      </c>
      <c r="U98" s="49">
        <f>IF(OR(S98&lt;&gt;1,L98=""),"",COUNTIFS('LEADS'!$S$5:$S$504,1,'LEADS'!$L$5:$L$504,"&lt;"&amp;L98)+COUNTIFS($S$5:S98,1,$L$5:L98,L98))</f>
        <v/>
      </c>
    </row>
    <row r="99">
      <c r="A99" s="46" t="inlineStr">
        <is>
          <t>L-0095</t>
        </is>
      </c>
      <c r="B99" s="47" t="n"/>
      <c r="C99" s="38" t="n"/>
      <c r="D99" s="38" t="n"/>
      <c r="E99" s="38" t="n"/>
      <c r="F99" s="38" t="n"/>
      <c r="G99" s="38" t="n"/>
      <c r="H99" s="38" t="n"/>
      <c r="I99" s="48" t="n"/>
      <c r="J99" s="38" t="n"/>
      <c r="K99" s="47" t="n"/>
      <c r="L99" s="47" t="n"/>
      <c r="M99" s="38" t="n"/>
      <c r="N99" s="38" t="n"/>
      <c r="O99" s="49">
        <f>IF(C99="","",IF(OR(J99="Booked",J99="Recurring Client"),"Booked",IF(J99="Lost/Declined","Lost","Open")))</f>
        <v/>
      </c>
      <c r="P99" s="49">
        <f>IF(C99="","",IF(S99=0,"—",IF(L99="","Set date",IF(L99&lt;AsOf,"Overdue",IF(L99=AsOf,"Due today",IF(L99&lt;=AsOf+SoonDays,"Due soon","Scheduled"))))))</f>
        <v/>
      </c>
      <c r="Q99" s="50">
        <f>IF(C99="","",IF(B99="","",AsOf-B99))</f>
        <v/>
      </c>
      <c r="R99" s="49">
        <f>IF(C99="","",IF(O99&lt;&gt;"Booked","",IF(COUNTIF('CUSTOMERS'!$B$5:$B$404,C99)&gt;0,"✓ In CUSTOMERS","Add to CUSTOMERS")))</f>
        <v/>
      </c>
      <c r="S99" s="49">
        <f>IF(C99="","",IF(OR(J99="Booked",J99="Recurring Client",J99="Lost/Declined"),0,1))</f>
        <v/>
      </c>
      <c r="T99" s="51">
        <f>IF(B99="","",DATE(YEAR(B99),MONTH(B99),1))</f>
        <v/>
      </c>
      <c r="U99" s="49">
        <f>IF(OR(S99&lt;&gt;1,L99=""),"",COUNTIFS('LEADS'!$S$5:$S$504,1,'LEADS'!$L$5:$L$504,"&lt;"&amp;L99)+COUNTIFS($S$5:S99,1,$L$5:L99,L99))</f>
        <v/>
      </c>
    </row>
    <row r="100">
      <c r="A100" s="46" t="inlineStr">
        <is>
          <t>L-0096</t>
        </is>
      </c>
      <c r="B100" s="47" t="n"/>
      <c r="C100" s="38" t="n"/>
      <c r="D100" s="38" t="n"/>
      <c r="E100" s="38" t="n"/>
      <c r="F100" s="38" t="n"/>
      <c r="G100" s="38" t="n"/>
      <c r="H100" s="38" t="n"/>
      <c r="I100" s="48" t="n"/>
      <c r="J100" s="38" t="n"/>
      <c r="K100" s="47" t="n"/>
      <c r="L100" s="47" t="n"/>
      <c r="M100" s="38" t="n"/>
      <c r="N100" s="38" t="n"/>
      <c r="O100" s="49">
        <f>IF(C100="","",IF(OR(J100="Booked",J100="Recurring Client"),"Booked",IF(J100="Lost/Declined","Lost","Open")))</f>
        <v/>
      </c>
      <c r="P100" s="49">
        <f>IF(C100="","",IF(S100=0,"—",IF(L100="","Set date",IF(L100&lt;AsOf,"Overdue",IF(L100=AsOf,"Due today",IF(L100&lt;=AsOf+SoonDays,"Due soon","Scheduled"))))))</f>
        <v/>
      </c>
      <c r="Q100" s="50">
        <f>IF(C100="","",IF(B100="","",AsOf-B100))</f>
        <v/>
      </c>
      <c r="R100" s="49">
        <f>IF(C100="","",IF(O100&lt;&gt;"Booked","",IF(COUNTIF('CUSTOMERS'!$B$5:$B$404,C100)&gt;0,"✓ In CUSTOMERS","Add to CUSTOMERS")))</f>
        <v/>
      </c>
      <c r="S100" s="49">
        <f>IF(C100="","",IF(OR(J100="Booked",J100="Recurring Client",J100="Lost/Declined"),0,1))</f>
        <v/>
      </c>
      <c r="T100" s="51">
        <f>IF(B100="","",DATE(YEAR(B100),MONTH(B100),1))</f>
        <v/>
      </c>
      <c r="U100" s="49">
        <f>IF(OR(S100&lt;&gt;1,L100=""),"",COUNTIFS('LEADS'!$S$5:$S$504,1,'LEADS'!$L$5:$L$504,"&lt;"&amp;L100)+COUNTIFS($S$5:S100,1,$L$5:L100,L100))</f>
        <v/>
      </c>
    </row>
    <row r="101">
      <c r="A101" s="46" t="inlineStr">
        <is>
          <t>L-0097</t>
        </is>
      </c>
      <c r="B101" s="47" t="n"/>
      <c r="C101" s="38" t="n"/>
      <c r="D101" s="38" t="n"/>
      <c r="E101" s="38" t="n"/>
      <c r="F101" s="38" t="n"/>
      <c r="G101" s="38" t="n"/>
      <c r="H101" s="38" t="n"/>
      <c r="I101" s="48" t="n"/>
      <c r="J101" s="38" t="n"/>
      <c r="K101" s="47" t="n"/>
      <c r="L101" s="47" t="n"/>
      <c r="M101" s="38" t="n"/>
      <c r="N101" s="38" t="n"/>
      <c r="O101" s="49">
        <f>IF(C101="","",IF(OR(J101="Booked",J101="Recurring Client"),"Booked",IF(J101="Lost/Declined","Lost","Open")))</f>
        <v/>
      </c>
      <c r="P101" s="49">
        <f>IF(C101="","",IF(S101=0,"—",IF(L101="","Set date",IF(L101&lt;AsOf,"Overdue",IF(L101=AsOf,"Due today",IF(L101&lt;=AsOf+SoonDays,"Due soon","Scheduled"))))))</f>
        <v/>
      </c>
      <c r="Q101" s="50">
        <f>IF(C101="","",IF(B101="","",AsOf-B101))</f>
        <v/>
      </c>
      <c r="R101" s="49">
        <f>IF(C101="","",IF(O101&lt;&gt;"Booked","",IF(COUNTIF('CUSTOMERS'!$B$5:$B$404,C101)&gt;0,"✓ In CUSTOMERS","Add to CUSTOMERS")))</f>
        <v/>
      </c>
      <c r="S101" s="49">
        <f>IF(C101="","",IF(OR(J101="Booked",J101="Recurring Client",J101="Lost/Declined"),0,1))</f>
        <v/>
      </c>
      <c r="T101" s="51">
        <f>IF(B101="","",DATE(YEAR(B101),MONTH(B101),1))</f>
        <v/>
      </c>
      <c r="U101" s="49">
        <f>IF(OR(S101&lt;&gt;1,L101=""),"",COUNTIFS('LEADS'!$S$5:$S$504,1,'LEADS'!$L$5:$L$504,"&lt;"&amp;L101)+COUNTIFS($S$5:S101,1,$L$5:L101,L101))</f>
        <v/>
      </c>
    </row>
    <row r="102">
      <c r="A102" s="46" t="inlineStr">
        <is>
          <t>L-0098</t>
        </is>
      </c>
      <c r="B102" s="47" t="n"/>
      <c r="C102" s="38" t="n"/>
      <c r="D102" s="38" t="n"/>
      <c r="E102" s="38" t="n"/>
      <c r="F102" s="38" t="n"/>
      <c r="G102" s="38" t="n"/>
      <c r="H102" s="38" t="n"/>
      <c r="I102" s="48" t="n"/>
      <c r="J102" s="38" t="n"/>
      <c r="K102" s="47" t="n"/>
      <c r="L102" s="47" t="n"/>
      <c r="M102" s="38" t="n"/>
      <c r="N102" s="38" t="n"/>
      <c r="O102" s="49">
        <f>IF(C102="","",IF(OR(J102="Booked",J102="Recurring Client"),"Booked",IF(J102="Lost/Declined","Lost","Open")))</f>
        <v/>
      </c>
      <c r="P102" s="49">
        <f>IF(C102="","",IF(S102=0,"—",IF(L102="","Set date",IF(L102&lt;AsOf,"Overdue",IF(L102=AsOf,"Due today",IF(L102&lt;=AsOf+SoonDays,"Due soon","Scheduled"))))))</f>
        <v/>
      </c>
      <c r="Q102" s="50">
        <f>IF(C102="","",IF(B102="","",AsOf-B102))</f>
        <v/>
      </c>
      <c r="R102" s="49">
        <f>IF(C102="","",IF(O102&lt;&gt;"Booked","",IF(COUNTIF('CUSTOMERS'!$B$5:$B$404,C102)&gt;0,"✓ In CUSTOMERS","Add to CUSTOMERS")))</f>
        <v/>
      </c>
      <c r="S102" s="49">
        <f>IF(C102="","",IF(OR(J102="Booked",J102="Recurring Client",J102="Lost/Declined"),0,1))</f>
        <v/>
      </c>
      <c r="T102" s="51">
        <f>IF(B102="","",DATE(YEAR(B102),MONTH(B102),1))</f>
        <v/>
      </c>
      <c r="U102" s="49">
        <f>IF(OR(S102&lt;&gt;1,L102=""),"",COUNTIFS('LEADS'!$S$5:$S$504,1,'LEADS'!$L$5:$L$504,"&lt;"&amp;L102)+COUNTIFS($S$5:S102,1,$L$5:L102,L102))</f>
        <v/>
      </c>
    </row>
    <row r="103">
      <c r="A103" s="46" t="inlineStr">
        <is>
          <t>L-0099</t>
        </is>
      </c>
      <c r="B103" s="47" t="n"/>
      <c r="C103" s="38" t="n"/>
      <c r="D103" s="38" t="n"/>
      <c r="E103" s="38" t="n"/>
      <c r="F103" s="38" t="n"/>
      <c r="G103" s="38" t="n"/>
      <c r="H103" s="38" t="n"/>
      <c r="I103" s="48" t="n"/>
      <c r="J103" s="38" t="n"/>
      <c r="K103" s="47" t="n"/>
      <c r="L103" s="47" t="n"/>
      <c r="M103" s="38" t="n"/>
      <c r="N103" s="38" t="n"/>
      <c r="O103" s="49">
        <f>IF(C103="","",IF(OR(J103="Booked",J103="Recurring Client"),"Booked",IF(J103="Lost/Declined","Lost","Open")))</f>
        <v/>
      </c>
      <c r="P103" s="49">
        <f>IF(C103="","",IF(S103=0,"—",IF(L103="","Set date",IF(L103&lt;AsOf,"Overdue",IF(L103=AsOf,"Due today",IF(L103&lt;=AsOf+SoonDays,"Due soon","Scheduled"))))))</f>
        <v/>
      </c>
      <c r="Q103" s="50">
        <f>IF(C103="","",IF(B103="","",AsOf-B103))</f>
        <v/>
      </c>
      <c r="R103" s="49">
        <f>IF(C103="","",IF(O103&lt;&gt;"Booked","",IF(COUNTIF('CUSTOMERS'!$B$5:$B$404,C103)&gt;0,"✓ In CUSTOMERS","Add to CUSTOMERS")))</f>
        <v/>
      </c>
      <c r="S103" s="49">
        <f>IF(C103="","",IF(OR(J103="Booked",J103="Recurring Client",J103="Lost/Declined"),0,1))</f>
        <v/>
      </c>
      <c r="T103" s="51">
        <f>IF(B103="","",DATE(YEAR(B103),MONTH(B103),1))</f>
        <v/>
      </c>
      <c r="U103" s="49">
        <f>IF(OR(S103&lt;&gt;1,L103=""),"",COUNTIFS('LEADS'!$S$5:$S$504,1,'LEADS'!$L$5:$L$504,"&lt;"&amp;L103)+COUNTIFS($S$5:S103,1,$L$5:L103,L103))</f>
        <v/>
      </c>
    </row>
    <row r="104">
      <c r="A104" s="46" t="inlineStr">
        <is>
          <t>L-0100</t>
        </is>
      </c>
      <c r="B104" s="47" t="n"/>
      <c r="C104" s="38" t="n"/>
      <c r="D104" s="38" t="n"/>
      <c r="E104" s="38" t="n"/>
      <c r="F104" s="38" t="n"/>
      <c r="G104" s="38" t="n"/>
      <c r="H104" s="38" t="n"/>
      <c r="I104" s="48" t="n"/>
      <c r="J104" s="38" t="n"/>
      <c r="K104" s="47" t="n"/>
      <c r="L104" s="47" t="n"/>
      <c r="M104" s="38" t="n"/>
      <c r="N104" s="38" t="n"/>
      <c r="O104" s="49">
        <f>IF(C104="","",IF(OR(J104="Booked",J104="Recurring Client"),"Booked",IF(J104="Lost/Declined","Lost","Open")))</f>
        <v/>
      </c>
      <c r="P104" s="49">
        <f>IF(C104="","",IF(S104=0,"—",IF(L104="","Set date",IF(L104&lt;AsOf,"Overdue",IF(L104=AsOf,"Due today",IF(L104&lt;=AsOf+SoonDays,"Due soon","Scheduled"))))))</f>
        <v/>
      </c>
      <c r="Q104" s="50">
        <f>IF(C104="","",IF(B104="","",AsOf-B104))</f>
        <v/>
      </c>
      <c r="R104" s="49">
        <f>IF(C104="","",IF(O104&lt;&gt;"Booked","",IF(COUNTIF('CUSTOMERS'!$B$5:$B$404,C104)&gt;0,"✓ In CUSTOMERS","Add to CUSTOMERS")))</f>
        <v/>
      </c>
      <c r="S104" s="49">
        <f>IF(C104="","",IF(OR(J104="Booked",J104="Recurring Client",J104="Lost/Declined"),0,1))</f>
        <v/>
      </c>
      <c r="T104" s="51">
        <f>IF(B104="","",DATE(YEAR(B104),MONTH(B104),1))</f>
        <v/>
      </c>
      <c r="U104" s="49">
        <f>IF(OR(S104&lt;&gt;1,L104=""),"",COUNTIFS('LEADS'!$S$5:$S$504,1,'LEADS'!$L$5:$L$504,"&lt;"&amp;L104)+COUNTIFS($S$5:S104,1,$L$5:L104,L104))</f>
        <v/>
      </c>
    </row>
    <row r="105">
      <c r="A105" s="46" t="inlineStr">
        <is>
          <t>L-0101</t>
        </is>
      </c>
      <c r="B105" s="47" t="n"/>
      <c r="C105" s="38" t="n"/>
      <c r="D105" s="38" t="n"/>
      <c r="E105" s="38" t="n"/>
      <c r="F105" s="38" t="n"/>
      <c r="G105" s="38" t="n"/>
      <c r="H105" s="38" t="n"/>
      <c r="I105" s="48" t="n"/>
      <c r="J105" s="38" t="n"/>
      <c r="K105" s="47" t="n"/>
      <c r="L105" s="47" t="n"/>
      <c r="M105" s="38" t="n"/>
      <c r="N105" s="38" t="n"/>
      <c r="O105" s="49">
        <f>IF(C105="","",IF(OR(J105="Booked",J105="Recurring Client"),"Booked",IF(J105="Lost/Declined","Lost","Open")))</f>
        <v/>
      </c>
      <c r="P105" s="49">
        <f>IF(C105="","",IF(S105=0,"—",IF(L105="","Set date",IF(L105&lt;AsOf,"Overdue",IF(L105=AsOf,"Due today",IF(L105&lt;=AsOf+SoonDays,"Due soon","Scheduled"))))))</f>
        <v/>
      </c>
      <c r="Q105" s="50">
        <f>IF(C105="","",IF(B105="","",AsOf-B105))</f>
        <v/>
      </c>
      <c r="R105" s="49">
        <f>IF(C105="","",IF(O105&lt;&gt;"Booked","",IF(COUNTIF('CUSTOMERS'!$B$5:$B$404,C105)&gt;0,"✓ In CUSTOMERS","Add to CUSTOMERS")))</f>
        <v/>
      </c>
      <c r="S105" s="49">
        <f>IF(C105="","",IF(OR(J105="Booked",J105="Recurring Client",J105="Lost/Declined"),0,1))</f>
        <v/>
      </c>
      <c r="T105" s="51">
        <f>IF(B105="","",DATE(YEAR(B105),MONTH(B105),1))</f>
        <v/>
      </c>
      <c r="U105" s="49">
        <f>IF(OR(S105&lt;&gt;1,L105=""),"",COUNTIFS('LEADS'!$S$5:$S$504,1,'LEADS'!$L$5:$L$504,"&lt;"&amp;L105)+COUNTIFS($S$5:S105,1,$L$5:L105,L105))</f>
        <v/>
      </c>
    </row>
    <row r="106">
      <c r="A106" s="46" t="inlineStr">
        <is>
          <t>L-0102</t>
        </is>
      </c>
      <c r="B106" s="47" t="n"/>
      <c r="C106" s="38" t="n"/>
      <c r="D106" s="38" t="n"/>
      <c r="E106" s="38" t="n"/>
      <c r="F106" s="38" t="n"/>
      <c r="G106" s="38" t="n"/>
      <c r="H106" s="38" t="n"/>
      <c r="I106" s="48" t="n"/>
      <c r="J106" s="38" t="n"/>
      <c r="K106" s="47" t="n"/>
      <c r="L106" s="47" t="n"/>
      <c r="M106" s="38" t="n"/>
      <c r="N106" s="38" t="n"/>
      <c r="O106" s="49">
        <f>IF(C106="","",IF(OR(J106="Booked",J106="Recurring Client"),"Booked",IF(J106="Lost/Declined","Lost","Open")))</f>
        <v/>
      </c>
      <c r="P106" s="49">
        <f>IF(C106="","",IF(S106=0,"—",IF(L106="","Set date",IF(L106&lt;AsOf,"Overdue",IF(L106=AsOf,"Due today",IF(L106&lt;=AsOf+SoonDays,"Due soon","Scheduled"))))))</f>
        <v/>
      </c>
      <c r="Q106" s="50">
        <f>IF(C106="","",IF(B106="","",AsOf-B106))</f>
        <v/>
      </c>
      <c r="R106" s="49">
        <f>IF(C106="","",IF(O106&lt;&gt;"Booked","",IF(COUNTIF('CUSTOMERS'!$B$5:$B$404,C106)&gt;0,"✓ In CUSTOMERS","Add to CUSTOMERS")))</f>
        <v/>
      </c>
      <c r="S106" s="49">
        <f>IF(C106="","",IF(OR(J106="Booked",J106="Recurring Client",J106="Lost/Declined"),0,1))</f>
        <v/>
      </c>
      <c r="T106" s="51">
        <f>IF(B106="","",DATE(YEAR(B106),MONTH(B106),1))</f>
        <v/>
      </c>
      <c r="U106" s="49">
        <f>IF(OR(S106&lt;&gt;1,L106=""),"",COUNTIFS('LEADS'!$S$5:$S$504,1,'LEADS'!$L$5:$L$504,"&lt;"&amp;L106)+COUNTIFS($S$5:S106,1,$L$5:L106,L106))</f>
        <v/>
      </c>
    </row>
    <row r="107">
      <c r="A107" s="46" t="inlineStr">
        <is>
          <t>L-0103</t>
        </is>
      </c>
      <c r="B107" s="47" t="n"/>
      <c r="C107" s="38" t="n"/>
      <c r="D107" s="38" t="n"/>
      <c r="E107" s="38" t="n"/>
      <c r="F107" s="38" t="n"/>
      <c r="G107" s="38" t="n"/>
      <c r="H107" s="38" t="n"/>
      <c r="I107" s="48" t="n"/>
      <c r="J107" s="38" t="n"/>
      <c r="K107" s="47" t="n"/>
      <c r="L107" s="47" t="n"/>
      <c r="M107" s="38" t="n"/>
      <c r="N107" s="38" t="n"/>
      <c r="O107" s="49">
        <f>IF(C107="","",IF(OR(J107="Booked",J107="Recurring Client"),"Booked",IF(J107="Lost/Declined","Lost","Open")))</f>
        <v/>
      </c>
      <c r="P107" s="49">
        <f>IF(C107="","",IF(S107=0,"—",IF(L107="","Set date",IF(L107&lt;AsOf,"Overdue",IF(L107=AsOf,"Due today",IF(L107&lt;=AsOf+SoonDays,"Due soon","Scheduled"))))))</f>
        <v/>
      </c>
      <c r="Q107" s="50">
        <f>IF(C107="","",IF(B107="","",AsOf-B107))</f>
        <v/>
      </c>
      <c r="R107" s="49">
        <f>IF(C107="","",IF(O107&lt;&gt;"Booked","",IF(COUNTIF('CUSTOMERS'!$B$5:$B$404,C107)&gt;0,"✓ In CUSTOMERS","Add to CUSTOMERS")))</f>
        <v/>
      </c>
      <c r="S107" s="49">
        <f>IF(C107="","",IF(OR(J107="Booked",J107="Recurring Client",J107="Lost/Declined"),0,1))</f>
        <v/>
      </c>
      <c r="T107" s="51">
        <f>IF(B107="","",DATE(YEAR(B107),MONTH(B107),1))</f>
        <v/>
      </c>
      <c r="U107" s="49">
        <f>IF(OR(S107&lt;&gt;1,L107=""),"",COUNTIFS('LEADS'!$S$5:$S$504,1,'LEADS'!$L$5:$L$504,"&lt;"&amp;L107)+COUNTIFS($S$5:S107,1,$L$5:L107,L107))</f>
        <v/>
      </c>
    </row>
    <row r="108">
      <c r="A108" s="46" t="inlineStr">
        <is>
          <t>L-0104</t>
        </is>
      </c>
      <c r="B108" s="47" t="n"/>
      <c r="C108" s="38" t="n"/>
      <c r="D108" s="38" t="n"/>
      <c r="E108" s="38" t="n"/>
      <c r="F108" s="38" t="n"/>
      <c r="G108" s="38" t="n"/>
      <c r="H108" s="38" t="n"/>
      <c r="I108" s="48" t="n"/>
      <c r="J108" s="38" t="n"/>
      <c r="K108" s="47" t="n"/>
      <c r="L108" s="47" t="n"/>
      <c r="M108" s="38" t="n"/>
      <c r="N108" s="38" t="n"/>
      <c r="O108" s="49">
        <f>IF(C108="","",IF(OR(J108="Booked",J108="Recurring Client"),"Booked",IF(J108="Lost/Declined","Lost","Open")))</f>
        <v/>
      </c>
      <c r="P108" s="49">
        <f>IF(C108="","",IF(S108=0,"—",IF(L108="","Set date",IF(L108&lt;AsOf,"Overdue",IF(L108=AsOf,"Due today",IF(L108&lt;=AsOf+SoonDays,"Due soon","Scheduled"))))))</f>
        <v/>
      </c>
      <c r="Q108" s="50">
        <f>IF(C108="","",IF(B108="","",AsOf-B108))</f>
        <v/>
      </c>
      <c r="R108" s="49">
        <f>IF(C108="","",IF(O108&lt;&gt;"Booked","",IF(COUNTIF('CUSTOMERS'!$B$5:$B$404,C108)&gt;0,"✓ In CUSTOMERS","Add to CUSTOMERS")))</f>
        <v/>
      </c>
      <c r="S108" s="49">
        <f>IF(C108="","",IF(OR(J108="Booked",J108="Recurring Client",J108="Lost/Declined"),0,1))</f>
        <v/>
      </c>
      <c r="T108" s="51">
        <f>IF(B108="","",DATE(YEAR(B108),MONTH(B108),1))</f>
        <v/>
      </c>
      <c r="U108" s="49">
        <f>IF(OR(S108&lt;&gt;1,L108=""),"",COUNTIFS('LEADS'!$S$5:$S$504,1,'LEADS'!$L$5:$L$504,"&lt;"&amp;L108)+COUNTIFS($S$5:S108,1,$L$5:L108,L108))</f>
        <v/>
      </c>
    </row>
    <row r="109">
      <c r="A109" s="46" t="inlineStr">
        <is>
          <t>L-0105</t>
        </is>
      </c>
      <c r="B109" s="47" t="n"/>
      <c r="C109" s="38" t="n"/>
      <c r="D109" s="38" t="n"/>
      <c r="E109" s="38" t="n"/>
      <c r="F109" s="38" t="n"/>
      <c r="G109" s="38" t="n"/>
      <c r="H109" s="38" t="n"/>
      <c r="I109" s="48" t="n"/>
      <c r="J109" s="38" t="n"/>
      <c r="K109" s="47" t="n"/>
      <c r="L109" s="47" t="n"/>
      <c r="M109" s="38" t="n"/>
      <c r="N109" s="38" t="n"/>
      <c r="O109" s="49">
        <f>IF(C109="","",IF(OR(J109="Booked",J109="Recurring Client"),"Booked",IF(J109="Lost/Declined","Lost","Open")))</f>
        <v/>
      </c>
      <c r="P109" s="49">
        <f>IF(C109="","",IF(S109=0,"—",IF(L109="","Set date",IF(L109&lt;AsOf,"Overdue",IF(L109=AsOf,"Due today",IF(L109&lt;=AsOf+SoonDays,"Due soon","Scheduled"))))))</f>
        <v/>
      </c>
      <c r="Q109" s="50">
        <f>IF(C109="","",IF(B109="","",AsOf-B109))</f>
        <v/>
      </c>
      <c r="R109" s="49">
        <f>IF(C109="","",IF(O109&lt;&gt;"Booked","",IF(COUNTIF('CUSTOMERS'!$B$5:$B$404,C109)&gt;0,"✓ In CUSTOMERS","Add to CUSTOMERS")))</f>
        <v/>
      </c>
      <c r="S109" s="49">
        <f>IF(C109="","",IF(OR(J109="Booked",J109="Recurring Client",J109="Lost/Declined"),0,1))</f>
        <v/>
      </c>
      <c r="T109" s="51">
        <f>IF(B109="","",DATE(YEAR(B109),MONTH(B109),1))</f>
        <v/>
      </c>
      <c r="U109" s="49">
        <f>IF(OR(S109&lt;&gt;1,L109=""),"",COUNTIFS('LEADS'!$S$5:$S$504,1,'LEADS'!$L$5:$L$504,"&lt;"&amp;L109)+COUNTIFS($S$5:S109,1,$L$5:L109,L109))</f>
        <v/>
      </c>
    </row>
    <row r="110">
      <c r="A110" s="46" t="inlineStr">
        <is>
          <t>L-0106</t>
        </is>
      </c>
      <c r="B110" s="47" t="n"/>
      <c r="C110" s="38" t="n"/>
      <c r="D110" s="38" t="n"/>
      <c r="E110" s="38" t="n"/>
      <c r="F110" s="38" t="n"/>
      <c r="G110" s="38" t="n"/>
      <c r="H110" s="38" t="n"/>
      <c r="I110" s="48" t="n"/>
      <c r="J110" s="38" t="n"/>
      <c r="K110" s="47" t="n"/>
      <c r="L110" s="47" t="n"/>
      <c r="M110" s="38" t="n"/>
      <c r="N110" s="38" t="n"/>
      <c r="O110" s="49">
        <f>IF(C110="","",IF(OR(J110="Booked",J110="Recurring Client"),"Booked",IF(J110="Lost/Declined","Lost","Open")))</f>
        <v/>
      </c>
      <c r="P110" s="49">
        <f>IF(C110="","",IF(S110=0,"—",IF(L110="","Set date",IF(L110&lt;AsOf,"Overdue",IF(L110=AsOf,"Due today",IF(L110&lt;=AsOf+SoonDays,"Due soon","Scheduled"))))))</f>
        <v/>
      </c>
      <c r="Q110" s="50">
        <f>IF(C110="","",IF(B110="","",AsOf-B110))</f>
        <v/>
      </c>
      <c r="R110" s="49">
        <f>IF(C110="","",IF(O110&lt;&gt;"Booked","",IF(COUNTIF('CUSTOMERS'!$B$5:$B$404,C110)&gt;0,"✓ In CUSTOMERS","Add to CUSTOMERS")))</f>
        <v/>
      </c>
      <c r="S110" s="49">
        <f>IF(C110="","",IF(OR(J110="Booked",J110="Recurring Client",J110="Lost/Declined"),0,1))</f>
        <v/>
      </c>
      <c r="T110" s="51">
        <f>IF(B110="","",DATE(YEAR(B110),MONTH(B110),1))</f>
        <v/>
      </c>
      <c r="U110" s="49">
        <f>IF(OR(S110&lt;&gt;1,L110=""),"",COUNTIFS('LEADS'!$S$5:$S$504,1,'LEADS'!$L$5:$L$504,"&lt;"&amp;L110)+COUNTIFS($S$5:S110,1,$L$5:L110,L110))</f>
        <v/>
      </c>
    </row>
    <row r="111">
      <c r="A111" s="46" t="inlineStr">
        <is>
          <t>L-0107</t>
        </is>
      </c>
      <c r="B111" s="47" t="n"/>
      <c r="C111" s="38" t="n"/>
      <c r="D111" s="38" t="n"/>
      <c r="E111" s="38" t="n"/>
      <c r="F111" s="38" t="n"/>
      <c r="G111" s="38" t="n"/>
      <c r="H111" s="38" t="n"/>
      <c r="I111" s="48" t="n"/>
      <c r="J111" s="38" t="n"/>
      <c r="K111" s="47" t="n"/>
      <c r="L111" s="47" t="n"/>
      <c r="M111" s="38" t="n"/>
      <c r="N111" s="38" t="n"/>
      <c r="O111" s="49">
        <f>IF(C111="","",IF(OR(J111="Booked",J111="Recurring Client"),"Booked",IF(J111="Lost/Declined","Lost","Open")))</f>
        <v/>
      </c>
      <c r="P111" s="49">
        <f>IF(C111="","",IF(S111=0,"—",IF(L111="","Set date",IF(L111&lt;AsOf,"Overdue",IF(L111=AsOf,"Due today",IF(L111&lt;=AsOf+SoonDays,"Due soon","Scheduled"))))))</f>
        <v/>
      </c>
      <c r="Q111" s="50">
        <f>IF(C111="","",IF(B111="","",AsOf-B111))</f>
        <v/>
      </c>
      <c r="R111" s="49">
        <f>IF(C111="","",IF(O111&lt;&gt;"Booked","",IF(COUNTIF('CUSTOMERS'!$B$5:$B$404,C111)&gt;0,"✓ In CUSTOMERS","Add to CUSTOMERS")))</f>
        <v/>
      </c>
      <c r="S111" s="49">
        <f>IF(C111="","",IF(OR(J111="Booked",J111="Recurring Client",J111="Lost/Declined"),0,1))</f>
        <v/>
      </c>
      <c r="T111" s="51">
        <f>IF(B111="","",DATE(YEAR(B111),MONTH(B111),1))</f>
        <v/>
      </c>
      <c r="U111" s="49">
        <f>IF(OR(S111&lt;&gt;1,L111=""),"",COUNTIFS('LEADS'!$S$5:$S$504,1,'LEADS'!$L$5:$L$504,"&lt;"&amp;L111)+COUNTIFS($S$5:S111,1,$L$5:L111,L111))</f>
        <v/>
      </c>
    </row>
    <row r="112">
      <c r="A112" s="46" t="inlineStr">
        <is>
          <t>L-0108</t>
        </is>
      </c>
      <c r="B112" s="47" t="n"/>
      <c r="C112" s="38" t="n"/>
      <c r="D112" s="38" t="n"/>
      <c r="E112" s="38" t="n"/>
      <c r="F112" s="38" t="n"/>
      <c r="G112" s="38" t="n"/>
      <c r="H112" s="38" t="n"/>
      <c r="I112" s="48" t="n"/>
      <c r="J112" s="38" t="n"/>
      <c r="K112" s="47" t="n"/>
      <c r="L112" s="47" t="n"/>
      <c r="M112" s="38" t="n"/>
      <c r="N112" s="38" t="n"/>
      <c r="O112" s="49">
        <f>IF(C112="","",IF(OR(J112="Booked",J112="Recurring Client"),"Booked",IF(J112="Lost/Declined","Lost","Open")))</f>
        <v/>
      </c>
      <c r="P112" s="49">
        <f>IF(C112="","",IF(S112=0,"—",IF(L112="","Set date",IF(L112&lt;AsOf,"Overdue",IF(L112=AsOf,"Due today",IF(L112&lt;=AsOf+SoonDays,"Due soon","Scheduled"))))))</f>
        <v/>
      </c>
      <c r="Q112" s="50">
        <f>IF(C112="","",IF(B112="","",AsOf-B112))</f>
        <v/>
      </c>
      <c r="R112" s="49">
        <f>IF(C112="","",IF(O112&lt;&gt;"Booked","",IF(COUNTIF('CUSTOMERS'!$B$5:$B$404,C112)&gt;0,"✓ In CUSTOMERS","Add to CUSTOMERS")))</f>
        <v/>
      </c>
      <c r="S112" s="49">
        <f>IF(C112="","",IF(OR(J112="Booked",J112="Recurring Client",J112="Lost/Declined"),0,1))</f>
        <v/>
      </c>
      <c r="T112" s="51">
        <f>IF(B112="","",DATE(YEAR(B112),MONTH(B112),1))</f>
        <v/>
      </c>
      <c r="U112" s="49">
        <f>IF(OR(S112&lt;&gt;1,L112=""),"",COUNTIFS('LEADS'!$S$5:$S$504,1,'LEADS'!$L$5:$L$504,"&lt;"&amp;L112)+COUNTIFS($S$5:S112,1,$L$5:L112,L112))</f>
        <v/>
      </c>
    </row>
    <row r="113">
      <c r="A113" s="46" t="inlineStr">
        <is>
          <t>L-0109</t>
        </is>
      </c>
      <c r="B113" s="47" t="n"/>
      <c r="C113" s="38" t="n"/>
      <c r="D113" s="38" t="n"/>
      <c r="E113" s="38" t="n"/>
      <c r="F113" s="38" t="n"/>
      <c r="G113" s="38" t="n"/>
      <c r="H113" s="38" t="n"/>
      <c r="I113" s="48" t="n"/>
      <c r="J113" s="38" t="n"/>
      <c r="K113" s="47" t="n"/>
      <c r="L113" s="47" t="n"/>
      <c r="M113" s="38" t="n"/>
      <c r="N113" s="38" t="n"/>
      <c r="O113" s="49">
        <f>IF(C113="","",IF(OR(J113="Booked",J113="Recurring Client"),"Booked",IF(J113="Lost/Declined","Lost","Open")))</f>
        <v/>
      </c>
      <c r="P113" s="49">
        <f>IF(C113="","",IF(S113=0,"—",IF(L113="","Set date",IF(L113&lt;AsOf,"Overdue",IF(L113=AsOf,"Due today",IF(L113&lt;=AsOf+SoonDays,"Due soon","Scheduled"))))))</f>
        <v/>
      </c>
      <c r="Q113" s="50">
        <f>IF(C113="","",IF(B113="","",AsOf-B113))</f>
        <v/>
      </c>
      <c r="R113" s="49">
        <f>IF(C113="","",IF(O113&lt;&gt;"Booked","",IF(COUNTIF('CUSTOMERS'!$B$5:$B$404,C113)&gt;0,"✓ In CUSTOMERS","Add to CUSTOMERS")))</f>
        <v/>
      </c>
      <c r="S113" s="49">
        <f>IF(C113="","",IF(OR(J113="Booked",J113="Recurring Client",J113="Lost/Declined"),0,1))</f>
        <v/>
      </c>
      <c r="T113" s="51">
        <f>IF(B113="","",DATE(YEAR(B113),MONTH(B113),1))</f>
        <v/>
      </c>
      <c r="U113" s="49">
        <f>IF(OR(S113&lt;&gt;1,L113=""),"",COUNTIFS('LEADS'!$S$5:$S$504,1,'LEADS'!$L$5:$L$504,"&lt;"&amp;L113)+COUNTIFS($S$5:S113,1,$L$5:L113,L113))</f>
        <v/>
      </c>
    </row>
    <row r="114">
      <c r="A114" s="46" t="inlineStr">
        <is>
          <t>L-0110</t>
        </is>
      </c>
      <c r="B114" s="47" t="n"/>
      <c r="C114" s="38" t="n"/>
      <c r="D114" s="38" t="n"/>
      <c r="E114" s="38" t="n"/>
      <c r="F114" s="38" t="n"/>
      <c r="G114" s="38" t="n"/>
      <c r="H114" s="38" t="n"/>
      <c r="I114" s="48" t="n"/>
      <c r="J114" s="38" t="n"/>
      <c r="K114" s="47" t="n"/>
      <c r="L114" s="47" t="n"/>
      <c r="M114" s="38" t="n"/>
      <c r="N114" s="38" t="n"/>
      <c r="O114" s="49">
        <f>IF(C114="","",IF(OR(J114="Booked",J114="Recurring Client"),"Booked",IF(J114="Lost/Declined","Lost","Open")))</f>
        <v/>
      </c>
      <c r="P114" s="49">
        <f>IF(C114="","",IF(S114=0,"—",IF(L114="","Set date",IF(L114&lt;AsOf,"Overdue",IF(L114=AsOf,"Due today",IF(L114&lt;=AsOf+SoonDays,"Due soon","Scheduled"))))))</f>
        <v/>
      </c>
      <c r="Q114" s="50">
        <f>IF(C114="","",IF(B114="","",AsOf-B114))</f>
        <v/>
      </c>
      <c r="R114" s="49">
        <f>IF(C114="","",IF(O114&lt;&gt;"Booked","",IF(COUNTIF('CUSTOMERS'!$B$5:$B$404,C114)&gt;0,"✓ In CUSTOMERS","Add to CUSTOMERS")))</f>
        <v/>
      </c>
      <c r="S114" s="49">
        <f>IF(C114="","",IF(OR(J114="Booked",J114="Recurring Client",J114="Lost/Declined"),0,1))</f>
        <v/>
      </c>
      <c r="T114" s="51">
        <f>IF(B114="","",DATE(YEAR(B114),MONTH(B114),1))</f>
        <v/>
      </c>
      <c r="U114" s="49">
        <f>IF(OR(S114&lt;&gt;1,L114=""),"",COUNTIFS('LEADS'!$S$5:$S$504,1,'LEADS'!$L$5:$L$504,"&lt;"&amp;L114)+COUNTIFS($S$5:S114,1,$L$5:L114,L114))</f>
        <v/>
      </c>
    </row>
    <row r="115">
      <c r="A115" s="46" t="inlineStr">
        <is>
          <t>L-0111</t>
        </is>
      </c>
      <c r="B115" s="47" t="n"/>
      <c r="C115" s="38" t="n"/>
      <c r="D115" s="38" t="n"/>
      <c r="E115" s="38" t="n"/>
      <c r="F115" s="38" t="n"/>
      <c r="G115" s="38" t="n"/>
      <c r="H115" s="38" t="n"/>
      <c r="I115" s="48" t="n"/>
      <c r="J115" s="38" t="n"/>
      <c r="K115" s="47" t="n"/>
      <c r="L115" s="47" t="n"/>
      <c r="M115" s="38" t="n"/>
      <c r="N115" s="38" t="n"/>
      <c r="O115" s="49">
        <f>IF(C115="","",IF(OR(J115="Booked",J115="Recurring Client"),"Booked",IF(J115="Lost/Declined","Lost","Open")))</f>
        <v/>
      </c>
      <c r="P115" s="49">
        <f>IF(C115="","",IF(S115=0,"—",IF(L115="","Set date",IF(L115&lt;AsOf,"Overdue",IF(L115=AsOf,"Due today",IF(L115&lt;=AsOf+SoonDays,"Due soon","Scheduled"))))))</f>
        <v/>
      </c>
      <c r="Q115" s="50">
        <f>IF(C115="","",IF(B115="","",AsOf-B115))</f>
        <v/>
      </c>
      <c r="R115" s="49">
        <f>IF(C115="","",IF(O115&lt;&gt;"Booked","",IF(COUNTIF('CUSTOMERS'!$B$5:$B$404,C115)&gt;0,"✓ In CUSTOMERS","Add to CUSTOMERS")))</f>
        <v/>
      </c>
      <c r="S115" s="49">
        <f>IF(C115="","",IF(OR(J115="Booked",J115="Recurring Client",J115="Lost/Declined"),0,1))</f>
        <v/>
      </c>
      <c r="T115" s="51">
        <f>IF(B115="","",DATE(YEAR(B115),MONTH(B115),1))</f>
        <v/>
      </c>
      <c r="U115" s="49">
        <f>IF(OR(S115&lt;&gt;1,L115=""),"",COUNTIFS('LEADS'!$S$5:$S$504,1,'LEADS'!$L$5:$L$504,"&lt;"&amp;L115)+COUNTIFS($S$5:S115,1,$L$5:L115,L115))</f>
        <v/>
      </c>
    </row>
    <row r="116">
      <c r="A116" s="46" t="inlineStr">
        <is>
          <t>L-0112</t>
        </is>
      </c>
      <c r="B116" s="47" t="n"/>
      <c r="C116" s="38" t="n"/>
      <c r="D116" s="38" t="n"/>
      <c r="E116" s="38" t="n"/>
      <c r="F116" s="38" t="n"/>
      <c r="G116" s="38" t="n"/>
      <c r="H116" s="38" t="n"/>
      <c r="I116" s="48" t="n"/>
      <c r="J116" s="38" t="n"/>
      <c r="K116" s="47" t="n"/>
      <c r="L116" s="47" t="n"/>
      <c r="M116" s="38" t="n"/>
      <c r="N116" s="38" t="n"/>
      <c r="O116" s="49">
        <f>IF(C116="","",IF(OR(J116="Booked",J116="Recurring Client"),"Booked",IF(J116="Lost/Declined","Lost","Open")))</f>
        <v/>
      </c>
      <c r="P116" s="49">
        <f>IF(C116="","",IF(S116=0,"—",IF(L116="","Set date",IF(L116&lt;AsOf,"Overdue",IF(L116=AsOf,"Due today",IF(L116&lt;=AsOf+SoonDays,"Due soon","Scheduled"))))))</f>
        <v/>
      </c>
      <c r="Q116" s="50">
        <f>IF(C116="","",IF(B116="","",AsOf-B116))</f>
        <v/>
      </c>
      <c r="R116" s="49">
        <f>IF(C116="","",IF(O116&lt;&gt;"Booked","",IF(COUNTIF('CUSTOMERS'!$B$5:$B$404,C116)&gt;0,"✓ In CUSTOMERS","Add to CUSTOMERS")))</f>
        <v/>
      </c>
      <c r="S116" s="49">
        <f>IF(C116="","",IF(OR(J116="Booked",J116="Recurring Client",J116="Lost/Declined"),0,1))</f>
        <v/>
      </c>
      <c r="T116" s="51">
        <f>IF(B116="","",DATE(YEAR(B116),MONTH(B116),1))</f>
        <v/>
      </c>
      <c r="U116" s="49">
        <f>IF(OR(S116&lt;&gt;1,L116=""),"",COUNTIFS('LEADS'!$S$5:$S$504,1,'LEADS'!$L$5:$L$504,"&lt;"&amp;L116)+COUNTIFS($S$5:S116,1,$L$5:L116,L116))</f>
        <v/>
      </c>
    </row>
    <row r="117">
      <c r="A117" s="46" t="inlineStr">
        <is>
          <t>L-0113</t>
        </is>
      </c>
      <c r="B117" s="47" t="n"/>
      <c r="C117" s="38" t="n"/>
      <c r="D117" s="38" t="n"/>
      <c r="E117" s="38" t="n"/>
      <c r="F117" s="38" t="n"/>
      <c r="G117" s="38" t="n"/>
      <c r="H117" s="38" t="n"/>
      <c r="I117" s="48" t="n"/>
      <c r="J117" s="38" t="n"/>
      <c r="K117" s="47" t="n"/>
      <c r="L117" s="47" t="n"/>
      <c r="M117" s="38" t="n"/>
      <c r="N117" s="38" t="n"/>
      <c r="O117" s="49">
        <f>IF(C117="","",IF(OR(J117="Booked",J117="Recurring Client"),"Booked",IF(J117="Lost/Declined","Lost","Open")))</f>
        <v/>
      </c>
      <c r="P117" s="49">
        <f>IF(C117="","",IF(S117=0,"—",IF(L117="","Set date",IF(L117&lt;AsOf,"Overdue",IF(L117=AsOf,"Due today",IF(L117&lt;=AsOf+SoonDays,"Due soon","Scheduled"))))))</f>
        <v/>
      </c>
      <c r="Q117" s="50">
        <f>IF(C117="","",IF(B117="","",AsOf-B117))</f>
        <v/>
      </c>
      <c r="R117" s="49">
        <f>IF(C117="","",IF(O117&lt;&gt;"Booked","",IF(COUNTIF('CUSTOMERS'!$B$5:$B$404,C117)&gt;0,"✓ In CUSTOMERS","Add to CUSTOMERS")))</f>
        <v/>
      </c>
      <c r="S117" s="49">
        <f>IF(C117="","",IF(OR(J117="Booked",J117="Recurring Client",J117="Lost/Declined"),0,1))</f>
        <v/>
      </c>
      <c r="T117" s="51">
        <f>IF(B117="","",DATE(YEAR(B117),MONTH(B117),1))</f>
        <v/>
      </c>
      <c r="U117" s="49">
        <f>IF(OR(S117&lt;&gt;1,L117=""),"",COUNTIFS('LEADS'!$S$5:$S$504,1,'LEADS'!$L$5:$L$504,"&lt;"&amp;L117)+COUNTIFS($S$5:S117,1,$L$5:L117,L117))</f>
        <v/>
      </c>
    </row>
    <row r="118">
      <c r="A118" s="46" t="inlineStr">
        <is>
          <t>L-0114</t>
        </is>
      </c>
      <c r="B118" s="47" t="n"/>
      <c r="C118" s="38" t="n"/>
      <c r="D118" s="38" t="n"/>
      <c r="E118" s="38" t="n"/>
      <c r="F118" s="38" t="n"/>
      <c r="G118" s="38" t="n"/>
      <c r="H118" s="38" t="n"/>
      <c r="I118" s="48" t="n"/>
      <c r="J118" s="38" t="n"/>
      <c r="K118" s="47" t="n"/>
      <c r="L118" s="47" t="n"/>
      <c r="M118" s="38" t="n"/>
      <c r="N118" s="38" t="n"/>
      <c r="O118" s="49">
        <f>IF(C118="","",IF(OR(J118="Booked",J118="Recurring Client"),"Booked",IF(J118="Lost/Declined","Lost","Open")))</f>
        <v/>
      </c>
      <c r="P118" s="49">
        <f>IF(C118="","",IF(S118=0,"—",IF(L118="","Set date",IF(L118&lt;AsOf,"Overdue",IF(L118=AsOf,"Due today",IF(L118&lt;=AsOf+SoonDays,"Due soon","Scheduled"))))))</f>
        <v/>
      </c>
      <c r="Q118" s="50">
        <f>IF(C118="","",IF(B118="","",AsOf-B118))</f>
        <v/>
      </c>
      <c r="R118" s="49">
        <f>IF(C118="","",IF(O118&lt;&gt;"Booked","",IF(COUNTIF('CUSTOMERS'!$B$5:$B$404,C118)&gt;0,"✓ In CUSTOMERS","Add to CUSTOMERS")))</f>
        <v/>
      </c>
      <c r="S118" s="49">
        <f>IF(C118="","",IF(OR(J118="Booked",J118="Recurring Client",J118="Lost/Declined"),0,1))</f>
        <v/>
      </c>
      <c r="T118" s="51">
        <f>IF(B118="","",DATE(YEAR(B118),MONTH(B118),1))</f>
        <v/>
      </c>
      <c r="U118" s="49">
        <f>IF(OR(S118&lt;&gt;1,L118=""),"",COUNTIFS('LEADS'!$S$5:$S$504,1,'LEADS'!$L$5:$L$504,"&lt;"&amp;L118)+COUNTIFS($S$5:S118,1,$L$5:L118,L118))</f>
        <v/>
      </c>
    </row>
    <row r="119">
      <c r="A119" s="46" t="inlineStr">
        <is>
          <t>L-0115</t>
        </is>
      </c>
      <c r="B119" s="47" t="n"/>
      <c r="C119" s="38" t="n"/>
      <c r="D119" s="38" t="n"/>
      <c r="E119" s="38" t="n"/>
      <c r="F119" s="38" t="n"/>
      <c r="G119" s="38" t="n"/>
      <c r="H119" s="38" t="n"/>
      <c r="I119" s="48" t="n"/>
      <c r="J119" s="38" t="n"/>
      <c r="K119" s="47" t="n"/>
      <c r="L119" s="47" t="n"/>
      <c r="M119" s="38" t="n"/>
      <c r="N119" s="38" t="n"/>
      <c r="O119" s="49">
        <f>IF(C119="","",IF(OR(J119="Booked",J119="Recurring Client"),"Booked",IF(J119="Lost/Declined","Lost","Open")))</f>
        <v/>
      </c>
      <c r="P119" s="49">
        <f>IF(C119="","",IF(S119=0,"—",IF(L119="","Set date",IF(L119&lt;AsOf,"Overdue",IF(L119=AsOf,"Due today",IF(L119&lt;=AsOf+SoonDays,"Due soon","Scheduled"))))))</f>
        <v/>
      </c>
      <c r="Q119" s="50">
        <f>IF(C119="","",IF(B119="","",AsOf-B119))</f>
        <v/>
      </c>
      <c r="R119" s="49">
        <f>IF(C119="","",IF(O119&lt;&gt;"Booked","",IF(COUNTIF('CUSTOMERS'!$B$5:$B$404,C119)&gt;0,"✓ In CUSTOMERS","Add to CUSTOMERS")))</f>
        <v/>
      </c>
      <c r="S119" s="49">
        <f>IF(C119="","",IF(OR(J119="Booked",J119="Recurring Client",J119="Lost/Declined"),0,1))</f>
        <v/>
      </c>
      <c r="T119" s="51">
        <f>IF(B119="","",DATE(YEAR(B119),MONTH(B119),1))</f>
        <v/>
      </c>
      <c r="U119" s="49">
        <f>IF(OR(S119&lt;&gt;1,L119=""),"",COUNTIFS('LEADS'!$S$5:$S$504,1,'LEADS'!$L$5:$L$504,"&lt;"&amp;L119)+COUNTIFS($S$5:S119,1,$L$5:L119,L119))</f>
        <v/>
      </c>
    </row>
    <row r="120">
      <c r="A120" s="46" t="inlineStr">
        <is>
          <t>L-0116</t>
        </is>
      </c>
      <c r="B120" s="47" t="n"/>
      <c r="C120" s="38" t="n"/>
      <c r="D120" s="38" t="n"/>
      <c r="E120" s="38" t="n"/>
      <c r="F120" s="38" t="n"/>
      <c r="G120" s="38" t="n"/>
      <c r="H120" s="38" t="n"/>
      <c r="I120" s="48" t="n"/>
      <c r="J120" s="38" t="n"/>
      <c r="K120" s="47" t="n"/>
      <c r="L120" s="47" t="n"/>
      <c r="M120" s="38" t="n"/>
      <c r="N120" s="38" t="n"/>
      <c r="O120" s="49">
        <f>IF(C120="","",IF(OR(J120="Booked",J120="Recurring Client"),"Booked",IF(J120="Lost/Declined","Lost","Open")))</f>
        <v/>
      </c>
      <c r="P120" s="49">
        <f>IF(C120="","",IF(S120=0,"—",IF(L120="","Set date",IF(L120&lt;AsOf,"Overdue",IF(L120=AsOf,"Due today",IF(L120&lt;=AsOf+SoonDays,"Due soon","Scheduled"))))))</f>
        <v/>
      </c>
      <c r="Q120" s="50">
        <f>IF(C120="","",IF(B120="","",AsOf-B120))</f>
        <v/>
      </c>
      <c r="R120" s="49">
        <f>IF(C120="","",IF(O120&lt;&gt;"Booked","",IF(COUNTIF('CUSTOMERS'!$B$5:$B$404,C120)&gt;0,"✓ In CUSTOMERS","Add to CUSTOMERS")))</f>
        <v/>
      </c>
      <c r="S120" s="49">
        <f>IF(C120="","",IF(OR(J120="Booked",J120="Recurring Client",J120="Lost/Declined"),0,1))</f>
        <v/>
      </c>
      <c r="T120" s="51">
        <f>IF(B120="","",DATE(YEAR(B120),MONTH(B120),1))</f>
        <v/>
      </c>
      <c r="U120" s="49">
        <f>IF(OR(S120&lt;&gt;1,L120=""),"",COUNTIFS('LEADS'!$S$5:$S$504,1,'LEADS'!$L$5:$L$504,"&lt;"&amp;L120)+COUNTIFS($S$5:S120,1,$L$5:L120,L120))</f>
        <v/>
      </c>
    </row>
    <row r="121">
      <c r="A121" s="46" t="inlineStr">
        <is>
          <t>L-0117</t>
        </is>
      </c>
      <c r="B121" s="47" t="n"/>
      <c r="C121" s="38" t="n"/>
      <c r="D121" s="38" t="n"/>
      <c r="E121" s="38" t="n"/>
      <c r="F121" s="38" t="n"/>
      <c r="G121" s="38" t="n"/>
      <c r="H121" s="38" t="n"/>
      <c r="I121" s="48" t="n"/>
      <c r="J121" s="38" t="n"/>
      <c r="K121" s="47" t="n"/>
      <c r="L121" s="47" t="n"/>
      <c r="M121" s="38" t="n"/>
      <c r="N121" s="38" t="n"/>
      <c r="O121" s="49">
        <f>IF(C121="","",IF(OR(J121="Booked",J121="Recurring Client"),"Booked",IF(J121="Lost/Declined","Lost","Open")))</f>
        <v/>
      </c>
      <c r="P121" s="49">
        <f>IF(C121="","",IF(S121=0,"—",IF(L121="","Set date",IF(L121&lt;AsOf,"Overdue",IF(L121=AsOf,"Due today",IF(L121&lt;=AsOf+SoonDays,"Due soon","Scheduled"))))))</f>
        <v/>
      </c>
      <c r="Q121" s="50">
        <f>IF(C121="","",IF(B121="","",AsOf-B121))</f>
        <v/>
      </c>
      <c r="R121" s="49">
        <f>IF(C121="","",IF(O121&lt;&gt;"Booked","",IF(COUNTIF('CUSTOMERS'!$B$5:$B$404,C121)&gt;0,"✓ In CUSTOMERS","Add to CUSTOMERS")))</f>
        <v/>
      </c>
      <c r="S121" s="49">
        <f>IF(C121="","",IF(OR(J121="Booked",J121="Recurring Client",J121="Lost/Declined"),0,1))</f>
        <v/>
      </c>
      <c r="T121" s="51">
        <f>IF(B121="","",DATE(YEAR(B121),MONTH(B121),1))</f>
        <v/>
      </c>
      <c r="U121" s="49">
        <f>IF(OR(S121&lt;&gt;1,L121=""),"",COUNTIFS('LEADS'!$S$5:$S$504,1,'LEADS'!$L$5:$L$504,"&lt;"&amp;L121)+COUNTIFS($S$5:S121,1,$L$5:L121,L121))</f>
        <v/>
      </c>
    </row>
    <row r="122">
      <c r="A122" s="46" t="inlineStr">
        <is>
          <t>L-0118</t>
        </is>
      </c>
      <c r="B122" s="47" t="n"/>
      <c r="C122" s="38" t="n"/>
      <c r="D122" s="38" t="n"/>
      <c r="E122" s="38" t="n"/>
      <c r="F122" s="38" t="n"/>
      <c r="G122" s="38" t="n"/>
      <c r="H122" s="38" t="n"/>
      <c r="I122" s="48" t="n"/>
      <c r="J122" s="38" t="n"/>
      <c r="K122" s="47" t="n"/>
      <c r="L122" s="47" t="n"/>
      <c r="M122" s="38" t="n"/>
      <c r="N122" s="38" t="n"/>
      <c r="O122" s="49">
        <f>IF(C122="","",IF(OR(J122="Booked",J122="Recurring Client"),"Booked",IF(J122="Lost/Declined","Lost","Open")))</f>
        <v/>
      </c>
      <c r="P122" s="49">
        <f>IF(C122="","",IF(S122=0,"—",IF(L122="","Set date",IF(L122&lt;AsOf,"Overdue",IF(L122=AsOf,"Due today",IF(L122&lt;=AsOf+SoonDays,"Due soon","Scheduled"))))))</f>
        <v/>
      </c>
      <c r="Q122" s="50">
        <f>IF(C122="","",IF(B122="","",AsOf-B122))</f>
        <v/>
      </c>
      <c r="R122" s="49">
        <f>IF(C122="","",IF(O122&lt;&gt;"Booked","",IF(COUNTIF('CUSTOMERS'!$B$5:$B$404,C122)&gt;0,"✓ In CUSTOMERS","Add to CUSTOMERS")))</f>
        <v/>
      </c>
      <c r="S122" s="49">
        <f>IF(C122="","",IF(OR(J122="Booked",J122="Recurring Client",J122="Lost/Declined"),0,1))</f>
        <v/>
      </c>
      <c r="T122" s="51">
        <f>IF(B122="","",DATE(YEAR(B122),MONTH(B122),1))</f>
        <v/>
      </c>
      <c r="U122" s="49">
        <f>IF(OR(S122&lt;&gt;1,L122=""),"",COUNTIFS('LEADS'!$S$5:$S$504,1,'LEADS'!$L$5:$L$504,"&lt;"&amp;L122)+COUNTIFS($S$5:S122,1,$L$5:L122,L122))</f>
        <v/>
      </c>
    </row>
    <row r="123">
      <c r="A123" s="46" t="inlineStr">
        <is>
          <t>L-0119</t>
        </is>
      </c>
      <c r="B123" s="47" t="n"/>
      <c r="C123" s="38" t="n"/>
      <c r="D123" s="38" t="n"/>
      <c r="E123" s="38" t="n"/>
      <c r="F123" s="38" t="n"/>
      <c r="G123" s="38" t="n"/>
      <c r="H123" s="38" t="n"/>
      <c r="I123" s="48" t="n"/>
      <c r="J123" s="38" t="n"/>
      <c r="K123" s="47" t="n"/>
      <c r="L123" s="47" t="n"/>
      <c r="M123" s="38" t="n"/>
      <c r="N123" s="38" t="n"/>
      <c r="O123" s="49">
        <f>IF(C123="","",IF(OR(J123="Booked",J123="Recurring Client"),"Booked",IF(J123="Lost/Declined","Lost","Open")))</f>
        <v/>
      </c>
      <c r="P123" s="49">
        <f>IF(C123="","",IF(S123=0,"—",IF(L123="","Set date",IF(L123&lt;AsOf,"Overdue",IF(L123=AsOf,"Due today",IF(L123&lt;=AsOf+SoonDays,"Due soon","Scheduled"))))))</f>
        <v/>
      </c>
      <c r="Q123" s="50">
        <f>IF(C123="","",IF(B123="","",AsOf-B123))</f>
        <v/>
      </c>
      <c r="R123" s="49">
        <f>IF(C123="","",IF(O123&lt;&gt;"Booked","",IF(COUNTIF('CUSTOMERS'!$B$5:$B$404,C123)&gt;0,"✓ In CUSTOMERS","Add to CUSTOMERS")))</f>
        <v/>
      </c>
      <c r="S123" s="49">
        <f>IF(C123="","",IF(OR(J123="Booked",J123="Recurring Client",J123="Lost/Declined"),0,1))</f>
        <v/>
      </c>
      <c r="T123" s="51">
        <f>IF(B123="","",DATE(YEAR(B123),MONTH(B123),1))</f>
        <v/>
      </c>
      <c r="U123" s="49">
        <f>IF(OR(S123&lt;&gt;1,L123=""),"",COUNTIFS('LEADS'!$S$5:$S$504,1,'LEADS'!$L$5:$L$504,"&lt;"&amp;L123)+COUNTIFS($S$5:S123,1,$L$5:L123,L123))</f>
        <v/>
      </c>
    </row>
    <row r="124">
      <c r="A124" s="46" t="inlineStr">
        <is>
          <t>L-0120</t>
        </is>
      </c>
      <c r="B124" s="47" t="n"/>
      <c r="C124" s="38" t="n"/>
      <c r="D124" s="38" t="n"/>
      <c r="E124" s="38" t="n"/>
      <c r="F124" s="38" t="n"/>
      <c r="G124" s="38" t="n"/>
      <c r="H124" s="38" t="n"/>
      <c r="I124" s="48" t="n"/>
      <c r="J124" s="38" t="n"/>
      <c r="K124" s="47" t="n"/>
      <c r="L124" s="47" t="n"/>
      <c r="M124" s="38" t="n"/>
      <c r="N124" s="38" t="n"/>
      <c r="O124" s="49">
        <f>IF(C124="","",IF(OR(J124="Booked",J124="Recurring Client"),"Booked",IF(J124="Lost/Declined","Lost","Open")))</f>
        <v/>
      </c>
      <c r="P124" s="49">
        <f>IF(C124="","",IF(S124=0,"—",IF(L124="","Set date",IF(L124&lt;AsOf,"Overdue",IF(L124=AsOf,"Due today",IF(L124&lt;=AsOf+SoonDays,"Due soon","Scheduled"))))))</f>
        <v/>
      </c>
      <c r="Q124" s="50">
        <f>IF(C124="","",IF(B124="","",AsOf-B124))</f>
        <v/>
      </c>
      <c r="R124" s="49">
        <f>IF(C124="","",IF(O124&lt;&gt;"Booked","",IF(COUNTIF('CUSTOMERS'!$B$5:$B$404,C124)&gt;0,"✓ In CUSTOMERS","Add to CUSTOMERS")))</f>
        <v/>
      </c>
      <c r="S124" s="49">
        <f>IF(C124="","",IF(OR(J124="Booked",J124="Recurring Client",J124="Lost/Declined"),0,1))</f>
        <v/>
      </c>
      <c r="T124" s="51">
        <f>IF(B124="","",DATE(YEAR(B124),MONTH(B124),1))</f>
        <v/>
      </c>
      <c r="U124" s="49">
        <f>IF(OR(S124&lt;&gt;1,L124=""),"",COUNTIFS('LEADS'!$S$5:$S$504,1,'LEADS'!$L$5:$L$504,"&lt;"&amp;L124)+COUNTIFS($S$5:S124,1,$L$5:L124,L124))</f>
        <v/>
      </c>
    </row>
    <row r="125">
      <c r="A125" s="46" t="inlineStr">
        <is>
          <t>L-0121</t>
        </is>
      </c>
      <c r="B125" s="47" t="n"/>
      <c r="C125" s="38" t="n"/>
      <c r="D125" s="38" t="n"/>
      <c r="E125" s="38" t="n"/>
      <c r="F125" s="38" t="n"/>
      <c r="G125" s="38" t="n"/>
      <c r="H125" s="38" t="n"/>
      <c r="I125" s="48" t="n"/>
      <c r="J125" s="38" t="n"/>
      <c r="K125" s="47" t="n"/>
      <c r="L125" s="47" t="n"/>
      <c r="M125" s="38" t="n"/>
      <c r="N125" s="38" t="n"/>
      <c r="O125" s="49">
        <f>IF(C125="","",IF(OR(J125="Booked",J125="Recurring Client"),"Booked",IF(J125="Lost/Declined","Lost","Open")))</f>
        <v/>
      </c>
      <c r="P125" s="49">
        <f>IF(C125="","",IF(S125=0,"—",IF(L125="","Set date",IF(L125&lt;AsOf,"Overdue",IF(L125=AsOf,"Due today",IF(L125&lt;=AsOf+SoonDays,"Due soon","Scheduled"))))))</f>
        <v/>
      </c>
      <c r="Q125" s="50">
        <f>IF(C125="","",IF(B125="","",AsOf-B125))</f>
        <v/>
      </c>
      <c r="R125" s="49">
        <f>IF(C125="","",IF(O125&lt;&gt;"Booked","",IF(COUNTIF('CUSTOMERS'!$B$5:$B$404,C125)&gt;0,"✓ In CUSTOMERS","Add to CUSTOMERS")))</f>
        <v/>
      </c>
      <c r="S125" s="49">
        <f>IF(C125="","",IF(OR(J125="Booked",J125="Recurring Client",J125="Lost/Declined"),0,1))</f>
        <v/>
      </c>
      <c r="T125" s="51">
        <f>IF(B125="","",DATE(YEAR(B125),MONTH(B125),1))</f>
        <v/>
      </c>
      <c r="U125" s="49">
        <f>IF(OR(S125&lt;&gt;1,L125=""),"",COUNTIFS('LEADS'!$S$5:$S$504,1,'LEADS'!$L$5:$L$504,"&lt;"&amp;L125)+COUNTIFS($S$5:S125,1,$L$5:L125,L125))</f>
        <v/>
      </c>
    </row>
    <row r="126">
      <c r="A126" s="46" t="inlineStr">
        <is>
          <t>L-0122</t>
        </is>
      </c>
      <c r="B126" s="47" t="n"/>
      <c r="C126" s="38" t="n"/>
      <c r="D126" s="38" t="n"/>
      <c r="E126" s="38" t="n"/>
      <c r="F126" s="38" t="n"/>
      <c r="G126" s="38" t="n"/>
      <c r="H126" s="38" t="n"/>
      <c r="I126" s="48" t="n"/>
      <c r="J126" s="38" t="n"/>
      <c r="K126" s="47" t="n"/>
      <c r="L126" s="47" t="n"/>
      <c r="M126" s="38" t="n"/>
      <c r="N126" s="38" t="n"/>
      <c r="O126" s="49">
        <f>IF(C126="","",IF(OR(J126="Booked",J126="Recurring Client"),"Booked",IF(J126="Lost/Declined","Lost","Open")))</f>
        <v/>
      </c>
      <c r="P126" s="49">
        <f>IF(C126="","",IF(S126=0,"—",IF(L126="","Set date",IF(L126&lt;AsOf,"Overdue",IF(L126=AsOf,"Due today",IF(L126&lt;=AsOf+SoonDays,"Due soon","Scheduled"))))))</f>
        <v/>
      </c>
      <c r="Q126" s="50">
        <f>IF(C126="","",IF(B126="","",AsOf-B126))</f>
        <v/>
      </c>
      <c r="R126" s="49">
        <f>IF(C126="","",IF(O126&lt;&gt;"Booked","",IF(COUNTIF('CUSTOMERS'!$B$5:$B$404,C126)&gt;0,"✓ In CUSTOMERS","Add to CUSTOMERS")))</f>
        <v/>
      </c>
      <c r="S126" s="49">
        <f>IF(C126="","",IF(OR(J126="Booked",J126="Recurring Client",J126="Lost/Declined"),0,1))</f>
        <v/>
      </c>
      <c r="T126" s="51">
        <f>IF(B126="","",DATE(YEAR(B126),MONTH(B126),1))</f>
        <v/>
      </c>
      <c r="U126" s="49">
        <f>IF(OR(S126&lt;&gt;1,L126=""),"",COUNTIFS('LEADS'!$S$5:$S$504,1,'LEADS'!$L$5:$L$504,"&lt;"&amp;L126)+COUNTIFS($S$5:S126,1,$L$5:L126,L126))</f>
        <v/>
      </c>
    </row>
    <row r="127">
      <c r="A127" s="46" t="inlineStr">
        <is>
          <t>L-0123</t>
        </is>
      </c>
      <c r="B127" s="47" t="n"/>
      <c r="C127" s="38" t="n"/>
      <c r="D127" s="38" t="n"/>
      <c r="E127" s="38" t="n"/>
      <c r="F127" s="38" t="n"/>
      <c r="G127" s="38" t="n"/>
      <c r="H127" s="38" t="n"/>
      <c r="I127" s="48" t="n"/>
      <c r="J127" s="38" t="n"/>
      <c r="K127" s="47" t="n"/>
      <c r="L127" s="47" t="n"/>
      <c r="M127" s="38" t="n"/>
      <c r="N127" s="38" t="n"/>
      <c r="O127" s="49">
        <f>IF(C127="","",IF(OR(J127="Booked",J127="Recurring Client"),"Booked",IF(J127="Lost/Declined","Lost","Open")))</f>
        <v/>
      </c>
      <c r="P127" s="49">
        <f>IF(C127="","",IF(S127=0,"—",IF(L127="","Set date",IF(L127&lt;AsOf,"Overdue",IF(L127=AsOf,"Due today",IF(L127&lt;=AsOf+SoonDays,"Due soon","Scheduled"))))))</f>
        <v/>
      </c>
      <c r="Q127" s="50">
        <f>IF(C127="","",IF(B127="","",AsOf-B127))</f>
        <v/>
      </c>
      <c r="R127" s="49">
        <f>IF(C127="","",IF(O127&lt;&gt;"Booked","",IF(COUNTIF('CUSTOMERS'!$B$5:$B$404,C127)&gt;0,"✓ In CUSTOMERS","Add to CUSTOMERS")))</f>
        <v/>
      </c>
      <c r="S127" s="49">
        <f>IF(C127="","",IF(OR(J127="Booked",J127="Recurring Client",J127="Lost/Declined"),0,1))</f>
        <v/>
      </c>
      <c r="T127" s="51">
        <f>IF(B127="","",DATE(YEAR(B127),MONTH(B127),1))</f>
        <v/>
      </c>
      <c r="U127" s="49">
        <f>IF(OR(S127&lt;&gt;1,L127=""),"",COUNTIFS('LEADS'!$S$5:$S$504,1,'LEADS'!$L$5:$L$504,"&lt;"&amp;L127)+COUNTIFS($S$5:S127,1,$L$5:L127,L127))</f>
        <v/>
      </c>
    </row>
    <row r="128">
      <c r="A128" s="46" t="inlineStr">
        <is>
          <t>L-0124</t>
        </is>
      </c>
      <c r="B128" s="47" t="n"/>
      <c r="C128" s="38" t="n"/>
      <c r="D128" s="38" t="n"/>
      <c r="E128" s="38" t="n"/>
      <c r="F128" s="38" t="n"/>
      <c r="G128" s="38" t="n"/>
      <c r="H128" s="38" t="n"/>
      <c r="I128" s="48" t="n"/>
      <c r="J128" s="38" t="n"/>
      <c r="K128" s="47" t="n"/>
      <c r="L128" s="47" t="n"/>
      <c r="M128" s="38" t="n"/>
      <c r="N128" s="38" t="n"/>
      <c r="O128" s="49">
        <f>IF(C128="","",IF(OR(J128="Booked",J128="Recurring Client"),"Booked",IF(J128="Lost/Declined","Lost","Open")))</f>
        <v/>
      </c>
      <c r="P128" s="49">
        <f>IF(C128="","",IF(S128=0,"—",IF(L128="","Set date",IF(L128&lt;AsOf,"Overdue",IF(L128=AsOf,"Due today",IF(L128&lt;=AsOf+SoonDays,"Due soon","Scheduled"))))))</f>
        <v/>
      </c>
      <c r="Q128" s="50">
        <f>IF(C128="","",IF(B128="","",AsOf-B128))</f>
        <v/>
      </c>
      <c r="R128" s="49">
        <f>IF(C128="","",IF(O128&lt;&gt;"Booked","",IF(COUNTIF('CUSTOMERS'!$B$5:$B$404,C128)&gt;0,"✓ In CUSTOMERS","Add to CUSTOMERS")))</f>
        <v/>
      </c>
      <c r="S128" s="49">
        <f>IF(C128="","",IF(OR(J128="Booked",J128="Recurring Client",J128="Lost/Declined"),0,1))</f>
        <v/>
      </c>
      <c r="T128" s="51">
        <f>IF(B128="","",DATE(YEAR(B128),MONTH(B128),1))</f>
        <v/>
      </c>
      <c r="U128" s="49">
        <f>IF(OR(S128&lt;&gt;1,L128=""),"",COUNTIFS('LEADS'!$S$5:$S$504,1,'LEADS'!$L$5:$L$504,"&lt;"&amp;L128)+COUNTIFS($S$5:S128,1,$L$5:L128,L128))</f>
        <v/>
      </c>
    </row>
    <row r="129">
      <c r="A129" s="46" t="inlineStr">
        <is>
          <t>L-0125</t>
        </is>
      </c>
      <c r="B129" s="47" t="n"/>
      <c r="C129" s="38" t="n"/>
      <c r="D129" s="38" t="n"/>
      <c r="E129" s="38" t="n"/>
      <c r="F129" s="38" t="n"/>
      <c r="G129" s="38" t="n"/>
      <c r="H129" s="38" t="n"/>
      <c r="I129" s="48" t="n"/>
      <c r="J129" s="38" t="n"/>
      <c r="K129" s="47" t="n"/>
      <c r="L129" s="47" t="n"/>
      <c r="M129" s="38" t="n"/>
      <c r="N129" s="38" t="n"/>
      <c r="O129" s="49">
        <f>IF(C129="","",IF(OR(J129="Booked",J129="Recurring Client"),"Booked",IF(J129="Lost/Declined","Lost","Open")))</f>
        <v/>
      </c>
      <c r="P129" s="49">
        <f>IF(C129="","",IF(S129=0,"—",IF(L129="","Set date",IF(L129&lt;AsOf,"Overdue",IF(L129=AsOf,"Due today",IF(L129&lt;=AsOf+SoonDays,"Due soon","Scheduled"))))))</f>
        <v/>
      </c>
      <c r="Q129" s="50">
        <f>IF(C129="","",IF(B129="","",AsOf-B129))</f>
        <v/>
      </c>
      <c r="R129" s="49">
        <f>IF(C129="","",IF(O129&lt;&gt;"Booked","",IF(COUNTIF('CUSTOMERS'!$B$5:$B$404,C129)&gt;0,"✓ In CUSTOMERS","Add to CUSTOMERS")))</f>
        <v/>
      </c>
      <c r="S129" s="49">
        <f>IF(C129="","",IF(OR(J129="Booked",J129="Recurring Client",J129="Lost/Declined"),0,1))</f>
        <v/>
      </c>
      <c r="T129" s="51">
        <f>IF(B129="","",DATE(YEAR(B129),MONTH(B129),1))</f>
        <v/>
      </c>
      <c r="U129" s="49">
        <f>IF(OR(S129&lt;&gt;1,L129=""),"",COUNTIFS('LEADS'!$S$5:$S$504,1,'LEADS'!$L$5:$L$504,"&lt;"&amp;L129)+COUNTIFS($S$5:S129,1,$L$5:L129,L129))</f>
        <v/>
      </c>
    </row>
    <row r="130">
      <c r="A130" s="46" t="inlineStr">
        <is>
          <t>L-0126</t>
        </is>
      </c>
      <c r="B130" s="47" t="n"/>
      <c r="C130" s="38" t="n"/>
      <c r="D130" s="38" t="n"/>
      <c r="E130" s="38" t="n"/>
      <c r="F130" s="38" t="n"/>
      <c r="G130" s="38" t="n"/>
      <c r="H130" s="38" t="n"/>
      <c r="I130" s="48" t="n"/>
      <c r="J130" s="38" t="n"/>
      <c r="K130" s="47" t="n"/>
      <c r="L130" s="47" t="n"/>
      <c r="M130" s="38" t="n"/>
      <c r="N130" s="38" t="n"/>
      <c r="O130" s="49">
        <f>IF(C130="","",IF(OR(J130="Booked",J130="Recurring Client"),"Booked",IF(J130="Lost/Declined","Lost","Open")))</f>
        <v/>
      </c>
      <c r="P130" s="49">
        <f>IF(C130="","",IF(S130=0,"—",IF(L130="","Set date",IF(L130&lt;AsOf,"Overdue",IF(L130=AsOf,"Due today",IF(L130&lt;=AsOf+SoonDays,"Due soon","Scheduled"))))))</f>
        <v/>
      </c>
      <c r="Q130" s="50">
        <f>IF(C130="","",IF(B130="","",AsOf-B130))</f>
        <v/>
      </c>
      <c r="R130" s="49">
        <f>IF(C130="","",IF(O130&lt;&gt;"Booked","",IF(COUNTIF('CUSTOMERS'!$B$5:$B$404,C130)&gt;0,"✓ In CUSTOMERS","Add to CUSTOMERS")))</f>
        <v/>
      </c>
      <c r="S130" s="49">
        <f>IF(C130="","",IF(OR(J130="Booked",J130="Recurring Client",J130="Lost/Declined"),0,1))</f>
        <v/>
      </c>
      <c r="T130" s="51">
        <f>IF(B130="","",DATE(YEAR(B130),MONTH(B130),1))</f>
        <v/>
      </c>
      <c r="U130" s="49">
        <f>IF(OR(S130&lt;&gt;1,L130=""),"",COUNTIFS('LEADS'!$S$5:$S$504,1,'LEADS'!$L$5:$L$504,"&lt;"&amp;L130)+COUNTIFS($S$5:S130,1,$L$5:L130,L130))</f>
        <v/>
      </c>
    </row>
    <row r="131">
      <c r="A131" s="46" t="inlineStr">
        <is>
          <t>L-0127</t>
        </is>
      </c>
      <c r="B131" s="47" t="n"/>
      <c r="C131" s="38" t="n"/>
      <c r="D131" s="38" t="n"/>
      <c r="E131" s="38" t="n"/>
      <c r="F131" s="38" t="n"/>
      <c r="G131" s="38" t="n"/>
      <c r="H131" s="38" t="n"/>
      <c r="I131" s="48" t="n"/>
      <c r="J131" s="38" t="n"/>
      <c r="K131" s="47" t="n"/>
      <c r="L131" s="47" t="n"/>
      <c r="M131" s="38" t="n"/>
      <c r="N131" s="38" t="n"/>
      <c r="O131" s="49">
        <f>IF(C131="","",IF(OR(J131="Booked",J131="Recurring Client"),"Booked",IF(J131="Lost/Declined","Lost","Open")))</f>
        <v/>
      </c>
      <c r="P131" s="49">
        <f>IF(C131="","",IF(S131=0,"—",IF(L131="","Set date",IF(L131&lt;AsOf,"Overdue",IF(L131=AsOf,"Due today",IF(L131&lt;=AsOf+SoonDays,"Due soon","Scheduled"))))))</f>
        <v/>
      </c>
      <c r="Q131" s="50">
        <f>IF(C131="","",IF(B131="","",AsOf-B131))</f>
        <v/>
      </c>
      <c r="R131" s="49">
        <f>IF(C131="","",IF(O131&lt;&gt;"Booked","",IF(COUNTIF('CUSTOMERS'!$B$5:$B$404,C131)&gt;0,"✓ In CUSTOMERS","Add to CUSTOMERS")))</f>
        <v/>
      </c>
      <c r="S131" s="49">
        <f>IF(C131="","",IF(OR(J131="Booked",J131="Recurring Client",J131="Lost/Declined"),0,1))</f>
        <v/>
      </c>
      <c r="T131" s="51">
        <f>IF(B131="","",DATE(YEAR(B131),MONTH(B131),1))</f>
        <v/>
      </c>
      <c r="U131" s="49">
        <f>IF(OR(S131&lt;&gt;1,L131=""),"",COUNTIFS('LEADS'!$S$5:$S$504,1,'LEADS'!$L$5:$L$504,"&lt;"&amp;L131)+COUNTIFS($S$5:S131,1,$L$5:L131,L131))</f>
        <v/>
      </c>
    </row>
    <row r="132">
      <c r="A132" s="46" t="inlineStr">
        <is>
          <t>L-0128</t>
        </is>
      </c>
      <c r="B132" s="47" t="n"/>
      <c r="C132" s="38" t="n"/>
      <c r="D132" s="38" t="n"/>
      <c r="E132" s="38" t="n"/>
      <c r="F132" s="38" t="n"/>
      <c r="G132" s="38" t="n"/>
      <c r="H132" s="38" t="n"/>
      <c r="I132" s="48" t="n"/>
      <c r="J132" s="38" t="n"/>
      <c r="K132" s="47" t="n"/>
      <c r="L132" s="47" t="n"/>
      <c r="M132" s="38" t="n"/>
      <c r="N132" s="38" t="n"/>
      <c r="O132" s="49">
        <f>IF(C132="","",IF(OR(J132="Booked",J132="Recurring Client"),"Booked",IF(J132="Lost/Declined","Lost","Open")))</f>
        <v/>
      </c>
      <c r="P132" s="49">
        <f>IF(C132="","",IF(S132=0,"—",IF(L132="","Set date",IF(L132&lt;AsOf,"Overdue",IF(L132=AsOf,"Due today",IF(L132&lt;=AsOf+SoonDays,"Due soon","Scheduled"))))))</f>
        <v/>
      </c>
      <c r="Q132" s="50">
        <f>IF(C132="","",IF(B132="","",AsOf-B132))</f>
        <v/>
      </c>
      <c r="R132" s="49">
        <f>IF(C132="","",IF(O132&lt;&gt;"Booked","",IF(COUNTIF('CUSTOMERS'!$B$5:$B$404,C132)&gt;0,"✓ In CUSTOMERS","Add to CUSTOMERS")))</f>
        <v/>
      </c>
      <c r="S132" s="49">
        <f>IF(C132="","",IF(OR(J132="Booked",J132="Recurring Client",J132="Lost/Declined"),0,1))</f>
        <v/>
      </c>
      <c r="T132" s="51">
        <f>IF(B132="","",DATE(YEAR(B132),MONTH(B132),1))</f>
        <v/>
      </c>
      <c r="U132" s="49">
        <f>IF(OR(S132&lt;&gt;1,L132=""),"",COUNTIFS('LEADS'!$S$5:$S$504,1,'LEADS'!$L$5:$L$504,"&lt;"&amp;L132)+COUNTIFS($S$5:S132,1,$L$5:L132,L132))</f>
        <v/>
      </c>
    </row>
    <row r="133">
      <c r="A133" s="46" t="inlineStr">
        <is>
          <t>L-0129</t>
        </is>
      </c>
      <c r="B133" s="47" t="n"/>
      <c r="C133" s="38" t="n"/>
      <c r="D133" s="38" t="n"/>
      <c r="E133" s="38" t="n"/>
      <c r="F133" s="38" t="n"/>
      <c r="G133" s="38" t="n"/>
      <c r="H133" s="38" t="n"/>
      <c r="I133" s="48" t="n"/>
      <c r="J133" s="38" t="n"/>
      <c r="K133" s="47" t="n"/>
      <c r="L133" s="47" t="n"/>
      <c r="M133" s="38" t="n"/>
      <c r="N133" s="38" t="n"/>
      <c r="O133" s="49">
        <f>IF(C133="","",IF(OR(J133="Booked",J133="Recurring Client"),"Booked",IF(J133="Lost/Declined","Lost","Open")))</f>
        <v/>
      </c>
      <c r="P133" s="49">
        <f>IF(C133="","",IF(S133=0,"—",IF(L133="","Set date",IF(L133&lt;AsOf,"Overdue",IF(L133=AsOf,"Due today",IF(L133&lt;=AsOf+SoonDays,"Due soon","Scheduled"))))))</f>
        <v/>
      </c>
      <c r="Q133" s="50">
        <f>IF(C133="","",IF(B133="","",AsOf-B133))</f>
        <v/>
      </c>
      <c r="R133" s="49">
        <f>IF(C133="","",IF(O133&lt;&gt;"Booked","",IF(COUNTIF('CUSTOMERS'!$B$5:$B$404,C133)&gt;0,"✓ In CUSTOMERS","Add to CUSTOMERS")))</f>
        <v/>
      </c>
      <c r="S133" s="49">
        <f>IF(C133="","",IF(OR(J133="Booked",J133="Recurring Client",J133="Lost/Declined"),0,1))</f>
        <v/>
      </c>
      <c r="T133" s="51">
        <f>IF(B133="","",DATE(YEAR(B133),MONTH(B133),1))</f>
        <v/>
      </c>
      <c r="U133" s="49">
        <f>IF(OR(S133&lt;&gt;1,L133=""),"",COUNTIFS('LEADS'!$S$5:$S$504,1,'LEADS'!$L$5:$L$504,"&lt;"&amp;L133)+COUNTIFS($S$5:S133,1,$L$5:L133,L133))</f>
        <v/>
      </c>
    </row>
    <row r="134">
      <c r="A134" s="46" t="inlineStr">
        <is>
          <t>L-0130</t>
        </is>
      </c>
      <c r="B134" s="47" t="n"/>
      <c r="C134" s="38" t="n"/>
      <c r="D134" s="38" t="n"/>
      <c r="E134" s="38" t="n"/>
      <c r="F134" s="38" t="n"/>
      <c r="G134" s="38" t="n"/>
      <c r="H134" s="38" t="n"/>
      <c r="I134" s="48" t="n"/>
      <c r="J134" s="38" t="n"/>
      <c r="K134" s="47" t="n"/>
      <c r="L134" s="47" t="n"/>
      <c r="M134" s="38" t="n"/>
      <c r="N134" s="38" t="n"/>
      <c r="O134" s="49">
        <f>IF(C134="","",IF(OR(J134="Booked",J134="Recurring Client"),"Booked",IF(J134="Lost/Declined","Lost","Open")))</f>
        <v/>
      </c>
      <c r="P134" s="49">
        <f>IF(C134="","",IF(S134=0,"—",IF(L134="","Set date",IF(L134&lt;AsOf,"Overdue",IF(L134=AsOf,"Due today",IF(L134&lt;=AsOf+SoonDays,"Due soon","Scheduled"))))))</f>
        <v/>
      </c>
      <c r="Q134" s="50">
        <f>IF(C134="","",IF(B134="","",AsOf-B134))</f>
        <v/>
      </c>
      <c r="R134" s="49">
        <f>IF(C134="","",IF(O134&lt;&gt;"Booked","",IF(COUNTIF('CUSTOMERS'!$B$5:$B$404,C134)&gt;0,"✓ In CUSTOMERS","Add to CUSTOMERS")))</f>
        <v/>
      </c>
      <c r="S134" s="49">
        <f>IF(C134="","",IF(OR(J134="Booked",J134="Recurring Client",J134="Lost/Declined"),0,1))</f>
        <v/>
      </c>
      <c r="T134" s="51">
        <f>IF(B134="","",DATE(YEAR(B134),MONTH(B134),1))</f>
        <v/>
      </c>
      <c r="U134" s="49">
        <f>IF(OR(S134&lt;&gt;1,L134=""),"",COUNTIFS('LEADS'!$S$5:$S$504,1,'LEADS'!$L$5:$L$504,"&lt;"&amp;L134)+COUNTIFS($S$5:S134,1,$L$5:L134,L134))</f>
        <v/>
      </c>
    </row>
    <row r="135">
      <c r="A135" s="46" t="inlineStr">
        <is>
          <t>L-0131</t>
        </is>
      </c>
      <c r="B135" s="47" t="n"/>
      <c r="C135" s="38" t="n"/>
      <c r="D135" s="38" t="n"/>
      <c r="E135" s="38" t="n"/>
      <c r="F135" s="38" t="n"/>
      <c r="G135" s="38" t="n"/>
      <c r="H135" s="38" t="n"/>
      <c r="I135" s="48" t="n"/>
      <c r="J135" s="38" t="n"/>
      <c r="K135" s="47" t="n"/>
      <c r="L135" s="47" t="n"/>
      <c r="M135" s="38" t="n"/>
      <c r="N135" s="38" t="n"/>
      <c r="O135" s="49">
        <f>IF(C135="","",IF(OR(J135="Booked",J135="Recurring Client"),"Booked",IF(J135="Lost/Declined","Lost","Open")))</f>
        <v/>
      </c>
      <c r="P135" s="49">
        <f>IF(C135="","",IF(S135=0,"—",IF(L135="","Set date",IF(L135&lt;AsOf,"Overdue",IF(L135=AsOf,"Due today",IF(L135&lt;=AsOf+SoonDays,"Due soon","Scheduled"))))))</f>
        <v/>
      </c>
      <c r="Q135" s="50">
        <f>IF(C135="","",IF(B135="","",AsOf-B135))</f>
        <v/>
      </c>
      <c r="R135" s="49">
        <f>IF(C135="","",IF(O135&lt;&gt;"Booked","",IF(COUNTIF('CUSTOMERS'!$B$5:$B$404,C135)&gt;0,"✓ In CUSTOMERS","Add to CUSTOMERS")))</f>
        <v/>
      </c>
      <c r="S135" s="49">
        <f>IF(C135="","",IF(OR(J135="Booked",J135="Recurring Client",J135="Lost/Declined"),0,1))</f>
        <v/>
      </c>
      <c r="T135" s="51">
        <f>IF(B135="","",DATE(YEAR(B135),MONTH(B135),1))</f>
        <v/>
      </c>
      <c r="U135" s="49">
        <f>IF(OR(S135&lt;&gt;1,L135=""),"",COUNTIFS('LEADS'!$S$5:$S$504,1,'LEADS'!$L$5:$L$504,"&lt;"&amp;L135)+COUNTIFS($S$5:S135,1,$L$5:L135,L135))</f>
        <v/>
      </c>
    </row>
    <row r="136">
      <c r="A136" s="46" t="inlineStr">
        <is>
          <t>L-0132</t>
        </is>
      </c>
      <c r="B136" s="47" t="n"/>
      <c r="C136" s="38" t="n"/>
      <c r="D136" s="38" t="n"/>
      <c r="E136" s="38" t="n"/>
      <c r="F136" s="38" t="n"/>
      <c r="G136" s="38" t="n"/>
      <c r="H136" s="38" t="n"/>
      <c r="I136" s="48" t="n"/>
      <c r="J136" s="38" t="n"/>
      <c r="K136" s="47" t="n"/>
      <c r="L136" s="47" t="n"/>
      <c r="M136" s="38" t="n"/>
      <c r="N136" s="38" t="n"/>
      <c r="O136" s="49">
        <f>IF(C136="","",IF(OR(J136="Booked",J136="Recurring Client"),"Booked",IF(J136="Lost/Declined","Lost","Open")))</f>
        <v/>
      </c>
      <c r="P136" s="49">
        <f>IF(C136="","",IF(S136=0,"—",IF(L136="","Set date",IF(L136&lt;AsOf,"Overdue",IF(L136=AsOf,"Due today",IF(L136&lt;=AsOf+SoonDays,"Due soon","Scheduled"))))))</f>
        <v/>
      </c>
      <c r="Q136" s="50">
        <f>IF(C136="","",IF(B136="","",AsOf-B136))</f>
        <v/>
      </c>
      <c r="R136" s="49">
        <f>IF(C136="","",IF(O136&lt;&gt;"Booked","",IF(COUNTIF('CUSTOMERS'!$B$5:$B$404,C136)&gt;0,"✓ In CUSTOMERS","Add to CUSTOMERS")))</f>
        <v/>
      </c>
      <c r="S136" s="49">
        <f>IF(C136="","",IF(OR(J136="Booked",J136="Recurring Client",J136="Lost/Declined"),0,1))</f>
        <v/>
      </c>
      <c r="T136" s="51">
        <f>IF(B136="","",DATE(YEAR(B136),MONTH(B136),1))</f>
        <v/>
      </c>
      <c r="U136" s="49">
        <f>IF(OR(S136&lt;&gt;1,L136=""),"",COUNTIFS('LEADS'!$S$5:$S$504,1,'LEADS'!$L$5:$L$504,"&lt;"&amp;L136)+COUNTIFS($S$5:S136,1,$L$5:L136,L136))</f>
        <v/>
      </c>
    </row>
    <row r="137">
      <c r="A137" s="46" t="inlineStr">
        <is>
          <t>L-0133</t>
        </is>
      </c>
      <c r="B137" s="47" t="n"/>
      <c r="C137" s="38" t="n"/>
      <c r="D137" s="38" t="n"/>
      <c r="E137" s="38" t="n"/>
      <c r="F137" s="38" t="n"/>
      <c r="G137" s="38" t="n"/>
      <c r="H137" s="38" t="n"/>
      <c r="I137" s="48" t="n"/>
      <c r="J137" s="38" t="n"/>
      <c r="K137" s="47" t="n"/>
      <c r="L137" s="47" t="n"/>
      <c r="M137" s="38" t="n"/>
      <c r="N137" s="38" t="n"/>
      <c r="O137" s="49">
        <f>IF(C137="","",IF(OR(J137="Booked",J137="Recurring Client"),"Booked",IF(J137="Lost/Declined","Lost","Open")))</f>
        <v/>
      </c>
      <c r="P137" s="49">
        <f>IF(C137="","",IF(S137=0,"—",IF(L137="","Set date",IF(L137&lt;AsOf,"Overdue",IF(L137=AsOf,"Due today",IF(L137&lt;=AsOf+SoonDays,"Due soon","Scheduled"))))))</f>
        <v/>
      </c>
      <c r="Q137" s="50">
        <f>IF(C137="","",IF(B137="","",AsOf-B137))</f>
        <v/>
      </c>
      <c r="R137" s="49">
        <f>IF(C137="","",IF(O137&lt;&gt;"Booked","",IF(COUNTIF('CUSTOMERS'!$B$5:$B$404,C137)&gt;0,"✓ In CUSTOMERS","Add to CUSTOMERS")))</f>
        <v/>
      </c>
      <c r="S137" s="49">
        <f>IF(C137="","",IF(OR(J137="Booked",J137="Recurring Client",J137="Lost/Declined"),0,1))</f>
        <v/>
      </c>
      <c r="T137" s="51">
        <f>IF(B137="","",DATE(YEAR(B137),MONTH(B137),1))</f>
        <v/>
      </c>
      <c r="U137" s="49">
        <f>IF(OR(S137&lt;&gt;1,L137=""),"",COUNTIFS('LEADS'!$S$5:$S$504,1,'LEADS'!$L$5:$L$504,"&lt;"&amp;L137)+COUNTIFS($S$5:S137,1,$L$5:L137,L137))</f>
        <v/>
      </c>
    </row>
    <row r="138">
      <c r="A138" s="46" t="inlineStr">
        <is>
          <t>L-0134</t>
        </is>
      </c>
      <c r="B138" s="47" t="n"/>
      <c r="C138" s="38" t="n"/>
      <c r="D138" s="38" t="n"/>
      <c r="E138" s="38" t="n"/>
      <c r="F138" s="38" t="n"/>
      <c r="G138" s="38" t="n"/>
      <c r="H138" s="38" t="n"/>
      <c r="I138" s="48" t="n"/>
      <c r="J138" s="38" t="n"/>
      <c r="K138" s="47" t="n"/>
      <c r="L138" s="47" t="n"/>
      <c r="M138" s="38" t="n"/>
      <c r="N138" s="38" t="n"/>
      <c r="O138" s="49">
        <f>IF(C138="","",IF(OR(J138="Booked",J138="Recurring Client"),"Booked",IF(J138="Lost/Declined","Lost","Open")))</f>
        <v/>
      </c>
      <c r="P138" s="49">
        <f>IF(C138="","",IF(S138=0,"—",IF(L138="","Set date",IF(L138&lt;AsOf,"Overdue",IF(L138=AsOf,"Due today",IF(L138&lt;=AsOf+SoonDays,"Due soon","Scheduled"))))))</f>
        <v/>
      </c>
      <c r="Q138" s="50">
        <f>IF(C138="","",IF(B138="","",AsOf-B138))</f>
        <v/>
      </c>
      <c r="R138" s="49">
        <f>IF(C138="","",IF(O138&lt;&gt;"Booked","",IF(COUNTIF('CUSTOMERS'!$B$5:$B$404,C138)&gt;0,"✓ In CUSTOMERS","Add to CUSTOMERS")))</f>
        <v/>
      </c>
      <c r="S138" s="49">
        <f>IF(C138="","",IF(OR(J138="Booked",J138="Recurring Client",J138="Lost/Declined"),0,1))</f>
        <v/>
      </c>
      <c r="T138" s="51">
        <f>IF(B138="","",DATE(YEAR(B138),MONTH(B138),1))</f>
        <v/>
      </c>
      <c r="U138" s="49">
        <f>IF(OR(S138&lt;&gt;1,L138=""),"",COUNTIFS('LEADS'!$S$5:$S$504,1,'LEADS'!$L$5:$L$504,"&lt;"&amp;L138)+COUNTIFS($S$5:S138,1,$L$5:L138,L138))</f>
        <v/>
      </c>
    </row>
    <row r="139">
      <c r="A139" s="46" t="inlineStr">
        <is>
          <t>L-0135</t>
        </is>
      </c>
      <c r="B139" s="47" t="n"/>
      <c r="C139" s="38" t="n"/>
      <c r="D139" s="38" t="n"/>
      <c r="E139" s="38" t="n"/>
      <c r="F139" s="38" t="n"/>
      <c r="G139" s="38" t="n"/>
      <c r="H139" s="38" t="n"/>
      <c r="I139" s="48" t="n"/>
      <c r="J139" s="38" t="n"/>
      <c r="K139" s="47" t="n"/>
      <c r="L139" s="47" t="n"/>
      <c r="M139" s="38" t="n"/>
      <c r="N139" s="38" t="n"/>
      <c r="O139" s="49">
        <f>IF(C139="","",IF(OR(J139="Booked",J139="Recurring Client"),"Booked",IF(J139="Lost/Declined","Lost","Open")))</f>
        <v/>
      </c>
      <c r="P139" s="49">
        <f>IF(C139="","",IF(S139=0,"—",IF(L139="","Set date",IF(L139&lt;AsOf,"Overdue",IF(L139=AsOf,"Due today",IF(L139&lt;=AsOf+SoonDays,"Due soon","Scheduled"))))))</f>
        <v/>
      </c>
      <c r="Q139" s="50">
        <f>IF(C139="","",IF(B139="","",AsOf-B139))</f>
        <v/>
      </c>
      <c r="R139" s="49">
        <f>IF(C139="","",IF(O139&lt;&gt;"Booked","",IF(COUNTIF('CUSTOMERS'!$B$5:$B$404,C139)&gt;0,"✓ In CUSTOMERS","Add to CUSTOMERS")))</f>
        <v/>
      </c>
      <c r="S139" s="49">
        <f>IF(C139="","",IF(OR(J139="Booked",J139="Recurring Client",J139="Lost/Declined"),0,1))</f>
        <v/>
      </c>
      <c r="T139" s="51">
        <f>IF(B139="","",DATE(YEAR(B139),MONTH(B139),1))</f>
        <v/>
      </c>
      <c r="U139" s="49">
        <f>IF(OR(S139&lt;&gt;1,L139=""),"",COUNTIFS('LEADS'!$S$5:$S$504,1,'LEADS'!$L$5:$L$504,"&lt;"&amp;L139)+COUNTIFS($S$5:S139,1,$L$5:L139,L139))</f>
        <v/>
      </c>
    </row>
    <row r="140">
      <c r="A140" s="46" t="inlineStr">
        <is>
          <t>L-0136</t>
        </is>
      </c>
      <c r="B140" s="47" t="n"/>
      <c r="C140" s="38" t="n"/>
      <c r="D140" s="38" t="n"/>
      <c r="E140" s="38" t="n"/>
      <c r="F140" s="38" t="n"/>
      <c r="G140" s="38" t="n"/>
      <c r="H140" s="38" t="n"/>
      <c r="I140" s="48" t="n"/>
      <c r="J140" s="38" t="n"/>
      <c r="K140" s="47" t="n"/>
      <c r="L140" s="47" t="n"/>
      <c r="M140" s="38" t="n"/>
      <c r="N140" s="38" t="n"/>
      <c r="O140" s="49">
        <f>IF(C140="","",IF(OR(J140="Booked",J140="Recurring Client"),"Booked",IF(J140="Lost/Declined","Lost","Open")))</f>
        <v/>
      </c>
      <c r="P140" s="49">
        <f>IF(C140="","",IF(S140=0,"—",IF(L140="","Set date",IF(L140&lt;AsOf,"Overdue",IF(L140=AsOf,"Due today",IF(L140&lt;=AsOf+SoonDays,"Due soon","Scheduled"))))))</f>
        <v/>
      </c>
      <c r="Q140" s="50">
        <f>IF(C140="","",IF(B140="","",AsOf-B140))</f>
        <v/>
      </c>
      <c r="R140" s="49">
        <f>IF(C140="","",IF(O140&lt;&gt;"Booked","",IF(COUNTIF('CUSTOMERS'!$B$5:$B$404,C140)&gt;0,"✓ In CUSTOMERS","Add to CUSTOMERS")))</f>
        <v/>
      </c>
      <c r="S140" s="49">
        <f>IF(C140="","",IF(OR(J140="Booked",J140="Recurring Client",J140="Lost/Declined"),0,1))</f>
        <v/>
      </c>
      <c r="T140" s="51">
        <f>IF(B140="","",DATE(YEAR(B140),MONTH(B140),1))</f>
        <v/>
      </c>
      <c r="U140" s="49">
        <f>IF(OR(S140&lt;&gt;1,L140=""),"",COUNTIFS('LEADS'!$S$5:$S$504,1,'LEADS'!$L$5:$L$504,"&lt;"&amp;L140)+COUNTIFS($S$5:S140,1,$L$5:L140,L140))</f>
        <v/>
      </c>
    </row>
    <row r="141">
      <c r="A141" s="46" t="inlineStr">
        <is>
          <t>L-0137</t>
        </is>
      </c>
      <c r="B141" s="47" t="n"/>
      <c r="C141" s="38" t="n"/>
      <c r="D141" s="38" t="n"/>
      <c r="E141" s="38" t="n"/>
      <c r="F141" s="38" t="n"/>
      <c r="G141" s="38" t="n"/>
      <c r="H141" s="38" t="n"/>
      <c r="I141" s="48" t="n"/>
      <c r="J141" s="38" t="n"/>
      <c r="K141" s="47" t="n"/>
      <c r="L141" s="47" t="n"/>
      <c r="M141" s="38" t="n"/>
      <c r="N141" s="38" t="n"/>
      <c r="O141" s="49">
        <f>IF(C141="","",IF(OR(J141="Booked",J141="Recurring Client"),"Booked",IF(J141="Lost/Declined","Lost","Open")))</f>
        <v/>
      </c>
      <c r="P141" s="49">
        <f>IF(C141="","",IF(S141=0,"—",IF(L141="","Set date",IF(L141&lt;AsOf,"Overdue",IF(L141=AsOf,"Due today",IF(L141&lt;=AsOf+SoonDays,"Due soon","Scheduled"))))))</f>
        <v/>
      </c>
      <c r="Q141" s="50">
        <f>IF(C141="","",IF(B141="","",AsOf-B141))</f>
        <v/>
      </c>
      <c r="R141" s="49">
        <f>IF(C141="","",IF(O141&lt;&gt;"Booked","",IF(COUNTIF('CUSTOMERS'!$B$5:$B$404,C141)&gt;0,"✓ In CUSTOMERS","Add to CUSTOMERS")))</f>
        <v/>
      </c>
      <c r="S141" s="49">
        <f>IF(C141="","",IF(OR(J141="Booked",J141="Recurring Client",J141="Lost/Declined"),0,1))</f>
        <v/>
      </c>
      <c r="T141" s="51">
        <f>IF(B141="","",DATE(YEAR(B141),MONTH(B141),1))</f>
        <v/>
      </c>
      <c r="U141" s="49">
        <f>IF(OR(S141&lt;&gt;1,L141=""),"",COUNTIFS('LEADS'!$S$5:$S$504,1,'LEADS'!$L$5:$L$504,"&lt;"&amp;L141)+COUNTIFS($S$5:S141,1,$L$5:L141,L141))</f>
        <v/>
      </c>
    </row>
    <row r="142">
      <c r="A142" s="46" t="inlineStr">
        <is>
          <t>L-0138</t>
        </is>
      </c>
      <c r="B142" s="47" t="n"/>
      <c r="C142" s="38" t="n"/>
      <c r="D142" s="38" t="n"/>
      <c r="E142" s="38" t="n"/>
      <c r="F142" s="38" t="n"/>
      <c r="G142" s="38" t="n"/>
      <c r="H142" s="38" t="n"/>
      <c r="I142" s="48" t="n"/>
      <c r="J142" s="38" t="n"/>
      <c r="K142" s="47" t="n"/>
      <c r="L142" s="47" t="n"/>
      <c r="M142" s="38" t="n"/>
      <c r="N142" s="38" t="n"/>
      <c r="O142" s="49">
        <f>IF(C142="","",IF(OR(J142="Booked",J142="Recurring Client"),"Booked",IF(J142="Lost/Declined","Lost","Open")))</f>
        <v/>
      </c>
      <c r="P142" s="49">
        <f>IF(C142="","",IF(S142=0,"—",IF(L142="","Set date",IF(L142&lt;AsOf,"Overdue",IF(L142=AsOf,"Due today",IF(L142&lt;=AsOf+SoonDays,"Due soon","Scheduled"))))))</f>
        <v/>
      </c>
      <c r="Q142" s="50">
        <f>IF(C142="","",IF(B142="","",AsOf-B142))</f>
        <v/>
      </c>
      <c r="R142" s="49">
        <f>IF(C142="","",IF(O142&lt;&gt;"Booked","",IF(COUNTIF('CUSTOMERS'!$B$5:$B$404,C142)&gt;0,"✓ In CUSTOMERS","Add to CUSTOMERS")))</f>
        <v/>
      </c>
      <c r="S142" s="49">
        <f>IF(C142="","",IF(OR(J142="Booked",J142="Recurring Client",J142="Lost/Declined"),0,1))</f>
        <v/>
      </c>
      <c r="T142" s="51">
        <f>IF(B142="","",DATE(YEAR(B142),MONTH(B142),1))</f>
        <v/>
      </c>
      <c r="U142" s="49">
        <f>IF(OR(S142&lt;&gt;1,L142=""),"",COUNTIFS('LEADS'!$S$5:$S$504,1,'LEADS'!$L$5:$L$504,"&lt;"&amp;L142)+COUNTIFS($S$5:S142,1,$L$5:L142,L142))</f>
        <v/>
      </c>
    </row>
    <row r="143">
      <c r="A143" s="46" t="inlineStr">
        <is>
          <t>L-0139</t>
        </is>
      </c>
      <c r="B143" s="47" t="n"/>
      <c r="C143" s="38" t="n"/>
      <c r="D143" s="38" t="n"/>
      <c r="E143" s="38" t="n"/>
      <c r="F143" s="38" t="n"/>
      <c r="G143" s="38" t="n"/>
      <c r="H143" s="38" t="n"/>
      <c r="I143" s="48" t="n"/>
      <c r="J143" s="38" t="n"/>
      <c r="K143" s="47" t="n"/>
      <c r="L143" s="47" t="n"/>
      <c r="M143" s="38" t="n"/>
      <c r="N143" s="38" t="n"/>
      <c r="O143" s="49">
        <f>IF(C143="","",IF(OR(J143="Booked",J143="Recurring Client"),"Booked",IF(J143="Lost/Declined","Lost","Open")))</f>
        <v/>
      </c>
      <c r="P143" s="49">
        <f>IF(C143="","",IF(S143=0,"—",IF(L143="","Set date",IF(L143&lt;AsOf,"Overdue",IF(L143=AsOf,"Due today",IF(L143&lt;=AsOf+SoonDays,"Due soon","Scheduled"))))))</f>
        <v/>
      </c>
      <c r="Q143" s="50">
        <f>IF(C143="","",IF(B143="","",AsOf-B143))</f>
        <v/>
      </c>
      <c r="R143" s="49">
        <f>IF(C143="","",IF(O143&lt;&gt;"Booked","",IF(COUNTIF('CUSTOMERS'!$B$5:$B$404,C143)&gt;0,"✓ In CUSTOMERS","Add to CUSTOMERS")))</f>
        <v/>
      </c>
      <c r="S143" s="49">
        <f>IF(C143="","",IF(OR(J143="Booked",J143="Recurring Client",J143="Lost/Declined"),0,1))</f>
        <v/>
      </c>
      <c r="T143" s="51">
        <f>IF(B143="","",DATE(YEAR(B143),MONTH(B143),1))</f>
        <v/>
      </c>
      <c r="U143" s="49">
        <f>IF(OR(S143&lt;&gt;1,L143=""),"",COUNTIFS('LEADS'!$S$5:$S$504,1,'LEADS'!$L$5:$L$504,"&lt;"&amp;L143)+COUNTIFS($S$5:S143,1,$L$5:L143,L143))</f>
        <v/>
      </c>
    </row>
    <row r="144">
      <c r="A144" s="46" t="inlineStr">
        <is>
          <t>L-0140</t>
        </is>
      </c>
      <c r="B144" s="47" t="n"/>
      <c r="C144" s="38" t="n"/>
      <c r="D144" s="38" t="n"/>
      <c r="E144" s="38" t="n"/>
      <c r="F144" s="38" t="n"/>
      <c r="G144" s="38" t="n"/>
      <c r="H144" s="38" t="n"/>
      <c r="I144" s="48" t="n"/>
      <c r="J144" s="38" t="n"/>
      <c r="K144" s="47" t="n"/>
      <c r="L144" s="47" t="n"/>
      <c r="M144" s="38" t="n"/>
      <c r="N144" s="38" t="n"/>
      <c r="O144" s="49">
        <f>IF(C144="","",IF(OR(J144="Booked",J144="Recurring Client"),"Booked",IF(J144="Lost/Declined","Lost","Open")))</f>
        <v/>
      </c>
      <c r="P144" s="49">
        <f>IF(C144="","",IF(S144=0,"—",IF(L144="","Set date",IF(L144&lt;AsOf,"Overdue",IF(L144=AsOf,"Due today",IF(L144&lt;=AsOf+SoonDays,"Due soon","Scheduled"))))))</f>
        <v/>
      </c>
      <c r="Q144" s="50">
        <f>IF(C144="","",IF(B144="","",AsOf-B144))</f>
        <v/>
      </c>
      <c r="R144" s="49">
        <f>IF(C144="","",IF(O144&lt;&gt;"Booked","",IF(COUNTIF('CUSTOMERS'!$B$5:$B$404,C144)&gt;0,"✓ In CUSTOMERS","Add to CUSTOMERS")))</f>
        <v/>
      </c>
      <c r="S144" s="49">
        <f>IF(C144="","",IF(OR(J144="Booked",J144="Recurring Client",J144="Lost/Declined"),0,1))</f>
        <v/>
      </c>
      <c r="T144" s="51">
        <f>IF(B144="","",DATE(YEAR(B144),MONTH(B144),1))</f>
        <v/>
      </c>
      <c r="U144" s="49">
        <f>IF(OR(S144&lt;&gt;1,L144=""),"",COUNTIFS('LEADS'!$S$5:$S$504,1,'LEADS'!$L$5:$L$504,"&lt;"&amp;L144)+COUNTIFS($S$5:S144,1,$L$5:L144,L144))</f>
        <v/>
      </c>
    </row>
    <row r="145">
      <c r="A145" s="46" t="inlineStr">
        <is>
          <t>L-0141</t>
        </is>
      </c>
      <c r="B145" s="47" t="n"/>
      <c r="C145" s="38" t="n"/>
      <c r="D145" s="38" t="n"/>
      <c r="E145" s="38" t="n"/>
      <c r="F145" s="38" t="n"/>
      <c r="G145" s="38" t="n"/>
      <c r="H145" s="38" t="n"/>
      <c r="I145" s="48" t="n"/>
      <c r="J145" s="38" t="n"/>
      <c r="K145" s="47" t="n"/>
      <c r="L145" s="47" t="n"/>
      <c r="M145" s="38" t="n"/>
      <c r="N145" s="38" t="n"/>
      <c r="O145" s="49">
        <f>IF(C145="","",IF(OR(J145="Booked",J145="Recurring Client"),"Booked",IF(J145="Lost/Declined","Lost","Open")))</f>
        <v/>
      </c>
      <c r="P145" s="49">
        <f>IF(C145="","",IF(S145=0,"—",IF(L145="","Set date",IF(L145&lt;AsOf,"Overdue",IF(L145=AsOf,"Due today",IF(L145&lt;=AsOf+SoonDays,"Due soon","Scheduled"))))))</f>
        <v/>
      </c>
      <c r="Q145" s="50">
        <f>IF(C145="","",IF(B145="","",AsOf-B145))</f>
        <v/>
      </c>
      <c r="R145" s="49">
        <f>IF(C145="","",IF(O145&lt;&gt;"Booked","",IF(COUNTIF('CUSTOMERS'!$B$5:$B$404,C145)&gt;0,"✓ In CUSTOMERS","Add to CUSTOMERS")))</f>
        <v/>
      </c>
      <c r="S145" s="49">
        <f>IF(C145="","",IF(OR(J145="Booked",J145="Recurring Client",J145="Lost/Declined"),0,1))</f>
        <v/>
      </c>
      <c r="T145" s="51">
        <f>IF(B145="","",DATE(YEAR(B145),MONTH(B145),1))</f>
        <v/>
      </c>
      <c r="U145" s="49">
        <f>IF(OR(S145&lt;&gt;1,L145=""),"",COUNTIFS('LEADS'!$S$5:$S$504,1,'LEADS'!$L$5:$L$504,"&lt;"&amp;L145)+COUNTIFS($S$5:S145,1,$L$5:L145,L145))</f>
        <v/>
      </c>
    </row>
    <row r="146">
      <c r="A146" s="46" t="inlineStr">
        <is>
          <t>L-0142</t>
        </is>
      </c>
      <c r="B146" s="47" t="n"/>
      <c r="C146" s="38" t="n"/>
      <c r="D146" s="38" t="n"/>
      <c r="E146" s="38" t="n"/>
      <c r="F146" s="38" t="n"/>
      <c r="G146" s="38" t="n"/>
      <c r="H146" s="38" t="n"/>
      <c r="I146" s="48" t="n"/>
      <c r="J146" s="38" t="n"/>
      <c r="K146" s="47" t="n"/>
      <c r="L146" s="47" t="n"/>
      <c r="M146" s="38" t="n"/>
      <c r="N146" s="38" t="n"/>
      <c r="O146" s="49">
        <f>IF(C146="","",IF(OR(J146="Booked",J146="Recurring Client"),"Booked",IF(J146="Lost/Declined","Lost","Open")))</f>
        <v/>
      </c>
      <c r="P146" s="49">
        <f>IF(C146="","",IF(S146=0,"—",IF(L146="","Set date",IF(L146&lt;AsOf,"Overdue",IF(L146=AsOf,"Due today",IF(L146&lt;=AsOf+SoonDays,"Due soon","Scheduled"))))))</f>
        <v/>
      </c>
      <c r="Q146" s="50">
        <f>IF(C146="","",IF(B146="","",AsOf-B146))</f>
        <v/>
      </c>
      <c r="R146" s="49">
        <f>IF(C146="","",IF(O146&lt;&gt;"Booked","",IF(COUNTIF('CUSTOMERS'!$B$5:$B$404,C146)&gt;0,"✓ In CUSTOMERS","Add to CUSTOMERS")))</f>
        <v/>
      </c>
      <c r="S146" s="49">
        <f>IF(C146="","",IF(OR(J146="Booked",J146="Recurring Client",J146="Lost/Declined"),0,1))</f>
        <v/>
      </c>
      <c r="T146" s="51">
        <f>IF(B146="","",DATE(YEAR(B146),MONTH(B146),1))</f>
        <v/>
      </c>
      <c r="U146" s="49">
        <f>IF(OR(S146&lt;&gt;1,L146=""),"",COUNTIFS('LEADS'!$S$5:$S$504,1,'LEADS'!$L$5:$L$504,"&lt;"&amp;L146)+COUNTIFS($S$5:S146,1,$L$5:L146,L146))</f>
        <v/>
      </c>
    </row>
    <row r="147">
      <c r="A147" s="46" t="inlineStr">
        <is>
          <t>L-0143</t>
        </is>
      </c>
      <c r="B147" s="47" t="n"/>
      <c r="C147" s="38" t="n"/>
      <c r="D147" s="38" t="n"/>
      <c r="E147" s="38" t="n"/>
      <c r="F147" s="38" t="n"/>
      <c r="G147" s="38" t="n"/>
      <c r="H147" s="38" t="n"/>
      <c r="I147" s="48" t="n"/>
      <c r="J147" s="38" t="n"/>
      <c r="K147" s="47" t="n"/>
      <c r="L147" s="47" t="n"/>
      <c r="M147" s="38" t="n"/>
      <c r="N147" s="38" t="n"/>
      <c r="O147" s="49">
        <f>IF(C147="","",IF(OR(J147="Booked",J147="Recurring Client"),"Booked",IF(J147="Lost/Declined","Lost","Open")))</f>
        <v/>
      </c>
      <c r="P147" s="49">
        <f>IF(C147="","",IF(S147=0,"—",IF(L147="","Set date",IF(L147&lt;AsOf,"Overdue",IF(L147=AsOf,"Due today",IF(L147&lt;=AsOf+SoonDays,"Due soon","Scheduled"))))))</f>
        <v/>
      </c>
      <c r="Q147" s="50">
        <f>IF(C147="","",IF(B147="","",AsOf-B147))</f>
        <v/>
      </c>
      <c r="R147" s="49">
        <f>IF(C147="","",IF(O147&lt;&gt;"Booked","",IF(COUNTIF('CUSTOMERS'!$B$5:$B$404,C147)&gt;0,"✓ In CUSTOMERS","Add to CUSTOMERS")))</f>
        <v/>
      </c>
      <c r="S147" s="49">
        <f>IF(C147="","",IF(OR(J147="Booked",J147="Recurring Client",J147="Lost/Declined"),0,1))</f>
        <v/>
      </c>
      <c r="T147" s="51">
        <f>IF(B147="","",DATE(YEAR(B147),MONTH(B147),1))</f>
        <v/>
      </c>
      <c r="U147" s="49">
        <f>IF(OR(S147&lt;&gt;1,L147=""),"",COUNTIFS('LEADS'!$S$5:$S$504,1,'LEADS'!$L$5:$L$504,"&lt;"&amp;L147)+COUNTIFS($S$5:S147,1,$L$5:L147,L147))</f>
        <v/>
      </c>
    </row>
    <row r="148">
      <c r="A148" s="46" t="inlineStr">
        <is>
          <t>L-0144</t>
        </is>
      </c>
      <c r="B148" s="47" t="n"/>
      <c r="C148" s="38" t="n"/>
      <c r="D148" s="38" t="n"/>
      <c r="E148" s="38" t="n"/>
      <c r="F148" s="38" t="n"/>
      <c r="G148" s="38" t="n"/>
      <c r="H148" s="38" t="n"/>
      <c r="I148" s="48" t="n"/>
      <c r="J148" s="38" t="n"/>
      <c r="K148" s="47" t="n"/>
      <c r="L148" s="47" t="n"/>
      <c r="M148" s="38" t="n"/>
      <c r="N148" s="38" t="n"/>
      <c r="O148" s="49">
        <f>IF(C148="","",IF(OR(J148="Booked",J148="Recurring Client"),"Booked",IF(J148="Lost/Declined","Lost","Open")))</f>
        <v/>
      </c>
      <c r="P148" s="49">
        <f>IF(C148="","",IF(S148=0,"—",IF(L148="","Set date",IF(L148&lt;AsOf,"Overdue",IF(L148=AsOf,"Due today",IF(L148&lt;=AsOf+SoonDays,"Due soon","Scheduled"))))))</f>
        <v/>
      </c>
      <c r="Q148" s="50">
        <f>IF(C148="","",IF(B148="","",AsOf-B148))</f>
        <v/>
      </c>
      <c r="R148" s="49">
        <f>IF(C148="","",IF(O148&lt;&gt;"Booked","",IF(COUNTIF('CUSTOMERS'!$B$5:$B$404,C148)&gt;0,"✓ In CUSTOMERS","Add to CUSTOMERS")))</f>
        <v/>
      </c>
      <c r="S148" s="49">
        <f>IF(C148="","",IF(OR(J148="Booked",J148="Recurring Client",J148="Lost/Declined"),0,1))</f>
        <v/>
      </c>
      <c r="T148" s="51">
        <f>IF(B148="","",DATE(YEAR(B148),MONTH(B148),1))</f>
        <v/>
      </c>
      <c r="U148" s="49">
        <f>IF(OR(S148&lt;&gt;1,L148=""),"",COUNTIFS('LEADS'!$S$5:$S$504,1,'LEADS'!$L$5:$L$504,"&lt;"&amp;L148)+COUNTIFS($S$5:S148,1,$L$5:L148,L148))</f>
        <v/>
      </c>
    </row>
    <row r="149">
      <c r="A149" s="46" t="inlineStr">
        <is>
          <t>L-0145</t>
        </is>
      </c>
      <c r="B149" s="47" t="n"/>
      <c r="C149" s="38" t="n"/>
      <c r="D149" s="38" t="n"/>
      <c r="E149" s="38" t="n"/>
      <c r="F149" s="38" t="n"/>
      <c r="G149" s="38" t="n"/>
      <c r="H149" s="38" t="n"/>
      <c r="I149" s="48" t="n"/>
      <c r="J149" s="38" t="n"/>
      <c r="K149" s="47" t="n"/>
      <c r="L149" s="47" t="n"/>
      <c r="M149" s="38" t="n"/>
      <c r="N149" s="38" t="n"/>
      <c r="O149" s="49">
        <f>IF(C149="","",IF(OR(J149="Booked",J149="Recurring Client"),"Booked",IF(J149="Lost/Declined","Lost","Open")))</f>
        <v/>
      </c>
      <c r="P149" s="49">
        <f>IF(C149="","",IF(S149=0,"—",IF(L149="","Set date",IF(L149&lt;AsOf,"Overdue",IF(L149=AsOf,"Due today",IF(L149&lt;=AsOf+SoonDays,"Due soon","Scheduled"))))))</f>
        <v/>
      </c>
      <c r="Q149" s="50">
        <f>IF(C149="","",IF(B149="","",AsOf-B149))</f>
        <v/>
      </c>
      <c r="R149" s="49">
        <f>IF(C149="","",IF(O149&lt;&gt;"Booked","",IF(COUNTIF('CUSTOMERS'!$B$5:$B$404,C149)&gt;0,"✓ In CUSTOMERS","Add to CUSTOMERS")))</f>
        <v/>
      </c>
      <c r="S149" s="49">
        <f>IF(C149="","",IF(OR(J149="Booked",J149="Recurring Client",J149="Lost/Declined"),0,1))</f>
        <v/>
      </c>
      <c r="T149" s="51">
        <f>IF(B149="","",DATE(YEAR(B149),MONTH(B149),1))</f>
        <v/>
      </c>
      <c r="U149" s="49">
        <f>IF(OR(S149&lt;&gt;1,L149=""),"",COUNTIFS('LEADS'!$S$5:$S$504,1,'LEADS'!$L$5:$L$504,"&lt;"&amp;L149)+COUNTIFS($S$5:S149,1,$L$5:L149,L149))</f>
        <v/>
      </c>
    </row>
    <row r="150">
      <c r="A150" s="46" t="inlineStr">
        <is>
          <t>L-0146</t>
        </is>
      </c>
      <c r="B150" s="47" t="n"/>
      <c r="C150" s="38" t="n"/>
      <c r="D150" s="38" t="n"/>
      <c r="E150" s="38" t="n"/>
      <c r="F150" s="38" t="n"/>
      <c r="G150" s="38" t="n"/>
      <c r="H150" s="38" t="n"/>
      <c r="I150" s="48" t="n"/>
      <c r="J150" s="38" t="n"/>
      <c r="K150" s="47" t="n"/>
      <c r="L150" s="47" t="n"/>
      <c r="M150" s="38" t="n"/>
      <c r="N150" s="38" t="n"/>
      <c r="O150" s="49">
        <f>IF(C150="","",IF(OR(J150="Booked",J150="Recurring Client"),"Booked",IF(J150="Lost/Declined","Lost","Open")))</f>
        <v/>
      </c>
      <c r="P150" s="49">
        <f>IF(C150="","",IF(S150=0,"—",IF(L150="","Set date",IF(L150&lt;AsOf,"Overdue",IF(L150=AsOf,"Due today",IF(L150&lt;=AsOf+SoonDays,"Due soon","Scheduled"))))))</f>
        <v/>
      </c>
      <c r="Q150" s="50">
        <f>IF(C150="","",IF(B150="","",AsOf-B150))</f>
        <v/>
      </c>
      <c r="R150" s="49">
        <f>IF(C150="","",IF(O150&lt;&gt;"Booked","",IF(COUNTIF('CUSTOMERS'!$B$5:$B$404,C150)&gt;0,"✓ In CUSTOMERS","Add to CUSTOMERS")))</f>
        <v/>
      </c>
      <c r="S150" s="49">
        <f>IF(C150="","",IF(OR(J150="Booked",J150="Recurring Client",J150="Lost/Declined"),0,1))</f>
        <v/>
      </c>
      <c r="T150" s="51">
        <f>IF(B150="","",DATE(YEAR(B150),MONTH(B150),1))</f>
        <v/>
      </c>
      <c r="U150" s="49">
        <f>IF(OR(S150&lt;&gt;1,L150=""),"",COUNTIFS('LEADS'!$S$5:$S$504,1,'LEADS'!$L$5:$L$504,"&lt;"&amp;L150)+COUNTIFS($S$5:S150,1,$L$5:L150,L150))</f>
        <v/>
      </c>
    </row>
    <row r="151">
      <c r="A151" s="46" t="inlineStr">
        <is>
          <t>L-0147</t>
        </is>
      </c>
      <c r="B151" s="47" t="n"/>
      <c r="C151" s="38" t="n"/>
      <c r="D151" s="38" t="n"/>
      <c r="E151" s="38" t="n"/>
      <c r="F151" s="38" t="n"/>
      <c r="G151" s="38" t="n"/>
      <c r="H151" s="38" t="n"/>
      <c r="I151" s="48" t="n"/>
      <c r="J151" s="38" t="n"/>
      <c r="K151" s="47" t="n"/>
      <c r="L151" s="47" t="n"/>
      <c r="M151" s="38" t="n"/>
      <c r="N151" s="38" t="n"/>
      <c r="O151" s="49">
        <f>IF(C151="","",IF(OR(J151="Booked",J151="Recurring Client"),"Booked",IF(J151="Lost/Declined","Lost","Open")))</f>
        <v/>
      </c>
      <c r="P151" s="49">
        <f>IF(C151="","",IF(S151=0,"—",IF(L151="","Set date",IF(L151&lt;AsOf,"Overdue",IF(L151=AsOf,"Due today",IF(L151&lt;=AsOf+SoonDays,"Due soon","Scheduled"))))))</f>
        <v/>
      </c>
      <c r="Q151" s="50">
        <f>IF(C151="","",IF(B151="","",AsOf-B151))</f>
        <v/>
      </c>
      <c r="R151" s="49">
        <f>IF(C151="","",IF(O151&lt;&gt;"Booked","",IF(COUNTIF('CUSTOMERS'!$B$5:$B$404,C151)&gt;0,"✓ In CUSTOMERS","Add to CUSTOMERS")))</f>
        <v/>
      </c>
      <c r="S151" s="49">
        <f>IF(C151="","",IF(OR(J151="Booked",J151="Recurring Client",J151="Lost/Declined"),0,1))</f>
        <v/>
      </c>
      <c r="T151" s="51">
        <f>IF(B151="","",DATE(YEAR(B151),MONTH(B151),1))</f>
        <v/>
      </c>
      <c r="U151" s="49">
        <f>IF(OR(S151&lt;&gt;1,L151=""),"",COUNTIFS('LEADS'!$S$5:$S$504,1,'LEADS'!$L$5:$L$504,"&lt;"&amp;L151)+COUNTIFS($S$5:S151,1,$L$5:L151,L151))</f>
        <v/>
      </c>
    </row>
    <row r="152">
      <c r="A152" s="46" t="inlineStr">
        <is>
          <t>L-0148</t>
        </is>
      </c>
      <c r="B152" s="47" t="n"/>
      <c r="C152" s="38" t="n"/>
      <c r="D152" s="38" t="n"/>
      <c r="E152" s="38" t="n"/>
      <c r="F152" s="38" t="n"/>
      <c r="G152" s="38" t="n"/>
      <c r="H152" s="38" t="n"/>
      <c r="I152" s="48" t="n"/>
      <c r="J152" s="38" t="n"/>
      <c r="K152" s="47" t="n"/>
      <c r="L152" s="47" t="n"/>
      <c r="M152" s="38" t="n"/>
      <c r="N152" s="38" t="n"/>
      <c r="O152" s="49">
        <f>IF(C152="","",IF(OR(J152="Booked",J152="Recurring Client"),"Booked",IF(J152="Lost/Declined","Lost","Open")))</f>
        <v/>
      </c>
      <c r="P152" s="49">
        <f>IF(C152="","",IF(S152=0,"—",IF(L152="","Set date",IF(L152&lt;AsOf,"Overdue",IF(L152=AsOf,"Due today",IF(L152&lt;=AsOf+SoonDays,"Due soon","Scheduled"))))))</f>
        <v/>
      </c>
      <c r="Q152" s="50">
        <f>IF(C152="","",IF(B152="","",AsOf-B152))</f>
        <v/>
      </c>
      <c r="R152" s="49">
        <f>IF(C152="","",IF(O152&lt;&gt;"Booked","",IF(COUNTIF('CUSTOMERS'!$B$5:$B$404,C152)&gt;0,"✓ In CUSTOMERS","Add to CUSTOMERS")))</f>
        <v/>
      </c>
      <c r="S152" s="49">
        <f>IF(C152="","",IF(OR(J152="Booked",J152="Recurring Client",J152="Lost/Declined"),0,1))</f>
        <v/>
      </c>
      <c r="T152" s="51">
        <f>IF(B152="","",DATE(YEAR(B152),MONTH(B152),1))</f>
        <v/>
      </c>
      <c r="U152" s="49">
        <f>IF(OR(S152&lt;&gt;1,L152=""),"",COUNTIFS('LEADS'!$S$5:$S$504,1,'LEADS'!$L$5:$L$504,"&lt;"&amp;L152)+COUNTIFS($S$5:S152,1,$L$5:L152,L152))</f>
        <v/>
      </c>
    </row>
    <row r="153">
      <c r="A153" s="46" t="inlineStr">
        <is>
          <t>L-0149</t>
        </is>
      </c>
      <c r="B153" s="47" t="n"/>
      <c r="C153" s="38" t="n"/>
      <c r="D153" s="38" t="n"/>
      <c r="E153" s="38" t="n"/>
      <c r="F153" s="38" t="n"/>
      <c r="G153" s="38" t="n"/>
      <c r="H153" s="38" t="n"/>
      <c r="I153" s="48" t="n"/>
      <c r="J153" s="38" t="n"/>
      <c r="K153" s="47" t="n"/>
      <c r="L153" s="47" t="n"/>
      <c r="M153" s="38" t="n"/>
      <c r="N153" s="38" t="n"/>
      <c r="O153" s="49">
        <f>IF(C153="","",IF(OR(J153="Booked",J153="Recurring Client"),"Booked",IF(J153="Lost/Declined","Lost","Open")))</f>
        <v/>
      </c>
      <c r="P153" s="49">
        <f>IF(C153="","",IF(S153=0,"—",IF(L153="","Set date",IF(L153&lt;AsOf,"Overdue",IF(L153=AsOf,"Due today",IF(L153&lt;=AsOf+SoonDays,"Due soon","Scheduled"))))))</f>
        <v/>
      </c>
      <c r="Q153" s="50">
        <f>IF(C153="","",IF(B153="","",AsOf-B153))</f>
        <v/>
      </c>
      <c r="R153" s="49">
        <f>IF(C153="","",IF(O153&lt;&gt;"Booked","",IF(COUNTIF('CUSTOMERS'!$B$5:$B$404,C153)&gt;0,"✓ In CUSTOMERS","Add to CUSTOMERS")))</f>
        <v/>
      </c>
      <c r="S153" s="49">
        <f>IF(C153="","",IF(OR(J153="Booked",J153="Recurring Client",J153="Lost/Declined"),0,1))</f>
        <v/>
      </c>
      <c r="T153" s="51">
        <f>IF(B153="","",DATE(YEAR(B153),MONTH(B153),1))</f>
        <v/>
      </c>
      <c r="U153" s="49">
        <f>IF(OR(S153&lt;&gt;1,L153=""),"",COUNTIFS('LEADS'!$S$5:$S$504,1,'LEADS'!$L$5:$L$504,"&lt;"&amp;L153)+COUNTIFS($S$5:S153,1,$L$5:L153,L153))</f>
        <v/>
      </c>
    </row>
    <row r="154">
      <c r="A154" s="46" t="inlineStr">
        <is>
          <t>L-0150</t>
        </is>
      </c>
      <c r="B154" s="47" t="n"/>
      <c r="C154" s="38" t="n"/>
      <c r="D154" s="38" t="n"/>
      <c r="E154" s="38" t="n"/>
      <c r="F154" s="38" t="n"/>
      <c r="G154" s="38" t="n"/>
      <c r="H154" s="38" t="n"/>
      <c r="I154" s="48" t="n"/>
      <c r="J154" s="38" t="n"/>
      <c r="K154" s="47" t="n"/>
      <c r="L154" s="47" t="n"/>
      <c r="M154" s="38" t="n"/>
      <c r="N154" s="38" t="n"/>
      <c r="O154" s="49">
        <f>IF(C154="","",IF(OR(J154="Booked",J154="Recurring Client"),"Booked",IF(J154="Lost/Declined","Lost","Open")))</f>
        <v/>
      </c>
      <c r="P154" s="49">
        <f>IF(C154="","",IF(S154=0,"—",IF(L154="","Set date",IF(L154&lt;AsOf,"Overdue",IF(L154=AsOf,"Due today",IF(L154&lt;=AsOf+SoonDays,"Due soon","Scheduled"))))))</f>
        <v/>
      </c>
      <c r="Q154" s="50">
        <f>IF(C154="","",IF(B154="","",AsOf-B154))</f>
        <v/>
      </c>
      <c r="R154" s="49">
        <f>IF(C154="","",IF(O154&lt;&gt;"Booked","",IF(COUNTIF('CUSTOMERS'!$B$5:$B$404,C154)&gt;0,"✓ In CUSTOMERS","Add to CUSTOMERS")))</f>
        <v/>
      </c>
      <c r="S154" s="49">
        <f>IF(C154="","",IF(OR(J154="Booked",J154="Recurring Client",J154="Lost/Declined"),0,1))</f>
        <v/>
      </c>
      <c r="T154" s="51">
        <f>IF(B154="","",DATE(YEAR(B154),MONTH(B154),1))</f>
        <v/>
      </c>
      <c r="U154" s="49">
        <f>IF(OR(S154&lt;&gt;1,L154=""),"",COUNTIFS('LEADS'!$S$5:$S$504,1,'LEADS'!$L$5:$L$504,"&lt;"&amp;L154)+COUNTIFS($S$5:S154,1,$L$5:L154,L154))</f>
        <v/>
      </c>
    </row>
    <row r="155">
      <c r="A155" s="46" t="inlineStr">
        <is>
          <t>L-0151</t>
        </is>
      </c>
      <c r="B155" s="47" t="n"/>
      <c r="C155" s="38" t="n"/>
      <c r="D155" s="38" t="n"/>
      <c r="E155" s="38" t="n"/>
      <c r="F155" s="38" t="n"/>
      <c r="G155" s="38" t="n"/>
      <c r="H155" s="38" t="n"/>
      <c r="I155" s="48" t="n"/>
      <c r="J155" s="38" t="n"/>
      <c r="K155" s="47" t="n"/>
      <c r="L155" s="47" t="n"/>
      <c r="M155" s="38" t="n"/>
      <c r="N155" s="38" t="n"/>
      <c r="O155" s="49">
        <f>IF(C155="","",IF(OR(J155="Booked",J155="Recurring Client"),"Booked",IF(J155="Lost/Declined","Lost","Open")))</f>
        <v/>
      </c>
      <c r="P155" s="49">
        <f>IF(C155="","",IF(S155=0,"—",IF(L155="","Set date",IF(L155&lt;AsOf,"Overdue",IF(L155=AsOf,"Due today",IF(L155&lt;=AsOf+SoonDays,"Due soon","Scheduled"))))))</f>
        <v/>
      </c>
      <c r="Q155" s="50">
        <f>IF(C155="","",IF(B155="","",AsOf-B155))</f>
        <v/>
      </c>
      <c r="R155" s="49">
        <f>IF(C155="","",IF(O155&lt;&gt;"Booked","",IF(COUNTIF('CUSTOMERS'!$B$5:$B$404,C155)&gt;0,"✓ In CUSTOMERS","Add to CUSTOMERS")))</f>
        <v/>
      </c>
      <c r="S155" s="49">
        <f>IF(C155="","",IF(OR(J155="Booked",J155="Recurring Client",J155="Lost/Declined"),0,1))</f>
        <v/>
      </c>
      <c r="T155" s="51">
        <f>IF(B155="","",DATE(YEAR(B155),MONTH(B155),1))</f>
        <v/>
      </c>
      <c r="U155" s="49">
        <f>IF(OR(S155&lt;&gt;1,L155=""),"",COUNTIFS('LEADS'!$S$5:$S$504,1,'LEADS'!$L$5:$L$504,"&lt;"&amp;L155)+COUNTIFS($S$5:S155,1,$L$5:L155,L155))</f>
        <v/>
      </c>
    </row>
    <row r="156">
      <c r="A156" s="46" t="inlineStr">
        <is>
          <t>L-0152</t>
        </is>
      </c>
      <c r="B156" s="47" t="n"/>
      <c r="C156" s="38" t="n"/>
      <c r="D156" s="38" t="n"/>
      <c r="E156" s="38" t="n"/>
      <c r="F156" s="38" t="n"/>
      <c r="G156" s="38" t="n"/>
      <c r="H156" s="38" t="n"/>
      <c r="I156" s="48" t="n"/>
      <c r="J156" s="38" t="n"/>
      <c r="K156" s="47" t="n"/>
      <c r="L156" s="47" t="n"/>
      <c r="M156" s="38" t="n"/>
      <c r="N156" s="38" t="n"/>
      <c r="O156" s="49">
        <f>IF(C156="","",IF(OR(J156="Booked",J156="Recurring Client"),"Booked",IF(J156="Lost/Declined","Lost","Open")))</f>
        <v/>
      </c>
      <c r="P156" s="49">
        <f>IF(C156="","",IF(S156=0,"—",IF(L156="","Set date",IF(L156&lt;AsOf,"Overdue",IF(L156=AsOf,"Due today",IF(L156&lt;=AsOf+SoonDays,"Due soon","Scheduled"))))))</f>
        <v/>
      </c>
      <c r="Q156" s="50">
        <f>IF(C156="","",IF(B156="","",AsOf-B156))</f>
        <v/>
      </c>
      <c r="R156" s="49">
        <f>IF(C156="","",IF(O156&lt;&gt;"Booked","",IF(COUNTIF('CUSTOMERS'!$B$5:$B$404,C156)&gt;0,"✓ In CUSTOMERS","Add to CUSTOMERS")))</f>
        <v/>
      </c>
      <c r="S156" s="49">
        <f>IF(C156="","",IF(OR(J156="Booked",J156="Recurring Client",J156="Lost/Declined"),0,1))</f>
        <v/>
      </c>
      <c r="T156" s="51">
        <f>IF(B156="","",DATE(YEAR(B156),MONTH(B156),1))</f>
        <v/>
      </c>
      <c r="U156" s="49">
        <f>IF(OR(S156&lt;&gt;1,L156=""),"",COUNTIFS('LEADS'!$S$5:$S$504,1,'LEADS'!$L$5:$L$504,"&lt;"&amp;L156)+COUNTIFS($S$5:S156,1,$L$5:L156,L156))</f>
        <v/>
      </c>
    </row>
    <row r="157">
      <c r="A157" s="46" t="inlineStr">
        <is>
          <t>L-0153</t>
        </is>
      </c>
      <c r="B157" s="47" t="n"/>
      <c r="C157" s="38" t="n"/>
      <c r="D157" s="38" t="n"/>
      <c r="E157" s="38" t="n"/>
      <c r="F157" s="38" t="n"/>
      <c r="G157" s="38" t="n"/>
      <c r="H157" s="38" t="n"/>
      <c r="I157" s="48" t="n"/>
      <c r="J157" s="38" t="n"/>
      <c r="K157" s="47" t="n"/>
      <c r="L157" s="47" t="n"/>
      <c r="M157" s="38" t="n"/>
      <c r="N157" s="38" t="n"/>
      <c r="O157" s="49">
        <f>IF(C157="","",IF(OR(J157="Booked",J157="Recurring Client"),"Booked",IF(J157="Lost/Declined","Lost","Open")))</f>
        <v/>
      </c>
      <c r="P157" s="49">
        <f>IF(C157="","",IF(S157=0,"—",IF(L157="","Set date",IF(L157&lt;AsOf,"Overdue",IF(L157=AsOf,"Due today",IF(L157&lt;=AsOf+SoonDays,"Due soon","Scheduled"))))))</f>
        <v/>
      </c>
      <c r="Q157" s="50">
        <f>IF(C157="","",IF(B157="","",AsOf-B157))</f>
        <v/>
      </c>
      <c r="R157" s="49">
        <f>IF(C157="","",IF(O157&lt;&gt;"Booked","",IF(COUNTIF('CUSTOMERS'!$B$5:$B$404,C157)&gt;0,"✓ In CUSTOMERS","Add to CUSTOMERS")))</f>
        <v/>
      </c>
      <c r="S157" s="49">
        <f>IF(C157="","",IF(OR(J157="Booked",J157="Recurring Client",J157="Lost/Declined"),0,1))</f>
        <v/>
      </c>
      <c r="T157" s="51">
        <f>IF(B157="","",DATE(YEAR(B157),MONTH(B157),1))</f>
        <v/>
      </c>
      <c r="U157" s="49">
        <f>IF(OR(S157&lt;&gt;1,L157=""),"",COUNTIFS('LEADS'!$S$5:$S$504,1,'LEADS'!$L$5:$L$504,"&lt;"&amp;L157)+COUNTIFS($S$5:S157,1,$L$5:L157,L157))</f>
        <v/>
      </c>
    </row>
    <row r="158">
      <c r="A158" s="46" t="inlineStr">
        <is>
          <t>L-0154</t>
        </is>
      </c>
      <c r="B158" s="47" t="n"/>
      <c r="C158" s="38" t="n"/>
      <c r="D158" s="38" t="n"/>
      <c r="E158" s="38" t="n"/>
      <c r="F158" s="38" t="n"/>
      <c r="G158" s="38" t="n"/>
      <c r="H158" s="38" t="n"/>
      <c r="I158" s="48" t="n"/>
      <c r="J158" s="38" t="n"/>
      <c r="K158" s="47" t="n"/>
      <c r="L158" s="47" t="n"/>
      <c r="M158" s="38" t="n"/>
      <c r="N158" s="38" t="n"/>
      <c r="O158" s="49">
        <f>IF(C158="","",IF(OR(J158="Booked",J158="Recurring Client"),"Booked",IF(J158="Lost/Declined","Lost","Open")))</f>
        <v/>
      </c>
      <c r="P158" s="49">
        <f>IF(C158="","",IF(S158=0,"—",IF(L158="","Set date",IF(L158&lt;AsOf,"Overdue",IF(L158=AsOf,"Due today",IF(L158&lt;=AsOf+SoonDays,"Due soon","Scheduled"))))))</f>
        <v/>
      </c>
      <c r="Q158" s="50">
        <f>IF(C158="","",IF(B158="","",AsOf-B158))</f>
        <v/>
      </c>
      <c r="R158" s="49">
        <f>IF(C158="","",IF(O158&lt;&gt;"Booked","",IF(COUNTIF('CUSTOMERS'!$B$5:$B$404,C158)&gt;0,"✓ In CUSTOMERS","Add to CUSTOMERS")))</f>
        <v/>
      </c>
      <c r="S158" s="49">
        <f>IF(C158="","",IF(OR(J158="Booked",J158="Recurring Client",J158="Lost/Declined"),0,1))</f>
        <v/>
      </c>
      <c r="T158" s="51">
        <f>IF(B158="","",DATE(YEAR(B158),MONTH(B158),1))</f>
        <v/>
      </c>
      <c r="U158" s="49">
        <f>IF(OR(S158&lt;&gt;1,L158=""),"",COUNTIFS('LEADS'!$S$5:$S$504,1,'LEADS'!$L$5:$L$504,"&lt;"&amp;L158)+COUNTIFS($S$5:S158,1,$L$5:L158,L158))</f>
        <v/>
      </c>
    </row>
    <row r="159">
      <c r="A159" s="46" t="inlineStr">
        <is>
          <t>L-0155</t>
        </is>
      </c>
      <c r="B159" s="47" t="n"/>
      <c r="C159" s="38" t="n"/>
      <c r="D159" s="38" t="n"/>
      <c r="E159" s="38" t="n"/>
      <c r="F159" s="38" t="n"/>
      <c r="G159" s="38" t="n"/>
      <c r="H159" s="38" t="n"/>
      <c r="I159" s="48" t="n"/>
      <c r="J159" s="38" t="n"/>
      <c r="K159" s="47" t="n"/>
      <c r="L159" s="47" t="n"/>
      <c r="M159" s="38" t="n"/>
      <c r="N159" s="38" t="n"/>
      <c r="O159" s="49">
        <f>IF(C159="","",IF(OR(J159="Booked",J159="Recurring Client"),"Booked",IF(J159="Lost/Declined","Lost","Open")))</f>
        <v/>
      </c>
      <c r="P159" s="49">
        <f>IF(C159="","",IF(S159=0,"—",IF(L159="","Set date",IF(L159&lt;AsOf,"Overdue",IF(L159=AsOf,"Due today",IF(L159&lt;=AsOf+SoonDays,"Due soon","Scheduled"))))))</f>
        <v/>
      </c>
      <c r="Q159" s="50">
        <f>IF(C159="","",IF(B159="","",AsOf-B159))</f>
        <v/>
      </c>
      <c r="R159" s="49">
        <f>IF(C159="","",IF(O159&lt;&gt;"Booked","",IF(COUNTIF('CUSTOMERS'!$B$5:$B$404,C159)&gt;0,"✓ In CUSTOMERS","Add to CUSTOMERS")))</f>
        <v/>
      </c>
      <c r="S159" s="49">
        <f>IF(C159="","",IF(OR(J159="Booked",J159="Recurring Client",J159="Lost/Declined"),0,1))</f>
        <v/>
      </c>
      <c r="T159" s="51">
        <f>IF(B159="","",DATE(YEAR(B159),MONTH(B159),1))</f>
        <v/>
      </c>
      <c r="U159" s="49">
        <f>IF(OR(S159&lt;&gt;1,L159=""),"",COUNTIFS('LEADS'!$S$5:$S$504,1,'LEADS'!$L$5:$L$504,"&lt;"&amp;L159)+COUNTIFS($S$5:S159,1,$L$5:L159,L159))</f>
        <v/>
      </c>
    </row>
    <row r="160">
      <c r="A160" s="46" t="inlineStr">
        <is>
          <t>L-0156</t>
        </is>
      </c>
      <c r="B160" s="47" t="n"/>
      <c r="C160" s="38" t="n"/>
      <c r="D160" s="38" t="n"/>
      <c r="E160" s="38" t="n"/>
      <c r="F160" s="38" t="n"/>
      <c r="G160" s="38" t="n"/>
      <c r="H160" s="38" t="n"/>
      <c r="I160" s="48" t="n"/>
      <c r="J160" s="38" t="n"/>
      <c r="K160" s="47" t="n"/>
      <c r="L160" s="47" t="n"/>
      <c r="M160" s="38" t="n"/>
      <c r="N160" s="38" t="n"/>
      <c r="O160" s="49">
        <f>IF(C160="","",IF(OR(J160="Booked",J160="Recurring Client"),"Booked",IF(J160="Lost/Declined","Lost","Open")))</f>
        <v/>
      </c>
      <c r="P160" s="49">
        <f>IF(C160="","",IF(S160=0,"—",IF(L160="","Set date",IF(L160&lt;AsOf,"Overdue",IF(L160=AsOf,"Due today",IF(L160&lt;=AsOf+SoonDays,"Due soon","Scheduled"))))))</f>
        <v/>
      </c>
      <c r="Q160" s="50">
        <f>IF(C160="","",IF(B160="","",AsOf-B160))</f>
        <v/>
      </c>
      <c r="R160" s="49">
        <f>IF(C160="","",IF(O160&lt;&gt;"Booked","",IF(COUNTIF('CUSTOMERS'!$B$5:$B$404,C160)&gt;0,"✓ In CUSTOMERS","Add to CUSTOMERS")))</f>
        <v/>
      </c>
      <c r="S160" s="49">
        <f>IF(C160="","",IF(OR(J160="Booked",J160="Recurring Client",J160="Lost/Declined"),0,1))</f>
        <v/>
      </c>
      <c r="T160" s="51">
        <f>IF(B160="","",DATE(YEAR(B160),MONTH(B160),1))</f>
        <v/>
      </c>
      <c r="U160" s="49">
        <f>IF(OR(S160&lt;&gt;1,L160=""),"",COUNTIFS('LEADS'!$S$5:$S$504,1,'LEADS'!$L$5:$L$504,"&lt;"&amp;L160)+COUNTIFS($S$5:S160,1,$L$5:L160,L160))</f>
        <v/>
      </c>
    </row>
    <row r="161">
      <c r="A161" s="46" t="inlineStr">
        <is>
          <t>L-0157</t>
        </is>
      </c>
      <c r="B161" s="47" t="n"/>
      <c r="C161" s="38" t="n"/>
      <c r="D161" s="38" t="n"/>
      <c r="E161" s="38" t="n"/>
      <c r="F161" s="38" t="n"/>
      <c r="G161" s="38" t="n"/>
      <c r="H161" s="38" t="n"/>
      <c r="I161" s="48" t="n"/>
      <c r="J161" s="38" t="n"/>
      <c r="K161" s="47" t="n"/>
      <c r="L161" s="47" t="n"/>
      <c r="M161" s="38" t="n"/>
      <c r="N161" s="38" t="n"/>
      <c r="O161" s="49">
        <f>IF(C161="","",IF(OR(J161="Booked",J161="Recurring Client"),"Booked",IF(J161="Lost/Declined","Lost","Open")))</f>
        <v/>
      </c>
      <c r="P161" s="49">
        <f>IF(C161="","",IF(S161=0,"—",IF(L161="","Set date",IF(L161&lt;AsOf,"Overdue",IF(L161=AsOf,"Due today",IF(L161&lt;=AsOf+SoonDays,"Due soon","Scheduled"))))))</f>
        <v/>
      </c>
      <c r="Q161" s="50">
        <f>IF(C161="","",IF(B161="","",AsOf-B161))</f>
        <v/>
      </c>
      <c r="R161" s="49">
        <f>IF(C161="","",IF(O161&lt;&gt;"Booked","",IF(COUNTIF('CUSTOMERS'!$B$5:$B$404,C161)&gt;0,"✓ In CUSTOMERS","Add to CUSTOMERS")))</f>
        <v/>
      </c>
      <c r="S161" s="49">
        <f>IF(C161="","",IF(OR(J161="Booked",J161="Recurring Client",J161="Lost/Declined"),0,1))</f>
        <v/>
      </c>
      <c r="T161" s="51">
        <f>IF(B161="","",DATE(YEAR(B161),MONTH(B161),1))</f>
        <v/>
      </c>
      <c r="U161" s="49">
        <f>IF(OR(S161&lt;&gt;1,L161=""),"",COUNTIFS('LEADS'!$S$5:$S$504,1,'LEADS'!$L$5:$L$504,"&lt;"&amp;L161)+COUNTIFS($S$5:S161,1,$L$5:L161,L161))</f>
        <v/>
      </c>
    </row>
    <row r="162">
      <c r="A162" s="46" t="inlineStr">
        <is>
          <t>L-0158</t>
        </is>
      </c>
      <c r="B162" s="47" t="n"/>
      <c r="C162" s="38" t="n"/>
      <c r="D162" s="38" t="n"/>
      <c r="E162" s="38" t="n"/>
      <c r="F162" s="38" t="n"/>
      <c r="G162" s="38" t="n"/>
      <c r="H162" s="38" t="n"/>
      <c r="I162" s="48" t="n"/>
      <c r="J162" s="38" t="n"/>
      <c r="K162" s="47" t="n"/>
      <c r="L162" s="47" t="n"/>
      <c r="M162" s="38" t="n"/>
      <c r="N162" s="38" t="n"/>
      <c r="O162" s="49">
        <f>IF(C162="","",IF(OR(J162="Booked",J162="Recurring Client"),"Booked",IF(J162="Lost/Declined","Lost","Open")))</f>
        <v/>
      </c>
      <c r="P162" s="49">
        <f>IF(C162="","",IF(S162=0,"—",IF(L162="","Set date",IF(L162&lt;AsOf,"Overdue",IF(L162=AsOf,"Due today",IF(L162&lt;=AsOf+SoonDays,"Due soon","Scheduled"))))))</f>
        <v/>
      </c>
      <c r="Q162" s="50">
        <f>IF(C162="","",IF(B162="","",AsOf-B162))</f>
        <v/>
      </c>
      <c r="R162" s="49">
        <f>IF(C162="","",IF(O162&lt;&gt;"Booked","",IF(COUNTIF('CUSTOMERS'!$B$5:$B$404,C162)&gt;0,"✓ In CUSTOMERS","Add to CUSTOMERS")))</f>
        <v/>
      </c>
      <c r="S162" s="49">
        <f>IF(C162="","",IF(OR(J162="Booked",J162="Recurring Client",J162="Lost/Declined"),0,1))</f>
        <v/>
      </c>
      <c r="T162" s="51">
        <f>IF(B162="","",DATE(YEAR(B162),MONTH(B162),1))</f>
        <v/>
      </c>
      <c r="U162" s="49">
        <f>IF(OR(S162&lt;&gt;1,L162=""),"",COUNTIFS('LEADS'!$S$5:$S$504,1,'LEADS'!$L$5:$L$504,"&lt;"&amp;L162)+COUNTIFS($S$5:S162,1,$L$5:L162,L162))</f>
        <v/>
      </c>
    </row>
    <row r="163">
      <c r="A163" s="46" t="inlineStr">
        <is>
          <t>L-0159</t>
        </is>
      </c>
      <c r="B163" s="47" t="n"/>
      <c r="C163" s="38" t="n"/>
      <c r="D163" s="38" t="n"/>
      <c r="E163" s="38" t="n"/>
      <c r="F163" s="38" t="n"/>
      <c r="G163" s="38" t="n"/>
      <c r="H163" s="38" t="n"/>
      <c r="I163" s="48" t="n"/>
      <c r="J163" s="38" t="n"/>
      <c r="K163" s="47" t="n"/>
      <c r="L163" s="47" t="n"/>
      <c r="M163" s="38" t="n"/>
      <c r="N163" s="38" t="n"/>
      <c r="O163" s="49">
        <f>IF(C163="","",IF(OR(J163="Booked",J163="Recurring Client"),"Booked",IF(J163="Lost/Declined","Lost","Open")))</f>
        <v/>
      </c>
      <c r="P163" s="49">
        <f>IF(C163="","",IF(S163=0,"—",IF(L163="","Set date",IF(L163&lt;AsOf,"Overdue",IF(L163=AsOf,"Due today",IF(L163&lt;=AsOf+SoonDays,"Due soon","Scheduled"))))))</f>
        <v/>
      </c>
      <c r="Q163" s="50">
        <f>IF(C163="","",IF(B163="","",AsOf-B163))</f>
        <v/>
      </c>
      <c r="R163" s="49">
        <f>IF(C163="","",IF(O163&lt;&gt;"Booked","",IF(COUNTIF('CUSTOMERS'!$B$5:$B$404,C163)&gt;0,"✓ In CUSTOMERS","Add to CUSTOMERS")))</f>
        <v/>
      </c>
      <c r="S163" s="49">
        <f>IF(C163="","",IF(OR(J163="Booked",J163="Recurring Client",J163="Lost/Declined"),0,1))</f>
        <v/>
      </c>
      <c r="T163" s="51">
        <f>IF(B163="","",DATE(YEAR(B163),MONTH(B163),1))</f>
        <v/>
      </c>
      <c r="U163" s="49">
        <f>IF(OR(S163&lt;&gt;1,L163=""),"",COUNTIFS('LEADS'!$S$5:$S$504,1,'LEADS'!$L$5:$L$504,"&lt;"&amp;L163)+COUNTIFS($S$5:S163,1,$L$5:L163,L163))</f>
        <v/>
      </c>
    </row>
    <row r="164">
      <c r="A164" s="46" t="inlineStr">
        <is>
          <t>L-0160</t>
        </is>
      </c>
      <c r="B164" s="47" t="n"/>
      <c r="C164" s="38" t="n"/>
      <c r="D164" s="38" t="n"/>
      <c r="E164" s="38" t="n"/>
      <c r="F164" s="38" t="n"/>
      <c r="G164" s="38" t="n"/>
      <c r="H164" s="38" t="n"/>
      <c r="I164" s="48" t="n"/>
      <c r="J164" s="38" t="n"/>
      <c r="K164" s="47" t="n"/>
      <c r="L164" s="47" t="n"/>
      <c r="M164" s="38" t="n"/>
      <c r="N164" s="38" t="n"/>
      <c r="O164" s="49">
        <f>IF(C164="","",IF(OR(J164="Booked",J164="Recurring Client"),"Booked",IF(J164="Lost/Declined","Lost","Open")))</f>
        <v/>
      </c>
      <c r="P164" s="49">
        <f>IF(C164="","",IF(S164=0,"—",IF(L164="","Set date",IF(L164&lt;AsOf,"Overdue",IF(L164=AsOf,"Due today",IF(L164&lt;=AsOf+SoonDays,"Due soon","Scheduled"))))))</f>
        <v/>
      </c>
      <c r="Q164" s="50">
        <f>IF(C164="","",IF(B164="","",AsOf-B164))</f>
        <v/>
      </c>
      <c r="R164" s="49">
        <f>IF(C164="","",IF(O164&lt;&gt;"Booked","",IF(COUNTIF('CUSTOMERS'!$B$5:$B$404,C164)&gt;0,"✓ In CUSTOMERS","Add to CUSTOMERS")))</f>
        <v/>
      </c>
      <c r="S164" s="49">
        <f>IF(C164="","",IF(OR(J164="Booked",J164="Recurring Client",J164="Lost/Declined"),0,1))</f>
        <v/>
      </c>
      <c r="T164" s="51">
        <f>IF(B164="","",DATE(YEAR(B164),MONTH(B164),1))</f>
        <v/>
      </c>
      <c r="U164" s="49">
        <f>IF(OR(S164&lt;&gt;1,L164=""),"",COUNTIFS('LEADS'!$S$5:$S$504,1,'LEADS'!$L$5:$L$504,"&lt;"&amp;L164)+COUNTIFS($S$5:S164,1,$L$5:L164,L164))</f>
        <v/>
      </c>
    </row>
    <row r="165">
      <c r="A165" s="46" t="inlineStr">
        <is>
          <t>L-0161</t>
        </is>
      </c>
      <c r="B165" s="47" t="n"/>
      <c r="C165" s="38" t="n"/>
      <c r="D165" s="38" t="n"/>
      <c r="E165" s="38" t="n"/>
      <c r="F165" s="38" t="n"/>
      <c r="G165" s="38" t="n"/>
      <c r="H165" s="38" t="n"/>
      <c r="I165" s="48" t="n"/>
      <c r="J165" s="38" t="n"/>
      <c r="K165" s="47" t="n"/>
      <c r="L165" s="47" t="n"/>
      <c r="M165" s="38" t="n"/>
      <c r="N165" s="38" t="n"/>
      <c r="O165" s="49">
        <f>IF(C165="","",IF(OR(J165="Booked",J165="Recurring Client"),"Booked",IF(J165="Lost/Declined","Lost","Open")))</f>
        <v/>
      </c>
      <c r="P165" s="49">
        <f>IF(C165="","",IF(S165=0,"—",IF(L165="","Set date",IF(L165&lt;AsOf,"Overdue",IF(L165=AsOf,"Due today",IF(L165&lt;=AsOf+SoonDays,"Due soon","Scheduled"))))))</f>
        <v/>
      </c>
      <c r="Q165" s="50">
        <f>IF(C165="","",IF(B165="","",AsOf-B165))</f>
        <v/>
      </c>
      <c r="R165" s="49">
        <f>IF(C165="","",IF(O165&lt;&gt;"Booked","",IF(COUNTIF('CUSTOMERS'!$B$5:$B$404,C165)&gt;0,"✓ In CUSTOMERS","Add to CUSTOMERS")))</f>
        <v/>
      </c>
      <c r="S165" s="49">
        <f>IF(C165="","",IF(OR(J165="Booked",J165="Recurring Client",J165="Lost/Declined"),0,1))</f>
        <v/>
      </c>
      <c r="T165" s="51">
        <f>IF(B165="","",DATE(YEAR(B165),MONTH(B165),1))</f>
        <v/>
      </c>
      <c r="U165" s="49">
        <f>IF(OR(S165&lt;&gt;1,L165=""),"",COUNTIFS('LEADS'!$S$5:$S$504,1,'LEADS'!$L$5:$L$504,"&lt;"&amp;L165)+COUNTIFS($S$5:S165,1,$L$5:L165,L165))</f>
        <v/>
      </c>
    </row>
    <row r="166">
      <c r="A166" s="46" t="inlineStr">
        <is>
          <t>L-0162</t>
        </is>
      </c>
      <c r="B166" s="47" t="n"/>
      <c r="C166" s="38" t="n"/>
      <c r="D166" s="38" t="n"/>
      <c r="E166" s="38" t="n"/>
      <c r="F166" s="38" t="n"/>
      <c r="G166" s="38" t="n"/>
      <c r="H166" s="38" t="n"/>
      <c r="I166" s="48" t="n"/>
      <c r="J166" s="38" t="n"/>
      <c r="K166" s="47" t="n"/>
      <c r="L166" s="47" t="n"/>
      <c r="M166" s="38" t="n"/>
      <c r="N166" s="38" t="n"/>
      <c r="O166" s="49">
        <f>IF(C166="","",IF(OR(J166="Booked",J166="Recurring Client"),"Booked",IF(J166="Lost/Declined","Lost","Open")))</f>
        <v/>
      </c>
      <c r="P166" s="49">
        <f>IF(C166="","",IF(S166=0,"—",IF(L166="","Set date",IF(L166&lt;AsOf,"Overdue",IF(L166=AsOf,"Due today",IF(L166&lt;=AsOf+SoonDays,"Due soon","Scheduled"))))))</f>
        <v/>
      </c>
      <c r="Q166" s="50">
        <f>IF(C166="","",IF(B166="","",AsOf-B166))</f>
        <v/>
      </c>
      <c r="R166" s="49">
        <f>IF(C166="","",IF(O166&lt;&gt;"Booked","",IF(COUNTIF('CUSTOMERS'!$B$5:$B$404,C166)&gt;0,"✓ In CUSTOMERS","Add to CUSTOMERS")))</f>
        <v/>
      </c>
      <c r="S166" s="49">
        <f>IF(C166="","",IF(OR(J166="Booked",J166="Recurring Client",J166="Lost/Declined"),0,1))</f>
        <v/>
      </c>
      <c r="T166" s="51">
        <f>IF(B166="","",DATE(YEAR(B166),MONTH(B166),1))</f>
        <v/>
      </c>
      <c r="U166" s="49">
        <f>IF(OR(S166&lt;&gt;1,L166=""),"",COUNTIFS('LEADS'!$S$5:$S$504,1,'LEADS'!$L$5:$L$504,"&lt;"&amp;L166)+COUNTIFS($S$5:S166,1,$L$5:L166,L166))</f>
        <v/>
      </c>
    </row>
    <row r="167">
      <c r="A167" s="46" t="inlineStr">
        <is>
          <t>L-0163</t>
        </is>
      </c>
      <c r="B167" s="47" t="n"/>
      <c r="C167" s="38" t="n"/>
      <c r="D167" s="38" t="n"/>
      <c r="E167" s="38" t="n"/>
      <c r="F167" s="38" t="n"/>
      <c r="G167" s="38" t="n"/>
      <c r="H167" s="38" t="n"/>
      <c r="I167" s="48" t="n"/>
      <c r="J167" s="38" t="n"/>
      <c r="K167" s="47" t="n"/>
      <c r="L167" s="47" t="n"/>
      <c r="M167" s="38" t="n"/>
      <c r="N167" s="38" t="n"/>
      <c r="O167" s="49">
        <f>IF(C167="","",IF(OR(J167="Booked",J167="Recurring Client"),"Booked",IF(J167="Lost/Declined","Lost","Open")))</f>
        <v/>
      </c>
      <c r="P167" s="49">
        <f>IF(C167="","",IF(S167=0,"—",IF(L167="","Set date",IF(L167&lt;AsOf,"Overdue",IF(L167=AsOf,"Due today",IF(L167&lt;=AsOf+SoonDays,"Due soon","Scheduled"))))))</f>
        <v/>
      </c>
      <c r="Q167" s="50">
        <f>IF(C167="","",IF(B167="","",AsOf-B167))</f>
        <v/>
      </c>
      <c r="R167" s="49">
        <f>IF(C167="","",IF(O167&lt;&gt;"Booked","",IF(COUNTIF('CUSTOMERS'!$B$5:$B$404,C167)&gt;0,"✓ In CUSTOMERS","Add to CUSTOMERS")))</f>
        <v/>
      </c>
      <c r="S167" s="49">
        <f>IF(C167="","",IF(OR(J167="Booked",J167="Recurring Client",J167="Lost/Declined"),0,1))</f>
        <v/>
      </c>
      <c r="T167" s="51">
        <f>IF(B167="","",DATE(YEAR(B167),MONTH(B167),1))</f>
        <v/>
      </c>
      <c r="U167" s="49">
        <f>IF(OR(S167&lt;&gt;1,L167=""),"",COUNTIFS('LEADS'!$S$5:$S$504,1,'LEADS'!$L$5:$L$504,"&lt;"&amp;L167)+COUNTIFS($S$5:S167,1,$L$5:L167,L167))</f>
        <v/>
      </c>
    </row>
    <row r="168">
      <c r="A168" s="46" t="inlineStr">
        <is>
          <t>L-0164</t>
        </is>
      </c>
      <c r="B168" s="47" t="n"/>
      <c r="C168" s="38" t="n"/>
      <c r="D168" s="38" t="n"/>
      <c r="E168" s="38" t="n"/>
      <c r="F168" s="38" t="n"/>
      <c r="G168" s="38" t="n"/>
      <c r="H168" s="38" t="n"/>
      <c r="I168" s="48" t="n"/>
      <c r="J168" s="38" t="n"/>
      <c r="K168" s="47" t="n"/>
      <c r="L168" s="47" t="n"/>
      <c r="M168" s="38" t="n"/>
      <c r="N168" s="38" t="n"/>
      <c r="O168" s="49">
        <f>IF(C168="","",IF(OR(J168="Booked",J168="Recurring Client"),"Booked",IF(J168="Lost/Declined","Lost","Open")))</f>
        <v/>
      </c>
      <c r="P168" s="49">
        <f>IF(C168="","",IF(S168=0,"—",IF(L168="","Set date",IF(L168&lt;AsOf,"Overdue",IF(L168=AsOf,"Due today",IF(L168&lt;=AsOf+SoonDays,"Due soon","Scheduled"))))))</f>
        <v/>
      </c>
      <c r="Q168" s="50">
        <f>IF(C168="","",IF(B168="","",AsOf-B168))</f>
        <v/>
      </c>
      <c r="R168" s="49">
        <f>IF(C168="","",IF(O168&lt;&gt;"Booked","",IF(COUNTIF('CUSTOMERS'!$B$5:$B$404,C168)&gt;0,"✓ In CUSTOMERS","Add to CUSTOMERS")))</f>
        <v/>
      </c>
      <c r="S168" s="49">
        <f>IF(C168="","",IF(OR(J168="Booked",J168="Recurring Client",J168="Lost/Declined"),0,1))</f>
        <v/>
      </c>
      <c r="T168" s="51">
        <f>IF(B168="","",DATE(YEAR(B168),MONTH(B168),1))</f>
        <v/>
      </c>
      <c r="U168" s="49">
        <f>IF(OR(S168&lt;&gt;1,L168=""),"",COUNTIFS('LEADS'!$S$5:$S$504,1,'LEADS'!$L$5:$L$504,"&lt;"&amp;L168)+COUNTIFS($S$5:S168,1,$L$5:L168,L168))</f>
        <v/>
      </c>
    </row>
    <row r="169">
      <c r="A169" s="46" t="inlineStr">
        <is>
          <t>L-0165</t>
        </is>
      </c>
      <c r="B169" s="47" t="n"/>
      <c r="C169" s="38" t="n"/>
      <c r="D169" s="38" t="n"/>
      <c r="E169" s="38" t="n"/>
      <c r="F169" s="38" t="n"/>
      <c r="G169" s="38" t="n"/>
      <c r="H169" s="38" t="n"/>
      <c r="I169" s="48" t="n"/>
      <c r="J169" s="38" t="n"/>
      <c r="K169" s="47" t="n"/>
      <c r="L169" s="47" t="n"/>
      <c r="M169" s="38" t="n"/>
      <c r="N169" s="38" t="n"/>
      <c r="O169" s="49">
        <f>IF(C169="","",IF(OR(J169="Booked",J169="Recurring Client"),"Booked",IF(J169="Lost/Declined","Lost","Open")))</f>
        <v/>
      </c>
      <c r="P169" s="49">
        <f>IF(C169="","",IF(S169=0,"—",IF(L169="","Set date",IF(L169&lt;AsOf,"Overdue",IF(L169=AsOf,"Due today",IF(L169&lt;=AsOf+SoonDays,"Due soon","Scheduled"))))))</f>
        <v/>
      </c>
      <c r="Q169" s="50">
        <f>IF(C169="","",IF(B169="","",AsOf-B169))</f>
        <v/>
      </c>
      <c r="R169" s="49">
        <f>IF(C169="","",IF(O169&lt;&gt;"Booked","",IF(COUNTIF('CUSTOMERS'!$B$5:$B$404,C169)&gt;0,"✓ In CUSTOMERS","Add to CUSTOMERS")))</f>
        <v/>
      </c>
      <c r="S169" s="49">
        <f>IF(C169="","",IF(OR(J169="Booked",J169="Recurring Client",J169="Lost/Declined"),0,1))</f>
        <v/>
      </c>
      <c r="T169" s="51">
        <f>IF(B169="","",DATE(YEAR(B169),MONTH(B169),1))</f>
        <v/>
      </c>
      <c r="U169" s="49">
        <f>IF(OR(S169&lt;&gt;1,L169=""),"",COUNTIFS('LEADS'!$S$5:$S$504,1,'LEADS'!$L$5:$L$504,"&lt;"&amp;L169)+COUNTIFS($S$5:S169,1,$L$5:L169,L169))</f>
        <v/>
      </c>
    </row>
    <row r="170">
      <c r="A170" s="46" t="inlineStr">
        <is>
          <t>L-0166</t>
        </is>
      </c>
      <c r="B170" s="47" t="n"/>
      <c r="C170" s="38" t="n"/>
      <c r="D170" s="38" t="n"/>
      <c r="E170" s="38" t="n"/>
      <c r="F170" s="38" t="n"/>
      <c r="G170" s="38" t="n"/>
      <c r="H170" s="38" t="n"/>
      <c r="I170" s="48" t="n"/>
      <c r="J170" s="38" t="n"/>
      <c r="K170" s="47" t="n"/>
      <c r="L170" s="47" t="n"/>
      <c r="M170" s="38" t="n"/>
      <c r="N170" s="38" t="n"/>
      <c r="O170" s="49">
        <f>IF(C170="","",IF(OR(J170="Booked",J170="Recurring Client"),"Booked",IF(J170="Lost/Declined","Lost","Open")))</f>
        <v/>
      </c>
      <c r="P170" s="49">
        <f>IF(C170="","",IF(S170=0,"—",IF(L170="","Set date",IF(L170&lt;AsOf,"Overdue",IF(L170=AsOf,"Due today",IF(L170&lt;=AsOf+SoonDays,"Due soon","Scheduled"))))))</f>
        <v/>
      </c>
      <c r="Q170" s="50">
        <f>IF(C170="","",IF(B170="","",AsOf-B170))</f>
        <v/>
      </c>
      <c r="R170" s="49">
        <f>IF(C170="","",IF(O170&lt;&gt;"Booked","",IF(COUNTIF('CUSTOMERS'!$B$5:$B$404,C170)&gt;0,"✓ In CUSTOMERS","Add to CUSTOMERS")))</f>
        <v/>
      </c>
      <c r="S170" s="49">
        <f>IF(C170="","",IF(OR(J170="Booked",J170="Recurring Client",J170="Lost/Declined"),0,1))</f>
        <v/>
      </c>
      <c r="T170" s="51">
        <f>IF(B170="","",DATE(YEAR(B170),MONTH(B170),1))</f>
        <v/>
      </c>
      <c r="U170" s="49">
        <f>IF(OR(S170&lt;&gt;1,L170=""),"",COUNTIFS('LEADS'!$S$5:$S$504,1,'LEADS'!$L$5:$L$504,"&lt;"&amp;L170)+COUNTIFS($S$5:S170,1,$L$5:L170,L170))</f>
        <v/>
      </c>
    </row>
    <row r="171">
      <c r="A171" s="46" t="inlineStr">
        <is>
          <t>L-0167</t>
        </is>
      </c>
      <c r="B171" s="47" t="n"/>
      <c r="C171" s="38" t="n"/>
      <c r="D171" s="38" t="n"/>
      <c r="E171" s="38" t="n"/>
      <c r="F171" s="38" t="n"/>
      <c r="G171" s="38" t="n"/>
      <c r="H171" s="38" t="n"/>
      <c r="I171" s="48" t="n"/>
      <c r="J171" s="38" t="n"/>
      <c r="K171" s="47" t="n"/>
      <c r="L171" s="47" t="n"/>
      <c r="M171" s="38" t="n"/>
      <c r="N171" s="38" t="n"/>
      <c r="O171" s="49">
        <f>IF(C171="","",IF(OR(J171="Booked",J171="Recurring Client"),"Booked",IF(J171="Lost/Declined","Lost","Open")))</f>
        <v/>
      </c>
      <c r="P171" s="49">
        <f>IF(C171="","",IF(S171=0,"—",IF(L171="","Set date",IF(L171&lt;AsOf,"Overdue",IF(L171=AsOf,"Due today",IF(L171&lt;=AsOf+SoonDays,"Due soon","Scheduled"))))))</f>
        <v/>
      </c>
      <c r="Q171" s="50">
        <f>IF(C171="","",IF(B171="","",AsOf-B171))</f>
        <v/>
      </c>
      <c r="R171" s="49">
        <f>IF(C171="","",IF(O171&lt;&gt;"Booked","",IF(COUNTIF('CUSTOMERS'!$B$5:$B$404,C171)&gt;0,"✓ In CUSTOMERS","Add to CUSTOMERS")))</f>
        <v/>
      </c>
      <c r="S171" s="49">
        <f>IF(C171="","",IF(OR(J171="Booked",J171="Recurring Client",J171="Lost/Declined"),0,1))</f>
        <v/>
      </c>
      <c r="T171" s="51">
        <f>IF(B171="","",DATE(YEAR(B171),MONTH(B171),1))</f>
        <v/>
      </c>
      <c r="U171" s="49">
        <f>IF(OR(S171&lt;&gt;1,L171=""),"",COUNTIFS('LEADS'!$S$5:$S$504,1,'LEADS'!$L$5:$L$504,"&lt;"&amp;L171)+COUNTIFS($S$5:S171,1,$L$5:L171,L171))</f>
        <v/>
      </c>
    </row>
    <row r="172">
      <c r="A172" s="46" t="inlineStr">
        <is>
          <t>L-0168</t>
        </is>
      </c>
      <c r="B172" s="47" t="n"/>
      <c r="C172" s="38" t="n"/>
      <c r="D172" s="38" t="n"/>
      <c r="E172" s="38" t="n"/>
      <c r="F172" s="38" t="n"/>
      <c r="G172" s="38" t="n"/>
      <c r="H172" s="38" t="n"/>
      <c r="I172" s="48" t="n"/>
      <c r="J172" s="38" t="n"/>
      <c r="K172" s="47" t="n"/>
      <c r="L172" s="47" t="n"/>
      <c r="M172" s="38" t="n"/>
      <c r="N172" s="38" t="n"/>
      <c r="O172" s="49">
        <f>IF(C172="","",IF(OR(J172="Booked",J172="Recurring Client"),"Booked",IF(J172="Lost/Declined","Lost","Open")))</f>
        <v/>
      </c>
      <c r="P172" s="49">
        <f>IF(C172="","",IF(S172=0,"—",IF(L172="","Set date",IF(L172&lt;AsOf,"Overdue",IF(L172=AsOf,"Due today",IF(L172&lt;=AsOf+SoonDays,"Due soon","Scheduled"))))))</f>
        <v/>
      </c>
      <c r="Q172" s="50">
        <f>IF(C172="","",IF(B172="","",AsOf-B172))</f>
        <v/>
      </c>
      <c r="R172" s="49">
        <f>IF(C172="","",IF(O172&lt;&gt;"Booked","",IF(COUNTIF('CUSTOMERS'!$B$5:$B$404,C172)&gt;0,"✓ In CUSTOMERS","Add to CUSTOMERS")))</f>
        <v/>
      </c>
      <c r="S172" s="49">
        <f>IF(C172="","",IF(OR(J172="Booked",J172="Recurring Client",J172="Lost/Declined"),0,1))</f>
        <v/>
      </c>
      <c r="T172" s="51">
        <f>IF(B172="","",DATE(YEAR(B172),MONTH(B172),1))</f>
        <v/>
      </c>
      <c r="U172" s="49">
        <f>IF(OR(S172&lt;&gt;1,L172=""),"",COUNTIFS('LEADS'!$S$5:$S$504,1,'LEADS'!$L$5:$L$504,"&lt;"&amp;L172)+COUNTIFS($S$5:S172,1,$L$5:L172,L172))</f>
        <v/>
      </c>
    </row>
    <row r="173">
      <c r="A173" s="46" t="inlineStr">
        <is>
          <t>L-0169</t>
        </is>
      </c>
      <c r="B173" s="47" t="n"/>
      <c r="C173" s="38" t="n"/>
      <c r="D173" s="38" t="n"/>
      <c r="E173" s="38" t="n"/>
      <c r="F173" s="38" t="n"/>
      <c r="G173" s="38" t="n"/>
      <c r="H173" s="38" t="n"/>
      <c r="I173" s="48" t="n"/>
      <c r="J173" s="38" t="n"/>
      <c r="K173" s="47" t="n"/>
      <c r="L173" s="47" t="n"/>
      <c r="M173" s="38" t="n"/>
      <c r="N173" s="38" t="n"/>
      <c r="O173" s="49">
        <f>IF(C173="","",IF(OR(J173="Booked",J173="Recurring Client"),"Booked",IF(J173="Lost/Declined","Lost","Open")))</f>
        <v/>
      </c>
      <c r="P173" s="49">
        <f>IF(C173="","",IF(S173=0,"—",IF(L173="","Set date",IF(L173&lt;AsOf,"Overdue",IF(L173=AsOf,"Due today",IF(L173&lt;=AsOf+SoonDays,"Due soon","Scheduled"))))))</f>
        <v/>
      </c>
      <c r="Q173" s="50">
        <f>IF(C173="","",IF(B173="","",AsOf-B173))</f>
        <v/>
      </c>
      <c r="R173" s="49">
        <f>IF(C173="","",IF(O173&lt;&gt;"Booked","",IF(COUNTIF('CUSTOMERS'!$B$5:$B$404,C173)&gt;0,"✓ In CUSTOMERS","Add to CUSTOMERS")))</f>
        <v/>
      </c>
      <c r="S173" s="49">
        <f>IF(C173="","",IF(OR(J173="Booked",J173="Recurring Client",J173="Lost/Declined"),0,1))</f>
        <v/>
      </c>
      <c r="T173" s="51">
        <f>IF(B173="","",DATE(YEAR(B173),MONTH(B173),1))</f>
        <v/>
      </c>
      <c r="U173" s="49">
        <f>IF(OR(S173&lt;&gt;1,L173=""),"",COUNTIFS('LEADS'!$S$5:$S$504,1,'LEADS'!$L$5:$L$504,"&lt;"&amp;L173)+COUNTIFS($S$5:S173,1,$L$5:L173,L173))</f>
        <v/>
      </c>
    </row>
    <row r="174">
      <c r="A174" s="46" t="inlineStr">
        <is>
          <t>L-0170</t>
        </is>
      </c>
      <c r="B174" s="47" t="n"/>
      <c r="C174" s="38" t="n"/>
      <c r="D174" s="38" t="n"/>
      <c r="E174" s="38" t="n"/>
      <c r="F174" s="38" t="n"/>
      <c r="G174" s="38" t="n"/>
      <c r="H174" s="38" t="n"/>
      <c r="I174" s="48" t="n"/>
      <c r="J174" s="38" t="n"/>
      <c r="K174" s="47" t="n"/>
      <c r="L174" s="47" t="n"/>
      <c r="M174" s="38" t="n"/>
      <c r="N174" s="38" t="n"/>
      <c r="O174" s="49">
        <f>IF(C174="","",IF(OR(J174="Booked",J174="Recurring Client"),"Booked",IF(J174="Lost/Declined","Lost","Open")))</f>
        <v/>
      </c>
      <c r="P174" s="49">
        <f>IF(C174="","",IF(S174=0,"—",IF(L174="","Set date",IF(L174&lt;AsOf,"Overdue",IF(L174=AsOf,"Due today",IF(L174&lt;=AsOf+SoonDays,"Due soon","Scheduled"))))))</f>
        <v/>
      </c>
      <c r="Q174" s="50">
        <f>IF(C174="","",IF(B174="","",AsOf-B174))</f>
        <v/>
      </c>
      <c r="R174" s="49">
        <f>IF(C174="","",IF(O174&lt;&gt;"Booked","",IF(COUNTIF('CUSTOMERS'!$B$5:$B$404,C174)&gt;0,"✓ In CUSTOMERS","Add to CUSTOMERS")))</f>
        <v/>
      </c>
      <c r="S174" s="49">
        <f>IF(C174="","",IF(OR(J174="Booked",J174="Recurring Client",J174="Lost/Declined"),0,1))</f>
        <v/>
      </c>
      <c r="T174" s="51">
        <f>IF(B174="","",DATE(YEAR(B174),MONTH(B174),1))</f>
        <v/>
      </c>
      <c r="U174" s="49">
        <f>IF(OR(S174&lt;&gt;1,L174=""),"",COUNTIFS('LEADS'!$S$5:$S$504,1,'LEADS'!$L$5:$L$504,"&lt;"&amp;L174)+COUNTIFS($S$5:S174,1,$L$5:L174,L174))</f>
        <v/>
      </c>
    </row>
    <row r="175">
      <c r="A175" s="46" t="inlineStr">
        <is>
          <t>L-0171</t>
        </is>
      </c>
      <c r="B175" s="47" t="n"/>
      <c r="C175" s="38" t="n"/>
      <c r="D175" s="38" t="n"/>
      <c r="E175" s="38" t="n"/>
      <c r="F175" s="38" t="n"/>
      <c r="G175" s="38" t="n"/>
      <c r="H175" s="38" t="n"/>
      <c r="I175" s="48" t="n"/>
      <c r="J175" s="38" t="n"/>
      <c r="K175" s="47" t="n"/>
      <c r="L175" s="47" t="n"/>
      <c r="M175" s="38" t="n"/>
      <c r="N175" s="38" t="n"/>
      <c r="O175" s="49">
        <f>IF(C175="","",IF(OR(J175="Booked",J175="Recurring Client"),"Booked",IF(J175="Lost/Declined","Lost","Open")))</f>
        <v/>
      </c>
      <c r="P175" s="49">
        <f>IF(C175="","",IF(S175=0,"—",IF(L175="","Set date",IF(L175&lt;AsOf,"Overdue",IF(L175=AsOf,"Due today",IF(L175&lt;=AsOf+SoonDays,"Due soon","Scheduled"))))))</f>
        <v/>
      </c>
      <c r="Q175" s="50">
        <f>IF(C175="","",IF(B175="","",AsOf-B175))</f>
        <v/>
      </c>
      <c r="R175" s="49">
        <f>IF(C175="","",IF(O175&lt;&gt;"Booked","",IF(COUNTIF('CUSTOMERS'!$B$5:$B$404,C175)&gt;0,"✓ In CUSTOMERS","Add to CUSTOMERS")))</f>
        <v/>
      </c>
      <c r="S175" s="49">
        <f>IF(C175="","",IF(OR(J175="Booked",J175="Recurring Client",J175="Lost/Declined"),0,1))</f>
        <v/>
      </c>
      <c r="T175" s="51">
        <f>IF(B175="","",DATE(YEAR(B175),MONTH(B175),1))</f>
        <v/>
      </c>
      <c r="U175" s="49">
        <f>IF(OR(S175&lt;&gt;1,L175=""),"",COUNTIFS('LEADS'!$S$5:$S$504,1,'LEADS'!$L$5:$L$504,"&lt;"&amp;L175)+COUNTIFS($S$5:S175,1,$L$5:L175,L175))</f>
        <v/>
      </c>
    </row>
    <row r="176">
      <c r="A176" s="46" t="inlineStr">
        <is>
          <t>L-0172</t>
        </is>
      </c>
      <c r="B176" s="47" t="n"/>
      <c r="C176" s="38" t="n"/>
      <c r="D176" s="38" t="n"/>
      <c r="E176" s="38" t="n"/>
      <c r="F176" s="38" t="n"/>
      <c r="G176" s="38" t="n"/>
      <c r="H176" s="38" t="n"/>
      <c r="I176" s="48" t="n"/>
      <c r="J176" s="38" t="n"/>
      <c r="K176" s="47" t="n"/>
      <c r="L176" s="47" t="n"/>
      <c r="M176" s="38" t="n"/>
      <c r="N176" s="38" t="n"/>
      <c r="O176" s="49">
        <f>IF(C176="","",IF(OR(J176="Booked",J176="Recurring Client"),"Booked",IF(J176="Lost/Declined","Lost","Open")))</f>
        <v/>
      </c>
      <c r="P176" s="49">
        <f>IF(C176="","",IF(S176=0,"—",IF(L176="","Set date",IF(L176&lt;AsOf,"Overdue",IF(L176=AsOf,"Due today",IF(L176&lt;=AsOf+SoonDays,"Due soon","Scheduled"))))))</f>
        <v/>
      </c>
      <c r="Q176" s="50">
        <f>IF(C176="","",IF(B176="","",AsOf-B176))</f>
        <v/>
      </c>
      <c r="R176" s="49">
        <f>IF(C176="","",IF(O176&lt;&gt;"Booked","",IF(COUNTIF('CUSTOMERS'!$B$5:$B$404,C176)&gt;0,"✓ In CUSTOMERS","Add to CUSTOMERS")))</f>
        <v/>
      </c>
      <c r="S176" s="49">
        <f>IF(C176="","",IF(OR(J176="Booked",J176="Recurring Client",J176="Lost/Declined"),0,1))</f>
        <v/>
      </c>
      <c r="T176" s="51">
        <f>IF(B176="","",DATE(YEAR(B176),MONTH(B176),1))</f>
        <v/>
      </c>
      <c r="U176" s="49">
        <f>IF(OR(S176&lt;&gt;1,L176=""),"",COUNTIFS('LEADS'!$S$5:$S$504,1,'LEADS'!$L$5:$L$504,"&lt;"&amp;L176)+COUNTIFS($S$5:S176,1,$L$5:L176,L176))</f>
        <v/>
      </c>
    </row>
    <row r="177">
      <c r="A177" s="46" t="inlineStr">
        <is>
          <t>L-0173</t>
        </is>
      </c>
      <c r="B177" s="47" t="n"/>
      <c r="C177" s="38" t="n"/>
      <c r="D177" s="38" t="n"/>
      <c r="E177" s="38" t="n"/>
      <c r="F177" s="38" t="n"/>
      <c r="G177" s="38" t="n"/>
      <c r="H177" s="38" t="n"/>
      <c r="I177" s="48" t="n"/>
      <c r="J177" s="38" t="n"/>
      <c r="K177" s="47" t="n"/>
      <c r="L177" s="47" t="n"/>
      <c r="M177" s="38" t="n"/>
      <c r="N177" s="38" t="n"/>
      <c r="O177" s="49">
        <f>IF(C177="","",IF(OR(J177="Booked",J177="Recurring Client"),"Booked",IF(J177="Lost/Declined","Lost","Open")))</f>
        <v/>
      </c>
      <c r="P177" s="49">
        <f>IF(C177="","",IF(S177=0,"—",IF(L177="","Set date",IF(L177&lt;AsOf,"Overdue",IF(L177=AsOf,"Due today",IF(L177&lt;=AsOf+SoonDays,"Due soon","Scheduled"))))))</f>
        <v/>
      </c>
      <c r="Q177" s="50">
        <f>IF(C177="","",IF(B177="","",AsOf-B177))</f>
        <v/>
      </c>
      <c r="R177" s="49">
        <f>IF(C177="","",IF(O177&lt;&gt;"Booked","",IF(COUNTIF('CUSTOMERS'!$B$5:$B$404,C177)&gt;0,"✓ In CUSTOMERS","Add to CUSTOMERS")))</f>
        <v/>
      </c>
      <c r="S177" s="49">
        <f>IF(C177="","",IF(OR(J177="Booked",J177="Recurring Client",J177="Lost/Declined"),0,1))</f>
        <v/>
      </c>
      <c r="T177" s="51">
        <f>IF(B177="","",DATE(YEAR(B177),MONTH(B177),1))</f>
        <v/>
      </c>
      <c r="U177" s="49">
        <f>IF(OR(S177&lt;&gt;1,L177=""),"",COUNTIFS('LEADS'!$S$5:$S$504,1,'LEADS'!$L$5:$L$504,"&lt;"&amp;L177)+COUNTIFS($S$5:S177,1,$L$5:L177,L177))</f>
        <v/>
      </c>
    </row>
    <row r="178">
      <c r="A178" s="46" t="inlineStr">
        <is>
          <t>L-0174</t>
        </is>
      </c>
      <c r="B178" s="47" t="n"/>
      <c r="C178" s="38" t="n"/>
      <c r="D178" s="38" t="n"/>
      <c r="E178" s="38" t="n"/>
      <c r="F178" s="38" t="n"/>
      <c r="G178" s="38" t="n"/>
      <c r="H178" s="38" t="n"/>
      <c r="I178" s="48" t="n"/>
      <c r="J178" s="38" t="n"/>
      <c r="K178" s="47" t="n"/>
      <c r="L178" s="47" t="n"/>
      <c r="M178" s="38" t="n"/>
      <c r="N178" s="38" t="n"/>
      <c r="O178" s="49">
        <f>IF(C178="","",IF(OR(J178="Booked",J178="Recurring Client"),"Booked",IF(J178="Lost/Declined","Lost","Open")))</f>
        <v/>
      </c>
      <c r="P178" s="49">
        <f>IF(C178="","",IF(S178=0,"—",IF(L178="","Set date",IF(L178&lt;AsOf,"Overdue",IF(L178=AsOf,"Due today",IF(L178&lt;=AsOf+SoonDays,"Due soon","Scheduled"))))))</f>
        <v/>
      </c>
      <c r="Q178" s="50">
        <f>IF(C178="","",IF(B178="","",AsOf-B178))</f>
        <v/>
      </c>
      <c r="R178" s="49">
        <f>IF(C178="","",IF(O178&lt;&gt;"Booked","",IF(COUNTIF('CUSTOMERS'!$B$5:$B$404,C178)&gt;0,"✓ In CUSTOMERS","Add to CUSTOMERS")))</f>
        <v/>
      </c>
      <c r="S178" s="49">
        <f>IF(C178="","",IF(OR(J178="Booked",J178="Recurring Client",J178="Lost/Declined"),0,1))</f>
        <v/>
      </c>
      <c r="T178" s="51">
        <f>IF(B178="","",DATE(YEAR(B178),MONTH(B178),1))</f>
        <v/>
      </c>
      <c r="U178" s="49">
        <f>IF(OR(S178&lt;&gt;1,L178=""),"",COUNTIFS('LEADS'!$S$5:$S$504,1,'LEADS'!$L$5:$L$504,"&lt;"&amp;L178)+COUNTIFS($S$5:S178,1,$L$5:L178,L178))</f>
        <v/>
      </c>
    </row>
    <row r="179">
      <c r="A179" s="46" t="inlineStr">
        <is>
          <t>L-0175</t>
        </is>
      </c>
      <c r="B179" s="47" t="n"/>
      <c r="C179" s="38" t="n"/>
      <c r="D179" s="38" t="n"/>
      <c r="E179" s="38" t="n"/>
      <c r="F179" s="38" t="n"/>
      <c r="G179" s="38" t="n"/>
      <c r="H179" s="38" t="n"/>
      <c r="I179" s="48" t="n"/>
      <c r="J179" s="38" t="n"/>
      <c r="K179" s="47" t="n"/>
      <c r="L179" s="47" t="n"/>
      <c r="M179" s="38" t="n"/>
      <c r="N179" s="38" t="n"/>
      <c r="O179" s="49">
        <f>IF(C179="","",IF(OR(J179="Booked",J179="Recurring Client"),"Booked",IF(J179="Lost/Declined","Lost","Open")))</f>
        <v/>
      </c>
      <c r="P179" s="49">
        <f>IF(C179="","",IF(S179=0,"—",IF(L179="","Set date",IF(L179&lt;AsOf,"Overdue",IF(L179=AsOf,"Due today",IF(L179&lt;=AsOf+SoonDays,"Due soon","Scheduled"))))))</f>
        <v/>
      </c>
      <c r="Q179" s="50">
        <f>IF(C179="","",IF(B179="","",AsOf-B179))</f>
        <v/>
      </c>
      <c r="R179" s="49">
        <f>IF(C179="","",IF(O179&lt;&gt;"Booked","",IF(COUNTIF('CUSTOMERS'!$B$5:$B$404,C179)&gt;0,"✓ In CUSTOMERS","Add to CUSTOMERS")))</f>
        <v/>
      </c>
      <c r="S179" s="49">
        <f>IF(C179="","",IF(OR(J179="Booked",J179="Recurring Client",J179="Lost/Declined"),0,1))</f>
        <v/>
      </c>
      <c r="T179" s="51">
        <f>IF(B179="","",DATE(YEAR(B179),MONTH(B179),1))</f>
        <v/>
      </c>
      <c r="U179" s="49">
        <f>IF(OR(S179&lt;&gt;1,L179=""),"",COUNTIFS('LEADS'!$S$5:$S$504,1,'LEADS'!$L$5:$L$504,"&lt;"&amp;L179)+COUNTIFS($S$5:S179,1,$L$5:L179,L179))</f>
        <v/>
      </c>
    </row>
    <row r="180">
      <c r="A180" s="46" t="inlineStr">
        <is>
          <t>L-0176</t>
        </is>
      </c>
      <c r="B180" s="47" t="n"/>
      <c r="C180" s="38" t="n"/>
      <c r="D180" s="38" t="n"/>
      <c r="E180" s="38" t="n"/>
      <c r="F180" s="38" t="n"/>
      <c r="G180" s="38" t="n"/>
      <c r="H180" s="38" t="n"/>
      <c r="I180" s="48" t="n"/>
      <c r="J180" s="38" t="n"/>
      <c r="K180" s="47" t="n"/>
      <c r="L180" s="47" t="n"/>
      <c r="M180" s="38" t="n"/>
      <c r="N180" s="38" t="n"/>
      <c r="O180" s="49">
        <f>IF(C180="","",IF(OR(J180="Booked",J180="Recurring Client"),"Booked",IF(J180="Lost/Declined","Lost","Open")))</f>
        <v/>
      </c>
      <c r="P180" s="49">
        <f>IF(C180="","",IF(S180=0,"—",IF(L180="","Set date",IF(L180&lt;AsOf,"Overdue",IF(L180=AsOf,"Due today",IF(L180&lt;=AsOf+SoonDays,"Due soon","Scheduled"))))))</f>
        <v/>
      </c>
      <c r="Q180" s="50">
        <f>IF(C180="","",IF(B180="","",AsOf-B180))</f>
        <v/>
      </c>
      <c r="R180" s="49">
        <f>IF(C180="","",IF(O180&lt;&gt;"Booked","",IF(COUNTIF('CUSTOMERS'!$B$5:$B$404,C180)&gt;0,"✓ In CUSTOMERS","Add to CUSTOMERS")))</f>
        <v/>
      </c>
      <c r="S180" s="49">
        <f>IF(C180="","",IF(OR(J180="Booked",J180="Recurring Client",J180="Lost/Declined"),0,1))</f>
        <v/>
      </c>
      <c r="T180" s="51">
        <f>IF(B180="","",DATE(YEAR(B180),MONTH(B180),1))</f>
        <v/>
      </c>
      <c r="U180" s="49">
        <f>IF(OR(S180&lt;&gt;1,L180=""),"",COUNTIFS('LEADS'!$S$5:$S$504,1,'LEADS'!$L$5:$L$504,"&lt;"&amp;L180)+COUNTIFS($S$5:S180,1,$L$5:L180,L180))</f>
        <v/>
      </c>
    </row>
    <row r="181">
      <c r="A181" s="46" t="inlineStr">
        <is>
          <t>L-0177</t>
        </is>
      </c>
      <c r="B181" s="47" t="n"/>
      <c r="C181" s="38" t="n"/>
      <c r="D181" s="38" t="n"/>
      <c r="E181" s="38" t="n"/>
      <c r="F181" s="38" t="n"/>
      <c r="G181" s="38" t="n"/>
      <c r="H181" s="38" t="n"/>
      <c r="I181" s="48" t="n"/>
      <c r="J181" s="38" t="n"/>
      <c r="K181" s="47" t="n"/>
      <c r="L181" s="47" t="n"/>
      <c r="M181" s="38" t="n"/>
      <c r="N181" s="38" t="n"/>
      <c r="O181" s="49">
        <f>IF(C181="","",IF(OR(J181="Booked",J181="Recurring Client"),"Booked",IF(J181="Lost/Declined","Lost","Open")))</f>
        <v/>
      </c>
      <c r="P181" s="49">
        <f>IF(C181="","",IF(S181=0,"—",IF(L181="","Set date",IF(L181&lt;AsOf,"Overdue",IF(L181=AsOf,"Due today",IF(L181&lt;=AsOf+SoonDays,"Due soon","Scheduled"))))))</f>
        <v/>
      </c>
      <c r="Q181" s="50">
        <f>IF(C181="","",IF(B181="","",AsOf-B181))</f>
        <v/>
      </c>
      <c r="R181" s="49">
        <f>IF(C181="","",IF(O181&lt;&gt;"Booked","",IF(COUNTIF('CUSTOMERS'!$B$5:$B$404,C181)&gt;0,"✓ In CUSTOMERS","Add to CUSTOMERS")))</f>
        <v/>
      </c>
      <c r="S181" s="49">
        <f>IF(C181="","",IF(OR(J181="Booked",J181="Recurring Client",J181="Lost/Declined"),0,1))</f>
        <v/>
      </c>
      <c r="T181" s="51">
        <f>IF(B181="","",DATE(YEAR(B181),MONTH(B181),1))</f>
        <v/>
      </c>
      <c r="U181" s="49">
        <f>IF(OR(S181&lt;&gt;1,L181=""),"",COUNTIFS('LEADS'!$S$5:$S$504,1,'LEADS'!$L$5:$L$504,"&lt;"&amp;L181)+COUNTIFS($S$5:S181,1,$L$5:L181,L181))</f>
        <v/>
      </c>
    </row>
    <row r="182">
      <c r="A182" s="46" t="inlineStr">
        <is>
          <t>L-0178</t>
        </is>
      </c>
      <c r="B182" s="47" t="n"/>
      <c r="C182" s="38" t="n"/>
      <c r="D182" s="38" t="n"/>
      <c r="E182" s="38" t="n"/>
      <c r="F182" s="38" t="n"/>
      <c r="G182" s="38" t="n"/>
      <c r="H182" s="38" t="n"/>
      <c r="I182" s="48" t="n"/>
      <c r="J182" s="38" t="n"/>
      <c r="K182" s="47" t="n"/>
      <c r="L182" s="47" t="n"/>
      <c r="M182" s="38" t="n"/>
      <c r="N182" s="38" t="n"/>
      <c r="O182" s="49">
        <f>IF(C182="","",IF(OR(J182="Booked",J182="Recurring Client"),"Booked",IF(J182="Lost/Declined","Lost","Open")))</f>
        <v/>
      </c>
      <c r="P182" s="49">
        <f>IF(C182="","",IF(S182=0,"—",IF(L182="","Set date",IF(L182&lt;AsOf,"Overdue",IF(L182=AsOf,"Due today",IF(L182&lt;=AsOf+SoonDays,"Due soon","Scheduled"))))))</f>
        <v/>
      </c>
      <c r="Q182" s="50">
        <f>IF(C182="","",IF(B182="","",AsOf-B182))</f>
        <v/>
      </c>
      <c r="R182" s="49">
        <f>IF(C182="","",IF(O182&lt;&gt;"Booked","",IF(COUNTIF('CUSTOMERS'!$B$5:$B$404,C182)&gt;0,"✓ In CUSTOMERS","Add to CUSTOMERS")))</f>
        <v/>
      </c>
      <c r="S182" s="49">
        <f>IF(C182="","",IF(OR(J182="Booked",J182="Recurring Client",J182="Lost/Declined"),0,1))</f>
        <v/>
      </c>
      <c r="T182" s="51">
        <f>IF(B182="","",DATE(YEAR(B182),MONTH(B182),1))</f>
        <v/>
      </c>
      <c r="U182" s="49">
        <f>IF(OR(S182&lt;&gt;1,L182=""),"",COUNTIFS('LEADS'!$S$5:$S$504,1,'LEADS'!$L$5:$L$504,"&lt;"&amp;L182)+COUNTIFS($S$5:S182,1,$L$5:L182,L182))</f>
        <v/>
      </c>
    </row>
    <row r="183">
      <c r="A183" s="46" t="inlineStr">
        <is>
          <t>L-0179</t>
        </is>
      </c>
      <c r="B183" s="47" t="n"/>
      <c r="C183" s="38" t="n"/>
      <c r="D183" s="38" t="n"/>
      <c r="E183" s="38" t="n"/>
      <c r="F183" s="38" t="n"/>
      <c r="G183" s="38" t="n"/>
      <c r="H183" s="38" t="n"/>
      <c r="I183" s="48" t="n"/>
      <c r="J183" s="38" t="n"/>
      <c r="K183" s="47" t="n"/>
      <c r="L183" s="47" t="n"/>
      <c r="M183" s="38" t="n"/>
      <c r="N183" s="38" t="n"/>
      <c r="O183" s="49">
        <f>IF(C183="","",IF(OR(J183="Booked",J183="Recurring Client"),"Booked",IF(J183="Lost/Declined","Lost","Open")))</f>
        <v/>
      </c>
      <c r="P183" s="49">
        <f>IF(C183="","",IF(S183=0,"—",IF(L183="","Set date",IF(L183&lt;AsOf,"Overdue",IF(L183=AsOf,"Due today",IF(L183&lt;=AsOf+SoonDays,"Due soon","Scheduled"))))))</f>
        <v/>
      </c>
      <c r="Q183" s="50">
        <f>IF(C183="","",IF(B183="","",AsOf-B183))</f>
        <v/>
      </c>
      <c r="R183" s="49">
        <f>IF(C183="","",IF(O183&lt;&gt;"Booked","",IF(COUNTIF('CUSTOMERS'!$B$5:$B$404,C183)&gt;0,"✓ In CUSTOMERS","Add to CUSTOMERS")))</f>
        <v/>
      </c>
      <c r="S183" s="49">
        <f>IF(C183="","",IF(OR(J183="Booked",J183="Recurring Client",J183="Lost/Declined"),0,1))</f>
        <v/>
      </c>
      <c r="T183" s="51">
        <f>IF(B183="","",DATE(YEAR(B183),MONTH(B183),1))</f>
        <v/>
      </c>
      <c r="U183" s="49">
        <f>IF(OR(S183&lt;&gt;1,L183=""),"",COUNTIFS('LEADS'!$S$5:$S$504,1,'LEADS'!$L$5:$L$504,"&lt;"&amp;L183)+COUNTIFS($S$5:S183,1,$L$5:L183,L183))</f>
        <v/>
      </c>
    </row>
    <row r="184">
      <c r="A184" s="46" t="inlineStr">
        <is>
          <t>L-0180</t>
        </is>
      </c>
      <c r="B184" s="47" t="n"/>
      <c r="C184" s="38" t="n"/>
      <c r="D184" s="38" t="n"/>
      <c r="E184" s="38" t="n"/>
      <c r="F184" s="38" t="n"/>
      <c r="G184" s="38" t="n"/>
      <c r="H184" s="38" t="n"/>
      <c r="I184" s="48" t="n"/>
      <c r="J184" s="38" t="n"/>
      <c r="K184" s="47" t="n"/>
      <c r="L184" s="47" t="n"/>
      <c r="M184" s="38" t="n"/>
      <c r="N184" s="38" t="n"/>
      <c r="O184" s="49">
        <f>IF(C184="","",IF(OR(J184="Booked",J184="Recurring Client"),"Booked",IF(J184="Lost/Declined","Lost","Open")))</f>
        <v/>
      </c>
      <c r="P184" s="49">
        <f>IF(C184="","",IF(S184=0,"—",IF(L184="","Set date",IF(L184&lt;AsOf,"Overdue",IF(L184=AsOf,"Due today",IF(L184&lt;=AsOf+SoonDays,"Due soon","Scheduled"))))))</f>
        <v/>
      </c>
      <c r="Q184" s="50">
        <f>IF(C184="","",IF(B184="","",AsOf-B184))</f>
        <v/>
      </c>
      <c r="R184" s="49">
        <f>IF(C184="","",IF(O184&lt;&gt;"Booked","",IF(COUNTIF('CUSTOMERS'!$B$5:$B$404,C184)&gt;0,"✓ In CUSTOMERS","Add to CUSTOMERS")))</f>
        <v/>
      </c>
      <c r="S184" s="49">
        <f>IF(C184="","",IF(OR(J184="Booked",J184="Recurring Client",J184="Lost/Declined"),0,1))</f>
        <v/>
      </c>
      <c r="T184" s="51">
        <f>IF(B184="","",DATE(YEAR(B184),MONTH(B184),1))</f>
        <v/>
      </c>
      <c r="U184" s="49">
        <f>IF(OR(S184&lt;&gt;1,L184=""),"",COUNTIFS('LEADS'!$S$5:$S$504,1,'LEADS'!$L$5:$L$504,"&lt;"&amp;L184)+COUNTIFS($S$5:S184,1,$L$5:L184,L184))</f>
        <v/>
      </c>
    </row>
    <row r="185">
      <c r="A185" s="46" t="inlineStr">
        <is>
          <t>L-0181</t>
        </is>
      </c>
      <c r="B185" s="47" t="n"/>
      <c r="C185" s="38" t="n"/>
      <c r="D185" s="38" t="n"/>
      <c r="E185" s="38" t="n"/>
      <c r="F185" s="38" t="n"/>
      <c r="G185" s="38" t="n"/>
      <c r="H185" s="38" t="n"/>
      <c r="I185" s="48" t="n"/>
      <c r="J185" s="38" t="n"/>
      <c r="K185" s="47" t="n"/>
      <c r="L185" s="47" t="n"/>
      <c r="M185" s="38" t="n"/>
      <c r="N185" s="38" t="n"/>
      <c r="O185" s="49">
        <f>IF(C185="","",IF(OR(J185="Booked",J185="Recurring Client"),"Booked",IF(J185="Lost/Declined","Lost","Open")))</f>
        <v/>
      </c>
      <c r="P185" s="49">
        <f>IF(C185="","",IF(S185=0,"—",IF(L185="","Set date",IF(L185&lt;AsOf,"Overdue",IF(L185=AsOf,"Due today",IF(L185&lt;=AsOf+SoonDays,"Due soon","Scheduled"))))))</f>
        <v/>
      </c>
      <c r="Q185" s="50">
        <f>IF(C185="","",IF(B185="","",AsOf-B185))</f>
        <v/>
      </c>
      <c r="R185" s="49">
        <f>IF(C185="","",IF(O185&lt;&gt;"Booked","",IF(COUNTIF('CUSTOMERS'!$B$5:$B$404,C185)&gt;0,"✓ In CUSTOMERS","Add to CUSTOMERS")))</f>
        <v/>
      </c>
      <c r="S185" s="49">
        <f>IF(C185="","",IF(OR(J185="Booked",J185="Recurring Client",J185="Lost/Declined"),0,1))</f>
        <v/>
      </c>
      <c r="T185" s="51">
        <f>IF(B185="","",DATE(YEAR(B185),MONTH(B185),1))</f>
        <v/>
      </c>
      <c r="U185" s="49">
        <f>IF(OR(S185&lt;&gt;1,L185=""),"",COUNTIFS('LEADS'!$S$5:$S$504,1,'LEADS'!$L$5:$L$504,"&lt;"&amp;L185)+COUNTIFS($S$5:S185,1,$L$5:L185,L185))</f>
        <v/>
      </c>
    </row>
    <row r="186">
      <c r="A186" s="46" t="inlineStr">
        <is>
          <t>L-0182</t>
        </is>
      </c>
      <c r="B186" s="47" t="n"/>
      <c r="C186" s="38" t="n"/>
      <c r="D186" s="38" t="n"/>
      <c r="E186" s="38" t="n"/>
      <c r="F186" s="38" t="n"/>
      <c r="G186" s="38" t="n"/>
      <c r="H186" s="38" t="n"/>
      <c r="I186" s="48" t="n"/>
      <c r="J186" s="38" t="n"/>
      <c r="K186" s="47" t="n"/>
      <c r="L186" s="47" t="n"/>
      <c r="M186" s="38" t="n"/>
      <c r="N186" s="38" t="n"/>
      <c r="O186" s="49">
        <f>IF(C186="","",IF(OR(J186="Booked",J186="Recurring Client"),"Booked",IF(J186="Lost/Declined","Lost","Open")))</f>
        <v/>
      </c>
      <c r="P186" s="49">
        <f>IF(C186="","",IF(S186=0,"—",IF(L186="","Set date",IF(L186&lt;AsOf,"Overdue",IF(L186=AsOf,"Due today",IF(L186&lt;=AsOf+SoonDays,"Due soon","Scheduled"))))))</f>
        <v/>
      </c>
      <c r="Q186" s="50">
        <f>IF(C186="","",IF(B186="","",AsOf-B186))</f>
        <v/>
      </c>
      <c r="R186" s="49">
        <f>IF(C186="","",IF(O186&lt;&gt;"Booked","",IF(COUNTIF('CUSTOMERS'!$B$5:$B$404,C186)&gt;0,"✓ In CUSTOMERS","Add to CUSTOMERS")))</f>
        <v/>
      </c>
      <c r="S186" s="49">
        <f>IF(C186="","",IF(OR(J186="Booked",J186="Recurring Client",J186="Lost/Declined"),0,1))</f>
        <v/>
      </c>
      <c r="T186" s="51">
        <f>IF(B186="","",DATE(YEAR(B186),MONTH(B186),1))</f>
        <v/>
      </c>
      <c r="U186" s="49">
        <f>IF(OR(S186&lt;&gt;1,L186=""),"",COUNTIFS('LEADS'!$S$5:$S$504,1,'LEADS'!$L$5:$L$504,"&lt;"&amp;L186)+COUNTIFS($S$5:S186,1,$L$5:L186,L186))</f>
        <v/>
      </c>
    </row>
    <row r="187">
      <c r="A187" s="46" t="inlineStr">
        <is>
          <t>L-0183</t>
        </is>
      </c>
      <c r="B187" s="47" t="n"/>
      <c r="C187" s="38" t="n"/>
      <c r="D187" s="38" t="n"/>
      <c r="E187" s="38" t="n"/>
      <c r="F187" s="38" t="n"/>
      <c r="G187" s="38" t="n"/>
      <c r="H187" s="38" t="n"/>
      <c r="I187" s="48" t="n"/>
      <c r="J187" s="38" t="n"/>
      <c r="K187" s="47" t="n"/>
      <c r="L187" s="47" t="n"/>
      <c r="M187" s="38" t="n"/>
      <c r="N187" s="38" t="n"/>
      <c r="O187" s="49">
        <f>IF(C187="","",IF(OR(J187="Booked",J187="Recurring Client"),"Booked",IF(J187="Lost/Declined","Lost","Open")))</f>
        <v/>
      </c>
      <c r="P187" s="49">
        <f>IF(C187="","",IF(S187=0,"—",IF(L187="","Set date",IF(L187&lt;AsOf,"Overdue",IF(L187=AsOf,"Due today",IF(L187&lt;=AsOf+SoonDays,"Due soon","Scheduled"))))))</f>
        <v/>
      </c>
      <c r="Q187" s="50">
        <f>IF(C187="","",IF(B187="","",AsOf-B187))</f>
        <v/>
      </c>
      <c r="R187" s="49">
        <f>IF(C187="","",IF(O187&lt;&gt;"Booked","",IF(COUNTIF('CUSTOMERS'!$B$5:$B$404,C187)&gt;0,"✓ In CUSTOMERS","Add to CUSTOMERS")))</f>
        <v/>
      </c>
      <c r="S187" s="49">
        <f>IF(C187="","",IF(OR(J187="Booked",J187="Recurring Client",J187="Lost/Declined"),0,1))</f>
        <v/>
      </c>
      <c r="T187" s="51">
        <f>IF(B187="","",DATE(YEAR(B187),MONTH(B187),1))</f>
        <v/>
      </c>
      <c r="U187" s="49">
        <f>IF(OR(S187&lt;&gt;1,L187=""),"",COUNTIFS('LEADS'!$S$5:$S$504,1,'LEADS'!$L$5:$L$504,"&lt;"&amp;L187)+COUNTIFS($S$5:S187,1,$L$5:L187,L187))</f>
        <v/>
      </c>
    </row>
    <row r="188">
      <c r="A188" s="46" t="inlineStr">
        <is>
          <t>L-0184</t>
        </is>
      </c>
      <c r="B188" s="47" t="n"/>
      <c r="C188" s="38" t="n"/>
      <c r="D188" s="38" t="n"/>
      <c r="E188" s="38" t="n"/>
      <c r="F188" s="38" t="n"/>
      <c r="G188" s="38" t="n"/>
      <c r="H188" s="38" t="n"/>
      <c r="I188" s="48" t="n"/>
      <c r="J188" s="38" t="n"/>
      <c r="K188" s="47" t="n"/>
      <c r="L188" s="47" t="n"/>
      <c r="M188" s="38" t="n"/>
      <c r="N188" s="38" t="n"/>
      <c r="O188" s="49">
        <f>IF(C188="","",IF(OR(J188="Booked",J188="Recurring Client"),"Booked",IF(J188="Lost/Declined","Lost","Open")))</f>
        <v/>
      </c>
      <c r="P188" s="49">
        <f>IF(C188="","",IF(S188=0,"—",IF(L188="","Set date",IF(L188&lt;AsOf,"Overdue",IF(L188=AsOf,"Due today",IF(L188&lt;=AsOf+SoonDays,"Due soon","Scheduled"))))))</f>
        <v/>
      </c>
      <c r="Q188" s="50">
        <f>IF(C188="","",IF(B188="","",AsOf-B188))</f>
        <v/>
      </c>
      <c r="R188" s="49">
        <f>IF(C188="","",IF(O188&lt;&gt;"Booked","",IF(COUNTIF('CUSTOMERS'!$B$5:$B$404,C188)&gt;0,"✓ In CUSTOMERS","Add to CUSTOMERS")))</f>
        <v/>
      </c>
      <c r="S188" s="49">
        <f>IF(C188="","",IF(OR(J188="Booked",J188="Recurring Client",J188="Lost/Declined"),0,1))</f>
        <v/>
      </c>
      <c r="T188" s="51">
        <f>IF(B188="","",DATE(YEAR(B188),MONTH(B188),1))</f>
        <v/>
      </c>
      <c r="U188" s="49">
        <f>IF(OR(S188&lt;&gt;1,L188=""),"",COUNTIFS('LEADS'!$S$5:$S$504,1,'LEADS'!$L$5:$L$504,"&lt;"&amp;L188)+COUNTIFS($S$5:S188,1,$L$5:L188,L188))</f>
        <v/>
      </c>
    </row>
    <row r="189">
      <c r="A189" s="46" t="inlineStr">
        <is>
          <t>L-0185</t>
        </is>
      </c>
      <c r="B189" s="47" t="n"/>
      <c r="C189" s="38" t="n"/>
      <c r="D189" s="38" t="n"/>
      <c r="E189" s="38" t="n"/>
      <c r="F189" s="38" t="n"/>
      <c r="G189" s="38" t="n"/>
      <c r="H189" s="38" t="n"/>
      <c r="I189" s="48" t="n"/>
      <c r="J189" s="38" t="n"/>
      <c r="K189" s="47" t="n"/>
      <c r="L189" s="47" t="n"/>
      <c r="M189" s="38" t="n"/>
      <c r="N189" s="38" t="n"/>
      <c r="O189" s="49">
        <f>IF(C189="","",IF(OR(J189="Booked",J189="Recurring Client"),"Booked",IF(J189="Lost/Declined","Lost","Open")))</f>
        <v/>
      </c>
      <c r="P189" s="49">
        <f>IF(C189="","",IF(S189=0,"—",IF(L189="","Set date",IF(L189&lt;AsOf,"Overdue",IF(L189=AsOf,"Due today",IF(L189&lt;=AsOf+SoonDays,"Due soon","Scheduled"))))))</f>
        <v/>
      </c>
      <c r="Q189" s="50">
        <f>IF(C189="","",IF(B189="","",AsOf-B189))</f>
        <v/>
      </c>
      <c r="R189" s="49">
        <f>IF(C189="","",IF(O189&lt;&gt;"Booked","",IF(COUNTIF('CUSTOMERS'!$B$5:$B$404,C189)&gt;0,"✓ In CUSTOMERS","Add to CUSTOMERS")))</f>
        <v/>
      </c>
      <c r="S189" s="49">
        <f>IF(C189="","",IF(OR(J189="Booked",J189="Recurring Client",J189="Lost/Declined"),0,1))</f>
        <v/>
      </c>
      <c r="T189" s="51">
        <f>IF(B189="","",DATE(YEAR(B189),MONTH(B189),1))</f>
        <v/>
      </c>
      <c r="U189" s="49">
        <f>IF(OR(S189&lt;&gt;1,L189=""),"",COUNTIFS('LEADS'!$S$5:$S$504,1,'LEADS'!$L$5:$L$504,"&lt;"&amp;L189)+COUNTIFS($S$5:S189,1,$L$5:L189,L189))</f>
        <v/>
      </c>
    </row>
    <row r="190">
      <c r="A190" s="46" t="inlineStr">
        <is>
          <t>L-0186</t>
        </is>
      </c>
      <c r="B190" s="47" t="n"/>
      <c r="C190" s="38" t="n"/>
      <c r="D190" s="38" t="n"/>
      <c r="E190" s="38" t="n"/>
      <c r="F190" s="38" t="n"/>
      <c r="G190" s="38" t="n"/>
      <c r="H190" s="38" t="n"/>
      <c r="I190" s="48" t="n"/>
      <c r="J190" s="38" t="n"/>
      <c r="K190" s="47" t="n"/>
      <c r="L190" s="47" t="n"/>
      <c r="M190" s="38" t="n"/>
      <c r="N190" s="38" t="n"/>
      <c r="O190" s="49">
        <f>IF(C190="","",IF(OR(J190="Booked",J190="Recurring Client"),"Booked",IF(J190="Lost/Declined","Lost","Open")))</f>
        <v/>
      </c>
      <c r="P190" s="49">
        <f>IF(C190="","",IF(S190=0,"—",IF(L190="","Set date",IF(L190&lt;AsOf,"Overdue",IF(L190=AsOf,"Due today",IF(L190&lt;=AsOf+SoonDays,"Due soon","Scheduled"))))))</f>
        <v/>
      </c>
      <c r="Q190" s="50">
        <f>IF(C190="","",IF(B190="","",AsOf-B190))</f>
        <v/>
      </c>
      <c r="R190" s="49">
        <f>IF(C190="","",IF(O190&lt;&gt;"Booked","",IF(COUNTIF('CUSTOMERS'!$B$5:$B$404,C190)&gt;0,"✓ In CUSTOMERS","Add to CUSTOMERS")))</f>
        <v/>
      </c>
      <c r="S190" s="49">
        <f>IF(C190="","",IF(OR(J190="Booked",J190="Recurring Client",J190="Lost/Declined"),0,1))</f>
        <v/>
      </c>
      <c r="T190" s="51">
        <f>IF(B190="","",DATE(YEAR(B190),MONTH(B190),1))</f>
        <v/>
      </c>
      <c r="U190" s="49">
        <f>IF(OR(S190&lt;&gt;1,L190=""),"",COUNTIFS('LEADS'!$S$5:$S$504,1,'LEADS'!$L$5:$L$504,"&lt;"&amp;L190)+COUNTIFS($S$5:S190,1,$L$5:L190,L190))</f>
        <v/>
      </c>
    </row>
    <row r="191">
      <c r="A191" s="46" t="inlineStr">
        <is>
          <t>L-0187</t>
        </is>
      </c>
      <c r="B191" s="47" t="n"/>
      <c r="C191" s="38" t="n"/>
      <c r="D191" s="38" t="n"/>
      <c r="E191" s="38" t="n"/>
      <c r="F191" s="38" t="n"/>
      <c r="G191" s="38" t="n"/>
      <c r="H191" s="38" t="n"/>
      <c r="I191" s="48" t="n"/>
      <c r="J191" s="38" t="n"/>
      <c r="K191" s="47" t="n"/>
      <c r="L191" s="47" t="n"/>
      <c r="M191" s="38" t="n"/>
      <c r="N191" s="38" t="n"/>
      <c r="O191" s="49">
        <f>IF(C191="","",IF(OR(J191="Booked",J191="Recurring Client"),"Booked",IF(J191="Lost/Declined","Lost","Open")))</f>
        <v/>
      </c>
      <c r="P191" s="49">
        <f>IF(C191="","",IF(S191=0,"—",IF(L191="","Set date",IF(L191&lt;AsOf,"Overdue",IF(L191=AsOf,"Due today",IF(L191&lt;=AsOf+SoonDays,"Due soon","Scheduled"))))))</f>
        <v/>
      </c>
      <c r="Q191" s="50">
        <f>IF(C191="","",IF(B191="","",AsOf-B191))</f>
        <v/>
      </c>
      <c r="R191" s="49">
        <f>IF(C191="","",IF(O191&lt;&gt;"Booked","",IF(COUNTIF('CUSTOMERS'!$B$5:$B$404,C191)&gt;0,"✓ In CUSTOMERS","Add to CUSTOMERS")))</f>
        <v/>
      </c>
      <c r="S191" s="49">
        <f>IF(C191="","",IF(OR(J191="Booked",J191="Recurring Client",J191="Lost/Declined"),0,1))</f>
        <v/>
      </c>
      <c r="T191" s="51">
        <f>IF(B191="","",DATE(YEAR(B191),MONTH(B191),1))</f>
        <v/>
      </c>
      <c r="U191" s="49">
        <f>IF(OR(S191&lt;&gt;1,L191=""),"",COUNTIFS('LEADS'!$S$5:$S$504,1,'LEADS'!$L$5:$L$504,"&lt;"&amp;L191)+COUNTIFS($S$5:S191,1,$L$5:L191,L191))</f>
        <v/>
      </c>
    </row>
    <row r="192">
      <c r="A192" s="46" t="inlineStr">
        <is>
          <t>L-0188</t>
        </is>
      </c>
      <c r="B192" s="47" t="n"/>
      <c r="C192" s="38" t="n"/>
      <c r="D192" s="38" t="n"/>
      <c r="E192" s="38" t="n"/>
      <c r="F192" s="38" t="n"/>
      <c r="G192" s="38" t="n"/>
      <c r="H192" s="38" t="n"/>
      <c r="I192" s="48" t="n"/>
      <c r="J192" s="38" t="n"/>
      <c r="K192" s="47" t="n"/>
      <c r="L192" s="47" t="n"/>
      <c r="M192" s="38" t="n"/>
      <c r="N192" s="38" t="n"/>
      <c r="O192" s="49">
        <f>IF(C192="","",IF(OR(J192="Booked",J192="Recurring Client"),"Booked",IF(J192="Lost/Declined","Lost","Open")))</f>
        <v/>
      </c>
      <c r="P192" s="49">
        <f>IF(C192="","",IF(S192=0,"—",IF(L192="","Set date",IF(L192&lt;AsOf,"Overdue",IF(L192=AsOf,"Due today",IF(L192&lt;=AsOf+SoonDays,"Due soon","Scheduled"))))))</f>
        <v/>
      </c>
      <c r="Q192" s="50">
        <f>IF(C192="","",IF(B192="","",AsOf-B192))</f>
        <v/>
      </c>
      <c r="R192" s="49">
        <f>IF(C192="","",IF(O192&lt;&gt;"Booked","",IF(COUNTIF('CUSTOMERS'!$B$5:$B$404,C192)&gt;0,"✓ In CUSTOMERS","Add to CUSTOMERS")))</f>
        <v/>
      </c>
      <c r="S192" s="49">
        <f>IF(C192="","",IF(OR(J192="Booked",J192="Recurring Client",J192="Lost/Declined"),0,1))</f>
        <v/>
      </c>
      <c r="T192" s="51">
        <f>IF(B192="","",DATE(YEAR(B192),MONTH(B192),1))</f>
        <v/>
      </c>
      <c r="U192" s="49">
        <f>IF(OR(S192&lt;&gt;1,L192=""),"",COUNTIFS('LEADS'!$S$5:$S$504,1,'LEADS'!$L$5:$L$504,"&lt;"&amp;L192)+COUNTIFS($S$5:S192,1,$L$5:L192,L192))</f>
        <v/>
      </c>
    </row>
    <row r="193">
      <c r="A193" s="46" t="inlineStr">
        <is>
          <t>L-0189</t>
        </is>
      </c>
      <c r="B193" s="47" t="n"/>
      <c r="C193" s="38" t="n"/>
      <c r="D193" s="38" t="n"/>
      <c r="E193" s="38" t="n"/>
      <c r="F193" s="38" t="n"/>
      <c r="G193" s="38" t="n"/>
      <c r="H193" s="38" t="n"/>
      <c r="I193" s="48" t="n"/>
      <c r="J193" s="38" t="n"/>
      <c r="K193" s="47" t="n"/>
      <c r="L193" s="47" t="n"/>
      <c r="M193" s="38" t="n"/>
      <c r="N193" s="38" t="n"/>
      <c r="O193" s="49">
        <f>IF(C193="","",IF(OR(J193="Booked",J193="Recurring Client"),"Booked",IF(J193="Lost/Declined","Lost","Open")))</f>
        <v/>
      </c>
      <c r="P193" s="49">
        <f>IF(C193="","",IF(S193=0,"—",IF(L193="","Set date",IF(L193&lt;AsOf,"Overdue",IF(L193=AsOf,"Due today",IF(L193&lt;=AsOf+SoonDays,"Due soon","Scheduled"))))))</f>
        <v/>
      </c>
      <c r="Q193" s="50">
        <f>IF(C193="","",IF(B193="","",AsOf-B193))</f>
        <v/>
      </c>
      <c r="R193" s="49">
        <f>IF(C193="","",IF(O193&lt;&gt;"Booked","",IF(COUNTIF('CUSTOMERS'!$B$5:$B$404,C193)&gt;0,"✓ In CUSTOMERS","Add to CUSTOMERS")))</f>
        <v/>
      </c>
      <c r="S193" s="49">
        <f>IF(C193="","",IF(OR(J193="Booked",J193="Recurring Client",J193="Lost/Declined"),0,1))</f>
        <v/>
      </c>
      <c r="T193" s="51">
        <f>IF(B193="","",DATE(YEAR(B193),MONTH(B193),1))</f>
        <v/>
      </c>
      <c r="U193" s="49">
        <f>IF(OR(S193&lt;&gt;1,L193=""),"",COUNTIFS('LEADS'!$S$5:$S$504,1,'LEADS'!$L$5:$L$504,"&lt;"&amp;L193)+COUNTIFS($S$5:S193,1,$L$5:L193,L193))</f>
        <v/>
      </c>
    </row>
    <row r="194">
      <c r="A194" s="46" t="inlineStr">
        <is>
          <t>L-0190</t>
        </is>
      </c>
      <c r="B194" s="47" t="n"/>
      <c r="C194" s="38" t="n"/>
      <c r="D194" s="38" t="n"/>
      <c r="E194" s="38" t="n"/>
      <c r="F194" s="38" t="n"/>
      <c r="G194" s="38" t="n"/>
      <c r="H194" s="38" t="n"/>
      <c r="I194" s="48" t="n"/>
      <c r="J194" s="38" t="n"/>
      <c r="K194" s="47" t="n"/>
      <c r="L194" s="47" t="n"/>
      <c r="M194" s="38" t="n"/>
      <c r="N194" s="38" t="n"/>
      <c r="O194" s="49">
        <f>IF(C194="","",IF(OR(J194="Booked",J194="Recurring Client"),"Booked",IF(J194="Lost/Declined","Lost","Open")))</f>
        <v/>
      </c>
      <c r="P194" s="49">
        <f>IF(C194="","",IF(S194=0,"—",IF(L194="","Set date",IF(L194&lt;AsOf,"Overdue",IF(L194=AsOf,"Due today",IF(L194&lt;=AsOf+SoonDays,"Due soon","Scheduled"))))))</f>
        <v/>
      </c>
      <c r="Q194" s="50">
        <f>IF(C194="","",IF(B194="","",AsOf-B194))</f>
        <v/>
      </c>
      <c r="R194" s="49">
        <f>IF(C194="","",IF(O194&lt;&gt;"Booked","",IF(COUNTIF('CUSTOMERS'!$B$5:$B$404,C194)&gt;0,"✓ In CUSTOMERS","Add to CUSTOMERS")))</f>
        <v/>
      </c>
      <c r="S194" s="49">
        <f>IF(C194="","",IF(OR(J194="Booked",J194="Recurring Client",J194="Lost/Declined"),0,1))</f>
        <v/>
      </c>
      <c r="T194" s="51">
        <f>IF(B194="","",DATE(YEAR(B194),MONTH(B194),1))</f>
        <v/>
      </c>
      <c r="U194" s="49">
        <f>IF(OR(S194&lt;&gt;1,L194=""),"",COUNTIFS('LEADS'!$S$5:$S$504,1,'LEADS'!$L$5:$L$504,"&lt;"&amp;L194)+COUNTIFS($S$5:S194,1,$L$5:L194,L194))</f>
        <v/>
      </c>
    </row>
    <row r="195">
      <c r="A195" s="46" t="inlineStr">
        <is>
          <t>L-0191</t>
        </is>
      </c>
      <c r="B195" s="47" t="n"/>
      <c r="C195" s="38" t="n"/>
      <c r="D195" s="38" t="n"/>
      <c r="E195" s="38" t="n"/>
      <c r="F195" s="38" t="n"/>
      <c r="G195" s="38" t="n"/>
      <c r="H195" s="38" t="n"/>
      <c r="I195" s="48" t="n"/>
      <c r="J195" s="38" t="n"/>
      <c r="K195" s="47" t="n"/>
      <c r="L195" s="47" t="n"/>
      <c r="M195" s="38" t="n"/>
      <c r="N195" s="38" t="n"/>
      <c r="O195" s="49">
        <f>IF(C195="","",IF(OR(J195="Booked",J195="Recurring Client"),"Booked",IF(J195="Lost/Declined","Lost","Open")))</f>
        <v/>
      </c>
      <c r="P195" s="49">
        <f>IF(C195="","",IF(S195=0,"—",IF(L195="","Set date",IF(L195&lt;AsOf,"Overdue",IF(L195=AsOf,"Due today",IF(L195&lt;=AsOf+SoonDays,"Due soon","Scheduled"))))))</f>
        <v/>
      </c>
      <c r="Q195" s="50">
        <f>IF(C195="","",IF(B195="","",AsOf-B195))</f>
        <v/>
      </c>
      <c r="R195" s="49">
        <f>IF(C195="","",IF(O195&lt;&gt;"Booked","",IF(COUNTIF('CUSTOMERS'!$B$5:$B$404,C195)&gt;0,"✓ In CUSTOMERS","Add to CUSTOMERS")))</f>
        <v/>
      </c>
      <c r="S195" s="49">
        <f>IF(C195="","",IF(OR(J195="Booked",J195="Recurring Client",J195="Lost/Declined"),0,1))</f>
        <v/>
      </c>
      <c r="T195" s="51">
        <f>IF(B195="","",DATE(YEAR(B195),MONTH(B195),1))</f>
        <v/>
      </c>
      <c r="U195" s="49">
        <f>IF(OR(S195&lt;&gt;1,L195=""),"",COUNTIFS('LEADS'!$S$5:$S$504,1,'LEADS'!$L$5:$L$504,"&lt;"&amp;L195)+COUNTIFS($S$5:S195,1,$L$5:L195,L195))</f>
        <v/>
      </c>
    </row>
    <row r="196">
      <c r="A196" s="46" t="inlineStr">
        <is>
          <t>L-0192</t>
        </is>
      </c>
      <c r="B196" s="47" t="n"/>
      <c r="C196" s="38" t="n"/>
      <c r="D196" s="38" t="n"/>
      <c r="E196" s="38" t="n"/>
      <c r="F196" s="38" t="n"/>
      <c r="G196" s="38" t="n"/>
      <c r="H196" s="38" t="n"/>
      <c r="I196" s="48" t="n"/>
      <c r="J196" s="38" t="n"/>
      <c r="K196" s="47" t="n"/>
      <c r="L196" s="47" t="n"/>
      <c r="M196" s="38" t="n"/>
      <c r="N196" s="38" t="n"/>
      <c r="O196" s="49">
        <f>IF(C196="","",IF(OR(J196="Booked",J196="Recurring Client"),"Booked",IF(J196="Lost/Declined","Lost","Open")))</f>
        <v/>
      </c>
      <c r="P196" s="49">
        <f>IF(C196="","",IF(S196=0,"—",IF(L196="","Set date",IF(L196&lt;AsOf,"Overdue",IF(L196=AsOf,"Due today",IF(L196&lt;=AsOf+SoonDays,"Due soon","Scheduled"))))))</f>
        <v/>
      </c>
      <c r="Q196" s="50">
        <f>IF(C196="","",IF(B196="","",AsOf-B196))</f>
        <v/>
      </c>
      <c r="R196" s="49">
        <f>IF(C196="","",IF(O196&lt;&gt;"Booked","",IF(COUNTIF('CUSTOMERS'!$B$5:$B$404,C196)&gt;0,"✓ In CUSTOMERS","Add to CUSTOMERS")))</f>
        <v/>
      </c>
      <c r="S196" s="49">
        <f>IF(C196="","",IF(OR(J196="Booked",J196="Recurring Client",J196="Lost/Declined"),0,1))</f>
        <v/>
      </c>
      <c r="T196" s="51">
        <f>IF(B196="","",DATE(YEAR(B196),MONTH(B196),1))</f>
        <v/>
      </c>
      <c r="U196" s="49">
        <f>IF(OR(S196&lt;&gt;1,L196=""),"",COUNTIFS('LEADS'!$S$5:$S$504,1,'LEADS'!$L$5:$L$504,"&lt;"&amp;L196)+COUNTIFS($S$5:S196,1,$L$5:L196,L196))</f>
        <v/>
      </c>
    </row>
    <row r="197">
      <c r="A197" s="46" t="inlineStr">
        <is>
          <t>L-0193</t>
        </is>
      </c>
      <c r="B197" s="47" t="n"/>
      <c r="C197" s="38" t="n"/>
      <c r="D197" s="38" t="n"/>
      <c r="E197" s="38" t="n"/>
      <c r="F197" s="38" t="n"/>
      <c r="G197" s="38" t="n"/>
      <c r="H197" s="38" t="n"/>
      <c r="I197" s="48" t="n"/>
      <c r="J197" s="38" t="n"/>
      <c r="K197" s="47" t="n"/>
      <c r="L197" s="47" t="n"/>
      <c r="M197" s="38" t="n"/>
      <c r="N197" s="38" t="n"/>
      <c r="O197" s="49">
        <f>IF(C197="","",IF(OR(J197="Booked",J197="Recurring Client"),"Booked",IF(J197="Lost/Declined","Lost","Open")))</f>
        <v/>
      </c>
      <c r="P197" s="49">
        <f>IF(C197="","",IF(S197=0,"—",IF(L197="","Set date",IF(L197&lt;AsOf,"Overdue",IF(L197=AsOf,"Due today",IF(L197&lt;=AsOf+SoonDays,"Due soon","Scheduled"))))))</f>
        <v/>
      </c>
      <c r="Q197" s="50">
        <f>IF(C197="","",IF(B197="","",AsOf-B197))</f>
        <v/>
      </c>
      <c r="R197" s="49">
        <f>IF(C197="","",IF(O197&lt;&gt;"Booked","",IF(COUNTIF('CUSTOMERS'!$B$5:$B$404,C197)&gt;0,"✓ In CUSTOMERS","Add to CUSTOMERS")))</f>
        <v/>
      </c>
      <c r="S197" s="49">
        <f>IF(C197="","",IF(OR(J197="Booked",J197="Recurring Client",J197="Lost/Declined"),0,1))</f>
        <v/>
      </c>
      <c r="T197" s="51">
        <f>IF(B197="","",DATE(YEAR(B197),MONTH(B197),1))</f>
        <v/>
      </c>
      <c r="U197" s="49">
        <f>IF(OR(S197&lt;&gt;1,L197=""),"",COUNTIFS('LEADS'!$S$5:$S$504,1,'LEADS'!$L$5:$L$504,"&lt;"&amp;L197)+COUNTIFS($S$5:S197,1,$L$5:L197,L197))</f>
        <v/>
      </c>
    </row>
    <row r="198">
      <c r="A198" s="46" t="inlineStr">
        <is>
          <t>L-0194</t>
        </is>
      </c>
      <c r="B198" s="47" t="n"/>
      <c r="C198" s="38" t="n"/>
      <c r="D198" s="38" t="n"/>
      <c r="E198" s="38" t="n"/>
      <c r="F198" s="38" t="n"/>
      <c r="G198" s="38" t="n"/>
      <c r="H198" s="38" t="n"/>
      <c r="I198" s="48" t="n"/>
      <c r="J198" s="38" t="n"/>
      <c r="K198" s="47" t="n"/>
      <c r="L198" s="47" t="n"/>
      <c r="M198" s="38" t="n"/>
      <c r="N198" s="38" t="n"/>
      <c r="O198" s="49">
        <f>IF(C198="","",IF(OR(J198="Booked",J198="Recurring Client"),"Booked",IF(J198="Lost/Declined","Lost","Open")))</f>
        <v/>
      </c>
      <c r="P198" s="49">
        <f>IF(C198="","",IF(S198=0,"—",IF(L198="","Set date",IF(L198&lt;AsOf,"Overdue",IF(L198=AsOf,"Due today",IF(L198&lt;=AsOf+SoonDays,"Due soon","Scheduled"))))))</f>
        <v/>
      </c>
      <c r="Q198" s="50">
        <f>IF(C198="","",IF(B198="","",AsOf-B198))</f>
        <v/>
      </c>
      <c r="R198" s="49">
        <f>IF(C198="","",IF(O198&lt;&gt;"Booked","",IF(COUNTIF('CUSTOMERS'!$B$5:$B$404,C198)&gt;0,"✓ In CUSTOMERS","Add to CUSTOMERS")))</f>
        <v/>
      </c>
      <c r="S198" s="49">
        <f>IF(C198="","",IF(OR(J198="Booked",J198="Recurring Client",J198="Lost/Declined"),0,1))</f>
        <v/>
      </c>
      <c r="T198" s="51">
        <f>IF(B198="","",DATE(YEAR(B198),MONTH(B198),1))</f>
        <v/>
      </c>
      <c r="U198" s="49">
        <f>IF(OR(S198&lt;&gt;1,L198=""),"",COUNTIFS('LEADS'!$S$5:$S$504,1,'LEADS'!$L$5:$L$504,"&lt;"&amp;L198)+COUNTIFS($S$5:S198,1,$L$5:L198,L198))</f>
        <v/>
      </c>
    </row>
    <row r="199">
      <c r="A199" s="46" t="inlineStr">
        <is>
          <t>L-0195</t>
        </is>
      </c>
      <c r="B199" s="47" t="n"/>
      <c r="C199" s="38" t="n"/>
      <c r="D199" s="38" t="n"/>
      <c r="E199" s="38" t="n"/>
      <c r="F199" s="38" t="n"/>
      <c r="G199" s="38" t="n"/>
      <c r="H199" s="38" t="n"/>
      <c r="I199" s="48" t="n"/>
      <c r="J199" s="38" t="n"/>
      <c r="K199" s="47" t="n"/>
      <c r="L199" s="47" t="n"/>
      <c r="M199" s="38" t="n"/>
      <c r="N199" s="38" t="n"/>
      <c r="O199" s="49">
        <f>IF(C199="","",IF(OR(J199="Booked",J199="Recurring Client"),"Booked",IF(J199="Lost/Declined","Lost","Open")))</f>
        <v/>
      </c>
      <c r="P199" s="49">
        <f>IF(C199="","",IF(S199=0,"—",IF(L199="","Set date",IF(L199&lt;AsOf,"Overdue",IF(L199=AsOf,"Due today",IF(L199&lt;=AsOf+SoonDays,"Due soon","Scheduled"))))))</f>
        <v/>
      </c>
      <c r="Q199" s="50">
        <f>IF(C199="","",IF(B199="","",AsOf-B199))</f>
        <v/>
      </c>
      <c r="R199" s="49">
        <f>IF(C199="","",IF(O199&lt;&gt;"Booked","",IF(COUNTIF('CUSTOMERS'!$B$5:$B$404,C199)&gt;0,"✓ In CUSTOMERS","Add to CUSTOMERS")))</f>
        <v/>
      </c>
      <c r="S199" s="49">
        <f>IF(C199="","",IF(OR(J199="Booked",J199="Recurring Client",J199="Lost/Declined"),0,1))</f>
        <v/>
      </c>
      <c r="T199" s="51">
        <f>IF(B199="","",DATE(YEAR(B199),MONTH(B199),1))</f>
        <v/>
      </c>
      <c r="U199" s="49">
        <f>IF(OR(S199&lt;&gt;1,L199=""),"",COUNTIFS('LEADS'!$S$5:$S$504,1,'LEADS'!$L$5:$L$504,"&lt;"&amp;L199)+COUNTIFS($S$5:S199,1,$L$5:L199,L199))</f>
        <v/>
      </c>
    </row>
    <row r="200">
      <c r="A200" s="46" t="inlineStr">
        <is>
          <t>L-0196</t>
        </is>
      </c>
      <c r="B200" s="47" t="n"/>
      <c r="C200" s="38" t="n"/>
      <c r="D200" s="38" t="n"/>
      <c r="E200" s="38" t="n"/>
      <c r="F200" s="38" t="n"/>
      <c r="G200" s="38" t="n"/>
      <c r="H200" s="38" t="n"/>
      <c r="I200" s="48" t="n"/>
      <c r="J200" s="38" t="n"/>
      <c r="K200" s="47" t="n"/>
      <c r="L200" s="47" t="n"/>
      <c r="M200" s="38" t="n"/>
      <c r="N200" s="38" t="n"/>
      <c r="O200" s="49">
        <f>IF(C200="","",IF(OR(J200="Booked",J200="Recurring Client"),"Booked",IF(J200="Lost/Declined","Lost","Open")))</f>
        <v/>
      </c>
      <c r="P200" s="49">
        <f>IF(C200="","",IF(S200=0,"—",IF(L200="","Set date",IF(L200&lt;AsOf,"Overdue",IF(L200=AsOf,"Due today",IF(L200&lt;=AsOf+SoonDays,"Due soon","Scheduled"))))))</f>
        <v/>
      </c>
      <c r="Q200" s="50">
        <f>IF(C200="","",IF(B200="","",AsOf-B200))</f>
        <v/>
      </c>
      <c r="R200" s="49">
        <f>IF(C200="","",IF(O200&lt;&gt;"Booked","",IF(COUNTIF('CUSTOMERS'!$B$5:$B$404,C200)&gt;0,"✓ In CUSTOMERS","Add to CUSTOMERS")))</f>
        <v/>
      </c>
      <c r="S200" s="49">
        <f>IF(C200="","",IF(OR(J200="Booked",J200="Recurring Client",J200="Lost/Declined"),0,1))</f>
        <v/>
      </c>
      <c r="T200" s="51">
        <f>IF(B200="","",DATE(YEAR(B200),MONTH(B200),1))</f>
        <v/>
      </c>
      <c r="U200" s="49">
        <f>IF(OR(S200&lt;&gt;1,L200=""),"",COUNTIFS('LEADS'!$S$5:$S$504,1,'LEADS'!$L$5:$L$504,"&lt;"&amp;L200)+COUNTIFS($S$5:S200,1,$L$5:L200,L200))</f>
        <v/>
      </c>
    </row>
    <row r="201">
      <c r="A201" s="46" t="inlineStr">
        <is>
          <t>L-0197</t>
        </is>
      </c>
      <c r="B201" s="47" t="n"/>
      <c r="C201" s="38" t="n"/>
      <c r="D201" s="38" t="n"/>
      <c r="E201" s="38" t="n"/>
      <c r="F201" s="38" t="n"/>
      <c r="G201" s="38" t="n"/>
      <c r="H201" s="38" t="n"/>
      <c r="I201" s="48" t="n"/>
      <c r="J201" s="38" t="n"/>
      <c r="K201" s="47" t="n"/>
      <c r="L201" s="47" t="n"/>
      <c r="M201" s="38" t="n"/>
      <c r="N201" s="38" t="n"/>
      <c r="O201" s="49">
        <f>IF(C201="","",IF(OR(J201="Booked",J201="Recurring Client"),"Booked",IF(J201="Lost/Declined","Lost","Open")))</f>
        <v/>
      </c>
      <c r="P201" s="49">
        <f>IF(C201="","",IF(S201=0,"—",IF(L201="","Set date",IF(L201&lt;AsOf,"Overdue",IF(L201=AsOf,"Due today",IF(L201&lt;=AsOf+SoonDays,"Due soon","Scheduled"))))))</f>
        <v/>
      </c>
      <c r="Q201" s="50">
        <f>IF(C201="","",IF(B201="","",AsOf-B201))</f>
        <v/>
      </c>
      <c r="R201" s="49">
        <f>IF(C201="","",IF(O201&lt;&gt;"Booked","",IF(COUNTIF('CUSTOMERS'!$B$5:$B$404,C201)&gt;0,"✓ In CUSTOMERS","Add to CUSTOMERS")))</f>
        <v/>
      </c>
      <c r="S201" s="49">
        <f>IF(C201="","",IF(OR(J201="Booked",J201="Recurring Client",J201="Lost/Declined"),0,1))</f>
        <v/>
      </c>
      <c r="T201" s="51">
        <f>IF(B201="","",DATE(YEAR(B201),MONTH(B201),1))</f>
        <v/>
      </c>
      <c r="U201" s="49">
        <f>IF(OR(S201&lt;&gt;1,L201=""),"",COUNTIFS('LEADS'!$S$5:$S$504,1,'LEADS'!$L$5:$L$504,"&lt;"&amp;L201)+COUNTIFS($S$5:S201,1,$L$5:L201,L201))</f>
        <v/>
      </c>
    </row>
    <row r="202">
      <c r="A202" s="46" t="inlineStr">
        <is>
          <t>L-0198</t>
        </is>
      </c>
      <c r="B202" s="47" t="n"/>
      <c r="C202" s="38" t="n"/>
      <c r="D202" s="38" t="n"/>
      <c r="E202" s="38" t="n"/>
      <c r="F202" s="38" t="n"/>
      <c r="G202" s="38" t="n"/>
      <c r="H202" s="38" t="n"/>
      <c r="I202" s="48" t="n"/>
      <c r="J202" s="38" t="n"/>
      <c r="K202" s="47" t="n"/>
      <c r="L202" s="47" t="n"/>
      <c r="M202" s="38" t="n"/>
      <c r="N202" s="38" t="n"/>
      <c r="O202" s="49">
        <f>IF(C202="","",IF(OR(J202="Booked",J202="Recurring Client"),"Booked",IF(J202="Lost/Declined","Lost","Open")))</f>
        <v/>
      </c>
      <c r="P202" s="49">
        <f>IF(C202="","",IF(S202=0,"—",IF(L202="","Set date",IF(L202&lt;AsOf,"Overdue",IF(L202=AsOf,"Due today",IF(L202&lt;=AsOf+SoonDays,"Due soon","Scheduled"))))))</f>
        <v/>
      </c>
      <c r="Q202" s="50">
        <f>IF(C202="","",IF(B202="","",AsOf-B202))</f>
        <v/>
      </c>
      <c r="R202" s="49">
        <f>IF(C202="","",IF(O202&lt;&gt;"Booked","",IF(COUNTIF('CUSTOMERS'!$B$5:$B$404,C202)&gt;0,"✓ In CUSTOMERS","Add to CUSTOMERS")))</f>
        <v/>
      </c>
      <c r="S202" s="49">
        <f>IF(C202="","",IF(OR(J202="Booked",J202="Recurring Client",J202="Lost/Declined"),0,1))</f>
        <v/>
      </c>
      <c r="T202" s="51">
        <f>IF(B202="","",DATE(YEAR(B202),MONTH(B202),1))</f>
        <v/>
      </c>
      <c r="U202" s="49">
        <f>IF(OR(S202&lt;&gt;1,L202=""),"",COUNTIFS('LEADS'!$S$5:$S$504,1,'LEADS'!$L$5:$L$504,"&lt;"&amp;L202)+COUNTIFS($S$5:S202,1,$L$5:L202,L202))</f>
        <v/>
      </c>
    </row>
    <row r="203">
      <c r="A203" s="46" t="inlineStr">
        <is>
          <t>L-0199</t>
        </is>
      </c>
      <c r="B203" s="47" t="n"/>
      <c r="C203" s="38" t="n"/>
      <c r="D203" s="38" t="n"/>
      <c r="E203" s="38" t="n"/>
      <c r="F203" s="38" t="n"/>
      <c r="G203" s="38" t="n"/>
      <c r="H203" s="38" t="n"/>
      <c r="I203" s="48" t="n"/>
      <c r="J203" s="38" t="n"/>
      <c r="K203" s="47" t="n"/>
      <c r="L203" s="47" t="n"/>
      <c r="M203" s="38" t="n"/>
      <c r="N203" s="38" t="n"/>
      <c r="O203" s="49">
        <f>IF(C203="","",IF(OR(J203="Booked",J203="Recurring Client"),"Booked",IF(J203="Lost/Declined","Lost","Open")))</f>
        <v/>
      </c>
      <c r="P203" s="49">
        <f>IF(C203="","",IF(S203=0,"—",IF(L203="","Set date",IF(L203&lt;AsOf,"Overdue",IF(L203=AsOf,"Due today",IF(L203&lt;=AsOf+SoonDays,"Due soon","Scheduled"))))))</f>
        <v/>
      </c>
      <c r="Q203" s="50">
        <f>IF(C203="","",IF(B203="","",AsOf-B203))</f>
        <v/>
      </c>
      <c r="R203" s="49">
        <f>IF(C203="","",IF(O203&lt;&gt;"Booked","",IF(COUNTIF('CUSTOMERS'!$B$5:$B$404,C203)&gt;0,"✓ In CUSTOMERS","Add to CUSTOMERS")))</f>
        <v/>
      </c>
      <c r="S203" s="49">
        <f>IF(C203="","",IF(OR(J203="Booked",J203="Recurring Client",J203="Lost/Declined"),0,1))</f>
        <v/>
      </c>
      <c r="T203" s="51">
        <f>IF(B203="","",DATE(YEAR(B203),MONTH(B203),1))</f>
        <v/>
      </c>
      <c r="U203" s="49">
        <f>IF(OR(S203&lt;&gt;1,L203=""),"",COUNTIFS('LEADS'!$S$5:$S$504,1,'LEADS'!$L$5:$L$504,"&lt;"&amp;L203)+COUNTIFS($S$5:S203,1,$L$5:L203,L203))</f>
        <v/>
      </c>
    </row>
    <row r="204">
      <c r="A204" s="46" t="inlineStr">
        <is>
          <t>L-0200</t>
        </is>
      </c>
      <c r="B204" s="47" t="n"/>
      <c r="C204" s="38" t="n"/>
      <c r="D204" s="38" t="n"/>
      <c r="E204" s="38" t="n"/>
      <c r="F204" s="38" t="n"/>
      <c r="G204" s="38" t="n"/>
      <c r="H204" s="38" t="n"/>
      <c r="I204" s="48" t="n"/>
      <c r="J204" s="38" t="n"/>
      <c r="K204" s="47" t="n"/>
      <c r="L204" s="47" t="n"/>
      <c r="M204" s="38" t="n"/>
      <c r="N204" s="38" t="n"/>
      <c r="O204" s="49">
        <f>IF(C204="","",IF(OR(J204="Booked",J204="Recurring Client"),"Booked",IF(J204="Lost/Declined","Lost","Open")))</f>
        <v/>
      </c>
      <c r="P204" s="49">
        <f>IF(C204="","",IF(S204=0,"—",IF(L204="","Set date",IF(L204&lt;AsOf,"Overdue",IF(L204=AsOf,"Due today",IF(L204&lt;=AsOf+SoonDays,"Due soon","Scheduled"))))))</f>
        <v/>
      </c>
      <c r="Q204" s="50">
        <f>IF(C204="","",IF(B204="","",AsOf-B204))</f>
        <v/>
      </c>
      <c r="R204" s="49">
        <f>IF(C204="","",IF(O204&lt;&gt;"Booked","",IF(COUNTIF('CUSTOMERS'!$B$5:$B$404,C204)&gt;0,"✓ In CUSTOMERS","Add to CUSTOMERS")))</f>
        <v/>
      </c>
      <c r="S204" s="49">
        <f>IF(C204="","",IF(OR(J204="Booked",J204="Recurring Client",J204="Lost/Declined"),0,1))</f>
        <v/>
      </c>
      <c r="T204" s="51">
        <f>IF(B204="","",DATE(YEAR(B204),MONTH(B204),1))</f>
        <v/>
      </c>
      <c r="U204" s="49">
        <f>IF(OR(S204&lt;&gt;1,L204=""),"",COUNTIFS('LEADS'!$S$5:$S$504,1,'LEADS'!$L$5:$L$504,"&lt;"&amp;L204)+COUNTIFS($S$5:S204,1,$L$5:L204,L204))</f>
        <v/>
      </c>
    </row>
    <row r="205">
      <c r="A205" s="46" t="inlineStr">
        <is>
          <t>L-0201</t>
        </is>
      </c>
      <c r="B205" s="47" t="n"/>
      <c r="C205" s="38" t="n"/>
      <c r="D205" s="38" t="n"/>
      <c r="E205" s="38" t="n"/>
      <c r="F205" s="38" t="n"/>
      <c r="G205" s="38" t="n"/>
      <c r="H205" s="38" t="n"/>
      <c r="I205" s="48" t="n"/>
      <c r="J205" s="38" t="n"/>
      <c r="K205" s="47" t="n"/>
      <c r="L205" s="47" t="n"/>
      <c r="M205" s="38" t="n"/>
      <c r="N205" s="38" t="n"/>
      <c r="O205" s="49">
        <f>IF(C205="","",IF(OR(J205="Booked",J205="Recurring Client"),"Booked",IF(J205="Lost/Declined","Lost","Open")))</f>
        <v/>
      </c>
      <c r="P205" s="49">
        <f>IF(C205="","",IF(S205=0,"—",IF(L205="","Set date",IF(L205&lt;AsOf,"Overdue",IF(L205=AsOf,"Due today",IF(L205&lt;=AsOf+SoonDays,"Due soon","Scheduled"))))))</f>
        <v/>
      </c>
      <c r="Q205" s="50">
        <f>IF(C205="","",IF(B205="","",AsOf-B205))</f>
        <v/>
      </c>
      <c r="R205" s="49">
        <f>IF(C205="","",IF(O205&lt;&gt;"Booked","",IF(COUNTIF('CUSTOMERS'!$B$5:$B$404,C205)&gt;0,"✓ In CUSTOMERS","Add to CUSTOMERS")))</f>
        <v/>
      </c>
      <c r="S205" s="49">
        <f>IF(C205="","",IF(OR(J205="Booked",J205="Recurring Client",J205="Lost/Declined"),0,1))</f>
        <v/>
      </c>
      <c r="T205" s="51">
        <f>IF(B205="","",DATE(YEAR(B205),MONTH(B205),1))</f>
        <v/>
      </c>
      <c r="U205" s="49">
        <f>IF(OR(S205&lt;&gt;1,L205=""),"",COUNTIFS('LEADS'!$S$5:$S$504,1,'LEADS'!$L$5:$L$504,"&lt;"&amp;L205)+COUNTIFS($S$5:S205,1,$L$5:L205,L205))</f>
        <v/>
      </c>
    </row>
    <row r="206">
      <c r="A206" s="46" t="inlineStr">
        <is>
          <t>L-0202</t>
        </is>
      </c>
      <c r="B206" s="47" t="n"/>
      <c r="C206" s="38" t="n"/>
      <c r="D206" s="38" t="n"/>
      <c r="E206" s="38" t="n"/>
      <c r="F206" s="38" t="n"/>
      <c r="G206" s="38" t="n"/>
      <c r="H206" s="38" t="n"/>
      <c r="I206" s="48" t="n"/>
      <c r="J206" s="38" t="n"/>
      <c r="K206" s="47" t="n"/>
      <c r="L206" s="47" t="n"/>
      <c r="M206" s="38" t="n"/>
      <c r="N206" s="38" t="n"/>
      <c r="O206" s="49">
        <f>IF(C206="","",IF(OR(J206="Booked",J206="Recurring Client"),"Booked",IF(J206="Lost/Declined","Lost","Open")))</f>
        <v/>
      </c>
      <c r="P206" s="49">
        <f>IF(C206="","",IF(S206=0,"—",IF(L206="","Set date",IF(L206&lt;AsOf,"Overdue",IF(L206=AsOf,"Due today",IF(L206&lt;=AsOf+SoonDays,"Due soon","Scheduled"))))))</f>
        <v/>
      </c>
      <c r="Q206" s="50">
        <f>IF(C206="","",IF(B206="","",AsOf-B206))</f>
        <v/>
      </c>
      <c r="R206" s="49">
        <f>IF(C206="","",IF(O206&lt;&gt;"Booked","",IF(COUNTIF('CUSTOMERS'!$B$5:$B$404,C206)&gt;0,"✓ In CUSTOMERS","Add to CUSTOMERS")))</f>
        <v/>
      </c>
      <c r="S206" s="49">
        <f>IF(C206="","",IF(OR(J206="Booked",J206="Recurring Client",J206="Lost/Declined"),0,1))</f>
        <v/>
      </c>
      <c r="T206" s="51">
        <f>IF(B206="","",DATE(YEAR(B206),MONTH(B206),1))</f>
        <v/>
      </c>
      <c r="U206" s="49">
        <f>IF(OR(S206&lt;&gt;1,L206=""),"",COUNTIFS('LEADS'!$S$5:$S$504,1,'LEADS'!$L$5:$L$504,"&lt;"&amp;L206)+COUNTIFS($S$5:S206,1,$L$5:L206,L206))</f>
        <v/>
      </c>
    </row>
    <row r="207">
      <c r="A207" s="46" t="inlineStr">
        <is>
          <t>L-0203</t>
        </is>
      </c>
      <c r="B207" s="47" t="n"/>
      <c r="C207" s="38" t="n"/>
      <c r="D207" s="38" t="n"/>
      <c r="E207" s="38" t="n"/>
      <c r="F207" s="38" t="n"/>
      <c r="G207" s="38" t="n"/>
      <c r="H207" s="38" t="n"/>
      <c r="I207" s="48" t="n"/>
      <c r="J207" s="38" t="n"/>
      <c r="K207" s="47" t="n"/>
      <c r="L207" s="47" t="n"/>
      <c r="M207" s="38" t="n"/>
      <c r="N207" s="38" t="n"/>
      <c r="O207" s="49">
        <f>IF(C207="","",IF(OR(J207="Booked",J207="Recurring Client"),"Booked",IF(J207="Lost/Declined","Lost","Open")))</f>
        <v/>
      </c>
      <c r="P207" s="49">
        <f>IF(C207="","",IF(S207=0,"—",IF(L207="","Set date",IF(L207&lt;AsOf,"Overdue",IF(L207=AsOf,"Due today",IF(L207&lt;=AsOf+SoonDays,"Due soon","Scheduled"))))))</f>
        <v/>
      </c>
      <c r="Q207" s="50">
        <f>IF(C207="","",IF(B207="","",AsOf-B207))</f>
        <v/>
      </c>
      <c r="R207" s="49">
        <f>IF(C207="","",IF(O207&lt;&gt;"Booked","",IF(COUNTIF('CUSTOMERS'!$B$5:$B$404,C207)&gt;0,"✓ In CUSTOMERS","Add to CUSTOMERS")))</f>
        <v/>
      </c>
      <c r="S207" s="49">
        <f>IF(C207="","",IF(OR(J207="Booked",J207="Recurring Client",J207="Lost/Declined"),0,1))</f>
        <v/>
      </c>
      <c r="T207" s="51">
        <f>IF(B207="","",DATE(YEAR(B207),MONTH(B207),1))</f>
        <v/>
      </c>
      <c r="U207" s="49">
        <f>IF(OR(S207&lt;&gt;1,L207=""),"",COUNTIFS('LEADS'!$S$5:$S$504,1,'LEADS'!$L$5:$L$504,"&lt;"&amp;L207)+COUNTIFS($S$5:S207,1,$L$5:L207,L207))</f>
        <v/>
      </c>
    </row>
    <row r="208">
      <c r="A208" s="46" t="inlineStr">
        <is>
          <t>L-0204</t>
        </is>
      </c>
      <c r="B208" s="47" t="n"/>
      <c r="C208" s="38" t="n"/>
      <c r="D208" s="38" t="n"/>
      <c r="E208" s="38" t="n"/>
      <c r="F208" s="38" t="n"/>
      <c r="G208" s="38" t="n"/>
      <c r="H208" s="38" t="n"/>
      <c r="I208" s="48" t="n"/>
      <c r="J208" s="38" t="n"/>
      <c r="K208" s="47" t="n"/>
      <c r="L208" s="47" t="n"/>
      <c r="M208" s="38" t="n"/>
      <c r="N208" s="38" t="n"/>
      <c r="O208" s="49">
        <f>IF(C208="","",IF(OR(J208="Booked",J208="Recurring Client"),"Booked",IF(J208="Lost/Declined","Lost","Open")))</f>
        <v/>
      </c>
      <c r="P208" s="49">
        <f>IF(C208="","",IF(S208=0,"—",IF(L208="","Set date",IF(L208&lt;AsOf,"Overdue",IF(L208=AsOf,"Due today",IF(L208&lt;=AsOf+SoonDays,"Due soon","Scheduled"))))))</f>
        <v/>
      </c>
      <c r="Q208" s="50">
        <f>IF(C208="","",IF(B208="","",AsOf-B208))</f>
        <v/>
      </c>
      <c r="R208" s="49">
        <f>IF(C208="","",IF(O208&lt;&gt;"Booked","",IF(COUNTIF('CUSTOMERS'!$B$5:$B$404,C208)&gt;0,"✓ In CUSTOMERS","Add to CUSTOMERS")))</f>
        <v/>
      </c>
      <c r="S208" s="49">
        <f>IF(C208="","",IF(OR(J208="Booked",J208="Recurring Client",J208="Lost/Declined"),0,1))</f>
        <v/>
      </c>
      <c r="T208" s="51">
        <f>IF(B208="","",DATE(YEAR(B208),MONTH(B208),1))</f>
        <v/>
      </c>
      <c r="U208" s="49">
        <f>IF(OR(S208&lt;&gt;1,L208=""),"",COUNTIFS('LEADS'!$S$5:$S$504,1,'LEADS'!$L$5:$L$504,"&lt;"&amp;L208)+COUNTIFS($S$5:S208,1,$L$5:L208,L208))</f>
        <v/>
      </c>
    </row>
    <row r="209">
      <c r="A209" s="46" t="inlineStr">
        <is>
          <t>L-0205</t>
        </is>
      </c>
      <c r="B209" s="47" t="n"/>
      <c r="C209" s="38" t="n"/>
      <c r="D209" s="38" t="n"/>
      <c r="E209" s="38" t="n"/>
      <c r="F209" s="38" t="n"/>
      <c r="G209" s="38" t="n"/>
      <c r="H209" s="38" t="n"/>
      <c r="I209" s="48" t="n"/>
      <c r="J209" s="38" t="n"/>
      <c r="K209" s="47" t="n"/>
      <c r="L209" s="47" t="n"/>
      <c r="M209" s="38" t="n"/>
      <c r="N209" s="38" t="n"/>
      <c r="O209" s="49">
        <f>IF(C209="","",IF(OR(J209="Booked",J209="Recurring Client"),"Booked",IF(J209="Lost/Declined","Lost","Open")))</f>
        <v/>
      </c>
      <c r="P209" s="49">
        <f>IF(C209="","",IF(S209=0,"—",IF(L209="","Set date",IF(L209&lt;AsOf,"Overdue",IF(L209=AsOf,"Due today",IF(L209&lt;=AsOf+SoonDays,"Due soon","Scheduled"))))))</f>
        <v/>
      </c>
      <c r="Q209" s="50">
        <f>IF(C209="","",IF(B209="","",AsOf-B209))</f>
        <v/>
      </c>
      <c r="R209" s="49">
        <f>IF(C209="","",IF(O209&lt;&gt;"Booked","",IF(COUNTIF('CUSTOMERS'!$B$5:$B$404,C209)&gt;0,"✓ In CUSTOMERS","Add to CUSTOMERS")))</f>
        <v/>
      </c>
      <c r="S209" s="49">
        <f>IF(C209="","",IF(OR(J209="Booked",J209="Recurring Client",J209="Lost/Declined"),0,1))</f>
        <v/>
      </c>
      <c r="T209" s="51">
        <f>IF(B209="","",DATE(YEAR(B209),MONTH(B209),1))</f>
        <v/>
      </c>
      <c r="U209" s="49">
        <f>IF(OR(S209&lt;&gt;1,L209=""),"",COUNTIFS('LEADS'!$S$5:$S$504,1,'LEADS'!$L$5:$L$504,"&lt;"&amp;L209)+COUNTIFS($S$5:S209,1,$L$5:L209,L209))</f>
        <v/>
      </c>
    </row>
    <row r="210">
      <c r="A210" s="46" t="inlineStr">
        <is>
          <t>L-0206</t>
        </is>
      </c>
      <c r="B210" s="47" t="n"/>
      <c r="C210" s="38" t="n"/>
      <c r="D210" s="38" t="n"/>
      <c r="E210" s="38" t="n"/>
      <c r="F210" s="38" t="n"/>
      <c r="G210" s="38" t="n"/>
      <c r="H210" s="38" t="n"/>
      <c r="I210" s="48" t="n"/>
      <c r="J210" s="38" t="n"/>
      <c r="K210" s="47" t="n"/>
      <c r="L210" s="47" t="n"/>
      <c r="M210" s="38" t="n"/>
      <c r="N210" s="38" t="n"/>
      <c r="O210" s="49">
        <f>IF(C210="","",IF(OR(J210="Booked",J210="Recurring Client"),"Booked",IF(J210="Lost/Declined","Lost","Open")))</f>
        <v/>
      </c>
      <c r="P210" s="49">
        <f>IF(C210="","",IF(S210=0,"—",IF(L210="","Set date",IF(L210&lt;AsOf,"Overdue",IF(L210=AsOf,"Due today",IF(L210&lt;=AsOf+SoonDays,"Due soon","Scheduled"))))))</f>
        <v/>
      </c>
      <c r="Q210" s="50">
        <f>IF(C210="","",IF(B210="","",AsOf-B210))</f>
        <v/>
      </c>
      <c r="R210" s="49">
        <f>IF(C210="","",IF(O210&lt;&gt;"Booked","",IF(COUNTIF('CUSTOMERS'!$B$5:$B$404,C210)&gt;0,"✓ In CUSTOMERS","Add to CUSTOMERS")))</f>
        <v/>
      </c>
      <c r="S210" s="49">
        <f>IF(C210="","",IF(OR(J210="Booked",J210="Recurring Client",J210="Lost/Declined"),0,1))</f>
        <v/>
      </c>
      <c r="T210" s="51">
        <f>IF(B210="","",DATE(YEAR(B210),MONTH(B210),1))</f>
        <v/>
      </c>
      <c r="U210" s="49">
        <f>IF(OR(S210&lt;&gt;1,L210=""),"",COUNTIFS('LEADS'!$S$5:$S$504,1,'LEADS'!$L$5:$L$504,"&lt;"&amp;L210)+COUNTIFS($S$5:S210,1,$L$5:L210,L210))</f>
        <v/>
      </c>
    </row>
    <row r="211">
      <c r="A211" s="46" t="inlineStr">
        <is>
          <t>L-0207</t>
        </is>
      </c>
      <c r="B211" s="47" t="n"/>
      <c r="C211" s="38" t="n"/>
      <c r="D211" s="38" t="n"/>
      <c r="E211" s="38" t="n"/>
      <c r="F211" s="38" t="n"/>
      <c r="G211" s="38" t="n"/>
      <c r="H211" s="38" t="n"/>
      <c r="I211" s="48" t="n"/>
      <c r="J211" s="38" t="n"/>
      <c r="K211" s="47" t="n"/>
      <c r="L211" s="47" t="n"/>
      <c r="M211" s="38" t="n"/>
      <c r="N211" s="38" t="n"/>
      <c r="O211" s="49">
        <f>IF(C211="","",IF(OR(J211="Booked",J211="Recurring Client"),"Booked",IF(J211="Lost/Declined","Lost","Open")))</f>
        <v/>
      </c>
      <c r="P211" s="49">
        <f>IF(C211="","",IF(S211=0,"—",IF(L211="","Set date",IF(L211&lt;AsOf,"Overdue",IF(L211=AsOf,"Due today",IF(L211&lt;=AsOf+SoonDays,"Due soon","Scheduled"))))))</f>
        <v/>
      </c>
      <c r="Q211" s="50">
        <f>IF(C211="","",IF(B211="","",AsOf-B211))</f>
        <v/>
      </c>
      <c r="R211" s="49">
        <f>IF(C211="","",IF(O211&lt;&gt;"Booked","",IF(COUNTIF('CUSTOMERS'!$B$5:$B$404,C211)&gt;0,"✓ In CUSTOMERS","Add to CUSTOMERS")))</f>
        <v/>
      </c>
      <c r="S211" s="49">
        <f>IF(C211="","",IF(OR(J211="Booked",J211="Recurring Client",J211="Lost/Declined"),0,1))</f>
        <v/>
      </c>
      <c r="T211" s="51">
        <f>IF(B211="","",DATE(YEAR(B211),MONTH(B211),1))</f>
        <v/>
      </c>
      <c r="U211" s="49">
        <f>IF(OR(S211&lt;&gt;1,L211=""),"",COUNTIFS('LEADS'!$S$5:$S$504,1,'LEADS'!$L$5:$L$504,"&lt;"&amp;L211)+COUNTIFS($S$5:S211,1,$L$5:L211,L211))</f>
        <v/>
      </c>
    </row>
    <row r="212">
      <c r="A212" s="46" t="inlineStr">
        <is>
          <t>L-0208</t>
        </is>
      </c>
      <c r="B212" s="47" t="n"/>
      <c r="C212" s="38" t="n"/>
      <c r="D212" s="38" t="n"/>
      <c r="E212" s="38" t="n"/>
      <c r="F212" s="38" t="n"/>
      <c r="G212" s="38" t="n"/>
      <c r="H212" s="38" t="n"/>
      <c r="I212" s="48" t="n"/>
      <c r="J212" s="38" t="n"/>
      <c r="K212" s="47" t="n"/>
      <c r="L212" s="47" t="n"/>
      <c r="M212" s="38" t="n"/>
      <c r="N212" s="38" t="n"/>
      <c r="O212" s="49">
        <f>IF(C212="","",IF(OR(J212="Booked",J212="Recurring Client"),"Booked",IF(J212="Lost/Declined","Lost","Open")))</f>
        <v/>
      </c>
      <c r="P212" s="49">
        <f>IF(C212="","",IF(S212=0,"—",IF(L212="","Set date",IF(L212&lt;AsOf,"Overdue",IF(L212=AsOf,"Due today",IF(L212&lt;=AsOf+SoonDays,"Due soon","Scheduled"))))))</f>
        <v/>
      </c>
      <c r="Q212" s="50">
        <f>IF(C212="","",IF(B212="","",AsOf-B212))</f>
        <v/>
      </c>
      <c r="R212" s="49">
        <f>IF(C212="","",IF(O212&lt;&gt;"Booked","",IF(COUNTIF('CUSTOMERS'!$B$5:$B$404,C212)&gt;0,"✓ In CUSTOMERS","Add to CUSTOMERS")))</f>
        <v/>
      </c>
      <c r="S212" s="49">
        <f>IF(C212="","",IF(OR(J212="Booked",J212="Recurring Client",J212="Lost/Declined"),0,1))</f>
        <v/>
      </c>
      <c r="T212" s="51">
        <f>IF(B212="","",DATE(YEAR(B212),MONTH(B212),1))</f>
        <v/>
      </c>
      <c r="U212" s="49">
        <f>IF(OR(S212&lt;&gt;1,L212=""),"",COUNTIFS('LEADS'!$S$5:$S$504,1,'LEADS'!$L$5:$L$504,"&lt;"&amp;L212)+COUNTIFS($S$5:S212,1,$L$5:L212,L212))</f>
        <v/>
      </c>
    </row>
    <row r="213">
      <c r="A213" s="46" t="inlineStr">
        <is>
          <t>L-0209</t>
        </is>
      </c>
      <c r="B213" s="47" t="n"/>
      <c r="C213" s="38" t="n"/>
      <c r="D213" s="38" t="n"/>
      <c r="E213" s="38" t="n"/>
      <c r="F213" s="38" t="n"/>
      <c r="G213" s="38" t="n"/>
      <c r="H213" s="38" t="n"/>
      <c r="I213" s="48" t="n"/>
      <c r="J213" s="38" t="n"/>
      <c r="K213" s="47" t="n"/>
      <c r="L213" s="47" t="n"/>
      <c r="M213" s="38" t="n"/>
      <c r="N213" s="38" t="n"/>
      <c r="O213" s="49">
        <f>IF(C213="","",IF(OR(J213="Booked",J213="Recurring Client"),"Booked",IF(J213="Lost/Declined","Lost","Open")))</f>
        <v/>
      </c>
      <c r="P213" s="49">
        <f>IF(C213="","",IF(S213=0,"—",IF(L213="","Set date",IF(L213&lt;AsOf,"Overdue",IF(L213=AsOf,"Due today",IF(L213&lt;=AsOf+SoonDays,"Due soon","Scheduled"))))))</f>
        <v/>
      </c>
      <c r="Q213" s="50">
        <f>IF(C213="","",IF(B213="","",AsOf-B213))</f>
        <v/>
      </c>
      <c r="R213" s="49">
        <f>IF(C213="","",IF(O213&lt;&gt;"Booked","",IF(COUNTIF('CUSTOMERS'!$B$5:$B$404,C213)&gt;0,"✓ In CUSTOMERS","Add to CUSTOMERS")))</f>
        <v/>
      </c>
      <c r="S213" s="49">
        <f>IF(C213="","",IF(OR(J213="Booked",J213="Recurring Client",J213="Lost/Declined"),0,1))</f>
        <v/>
      </c>
      <c r="T213" s="51">
        <f>IF(B213="","",DATE(YEAR(B213),MONTH(B213),1))</f>
        <v/>
      </c>
      <c r="U213" s="49">
        <f>IF(OR(S213&lt;&gt;1,L213=""),"",COUNTIFS('LEADS'!$S$5:$S$504,1,'LEADS'!$L$5:$L$504,"&lt;"&amp;L213)+COUNTIFS($S$5:S213,1,$L$5:L213,L213))</f>
        <v/>
      </c>
    </row>
    <row r="214">
      <c r="A214" s="46" t="inlineStr">
        <is>
          <t>L-0210</t>
        </is>
      </c>
      <c r="B214" s="47" t="n"/>
      <c r="C214" s="38" t="n"/>
      <c r="D214" s="38" t="n"/>
      <c r="E214" s="38" t="n"/>
      <c r="F214" s="38" t="n"/>
      <c r="G214" s="38" t="n"/>
      <c r="H214" s="38" t="n"/>
      <c r="I214" s="48" t="n"/>
      <c r="J214" s="38" t="n"/>
      <c r="K214" s="47" t="n"/>
      <c r="L214" s="47" t="n"/>
      <c r="M214" s="38" t="n"/>
      <c r="N214" s="38" t="n"/>
      <c r="O214" s="49">
        <f>IF(C214="","",IF(OR(J214="Booked",J214="Recurring Client"),"Booked",IF(J214="Lost/Declined","Lost","Open")))</f>
        <v/>
      </c>
      <c r="P214" s="49">
        <f>IF(C214="","",IF(S214=0,"—",IF(L214="","Set date",IF(L214&lt;AsOf,"Overdue",IF(L214=AsOf,"Due today",IF(L214&lt;=AsOf+SoonDays,"Due soon","Scheduled"))))))</f>
        <v/>
      </c>
      <c r="Q214" s="50">
        <f>IF(C214="","",IF(B214="","",AsOf-B214))</f>
        <v/>
      </c>
      <c r="R214" s="49">
        <f>IF(C214="","",IF(O214&lt;&gt;"Booked","",IF(COUNTIF('CUSTOMERS'!$B$5:$B$404,C214)&gt;0,"✓ In CUSTOMERS","Add to CUSTOMERS")))</f>
        <v/>
      </c>
      <c r="S214" s="49">
        <f>IF(C214="","",IF(OR(J214="Booked",J214="Recurring Client",J214="Lost/Declined"),0,1))</f>
        <v/>
      </c>
      <c r="T214" s="51">
        <f>IF(B214="","",DATE(YEAR(B214),MONTH(B214),1))</f>
        <v/>
      </c>
      <c r="U214" s="49">
        <f>IF(OR(S214&lt;&gt;1,L214=""),"",COUNTIFS('LEADS'!$S$5:$S$504,1,'LEADS'!$L$5:$L$504,"&lt;"&amp;L214)+COUNTIFS($S$5:S214,1,$L$5:L214,L214))</f>
        <v/>
      </c>
    </row>
    <row r="215">
      <c r="A215" s="46" t="inlineStr">
        <is>
          <t>L-0211</t>
        </is>
      </c>
      <c r="B215" s="47" t="n"/>
      <c r="C215" s="38" t="n"/>
      <c r="D215" s="38" t="n"/>
      <c r="E215" s="38" t="n"/>
      <c r="F215" s="38" t="n"/>
      <c r="G215" s="38" t="n"/>
      <c r="H215" s="38" t="n"/>
      <c r="I215" s="48" t="n"/>
      <c r="J215" s="38" t="n"/>
      <c r="K215" s="47" t="n"/>
      <c r="L215" s="47" t="n"/>
      <c r="M215" s="38" t="n"/>
      <c r="N215" s="38" t="n"/>
      <c r="O215" s="49">
        <f>IF(C215="","",IF(OR(J215="Booked",J215="Recurring Client"),"Booked",IF(J215="Lost/Declined","Lost","Open")))</f>
        <v/>
      </c>
      <c r="P215" s="49">
        <f>IF(C215="","",IF(S215=0,"—",IF(L215="","Set date",IF(L215&lt;AsOf,"Overdue",IF(L215=AsOf,"Due today",IF(L215&lt;=AsOf+SoonDays,"Due soon","Scheduled"))))))</f>
        <v/>
      </c>
      <c r="Q215" s="50">
        <f>IF(C215="","",IF(B215="","",AsOf-B215))</f>
        <v/>
      </c>
      <c r="R215" s="49">
        <f>IF(C215="","",IF(O215&lt;&gt;"Booked","",IF(COUNTIF('CUSTOMERS'!$B$5:$B$404,C215)&gt;0,"✓ In CUSTOMERS","Add to CUSTOMERS")))</f>
        <v/>
      </c>
      <c r="S215" s="49">
        <f>IF(C215="","",IF(OR(J215="Booked",J215="Recurring Client",J215="Lost/Declined"),0,1))</f>
        <v/>
      </c>
      <c r="T215" s="51">
        <f>IF(B215="","",DATE(YEAR(B215),MONTH(B215),1))</f>
        <v/>
      </c>
      <c r="U215" s="49">
        <f>IF(OR(S215&lt;&gt;1,L215=""),"",COUNTIFS('LEADS'!$S$5:$S$504,1,'LEADS'!$L$5:$L$504,"&lt;"&amp;L215)+COUNTIFS($S$5:S215,1,$L$5:L215,L215))</f>
        <v/>
      </c>
    </row>
    <row r="216">
      <c r="A216" s="46" t="inlineStr">
        <is>
          <t>L-0212</t>
        </is>
      </c>
      <c r="B216" s="47" t="n"/>
      <c r="C216" s="38" t="n"/>
      <c r="D216" s="38" t="n"/>
      <c r="E216" s="38" t="n"/>
      <c r="F216" s="38" t="n"/>
      <c r="G216" s="38" t="n"/>
      <c r="H216" s="38" t="n"/>
      <c r="I216" s="48" t="n"/>
      <c r="J216" s="38" t="n"/>
      <c r="K216" s="47" t="n"/>
      <c r="L216" s="47" t="n"/>
      <c r="M216" s="38" t="n"/>
      <c r="N216" s="38" t="n"/>
      <c r="O216" s="49">
        <f>IF(C216="","",IF(OR(J216="Booked",J216="Recurring Client"),"Booked",IF(J216="Lost/Declined","Lost","Open")))</f>
        <v/>
      </c>
      <c r="P216" s="49">
        <f>IF(C216="","",IF(S216=0,"—",IF(L216="","Set date",IF(L216&lt;AsOf,"Overdue",IF(L216=AsOf,"Due today",IF(L216&lt;=AsOf+SoonDays,"Due soon","Scheduled"))))))</f>
        <v/>
      </c>
      <c r="Q216" s="50">
        <f>IF(C216="","",IF(B216="","",AsOf-B216))</f>
        <v/>
      </c>
      <c r="R216" s="49">
        <f>IF(C216="","",IF(O216&lt;&gt;"Booked","",IF(COUNTIF('CUSTOMERS'!$B$5:$B$404,C216)&gt;0,"✓ In CUSTOMERS","Add to CUSTOMERS")))</f>
        <v/>
      </c>
      <c r="S216" s="49">
        <f>IF(C216="","",IF(OR(J216="Booked",J216="Recurring Client",J216="Lost/Declined"),0,1))</f>
        <v/>
      </c>
      <c r="T216" s="51">
        <f>IF(B216="","",DATE(YEAR(B216),MONTH(B216),1))</f>
        <v/>
      </c>
      <c r="U216" s="49">
        <f>IF(OR(S216&lt;&gt;1,L216=""),"",COUNTIFS('LEADS'!$S$5:$S$504,1,'LEADS'!$L$5:$L$504,"&lt;"&amp;L216)+COUNTIFS($S$5:S216,1,$L$5:L216,L216))</f>
        <v/>
      </c>
    </row>
    <row r="217">
      <c r="A217" s="46" t="inlineStr">
        <is>
          <t>L-0213</t>
        </is>
      </c>
      <c r="B217" s="47" t="n"/>
      <c r="C217" s="38" t="n"/>
      <c r="D217" s="38" t="n"/>
      <c r="E217" s="38" t="n"/>
      <c r="F217" s="38" t="n"/>
      <c r="G217" s="38" t="n"/>
      <c r="H217" s="38" t="n"/>
      <c r="I217" s="48" t="n"/>
      <c r="J217" s="38" t="n"/>
      <c r="K217" s="47" t="n"/>
      <c r="L217" s="47" t="n"/>
      <c r="M217" s="38" t="n"/>
      <c r="N217" s="38" t="n"/>
      <c r="O217" s="49">
        <f>IF(C217="","",IF(OR(J217="Booked",J217="Recurring Client"),"Booked",IF(J217="Lost/Declined","Lost","Open")))</f>
        <v/>
      </c>
      <c r="P217" s="49">
        <f>IF(C217="","",IF(S217=0,"—",IF(L217="","Set date",IF(L217&lt;AsOf,"Overdue",IF(L217=AsOf,"Due today",IF(L217&lt;=AsOf+SoonDays,"Due soon","Scheduled"))))))</f>
        <v/>
      </c>
      <c r="Q217" s="50">
        <f>IF(C217="","",IF(B217="","",AsOf-B217))</f>
        <v/>
      </c>
      <c r="R217" s="49">
        <f>IF(C217="","",IF(O217&lt;&gt;"Booked","",IF(COUNTIF('CUSTOMERS'!$B$5:$B$404,C217)&gt;0,"✓ In CUSTOMERS","Add to CUSTOMERS")))</f>
        <v/>
      </c>
      <c r="S217" s="49">
        <f>IF(C217="","",IF(OR(J217="Booked",J217="Recurring Client",J217="Lost/Declined"),0,1))</f>
        <v/>
      </c>
      <c r="T217" s="51">
        <f>IF(B217="","",DATE(YEAR(B217),MONTH(B217),1))</f>
        <v/>
      </c>
      <c r="U217" s="49">
        <f>IF(OR(S217&lt;&gt;1,L217=""),"",COUNTIFS('LEADS'!$S$5:$S$504,1,'LEADS'!$L$5:$L$504,"&lt;"&amp;L217)+COUNTIFS($S$5:S217,1,$L$5:L217,L217))</f>
        <v/>
      </c>
    </row>
    <row r="218">
      <c r="A218" s="46" t="inlineStr">
        <is>
          <t>L-0214</t>
        </is>
      </c>
      <c r="B218" s="47" t="n"/>
      <c r="C218" s="38" t="n"/>
      <c r="D218" s="38" t="n"/>
      <c r="E218" s="38" t="n"/>
      <c r="F218" s="38" t="n"/>
      <c r="G218" s="38" t="n"/>
      <c r="H218" s="38" t="n"/>
      <c r="I218" s="48" t="n"/>
      <c r="J218" s="38" t="n"/>
      <c r="K218" s="47" t="n"/>
      <c r="L218" s="47" t="n"/>
      <c r="M218" s="38" t="n"/>
      <c r="N218" s="38" t="n"/>
      <c r="O218" s="49">
        <f>IF(C218="","",IF(OR(J218="Booked",J218="Recurring Client"),"Booked",IF(J218="Lost/Declined","Lost","Open")))</f>
        <v/>
      </c>
      <c r="P218" s="49">
        <f>IF(C218="","",IF(S218=0,"—",IF(L218="","Set date",IF(L218&lt;AsOf,"Overdue",IF(L218=AsOf,"Due today",IF(L218&lt;=AsOf+SoonDays,"Due soon","Scheduled"))))))</f>
        <v/>
      </c>
      <c r="Q218" s="50">
        <f>IF(C218="","",IF(B218="","",AsOf-B218))</f>
        <v/>
      </c>
      <c r="R218" s="49">
        <f>IF(C218="","",IF(O218&lt;&gt;"Booked","",IF(COUNTIF('CUSTOMERS'!$B$5:$B$404,C218)&gt;0,"✓ In CUSTOMERS","Add to CUSTOMERS")))</f>
        <v/>
      </c>
      <c r="S218" s="49">
        <f>IF(C218="","",IF(OR(J218="Booked",J218="Recurring Client",J218="Lost/Declined"),0,1))</f>
        <v/>
      </c>
      <c r="T218" s="51">
        <f>IF(B218="","",DATE(YEAR(B218),MONTH(B218),1))</f>
        <v/>
      </c>
      <c r="U218" s="49">
        <f>IF(OR(S218&lt;&gt;1,L218=""),"",COUNTIFS('LEADS'!$S$5:$S$504,1,'LEADS'!$L$5:$L$504,"&lt;"&amp;L218)+COUNTIFS($S$5:S218,1,$L$5:L218,L218))</f>
        <v/>
      </c>
    </row>
    <row r="219">
      <c r="A219" s="46" t="inlineStr">
        <is>
          <t>L-0215</t>
        </is>
      </c>
      <c r="B219" s="47" t="n"/>
      <c r="C219" s="38" t="n"/>
      <c r="D219" s="38" t="n"/>
      <c r="E219" s="38" t="n"/>
      <c r="F219" s="38" t="n"/>
      <c r="G219" s="38" t="n"/>
      <c r="H219" s="38" t="n"/>
      <c r="I219" s="48" t="n"/>
      <c r="J219" s="38" t="n"/>
      <c r="K219" s="47" t="n"/>
      <c r="L219" s="47" t="n"/>
      <c r="M219" s="38" t="n"/>
      <c r="N219" s="38" t="n"/>
      <c r="O219" s="49">
        <f>IF(C219="","",IF(OR(J219="Booked",J219="Recurring Client"),"Booked",IF(J219="Lost/Declined","Lost","Open")))</f>
        <v/>
      </c>
      <c r="P219" s="49">
        <f>IF(C219="","",IF(S219=0,"—",IF(L219="","Set date",IF(L219&lt;AsOf,"Overdue",IF(L219=AsOf,"Due today",IF(L219&lt;=AsOf+SoonDays,"Due soon","Scheduled"))))))</f>
        <v/>
      </c>
      <c r="Q219" s="50">
        <f>IF(C219="","",IF(B219="","",AsOf-B219))</f>
        <v/>
      </c>
      <c r="R219" s="49">
        <f>IF(C219="","",IF(O219&lt;&gt;"Booked","",IF(COUNTIF('CUSTOMERS'!$B$5:$B$404,C219)&gt;0,"✓ In CUSTOMERS","Add to CUSTOMERS")))</f>
        <v/>
      </c>
      <c r="S219" s="49">
        <f>IF(C219="","",IF(OR(J219="Booked",J219="Recurring Client",J219="Lost/Declined"),0,1))</f>
        <v/>
      </c>
      <c r="T219" s="51">
        <f>IF(B219="","",DATE(YEAR(B219),MONTH(B219),1))</f>
        <v/>
      </c>
      <c r="U219" s="49">
        <f>IF(OR(S219&lt;&gt;1,L219=""),"",COUNTIFS('LEADS'!$S$5:$S$504,1,'LEADS'!$L$5:$L$504,"&lt;"&amp;L219)+COUNTIFS($S$5:S219,1,$L$5:L219,L219))</f>
        <v/>
      </c>
    </row>
    <row r="220">
      <c r="A220" s="46" t="inlineStr">
        <is>
          <t>L-0216</t>
        </is>
      </c>
      <c r="B220" s="47" t="n"/>
      <c r="C220" s="38" t="n"/>
      <c r="D220" s="38" t="n"/>
      <c r="E220" s="38" t="n"/>
      <c r="F220" s="38" t="n"/>
      <c r="G220" s="38" t="n"/>
      <c r="H220" s="38" t="n"/>
      <c r="I220" s="48" t="n"/>
      <c r="J220" s="38" t="n"/>
      <c r="K220" s="47" t="n"/>
      <c r="L220" s="47" t="n"/>
      <c r="M220" s="38" t="n"/>
      <c r="N220" s="38" t="n"/>
      <c r="O220" s="49">
        <f>IF(C220="","",IF(OR(J220="Booked",J220="Recurring Client"),"Booked",IF(J220="Lost/Declined","Lost","Open")))</f>
        <v/>
      </c>
      <c r="P220" s="49">
        <f>IF(C220="","",IF(S220=0,"—",IF(L220="","Set date",IF(L220&lt;AsOf,"Overdue",IF(L220=AsOf,"Due today",IF(L220&lt;=AsOf+SoonDays,"Due soon","Scheduled"))))))</f>
        <v/>
      </c>
      <c r="Q220" s="50">
        <f>IF(C220="","",IF(B220="","",AsOf-B220))</f>
        <v/>
      </c>
      <c r="R220" s="49">
        <f>IF(C220="","",IF(O220&lt;&gt;"Booked","",IF(COUNTIF('CUSTOMERS'!$B$5:$B$404,C220)&gt;0,"✓ In CUSTOMERS","Add to CUSTOMERS")))</f>
        <v/>
      </c>
      <c r="S220" s="49">
        <f>IF(C220="","",IF(OR(J220="Booked",J220="Recurring Client",J220="Lost/Declined"),0,1))</f>
        <v/>
      </c>
      <c r="T220" s="51">
        <f>IF(B220="","",DATE(YEAR(B220),MONTH(B220),1))</f>
        <v/>
      </c>
      <c r="U220" s="49">
        <f>IF(OR(S220&lt;&gt;1,L220=""),"",COUNTIFS('LEADS'!$S$5:$S$504,1,'LEADS'!$L$5:$L$504,"&lt;"&amp;L220)+COUNTIFS($S$5:S220,1,$L$5:L220,L220))</f>
        <v/>
      </c>
    </row>
    <row r="221">
      <c r="A221" s="46" t="inlineStr">
        <is>
          <t>L-0217</t>
        </is>
      </c>
      <c r="B221" s="47" t="n"/>
      <c r="C221" s="38" t="n"/>
      <c r="D221" s="38" t="n"/>
      <c r="E221" s="38" t="n"/>
      <c r="F221" s="38" t="n"/>
      <c r="G221" s="38" t="n"/>
      <c r="H221" s="38" t="n"/>
      <c r="I221" s="48" t="n"/>
      <c r="J221" s="38" t="n"/>
      <c r="K221" s="47" t="n"/>
      <c r="L221" s="47" t="n"/>
      <c r="M221" s="38" t="n"/>
      <c r="N221" s="38" t="n"/>
      <c r="O221" s="49">
        <f>IF(C221="","",IF(OR(J221="Booked",J221="Recurring Client"),"Booked",IF(J221="Lost/Declined","Lost","Open")))</f>
        <v/>
      </c>
      <c r="P221" s="49">
        <f>IF(C221="","",IF(S221=0,"—",IF(L221="","Set date",IF(L221&lt;AsOf,"Overdue",IF(L221=AsOf,"Due today",IF(L221&lt;=AsOf+SoonDays,"Due soon","Scheduled"))))))</f>
        <v/>
      </c>
      <c r="Q221" s="50">
        <f>IF(C221="","",IF(B221="","",AsOf-B221))</f>
        <v/>
      </c>
      <c r="R221" s="49">
        <f>IF(C221="","",IF(O221&lt;&gt;"Booked","",IF(COUNTIF('CUSTOMERS'!$B$5:$B$404,C221)&gt;0,"✓ In CUSTOMERS","Add to CUSTOMERS")))</f>
        <v/>
      </c>
      <c r="S221" s="49">
        <f>IF(C221="","",IF(OR(J221="Booked",J221="Recurring Client",J221="Lost/Declined"),0,1))</f>
        <v/>
      </c>
      <c r="T221" s="51">
        <f>IF(B221="","",DATE(YEAR(B221),MONTH(B221),1))</f>
        <v/>
      </c>
      <c r="U221" s="49">
        <f>IF(OR(S221&lt;&gt;1,L221=""),"",COUNTIFS('LEADS'!$S$5:$S$504,1,'LEADS'!$L$5:$L$504,"&lt;"&amp;L221)+COUNTIFS($S$5:S221,1,$L$5:L221,L221))</f>
        <v/>
      </c>
    </row>
    <row r="222">
      <c r="A222" s="46" t="inlineStr">
        <is>
          <t>L-0218</t>
        </is>
      </c>
      <c r="B222" s="47" t="n"/>
      <c r="C222" s="38" t="n"/>
      <c r="D222" s="38" t="n"/>
      <c r="E222" s="38" t="n"/>
      <c r="F222" s="38" t="n"/>
      <c r="G222" s="38" t="n"/>
      <c r="H222" s="38" t="n"/>
      <c r="I222" s="48" t="n"/>
      <c r="J222" s="38" t="n"/>
      <c r="K222" s="47" t="n"/>
      <c r="L222" s="47" t="n"/>
      <c r="M222" s="38" t="n"/>
      <c r="N222" s="38" t="n"/>
      <c r="O222" s="49">
        <f>IF(C222="","",IF(OR(J222="Booked",J222="Recurring Client"),"Booked",IF(J222="Lost/Declined","Lost","Open")))</f>
        <v/>
      </c>
      <c r="P222" s="49">
        <f>IF(C222="","",IF(S222=0,"—",IF(L222="","Set date",IF(L222&lt;AsOf,"Overdue",IF(L222=AsOf,"Due today",IF(L222&lt;=AsOf+SoonDays,"Due soon","Scheduled"))))))</f>
        <v/>
      </c>
      <c r="Q222" s="50">
        <f>IF(C222="","",IF(B222="","",AsOf-B222))</f>
        <v/>
      </c>
      <c r="R222" s="49">
        <f>IF(C222="","",IF(O222&lt;&gt;"Booked","",IF(COUNTIF('CUSTOMERS'!$B$5:$B$404,C222)&gt;0,"✓ In CUSTOMERS","Add to CUSTOMERS")))</f>
        <v/>
      </c>
      <c r="S222" s="49">
        <f>IF(C222="","",IF(OR(J222="Booked",J222="Recurring Client",J222="Lost/Declined"),0,1))</f>
        <v/>
      </c>
      <c r="T222" s="51">
        <f>IF(B222="","",DATE(YEAR(B222),MONTH(B222),1))</f>
        <v/>
      </c>
      <c r="U222" s="49">
        <f>IF(OR(S222&lt;&gt;1,L222=""),"",COUNTIFS('LEADS'!$S$5:$S$504,1,'LEADS'!$L$5:$L$504,"&lt;"&amp;L222)+COUNTIFS($S$5:S222,1,$L$5:L222,L222))</f>
        <v/>
      </c>
    </row>
    <row r="223">
      <c r="A223" s="46" t="inlineStr">
        <is>
          <t>L-0219</t>
        </is>
      </c>
      <c r="B223" s="47" t="n"/>
      <c r="C223" s="38" t="n"/>
      <c r="D223" s="38" t="n"/>
      <c r="E223" s="38" t="n"/>
      <c r="F223" s="38" t="n"/>
      <c r="G223" s="38" t="n"/>
      <c r="H223" s="38" t="n"/>
      <c r="I223" s="48" t="n"/>
      <c r="J223" s="38" t="n"/>
      <c r="K223" s="47" t="n"/>
      <c r="L223" s="47" t="n"/>
      <c r="M223" s="38" t="n"/>
      <c r="N223" s="38" t="n"/>
      <c r="O223" s="49">
        <f>IF(C223="","",IF(OR(J223="Booked",J223="Recurring Client"),"Booked",IF(J223="Lost/Declined","Lost","Open")))</f>
        <v/>
      </c>
      <c r="P223" s="49">
        <f>IF(C223="","",IF(S223=0,"—",IF(L223="","Set date",IF(L223&lt;AsOf,"Overdue",IF(L223=AsOf,"Due today",IF(L223&lt;=AsOf+SoonDays,"Due soon","Scheduled"))))))</f>
        <v/>
      </c>
      <c r="Q223" s="50">
        <f>IF(C223="","",IF(B223="","",AsOf-B223))</f>
        <v/>
      </c>
      <c r="R223" s="49">
        <f>IF(C223="","",IF(O223&lt;&gt;"Booked","",IF(COUNTIF('CUSTOMERS'!$B$5:$B$404,C223)&gt;0,"✓ In CUSTOMERS","Add to CUSTOMERS")))</f>
        <v/>
      </c>
      <c r="S223" s="49">
        <f>IF(C223="","",IF(OR(J223="Booked",J223="Recurring Client",J223="Lost/Declined"),0,1))</f>
        <v/>
      </c>
      <c r="T223" s="51">
        <f>IF(B223="","",DATE(YEAR(B223),MONTH(B223),1))</f>
        <v/>
      </c>
      <c r="U223" s="49">
        <f>IF(OR(S223&lt;&gt;1,L223=""),"",COUNTIFS('LEADS'!$S$5:$S$504,1,'LEADS'!$L$5:$L$504,"&lt;"&amp;L223)+COUNTIFS($S$5:S223,1,$L$5:L223,L223))</f>
        <v/>
      </c>
    </row>
    <row r="224">
      <c r="A224" s="46" t="inlineStr">
        <is>
          <t>L-0220</t>
        </is>
      </c>
      <c r="B224" s="47" t="n"/>
      <c r="C224" s="38" t="n"/>
      <c r="D224" s="38" t="n"/>
      <c r="E224" s="38" t="n"/>
      <c r="F224" s="38" t="n"/>
      <c r="G224" s="38" t="n"/>
      <c r="H224" s="38" t="n"/>
      <c r="I224" s="48" t="n"/>
      <c r="J224" s="38" t="n"/>
      <c r="K224" s="47" t="n"/>
      <c r="L224" s="47" t="n"/>
      <c r="M224" s="38" t="n"/>
      <c r="N224" s="38" t="n"/>
      <c r="O224" s="49">
        <f>IF(C224="","",IF(OR(J224="Booked",J224="Recurring Client"),"Booked",IF(J224="Lost/Declined","Lost","Open")))</f>
        <v/>
      </c>
      <c r="P224" s="49">
        <f>IF(C224="","",IF(S224=0,"—",IF(L224="","Set date",IF(L224&lt;AsOf,"Overdue",IF(L224=AsOf,"Due today",IF(L224&lt;=AsOf+SoonDays,"Due soon","Scheduled"))))))</f>
        <v/>
      </c>
      <c r="Q224" s="50">
        <f>IF(C224="","",IF(B224="","",AsOf-B224))</f>
        <v/>
      </c>
      <c r="R224" s="49">
        <f>IF(C224="","",IF(O224&lt;&gt;"Booked","",IF(COUNTIF('CUSTOMERS'!$B$5:$B$404,C224)&gt;0,"✓ In CUSTOMERS","Add to CUSTOMERS")))</f>
        <v/>
      </c>
      <c r="S224" s="49">
        <f>IF(C224="","",IF(OR(J224="Booked",J224="Recurring Client",J224="Lost/Declined"),0,1))</f>
        <v/>
      </c>
      <c r="T224" s="51">
        <f>IF(B224="","",DATE(YEAR(B224),MONTH(B224),1))</f>
        <v/>
      </c>
      <c r="U224" s="49">
        <f>IF(OR(S224&lt;&gt;1,L224=""),"",COUNTIFS('LEADS'!$S$5:$S$504,1,'LEADS'!$L$5:$L$504,"&lt;"&amp;L224)+COUNTIFS($S$5:S224,1,$L$5:L224,L224))</f>
        <v/>
      </c>
    </row>
    <row r="225">
      <c r="A225" s="46" t="inlineStr">
        <is>
          <t>L-0221</t>
        </is>
      </c>
      <c r="B225" s="47" t="n"/>
      <c r="C225" s="38" t="n"/>
      <c r="D225" s="38" t="n"/>
      <c r="E225" s="38" t="n"/>
      <c r="F225" s="38" t="n"/>
      <c r="G225" s="38" t="n"/>
      <c r="H225" s="38" t="n"/>
      <c r="I225" s="48" t="n"/>
      <c r="J225" s="38" t="n"/>
      <c r="K225" s="47" t="n"/>
      <c r="L225" s="47" t="n"/>
      <c r="M225" s="38" t="n"/>
      <c r="N225" s="38" t="n"/>
      <c r="O225" s="49">
        <f>IF(C225="","",IF(OR(J225="Booked",J225="Recurring Client"),"Booked",IF(J225="Lost/Declined","Lost","Open")))</f>
        <v/>
      </c>
      <c r="P225" s="49">
        <f>IF(C225="","",IF(S225=0,"—",IF(L225="","Set date",IF(L225&lt;AsOf,"Overdue",IF(L225=AsOf,"Due today",IF(L225&lt;=AsOf+SoonDays,"Due soon","Scheduled"))))))</f>
        <v/>
      </c>
      <c r="Q225" s="50">
        <f>IF(C225="","",IF(B225="","",AsOf-B225))</f>
        <v/>
      </c>
      <c r="R225" s="49">
        <f>IF(C225="","",IF(O225&lt;&gt;"Booked","",IF(COUNTIF('CUSTOMERS'!$B$5:$B$404,C225)&gt;0,"✓ In CUSTOMERS","Add to CUSTOMERS")))</f>
        <v/>
      </c>
      <c r="S225" s="49">
        <f>IF(C225="","",IF(OR(J225="Booked",J225="Recurring Client",J225="Lost/Declined"),0,1))</f>
        <v/>
      </c>
      <c r="T225" s="51">
        <f>IF(B225="","",DATE(YEAR(B225),MONTH(B225),1))</f>
        <v/>
      </c>
      <c r="U225" s="49">
        <f>IF(OR(S225&lt;&gt;1,L225=""),"",COUNTIFS('LEADS'!$S$5:$S$504,1,'LEADS'!$L$5:$L$504,"&lt;"&amp;L225)+COUNTIFS($S$5:S225,1,$L$5:L225,L225))</f>
        <v/>
      </c>
    </row>
    <row r="226">
      <c r="A226" s="46" t="inlineStr">
        <is>
          <t>L-0222</t>
        </is>
      </c>
      <c r="B226" s="47" t="n"/>
      <c r="C226" s="38" t="n"/>
      <c r="D226" s="38" t="n"/>
      <c r="E226" s="38" t="n"/>
      <c r="F226" s="38" t="n"/>
      <c r="G226" s="38" t="n"/>
      <c r="H226" s="38" t="n"/>
      <c r="I226" s="48" t="n"/>
      <c r="J226" s="38" t="n"/>
      <c r="K226" s="47" t="n"/>
      <c r="L226" s="47" t="n"/>
      <c r="M226" s="38" t="n"/>
      <c r="N226" s="38" t="n"/>
      <c r="O226" s="49">
        <f>IF(C226="","",IF(OR(J226="Booked",J226="Recurring Client"),"Booked",IF(J226="Lost/Declined","Lost","Open")))</f>
        <v/>
      </c>
      <c r="P226" s="49">
        <f>IF(C226="","",IF(S226=0,"—",IF(L226="","Set date",IF(L226&lt;AsOf,"Overdue",IF(L226=AsOf,"Due today",IF(L226&lt;=AsOf+SoonDays,"Due soon","Scheduled"))))))</f>
        <v/>
      </c>
      <c r="Q226" s="50">
        <f>IF(C226="","",IF(B226="","",AsOf-B226))</f>
        <v/>
      </c>
      <c r="R226" s="49">
        <f>IF(C226="","",IF(O226&lt;&gt;"Booked","",IF(COUNTIF('CUSTOMERS'!$B$5:$B$404,C226)&gt;0,"✓ In CUSTOMERS","Add to CUSTOMERS")))</f>
        <v/>
      </c>
      <c r="S226" s="49">
        <f>IF(C226="","",IF(OR(J226="Booked",J226="Recurring Client",J226="Lost/Declined"),0,1))</f>
        <v/>
      </c>
      <c r="T226" s="51">
        <f>IF(B226="","",DATE(YEAR(B226),MONTH(B226),1))</f>
        <v/>
      </c>
      <c r="U226" s="49">
        <f>IF(OR(S226&lt;&gt;1,L226=""),"",COUNTIFS('LEADS'!$S$5:$S$504,1,'LEADS'!$L$5:$L$504,"&lt;"&amp;L226)+COUNTIFS($S$5:S226,1,$L$5:L226,L226))</f>
        <v/>
      </c>
    </row>
    <row r="227">
      <c r="A227" s="46" t="inlineStr">
        <is>
          <t>L-0223</t>
        </is>
      </c>
      <c r="B227" s="47" t="n"/>
      <c r="C227" s="38" t="n"/>
      <c r="D227" s="38" t="n"/>
      <c r="E227" s="38" t="n"/>
      <c r="F227" s="38" t="n"/>
      <c r="G227" s="38" t="n"/>
      <c r="H227" s="38" t="n"/>
      <c r="I227" s="48" t="n"/>
      <c r="J227" s="38" t="n"/>
      <c r="K227" s="47" t="n"/>
      <c r="L227" s="47" t="n"/>
      <c r="M227" s="38" t="n"/>
      <c r="N227" s="38" t="n"/>
      <c r="O227" s="49">
        <f>IF(C227="","",IF(OR(J227="Booked",J227="Recurring Client"),"Booked",IF(J227="Lost/Declined","Lost","Open")))</f>
        <v/>
      </c>
      <c r="P227" s="49">
        <f>IF(C227="","",IF(S227=0,"—",IF(L227="","Set date",IF(L227&lt;AsOf,"Overdue",IF(L227=AsOf,"Due today",IF(L227&lt;=AsOf+SoonDays,"Due soon","Scheduled"))))))</f>
        <v/>
      </c>
      <c r="Q227" s="50">
        <f>IF(C227="","",IF(B227="","",AsOf-B227))</f>
        <v/>
      </c>
      <c r="R227" s="49">
        <f>IF(C227="","",IF(O227&lt;&gt;"Booked","",IF(COUNTIF('CUSTOMERS'!$B$5:$B$404,C227)&gt;0,"✓ In CUSTOMERS","Add to CUSTOMERS")))</f>
        <v/>
      </c>
      <c r="S227" s="49">
        <f>IF(C227="","",IF(OR(J227="Booked",J227="Recurring Client",J227="Lost/Declined"),0,1))</f>
        <v/>
      </c>
      <c r="T227" s="51">
        <f>IF(B227="","",DATE(YEAR(B227),MONTH(B227),1))</f>
        <v/>
      </c>
      <c r="U227" s="49">
        <f>IF(OR(S227&lt;&gt;1,L227=""),"",COUNTIFS('LEADS'!$S$5:$S$504,1,'LEADS'!$L$5:$L$504,"&lt;"&amp;L227)+COUNTIFS($S$5:S227,1,$L$5:L227,L227))</f>
        <v/>
      </c>
    </row>
    <row r="228">
      <c r="A228" s="46" t="inlineStr">
        <is>
          <t>L-0224</t>
        </is>
      </c>
      <c r="B228" s="47" t="n"/>
      <c r="C228" s="38" t="n"/>
      <c r="D228" s="38" t="n"/>
      <c r="E228" s="38" t="n"/>
      <c r="F228" s="38" t="n"/>
      <c r="G228" s="38" t="n"/>
      <c r="H228" s="38" t="n"/>
      <c r="I228" s="48" t="n"/>
      <c r="J228" s="38" t="n"/>
      <c r="K228" s="47" t="n"/>
      <c r="L228" s="47" t="n"/>
      <c r="M228" s="38" t="n"/>
      <c r="N228" s="38" t="n"/>
      <c r="O228" s="49">
        <f>IF(C228="","",IF(OR(J228="Booked",J228="Recurring Client"),"Booked",IF(J228="Lost/Declined","Lost","Open")))</f>
        <v/>
      </c>
      <c r="P228" s="49">
        <f>IF(C228="","",IF(S228=0,"—",IF(L228="","Set date",IF(L228&lt;AsOf,"Overdue",IF(L228=AsOf,"Due today",IF(L228&lt;=AsOf+SoonDays,"Due soon","Scheduled"))))))</f>
        <v/>
      </c>
      <c r="Q228" s="50">
        <f>IF(C228="","",IF(B228="","",AsOf-B228))</f>
        <v/>
      </c>
      <c r="R228" s="49">
        <f>IF(C228="","",IF(O228&lt;&gt;"Booked","",IF(COUNTIF('CUSTOMERS'!$B$5:$B$404,C228)&gt;0,"✓ In CUSTOMERS","Add to CUSTOMERS")))</f>
        <v/>
      </c>
      <c r="S228" s="49">
        <f>IF(C228="","",IF(OR(J228="Booked",J228="Recurring Client",J228="Lost/Declined"),0,1))</f>
        <v/>
      </c>
      <c r="T228" s="51">
        <f>IF(B228="","",DATE(YEAR(B228),MONTH(B228),1))</f>
        <v/>
      </c>
      <c r="U228" s="49">
        <f>IF(OR(S228&lt;&gt;1,L228=""),"",COUNTIFS('LEADS'!$S$5:$S$504,1,'LEADS'!$L$5:$L$504,"&lt;"&amp;L228)+COUNTIFS($S$5:S228,1,$L$5:L228,L228))</f>
        <v/>
      </c>
    </row>
    <row r="229">
      <c r="A229" s="46" t="inlineStr">
        <is>
          <t>L-0225</t>
        </is>
      </c>
      <c r="B229" s="47" t="n"/>
      <c r="C229" s="38" t="n"/>
      <c r="D229" s="38" t="n"/>
      <c r="E229" s="38" t="n"/>
      <c r="F229" s="38" t="n"/>
      <c r="G229" s="38" t="n"/>
      <c r="H229" s="38" t="n"/>
      <c r="I229" s="48" t="n"/>
      <c r="J229" s="38" t="n"/>
      <c r="K229" s="47" t="n"/>
      <c r="L229" s="47" t="n"/>
      <c r="M229" s="38" t="n"/>
      <c r="N229" s="38" t="n"/>
      <c r="O229" s="49">
        <f>IF(C229="","",IF(OR(J229="Booked",J229="Recurring Client"),"Booked",IF(J229="Lost/Declined","Lost","Open")))</f>
        <v/>
      </c>
      <c r="P229" s="49">
        <f>IF(C229="","",IF(S229=0,"—",IF(L229="","Set date",IF(L229&lt;AsOf,"Overdue",IF(L229=AsOf,"Due today",IF(L229&lt;=AsOf+SoonDays,"Due soon","Scheduled"))))))</f>
        <v/>
      </c>
      <c r="Q229" s="50">
        <f>IF(C229="","",IF(B229="","",AsOf-B229))</f>
        <v/>
      </c>
      <c r="R229" s="49">
        <f>IF(C229="","",IF(O229&lt;&gt;"Booked","",IF(COUNTIF('CUSTOMERS'!$B$5:$B$404,C229)&gt;0,"✓ In CUSTOMERS","Add to CUSTOMERS")))</f>
        <v/>
      </c>
      <c r="S229" s="49">
        <f>IF(C229="","",IF(OR(J229="Booked",J229="Recurring Client",J229="Lost/Declined"),0,1))</f>
        <v/>
      </c>
      <c r="T229" s="51">
        <f>IF(B229="","",DATE(YEAR(B229),MONTH(B229),1))</f>
        <v/>
      </c>
      <c r="U229" s="49">
        <f>IF(OR(S229&lt;&gt;1,L229=""),"",COUNTIFS('LEADS'!$S$5:$S$504,1,'LEADS'!$L$5:$L$504,"&lt;"&amp;L229)+COUNTIFS($S$5:S229,1,$L$5:L229,L229))</f>
        <v/>
      </c>
    </row>
    <row r="230">
      <c r="A230" s="46" t="inlineStr">
        <is>
          <t>L-0226</t>
        </is>
      </c>
      <c r="B230" s="47" t="n"/>
      <c r="C230" s="38" t="n"/>
      <c r="D230" s="38" t="n"/>
      <c r="E230" s="38" t="n"/>
      <c r="F230" s="38" t="n"/>
      <c r="G230" s="38" t="n"/>
      <c r="H230" s="38" t="n"/>
      <c r="I230" s="48" t="n"/>
      <c r="J230" s="38" t="n"/>
      <c r="K230" s="47" t="n"/>
      <c r="L230" s="47" t="n"/>
      <c r="M230" s="38" t="n"/>
      <c r="N230" s="38" t="n"/>
      <c r="O230" s="49">
        <f>IF(C230="","",IF(OR(J230="Booked",J230="Recurring Client"),"Booked",IF(J230="Lost/Declined","Lost","Open")))</f>
        <v/>
      </c>
      <c r="P230" s="49">
        <f>IF(C230="","",IF(S230=0,"—",IF(L230="","Set date",IF(L230&lt;AsOf,"Overdue",IF(L230=AsOf,"Due today",IF(L230&lt;=AsOf+SoonDays,"Due soon","Scheduled"))))))</f>
        <v/>
      </c>
      <c r="Q230" s="50">
        <f>IF(C230="","",IF(B230="","",AsOf-B230))</f>
        <v/>
      </c>
      <c r="R230" s="49">
        <f>IF(C230="","",IF(O230&lt;&gt;"Booked","",IF(COUNTIF('CUSTOMERS'!$B$5:$B$404,C230)&gt;0,"✓ In CUSTOMERS","Add to CUSTOMERS")))</f>
        <v/>
      </c>
      <c r="S230" s="49">
        <f>IF(C230="","",IF(OR(J230="Booked",J230="Recurring Client",J230="Lost/Declined"),0,1))</f>
        <v/>
      </c>
      <c r="T230" s="51">
        <f>IF(B230="","",DATE(YEAR(B230),MONTH(B230),1))</f>
        <v/>
      </c>
      <c r="U230" s="49">
        <f>IF(OR(S230&lt;&gt;1,L230=""),"",COUNTIFS('LEADS'!$S$5:$S$504,1,'LEADS'!$L$5:$L$504,"&lt;"&amp;L230)+COUNTIFS($S$5:S230,1,$L$5:L230,L230))</f>
        <v/>
      </c>
    </row>
    <row r="231">
      <c r="A231" s="46" t="inlineStr">
        <is>
          <t>L-0227</t>
        </is>
      </c>
      <c r="B231" s="47" t="n"/>
      <c r="C231" s="38" t="n"/>
      <c r="D231" s="38" t="n"/>
      <c r="E231" s="38" t="n"/>
      <c r="F231" s="38" t="n"/>
      <c r="G231" s="38" t="n"/>
      <c r="H231" s="38" t="n"/>
      <c r="I231" s="48" t="n"/>
      <c r="J231" s="38" t="n"/>
      <c r="K231" s="47" t="n"/>
      <c r="L231" s="47" t="n"/>
      <c r="M231" s="38" t="n"/>
      <c r="N231" s="38" t="n"/>
      <c r="O231" s="49">
        <f>IF(C231="","",IF(OR(J231="Booked",J231="Recurring Client"),"Booked",IF(J231="Lost/Declined","Lost","Open")))</f>
        <v/>
      </c>
      <c r="P231" s="49">
        <f>IF(C231="","",IF(S231=0,"—",IF(L231="","Set date",IF(L231&lt;AsOf,"Overdue",IF(L231=AsOf,"Due today",IF(L231&lt;=AsOf+SoonDays,"Due soon","Scheduled"))))))</f>
        <v/>
      </c>
      <c r="Q231" s="50">
        <f>IF(C231="","",IF(B231="","",AsOf-B231))</f>
        <v/>
      </c>
      <c r="R231" s="49">
        <f>IF(C231="","",IF(O231&lt;&gt;"Booked","",IF(COUNTIF('CUSTOMERS'!$B$5:$B$404,C231)&gt;0,"✓ In CUSTOMERS","Add to CUSTOMERS")))</f>
        <v/>
      </c>
      <c r="S231" s="49">
        <f>IF(C231="","",IF(OR(J231="Booked",J231="Recurring Client",J231="Lost/Declined"),0,1))</f>
        <v/>
      </c>
      <c r="T231" s="51">
        <f>IF(B231="","",DATE(YEAR(B231),MONTH(B231),1))</f>
        <v/>
      </c>
      <c r="U231" s="49">
        <f>IF(OR(S231&lt;&gt;1,L231=""),"",COUNTIFS('LEADS'!$S$5:$S$504,1,'LEADS'!$L$5:$L$504,"&lt;"&amp;L231)+COUNTIFS($S$5:S231,1,$L$5:L231,L231))</f>
        <v/>
      </c>
    </row>
    <row r="232">
      <c r="A232" s="46" t="inlineStr">
        <is>
          <t>L-0228</t>
        </is>
      </c>
      <c r="B232" s="47" t="n"/>
      <c r="C232" s="38" t="n"/>
      <c r="D232" s="38" t="n"/>
      <c r="E232" s="38" t="n"/>
      <c r="F232" s="38" t="n"/>
      <c r="G232" s="38" t="n"/>
      <c r="H232" s="38" t="n"/>
      <c r="I232" s="48" t="n"/>
      <c r="J232" s="38" t="n"/>
      <c r="K232" s="47" t="n"/>
      <c r="L232" s="47" t="n"/>
      <c r="M232" s="38" t="n"/>
      <c r="N232" s="38" t="n"/>
      <c r="O232" s="49">
        <f>IF(C232="","",IF(OR(J232="Booked",J232="Recurring Client"),"Booked",IF(J232="Lost/Declined","Lost","Open")))</f>
        <v/>
      </c>
      <c r="P232" s="49">
        <f>IF(C232="","",IF(S232=0,"—",IF(L232="","Set date",IF(L232&lt;AsOf,"Overdue",IF(L232=AsOf,"Due today",IF(L232&lt;=AsOf+SoonDays,"Due soon","Scheduled"))))))</f>
        <v/>
      </c>
      <c r="Q232" s="50">
        <f>IF(C232="","",IF(B232="","",AsOf-B232))</f>
        <v/>
      </c>
      <c r="R232" s="49">
        <f>IF(C232="","",IF(O232&lt;&gt;"Booked","",IF(COUNTIF('CUSTOMERS'!$B$5:$B$404,C232)&gt;0,"✓ In CUSTOMERS","Add to CUSTOMERS")))</f>
        <v/>
      </c>
      <c r="S232" s="49">
        <f>IF(C232="","",IF(OR(J232="Booked",J232="Recurring Client",J232="Lost/Declined"),0,1))</f>
        <v/>
      </c>
      <c r="T232" s="51">
        <f>IF(B232="","",DATE(YEAR(B232),MONTH(B232),1))</f>
        <v/>
      </c>
      <c r="U232" s="49">
        <f>IF(OR(S232&lt;&gt;1,L232=""),"",COUNTIFS('LEADS'!$S$5:$S$504,1,'LEADS'!$L$5:$L$504,"&lt;"&amp;L232)+COUNTIFS($S$5:S232,1,$L$5:L232,L232))</f>
        <v/>
      </c>
    </row>
    <row r="233">
      <c r="A233" s="46" t="inlineStr">
        <is>
          <t>L-0229</t>
        </is>
      </c>
      <c r="B233" s="47" t="n"/>
      <c r="C233" s="38" t="n"/>
      <c r="D233" s="38" t="n"/>
      <c r="E233" s="38" t="n"/>
      <c r="F233" s="38" t="n"/>
      <c r="G233" s="38" t="n"/>
      <c r="H233" s="38" t="n"/>
      <c r="I233" s="48" t="n"/>
      <c r="J233" s="38" t="n"/>
      <c r="K233" s="47" t="n"/>
      <c r="L233" s="47" t="n"/>
      <c r="M233" s="38" t="n"/>
      <c r="N233" s="38" t="n"/>
      <c r="O233" s="49">
        <f>IF(C233="","",IF(OR(J233="Booked",J233="Recurring Client"),"Booked",IF(J233="Lost/Declined","Lost","Open")))</f>
        <v/>
      </c>
      <c r="P233" s="49">
        <f>IF(C233="","",IF(S233=0,"—",IF(L233="","Set date",IF(L233&lt;AsOf,"Overdue",IF(L233=AsOf,"Due today",IF(L233&lt;=AsOf+SoonDays,"Due soon","Scheduled"))))))</f>
        <v/>
      </c>
      <c r="Q233" s="50">
        <f>IF(C233="","",IF(B233="","",AsOf-B233))</f>
        <v/>
      </c>
      <c r="R233" s="49">
        <f>IF(C233="","",IF(O233&lt;&gt;"Booked","",IF(COUNTIF('CUSTOMERS'!$B$5:$B$404,C233)&gt;0,"✓ In CUSTOMERS","Add to CUSTOMERS")))</f>
        <v/>
      </c>
      <c r="S233" s="49">
        <f>IF(C233="","",IF(OR(J233="Booked",J233="Recurring Client",J233="Lost/Declined"),0,1))</f>
        <v/>
      </c>
      <c r="T233" s="51">
        <f>IF(B233="","",DATE(YEAR(B233),MONTH(B233),1))</f>
        <v/>
      </c>
      <c r="U233" s="49">
        <f>IF(OR(S233&lt;&gt;1,L233=""),"",COUNTIFS('LEADS'!$S$5:$S$504,1,'LEADS'!$L$5:$L$504,"&lt;"&amp;L233)+COUNTIFS($S$5:S233,1,$L$5:L233,L233))</f>
        <v/>
      </c>
    </row>
    <row r="234">
      <c r="A234" s="46" t="inlineStr">
        <is>
          <t>L-0230</t>
        </is>
      </c>
      <c r="B234" s="47" t="n"/>
      <c r="C234" s="38" t="n"/>
      <c r="D234" s="38" t="n"/>
      <c r="E234" s="38" t="n"/>
      <c r="F234" s="38" t="n"/>
      <c r="G234" s="38" t="n"/>
      <c r="H234" s="38" t="n"/>
      <c r="I234" s="48" t="n"/>
      <c r="J234" s="38" t="n"/>
      <c r="K234" s="47" t="n"/>
      <c r="L234" s="47" t="n"/>
      <c r="M234" s="38" t="n"/>
      <c r="N234" s="38" t="n"/>
      <c r="O234" s="49">
        <f>IF(C234="","",IF(OR(J234="Booked",J234="Recurring Client"),"Booked",IF(J234="Lost/Declined","Lost","Open")))</f>
        <v/>
      </c>
      <c r="P234" s="49">
        <f>IF(C234="","",IF(S234=0,"—",IF(L234="","Set date",IF(L234&lt;AsOf,"Overdue",IF(L234=AsOf,"Due today",IF(L234&lt;=AsOf+SoonDays,"Due soon","Scheduled"))))))</f>
        <v/>
      </c>
      <c r="Q234" s="50">
        <f>IF(C234="","",IF(B234="","",AsOf-B234))</f>
        <v/>
      </c>
      <c r="R234" s="49">
        <f>IF(C234="","",IF(O234&lt;&gt;"Booked","",IF(COUNTIF('CUSTOMERS'!$B$5:$B$404,C234)&gt;0,"✓ In CUSTOMERS","Add to CUSTOMERS")))</f>
        <v/>
      </c>
      <c r="S234" s="49">
        <f>IF(C234="","",IF(OR(J234="Booked",J234="Recurring Client",J234="Lost/Declined"),0,1))</f>
        <v/>
      </c>
      <c r="T234" s="51">
        <f>IF(B234="","",DATE(YEAR(B234),MONTH(B234),1))</f>
        <v/>
      </c>
      <c r="U234" s="49">
        <f>IF(OR(S234&lt;&gt;1,L234=""),"",COUNTIFS('LEADS'!$S$5:$S$504,1,'LEADS'!$L$5:$L$504,"&lt;"&amp;L234)+COUNTIFS($S$5:S234,1,$L$5:L234,L234))</f>
        <v/>
      </c>
    </row>
    <row r="235">
      <c r="A235" s="46" t="inlineStr">
        <is>
          <t>L-0231</t>
        </is>
      </c>
      <c r="B235" s="47" t="n"/>
      <c r="C235" s="38" t="n"/>
      <c r="D235" s="38" t="n"/>
      <c r="E235" s="38" t="n"/>
      <c r="F235" s="38" t="n"/>
      <c r="G235" s="38" t="n"/>
      <c r="H235" s="38" t="n"/>
      <c r="I235" s="48" t="n"/>
      <c r="J235" s="38" t="n"/>
      <c r="K235" s="47" t="n"/>
      <c r="L235" s="47" t="n"/>
      <c r="M235" s="38" t="n"/>
      <c r="N235" s="38" t="n"/>
      <c r="O235" s="49">
        <f>IF(C235="","",IF(OR(J235="Booked",J235="Recurring Client"),"Booked",IF(J235="Lost/Declined","Lost","Open")))</f>
        <v/>
      </c>
      <c r="P235" s="49">
        <f>IF(C235="","",IF(S235=0,"—",IF(L235="","Set date",IF(L235&lt;AsOf,"Overdue",IF(L235=AsOf,"Due today",IF(L235&lt;=AsOf+SoonDays,"Due soon","Scheduled"))))))</f>
        <v/>
      </c>
      <c r="Q235" s="50">
        <f>IF(C235="","",IF(B235="","",AsOf-B235))</f>
        <v/>
      </c>
      <c r="R235" s="49">
        <f>IF(C235="","",IF(O235&lt;&gt;"Booked","",IF(COUNTIF('CUSTOMERS'!$B$5:$B$404,C235)&gt;0,"✓ In CUSTOMERS","Add to CUSTOMERS")))</f>
        <v/>
      </c>
      <c r="S235" s="49">
        <f>IF(C235="","",IF(OR(J235="Booked",J235="Recurring Client",J235="Lost/Declined"),0,1))</f>
        <v/>
      </c>
      <c r="T235" s="51">
        <f>IF(B235="","",DATE(YEAR(B235),MONTH(B235),1))</f>
        <v/>
      </c>
      <c r="U235" s="49">
        <f>IF(OR(S235&lt;&gt;1,L235=""),"",COUNTIFS('LEADS'!$S$5:$S$504,1,'LEADS'!$L$5:$L$504,"&lt;"&amp;L235)+COUNTIFS($S$5:S235,1,$L$5:L235,L235))</f>
        <v/>
      </c>
    </row>
    <row r="236">
      <c r="A236" s="46" t="inlineStr">
        <is>
          <t>L-0232</t>
        </is>
      </c>
      <c r="B236" s="47" t="n"/>
      <c r="C236" s="38" t="n"/>
      <c r="D236" s="38" t="n"/>
      <c r="E236" s="38" t="n"/>
      <c r="F236" s="38" t="n"/>
      <c r="G236" s="38" t="n"/>
      <c r="H236" s="38" t="n"/>
      <c r="I236" s="48" t="n"/>
      <c r="J236" s="38" t="n"/>
      <c r="K236" s="47" t="n"/>
      <c r="L236" s="47" t="n"/>
      <c r="M236" s="38" t="n"/>
      <c r="N236" s="38" t="n"/>
      <c r="O236" s="49">
        <f>IF(C236="","",IF(OR(J236="Booked",J236="Recurring Client"),"Booked",IF(J236="Lost/Declined","Lost","Open")))</f>
        <v/>
      </c>
      <c r="P236" s="49">
        <f>IF(C236="","",IF(S236=0,"—",IF(L236="","Set date",IF(L236&lt;AsOf,"Overdue",IF(L236=AsOf,"Due today",IF(L236&lt;=AsOf+SoonDays,"Due soon","Scheduled"))))))</f>
        <v/>
      </c>
      <c r="Q236" s="50">
        <f>IF(C236="","",IF(B236="","",AsOf-B236))</f>
        <v/>
      </c>
      <c r="R236" s="49">
        <f>IF(C236="","",IF(O236&lt;&gt;"Booked","",IF(COUNTIF('CUSTOMERS'!$B$5:$B$404,C236)&gt;0,"✓ In CUSTOMERS","Add to CUSTOMERS")))</f>
        <v/>
      </c>
      <c r="S236" s="49">
        <f>IF(C236="","",IF(OR(J236="Booked",J236="Recurring Client",J236="Lost/Declined"),0,1))</f>
        <v/>
      </c>
      <c r="T236" s="51">
        <f>IF(B236="","",DATE(YEAR(B236),MONTH(B236),1))</f>
        <v/>
      </c>
      <c r="U236" s="49">
        <f>IF(OR(S236&lt;&gt;1,L236=""),"",COUNTIFS('LEADS'!$S$5:$S$504,1,'LEADS'!$L$5:$L$504,"&lt;"&amp;L236)+COUNTIFS($S$5:S236,1,$L$5:L236,L236))</f>
        <v/>
      </c>
    </row>
    <row r="237">
      <c r="A237" s="46" t="inlineStr">
        <is>
          <t>L-0233</t>
        </is>
      </c>
      <c r="B237" s="47" t="n"/>
      <c r="C237" s="38" t="n"/>
      <c r="D237" s="38" t="n"/>
      <c r="E237" s="38" t="n"/>
      <c r="F237" s="38" t="n"/>
      <c r="G237" s="38" t="n"/>
      <c r="H237" s="38" t="n"/>
      <c r="I237" s="48" t="n"/>
      <c r="J237" s="38" t="n"/>
      <c r="K237" s="47" t="n"/>
      <c r="L237" s="47" t="n"/>
      <c r="M237" s="38" t="n"/>
      <c r="N237" s="38" t="n"/>
      <c r="O237" s="49">
        <f>IF(C237="","",IF(OR(J237="Booked",J237="Recurring Client"),"Booked",IF(J237="Lost/Declined","Lost","Open")))</f>
        <v/>
      </c>
      <c r="P237" s="49">
        <f>IF(C237="","",IF(S237=0,"—",IF(L237="","Set date",IF(L237&lt;AsOf,"Overdue",IF(L237=AsOf,"Due today",IF(L237&lt;=AsOf+SoonDays,"Due soon","Scheduled"))))))</f>
        <v/>
      </c>
      <c r="Q237" s="50">
        <f>IF(C237="","",IF(B237="","",AsOf-B237))</f>
        <v/>
      </c>
      <c r="R237" s="49">
        <f>IF(C237="","",IF(O237&lt;&gt;"Booked","",IF(COUNTIF('CUSTOMERS'!$B$5:$B$404,C237)&gt;0,"✓ In CUSTOMERS","Add to CUSTOMERS")))</f>
        <v/>
      </c>
      <c r="S237" s="49">
        <f>IF(C237="","",IF(OR(J237="Booked",J237="Recurring Client",J237="Lost/Declined"),0,1))</f>
        <v/>
      </c>
      <c r="T237" s="51">
        <f>IF(B237="","",DATE(YEAR(B237),MONTH(B237),1))</f>
        <v/>
      </c>
      <c r="U237" s="49">
        <f>IF(OR(S237&lt;&gt;1,L237=""),"",COUNTIFS('LEADS'!$S$5:$S$504,1,'LEADS'!$L$5:$L$504,"&lt;"&amp;L237)+COUNTIFS($S$5:S237,1,$L$5:L237,L237))</f>
        <v/>
      </c>
    </row>
    <row r="238">
      <c r="A238" s="46" t="inlineStr">
        <is>
          <t>L-0234</t>
        </is>
      </c>
      <c r="B238" s="47" t="n"/>
      <c r="C238" s="38" t="n"/>
      <c r="D238" s="38" t="n"/>
      <c r="E238" s="38" t="n"/>
      <c r="F238" s="38" t="n"/>
      <c r="G238" s="38" t="n"/>
      <c r="H238" s="38" t="n"/>
      <c r="I238" s="48" t="n"/>
      <c r="J238" s="38" t="n"/>
      <c r="K238" s="47" t="n"/>
      <c r="L238" s="47" t="n"/>
      <c r="M238" s="38" t="n"/>
      <c r="N238" s="38" t="n"/>
      <c r="O238" s="49">
        <f>IF(C238="","",IF(OR(J238="Booked",J238="Recurring Client"),"Booked",IF(J238="Lost/Declined","Lost","Open")))</f>
        <v/>
      </c>
      <c r="P238" s="49">
        <f>IF(C238="","",IF(S238=0,"—",IF(L238="","Set date",IF(L238&lt;AsOf,"Overdue",IF(L238=AsOf,"Due today",IF(L238&lt;=AsOf+SoonDays,"Due soon","Scheduled"))))))</f>
        <v/>
      </c>
      <c r="Q238" s="50">
        <f>IF(C238="","",IF(B238="","",AsOf-B238))</f>
        <v/>
      </c>
      <c r="R238" s="49">
        <f>IF(C238="","",IF(O238&lt;&gt;"Booked","",IF(COUNTIF('CUSTOMERS'!$B$5:$B$404,C238)&gt;0,"✓ In CUSTOMERS","Add to CUSTOMERS")))</f>
        <v/>
      </c>
      <c r="S238" s="49">
        <f>IF(C238="","",IF(OR(J238="Booked",J238="Recurring Client",J238="Lost/Declined"),0,1))</f>
        <v/>
      </c>
      <c r="T238" s="51">
        <f>IF(B238="","",DATE(YEAR(B238),MONTH(B238),1))</f>
        <v/>
      </c>
      <c r="U238" s="49">
        <f>IF(OR(S238&lt;&gt;1,L238=""),"",COUNTIFS('LEADS'!$S$5:$S$504,1,'LEADS'!$L$5:$L$504,"&lt;"&amp;L238)+COUNTIFS($S$5:S238,1,$L$5:L238,L238))</f>
        <v/>
      </c>
    </row>
    <row r="239">
      <c r="A239" s="46" t="inlineStr">
        <is>
          <t>L-0235</t>
        </is>
      </c>
      <c r="B239" s="47" t="n"/>
      <c r="C239" s="38" t="n"/>
      <c r="D239" s="38" t="n"/>
      <c r="E239" s="38" t="n"/>
      <c r="F239" s="38" t="n"/>
      <c r="G239" s="38" t="n"/>
      <c r="H239" s="38" t="n"/>
      <c r="I239" s="48" t="n"/>
      <c r="J239" s="38" t="n"/>
      <c r="K239" s="47" t="n"/>
      <c r="L239" s="47" t="n"/>
      <c r="M239" s="38" t="n"/>
      <c r="N239" s="38" t="n"/>
      <c r="O239" s="49">
        <f>IF(C239="","",IF(OR(J239="Booked",J239="Recurring Client"),"Booked",IF(J239="Lost/Declined","Lost","Open")))</f>
        <v/>
      </c>
      <c r="P239" s="49">
        <f>IF(C239="","",IF(S239=0,"—",IF(L239="","Set date",IF(L239&lt;AsOf,"Overdue",IF(L239=AsOf,"Due today",IF(L239&lt;=AsOf+SoonDays,"Due soon","Scheduled"))))))</f>
        <v/>
      </c>
      <c r="Q239" s="50">
        <f>IF(C239="","",IF(B239="","",AsOf-B239))</f>
        <v/>
      </c>
      <c r="R239" s="49">
        <f>IF(C239="","",IF(O239&lt;&gt;"Booked","",IF(COUNTIF('CUSTOMERS'!$B$5:$B$404,C239)&gt;0,"✓ In CUSTOMERS","Add to CUSTOMERS")))</f>
        <v/>
      </c>
      <c r="S239" s="49">
        <f>IF(C239="","",IF(OR(J239="Booked",J239="Recurring Client",J239="Lost/Declined"),0,1))</f>
        <v/>
      </c>
      <c r="T239" s="51">
        <f>IF(B239="","",DATE(YEAR(B239),MONTH(B239),1))</f>
        <v/>
      </c>
      <c r="U239" s="49">
        <f>IF(OR(S239&lt;&gt;1,L239=""),"",COUNTIFS('LEADS'!$S$5:$S$504,1,'LEADS'!$L$5:$L$504,"&lt;"&amp;L239)+COUNTIFS($S$5:S239,1,$L$5:L239,L239))</f>
        <v/>
      </c>
    </row>
    <row r="240">
      <c r="A240" s="46" t="inlineStr">
        <is>
          <t>L-0236</t>
        </is>
      </c>
      <c r="B240" s="47" t="n"/>
      <c r="C240" s="38" t="n"/>
      <c r="D240" s="38" t="n"/>
      <c r="E240" s="38" t="n"/>
      <c r="F240" s="38" t="n"/>
      <c r="G240" s="38" t="n"/>
      <c r="H240" s="38" t="n"/>
      <c r="I240" s="48" t="n"/>
      <c r="J240" s="38" t="n"/>
      <c r="K240" s="47" t="n"/>
      <c r="L240" s="47" t="n"/>
      <c r="M240" s="38" t="n"/>
      <c r="N240" s="38" t="n"/>
      <c r="O240" s="49">
        <f>IF(C240="","",IF(OR(J240="Booked",J240="Recurring Client"),"Booked",IF(J240="Lost/Declined","Lost","Open")))</f>
        <v/>
      </c>
      <c r="P240" s="49">
        <f>IF(C240="","",IF(S240=0,"—",IF(L240="","Set date",IF(L240&lt;AsOf,"Overdue",IF(L240=AsOf,"Due today",IF(L240&lt;=AsOf+SoonDays,"Due soon","Scheduled"))))))</f>
        <v/>
      </c>
      <c r="Q240" s="50">
        <f>IF(C240="","",IF(B240="","",AsOf-B240))</f>
        <v/>
      </c>
      <c r="R240" s="49">
        <f>IF(C240="","",IF(O240&lt;&gt;"Booked","",IF(COUNTIF('CUSTOMERS'!$B$5:$B$404,C240)&gt;0,"✓ In CUSTOMERS","Add to CUSTOMERS")))</f>
        <v/>
      </c>
      <c r="S240" s="49">
        <f>IF(C240="","",IF(OR(J240="Booked",J240="Recurring Client",J240="Lost/Declined"),0,1))</f>
        <v/>
      </c>
      <c r="T240" s="51">
        <f>IF(B240="","",DATE(YEAR(B240),MONTH(B240),1))</f>
        <v/>
      </c>
      <c r="U240" s="49">
        <f>IF(OR(S240&lt;&gt;1,L240=""),"",COUNTIFS('LEADS'!$S$5:$S$504,1,'LEADS'!$L$5:$L$504,"&lt;"&amp;L240)+COUNTIFS($S$5:S240,1,$L$5:L240,L240))</f>
        <v/>
      </c>
    </row>
    <row r="241">
      <c r="A241" s="46" t="inlineStr">
        <is>
          <t>L-0237</t>
        </is>
      </c>
      <c r="B241" s="47" t="n"/>
      <c r="C241" s="38" t="n"/>
      <c r="D241" s="38" t="n"/>
      <c r="E241" s="38" t="n"/>
      <c r="F241" s="38" t="n"/>
      <c r="G241" s="38" t="n"/>
      <c r="H241" s="38" t="n"/>
      <c r="I241" s="48" t="n"/>
      <c r="J241" s="38" t="n"/>
      <c r="K241" s="47" t="n"/>
      <c r="L241" s="47" t="n"/>
      <c r="M241" s="38" t="n"/>
      <c r="N241" s="38" t="n"/>
      <c r="O241" s="49">
        <f>IF(C241="","",IF(OR(J241="Booked",J241="Recurring Client"),"Booked",IF(J241="Lost/Declined","Lost","Open")))</f>
        <v/>
      </c>
      <c r="P241" s="49">
        <f>IF(C241="","",IF(S241=0,"—",IF(L241="","Set date",IF(L241&lt;AsOf,"Overdue",IF(L241=AsOf,"Due today",IF(L241&lt;=AsOf+SoonDays,"Due soon","Scheduled"))))))</f>
        <v/>
      </c>
      <c r="Q241" s="50">
        <f>IF(C241="","",IF(B241="","",AsOf-B241))</f>
        <v/>
      </c>
      <c r="R241" s="49">
        <f>IF(C241="","",IF(O241&lt;&gt;"Booked","",IF(COUNTIF('CUSTOMERS'!$B$5:$B$404,C241)&gt;0,"✓ In CUSTOMERS","Add to CUSTOMERS")))</f>
        <v/>
      </c>
      <c r="S241" s="49">
        <f>IF(C241="","",IF(OR(J241="Booked",J241="Recurring Client",J241="Lost/Declined"),0,1))</f>
        <v/>
      </c>
      <c r="T241" s="51">
        <f>IF(B241="","",DATE(YEAR(B241),MONTH(B241),1))</f>
        <v/>
      </c>
      <c r="U241" s="49">
        <f>IF(OR(S241&lt;&gt;1,L241=""),"",COUNTIFS('LEADS'!$S$5:$S$504,1,'LEADS'!$L$5:$L$504,"&lt;"&amp;L241)+COUNTIFS($S$5:S241,1,$L$5:L241,L241))</f>
        <v/>
      </c>
    </row>
    <row r="242">
      <c r="A242" s="46" t="inlineStr">
        <is>
          <t>L-0238</t>
        </is>
      </c>
      <c r="B242" s="47" t="n"/>
      <c r="C242" s="38" t="n"/>
      <c r="D242" s="38" t="n"/>
      <c r="E242" s="38" t="n"/>
      <c r="F242" s="38" t="n"/>
      <c r="G242" s="38" t="n"/>
      <c r="H242" s="38" t="n"/>
      <c r="I242" s="48" t="n"/>
      <c r="J242" s="38" t="n"/>
      <c r="K242" s="47" t="n"/>
      <c r="L242" s="47" t="n"/>
      <c r="M242" s="38" t="n"/>
      <c r="N242" s="38" t="n"/>
      <c r="O242" s="49">
        <f>IF(C242="","",IF(OR(J242="Booked",J242="Recurring Client"),"Booked",IF(J242="Lost/Declined","Lost","Open")))</f>
        <v/>
      </c>
      <c r="P242" s="49">
        <f>IF(C242="","",IF(S242=0,"—",IF(L242="","Set date",IF(L242&lt;AsOf,"Overdue",IF(L242=AsOf,"Due today",IF(L242&lt;=AsOf+SoonDays,"Due soon","Scheduled"))))))</f>
        <v/>
      </c>
      <c r="Q242" s="50">
        <f>IF(C242="","",IF(B242="","",AsOf-B242))</f>
        <v/>
      </c>
      <c r="R242" s="49">
        <f>IF(C242="","",IF(O242&lt;&gt;"Booked","",IF(COUNTIF('CUSTOMERS'!$B$5:$B$404,C242)&gt;0,"✓ In CUSTOMERS","Add to CUSTOMERS")))</f>
        <v/>
      </c>
      <c r="S242" s="49">
        <f>IF(C242="","",IF(OR(J242="Booked",J242="Recurring Client",J242="Lost/Declined"),0,1))</f>
        <v/>
      </c>
      <c r="T242" s="51">
        <f>IF(B242="","",DATE(YEAR(B242),MONTH(B242),1))</f>
        <v/>
      </c>
      <c r="U242" s="49">
        <f>IF(OR(S242&lt;&gt;1,L242=""),"",COUNTIFS('LEADS'!$S$5:$S$504,1,'LEADS'!$L$5:$L$504,"&lt;"&amp;L242)+COUNTIFS($S$5:S242,1,$L$5:L242,L242))</f>
        <v/>
      </c>
    </row>
    <row r="243">
      <c r="A243" s="46" t="inlineStr">
        <is>
          <t>L-0239</t>
        </is>
      </c>
      <c r="B243" s="47" t="n"/>
      <c r="C243" s="38" t="n"/>
      <c r="D243" s="38" t="n"/>
      <c r="E243" s="38" t="n"/>
      <c r="F243" s="38" t="n"/>
      <c r="G243" s="38" t="n"/>
      <c r="H243" s="38" t="n"/>
      <c r="I243" s="48" t="n"/>
      <c r="J243" s="38" t="n"/>
      <c r="K243" s="47" t="n"/>
      <c r="L243" s="47" t="n"/>
      <c r="M243" s="38" t="n"/>
      <c r="N243" s="38" t="n"/>
      <c r="O243" s="49">
        <f>IF(C243="","",IF(OR(J243="Booked",J243="Recurring Client"),"Booked",IF(J243="Lost/Declined","Lost","Open")))</f>
        <v/>
      </c>
      <c r="P243" s="49">
        <f>IF(C243="","",IF(S243=0,"—",IF(L243="","Set date",IF(L243&lt;AsOf,"Overdue",IF(L243=AsOf,"Due today",IF(L243&lt;=AsOf+SoonDays,"Due soon","Scheduled"))))))</f>
        <v/>
      </c>
      <c r="Q243" s="50">
        <f>IF(C243="","",IF(B243="","",AsOf-B243))</f>
        <v/>
      </c>
      <c r="R243" s="49">
        <f>IF(C243="","",IF(O243&lt;&gt;"Booked","",IF(COUNTIF('CUSTOMERS'!$B$5:$B$404,C243)&gt;0,"✓ In CUSTOMERS","Add to CUSTOMERS")))</f>
        <v/>
      </c>
      <c r="S243" s="49">
        <f>IF(C243="","",IF(OR(J243="Booked",J243="Recurring Client",J243="Lost/Declined"),0,1))</f>
        <v/>
      </c>
      <c r="T243" s="51">
        <f>IF(B243="","",DATE(YEAR(B243),MONTH(B243),1))</f>
        <v/>
      </c>
      <c r="U243" s="49">
        <f>IF(OR(S243&lt;&gt;1,L243=""),"",COUNTIFS('LEADS'!$S$5:$S$504,1,'LEADS'!$L$5:$L$504,"&lt;"&amp;L243)+COUNTIFS($S$5:S243,1,$L$5:L243,L243))</f>
        <v/>
      </c>
    </row>
    <row r="244">
      <c r="A244" s="46" t="inlineStr">
        <is>
          <t>L-0240</t>
        </is>
      </c>
      <c r="B244" s="47" t="n"/>
      <c r="C244" s="38" t="n"/>
      <c r="D244" s="38" t="n"/>
      <c r="E244" s="38" t="n"/>
      <c r="F244" s="38" t="n"/>
      <c r="G244" s="38" t="n"/>
      <c r="H244" s="38" t="n"/>
      <c r="I244" s="48" t="n"/>
      <c r="J244" s="38" t="n"/>
      <c r="K244" s="47" t="n"/>
      <c r="L244" s="47" t="n"/>
      <c r="M244" s="38" t="n"/>
      <c r="N244" s="38" t="n"/>
      <c r="O244" s="49">
        <f>IF(C244="","",IF(OR(J244="Booked",J244="Recurring Client"),"Booked",IF(J244="Lost/Declined","Lost","Open")))</f>
        <v/>
      </c>
      <c r="P244" s="49">
        <f>IF(C244="","",IF(S244=0,"—",IF(L244="","Set date",IF(L244&lt;AsOf,"Overdue",IF(L244=AsOf,"Due today",IF(L244&lt;=AsOf+SoonDays,"Due soon","Scheduled"))))))</f>
        <v/>
      </c>
      <c r="Q244" s="50">
        <f>IF(C244="","",IF(B244="","",AsOf-B244))</f>
        <v/>
      </c>
      <c r="R244" s="49">
        <f>IF(C244="","",IF(O244&lt;&gt;"Booked","",IF(COUNTIF('CUSTOMERS'!$B$5:$B$404,C244)&gt;0,"✓ In CUSTOMERS","Add to CUSTOMERS")))</f>
        <v/>
      </c>
      <c r="S244" s="49">
        <f>IF(C244="","",IF(OR(J244="Booked",J244="Recurring Client",J244="Lost/Declined"),0,1))</f>
        <v/>
      </c>
      <c r="T244" s="51">
        <f>IF(B244="","",DATE(YEAR(B244),MONTH(B244),1))</f>
        <v/>
      </c>
      <c r="U244" s="49">
        <f>IF(OR(S244&lt;&gt;1,L244=""),"",COUNTIFS('LEADS'!$S$5:$S$504,1,'LEADS'!$L$5:$L$504,"&lt;"&amp;L244)+COUNTIFS($S$5:S244,1,$L$5:L244,L244))</f>
        <v/>
      </c>
    </row>
    <row r="245">
      <c r="A245" s="46" t="inlineStr">
        <is>
          <t>L-0241</t>
        </is>
      </c>
      <c r="B245" s="47" t="n"/>
      <c r="C245" s="38" t="n"/>
      <c r="D245" s="38" t="n"/>
      <c r="E245" s="38" t="n"/>
      <c r="F245" s="38" t="n"/>
      <c r="G245" s="38" t="n"/>
      <c r="H245" s="38" t="n"/>
      <c r="I245" s="48" t="n"/>
      <c r="J245" s="38" t="n"/>
      <c r="K245" s="47" t="n"/>
      <c r="L245" s="47" t="n"/>
      <c r="M245" s="38" t="n"/>
      <c r="N245" s="38" t="n"/>
      <c r="O245" s="49">
        <f>IF(C245="","",IF(OR(J245="Booked",J245="Recurring Client"),"Booked",IF(J245="Lost/Declined","Lost","Open")))</f>
        <v/>
      </c>
      <c r="P245" s="49">
        <f>IF(C245="","",IF(S245=0,"—",IF(L245="","Set date",IF(L245&lt;AsOf,"Overdue",IF(L245=AsOf,"Due today",IF(L245&lt;=AsOf+SoonDays,"Due soon","Scheduled"))))))</f>
        <v/>
      </c>
      <c r="Q245" s="50">
        <f>IF(C245="","",IF(B245="","",AsOf-B245))</f>
        <v/>
      </c>
      <c r="R245" s="49">
        <f>IF(C245="","",IF(O245&lt;&gt;"Booked","",IF(COUNTIF('CUSTOMERS'!$B$5:$B$404,C245)&gt;0,"✓ In CUSTOMERS","Add to CUSTOMERS")))</f>
        <v/>
      </c>
      <c r="S245" s="49">
        <f>IF(C245="","",IF(OR(J245="Booked",J245="Recurring Client",J245="Lost/Declined"),0,1))</f>
        <v/>
      </c>
      <c r="T245" s="51">
        <f>IF(B245="","",DATE(YEAR(B245),MONTH(B245),1))</f>
        <v/>
      </c>
      <c r="U245" s="49">
        <f>IF(OR(S245&lt;&gt;1,L245=""),"",COUNTIFS('LEADS'!$S$5:$S$504,1,'LEADS'!$L$5:$L$504,"&lt;"&amp;L245)+COUNTIFS($S$5:S245,1,$L$5:L245,L245))</f>
        <v/>
      </c>
    </row>
    <row r="246">
      <c r="A246" s="46" t="inlineStr">
        <is>
          <t>L-0242</t>
        </is>
      </c>
      <c r="B246" s="47" t="n"/>
      <c r="C246" s="38" t="n"/>
      <c r="D246" s="38" t="n"/>
      <c r="E246" s="38" t="n"/>
      <c r="F246" s="38" t="n"/>
      <c r="G246" s="38" t="n"/>
      <c r="H246" s="38" t="n"/>
      <c r="I246" s="48" t="n"/>
      <c r="J246" s="38" t="n"/>
      <c r="K246" s="47" t="n"/>
      <c r="L246" s="47" t="n"/>
      <c r="M246" s="38" t="n"/>
      <c r="N246" s="38" t="n"/>
      <c r="O246" s="49">
        <f>IF(C246="","",IF(OR(J246="Booked",J246="Recurring Client"),"Booked",IF(J246="Lost/Declined","Lost","Open")))</f>
        <v/>
      </c>
      <c r="P246" s="49">
        <f>IF(C246="","",IF(S246=0,"—",IF(L246="","Set date",IF(L246&lt;AsOf,"Overdue",IF(L246=AsOf,"Due today",IF(L246&lt;=AsOf+SoonDays,"Due soon","Scheduled"))))))</f>
        <v/>
      </c>
      <c r="Q246" s="50">
        <f>IF(C246="","",IF(B246="","",AsOf-B246))</f>
        <v/>
      </c>
      <c r="R246" s="49">
        <f>IF(C246="","",IF(O246&lt;&gt;"Booked","",IF(COUNTIF('CUSTOMERS'!$B$5:$B$404,C246)&gt;0,"✓ In CUSTOMERS","Add to CUSTOMERS")))</f>
        <v/>
      </c>
      <c r="S246" s="49">
        <f>IF(C246="","",IF(OR(J246="Booked",J246="Recurring Client",J246="Lost/Declined"),0,1))</f>
        <v/>
      </c>
      <c r="T246" s="51">
        <f>IF(B246="","",DATE(YEAR(B246),MONTH(B246),1))</f>
        <v/>
      </c>
      <c r="U246" s="49">
        <f>IF(OR(S246&lt;&gt;1,L246=""),"",COUNTIFS('LEADS'!$S$5:$S$504,1,'LEADS'!$L$5:$L$504,"&lt;"&amp;L246)+COUNTIFS($S$5:S246,1,$L$5:L246,L246))</f>
        <v/>
      </c>
    </row>
    <row r="247">
      <c r="A247" s="46" t="inlineStr">
        <is>
          <t>L-0243</t>
        </is>
      </c>
      <c r="B247" s="47" t="n"/>
      <c r="C247" s="38" t="n"/>
      <c r="D247" s="38" t="n"/>
      <c r="E247" s="38" t="n"/>
      <c r="F247" s="38" t="n"/>
      <c r="G247" s="38" t="n"/>
      <c r="H247" s="38" t="n"/>
      <c r="I247" s="48" t="n"/>
      <c r="J247" s="38" t="n"/>
      <c r="K247" s="47" t="n"/>
      <c r="L247" s="47" t="n"/>
      <c r="M247" s="38" t="n"/>
      <c r="N247" s="38" t="n"/>
      <c r="O247" s="49">
        <f>IF(C247="","",IF(OR(J247="Booked",J247="Recurring Client"),"Booked",IF(J247="Lost/Declined","Lost","Open")))</f>
        <v/>
      </c>
      <c r="P247" s="49">
        <f>IF(C247="","",IF(S247=0,"—",IF(L247="","Set date",IF(L247&lt;AsOf,"Overdue",IF(L247=AsOf,"Due today",IF(L247&lt;=AsOf+SoonDays,"Due soon","Scheduled"))))))</f>
        <v/>
      </c>
      <c r="Q247" s="50">
        <f>IF(C247="","",IF(B247="","",AsOf-B247))</f>
        <v/>
      </c>
      <c r="R247" s="49">
        <f>IF(C247="","",IF(O247&lt;&gt;"Booked","",IF(COUNTIF('CUSTOMERS'!$B$5:$B$404,C247)&gt;0,"✓ In CUSTOMERS","Add to CUSTOMERS")))</f>
        <v/>
      </c>
      <c r="S247" s="49">
        <f>IF(C247="","",IF(OR(J247="Booked",J247="Recurring Client",J247="Lost/Declined"),0,1))</f>
        <v/>
      </c>
      <c r="T247" s="51">
        <f>IF(B247="","",DATE(YEAR(B247),MONTH(B247),1))</f>
        <v/>
      </c>
      <c r="U247" s="49">
        <f>IF(OR(S247&lt;&gt;1,L247=""),"",COUNTIFS('LEADS'!$S$5:$S$504,1,'LEADS'!$L$5:$L$504,"&lt;"&amp;L247)+COUNTIFS($S$5:S247,1,$L$5:L247,L247))</f>
        <v/>
      </c>
    </row>
    <row r="248">
      <c r="A248" s="46" t="inlineStr">
        <is>
          <t>L-0244</t>
        </is>
      </c>
      <c r="B248" s="47" t="n"/>
      <c r="C248" s="38" t="n"/>
      <c r="D248" s="38" t="n"/>
      <c r="E248" s="38" t="n"/>
      <c r="F248" s="38" t="n"/>
      <c r="G248" s="38" t="n"/>
      <c r="H248" s="38" t="n"/>
      <c r="I248" s="48" t="n"/>
      <c r="J248" s="38" t="n"/>
      <c r="K248" s="47" t="n"/>
      <c r="L248" s="47" t="n"/>
      <c r="M248" s="38" t="n"/>
      <c r="N248" s="38" t="n"/>
      <c r="O248" s="49">
        <f>IF(C248="","",IF(OR(J248="Booked",J248="Recurring Client"),"Booked",IF(J248="Lost/Declined","Lost","Open")))</f>
        <v/>
      </c>
      <c r="P248" s="49">
        <f>IF(C248="","",IF(S248=0,"—",IF(L248="","Set date",IF(L248&lt;AsOf,"Overdue",IF(L248=AsOf,"Due today",IF(L248&lt;=AsOf+SoonDays,"Due soon","Scheduled"))))))</f>
        <v/>
      </c>
      <c r="Q248" s="50">
        <f>IF(C248="","",IF(B248="","",AsOf-B248))</f>
        <v/>
      </c>
      <c r="R248" s="49">
        <f>IF(C248="","",IF(O248&lt;&gt;"Booked","",IF(COUNTIF('CUSTOMERS'!$B$5:$B$404,C248)&gt;0,"✓ In CUSTOMERS","Add to CUSTOMERS")))</f>
        <v/>
      </c>
      <c r="S248" s="49">
        <f>IF(C248="","",IF(OR(J248="Booked",J248="Recurring Client",J248="Lost/Declined"),0,1))</f>
        <v/>
      </c>
      <c r="T248" s="51">
        <f>IF(B248="","",DATE(YEAR(B248),MONTH(B248),1))</f>
        <v/>
      </c>
      <c r="U248" s="49">
        <f>IF(OR(S248&lt;&gt;1,L248=""),"",COUNTIFS('LEADS'!$S$5:$S$504,1,'LEADS'!$L$5:$L$504,"&lt;"&amp;L248)+COUNTIFS($S$5:S248,1,$L$5:L248,L248))</f>
        <v/>
      </c>
    </row>
    <row r="249">
      <c r="A249" s="46" t="inlineStr">
        <is>
          <t>L-0245</t>
        </is>
      </c>
      <c r="B249" s="47" t="n"/>
      <c r="C249" s="38" t="n"/>
      <c r="D249" s="38" t="n"/>
      <c r="E249" s="38" t="n"/>
      <c r="F249" s="38" t="n"/>
      <c r="G249" s="38" t="n"/>
      <c r="H249" s="38" t="n"/>
      <c r="I249" s="48" t="n"/>
      <c r="J249" s="38" t="n"/>
      <c r="K249" s="47" t="n"/>
      <c r="L249" s="47" t="n"/>
      <c r="M249" s="38" t="n"/>
      <c r="N249" s="38" t="n"/>
      <c r="O249" s="49">
        <f>IF(C249="","",IF(OR(J249="Booked",J249="Recurring Client"),"Booked",IF(J249="Lost/Declined","Lost","Open")))</f>
        <v/>
      </c>
      <c r="P249" s="49">
        <f>IF(C249="","",IF(S249=0,"—",IF(L249="","Set date",IF(L249&lt;AsOf,"Overdue",IF(L249=AsOf,"Due today",IF(L249&lt;=AsOf+SoonDays,"Due soon","Scheduled"))))))</f>
        <v/>
      </c>
      <c r="Q249" s="50">
        <f>IF(C249="","",IF(B249="","",AsOf-B249))</f>
        <v/>
      </c>
      <c r="R249" s="49">
        <f>IF(C249="","",IF(O249&lt;&gt;"Booked","",IF(COUNTIF('CUSTOMERS'!$B$5:$B$404,C249)&gt;0,"✓ In CUSTOMERS","Add to CUSTOMERS")))</f>
        <v/>
      </c>
      <c r="S249" s="49">
        <f>IF(C249="","",IF(OR(J249="Booked",J249="Recurring Client",J249="Lost/Declined"),0,1))</f>
        <v/>
      </c>
      <c r="T249" s="51">
        <f>IF(B249="","",DATE(YEAR(B249),MONTH(B249),1))</f>
        <v/>
      </c>
      <c r="U249" s="49">
        <f>IF(OR(S249&lt;&gt;1,L249=""),"",COUNTIFS('LEADS'!$S$5:$S$504,1,'LEADS'!$L$5:$L$504,"&lt;"&amp;L249)+COUNTIFS($S$5:S249,1,$L$5:L249,L249))</f>
        <v/>
      </c>
    </row>
    <row r="250">
      <c r="A250" s="46" t="inlineStr">
        <is>
          <t>L-0246</t>
        </is>
      </c>
      <c r="B250" s="47" t="n"/>
      <c r="C250" s="38" t="n"/>
      <c r="D250" s="38" t="n"/>
      <c r="E250" s="38" t="n"/>
      <c r="F250" s="38" t="n"/>
      <c r="G250" s="38" t="n"/>
      <c r="H250" s="38" t="n"/>
      <c r="I250" s="48" t="n"/>
      <c r="J250" s="38" t="n"/>
      <c r="K250" s="47" t="n"/>
      <c r="L250" s="47" t="n"/>
      <c r="M250" s="38" t="n"/>
      <c r="N250" s="38" t="n"/>
      <c r="O250" s="49">
        <f>IF(C250="","",IF(OR(J250="Booked",J250="Recurring Client"),"Booked",IF(J250="Lost/Declined","Lost","Open")))</f>
        <v/>
      </c>
      <c r="P250" s="49">
        <f>IF(C250="","",IF(S250=0,"—",IF(L250="","Set date",IF(L250&lt;AsOf,"Overdue",IF(L250=AsOf,"Due today",IF(L250&lt;=AsOf+SoonDays,"Due soon","Scheduled"))))))</f>
        <v/>
      </c>
      <c r="Q250" s="50">
        <f>IF(C250="","",IF(B250="","",AsOf-B250))</f>
        <v/>
      </c>
      <c r="R250" s="49">
        <f>IF(C250="","",IF(O250&lt;&gt;"Booked","",IF(COUNTIF('CUSTOMERS'!$B$5:$B$404,C250)&gt;0,"✓ In CUSTOMERS","Add to CUSTOMERS")))</f>
        <v/>
      </c>
      <c r="S250" s="49">
        <f>IF(C250="","",IF(OR(J250="Booked",J250="Recurring Client",J250="Lost/Declined"),0,1))</f>
        <v/>
      </c>
      <c r="T250" s="51">
        <f>IF(B250="","",DATE(YEAR(B250),MONTH(B250),1))</f>
        <v/>
      </c>
      <c r="U250" s="49">
        <f>IF(OR(S250&lt;&gt;1,L250=""),"",COUNTIFS('LEADS'!$S$5:$S$504,1,'LEADS'!$L$5:$L$504,"&lt;"&amp;L250)+COUNTIFS($S$5:S250,1,$L$5:L250,L250))</f>
        <v/>
      </c>
    </row>
    <row r="251">
      <c r="A251" s="46" t="inlineStr">
        <is>
          <t>L-0247</t>
        </is>
      </c>
      <c r="B251" s="47" t="n"/>
      <c r="C251" s="38" t="n"/>
      <c r="D251" s="38" t="n"/>
      <c r="E251" s="38" t="n"/>
      <c r="F251" s="38" t="n"/>
      <c r="G251" s="38" t="n"/>
      <c r="H251" s="38" t="n"/>
      <c r="I251" s="48" t="n"/>
      <c r="J251" s="38" t="n"/>
      <c r="K251" s="47" t="n"/>
      <c r="L251" s="47" t="n"/>
      <c r="M251" s="38" t="n"/>
      <c r="N251" s="38" t="n"/>
      <c r="O251" s="49">
        <f>IF(C251="","",IF(OR(J251="Booked",J251="Recurring Client"),"Booked",IF(J251="Lost/Declined","Lost","Open")))</f>
        <v/>
      </c>
      <c r="P251" s="49">
        <f>IF(C251="","",IF(S251=0,"—",IF(L251="","Set date",IF(L251&lt;AsOf,"Overdue",IF(L251=AsOf,"Due today",IF(L251&lt;=AsOf+SoonDays,"Due soon","Scheduled"))))))</f>
        <v/>
      </c>
      <c r="Q251" s="50">
        <f>IF(C251="","",IF(B251="","",AsOf-B251))</f>
        <v/>
      </c>
      <c r="R251" s="49">
        <f>IF(C251="","",IF(O251&lt;&gt;"Booked","",IF(COUNTIF('CUSTOMERS'!$B$5:$B$404,C251)&gt;0,"✓ In CUSTOMERS","Add to CUSTOMERS")))</f>
        <v/>
      </c>
      <c r="S251" s="49">
        <f>IF(C251="","",IF(OR(J251="Booked",J251="Recurring Client",J251="Lost/Declined"),0,1))</f>
        <v/>
      </c>
      <c r="T251" s="51">
        <f>IF(B251="","",DATE(YEAR(B251),MONTH(B251),1))</f>
        <v/>
      </c>
      <c r="U251" s="49">
        <f>IF(OR(S251&lt;&gt;1,L251=""),"",COUNTIFS('LEADS'!$S$5:$S$504,1,'LEADS'!$L$5:$L$504,"&lt;"&amp;L251)+COUNTIFS($S$5:S251,1,$L$5:L251,L251))</f>
        <v/>
      </c>
    </row>
    <row r="252">
      <c r="A252" s="46" t="inlineStr">
        <is>
          <t>L-0248</t>
        </is>
      </c>
      <c r="B252" s="47" t="n"/>
      <c r="C252" s="38" t="n"/>
      <c r="D252" s="38" t="n"/>
      <c r="E252" s="38" t="n"/>
      <c r="F252" s="38" t="n"/>
      <c r="G252" s="38" t="n"/>
      <c r="H252" s="38" t="n"/>
      <c r="I252" s="48" t="n"/>
      <c r="J252" s="38" t="n"/>
      <c r="K252" s="47" t="n"/>
      <c r="L252" s="47" t="n"/>
      <c r="M252" s="38" t="n"/>
      <c r="N252" s="38" t="n"/>
      <c r="O252" s="49">
        <f>IF(C252="","",IF(OR(J252="Booked",J252="Recurring Client"),"Booked",IF(J252="Lost/Declined","Lost","Open")))</f>
        <v/>
      </c>
      <c r="P252" s="49">
        <f>IF(C252="","",IF(S252=0,"—",IF(L252="","Set date",IF(L252&lt;AsOf,"Overdue",IF(L252=AsOf,"Due today",IF(L252&lt;=AsOf+SoonDays,"Due soon","Scheduled"))))))</f>
        <v/>
      </c>
      <c r="Q252" s="50">
        <f>IF(C252="","",IF(B252="","",AsOf-B252))</f>
        <v/>
      </c>
      <c r="R252" s="49">
        <f>IF(C252="","",IF(O252&lt;&gt;"Booked","",IF(COUNTIF('CUSTOMERS'!$B$5:$B$404,C252)&gt;0,"✓ In CUSTOMERS","Add to CUSTOMERS")))</f>
        <v/>
      </c>
      <c r="S252" s="49">
        <f>IF(C252="","",IF(OR(J252="Booked",J252="Recurring Client",J252="Lost/Declined"),0,1))</f>
        <v/>
      </c>
      <c r="T252" s="51">
        <f>IF(B252="","",DATE(YEAR(B252),MONTH(B252),1))</f>
        <v/>
      </c>
      <c r="U252" s="49">
        <f>IF(OR(S252&lt;&gt;1,L252=""),"",COUNTIFS('LEADS'!$S$5:$S$504,1,'LEADS'!$L$5:$L$504,"&lt;"&amp;L252)+COUNTIFS($S$5:S252,1,$L$5:L252,L252))</f>
        <v/>
      </c>
    </row>
    <row r="253">
      <c r="A253" s="46" t="inlineStr">
        <is>
          <t>L-0249</t>
        </is>
      </c>
      <c r="B253" s="47" t="n"/>
      <c r="C253" s="38" t="n"/>
      <c r="D253" s="38" t="n"/>
      <c r="E253" s="38" t="n"/>
      <c r="F253" s="38" t="n"/>
      <c r="G253" s="38" t="n"/>
      <c r="H253" s="38" t="n"/>
      <c r="I253" s="48" t="n"/>
      <c r="J253" s="38" t="n"/>
      <c r="K253" s="47" t="n"/>
      <c r="L253" s="47" t="n"/>
      <c r="M253" s="38" t="n"/>
      <c r="N253" s="38" t="n"/>
      <c r="O253" s="49">
        <f>IF(C253="","",IF(OR(J253="Booked",J253="Recurring Client"),"Booked",IF(J253="Lost/Declined","Lost","Open")))</f>
        <v/>
      </c>
      <c r="P253" s="49">
        <f>IF(C253="","",IF(S253=0,"—",IF(L253="","Set date",IF(L253&lt;AsOf,"Overdue",IF(L253=AsOf,"Due today",IF(L253&lt;=AsOf+SoonDays,"Due soon","Scheduled"))))))</f>
        <v/>
      </c>
      <c r="Q253" s="50">
        <f>IF(C253="","",IF(B253="","",AsOf-B253))</f>
        <v/>
      </c>
      <c r="R253" s="49">
        <f>IF(C253="","",IF(O253&lt;&gt;"Booked","",IF(COUNTIF('CUSTOMERS'!$B$5:$B$404,C253)&gt;0,"✓ In CUSTOMERS","Add to CUSTOMERS")))</f>
        <v/>
      </c>
      <c r="S253" s="49">
        <f>IF(C253="","",IF(OR(J253="Booked",J253="Recurring Client",J253="Lost/Declined"),0,1))</f>
        <v/>
      </c>
      <c r="T253" s="51">
        <f>IF(B253="","",DATE(YEAR(B253),MONTH(B253),1))</f>
        <v/>
      </c>
      <c r="U253" s="49">
        <f>IF(OR(S253&lt;&gt;1,L253=""),"",COUNTIFS('LEADS'!$S$5:$S$504,1,'LEADS'!$L$5:$L$504,"&lt;"&amp;L253)+COUNTIFS($S$5:S253,1,$L$5:L253,L253))</f>
        <v/>
      </c>
    </row>
    <row r="254">
      <c r="A254" s="46" t="inlineStr">
        <is>
          <t>L-0250</t>
        </is>
      </c>
      <c r="B254" s="47" t="n"/>
      <c r="C254" s="38" t="n"/>
      <c r="D254" s="38" t="n"/>
      <c r="E254" s="38" t="n"/>
      <c r="F254" s="38" t="n"/>
      <c r="G254" s="38" t="n"/>
      <c r="H254" s="38" t="n"/>
      <c r="I254" s="48" t="n"/>
      <c r="J254" s="38" t="n"/>
      <c r="K254" s="47" t="n"/>
      <c r="L254" s="47" t="n"/>
      <c r="M254" s="38" t="n"/>
      <c r="N254" s="38" t="n"/>
      <c r="O254" s="49">
        <f>IF(C254="","",IF(OR(J254="Booked",J254="Recurring Client"),"Booked",IF(J254="Lost/Declined","Lost","Open")))</f>
        <v/>
      </c>
      <c r="P254" s="49">
        <f>IF(C254="","",IF(S254=0,"—",IF(L254="","Set date",IF(L254&lt;AsOf,"Overdue",IF(L254=AsOf,"Due today",IF(L254&lt;=AsOf+SoonDays,"Due soon","Scheduled"))))))</f>
        <v/>
      </c>
      <c r="Q254" s="50">
        <f>IF(C254="","",IF(B254="","",AsOf-B254))</f>
        <v/>
      </c>
      <c r="R254" s="49">
        <f>IF(C254="","",IF(O254&lt;&gt;"Booked","",IF(COUNTIF('CUSTOMERS'!$B$5:$B$404,C254)&gt;0,"✓ In CUSTOMERS","Add to CUSTOMERS")))</f>
        <v/>
      </c>
      <c r="S254" s="49">
        <f>IF(C254="","",IF(OR(J254="Booked",J254="Recurring Client",J254="Lost/Declined"),0,1))</f>
        <v/>
      </c>
      <c r="T254" s="51">
        <f>IF(B254="","",DATE(YEAR(B254),MONTH(B254),1))</f>
        <v/>
      </c>
      <c r="U254" s="49">
        <f>IF(OR(S254&lt;&gt;1,L254=""),"",COUNTIFS('LEADS'!$S$5:$S$504,1,'LEADS'!$L$5:$L$504,"&lt;"&amp;L254)+COUNTIFS($S$5:S254,1,$L$5:L254,L254))</f>
        <v/>
      </c>
    </row>
    <row r="255">
      <c r="A255" s="46" t="inlineStr">
        <is>
          <t>L-0251</t>
        </is>
      </c>
      <c r="B255" s="47" t="n"/>
      <c r="C255" s="38" t="n"/>
      <c r="D255" s="38" t="n"/>
      <c r="E255" s="38" t="n"/>
      <c r="F255" s="38" t="n"/>
      <c r="G255" s="38" t="n"/>
      <c r="H255" s="38" t="n"/>
      <c r="I255" s="48" t="n"/>
      <c r="J255" s="38" t="n"/>
      <c r="K255" s="47" t="n"/>
      <c r="L255" s="47" t="n"/>
      <c r="M255" s="38" t="n"/>
      <c r="N255" s="38" t="n"/>
      <c r="O255" s="49">
        <f>IF(C255="","",IF(OR(J255="Booked",J255="Recurring Client"),"Booked",IF(J255="Lost/Declined","Lost","Open")))</f>
        <v/>
      </c>
      <c r="P255" s="49">
        <f>IF(C255="","",IF(S255=0,"—",IF(L255="","Set date",IF(L255&lt;AsOf,"Overdue",IF(L255=AsOf,"Due today",IF(L255&lt;=AsOf+SoonDays,"Due soon","Scheduled"))))))</f>
        <v/>
      </c>
      <c r="Q255" s="50">
        <f>IF(C255="","",IF(B255="","",AsOf-B255))</f>
        <v/>
      </c>
      <c r="R255" s="49">
        <f>IF(C255="","",IF(O255&lt;&gt;"Booked","",IF(COUNTIF('CUSTOMERS'!$B$5:$B$404,C255)&gt;0,"✓ In CUSTOMERS","Add to CUSTOMERS")))</f>
        <v/>
      </c>
      <c r="S255" s="49">
        <f>IF(C255="","",IF(OR(J255="Booked",J255="Recurring Client",J255="Lost/Declined"),0,1))</f>
        <v/>
      </c>
      <c r="T255" s="51">
        <f>IF(B255="","",DATE(YEAR(B255),MONTH(B255),1))</f>
        <v/>
      </c>
      <c r="U255" s="49">
        <f>IF(OR(S255&lt;&gt;1,L255=""),"",COUNTIFS('LEADS'!$S$5:$S$504,1,'LEADS'!$L$5:$L$504,"&lt;"&amp;L255)+COUNTIFS($S$5:S255,1,$L$5:L255,L255))</f>
        <v/>
      </c>
    </row>
    <row r="256">
      <c r="A256" s="46" t="inlineStr">
        <is>
          <t>L-0252</t>
        </is>
      </c>
      <c r="B256" s="47" t="n"/>
      <c r="C256" s="38" t="n"/>
      <c r="D256" s="38" t="n"/>
      <c r="E256" s="38" t="n"/>
      <c r="F256" s="38" t="n"/>
      <c r="G256" s="38" t="n"/>
      <c r="H256" s="38" t="n"/>
      <c r="I256" s="48" t="n"/>
      <c r="J256" s="38" t="n"/>
      <c r="K256" s="47" t="n"/>
      <c r="L256" s="47" t="n"/>
      <c r="M256" s="38" t="n"/>
      <c r="N256" s="38" t="n"/>
      <c r="O256" s="49">
        <f>IF(C256="","",IF(OR(J256="Booked",J256="Recurring Client"),"Booked",IF(J256="Lost/Declined","Lost","Open")))</f>
        <v/>
      </c>
      <c r="P256" s="49">
        <f>IF(C256="","",IF(S256=0,"—",IF(L256="","Set date",IF(L256&lt;AsOf,"Overdue",IF(L256=AsOf,"Due today",IF(L256&lt;=AsOf+SoonDays,"Due soon","Scheduled"))))))</f>
        <v/>
      </c>
      <c r="Q256" s="50">
        <f>IF(C256="","",IF(B256="","",AsOf-B256))</f>
        <v/>
      </c>
      <c r="R256" s="49">
        <f>IF(C256="","",IF(O256&lt;&gt;"Booked","",IF(COUNTIF('CUSTOMERS'!$B$5:$B$404,C256)&gt;0,"✓ In CUSTOMERS","Add to CUSTOMERS")))</f>
        <v/>
      </c>
      <c r="S256" s="49">
        <f>IF(C256="","",IF(OR(J256="Booked",J256="Recurring Client",J256="Lost/Declined"),0,1))</f>
        <v/>
      </c>
      <c r="T256" s="51">
        <f>IF(B256="","",DATE(YEAR(B256),MONTH(B256),1))</f>
        <v/>
      </c>
      <c r="U256" s="49">
        <f>IF(OR(S256&lt;&gt;1,L256=""),"",COUNTIFS('LEADS'!$S$5:$S$504,1,'LEADS'!$L$5:$L$504,"&lt;"&amp;L256)+COUNTIFS($S$5:S256,1,$L$5:L256,L256))</f>
        <v/>
      </c>
    </row>
    <row r="257">
      <c r="A257" s="46" t="inlineStr">
        <is>
          <t>L-0253</t>
        </is>
      </c>
      <c r="B257" s="47" t="n"/>
      <c r="C257" s="38" t="n"/>
      <c r="D257" s="38" t="n"/>
      <c r="E257" s="38" t="n"/>
      <c r="F257" s="38" t="n"/>
      <c r="G257" s="38" t="n"/>
      <c r="H257" s="38" t="n"/>
      <c r="I257" s="48" t="n"/>
      <c r="J257" s="38" t="n"/>
      <c r="K257" s="47" t="n"/>
      <c r="L257" s="47" t="n"/>
      <c r="M257" s="38" t="n"/>
      <c r="N257" s="38" t="n"/>
      <c r="O257" s="49">
        <f>IF(C257="","",IF(OR(J257="Booked",J257="Recurring Client"),"Booked",IF(J257="Lost/Declined","Lost","Open")))</f>
        <v/>
      </c>
      <c r="P257" s="49">
        <f>IF(C257="","",IF(S257=0,"—",IF(L257="","Set date",IF(L257&lt;AsOf,"Overdue",IF(L257=AsOf,"Due today",IF(L257&lt;=AsOf+SoonDays,"Due soon","Scheduled"))))))</f>
        <v/>
      </c>
      <c r="Q257" s="50">
        <f>IF(C257="","",IF(B257="","",AsOf-B257))</f>
        <v/>
      </c>
      <c r="R257" s="49">
        <f>IF(C257="","",IF(O257&lt;&gt;"Booked","",IF(COUNTIF('CUSTOMERS'!$B$5:$B$404,C257)&gt;0,"✓ In CUSTOMERS","Add to CUSTOMERS")))</f>
        <v/>
      </c>
      <c r="S257" s="49">
        <f>IF(C257="","",IF(OR(J257="Booked",J257="Recurring Client",J257="Lost/Declined"),0,1))</f>
        <v/>
      </c>
      <c r="T257" s="51">
        <f>IF(B257="","",DATE(YEAR(B257),MONTH(B257),1))</f>
        <v/>
      </c>
      <c r="U257" s="49">
        <f>IF(OR(S257&lt;&gt;1,L257=""),"",COUNTIFS('LEADS'!$S$5:$S$504,1,'LEADS'!$L$5:$L$504,"&lt;"&amp;L257)+COUNTIFS($S$5:S257,1,$L$5:L257,L257))</f>
        <v/>
      </c>
    </row>
    <row r="258">
      <c r="A258" s="46" t="inlineStr">
        <is>
          <t>L-0254</t>
        </is>
      </c>
      <c r="B258" s="47" t="n"/>
      <c r="C258" s="38" t="n"/>
      <c r="D258" s="38" t="n"/>
      <c r="E258" s="38" t="n"/>
      <c r="F258" s="38" t="n"/>
      <c r="G258" s="38" t="n"/>
      <c r="H258" s="38" t="n"/>
      <c r="I258" s="48" t="n"/>
      <c r="J258" s="38" t="n"/>
      <c r="K258" s="47" t="n"/>
      <c r="L258" s="47" t="n"/>
      <c r="M258" s="38" t="n"/>
      <c r="N258" s="38" t="n"/>
      <c r="O258" s="49">
        <f>IF(C258="","",IF(OR(J258="Booked",J258="Recurring Client"),"Booked",IF(J258="Lost/Declined","Lost","Open")))</f>
        <v/>
      </c>
      <c r="P258" s="49">
        <f>IF(C258="","",IF(S258=0,"—",IF(L258="","Set date",IF(L258&lt;AsOf,"Overdue",IF(L258=AsOf,"Due today",IF(L258&lt;=AsOf+SoonDays,"Due soon","Scheduled"))))))</f>
        <v/>
      </c>
      <c r="Q258" s="50">
        <f>IF(C258="","",IF(B258="","",AsOf-B258))</f>
        <v/>
      </c>
      <c r="R258" s="49">
        <f>IF(C258="","",IF(O258&lt;&gt;"Booked","",IF(COUNTIF('CUSTOMERS'!$B$5:$B$404,C258)&gt;0,"✓ In CUSTOMERS","Add to CUSTOMERS")))</f>
        <v/>
      </c>
      <c r="S258" s="49">
        <f>IF(C258="","",IF(OR(J258="Booked",J258="Recurring Client",J258="Lost/Declined"),0,1))</f>
        <v/>
      </c>
      <c r="T258" s="51">
        <f>IF(B258="","",DATE(YEAR(B258),MONTH(B258),1))</f>
        <v/>
      </c>
      <c r="U258" s="49">
        <f>IF(OR(S258&lt;&gt;1,L258=""),"",COUNTIFS('LEADS'!$S$5:$S$504,1,'LEADS'!$L$5:$L$504,"&lt;"&amp;L258)+COUNTIFS($S$5:S258,1,$L$5:L258,L258))</f>
        <v/>
      </c>
    </row>
    <row r="259">
      <c r="A259" s="46" t="inlineStr">
        <is>
          <t>L-0255</t>
        </is>
      </c>
      <c r="B259" s="47" t="n"/>
      <c r="C259" s="38" t="n"/>
      <c r="D259" s="38" t="n"/>
      <c r="E259" s="38" t="n"/>
      <c r="F259" s="38" t="n"/>
      <c r="G259" s="38" t="n"/>
      <c r="H259" s="38" t="n"/>
      <c r="I259" s="48" t="n"/>
      <c r="J259" s="38" t="n"/>
      <c r="K259" s="47" t="n"/>
      <c r="L259" s="47" t="n"/>
      <c r="M259" s="38" t="n"/>
      <c r="N259" s="38" t="n"/>
      <c r="O259" s="49">
        <f>IF(C259="","",IF(OR(J259="Booked",J259="Recurring Client"),"Booked",IF(J259="Lost/Declined","Lost","Open")))</f>
        <v/>
      </c>
      <c r="P259" s="49">
        <f>IF(C259="","",IF(S259=0,"—",IF(L259="","Set date",IF(L259&lt;AsOf,"Overdue",IF(L259=AsOf,"Due today",IF(L259&lt;=AsOf+SoonDays,"Due soon","Scheduled"))))))</f>
        <v/>
      </c>
      <c r="Q259" s="50">
        <f>IF(C259="","",IF(B259="","",AsOf-B259))</f>
        <v/>
      </c>
      <c r="R259" s="49">
        <f>IF(C259="","",IF(O259&lt;&gt;"Booked","",IF(COUNTIF('CUSTOMERS'!$B$5:$B$404,C259)&gt;0,"✓ In CUSTOMERS","Add to CUSTOMERS")))</f>
        <v/>
      </c>
      <c r="S259" s="49">
        <f>IF(C259="","",IF(OR(J259="Booked",J259="Recurring Client",J259="Lost/Declined"),0,1))</f>
        <v/>
      </c>
      <c r="T259" s="51">
        <f>IF(B259="","",DATE(YEAR(B259),MONTH(B259),1))</f>
        <v/>
      </c>
      <c r="U259" s="49">
        <f>IF(OR(S259&lt;&gt;1,L259=""),"",COUNTIFS('LEADS'!$S$5:$S$504,1,'LEADS'!$L$5:$L$504,"&lt;"&amp;L259)+COUNTIFS($S$5:S259,1,$L$5:L259,L259))</f>
        <v/>
      </c>
    </row>
    <row r="260">
      <c r="A260" s="46" t="inlineStr">
        <is>
          <t>L-0256</t>
        </is>
      </c>
      <c r="B260" s="47" t="n"/>
      <c r="C260" s="38" t="n"/>
      <c r="D260" s="38" t="n"/>
      <c r="E260" s="38" t="n"/>
      <c r="F260" s="38" t="n"/>
      <c r="G260" s="38" t="n"/>
      <c r="H260" s="38" t="n"/>
      <c r="I260" s="48" t="n"/>
      <c r="J260" s="38" t="n"/>
      <c r="K260" s="47" t="n"/>
      <c r="L260" s="47" t="n"/>
      <c r="M260" s="38" t="n"/>
      <c r="N260" s="38" t="n"/>
      <c r="O260" s="49">
        <f>IF(C260="","",IF(OR(J260="Booked",J260="Recurring Client"),"Booked",IF(J260="Lost/Declined","Lost","Open")))</f>
        <v/>
      </c>
      <c r="P260" s="49">
        <f>IF(C260="","",IF(S260=0,"—",IF(L260="","Set date",IF(L260&lt;AsOf,"Overdue",IF(L260=AsOf,"Due today",IF(L260&lt;=AsOf+SoonDays,"Due soon","Scheduled"))))))</f>
        <v/>
      </c>
      <c r="Q260" s="50">
        <f>IF(C260="","",IF(B260="","",AsOf-B260))</f>
        <v/>
      </c>
      <c r="R260" s="49">
        <f>IF(C260="","",IF(O260&lt;&gt;"Booked","",IF(COUNTIF('CUSTOMERS'!$B$5:$B$404,C260)&gt;0,"✓ In CUSTOMERS","Add to CUSTOMERS")))</f>
        <v/>
      </c>
      <c r="S260" s="49">
        <f>IF(C260="","",IF(OR(J260="Booked",J260="Recurring Client",J260="Lost/Declined"),0,1))</f>
        <v/>
      </c>
      <c r="T260" s="51">
        <f>IF(B260="","",DATE(YEAR(B260),MONTH(B260),1))</f>
        <v/>
      </c>
      <c r="U260" s="49">
        <f>IF(OR(S260&lt;&gt;1,L260=""),"",COUNTIFS('LEADS'!$S$5:$S$504,1,'LEADS'!$L$5:$L$504,"&lt;"&amp;L260)+COUNTIFS($S$5:S260,1,$L$5:L260,L260))</f>
        <v/>
      </c>
    </row>
    <row r="261">
      <c r="A261" s="46" t="inlineStr">
        <is>
          <t>L-0257</t>
        </is>
      </c>
      <c r="B261" s="47" t="n"/>
      <c r="C261" s="38" t="n"/>
      <c r="D261" s="38" t="n"/>
      <c r="E261" s="38" t="n"/>
      <c r="F261" s="38" t="n"/>
      <c r="G261" s="38" t="n"/>
      <c r="H261" s="38" t="n"/>
      <c r="I261" s="48" t="n"/>
      <c r="J261" s="38" t="n"/>
      <c r="K261" s="47" t="n"/>
      <c r="L261" s="47" t="n"/>
      <c r="M261" s="38" t="n"/>
      <c r="N261" s="38" t="n"/>
      <c r="O261" s="49">
        <f>IF(C261="","",IF(OR(J261="Booked",J261="Recurring Client"),"Booked",IF(J261="Lost/Declined","Lost","Open")))</f>
        <v/>
      </c>
      <c r="P261" s="49">
        <f>IF(C261="","",IF(S261=0,"—",IF(L261="","Set date",IF(L261&lt;AsOf,"Overdue",IF(L261=AsOf,"Due today",IF(L261&lt;=AsOf+SoonDays,"Due soon","Scheduled"))))))</f>
        <v/>
      </c>
      <c r="Q261" s="50">
        <f>IF(C261="","",IF(B261="","",AsOf-B261))</f>
        <v/>
      </c>
      <c r="R261" s="49">
        <f>IF(C261="","",IF(O261&lt;&gt;"Booked","",IF(COUNTIF('CUSTOMERS'!$B$5:$B$404,C261)&gt;0,"✓ In CUSTOMERS","Add to CUSTOMERS")))</f>
        <v/>
      </c>
      <c r="S261" s="49">
        <f>IF(C261="","",IF(OR(J261="Booked",J261="Recurring Client",J261="Lost/Declined"),0,1))</f>
        <v/>
      </c>
      <c r="T261" s="51">
        <f>IF(B261="","",DATE(YEAR(B261),MONTH(B261),1))</f>
        <v/>
      </c>
      <c r="U261" s="49">
        <f>IF(OR(S261&lt;&gt;1,L261=""),"",COUNTIFS('LEADS'!$S$5:$S$504,1,'LEADS'!$L$5:$L$504,"&lt;"&amp;L261)+COUNTIFS($S$5:S261,1,$L$5:L261,L261))</f>
        <v/>
      </c>
    </row>
    <row r="262">
      <c r="A262" s="46" t="inlineStr">
        <is>
          <t>L-0258</t>
        </is>
      </c>
      <c r="B262" s="47" t="n"/>
      <c r="C262" s="38" t="n"/>
      <c r="D262" s="38" t="n"/>
      <c r="E262" s="38" t="n"/>
      <c r="F262" s="38" t="n"/>
      <c r="G262" s="38" t="n"/>
      <c r="H262" s="38" t="n"/>
      <c r="I262" s="48" t="n"/>
      <c r="J262" s="38" t="n"/>
      <c r="K262" s="47" t="n"/>
      <c r="L262" s="47" t="n"/>
      <c r="M262" s="38" t="n"/>
      <c r="N262" s="38" t="n"/>
      <c r="O262" s="49">
        <f>IF(C262="","",IF(OR(J262="Booked",J262="Recurring Client"),"Booked",IF(J262="Lost/Declined","Lost","Open")))</f>
        <v/>
      </c>
      <c r="P262" s="49">
        <f>IF(C262="","",IF(S262=0,"—",IF(L262="","Set date",IF(L262&lt;AsOf,"Overdue",IF(L262=AsOf,"Due today",IF(L262&lt;=AsOf+SoonDays,"Due soon","Scheduled"))))))</f>
        <v/>
      </c>
      <c r="Q262" s="50">
        <f>IF(C262="","",IF(B262="","",AsOf-B262))</f>
        <v/>
      </c>
      <c r="R262" s="49">
        <f>IF(C262="","",IF(O262&lt;&gt;"Booked","",IF(COUNTIF('CUSTOMERS'!$B$5:$B$404,C262)&gt;0,"✓ In CUSTOMERS","Add to CUSTOMERS")))</f>
        <v/>
      </c>
      <c r="S262" s="49">
        <f>IF(C262="","",IF(OR(J262="Booked",J262="Recurring Client",J262="Lost/Declined"),0,1))</f>
        <v/>
      </c>
      <c r="T262" s="51">
        <f>IF(B262="","",DATE(YEAR(B262),MONTH(B262),1))</f>
        <v/>
      </c>
      <c r="U262" s="49">
        <f>IF(OR(S262&lt;&gt;1,L262=""),"",COUNTIFS('LEADS'!$S$5:$S$504,1,'LEADS'!$L$5:$L$504,"&lt;"&amp;L262)+COUNTIFS($S$5:S262,1,$L$5:L262,L262))</f>
        <v/>
      </c>
    </row>
    <row r="263">
      <c r="A263" s="46" t="inlineStr">
        <is>
          <t>L-0259</t>
        </is>
      </c>
      <c r="B263" s="47" t="n"/>
      <c r="C263" s="38" t="n"/>
      <c r="D263" s="38" t="n"/>
      <c r="E263" s="38" t="n"/>
      <c r="F263" s="38" t="n"/>
      <c r="G263" s="38" t="n"/>
      <c r="H263" s="38" t="n"/>
      <c r="I263" s="48" t="n"/>
      <c r="J263" s="38" t="n"/>
      <c r="K263" s="47" t="n"/>
      <c r="L263" s="47" t="n"/>
      <c r="M263" s="38" t="n"/>
      <c r="N263" s="38" t="n"/>
      <c r="O263" s="49">
        <f>IF(C263="","",IF(OR(J263="Booked",J263="Recurring Client"),"Booked",IF(J263="Lost/Declined","Lost","Open")))</f>
        <v/>
      </c>
      <c r="P263" s="49">
        <f>IF(C263="","",IF(S263=0,"—",IF(L263="","Set date",IF(L263&lt;AsOf,"Overdue",IF(L263=AsOf,"Due today",IF(L263&lt;=AsOf+SoonDays,"Due soon","Scheduled"))))))</f>
        <v/>
      </c>
      <c r="Q263" s="50">
        <f>IF(C263="","",IF(B263="","",AsOf-B263))</f>
        <v/>
      </c>
      <c r="R263" s="49">
        <f>IF(C263="","",IF(O263&lt;&gt;"Booked","",IF(COUNTIF('CUSTOMERS'!$B$5:$B$404,C263)&gt;0,"✓ In CUSTOMERS","Add to CUSTOMERS")))</f>
        <v/>
      </c>
      <c r="S263" s="49">
        <f>IF(C263="","",IF(OR(J263="Booked",J263="Recurring Client",J263="Lost/Declined"),0,1))</f>
        <v/>
      </c>
      <c r="T263" s="51">
        <f>IF(B263="","",DATE(YEAR(B263),MONTH(B263),1))</f>
        <v/>
      </c>
      <c r="U263" s="49">
        <f>IF(OR(S263&lt;&gt;1,L263=""),"",COUNTIFS('LEADS'!$S$5:$S$504,1,'LEADS'!$L$5:$L$504,"&lt;"&amp;L263)+COUNTIFS($S$5:S263,1,$L$5:L263,L263))</f>
        <v/>
      </c>
    </row>
    <row r="264">
      <c r="A264" s="46" t="inlineStr">
        <is>
          <t>L-0260</t>
        </is>
      </c>
      <c r="B264" s="47" t="n"/>
      <c r="C264" s="38" t="n"/>
      <c r="D264" s="38" t="n"/>
      <c r="E264" s="38" t="n"/>
      <c r="F264" s="38" t="n"/>
      <c r="G264" s="38" t="n"/>
      <c r="H264" s="38" t="n"/>
      <c r="I264" s="48" t="n"/>
      <c r="J264" s="38" t="n"/>
      <c r="K264" s="47" t="n"/>
      <c r="L264" s="47" t="n"/>
      <c r="M264" s="38" t="n"/>
      <c r="N264" s="38" t="n"/>
      <c r="O264" s="49">
        <f>IF(C264="","",IF(OR(J264="Booked",J264="Recurring Client"),"Booked",IF(J264="Lost/Declined","Lost","Open")))</f>
        <v/>
      </c>
      <c r="P264" s="49">
        <f>IF(C264="","",IF(S264=0,"—",IF(L264="","Set date",IF(L264&lt;AsOf,"Overdue",IF(L264=AsOf,"Due today",IF(L264&lt;=AsOf+SoonDays,"Due soon","Scheduled"))))))</f>
        <v/>
      </c>
      <c r="Q264" s="50">
        <f>IF(C264="","",IF(B264="","",AsOf-B264))</f>
        <v/>
      </c>
      <c r="R264" s="49">
        <f>IF(C264="","",IF(O264&lt;&gt;"Booked","",IF(COUNTIF('CUSTOMERS'!$B$5:$B$404,C264)&gt;0,"✓ In CUSTOMERS","Add to CUSTOMERS")))</f>
        <v/>
      </c>
      <c r="S264" s="49">
        <f>IF(C264="","",IF(OR(J264="Booked",J264="Recurring Client",J264="Lost/Declined"),0,1))</f>
        <v/>
      </c>
      <c r="T264" s="51">
        <f>IF(B264="","",DATE(YEAR(B264),MONTH(B264),1))</f>
        <v/>
      </c>
      <c r="U264" s="49">
        <f>IF(OR(S264&lt;&gt;1,L264=""),"",COUNTIFS('LEADS'!$S$5:$S$504,1,'LEADS'!$L$5:$L$504,"&lt;"&amp;L264)+COUNTIFS($S$5:S264,1,$L$5:L264,L264))</f>
        <v/>
      </c>
    </row>
    <row r="265">
      <c r="A265" s="46" t="inlineStr">
        <is>
          <t>L-0261</t>
        </is>
      </c>
      <c r="B265" s="47" t="n"/>
      <c r="C265" s="38" t="n"/>
      <c r="D265" s="38" t="n"/>
      <c r="E265" s="38" t="n"/>
      <c r="F265" s="38" t="n"/>
      <c r="G265" s="38" t="n"/>
      <c r="H265" s="38" t="n"/>
      <c r="I265" s="48" t="n"/>
      <c r="J265" s="38" t="n"/>
      <c r="K265" s="47" t="n"/>
      <c r="L265" s="47" t="n"/>
      <c r="M265" s="38" t="n"/>
      <c r="N265" s="38" t="n"/>
      <c r="O265" s="49">
        <f>IF(C265="","",IF(OR(J265="Booked",J265="Recurring Client"),"Booked",IF(J265="Lost/Declined","Lost","Open")))</f>
        <v/>
      </c>
      <c r="P265" s="49">
        <f>IF(C265="","",IF(S265=0,"—",IF(L265="","Set date",IF(L265&lt;AsOf,"Overdue",IF(L265=AsOf,"Due today",IF(L265&lt;=AsOf+SoonDays,"Due soon","Scheduled"))))))</f>
        <v/>
      </c>
      <c r="Q265" s="50">
        <f>IF(C265="","",IF(B265="","",AsOf-B265))</f>
        <v/>
      </c>
      <c r="R265" s="49">
        <f>IF(C265="","",IF(O265&lt;&gt;"Booked","",IF(COUNTIF('CUSTOMERS'!$B$5:$B$404,C265)&gt;0,"✓ In CUSTOMERS","Add to CUSTOMERS")))</f>
        <v/>
      </c>
      <c r="S265" s="49">
        <f>IF(C265="","",IF(OR(J265="Booked",J265="Recurring Client",J265="Lost/Declined"),0,1))</f>
        <v/>
      </c>
      <c r="T265" s="51">
        <f>IF(B265="","",DATE(YEAR(B265),MONTH(B265),1))</f>
        <v/>
      </c>
      <c r="U265" s="49">
        <f>IF(OR(S265&lt;&gt;1,L265=""),"",COUNTIFS('LEADS'!$S$5:$S$504,1,'LEADS'!$L$5:$L$504,"&lt;"&amp;L265)+COUNTIFS($S$5:S265,1,$L$5:L265,L265))</f>
        <v/>
      </c>
    </row>
    <row r="266">
      <c r="A266" s="46" t="inlineStr">
        <is>
          <t>L-0262</t>
        </is>
      </c>
      <c r="B266" s="47" t="n"/>
      <c r="C266" s="38" t="n"/>
      <c r="D266" s="38" t="n"/>
      <c r="E266" s="38" t="n"/>
      <c r="F266" s="38" t="n"/>
      <c r="G266" s="38" t="n"/>
      <c r="H266" s="38" t="n"/>
      <c r="I266" s="48" t="n"/>
      <c r="J266" s="38" t="n"/>
      <c r="K266" s="47" t="n"/>
      <c r="L266" s="47" t="n"/>
      <c r="M266" s="38" t="n"/>
      <c r="N266" s="38" t="n"/>
      <c r="O266" s="49">
        <f>IF(C266="","",IF(OR(J266="Booked",J266="Recurring Client"),"Booked",IF(J266="Lost/Declined","Lost","Open")))</f>
        <v/>
      </c>
      <c r="P266" s="49">
        <f>IF(C266="","",IF(S266=0,"—",IF(L266="","Set date",IF(L266&lt;AsOf,"Overdue",IF(L266=AsOf,"Due today",IF(L266&lt;=AsOf+SoonDays,"Due soon","Scheduled"))))))</f>
        <v/>
      </c>
      <c r="Q266" s="50">
        <f>IF(C266="","",IF(B266="","",AsOf-B266))</f>
        <v/>
      </c>
      <c r="R266" s="49">
        <f>IF(C266="","",IF(O266&lt;&gt;"Booked","",IF(COUNTIF('CUSTOMERS'!$B$5:$B$404,C266)&gt;0,"✓ In CUSTOMERS","Add to CUSTOMERS")))</f>
        <v/>
      </c>
      <c r="S266" s="49">
        <f>IF(C266="","",IF(OR(J266="Booked",J266="Recurring Client",J266="Lost/Declined"),0,1))</f>
        <v/>
      </c>
      <c r="T266" s="51">
        <f>IF(B266="","",DATE(YEAR(B266),MONTH(B266),1))</f>
        <v/>
      </c>
      <c r="U266" s="49">
        <f>IF(OR(S266&lt;&gt;1,L266=""),"",COUNTIFS('LEADS'!$S$5:$S$504,1,'LEADS'!$L$5:$L$504,"&lt;"&amp;L266)+COUNTIFS($S$5:S266,1,$L$5:L266,L266))</f>
        <v/>
      </c>
    </row>
    <row r="267">
      <c r="A267" s="46" t="inlineStr">
        <is>
          <t>L-0263</t>
        </is>
      </c>
      <c r="B267" s="47" t="n"/>
      <c r="C267" s="38" t="n"/>
      <c r="D267" s="38" t="n"/>
      <c r="E267" s="38" t="n"/>
      <c r="F267" s="38" t="n"/>
      <c r="G267" s="38" t="n"/>
      <c r="H267" s="38" t="n"/>
      <c r="I267" s="48" t="n"/>
      <c r="J267" s="38" t="n"/>
      <c r="K267" s="47" t="n"/>
      <c r="L267" s="47" t="n"/>
      <c r="M267" s="38" t="n"/>
      <c r="N267" s="38" t="n"/>
      <c r="O267" s="49">
        <f>IF(C267="","",IF(OR(J267="Booked",J267="Recurring Client"),"Booked",IF(J267="Lost/Declined","Lost","Open")))</f>
        <v/>
      </c>
      <c r="P267" s="49">
        <f>IF(C267="","",IF(S267=0,"—",IF(L267="","Set date",IF(L267&lt;AsOf,"Overdue",IF(L267=AsOf,"Due today",IF(L267&lt;=AsOf+SoonDays,"Due soon","Scheduled"))))))</f>
        <v/>
      </c>
      <c r="Q267" s="50">
        <f>IF(C267="","",IF(B267="","",AsOf-B267))</f>
        <v/>
      </c>
      <c r="R267" s="49">
        <f>IF(C267="","",IF(O267&lt;&gt;"Booked","",IF(COUNTIF('CUSTOMERS'!$B$5:$B$404,C267)&gt;0,"✓ In CUSTOMERS","Add to CUSTOMERS")))</f>
        <v/>
      </c>
      <c r="S267" s="49">
        <f>IF(C267="","",IF(OR(J267="Booked",J267="Recurring Client",J267="Lost/Declined"),0,1))</f>
        <v/>
      </c>
      <c r="T267" s="51">
        <f>IF(B267="","",DATE(YEAR(B267),MONTH(B267),1))</f>
        <v/>
      </c>
      <c r="U267" s="49">
        <f>IF(OR(S267&lt;&gt;1,L267=""),"",COUNTIFS('LEADS'!$S$5:$S$504,1,'LEADS'!$L$5:$L$504,"&lt;"&amp;L267)+COUNTIFS($S$5:S267,1,$L$5:L267,L267))</f>
        <v/>
      </c>
    </row>
    <row r="268">
      <c r="A268" s="46" t="inlineStr">
        <is>
          <t>L-0264</t>
        </is>
      </c>
      <c r="B268" s="47" t="n"/>
      <c r="C268" s="38" t="n"/>
      <c r="D268" s="38" t="n"/>
      <c r="E268" s="38" t="n"/>
      <c r="F268" s="38" t="n"/>
      <c r="G268" s="38" t="n"/>
      <c r="H268" s="38" t="n"/>
      <c r="I268" s="48" t="n"/>
      <c r="J268" s="38" t="n"/>
      <c r="K268" s="47" t="n"/>
      <c r="L268" s="47" t="n"/>
      <c r="M268" s="38" t="n"/>
      <c r="N268" s="38" t="n"/>
      <c r="O268" s="49">
        <f>IF(C268="","",IF(OR(J268="Booked",J268="Recurring Client"),"Booked",IF(J268="Lost/Declined","Lost","Open")))</f>
        <v/>
      </c>
      <c r="P268" s="49">
        <f>IF(C268="","",IF(S268=0,"—",IF(L268="","Set date",IF(L268&lt;AsOf,"Overdue",IF(L268=AsOf,"Due today",IF(L268&lt;=AsOf+SoonDays,"Due soon","Scheduled"))))))</f>
        <v/>
      </c>
      <c r="Q268" s="50">
        <f>IF(C268="","",IF(B268="","",AsOf-B268))</f>
        <v/>
      </c>
      <c r="R268" s="49">
        <f>IF(C268="","",IF(O268&lt;&gt;"Booked","",IF(COUNTIF('CUSTOMERS'!$B$5:$B$404,C268)&gt;0,"✓ In CUSTOMERS","Add to CUSTOMERS")))</f>
        <v/>
      </c>
      <c r="S268" s="49">
        <f>IF(C268="","",IF(OR(J268="Booked",J268="Recurring Client",J268="Lost/Declined"),0,1))</f>
        <v/>
      </c>
      <c r="T268" s="51">
        <f>IF(B268="","",DATE(YEAR(B268),MONTH(B268),1))</f>
        <v/>
      </c>
      <c r="U268" s="49">
        <f>IF(OR(S268&lt;&gt;1,L268=""),"",COUNTIFS('LEADS'!$S$5:$S$504,1,'LEADS'!$L$5:$L$504,"&lt;"&amp;L268)+COUNTIFS($S$5:S268,1,$L$5:L268,L268))</f>
        <v/>
      </c>
    </row>
    <row r="269">
      <c r="A269" s="46" t="inlineStr">
        <is>
          <t>L-0265</t>
        </is>
      </c>
      <c r="B269" s="47" t="n"/>
      <c r="C269" s="38" t="n"/>
      <c r="D269" s="38" t="n"/>
      <c r="E269" s="38" t="n"/>
      <c r="F269" s="38" t="n"/>
      <c r="G269" s="38" t="n"/>
      <c r="H269" s="38" t="n"/>
      <c r="I269" s="48" t="n"/>
      <c r="J269" s="38" t="n"/>
      <c r="K269" s="47" t="n"/>
      <c r="L269" s="47" t="n"/>
      <c r="M269" s="38" t="n"/>
      <c r="N269" s="38" t="n"/>
      <c r="O269" s="49">
        <f>IF(C269="","",IF(OR(J269="Booked",J269="Recurring Client"),"Booked",IF(J269="Lost/Declined","Lost","Open")))</f>
        <v/>
      </c>
      <c r="P269" s="49">
        <f>IF(C269="","",IF(S269=0,"—",IF(L269="","Set date",IF(L269&lt;AsOf,"Overdue",IF(L269=AsOf,"Due today",IF(L269&lt;=AsOf+SoonDays,"Due soon","Scheduled"))))))</f>
        <v/>
      </c>
      <c r="Q269" s="50">
        <f>IF(C269="","",IF(B269="","",AsOf-B269))</f>
        <v/>
      </c>
      <c r="R269" s="49">
        <f>IF(C269="","",IF(O269&lt;&gt;"Booked","",IF(COUNTIF('CUSTOMERS'!$B$5:$B$404,C269)&gt;0,"✓ In CUSTOMERS","Add to CUSTOMERS")))</f>
        <v/>
      </c>
      <c r="S269" s="49">
        <f>IF(C269="","",IF(OR(J269="Booked",J269="Recurring Client",J269="Lost/Declined"),0,1))</f>
        <v/>
      </c>
      <c r="T269" s="51">
        <f>IF(B269="","",DATE(YEAR(B269),MONTH(B269),1))</f>
        <v/>
      </c>
      <c r="U269" s="49">
        <f>IF(OR(S269&lt;&gt;1,L269=""),"",COUNTIFS('LEADS'!$S$5:$S$504,1,'LEADS'!$L$5:$L$504,"&lt;"&amp;L269)+COUNTIFS($S$5:S269,1,$L$5:L269,L269))</f>
        <v/>
      </c>
    </row>
    <row r="270">
      <c r="A270" s="46" t="inlineStr">
        <is>
          <t>L-0266</t>
        </is>
      </c>
      <c r="B270" s="47" t="n"/>
      <c r="C270" s="38" t="n"/>
      <c r="D270" s="38" t="n"/>
      <c r="E270" s="38" t="n"/>
      <c r="F270" s="38" t="n"/>
      <c r="G270" s="38" t="n"/>
      <c r="H270" s="38" t="n"/>
      <c r="I270" s="48" t="n"/>
      <c r="J270" s="38" t="n"/>
      <c r="K270" s="47" t="n"/>
      <c r="L270" s="47" t="n"/>
      <c r="M270" s="38" t="n"/>
      <c r="N270" s="38" t="n"/>
      <c r="O270" s="49">
        <f>IF(C270="","",IF(OR(J270="Booked",J270="Recurring Client"),"Booked",IF(J270="Lost/Declined","Lost","Open")))</f>
        <v/>
      </c>
      <c r="P270" s="49">
        <f>IF(C270="","",IF(S270=0,"—",IF(L270="","Set date",IF(L270&lt;AsOf,"Overdue",IF(L270=AsOf,"Due today",IF(L270&lt;=AsOf+SoonDays,"Due soon","Scheduled"))))))</f>
        <v/>
      </c>
      <c r="Q270" s="50">
        <f>IF(C270="","",IF(B270="","",AsOf-B270))</f>
        <v/>
      </c>
      <c r="R270" s="49">
        <f>IF(C270="","",IF(O270&lt;&gt;"Booked","",IF(COUNTIF('CUSTOMERS'!$B$5:$B$404,C270)&gt;0,"✓ In CUSTOMERS","Add to CUSTOMERS")))</f>
        <v/>
      </c>
      <c r="S270" s="49">
        <f>IF(C270="","",IF(OR(J270="Booked",J270="Recurring Client",J270="Lost/Declined"),0,1))</f>
        <v/>
      </c>
      <c r="T270" s="51">
        <f>IF(B270="","",DATE(YEAR(B270),MONTH(B270),1))</f>
        <v/>
      </c>
      <c r="U270" s="49">
        <f>IF(OR(S270&lt;&gt;1,L270=""),"",COUNTIFS('LEADS'!$S$5:$S$504,1,'LEADS'!$L$5:$L$504,"&lt;"&amp;L270)+COUNTIFS($S$5:S270,1,$L$5:L270,L270))</f>
        <v/>
      </c>
    </row>
    <row r="271">
      <c r="A271" s="46" t="inlineStr">
        <is>
          <t>L-0267</t>
        </is>
      </c>
      <c r="B271" s="47" t="n"/>
      <c r="C271" s="38" t="n"/>
      <c r="D271" s="38" t="n"/>
      <c r="E271" s="38" t="n"/>
      <c r="F271" s="38" t="n"/>
      <c r="G271" s="38" t="n"/>
      <c r="H271" s="38" t="n"/>
      <c r="I271" s="48" t="n"/>
      <c r="J271" s="38" t="n"/>
      <c r="K271" s="47" t="n"/>
      <c r="L271" s="47" t="n"/>
      <c r="M271" s="38" t="n"/>
      <c r="N271" s="38" t="n"/>
      <c r="O271" s="49">
        <f>IF(C271="","",IF(OR(J271="Booked",J271="Recurring Client"),"Booked",IF(J271="Lost/Declined","Lost","Open")))</f>
        <v/>
      </c>
      <c r="P271" s="49">
        <f>IF(C271="","",IF(S271=0,"—",IF(L271="","Set date",IF(L271&lt;AsOf,"Overdue",IF(L271=AsOf,"Due today",IF(L271&lt;=AsOf+SoonDays,"Due soon","Scheduled"))))))</f>
        <v/>
      </c>
      <c r="Q271" s="50">
        <f>IF(C271="","",IF(B271="","",AsOf-B271))</f>
        <v/>
      </c>
      <c r="R271" s="49">
        <f>IF(C271="","",IF(O271&lt;&gt;"Booked","",IF(COUNTIF('CUSTOMERS'!$B$5:$B$404,C271)&gt;0,"✓ In CUSTOMERS","Add to CUSTOMERS")))</f>
        <v/>
      </c>
      <c r="S271" s="49">
        <f>IF(C271="","",IF(OR(J271="Booked",J271="Recurring Client",J271="Lost/Declined"),0,1))</f>
        <v/>
      </c>
      <c r="T271" s="51">
        <f>IF(B271="","",DATE(YEAR(B271),MONTH(B271),1))</f>
        <v/>
      </c>
      <c r="U271" s="49">
        <f>IF(OR(S271&lt;&gt;1,L271=""),"",COUNTIFS('LEADS'!$S$5:$S$504,1,'LEADS'!$L$5:$L$504,"&lt;"&amp;L271)+COUNTIFS($S$5:S271,1,$L$5:L271,L271))</f>
        <v/>
      </c>
    </row>
    <row r="272">
      <c r="A272" s="46" t="inlineStr">
        <is>
          <t>L-0268</t>
        </is>
      </c>
      <c r="B272" s="47" t="n"/>
      <c r="C272" s="38" t="n"/>
      <c r="D272" s="38" t="n"/>
      <c r="E272" s="38" t="n"/>
      <c r="F272" s="38" t="n"/>
      <c r="G272" s="38" t="n"/>
      <c r="H272" s="38" t="n"/>
      <c r="I272" s="48" t="n"/>
      <c r="J272" s="38" t="n"/>
      <c r="K272" s="47" t="n"/>
      <c r="L272" s="47" t="n"/>
      <c r="M272" s="38" t="n"/>
      <c r="N272" s="38" t="n"/>
      <c r="O272" s="49">
        <f>IF(C272="","",IF(OR(J272="Booked",J272="Recurring Client"),"Booked",IF(J272="Lost/Declined","Lost","Open")))</f>
        <v/>
      </c>
      <c r="P272" s="49">
        <f>IF(C272="","",IF(S272=0,"—",IF(L272="","Set date",IF(L272&lt;AsOf,"Overdue",IF(L272=AsOf,"Due today",IF(L272&lt;=AsOf+SoonDays,"Due soon","Scheduled"))))))</f>
        <v/>
      </c>
      <c r="Q272" s="50">
        <f>IF(C272="","",IF(B272="","",AsOf-B272))</f>
        <v/>
      </c>
      <c r="R272" s="49">
        <f>IF(C272="","",IF(O272&lt;&gt;"Booked","",IF(COUNTIF('CUSTOMERS'!$B$5:$B$404,C272)&gt;0,"✓ In CUSTOMERS","Add to CUSTOMERS")))</f>
        <v/>
      </c>
      <c r="S272" s="49">
        <f>IF(C272="","",IF(OR(J272="Booked",J272="Recurring Client",J272="Lost/Declined"),0,1))</f>
        <v/>
      </c>
      <c r="T272" s="51">
        <f>IF(B272="","",DATE(YEAR(B272),MONTH(B272),1))</f>
        <v/>
      </c>
      <c r="U272" s="49">
        <f>IF(OR(S272&lt;&gt;1,L272=""),"",COUNTIFS('LEADS'!$S$5:$S$504,1,'LEADS'!$L$5:$L$504,"&lt;"&amp;L272)+COUNTIFS($S$5:S272,1,$L$5:L272,L272))</f>
        <v/>
      </c>
    </row>
    <row r="273">
      <c r="A273" s="46" t="inlineStr">
        <is>
          <t>L-0269</t>
        </is>
      </c>
      <c r="B273" s="47" t="n"/>
      <c r="C273" s="38" t="n"/>
      <c r="D273" s="38" t="n"/>
      <c r="E273" s="38" t="n"/>
      <c r="F273" s="38" t="n"/>
      <c r="G273" s="38" t="n"/>
      <c r="H273" s="38" t="n"/>
      <c r="I273" s="48" t="n"/>
      <c r="J273" s="38" t="n"/>
      <c r="K273" s="47" t="n"/>
      <c r="L273" s="47" t="n"/>
      <c r="M273" s="38" t="n"/>
      <c r="N273" s="38" t="n"/>
      <c r="O273" s="49">
        <f>IF(C273="","",IF(OR(J273="Booked",J273="Recurring Client"),"Booked",IF(J273="Lost/Declined","Lost","Open")))</f>
        <v/>
      </c>
      <c r="P273" s="49">
        <f>IF(C273="","",IF(S273=0,"—",IF(L273="","Set date",IF(L273&lt;AsOf,"Overdue",IF(L273=AsOf,"Due today",IF(L273&lt;=AsOf+SoonDays,"Due soon","Scheduled"))))))</f>
        <v/>
      </c>
      <c r="Q273" s="50">
        <f>IF(C273="","",IF(B273="","",AsOf-B273))</f>
        <v/>
      </c>
      <c r="R273" s="49">
        <f>IF(C273="","",IF(O273&lt;&gt;"Booked","",IF(COUNTIF('CUSTOMERS'!$B$5:$B$404,C273)&gt;0,"✓ In CUSTOMERS","Add to CUSTOMERS")))</f>
        <v/>
      </c>
      <c r="S273" s="49">
        <f>IF(C273="","",IF(OR(J273="Booked",J273="Recurring Client",J273="Lost/Declined"),0,1))</f>
        <v/>
      </c>
      <c r="T273" s="51">
        <f>IF(B273="","",DATE(YEAR(B273),MONTH(B273),1))</f>
        <v/>
      </c>
      <c r="U273" s="49">
        <f>IF(OR(S273&lt;&gt;1,L273=""),"",COUNTIFS('LEADS'!$S$5:$S$504,1,'LEADS'!$L$5:$L$504,"&lt;"&amp;L273)+COUNTIFS($S$5:S273,1,$L$5:L273,L273))</f>
        <v/>
      </c>
    </row>
    <row r="274">
      <c r="A274" s="46" t="inlineStr">
        <is>
          <t>L-0270</t>
        </is>
      </c>
      <c r="B274" s="47" t="n"/>
      <c r="C274" s="38" t="n"/>
      <c r="D274" s="38" t="n"/>
      <c r="E274" s="38" t="n"/>
      <c r="F274" s="38" t="n"/>
      <c r="G274" s="38" t="n"/>
      <c r="H274" s="38" t="n"/>
      <c r="I274" s="48" t="n"/>
      <c r="J274" s="38" t="n"/>
      <c r="K274" s="47" t="n"/>
      <c r="L274" s="47" t="n"/>
      <c r="M274" s="38" t="n"/>
      <c r="N274" s="38" t="n"/>
      <c r="O274" s="49">
        <f>IF(C274="","",IF(OR(J274="Booked",J274="Recurring Client"),"Booked",IF(J274="Lost/Declined","Lost","Open")))</f>
        <v/>
      </c>
      <c r="P274" s="49">
        <f>IF(C274="","",IF(S274=0,"—",IF(L274="","Set date",IF(L274&lt;AsOf,"Overdue",IF(L274=AsOf,"Due today",IF(L274&lt;=AsOf+SoonDays,"Due soon","Scheduled"))))))</f>
        <v/>
      </c>
      <c r="Q274" s="50">
        <f>IF(C274="","",IF(B274="","",AsOf-B274))</f>
        <v/>
      </c>
      <c r="R274" s="49">
        <f>IF(C274="","",IF(O274&lt;&gt;"Booked","",IF(COUNTIF('CUSTOMERS'!$B$5:$B$404,C274)&gt;0,"✓ In CUSTOMERS","Add to CUSTOMERS")))</f>
        <v/>
      </c>
      <c r="S274" s="49">
        <f>IF(C274="","",IF(OR(J274="Booked",J274="Recurring Client",J274="Lost/Declined"),0,1))</f>
        <v/>
      </c>
      <c r="T274" s="51">
        <f>IF(B274="","",DATE(YEAR(B274),MONTH(B274),1))</f>
        <v/>
      </c>
      <c r="U274" s="49">
        <f>IF(OR(S274&lt;&gt;1,L274=""),"",COUNTIFS('LEADS'!$S$5:$S$504,1,'LEADS'!$L$5:$L$504,"&lt;"&amp;L274)+COUNTIFS($S$5:S274,1,$L$5:L274,L274))</f>
        <v/>
      </c>
    </row>
    <row r="275">
      <c r="A275" s="46" t="inlineStr">
        <is>
          <t>L-0271</t>
        </is>
      </c>
      <c r="B275" s="47" t="n"/>
      <c r="C275" s="38" t="n"/>
      <c r="D275" s="38" t="n"/>
      <c r="E275" s="38" t="n"/>
      <c r="F275" s="38" t="n"/>
      <c r="G275" s="38" t="n"/>
      <c r="H275" s="38" t="n"/>
      <c r="I275" s="48" t="n"/>
      <c r="J275" s="38" t="n"/>
      <c r="K275" s="47" t="n"/>
      <c r="L275" s="47" t="n"/>
      <c r="M275" s="38" t="n"/>
      <c r="N275" s="38" t="n"/>
      <c r="O275" s="49">
        <f>IF(C275="","",IF(OR(J275="Booked",J275="Recurring Client"),"Booked",IF(J275="Lost/Declined","Lost","Open")))</f>
        <v/>
      </c>
      <c r="P275" s="49">
        <f>IF(C275="","",IF(S275=0,"—",IF(L275="","Set date",IF(L275&lt;AsOf,"Overdue",IF(L275=AsOf,"Due today",IF(L275&lt;=AsOf+SoonDays,"Due soon","Scheduled"))))))</f>
        <v/>
      </c>
      <c r="Q275" s="50">
        <f>IF(C275="","",IF(B275="","",AsOf-B275))</f>
        <v/>
      </c>
      <c r="R275" s="49">
        <f>IF(C275="","",IF(O275&lt;&gt;"Booked","",IF(COUNTIF('CUSTOMERS'!$B$5:$B$404,C275)&gt;0,"✓ In CUSTOMERS","Add to CUSTOMERS")))</f>
        <v/>
      </c>
      <c r="S275" s="49">
        <f>IF(C275="","",IF(OR(J275="Booked",J275="Recurring Client",J275="Lost/Declined"),0,1))</f>
        <v/>
      </c>
      <c r="T275" s="51">
        <f>IF(B275="","",DATE(YEAR(B275),MONTH(B275),1))</f>
        <v/>
      </c>
      <c r="U275" s="49">
        <f>IF(OR(S275&lt;&gt;1,L275=""),"",COUNTIFS('LEADS'!$S$5:$S$504,1,'LEADS'!$L$5:$L$504,"&lt;"&amp;L275)+COUNTIFS($S$5:S275,1,$L$5:L275,L275))</f>
        <v/>
      </c>
    </row>
    <row r="276">
      <c r="A276" s="46" t="inlineStr">
        <is>
          <t>L-0272</t>
        </is>
      </c>
      <c r="B276" s="47" t="n"/>
      <c r="C276" s="38" t="n"/>
      <c r="D276" s="38" t="n"/>
      <c r="E276" s="38" t="n"/>
      <c r="F276" s="38" t="n"/>
      <c r="G276" s="38" t="n"/>
      <c r="H276" s="38" t="n"/>
      <c r="I276" s="48" t="n"/>
      <c r="J276" s="38" t="n"/>
      <c r="K276" s="47" t="n"/>
      <c r="L276" s="47" t="n"/>
      <c r="M276" s="38" t="n"/>
      <c r="N276" s="38" t="n"/>
      <c r="O276" s="49">
        <f>IF(C276="","",IF(OR(J276="Booked",J276="Recurring Client"),"Booked",IF(J276="Lost/Declined","Lost","Open")))</f>
        <v/>
      </c>
      <c r="P276" s="49">
        <f>IF(C276="","",IF(S276=0,"—",IF(L276="","Set date",IF(L276&lt;AsOf,"Overdue",IF(L276=AsOf,"Due today",IF(L276&lt;=AsOf+SoonDays,"Due soon","Scheduled"))))))</f>
        <v/>
      </c>
      <c r="Q276" s="50">
        <f>IF(C276="","",IF(B276="","",AsOf-B276))</f>
        <v/>
      </c>
      <c r="R276" s="49">
        <f>IF(C276="","",IF(O276&lt;&gt;"Booked","",IF(COUNTIF('CUSTOMERS'!$B$5:$B$404,C276)&gt;0,"✓ In CUSTOMERS","Add to CUSTOMERS")))</f>
        <v/>
      </c>
      <c r="S276" s="49">
        <f>IF(C276="","",IF(OR(J276="Booked",J276="Recurring Client",J276="Lost/Declined"),0,1))</f>
        <v/>
      </c>
      <c r="T276" s="51">
        <f>IF(B276="","",DATE(YEAR(B276),MONTH(B276),1))</f>
        <v/>
      </c>
      <c r="U276" s="49">
        <f>IF(OR(S276&lt;&gt;1,L276=""),"",COUNTIFS('LEADS'!$S$5:$S$504,1,'LEADS'!$L$5:$L$504,"&lt;"&amp;L276)+COUNTIFS($S$5:S276,1,$L$5:L276,L276))</f>
        <v/>
      </c>
    </row>
    <row r="277">
      <c r="A277" s="46" t="inlineStr">
        <is>
          <t>L-0273</t>
        </is>
      </c>
      <c r="B277" s="47" t="n"/>
      <c r="C277" s="38" t="n"/>
      <c r="D277" s="38" t="n"/>
      <c r="E277" s="38" t="n"/>
      <c r="F277" s="38" t="n"/>
      <c r="G277" s="38" t="n"/>
      <c r="H277" s="38" t="n"/>
      <c r="I277" s="48" t="n"/>
      <c r="J277" s="38" t="n"/>
      <c r="K277" s="47" t="n"/>
      <c r="L277" s="47" t="n"/>
      <c r="M277" s="38" t="n"/>
      <c r="N277" s="38" t="n"/>
      <c r="O277" s="49">
        <f>IF(C277="","",IF(OR(J277="Booked",J277="Recurring Client"),"Booked",IF(J277="Lost/Declined","Lost","Open")))</f>
        <v/>
      </c>
      <c r="P277" s="49">
        <f>IF(C277="","",IF(S277=0,"—",IF(L277="","Set date",IF(L277&lt;AsOf,"Overdue",IF(L277=AsOf,"Due today",IF(L277&lt;=AsOf+SoonDays,"Due soon","Scheduled"))))))</f>
        <v/>
      </c>
      <c r="Q277" s="50">
        <f>IF(C277="","",IF(B277="","",AsOf-B277))</f>
        <v/>
      </c>
      <c r="R277" s="49">
        <f>IF(C277="","",IF(O277&lt;&gt;"Booked","",IF(COUNTIF('CUSTOMERS'!$B$5:$B$404,C277)&gt;0,"✓ In CUSTOMERS","Add to CUSTOMERS")))</f>
        <v/>
      </c>
      <c r="S277" s="49">
        <f>IF(C277="","",IF(OR(J277="Booked",J277="Recurring Client",J277="Lost/Declined"),0,1))</f>
        <v/>
      </c>
      <c r="T277" s="51">
        <f>IF(B277="","",DATE(YEAR(B277),MONTH(B277),1))</f>
        <v/>
      </c>
      <c r="U277" s="49">
        <f>IF(OR(S277&lt;&gt;1,L277=""),"",COUNTIFS('LEADS'!$S$5:$S$504,1,'LEADS'!$L$5:$L$504,"&lt;"&amp;L277)+COUNTIFS($S$5:S277,1,$L$5:L277,L277))</f>
        <v/>
      </c>
    </row>
    <row r="278">
      <c r="A278" s="46" t="inlineStr">
        <is>
          <t>L-0274</t>
        </is>
      </c>
      <c r="B278" s="47" t="n"/>
      <c r="C278" s="38" t="n"/>
      <c r="D278" s="38" t="n"/>
      <c r="E278" s="38" t="n"/>
      <c r="F278" s="38" t="n"/>
      <c r="G278" s="38" t="n"/>
      <c r="H278" s="38" t="n"/>
      <c r="I278" s="48" t="n"/>
      <c r="J278" s="38" t="n"/>
      <c r="K278" s="47" t="n"/>
      <c r="L278" s="47" t="n"/>
      <c r="M278" s="38" t="n"/>
      <c r="N278" s="38" t="n"/>
      <c r="O278" s="49">
        <f>IF(C278="","",IF(OR(J278="Booked",J278="Recurring Client"),"Booked",IF(J278="Lost/Declined","Lost","Open")))</f>
        <v/>
      </c>
      <c r="P278" s="49">
        <f>IF(C278="","",IF(S278=0,"—",IF(L278="","Set date",IF(L278&lt;AsOf,"Overdue",IF(L278=AsOf,"Due today",IF(L278&lt;=AsOf+SoonDays,"Due soon","Scheduled"))))))</f>
        <v/>
      </c>
      <c r="Q278" s="50">
        <f>IF(C278="","",IF(B278="","",AsOf-B278))</f>
        <v/>
      </c>
      <c r="R278" s="49">
        <f>IF(C278="","",IF(O278&lt;&gt;"Booked","",IF(COUNTIF('CUSTOMERS'!$B$5:$B$404,C278)&gt;0,"✓ In CUSTOMERS","Add to CUSTOMERS")))</f>
        <v/>
      </c>
      <c r="S278" s="49">
        <f>IF(C278="","",IF(OR(J278="Booked",J278="Recurring Client",J278="Lost/Declined"),0,1))</f>
        <v/>
      </c>
      <c r="T278" s="51">
        <f>IF(B278="","",DATE(YEAR(B278),MONTH(B278),1))</f>
        <v/>
      </c>
      <c r="U278" s="49">
        <f>IF(OR(S278&lt;&gt;1,L278=""),"",COUNTIFS('LEADS'!$S$5:$S$504,1,'LEADS'!$L$5:$L$504,"&lt;"&amp;L278)+COUNTIFS($S$5:S278,1,$L$5:L278,L278))</f>
        <v/>
      </c>
    </row>
    <row r="279">
      <c r="A279" s="46" t="inlineStr">
        <is>
          <t>L-0275</t>
        </is>
      </c>
      <c r="B279" s="47" t="n"/>
      <c r="C279" s="38" t="n"/>
      <c r="D279" s="38" t="n"/>
      <c r="E279" s="38" t="n"/>
      <c r="F279" s="38" t="n"/>
      <c r="G279" s="38" t="n"/>
      <c r="H279" s="38" t="n"/>
      <c r="I279" s="48" t="n"/>
      <c r="J279" s="38" t="n"/>
      <c r="K279" s="47" t="n"/>
      <c r="L279" s="47" t="n"/>
      <c r="M279" s="38" t="n"/>
      <c r="N279" s="38" t="n"/>
      <c r="O279" s="49">
        <f>IF(C279="","",IF(OR(J279="Booked",J279="Recurring Client"),"Booked",IF(J279="Lost/Declined","Lost","Open")))</f>
        <v/>
      </c>
      <c r="P279" s="49">
        <f>IF(C279="","",IF(S279=0,"—",IF(L279="","Set date",IF(L279&lt;AsOf,"Overdue",IF(L279=AsOf,"Due today",IF(L279&lt;=AsOf+SoonDays,"Due soon","Scheduled"))))))</f>
        <v/>
      </c>
      <c r="Q279" s="50">
        <f>IF(C279="","",IF(B279="","",AsOf-B279))</f>
        <v/>
      </c>
      <c r="R279" s="49">
        <f>IF(C279="","",IF(O279&lt;&gt;"Booked","",IF(COUNTIF('CUSTOMERS'!$B$5:$B$404,C279)&gt;0,"✓ In CUSTOMERS","Add to CUSTOMERS")))</f>
        <v/>
      </c>
      <c r="S279" s="49">
        <f>IF(C279="","",IF(OR(J279="Booked",J279="Recurring Client",J279="Lost/Declined"),0,1))</f>
        <v/>
      </c>
      <c r="T279" s="51">
        <f>IF(B279="","",DATE(YEAR(B279),MONTH(B279),1))</f>
        <v/>
      </c>
      <c r="U279" s="49">
        <f>IF(OR(S279&lt;&gt;1,L279=""),"",COUNTIFS('LEADS'!$S$5:$S$504,1,'LEADS'!$L$5:$L$504,"&lt;"&amp;L279)+COUNTIFS($S$5:S279,1,$L$5:L279,L279))</f>
        <v/>
      </c>
    </row>
    <row r="280">
      <c r="A280" s="46" t="inlineStr">
        <is>
          <t>L-0276</t>
        </is>
      </c>
      <c r="B280" s="47" t="n"/>
      <c r="C280" s="38" t="n"/>
      <c r="D280" s="38" t="n"/>
      <c r="E280" s="38" t="n"/>
      <c r="F280" s="38" t="n"/>
      <c r="G280" s="38" t="n"/>
      <c r="H280" s="38" t="n"/>
      <c r="I280" s="48" t="n"/>
      <c r="J280" s="38" t="n"/>
      <c r="K280" s="47" t="n"/>
      <c r="L280" s="47" t="n"/>
      <c r="M280" s="38" t="n"/>
      <c r="N280" s="38" t="n"/>
      <c r="O280" s="49">
        <f>IF(C280="","",IF(OR(J280="Booked",J280="Recurring Client"),"Booked",IF(J280="Lost/Declined","Lost","Open")))</f>
        <v/>
      </c>
      <c r="P280" s="49">
        <f>IF(C280="","",IF(S280=0,"—",IF(L280="","Set date",IF(L280&lt;AsOf,"Overdue",IF(L280=AsOf,"Due today",IF(L280&lt;=AsOf+SoonDays,"Due soon","Scheduled"))))))</f>
        <v/>
      </c>
      <c r="Q280" s="50">
        <f>IF(C280="","",IF(B280="","",AsOf-B280))</f>
        <v/>
      </c>
      <c r="R280" s="49">
        <f>IF(C280="","",IF(O280&lt;&gt;"Booked","",IF(COUNTIF('CUSTOMERS'!$B$5:$B$404,C280)&gt;0,"✓ In CUSTOMERS","Add to CUSTOMERS")))</f>
        <v/>
      </c>
      <c r="S280" s="49">
        <f>IF(C280="","",IF(OR(J280="Booked",J280="Recurring Client",J280="Lost/Declined"),0,1))</f>
        <v/>
      </c>
      <c r="T280" s="51">
        <f>IF(B280="","",DATE(YEAR(B280),MONTH(B280),1))</f>
        <v/>
      </c>
      <c r="U280" s="49">
        <f>IF(OR(S280&lt;&gt;1,L280=""),"",COUNTIFS('LEADS'!$S$5:$S$504,1,'LEADS'!$L$5:$L$504,"&lt;"&amp;L280)+COUNTIFS($S$5:S280,1,$L$5:L280,L280))</f>
        <v/>
      </c>
    </row>
    <row r="281">
      <c r="A281" s="46" t="inlineStr">
        <is>
          <t>L-0277</t>
        </is>
      </c>
      <c r="B281" s="47" t="n"/>
      <c r="C281" s="38" t="n"/>
      <c r="D281" s="38" t="n"/>
      <c r="E281" s="38" t="n"/>
      <c r="F281" s="38" t="n"/>
      <c r="G281" s="38" t="n"/>
      <c r="H281" s="38" t="n"/>
      <c r="I281" s="48" t="n"/>
      <c r="J281" s="38" t="n"/>
      <c r="K281" s="47" t="n"/>
      <c r="L281" s="47" t="n"/>
      <c r="M281" s="38" t="n"/>
      <c r="N281" s="38" t="n"/>
      <c r="O281" s="49">
        <f>IF(C281="","",IF(OR(J281="Booked",J281="Recurring Client"),"Booked",IF(J281="Lost/Declined","Lost","Open")))</f>
        <v/>
      </c>
      <c r="P281" s="49">
        <f>IF(C281="","",IF(S281=0,"—",IF(L281="","Set date",IF(L281&lt;AsOf,"Overdue",IF(L281=AsOf,"Due today",IF(L281&lt;=AsOf+SoonDays,"Due soon","Scheduled"))))))</f>
        <v/>
      </c>
      <c r="Q281" s="50">
        <f>IF(C281="","",IF(B281="","",AsOf-B281))</f>
        <v/>
      </c>
      <c r="R281" s="49">
        <f>IF(C281="","",IF(O281&lt;&gt;"Booked","",IF(COUNTIF('CUSTOMERS'!$B$5:$B$404,C281)&gt;0,"✓ In CUSTOMERS","Add to CUSTOMERS")))</f>
        <v/>
      </c>
      <c r="S281" s="49">
        <f>IF(C281="","",IF(OR(J281="Booked",J281="Recurring Client",J281="Lost/Declined"),0,1))</f>
        <v/>
      </c>
      <c r="T281" s="51">
        <f>IF(B281="","",DATE(YEAR(B281),MONTH(B281),1))</f>
        <v/>
      </c>
      <c r="U281" s="49">
        <f>IF(OR(S281&lt;&gt;1,L281=""),"",COUNTIFS('LEADS'!$S$5:$S$504,1,'LEADS'!$L$5:$L$504,"&lt;"&amp;L281)+COUNTIFS($S$5:S281,1,$L$5:L281,L281))</f>
        <v/>
      </c>
    </row>
    <row r="282">
      <c r="A282" s="46" t="inlineStr">
        <is>
          <t>L-0278</t>
        </is>
      </c>
      <c r="B282" s="47" t="n"/>
      <c r="C282" s="38" t="n"/>
      <c r="D282" s="38" t="n"/>
      <c r="E282" s="38" t="n"/>
      <c r="F282" s="38" t="n"/>
      <c r="G282" s="38" t="n"/>
      <c r="H282" s="38" t="n"/>
      <c r="I282" s="48" t="n"/>
      <c r="J282" s="38" t="n"/>
      <c r="K282" s="47" t="n"/>
      <c r="L282" s="47" t="n"/>
      <c r="M282" s="38" t="n"/>
      <c r="N282" s="38" t="n"/>
      <c r="O282" s="49">
        <f>IF(C282="","",IF(OR(J282="Booked",J282="Recurring Client"),"Booked",IF(J282="Lost/Declined","Lost","Open")))</f>
        <v/>
      </c>
      <c r="P282" s="49">
        <f>IF(C282="","",IF(S282=0,"—",IF(L282="","Set date",IF(L282&lt;AsOf,"Overdue",IF(L282=AsOf,"Due today",IF(L282&lt;=AsOf+SoonDays,"Due soon","Scheduled"))))))</f>
        <v/>
      </c>
      <c r="Q282" s="50">
        <f>IF(C282="","",IF(B282="","",AsOf-B282))</f>
        <v/>
      </c>
      <c r="R282" s="49">
        <f>IF(C282="","",IF(O282&lt;&gt;"Booked","",IF(COUNTIF('CUSTOMERS'!$B$5:$B$404,C282)&gt;0,"✓ In CUSTOMERS","Add to CUSTOMERS")))</f>
        <v/>
      </c>
      <c r="S282" s="49">
        <f>IF(C282="","",IF(OR(J282="Booked",J282="Recurring Client",J282="Lost/Declined"),0,1))</f>
        <v/>
      </c>
      <c r="T282" s="51">
        <f>IF(B282="","",DATE(YEAR(B282),MONTH(B282),1))</f>
        <v/>
      </c>
      <c r="U282" s="49">
        <f>IF(OR(S282&lt;&gt;1,L282=""),"",COUNTIFS('LEADS'!$S$5:$S$504,1,'LEADS'!$L$5:$L$504,"&lt;"&amp;L282)+COUNTIFS($S$5:S282,1,$L$5:L282,L282))</f>
        <v/>
      </c>
    </row>
    <row r="283">
      <c r="A283" s="46" t="inlineStr">
        <is>
          <t>L-0279</t>
        </is>
      </c>
      <c r="B283" s="47" t="n"/>
      <c r="C283" s="38" t="n"/>
      <c r="D283" s="38" t="n"/>
      <c r="E283" s="38" t="n"/>
      <c r="F283" s="38" t="n"/>
      <c r="G283" s="38" t="n"/>
      <c r="H283" s="38" t="n"/>
      <c r="I283" s="48" t="n"/>
      <c r="J283" s="38" t="n"/>
      <c r="K283" s="47" t="n"/>
      <c r="L283" s="47" t="n"/>
      <c r="M283" s="38" t="n"/>
      <c r="N283" s="38" t="n"/>
      <c r="O283" s="49">
        <f>IF(C283="","",IF(OR(J283="Booked",J283="Recurring Client"),"Booked",IF(J283="Lost/Declined","Lost","Open")))</f>
        <v/>
      </c>
      <c r="P283" s="49">
        <f>IF(C283="","",IF(S283=0,"—",IF(L283="","Set date",IF(L283&lt;AsOf,"Overdue",IF(L283=AsOf,"Due today",IF(L283&lt;=AsOf+SoonDays,"Due soon","Scheduled"))))))</f>
        <v/>
      </c>
      <c r="Q283" s="50">
        <f>IF(C283="","",IF(B283="","",AsOf-B283))</f>
        <v/>
      </c>
      <c r="R283" s="49">
        <f>IF(C283="","",IF(O283&lt;&gt;"Booked","",IF(COUNTIF('CUSTOMERS'!$B$5:$B$404,C283)&gt;0,"✓ In CUSTOMERS","Add to CUSTOMERS")))</f>
        <v/>
      </c>
      <c r="S283" s="49">
        <f>IF(C283="","",IF(OR(J283="Booked",J283="Recurring Client",J283="Lost/Declined"),0,1))</f>
        <v/>
      </c>
      <c r="T283" s="51">
        <f>IF(B283="","",DATE(YEAR(B283),MONTH(B283),1))</f>
        <v/>
      </c>
      <c r="U283" s="49">
        <f>IF(OR(S283&lt;&gt;1,L283=""),"",COUNTIFS('LEADS'!$S$5:$S$504,1,'LEADS'!$L$5:$L$504,"&lt;"&amp;L283)+COUNTIFS($S$5:S283,1,$L$5:L283,L283))</f>
        <v/>
      </c>
    </row>
    <row r="284">
      <c r="A284" s="46" t="inlineStr">
        <is>
          <t>L-0280</t>
        </is>
      </c>
      <c r="B284" s="47" t="n"/>
      <c r="C284" s="38" t="n"/>
      <c r="D284" s="38" t="n"/>
      <c r="E284" s="38" t="n"/>
      <c r="F284" s="38" t="n"/>
      <c r="G284" s="38" t="n"/>
      <c r="H284" s="38" t="n"/>
      <c r="I284" s="48" t="n"/>
      <c r="J284" s="38" t="n"/>
      <c r="K284" s="47" t="n"/>
      <c r="L284" s="47" t="n"/>
      <c r="M284" s="38" t="n"/>
      <c r="N284" s="38" t="n"/>
      <c r="O284" s="49">
        <f>IF(C284="","",IF(OR(J284="Booked",J284="Recurring Client"),"Booked",IF(J284="Lost/Declined","Lost","Open")))</f>
        <v/>
      </c>
      <c r="P284" s="49">
        <f>IF(C284="","",IF(S284=0,"—",IF(L284="","Set date",IF(L284&lt;AsOf,"Overdue",IF(L284=AsOf,"Due today",IF(L284&lt;=AsOf+SoonDays,"Due soon","Scheduled"))))))</f>
        <v/>
      </c>
      <c r="Q284" s="50">
        <f>IF(C284="","",IF(B284="","",AsOf-B284))</f>
        <v/>
      </c>
      <c r="R284" s="49">
        <f>IF(C284="","",IF(O284&lt;&gt;"Booked","",IF(COUNTIF('CUSTOMERS'!$B$5:$B$404,C284)&gt;0,"✓ In CUSTOMERS","Add to CUSTOMERS")))</f>
        <v/>
      </c>
      <c r="S284" s="49">
        <f>IF(C284="","",IF(OR(J284="Booked",J284="Recurring Client",J284="Lost/Declined"),0,1))</f>
        <v/>
      </c>
      <c r="T284" s="51">
        <f>IF(B284="","",DATE(YEAR(B284),MONTH(B284),1))</f>
        <v/>
      </c>
      <c r="U284" s="49">
        <f>IF(OR(S284&lt;&gt;1,L284=""),"",COUNTIFS('LEADS'!$S$5:$S$504,1,'LEADS'!$L$5:$L$504,"&lt;"&amp;L284)+COUNTIFS($S$5:S284,1,$L$5:L284,L284))</f>
        <v/>
      </c>
    </row>
    <row r="285">
      <c r="A285" s="46" t="inlineStr">
        <is>
          <t>L-0281</t>
        </is>
      </c>
      <c r="B285" s="47" t="n"/>
      <c r="C285" s="38" t="n"/>
      <c r="D285" s="38" t="n"/>
      <c r="E285" s="38" t="n"/>
      <c r="F285" s="38" t="n"/>
      <c r="G285" s="38" t="n"/>
      <c r="H285" s="38" t="n"/>
      <c r="I285" s="48" t="n"/>
      <c r="J285" s="38" t="n"/>
      <c r="K285" s="47" t="n"/>
      <c r="L285" s="47" t="n"/>
      <c r="M285" s="38" t="n"/>
      <c r="N285" s="38" t="n"/>
      <c r="O285" s="49">
        <f>IF(C285="","",IF(OR(J285="Booked",J285="Recurring Client"),"Booked",IF(J285="Lost/Declined","Lost","Open")))</f>
        <v/>
      </c>
      <c r="P285" s="49">
        <f>IF(C285="","",IF(S285=0,"—",IF(L285="","Set date",IF(L285&lt;AsOf,"Overdue",IF(L285=AsOf,"Due today",IF(L285&lt;=AsOf+SoonDays,"Due soon","Scheduled"))))))</f>
        <v/>
      </c>
      <c r="Q285" s="50">
        <f>IF(C285="","",IF(B285="","",AsOf-B285))</f>
        <v/>
      </c>
      <c r="R285" s="49">
        <f>IF(C285="","",IF(O285&lt;&gt;"Booked","",IF(COUNTIF('CUSTOMERS'!$B$5:$B$404,C285)&gt;0,"✓ In CUSTOMERS","Add to CUSTOMERS")))</f>
        <v/>
      </c>
      <c r="S285" s="49">
        <f>IF(C285="","",IF(OR(J285="Booked",J285="Recurring Client",J285="Lost/Declined"),0,1))</f>
        <v/>
      </c>
      <c r="T285" s="51">
        <f>IF(B285="","",DATE(YEAR(B285),MONTH(B285),1))</f>
        <v/>
      </c>
      <c r="U285" s="49">
        <f>IF(OR(S285&lt;&gt;1,L285=""),"",COUNTIFS('LEADS'!$S$5:$S$504,1,'LEADS'!$L$5:$L$504,"&lt;"&amp;L285)+COUNTIFS($S$5:S285,1,$L$5:L285,L285))</f>
        <v/>
      </c>
    </row>
    <row r="286">
      <c r="A286" s="46" t="inlineStr">
        <is>
          <t>L-0282</t>
        </is>
      </c>
      <c r="B286" s="47" t="n"/>
      <c r="C286" s="38" t="n"/>
      <c r="D286" s="38" t="n"/>
      <c r="E286" s="38" t="n"/>
      <c r="F286" s="38" t="n"/>
      <c r="G286" s="38" t="n"/>
      <c r="H286" s="38" t="n"/>
      <c r="I286" s="48" t="n"/>
      <c r="J286" s="38" t="n"/>
      <c r="K286" s="47" t="n"/>
      <c r="L286" s="47" t="n"/>
      <c r="M286" s="38" t="n"/>
      <c r="N286" s="38" t="n"/>
      <c r="O286" s="49">
        <f>IF(C286="","",IF(OR(J286="Booked",J286="Recurring Client"),"Booked",IF(J286="Lost/Declined","Lost","Open")))</f>
        <v/>
      </c>
      <c r="P286" s="49">
        <f>IF(C286="","",IF(S286=0,"—",IF(L286="","Set date",IF(L286&lt;AsOf,"Overdue",IF(L286=AsOf,"Due today",IF(L286&lt;=AsOf+SoonDays,"Due soon","Scheduled"))))))</f>
        <v/>
      </c>
      <c r="Q286" s="50">
        <f>IF(C286="","",IF(B286="","",AsOf-B286))</f>
        <v/>
      </c>
      <c r="R286" s="49">
        <f>IF(C286="","",IF(O286&lt;&gt;"Booked","",IF(COUNTIF('CUSTOMERS'!$B$5:$B$404,C286)&gt;0,"✓ In CUSTOMERS","Add to CUSTOMERS")))</f>
        <v/>
      </c>
      <c r="S286" s="49">
        <f>IF(C286="","",IF(OR(J286="Booked",J286="Recurring Client",J286="Lost/Declined"),0,1))</f>
        <v/>
      </c>
      <c r="T286" s="51">
        <f>IF(B286="","",DATE(YEAR(B286),MONTH(B286),1))</f>
        <v/>
      </c>
      <c r="U286" s="49">
        <f>IF(OR(S286&lt;&gt;1,L286=""),"",COUNTIFS('LEADS'!$S$5:$S$504,1,'LEADS'!$L$5:$L$504,"&lt;"&amp;L286)+COUNTIFS($S$5:S286,1,$L$5:L286,L286))</f>
        <v/>
      </c>
    </row>
    <row r="287">
      <c r="A287" s="46" t="inlineStr">
        <is>
          <t>L-0283</t>
        </is>
      </c>
      <c r="B287" s="47" t="n"/>
      <c r="C287" s="38" t="n"/>
      <c r="D287" s="38" t="n"/>
      <c r="E287" s="38" t="n"/>
      <c r="F287" s="38" t="n"/>
      <c r="G287" s="38" t="n"/>
      <c r="H287" s="38" t="n"/>
      <c r="I287" s="48" t="n"/>
      <c r="J287" s="38" t="n"/>
      <c r="K287" s="47" t="n"/>
      <c r="L287" s="47" t="n"/>
      <c r="M287" s="38" t="n"/>
      <c r="N287" s="38" t="n"/>
      <c r="O287" s="49">
        <f>IF(C287="","",IF(OR(J287="Booked",J287="Recurring Client"),"Booked",IF(J287="Lost/Declined","Lost","Open")))</f>
        <v/>
      </c>
      <c r="P287" s="49">
        <f>IF(C287="","",IF(S287=0,"—",IF(L287="","Set date",IF(L287&lt;AsOf,"Overdue",IF(L287=AsOf,"Due today",IF(L287&lt;=AsOf+SoonDays,"Due soon","Scheduled"))))))</f>
        <v/>
      </c>
      <c r="Q287" s="50">
        <f>IF(C287="","",IF(B287="","",AsOf-B287))</f>
        <v/>
      </c>
      <c r="R287" s="49">
        <f>IF(C287="","",IF(O287&lt;&gt;"Booked","",IF(COUNTIF('CUSTOMERS'!$B$5:$B$404,C287)&gt;0,"✓ In CUSTOMERS","Add to CUSTOMERS")))</f>
        <v/>
      </c>
      <c r="S287" s="49">
        <f>IF(C287="","",IF(OR(J287="Booked",J287="Recurring Client",J287="Lost/Declined"),0,1))</f>
        <v/>
      </c>
      <c r="T287" s="51">
        <f>IF(B287="","",DATE(YEAR(B287),MONTH(B287),1))</f>
        <v/>
      </c>
      <c r="U287" s="49">
        <f>IF(OR(S287&lt;&gt;1,L287=""),"",COUNTIFS('LEADS'!$S$5:$S$504,1,'LEADS'!$L$5:$L$504,"&lt;"&amp;L287)+COUNTIFS($S$5:S287,1,$L$5:L287,L287))</f>
        <v/>
      </c>
    </row>
    <row r="288">
      <c r="A288" s="46" t="inlineStr">
        <is>
          <t>L-0284</t>
        </is>
      </c>
      <c r="B288" s="47" t="n"/>
      <c r="C288" s="38" t="n"/>
      <c r="D288" s="38" t="n"/>
      <c r="E288" s="38" t="n"/>
      <c r="F288" s="38" t="n"/>
      <c r="G288" s="38" t="n"/>
      <c r="H288" s="38" t="n"/>
      <c r="I288" s="48" t="n"/>
      <c r="J288" s="38" t="n"/>
      <c r="K288" s="47" t="n"/>
      <c r="L288" s="47" t="n"/>
      <c r="M288" s="38" t="n"/>
      <c r="N288" s="38" t="n"/>
      <c r="O288" s="49">
        <f>IF(C288="","",IF(OR(J288="Booked",J288="Recurring Client"),"Booked",IF(J288="Lost/Declined","Lost","Open")))</f>
        <v/>
      </c>
      <c r="P288" s="49">
        <f>IF(C288="","",IF(S288=0,"—",IF(L288="","Set date",IF(L288&lt;AsOf,"Overdue",IF(L288=AsOf,"Due today",IF(L288&lt;=AsOf+SoonDays,"Due soon","Scheduled"))))))</f>
        <v/>
      </c>
      <c r="Q288" s="50">
        <f>IF(C288="","",IF(B288="","",AsOf-B288))</f>
        <v/>
      </c>
      <c r="R288" s="49">
        <f>IF(C288="","",IF(O288&lt;&gt;"Booked","",IF(COUNTIF('CUSTOMERS'!$B$5:$B$404,C288)&gt;0,"✓ In CUSTOMERS","Add to CUSTOMERS")))</f>
        <v/>
      </c>
      <c r="S288" s="49">
        <f>IF(C288="","",IF(OR(J288="Booked",J288="Recurring Client",J288="Lost/Declined"),0,1))</f>
        <v/>
      </c>
      <c r="T288" s="51">
        <f>IF(B288="","",DATE(YEAR(B288),MONTH(B288),1))</f>
        <v/>
      </c>
      <c r="U288" s="49">
        <f>IF(OR(S288&lt;&gt;1,L288=""),"",COUNTIFS('LEADS'!$S$5:$S$504,1,'LEADS'!$L$5:$L$504,"&lt;"&amp;L288)+COUNTIFS($S$5:S288,1,$L$5:L288,L288))</f>
        <v/>
      </c>
    </row>
    <row r="289">
      <c r="A289" s="46" t="inlineStr">
        <is>
          <t>L-0285</t>
        </is>
      </c>
      <c r="B289" s="47" t="n"/>
      <c r="C289" s="38" t="n"/>
      <c r="D289" s="38" t="n"/>
      <c r="E289" s="38" t="n"/>
      <c r="F289" s="38" t="n"/>
      <c r="G289" s="38" t="n"/>
      <c r="H289" s="38" t="n"/>
      <c r="I289" s="48" t="n"/>
      <c r="J289" s="38" t="n"/>
      <c r="K289" s="47" t="n"/>
      <c r="L289" s="47" t="n"/>
      <c r="M289" s="38" t="n"/>
      <c r="N289" s="38" t="n"/>
      <c r="O289" s="49">
        <f>IF(C289="","",IF(OR(J289="Booked",J289="Recurring Client"),"Booked",IF(J289="Lost/Declined","Lost","Open")))</f>
        <v/>
      </c>
      <c r="P289" s="49">
        <f>IF(C289="","",IF(S289=0,"—",IF(L289="","Set date",IF(L289&lt;AsOf,"Overdue",IF(L289=AsOf,"Due today",IF(L289&lt;=AsOf+SoonDays,"Due soon","Scheduled"))))))</f>
        <v/>
      </c>
      <c r="Q289" s="50">
        <f>IF(C289="","",IF(B289="","",AsOf-B289))</f>
        <v/>
      </c>
      <c r="R289" s="49">
        <f>IF(C289="","",IF(O289&lt;&gt;"Booked","",IF(COUNTIF('CUSTOMERS'!$B$5:$B$404,C289)&gt;0,"✓ In CUSTOMERS","Add to CUSTOMERS")))</f>
        <v/>
      </c>
      <c r="S289" s="49">
        <f>IF(C289="","",IF(OR(J289="Booked",J289="Recurring Client",J289="Lost/Declined"),0,1))</f>
        <v/>
      </c>
      <c r="T289" s="51">
        <f>IF(B289="","",DATE(YEAR(B289),MONTH(B289),1))</f>
        <v/>
      </c>
      <c r="U289" s="49">
        <f>IF(OR(S289&lt;&gt;1,L289=""),"",COUNTIFS('LEADS'!$S$5:$S$504,1,'LEADS'!$L$5:$L$504,"&lt;"&amp;L289)+COUNTIFS($S$5:S289,1,$L$5:L289,L289))</f>
        <v/>
      </c>
    </row>
    <row r="290">
      <c r="A290" s="46" t="inlineStr">
        <is>
          <t>L-0286</t>
        </is>
      </c>
      <c r="B290" s="47" t="n"/>
      <c r="C290" s="38" t="n"/>
      <c r="D290" s="38" t="n"/>
      <c r="E290" s="38" t="n"/>
      <c r="F290" s="38" t="n"/>
      <c r="G290" s="38" t="n"/>
      <c r="H290" s="38" t="n"/>
      <c r="I290" s="48" t="n"/>
      <c r="J290" s="38" t="n"/>
      <c r="K290" s="47" t="n"/>
      <c r="L290" s="47" t="n"/>
      <c r="M290" s="38" t="n"/>
      <c r="N290" s="38" t="n"/>
      <c r="O290" s="49">
        <f>IF(C290="","",IF(OR(J290="Booked",J290="Recurring Client"),"Booked",IF(J290="Lost/Declined","Lost","Open")))</f>
        <v/>
      </c>
      <c r="P290" s="49">
        <f>IF(C290="","",IF(S290=0,"—",IF(L290="","Set date",IF(L290&lt;AsOf,"Overdue",IF(L290=AsOf,"Due today",IF(L290&lt;=AsOf+SoonDays,"Due soon","Scheduled"))))))</f>
        <v/>
      </c>
      <c r="Q290" s="50">
        <f>IF(C290="","",IF(B290="","",AsOf-B290))</f>
        <v/>
      </c>
      <c r="R290" s="49">
        <f>IF(C290="","",IF(O290&lt;&gt;"Booked","",IF(COUNTIF('CUSTOMERS'!$B$5:$B$404,C290)&gt;0,"✓ In CUSTOMERS","Add to CUSTOMERS")))</f>
        <v/>
      </c>
      <c r="S290" s="49">
        <f>IF(C290="","",IF(OR(J290="Booked",J290="Recurring Client",J290="Lost/Declined"),0,1))</f>
        <v/>
      </c>
      <c r="T290" s="51">
        <f>IF(B290="","",DATE(YEAR(B290),MONTH(B290),1))</f>
        <v/>
      </c>
      <c r="U290" s="49">
        <f>IF(OR(S290&lt;&gt;1,L290=""),"",COUNTIFS('LEADS'!$S$5:$S$504,1,'LEADS'!$L$5:$L$504,"&lt;"&amp;L290)+COUNTIFS($S$5:S290,1,$L$5:L290,L290))</f>
        <v/>
      </c>
    </row>
    <row r="291">
      <c r="A291" s="46" t="inlineStr">
        <is>
          <t>L-0287</t>
        </is>
      </c>
      <c r="B291" s="47" t="n"/>
      <c r="C291" s="38" t="n"/>
      <c r="D291" s="38" t="n"/>
      <c r="E291" s="38" t="n"/>
      <c r="F291" s="38" t="n"/>
      <c r="G291" s="38" t="n"/>
      <c r="H291" s="38" t="n"/>
      <c r="I291" s="48" t="n"/>
      <c r="J291" s="38" t="n"/>
      <c r="K291" s="47" t="n"/>
      <c r="L291" s="47" t="n"/>
      <c r="M291" s="38" t="n"/>
      <c r="N291" s="38" t="n"/>
      <c r="O291" s="49">
        <f>IF(C291="","",IF(OR(J291="Booked",J291="Recurring Client"),"Booked",IF(J291="Lost/Declined","Lost","Open")))</f>
        <v/>
      </c>
      <c r="P291" s="49">
        <f>IF(C291="","",IF(S291=0,"—",IF(L291="","Set date",IF(L291&lt;AsOf,"Overdue",IF(L291=AsOf,"Due today",IF(L291&lt;=AsOf+SoonDays,"Due soon","Scheduled"))))))</f>
        <v/>
      </c>
      <c r="Q291" s="50">
        <f>IF(C291="","",IF(B291="","",AsOf-B291))</f>
        <v/>
      </c>
      <c r="R291" s="49">
        <f>IF(C291="","",IF(O291&lt;&gt;"Booked","",IF(COUNTIF('CUSTOMERS'!$B$5:$B$404,C291)&gt;0,"✓ In CUSTOMERS","Add to CUSTOMERS")))</f>
        <v/>
      </c>
      <c r="S291" s="49">
        <f>IF(C291="","",IF(OR(J291="Booked",J291="Recurring Client",J291="Lost/Declined"),0,1))</f>
        <v/>
      </c>
      <c r="T291" s="51">
        <f>IF(B291="","",DATE(YEAR(B291),MONTH(B291),1))</f>
        <v/>
      </c>
      <c r="U291" s="49">
        <f>IF(OR(S291&lt;&gt;1,L291=""),"",COUNTIFS('LEADS'!$S$5:$S$504,1,'LEADS'!$L$5:$L$504,"&lt;"&amp;L291)+COUNTIFS($S$5:S291,1,$L$5:L291,L291))</f>
        <v/>
      </c>
    </row>
    <row r="292">
      <c r="A292" s="46" t="inlineStr">
        <is>
          <t>L-0288</t>
        </is>
      </c>
      <c r="B292" s="47" t="n"/>
      <c r="C292" s="38" t="n"/>
      <c r="D292" s="38" t="n"/>
      <c r="E292" s="38" t="n"/>
      <c r="F292" s="38" t="n"/>
      <c r="G292" s="38" t="n"/>
      <c r="H292" s="38" t="n"/>
      <c r="I292" s="48" t="n"/>
      <c r="J292" s="38" t="n"/>
      <c r="K292" s="47" t="n"/>
      <c r="L292" s="47" t="n"/>
      <c r="M292" s="38" t="n"/>
      <c r="N292" s="38" t="n"/>
      <c r="O292" s="49">
        <f>IF(C292="","",IF(OR(J292="Booked",J292="Recurring Client"),"Booked",IF(J292="Lost/Declined","Lost","Open")))</f>
        <v/>
      </c>
      <c r="P292" s="49">
        <f>IF(C292="","",IF(S292=0,"—",IF(L292="","Set date",IF(L292&lt;AsOf,"Overdue",IF(L292=AsOf,"Due today",IF(L292&lt;=AsOf+SoonDays,"Due soon","Scheduled"))))))</f>
        <v/>
      </c>
      <c r="Q292" s="50">
        <f>IF(C292="","",IF(B292="","",AsOf-B292))</f>
        <v/>
      </c>
      <c r="R292" s="49">
        <f>IF(C292="","",IF(O292&lt;&gt;"Booked","",IF(COUNTIF('CUSTOMERS'!$B$5:$B$404,C292)&gt;0,"✓ In CUSTOMERS","Add to CUSTOMERS")))</f>
        <v/>
      </c>
      <c r="S292" s="49">
        <f>IF(C292="","",IF(OR(J292="Booked",J292="Recurring Client",J292="Lost/Declined"),0,1))</f>
        <v/>
      </c>
      <c r="T292" s="51">
        <f>IF(B292="","",DATE(YEAR(B292),MONTH(B292),1))</f>
        <v/>
      </c>
      <c r="U292" s="49">
        <f>IF(OR(S292&lt;&gt;1,L292=""),"",COUNTIFS('LEADS'!$S$5:$S$504,1,'LEADS'!$L$5:$L$504,"&lt;"&amp;L292)+COUNTIFS($S$5:S292,1,$L$5:L292,L292))</f>
        <v/>
      </c>
    </row>
    <row r="293">
      <c r="A293" s="46" t="inlineStr">
        <is>
          <t>L-0289</t>
        </is>
      </c>
      <c r="B293" s="47" t="n"/>
      <c r="C293" s="38" t="n"/>
      <c r="D293" s="38" t="n"/>
      <c r="E293" s="38" t="n"/>
      <c r="F293" s="38" t="n"/>
      <c r="G293" s="38" t="n"/>
      <c r="H293" s="38" t="n"/>
      <c r="I293" s="48" t="n"/>
      <c r="J293" s="38" t="n"/>
      <c r="K293" s="47" t="n"/>
      <c r="L293" s="47" t="n"/>
      <c r="M293" s="38" t="n"/>
      <c r="N293" s="38" t="n"/>
      <c r="O293" s="49">
        <f>IF(C293="","",IF(OR(J293="Booked",J293="Recurring Client"),"Booked",IF(J293="Lost/Declined","Lost","Open")))</f>
        <v/>
      </c>
      <c r="P293" s="49">
        <f>IF(C293="","",IF(S293=0,"—",IF(L293="","Set date",IF(L293&lt;AsOf,"Overdue",IF(L293=AsOf,"Due today",IF(L293&lt;=AsOf+SoonDays,"Due soon","Scheduled"))))))</f>
        <v/>
      </c>
      <c r="Q293" s="50">
        <f>IF(C293="","",IF(B293="","",AsOf-B293))</f>
        <v/>
      </c>
      <c r="R293" s="49">
        <f>IF(C293="","",IF(O293&lt;&gt;"Booked","",IF(COUNTIF('CUSTOMERS'!$B$5:$B$404,C293)&gt;0,"✓ In CUSTOMERS","Add to CUSTOMERS")))</f>
        <v/>
      </c>
      <c r="S293" s="49">
        <f>IF(C293="","",IF(OR(J293="Booked",J293="Recurring Client",J293="Lost/Declined"),0,1))</f>
        <v/>
      </c>
      <c r="T293" s="51">
        <f>IF(B293="","",DATE(YEAR(B293),MONTH(B293),1))</f>
        <v/>
      </c>
      <c r="U293" s="49">
        <f>IF(OR(S293&lt;&gt;1,L293=""),"",COUNTIFS('LEADS'!$S$5:$S$504,1,'LEADS'!$L$5:$L$504,"&lt;"&amp;L293)+COUNTIFS($S$5:S293,1,$L$5:L293,L293))</f>
        <v/>
      </c>
    </row>
    <row r="294">
      <c r="A294" s="46" t="inlineStr">
        <is>
          <t>L-0290</t>
        </is>
      </c>
      <c r="B294" s="47" t="n"/>
      <c r="C294" s="38" t="n"/>
      <c r="D294" s="38" t="n"/>
      <c r="E294" s="38" t="n"/>
      <c r="F294" s="38" t="n"/>
      <c r="G294" s="38" t="n"/>
      <c r="H294" s="38" t="n"/>
      <c r="I294" s="48" t="n"/>
      <c r="J294" s="38" t="n"/>
      <c r="K294" s="47" t="n"/>
      <c r="L294" s="47" t="n"/>
      <c r="M294" s="38" t="n"/>
      <c r="N294" s="38" t="n"/>
      <c r="O294" s="49">
        <f>IF(C294="","",IF(OR(J294="Booked",J294="Recurring Client"),"Booked",IF(J294="Lost/Declined","Lost","Open")))</f>
        <v/>
      </c>
      <c r="P294" s="49">
        <f>IF(C294="","",IF(S294=0,"—",IF(L294="","Set date",IF(L294&lt;AsOf,"Overdue",IF(L294=AsOf,"Due today",IF(L294&lt;=AsOf+SoonDays,"Due soon","Scheduled"))))))</f>
        <v/>
      </c>
      <c r="Q294" s="50">
        <f>IF(C294="","",IF(B294="","",AsOf-B294))</f>
        <v/>
      </c>
      <c r="R294" s="49">
        <f>IF(C294="","",IF(O294&lt;&gt;"Booked","",IF(COUNTIF('CUSTOMERS'!$B$5:$B$404,C294)&gt;0,"✓ In CUSTOMERS","Add to CUSTOMERS")))</f>
        <v/>
      </c>
      <c r="S294" s="49">
        <f>IF(C294="","",IF(OR(J294="Booked",J294="Recurring Client",J294="Lost/Declined"),0,1))</f>
        <v/>
      </c>
      <c r="T294" s="51">
        <f>IF(B294="","",DATE(YEAR(B294),MONTH(B294),1))</f>
        <v/>
      </c>
      <c r="U294" s="49">
        <f>IF(OR(S294&lt;&gt;1,L294=""),"",COUNTIFS('LEADS'!$S$5:$S$504,1,'LEADS'!$L$5:$L$504,"&lt;"&amp;L294)+COUNTIFS($S$5:S294,1,$L$5:L294,L294))</f>
        <v/>
      </c>
    </row>
    <row r="295">
      <c r="A295" s="46" t="inlineStr">
        <is>
          <t>L-0291</t>
        </is>
      </c>
      <c r="B295" s="47" t="n"/>
      <c r="C295" s="38" t="n"/>
      <c r="D295" s="38" t="n"/>
      <c r="E295" s="38" t="n"/>
      <c r="F295" s="38" t="n"/>
      <c r="G295" s="38" t="n"/>
      <c r="H295" s="38" t="n"/>
      <c r="I295" s="48" t="n"/>
      <c r="J295" s="38" t="n"/>
      <c r="K295" s="47" t="n"/>
      <c r="L295" s="47" t="n"/>
      <c r="M295" s="38" t="n"/>
      <c r="N295" s="38" t="n"/>
      <c r="O295" s="49">
        <f>IF(C295="","",IF(OR(J295="Booked",J295="Recurring Client"),"Booked",IF(J295="Lost/Declined","Lost","Open")))</f>
        <v/>
      </c>
      <c r="P295" s="49">
        <f>IF(C295="","",IF(S295=0,"—",IF(L295="","Set date",IF(L295&lt;AsOf,"Overdue",IF(L295=AsOf,"Due today",IF(L295&lt;=AsOf+SoonDays,"Due soon","Scheduled"))))))</f>
        <v/>
      </c>
      <c r="Q295" s="50">
        <f>IF(C295="","",IF(B295="","",AsOf-B295))</f>
        <v/>
      </c>
      <c r="R295" s="49">
        <f>IF(C295="","",IF(O295&lt;&gt;"Booked","",IF(COUNTIF('CUSTOMERS'!$B$5:$B$404,C295)&gt;0,"✓ In CUSTOMERS","Add to CUSTOMERS")))</f>
        <v/>
      </c>
      <c r="S295" s="49">
        <f>IF(C295="","",IF(OR(J295="Booked",J295="Recurring Client",J295="Lost/Declined"),0,1))</f>
        <v/>
      </c>
      <c r="T295" s="51">
        <f>IF(B295="","",DATE(YEAR(B295),MONTH(B295),1))</f>
        <v/>
      </c>
      <c r="U295" s="49">
        <f>IF(OR(S295&lt;&gt;1,L295=""),"",COUNTIFS('LEADS'!$S$5:$S$504,1,'LEADS'!$L$5:$L$504,"&lt;"&amp;L295)+COUNTIFS($S$5:S295,1,$L$5:L295,L295))</f>
        <v/>
      </c>
    </row>
    <row r="296">
      <c r="A296" s="46" t="inlineStr">
        <is>
          <t>L-0292</t>
        </is>
      </c>
      <c r="B296" s="47" t="n"/>
      <c r="C296" s="38" t="n"/>
      <c r="D296" s="38" t="n"/>
      <c r="E296" s="38" t="n"/>
      <c r="F296" s="38" t="n"/>
      <c r="G296" s="38" t="n"/>
      <c r="H296" s="38" t="n"/>
      <c r="I296" s="48" t="n"/>
      <c r="J296" s="38" t="n"/>
      <c r="K296" s="47" t="n"/>
      <c r="L296" s="47" t="n"/>
      <c r="M296" s="38" t="n"/>
      <c r="N296" s="38" t="n"/>
      <c r="O296" s="49">
        <f>IF(C296="","",IF(OR(J296="Booked",J296="Recurring Client"),"Booked",IF(J296="Lost/Declined","Lost","Open")))</f>
        <v/>
      </c>
      <c r="P296" s="49">
        <f>IF(C296="","",IF(S296=0,"—",IF(L296="","Set date",IF(L296&lt;AsOf,"Overdue",IF(L296=AsOf,"Due today",IF(L296&lt;=AsOf+SoonDays,"Due soon","Scheduled"))))))</f>
        <v/>
      </c>
      <c r="Q296" s="50">
        <f>IF(C296="","",IF(B296="","",AsOf-B296))</f>
        <v/>
      </c>
      <c r="R296" s="49">
        <f>IF(C296="","",IF(O296&lt;&gt;"Booked","",IF(COUNTIF('CUSTOMERS'!$B$5:$B$404,C296)&gt;0,"✓ In CUSTOMERS","Add to CUSTOMERS")))</f>
        <v/>
      </c>
      <c r="S296" s="49">
        <f>IF(C296="","",IF(OR(J296="Booked",J296="Recurring Client",J296="Lost/Declined"),0,1))</f>
        <v/>
      </c>
      <c r="T296" s="51">
        <f>IF(B296="","",DATE(YEAR(B296),MONTH(B296),1))</f>
        <v/>
      </c>
      <c r="U296" s="49">
        <f>IF(OR(S296&lt;&gt;1,L296=""),"",COUNTIFS('LEADS'!$S$5:$S$504,1,'LEADS'!$L$5:$L$504,"&lt;"&amp;L296)+COUNTIFS($S$5:S296,1,$L$5:L296,L296))</f>
        <v/>
      </c>
    </row>
    <row r="297">
      <c r="A297" s="46" t="inlineStr">
        <is>
          <t>L-0293</t>
        </is>
      </c>
      <c r="B297" s="47" t="n"/>
      <c r="C297" s="38" t="n"/>
      <c r="D297" s="38" t="n"/>
      <c r="E297" s="38" t="n"/>
      <c r="F297" s="38" t="n"/>
      <c r="G297" s="38" t="n"/>
      <c r="H297" s="38" t="n"/>
      <c r="I297" s="48" t="n"/>
      <c r="J297" s="38" t="n"/>
      <c r="K297" s="47" t="n"/>
      <c r="L297" s="47" t="n"/>
      <c r="M297" s="38" t="n"/>
      <c r="N297" s="38" t="n"/>
      <c r="O297" s="49">
        <f>IF(C297="","",IF(OR(J297="Booked",J297="Recurring Client"),"Booked",IF(J297="Lost/Declined","Lost","Open")))</f>
        <v/>
      </c>
      <c r="P297" s="49">
        <f>IF(C297="","",IF(S297=0,"—",IF(L297="","Set date",IF(L297&lt;AsOf,"Overdue",IF(L297=AsOf,"Due today",IF(L297&lt;=AsOf+SoonDays,"Due soon","Scheduled"))))))</f>
        <v/>
      </c>
      <c r="Q297" s="50">
        <f>IF(C297="","",IF(B297="","",AsOf-B297))</f>
        <v/>
      </c>
      <c r="R297" s="49">
        <f>IF(C297="","",IF(O297&lt;&gt;"Booked","",IF(COUNTIF('CUSTOMERS'!$B$5:$B$404,C297)&gt;0,"✓ In CUSTOMERS","Add to CUSTOMERS")))</f>
        <v/>
      </c>
      <c r="S297" s="49">
        <f>IF(C297="","",IF(OR(J297="Booked",J297="Recurring Client",J297="Lost/Declined"),0,1))</f>
        <v/>
      </c>
      <c r="T297" s="51">
        <f>IF(B297="","",DATE(YEAR(B297),MONTH(B297),1))</f>
        <v/>
      </c>
      <c r="U297" s="49">
        <f>IF(OR(S297&lt;&gt;1,L297=""),"",COUNTIFS('LEADS'!$S$5:$S$504,1,'LEADS'!$L$5:$L$504,"&lt;"&amp;L297)+COUNTIFS($S$5:S297,1,$L$5:L297,L297))</f>
        <v/>
      </c>
    </row>
    <row r="298">
      <c r="A298" s="46" t="inlineStr">
        <is>
          <t>L-0294</t>
        </is>
      </c>
      <c r="B298" s="47" t="n"/>
      <c r="C298" s="38" t="n"/>
      <c r="D298" s="38" t="n"/>
      <c r="E298" s="38" t="n"/>
      <c r="F298" s="38" t="n"/>
      <c r="G298" s="38" t="n"/>
      <c r="H298" s="38" t="n"/>
      <c r="I298" s="48" t="n"/>
      <c r="J298" s="38" t="n"/>
      <c r="K298" s="47" t="n"/>
      <c r="L298" s="47" t="n"/>
      <c r="M298" s="38" t="n"/>
      <c r="N298" s="38" t="n"/>
      <c r="O298" s="49">
        <f>IF(C298="","",IF(OR(J298="Booked",J298="Recurring Client"),"Booked",IF(J298="Lost/Declined","Lost","Open")))</f>
        <v/>
      </c>
      <c r="P298" s="49">
        <f>IF(C298="","",IF(S298=0,"—",IF(L298="","Set date",IF(L298&lt;AsOf,"Overdue",IF(L298=AsOf,"Due today",IF(L298&lt;=AsOf+SoonDays,"Due soon","Scheduled"))))))</f>
        <v/>
      </c>
      <c r="Q298" s="50">
        <f>IF(C298="","",IF(B298="","",AsOf-B298))</f>
        <v/>
      </c>
      <c r="R298" s="49">
        <f>IF(C298="","",IF(O298&lt;&gt;"Booked","",IF(COUNTIF('CUSTOMERS'!$B$5:$B$404,C298)&gt;0,"✓ In CUSTOMERS","Add to CUSTOMERS")))</f>
        <v/>
      </c>
      <c r="S298" s="49">
        <f>IF(C298="","",IF(OR(J298="Booked",J298="Recurring Client",J298="Lost/Declined"),0,1))</f>
        <v/>
      </c>
      <c r="T298" s="51">
        <f>IF(B298="","",DATE(YEAR(B298),MONTH(B298),1))</f>
        <v/>
      </c>
      <c r="U298" s="49">
        <f>IF(OR(S298&lt;&gt;1,L298=""),"",COUNTIFS('LEADS'!$S$5:$S$504,1,'LEADS'!$L$5:$L$504,"&lt;"&amp;L298)+COUNTIFS($S$5:S298,1,$L$5:L298,L298))</f>
        <v/>
      </c>
    </row>
    <row r="299">
      <c r="A299" s="46" t="inlineStr">
        <is>
          <t>L-0295</t>
        </is>
      </c>
      <c r="B299" s="47" t="n"/>
      <c r="C299" s="38" t="n"/>
      <c r="D299" s="38" t="n"/>
      <c r="E299" s="38" t="n"/>
      <c r="F299" s="38" t="n"/>
      <c r="G299" s="38" t="n"/>
      <c r="H299" s="38" t="n"/>
      <c r="I299" s="48" t="n"/>
      <c r="J299" s="38" t="n"/>
      <c r="K299" s="47" t="n"/>
      <c r="L299" s="47" t="n"/>
      <c r="M299" s="38" t="n"/>
      <c r="N299" s="38" t="n"/>
      <c r="O299" s="49">
        <f>IF(C299="","",IF(OR(J299="Booked",J299="Recurring Client"),"Booked",IF(J299="Lost/Declined","Lost","Open")))</f>
        <v/>
      </c>
      <c r="P299" s="49">
        <f>IF(C299="","",IF(S299=0,"—",IF(L299="","Set date",IF(L299&lt;AsOf,"Overdue",IF(L299=AsOf,"Due today",IF(L299&lt;=AsOf+SoonDays,"Due soon","Scheduled"))))))</f>
        <v/>
      </c>
      <c r="Q299" s="50">
        <f>IF(C299="","",IF(B299="","",AsOf-B299))</f>
        <v/>
      </c>
      <c r="R299" s="49">
        <f>IF(C299="","",IF(O299&lt;&gt;"Booked","",IF(COUNTIF('CUSTOMERS'!$B$5:$B$404,C299)&gt;0,"✓ In CUSTOMERS","Add to CUSTOMERS")))</f>
        <v/>
      </c>
      <c r="S299" s="49">
        <f>IF(C299="","",IF(OR(J299="Booked",J299="Recurring Client",J299="Lost/Declined"),0,1))</f>
        <v/>
      </c>
      <c r="T299" s="51">
        <f>IF(B299="","",DATE(YEAR(B299),MONTH(B299),1))</f>
        <v/>
      </c>
      <c r="U299" s="49">
        <f>IF(OR(S299&lt;&gt;1,L299=""),"",COUNTIFS('LEADS'!$S$5:$S$504,1,'LEADS'!$L$5:$L$504,"&lt;"&amp;L299)+COUNTIFS($S$5:S299,1,$L$5:L299,L299))</f>
        <v/>
      </c>
    </row>
    <row r="300">
      <c r="A300" s="46" t="inlineStr">
        <is>
          <t>L-0296</t>
        </is>
      </c>
      <c r="B300" s="47" t="n"/>
      <c r="C300" s="38" t="n"/>
      <c r="D300" s="38" t="n"/>
      <c r="E300" s="38" t="n"/>
      <c r="F300" s="38" t="n"/>
      <c r="G300" s="38" t="n"/>
      <c r="H300" s="38" t="n"/>
      <c r="I300" s="48" t="n"/>
      <c r="J300" s="38" t="n"/>
      <c r="K300" s="47" t="n"/>
      <c r="L300" s="47" t="n"/>
      <c r="M300" s="38" t="n"/>
      <c r="N300" s="38" t="n"/>
      <c r="O300" s="49">
        <f>IF(C300="","",IF(OR(J300="Booked",J300="Recurring Client"),"Booked",IF(J300="Lost/Declined","Lost","Open")))</f>
        <v/>
      </c>
      <c r="P300" s="49">
        <f>IF(C300="","",IF(S300=0,"—",IF(L300="","Set date",IF(L300&lt;AsOf,"Overdue",IF(L300=AsOf,"Due today",IF(L300&lt;=AsOf+SoonDays,"Due soon","Scheduled"))))))</f>
        <v/>
      </c>
      <c r="Q300" s="50">
        <f>IF(C300="","",IF(B300="","",AsOf-B300))</f>
        <v/>
      </c>
      <c r="R300" s="49">
        <f>IF(C300="","",IF(O300&lt;&gt;"Booked","",IF(COUNTIF('CUSTOMERS'!$B$5:$B$404,C300)&gt;0,"✓ In CUSTOMERS","Add to CUSTOMERS")))</f>
        <v/>
      </c>
      <c r="S300" s="49">
        <f>IF(C300="","",IF(OR(J300="Booked",J300="Recurring Client",J300="Lost/Declined"),0,1))</f>
        <v/>
      </c>
      <c r="T300" s="51">
        <f>IF(B300="","",DATE(YEAR(B300),MONTH(B300),1))</f>
        <v/>
      </c>
      <c r="U300" s="49">
        <f>IF(OR(S300&lt;&gt;1,L300=""),"",COUNTIFS('LEADS'!$S$5:$S$504,1,'LEADS'!$L$5:$L$504,"&lt;"&amp;L300)+COUNTIFS($S$5:S300,1,$L$5:L300,L300))</f>
        <v/>
      </c>
    </row>
    <row r="301">
      <c r="A301" s="46" t="inlineStr">
        <is>
          <t>L-0297</t>
        </is>
      </c>
      <c r="B301" s="47" t="n"/>
      <c r="C301" s="38" t="n"/>
      <c r="D301" s="38" t="n"/>
      <c r="E301" s="38" t="n"/>
      <c r="F301" s="38" t="n"/>
      <c r="G301" s="38" t="n"/>
      <c r="H301" s="38" t="n"/>
      <c r="I301" s="48" t="n"/>
      <c r="J301" s="38" t="n"/>
      <c r="K301" s="47" t="n"/>
      <c r="L301" s="47" t="n"/>
      <c r="M301" s="38" t="n"/>
      <c r="N301" s="38" t="n"/>
      <c r="O301" s="49">
        <f>IF(C301="","",IF(OR(J301="Booked",J301="Recurring Client"),"Booked",IF(J301="Lost/Declined","Lost","Open")))</f>
        <v/>
      </c>
      <c r="P301" s="49">
        <f>IF(C301="","",IF(S301=0,"—",IF(L301="","Set date",IF(L301&lt;AsOf,"Overdue",IF(L301=AsOf,"Due today",IF(L301&lt;=AsOf+SoonDays,"Due soon","Scheduled"))))))</f>
        <v/>
      </c>
      <c r="Q301" s="50">
        <f>IF(C301="","",IF(B301="","",AsOf-B301))</f>
        <v/>
      </c>
      <c r="R301" s="49">
        <f>IF(C301="","",IF(O301&lt;&gt;"Booked","",IF(COUNTIF('CUSTOMERS'!$B$5:$B$404,C301)&gt;0,"✓ In CUSTOMERS","Add to CUSTOMERS")))</f>
        <v/>
      </c>
      <c r="S301" s="49">
        <f>IF(C301="","",IF(OR(J301="Booked",J301="Recurring Client",J301="Lost/Declined"),0,1))</f>
        <v/>
      </c>
      <c r="T301" s="51">
        <f>IF(B301="","",DATE(YEAR(B301),MONTH(B301),1))</f>
        <v/>
      </c>
      <c r="U301" s="49">
        <f>IF(OR(S301&lt;&gt;1,L301=""),"",COUNTIFS('LEADS'!$S$5:$S$504,1,'LEADS'!$L$5:$L$504,"&lt;"&amp;L301)+COUNTIFS($S$5:S301,1,$L$5:L301,L301))</f>
        <v/>
      </c>
    </row>
    <row r="302">
      <c r="A302" s="46" t="inlineStr">
        <is>
          <t>L-0298</t>
        </is>
      </c>
      <c r="B302" s="47" t="n"/>
      <c r="C302" s="38" t="n"/>
      <c r="D302" s="38" t="n"/>
      <c r="E302" s="38" t="n"/>
      <c r="F302" s="38" t="n"/>
      <c r="G302" s="38" t="n"/>
      <c r="H302" s="38" t="n"/>
      <c r="I302" s="48" t="n"/>
      <c r="J302" s="38" t="n"/>
      <c r="K302" s="47" t="n"/>
      <c r="L302" s="47" t="n"/>
      <c r="M302" s="38" t="n"/>
      <c r="N302" s="38" t="n"/>
      <c r="O302" s="49">
        <f>IF(C302="","",IF(OR(J302="Booked",J302="Recurring Client"),"Booked",IF(J302="Lost/Declined","Lost","Open")))</f>
        <v/>
      </c>
      <c r="P302" s="49">
        <f>IF(C302="","",IF(S302=0,"—",IF(L302="","Set date",IF(L302&lt;AsOf,"Overdue",IF(L302=AsOf,"Due today",IF(L302&lt;=AsOf+SoonDays,"Due soon","Scheduled"))))))</f>
        <v/>
      </c>
      <c r="Q302" s="50">
        <f>IF(C302="","",IF(B302="","",AsOf-B302))</f>
        <v/>
      </c>
      <c r="R302" s="49">
        <f>IF(C302="","",IF(O302&lt;&gt;"Booked","",IF(COUNTIF('CUSTOMERS'!$B$5:$B$404,C302)&gt;0,"✓ In CUSTOMERS","Add to CUSTOMERS")))</f>
        <v/>
      </c>
      <c r="S302" s="49">
        <f>IF(C302="","",IF(OR(J302="Booked",J302="Recurring Client",J302="Lost/Declined"),0,1))</f>
        <v/>
      </c>
      <c r="T302" s="51">
        <f>IF(B302="","",DATE(YEAR(B302),MONTH(B302),1))</f>
        <v/>
      </c>
      <c r="U302" s="49">
        <f>IF(OR(S302&lt;&gt;1,L302=""),"",COUNTIFS('LEADS'!$S$5:$S$504,1,'LEADS'!$L$5:$L$504,"&lt;"&amp;L302)+COUNTIFS($S$5:S302,1,$L$5:L302,L302))</f>
        <v/>
      </c>
    </row>
    <row r="303">
      <c r="A303" s="46" t="inlineStr">
        <is>
          <t>L-0299</t>
        </is>
      </c>
      <c r="B303" s="47" t="n"/>
      <c r="C303" s="38" t="n"/>
      <c r="D303" s="38" t="n"/>
      <c r="E303" s="38" t="n"/>
      <c r="F303" s="38" t="n"/>
      <c r="G303" s="38" t="n"/>
      <c r="H303" s="38" t="n"/>
      <c r="I303" s="48" t="n"/>
      <c r="J303" s="38" t="n"/>
      <c r="K303" s="47" t="n"/>
      <c r="L303" s="47" t="n"/>
      <c r="M303" s="38" t="n"/>
      <c r="N303" s="38" t="n"/>
      <c r="O303" s="49">
        <f>IF(C303="","",IF(OR(J303="Booked",J303="Recurring Client"),"Booked",IF(J303="Lost/Declined","Lost","Open")))</f>
        <v/>
      </c>
      <c r="P303" s="49">
        <f>IF(C303="","",IF(S303=0,"—",IF(L303="","Set date",IF(L303&lt;AsOf,"Overdue",IF(L303=AsOf,"Due today",IF(L303&lt;=AsOf+SoonDays,"Due soon","Scheduled"))))))</f>
        <v/>
      </c>
      <c r="Q303" s="50">
        <f>IF(C303="","",IF(B303="","",AsOf-B303))</f>
        <v/>
      </c>
      <c r="R303" s="49">
        <f>IF(C303="","",IF(O303&lt;&gt;"Booked","",IF(COUNTIF('CUSTOMERS'!$B$5:$B$404,C303)&gt;0,"✓ In CUSTOMERS","Add to CUSTOMERS")))</f>
        <v/>
      </c>
      <c r="S303" s="49">
        <f>IF(C303="","",IF(OR(J303="Booked",J303="Recurring Client",J303="Lost/Declined"),0,1))</f>
        <v/>
      </c>
      <c r="T303" s="51">
        <f>IF(B303="","",DATE(YEAR(B303),MONTH(B303),1))</f>
        <v/>
      </c>
      <c r="U303" s="49">
        <f>IF(OR(S303&lt;&gt;1,L303=""),"",COUNTIFS('LEADS'!$S$5:$S$504,1,'LEADS'!$L$5:$L$504,"&lt;"&amp;L303)+COUNTIFS($S$5:S303,1,$L$5:L303,L303))</f>
        <v/>
      </c>
    </row>
    <row r="304">
      <c r="A304" s="46" t="inlineStr">
        <is>
          <t>L-0300</t>
        </is>
      </c>
      <c r="B304" s="47" t="n"/>
      <c r="C304" s="38" t="n"/>
      <c r="D304" s="38" t="n"/>
      <c r="E304" s="38" t="n"/>
      <c r="F304" s="38" t="n"/>
      <c r="G304" s="38" t="n"/>
      <c r="H304" s="38" t="n"/>
      <c r="I304" s="48" t="n"/>
      <c r="J304" s="38" t="n"/>
      <c r="K304" s="47" t="n"/>
      <c r="L304" s="47" t="n"/>
      <c r="M304" s="38" t="n"/>
      <c r="N304" s="38" t="n"/>
      <c r="O304" s="49">
        <f>IF(C304="","",IF(OR(J304="Booked",J304="Recurring Client"),"Booked",IF(J304="Lost/Declined","Lost","Open")))</f>
        <v/>
      </c>
      <c r="P304" s="49">
        <f>IF(C304="","",IF(S304=0,"—",IF(L304="","Set date",IF(L304&lt;AsOf,"Overdue",IF(L304=AsOf,"Due today",IF(L304&lt;=AsOf+SoonDays,"Due soon","Scheduled"))))))</f>
        <v/>
      </c>
      <c r="Q304" s="50">
        <f>IF(C304="","",IF(B304="","",AsOf-B304))</f>
        <v/>
      </c>
      <c r="R304" s="49">
        <f>IF(C304="","",IF(O304&lt;&gt;"Booked","",IF(COUNTIF('CUSTOMERS'!$B$5:$B$404,C304)&gt;0,"✓ In CUSTOMERS","Add to CUSTOMERS")))</f>
        <v/>
      </c>
      <c r="S304" s="49">
        <f>IF(C304="","",IF(OR(J304="Booked",J304="Recurring Client",J304="Lost/Declined"),0,1))</f>
        <v/>
      </c>
      <c r="T304" s="51">
        <f>IF(B304="","",DATE(YEAR(B304),MONTH(B304),1))</f>
        <v/>
      </c>
      <c r="U304" s="49">
        <f>IF(OR(S304&lt;&gt;1,L304=""),"",COUNTIFS('LEADS'!$S$5:$S$504,1,'LEADS'!$L$5:$L$504,"&lt;"&amp;L304)+COUNTIFS($S$5:S304,1,$L$5:L304,L304))</f>
        <v/>
      </c>
    </row>
    <row r="305">
      <c r="A305" s="46" t="inlineStr">
        <is>
          <t>L-0301</t>
        </is>
      </c>
      <c r="B305" s="47" t="n"/>
      <c r="C305" s="38" t="n"/>
      <c r="D305" s="38" t="n"/>
      <c r="E305" s="38" t="n"/>
      <c r="F305" s="38" t="n"/>
      <c r="G305" s="38" t="n"/>
      <c r="H305" s="38" t="n"/>
      <c r="I305" s="48" t="n"/>
      <c r="J305" s="38" t="n"/>
      <c r="K305" s="47" t="n"/>
      <c r="L305" s="47" t="n"/>
      <c r="M305" s="38" t="n"/>
      <c r="N305" s="38" t="n"/>
      <c r="O305" s="49">
        <f>IF(C305="","",IF(OR(J305="Booked",J305="Recurring Client"),"Booked",IF(J305="Lost/Declined","Lost","Open")))</f>
        <v/>
      </c>
      <c r="P305" s="49">
        <f>IF(C305="","",IF(S305=0,"—",IF(L305="","Set date",IF(L305&lt;AsOf,"Overdue",IF(L305=AsOf,"Due today",IF(L305&lt;=AsOf+SoonDays,"Due soon","Scheduled"))))))</f>
        <v/>
      </c>
      <c r="Q305" s="50">
        <f>IF(C305="","",IF(B305="","",AsOf-B305))</f>
        <v/>
      </c>
      <c r="R305" s="49">
        <f>IF(C305="","",IF(O305&lt;&gt;"Booked","",IF(COUNTIF('CUSTOMERS'!$B$5:$B$404,C305)&gt;0,"✓ In CUSTOMERS","Add to CUSTOMERS")))</f>
        <v/>
      </c>
      <c r="S305" s="49">
        <f>IF(C305="","",IF(OR(J305="Booked",J305="Recurring Client",J305="Lost/Declined"),0,1))</f>
        <v/>
      </c>
      <c r="T305" s="51">
        <f>IF(B305="","",DATE(YEAR(B305),MONTH(B305),1))</f>
        <v/>
      </c>
      <c r="U305" s="49">
        <f>IF(OR(S305&lt;&gt;1,L305=""),"",COUNTIFS('LEADS'!$S$5:$S$504,1,'LEADS'!$L$5:$L$504,"&lt;"&amp;L305)+COUNTIFS($S$5:S305,1,$L$5:L305,L305))</f>
        <v/>
      </c>
    </row>
    <row r="306">
      <c r="A306" s="46" t="inlineStr">
        <is>
          <t>L-0302</t>
        </is>
      </c>
      <c r="B306" s="47" t="n"/>
      <c r="C306" s="38" t="n"/>
      <c r="D306" s="38" t="n"/>
      <c r="E306" s="38" t="n"/>
      <c r="F306" s="38" t="n"/>
      <c r="G306" s="38" t="n"/>
      <c r="H306" s="38" t="n"/>
      <c r="I306" s="48" t="n"/>
      <c r="J306" s="38" t="n"/>
      <c r="K306" s="47" t="n"/>
      <c r="L306" s="47" t="n"/>
      <c r="M306" s="38" t="n"/>
      <c r="N306" s="38" t="n"/>
      <c r="O306" s="49">
        <f>IF(C306="","",IF(OR(J306="Booked",J306="Recurring Client"),"Booked",IF(J306="Lost/Declined","Lost","Open")))</f>
        <v/>
      </c>
      <c r="P306" s="49">
        <f>IF(C306="","",IF(S306=0,"—",IF(L306="","Set date",IF(L306&lt;AsOf,"Overdue",IF(L306=AsOf,"Due today",IF(L306&lt;=AsOf+SoonDays,"Due soon","Scheduled"))))))</f>
        <v/>
      </c>
      <c r="Q306" s="50">
        <f>IF(C306="","",IF(B306="","",AsOf-B306))</f>
        <v/>
      </c>
      <c r="R306" s="49">
        <f>IF(C306="","",IF(O306&lt;&gt;"Booked","",IF(COUNTIF('CUSTOMERS'!$B$5:$B$404,C306)&gt;0,"✓ In CUSTOMERS","Add to CUSTOMERS")))</f>
        <v/>
      </c>
      <c r="S306" s="49">
        <f>IF(C306="","",IF(OR(J306="Booked",J306="Recurring Client",J306="Lost/Declined"),0,1))</f>
        <v/>
      </c>
      <c r="T306" s="51">
        <f>IF(B306="","",DATE(YEAR(B306),MONTH(B306),1))</f>
        <v/>
      </c>
      <c r="U306" s="49">
        <f>IF(OR(S306&lt;&gt;1,L306=""),"",COUNTIFS('LEADS'!$S$5:$S$504,1,'LEADS'!$L$5:$L$504,"&lt;"&amp;L306)+COUNTIFS($S$5:S306,1,$L$5:L306,L306))</f>
        <v/>
      </c>
    </row>
    <row r="307">
      <c r="A307" s="46" t="inlineStr">
        <is>
          <t>L-0303</t>
        </is>
      </c>
      <c r="B307" s="47" t="n"/>
      <c r="C307" s="38" t="n"/>
      <c r="D307" s="38" t="n"/>
      <c r="E307" s="38" t="n"/>
      <c r="F307" s="38" t="n"/>
      <c r="G307" s="38" t="n"/>
      <c r="H307" s="38" t="n"/>
      <c r="I307" s="48" t="n"/>
      <c r="J307" s="38" t="n"/>
      <c r="K307" s="47" t="n"/>
      <c r="L307" s="47" t="n"/>
      <c r="M307" s="38" t="n"/>
      <c r="N307" s="38" t="n"/>
      <c r="O307" s="49">
        <f>IF(C307="","",IF(OR(J307="Booked",J307="Recurring Client"),"Booked",IF(J307="Lost/Declined","Lost","Open")))</f>
        <v/>
      </c>
      <c r="P307" s="49">
        <f>IF(C307="","",IF(S307=0,"—",IF(L307="","Set date",IF(L307&lt;AsOf,"Overdue",IF(L307=AsOf,"Due today",IF(L307&lt;=AsOf+SoonDays,"Due soon","Scheduled"))))))</f>
        <v/>
      </c>
      <c r="Q307" s="50">
        <f>IF(C307="","",IF(B307="","",AsOf-B307))</f>
        <v/>
      </c>
      <c r="R307" s="49">
        <f>IF(C307="","",IF(O307&lt;&gt;"Booked","",IF(COUNTIF('CUSTOMERS'!$B$5:$B$404,C307)&gt;0,"✓ In CUSTOMERS","Add to CUSTOMERS")))</f>
        <v/>
      </c>
      <c r="S307" s="49">
        <f>IF(C307="","",IF(OR(J307="Booked",J307="Recurring Client",J307="Lost/Declined"),0,1))</f>
        <v/>
      </c>
      <c r="T307" s="51">
        <f>IF(B307="","",DATE(YEAR(B307),MONTH(B307),1))</f>
        <v/>
      </c>
      <c r="U307" s="49">
        <f>IF(OR(S307&lt;&gt;1,L307=""),"",COUNTIFS('LEADS'!$S$5:$S$504,1,'LEADS'!$L$5:$L$504,"&lt;"&amp;L307)+COUNTIFS($S$5:S307,1,$L$5:L307,L307))</f>
        <v/>
      </c>
    </row>
    <row r="308">
      <c r="A308" s="46" t="inlineStr">
        <is>
          <t>L-0304</t>
        </is>
      </c>
      <c r="B308" s="47" t="n"/>
      <c r="C308" s="38" t="n"/>
      <c r="D308" s="38" t="n"/>
      <c r="E308" s="38" t="n"/>
      <c r="F308" s="38" t="n"/>
      <c r="G308" s="38" t="n"/>
      <c r="H308" s="38" t="n"/>
      <c r="I308" s="48" t="n"/>
      <c r="J308" s="38" t="n"/>
      <c r="K308" s="47" t="n"/>
      <c r="L308" s="47" t="n"/>
      <c r="M308" s="38" t="n"/>
      <c r="N308" s="38" t="n"/>
      <c r="O308" s="49">
        <f>IF(C308="","",IF(OR(J308="Booked",J308="Recurring Client"),"Booked",IF(J308="Lost/Declined","Lost","Open")))</f>
        <v/>
      </c>
      <c r="P308" s="49">
        <f>IF(C308="","",IF(S308=0,"—",IF(L308="","Set date",IF(L308&lt;AsOf,"Overdue",IF(L308=AsOf,"Due today",IF(L308&lt;=AsOf+SoonDays,"Due soon","Scheduled"))))))</f>
        <v/>
      </c>
      <c r="Q308" s="50">
        <f>IF(C308="","",IF(B308="","",AsOf-B308))</f>
        <v/>
      </c>
      <c r="R308" s="49">
        <f>IF(C308="","",IF(O308&lt;&gt;"Booked","",IF(COUNTIF('CUSTOMERS'!$B$5:$B$404,C308)&gt;0,"✓ In CUSTOMERS","Add to CUSTOMERS")))</f>
        <v/>
      </c>
      <c r="S308" s="49">
        <f>IF(C308="","",IF(OR(J308="Booked",J308="Recurring Client",J308="Lost/Declined"),0,1))</f>
        <v/>
      </c>
      <c r="T308" s="51">
        <f>IF(B308="","",DATE(YEAR(B308),MONTH(B308),1))</f>
        <v/>
      </c>
      <c r="U308" s="49">
        <f>IF(OR(S308&lt;&gt;1,L308=""),"",COUNTIFS('LEADS'!$S$5:$S$504,1,'LEADS'!$L$5:$L$504,"&lt;"&amp;L308)+COUNTIFS($S$5:S308,1,$L$5:L308,L308))</f>
        <v/>
      </c>
    </row>
    <row r="309">
      <c r="A309" s="46" t="inlineStr">
        <is>
          <t>L-0305</t>
        </is>
      </c>
      <c r="B309" s="47" t="n"/>
      <c r="C309" s="38" t="n"/>
      <c r="D309" s="38" t="n"/>
      <c r="E309" s="38" t="n"/>
      <c r="F309" s="38" t="n"/>
      <c r="G309" s="38" t="n"/>
      <c r="H309" s="38" t="n"/>
      <c r="I309" s="48" t="n"/>
      <c r="J309" s="38" t="n"/>
      <c r="K309" s="47" t="n"/>
      <c r="L309" s="47" t="n"/>
      <c r="M309" s="38" t="n"/>
      <c r="N309" s="38" t="n"/>
      <c r="O309" s="49">
        <f>IF(C309="","",IF(OR(J309="Booked",J309="Recurring Client"),"Booked",IF(J309="Lost/Declined","Lost","Open")))</f>
        <v/>
      </c>
      <c r="P309" s="49">
        <f>IF(C309="","",IF(S309=0,"—",IF(L309="","Set date",IF(L309&lt;AsOf,"Overdue",IF(L309=AsOf,"Due today",IF(L309&lt;=AsOf+SoonDays,"Due soon","Scheduled"))))))</f>
        <v/>
      </c>
      <c r="Q309" s="50">
        <f>IF(C309="","",IF(B309="","",AsOf-B309))</f>
        <v/>
      </c>
      <c r="R309" s="49">
        <f>IF(C309="","",IF(O309&lt;&gt;"Booked","",IF(COUNTIF('CUSTOMERS'!$B$5:$B$404,C309)&gt;0,"✓ In CUSTOMERS","Add to CUSTOMERS")))</f>
        <v/>
      </c>
      <c r="S309" s="49">
        <f>IF(C309="","",IF(OR(J309="Booked",J309="Recurring Client",J309="Lost/Declined"),0,1))</f>
        <v/>
      </c>
      <c r="T309" s="51">
        <f>IF(B309="","",DATE(YEAR(B309),MONTH(B309),1))</f>
        <v/>
      </c>
      <c r="U309" s="49">
        <f>IF(OR(S309&lt;&gt;1,L309=""),"",COUNTIFS('LEADS'!$S$5:$S$504,1,'LEADS'!$L$5:$L$504,"&lt;"&amp;L309)+COUNTIFS($S$5:S309,1,$L$5:L309,L309))</f>
        <v/>
      </c>
    </row>
    <row r="310">
      <c r="A310" s="46" t="inlineStr">
        <is>
          <t>L-0306</t>
        </is>
      </c>
      <c r="B310" s="47" t="n"/>
      <c r="C310" s="38" t="n"/>
      <c r="D310" s="38" t="n"/>
      <c r="E310" s="38" t="n"/>
      <c r="F310" s="38" t="n"/>
      <c r="G310" s="38" t="n"/>
      <c r="H310" s="38" t="n"/>
      <c r="I310" s="48" t="n"/>
      <c r="J310" s="38" t="n"/>
      <c r="K310" s="47" t="n"/>
      <c r="L310" s="47" t="n"/>
      <c r="M310" s="38" t="n"/>
      <c r="N310" s="38" t="n"/>
      <c r="O310" s="49">
        <f>IF(C310="","",IF(OR(J310="Booked",J310="Recurring Client"),"Booked",IF(J310="Lost/Declined","Lost","Open")))</f>
        <v/>
      </c>
      <c r="P310" s="49">
        <f>IF(C310="","",IF(S310=0,"—",IF(L310="","Set date",IF(L310&lt;AsOf,"Overdue",IF(L310=AsOf,"Due today",IF(L310&lt;=AsOf+SoonDays,"Due soon","Scheduled"))))))</f>
        <v/>
      </c>
      <c r="Q310" s="50">
        <f>IF(C310="","",IF(B310="","",AsOf-B310))</f>
        <v/>
      </c>
      <c r="R310" s="49">
        <f>IF(C310="","",IF(O310&lt;&gt;"Booked","",IF(COUNTIF('CUSTOMERS'!$B$5:$B$404,C310)&gt;0,"✓ In CUSTOMERS","Add to CUSTOMERS")))</f>
        <v/>
      </c>
      <c r="S310" s="49">
        <f>IF(C310="","",IF(OR(J310="Booked",J310="Recurring Client",J310="Lost/Declined"),0,1))</f>
        <v/>
      </c>
      <c r="T310" s="51">
        <f>IF(B310="","",DATE(YEAR(B310),MONTH(B310),1))</f>
        <v/>
      </c>
      <c r="U310" s="49">
        <f>IF(OR(S310&lt;&gt;1,L310=""),"",COUNTIFS('LEADS'!$S$5:$S$504,1,'LEADS'!$L$5:$L$504,"&lt;"&amp;L310)+COUNTIFS($S$5:S310,1,$L$5:L310,L310))</f>
        <v/>
      </c>
    </row>
    <row r="311">
      <c r="A311" s="46" t="inlineStr">
        <is>
          <t>L-0307</t>
        </is>
      </c>
      <c r="B311" s="47" t="n"/>
      <c r="C311" s="38" t="n"/>
      <c r="D311" s="38" t="n"/>
      <c r="E311" s="38" t="n"/>
      <c r="F311" s="38" t="n"/>
      <c r="G311" s="38" t="n"/>
      <c r="H311" s="38" t="n"/>
      <c r="I311" s="48" t="n"/>
      <c r="J311" s="38" t="n"/>
      <c r="K311" s="47" t="n"/>
      <c r="L311" s="47" t="n"/>
      <c r="M311" s="38" t="n"/>
      <c r="N311" s="38" t="n"/>
      <c r="O311" s="49">
        <f>IF(C311="","",IF(OR(J311="Booked",J311="Recurring Client"),"Booked",IF(J311="Lost/Declined","Lost","Open")))</f>
        <v/>
      </c>
      <c r="P311" s="49">
        <f>IF(C311="","",IF(S311=0,"—",IF(L311="","Set date",IF(L311&lt;AsOf,"Overdue",IF(L311=AsOf,"Due today",IF(L311&lt;=AsOf+SoonDays,"Due soon","Scheduled"))))))</f>
        <v/>
      </c>
      <c r="Q311" s="50">
        <f>IF(C311="","",IF(B311="","",AsOf-B311))</f>
        <v/>
      </c>
      <c r="R311" s="49">
        <f>IF(C311="","",IF(O311&lt;&gt;"Booked","",IF(COUNTIF('CUSTOMERS'!$B$5:$B$404,C311)&gt;0,"✓ In CUSTOMERS","Add to CUSTOMERS")))</f>
        <v/>
      </c>
      <c r="S311" s="49">
        <f>IF(C311="","",IF(OR(J311="Booked",J311="Recurring Client",J311="Lost/Declined"),0,1))</f>
        <v/>
      </c>
      <c r="T311" s="51">
        <f>IF(B311="","",DATE(YEAR(B311),MONTH(B311),1))</f>
        <v/>
      </c>
      <c r="U311" s="49">
        <f>IF(OR(S311&lt;&gt;1,L311=""),"",COUNTIFS('LEADS'!$S$5:$S$504,1,'LEADS'!$L$5:$L$504,"&lt;"&amp;L311)+COUNTIFS($S$5:S311,1,$L$5:L311,L311))</f>
        <v/>
      </c>
    </row>
    <row r="312">
      <c r="A312" s="46" t="inlineStr">
        <is>
          <t>L-0308</t>
        </is>
      </c>
      <c r="B312" s="47" t="n"/>
      <c r="C312" s="38" t="n"/>
      <c r="D312" s="38" t="n"/>
      <c r="E312" s="38" t="n"/>
      <c r="F312" s="38" t="n"/>
      <c r="G312" s="38" t="n"/>
      <c r="H312" s="38" t="n"/>
      <c r="I312" s="48" t="n"/>
      <c r="J312" s="38" t="n"/>
      <c r="K312" s="47" t="n"/>
      <c r="L312" s="47" t="n"/>
      <c r="M312" s="38" t="n"/>
      <c r="N312" s="38" t="n"/>
      <c r="O312" s="49">
        <f>IF(C312="","",IF(OR(J312="Booked",J312="Recurring Client"),"Booked",IF(J312="Lost/Declined","Lost","Open")))</f>
        <v/>
      </c>
      <c r="P312" s="49">
        <f>IF(C312="","",IF(S312=0,"—",IF(L312="","Set date",IF(L312&lt;AsOf,"Overdue",IF(L312=AsOf,"Due today",IF(L312&lt;=AsOf+SoonDays,"Due soon","Scheduled"))))))</f>
        <v/>
      </c>
      <c r="Q312" s="50">
        <f>IF(C312="","",IF(B312="","",AsOf-B312))</f>
        <v/>
      </c>
      <c r="R312" s="49">
        <f>IF(C312="","",IF(O312&lt;&gt;"Booked","",IF(COUNTIF('CUSTOMERS'!$B$5:$B$404,C312)&gt;0,"✓ In CUSTOMERS","Add to CUSTOMERS")))</f>
        <v/>
      </c>
      <c r="S312" s="49">
        <f>IF(C312="","",IF(OR(J312="Booked",J312="Recurring Client",J312="Lost/Declined"),0,1))</f>
        <v/>
      </c>
      <c r="T312" s="51">
        <f>IF(B312="","",DATE(YEAR(B312),MONTH(B312),1))</f>
        <v/>
      </c>
      <c r="U312" s="49">
        <f>IF(OR(S312&lt;&gt;1,L312=""),"",COUNTIFS('LEADS'!$S$5:$S$504,1,'LEADS'!$L$5:$L$504,"&lt;"&amp;L312)+COUNTIFS($S$5:S312,1,$L$5:L312,L312))</f>
        <v/>
      </c>
    </row>
    <row r="313">
      <c r="A313" s="46" t="inlineStr">
        <is>
          <t>L-0309</t>
        </is>
      </c>
      <c r="B313" s="47" t="n"/>
      <c r="C313" s="38" t="n"/>
      <c r="D313" s="38" t="n"/>
      <c r="E313" s="38" t="n"/>
      <c r="F313" s="38" t="n"/>
      <c r="G313" s="38" t="n"/>
      <c r="H313" s="38" t="n"/>
      <c r="I313" s="48" t="n"/>
      <c r="J313" s="38" t="n"/>
      <c r="K313" s="47" t="n"/>
      <c r="L313" s="47" t="n"/>
      <c r="M313" s="38" t="n"/>
      <c r="N313" s="38" t="n"/>
      <c r="O313" s="49">
        <f>IF(C313="","",IF(OR(J313="Booked",J313="Recurring Client"),"Booked",IF(J313="Lost/Declined","Lost","Open")))</f>
        <v/>
      </c>
      <c r="P313" s="49">
        <f>IF(C313="","",IF(S313=0,"—",IF(L313="","Set date",IF(L313&lt;AsOf,"Overdue",IF(L313=AsOf,"Due today",IF(L313&lt;=AsOf+SoonDays,"Due soon","Scheduled"))))))</f>
        <v/>
      </c>
      <c r="Q313" s="50">
        <f>IF(C313="","",IF(B313="","",AsOf-B313))</f>
        <v/>
      </c>
      <c r="R313" s="49">
        <f>IF(C313="","",IF(O313&lt;&gt;"Booked","",IF(COUNTIF('CUSTOMERS'!$B$5:$B$404,C313)&gt;0,"✓ In CUSTOMERS","Add to CUSTOMERS")))</f>
        <v/>
      </c>
      <c r="S313" s="49">
        <f>IF(C313="","",IF(OR(J313="Booked",J313="Recurring Client",J313="Lost/Declined"),0,1))</f>
        <v/>
      </c>
      <c r="T313" s="51">
        <f>IF(B313="","",DATE(YEAR(B313),MONTH(B313),1))</f>
        <v/>
      </c>
      <c r="U313" s="49">
        <f>IF(OR(S313&lt;&gt;1,L313=""),"",COUNTIFS('LEADS'!$S$5:$S$504,1,'LEADS'!$L$5:$L$504,"&lt;"&amp;L313)+COUNTIFS($S$5:S313,1,$L$5:L313,L313))</f>
        <v/>
      </c>
    </row>
    <row r="314">
      <c r="A314" s="46" t="inlineStr">
        <is>
          <t>L-0310</t>
        </is>
      </c>
      <c r="B314" s="47" t="n"/>
      <c r="C314" s="38" t="n"/>
      <c r="D314" s="38" t="n"/>
      <c r="E314" s="38" t="n"/>
      <c r="F314" s="38" t="n"/>
      <c r="G314" s="38" t="n"/>
      <c r="H314" s="38" t="n"/>
      <c r="I314" s="48" t="n"/>
      <c r="J314" s="38" t="n"/>
      <c r="K314" s="47" t="n"/>
      <c r="L314" s="47" t="n"/>
      <c r="M314" s="38" t="n"/>
      <c r="N314" s="38" t="n"/>
      <c r="O314" s="49">
        <f>IF(C314="","",IF(OR(J314="Booked",J314="Recurring Client"),"Booked",IF(J314="Lost/Declined","Lost","Open")))</f>
        <v/>
      </c>
      <c r="P314" s="49">
        <f>IF(C314="","",IF(S314=0,"—",IF(L314="","Set date",IF(L314&lt;AsOf,"Overdue",IF(L314=AsOf,"Due today",IF(L314&lt;=AsOf+SoonDays,"Due soon","Scheduled"))))))</f>
        <v/>
      </c>
      <c r="Q314" s="50">
        <f>IF(C314="","",IF(B314="","",AsOf-B314))</f>
        <v/>
      </c>
      <c r="R314" s="49">
        <f>IF(C314="","",IF(O314&lt;&gt;"Booked","",IF(COUNTIF('CUSTOMERS'!$B$5:$B$404,C314)&gt;0,"✓ In CUSTOMERS","Add to CUSTOMERS")))</f>
        <v/>
      </c>
      <c r="S314" s="49">
        <f>IF(C314="","",IF(OR(J314="Booked",J314="Recurring Client",J314="Lost/Declined"),0,1))</f>
        <v/>
      </c>
      <c r="T314" s="51">
        <f>IF(B314="","",DATE(YEAR(B314),MONTH(B314),1))</f>
        <v/>
      </c>
      <c r="U314" s="49">
        <f>IF(OR(S314&lt;&gt;1,L314=""),"",COUNTIFS('LEADS'!$S$5:$S$504,1,'LEADS'!$L$5:$L$504,"&lt;"&amp;L314)+COUNTIFS($S$5:S314,1,$L$5:L314,L314))</f>
        <v/>
      </c>
    </row>
    <row r="315">
      <c r="A315" s="46" t="inlineStr">
        <is>
          <t>L-0311</t>
        </is>
      </c>
      <c r="B315" s="47" t="n"/>
      <c r="C315" s="38" t="n"/>
      <c r="D315" s="38" t="n"/>
      <c r="E315" s="38" t="n"/>
      <c r="F315" s="38" t="n"/>
      <c r="G315" s="38" t="n"/>
      <c r="H315" s="38" t="n"/>
      <c r="I315" s="48" t="n"/>
      <c r="J315" s="38" t="n"/>
      <c r="K315" s="47" t="n"/>
      <c r="L315" s="47" t="n"/>
      <c r="M315" s="38" t="n"/>
      <c r="N315" s="38" t="n"/>
      <c r="O315" s="49">
        <f>IF(C315="","",IF(OR(J315="Booked",J315="Recurring Client"),"Booked",IF(J315="Lost/Declined","Lost","Open")))</f>
        <v/>
      </c>
      <c r="P315" s="49">
        <f>IF(C315="","",IF(S315=0,"—",IF(L315="","Set date",IF(L315&lt;AsOf,"Overdue",IF(L315=AsOf,"Due today",IF(L315&lt;=AsOf+SoonDays,"Due soon","Scheduled"))))))</f>
        <v/>
      </c>
      <c r="Q315" s="50">
        <f>IF(C315="","",IF(B315="","",AsOf-B315))</f>
        <v/>
      </c>
      <c r="R315" s="49">
        <f>IF(C315="","",IF(O315&lt;&gt;"Booked","",IF(COUNTIF('CUSTOMERS'!$B$5:$B$404,C315)&gt;0,"✓ In CUSTOMERS","Add to CUSTOMERS")))</f>
        <v/>
      </c>
      <c r="S315" s="49">
        <f>IF(C315="","",IF(OR(J315="Booked",J315="Recurring Client",J315="Lost/Declined"),0,1))</f>
        <v/>
      </c>
      <c r="T315" s="51">
        <f>IF(B315="","",DATE(YEAR(B315),MONTH(B315),1))</f>
        <v/>
      </c>
      <c r="U315" s="49">
        <f>IF(OR(S315&lt;&gt;1,L315=""),"",COUNTIFS('LEADS'!$S$5:$S$504,1,'LEADS'!$L$5:$L$504,"&lt;"&amp;L315)+COUNTIFS($S$5:S315,1,$L$5:L315,L315))</f>
        <v/>
      </c>
    </row>
    <row r="316">
      <c r="A316" s="46" t="inlineStr">
        <is>
          <t>L-0312</t>
        </is>
      </c>
      <c r="B316" s="47" t="n"/>
      <c r="C316" s="38" t="n"/>
      <c r="D316" s="38" t="n"/>
      <c r="E316" s="38" t="n"/>
      <c r="F316" s="38" t="n"/>
      <c r="G316" s="38" t="n"/>
      <c r="H316" s="38" t="n"/>
      <c r="I316" s="48" t="n"/>
      <c r="J316" s="38" t="n"/>
      <c r="K316" s="47" t="n"/>
      <c r="L316" s="47" t="n"/>
      <c r="M316" s="38" t="n"/>
      <c r="N316" s="38" t="n"/>
      <c r="O316" s="49">
        <f>IF(C316="","",IF(OR(J316="Booked",J316="Recurring Client"),"Booked",IF(J316="Lost/Declined","Lost","Open")))</f>
        <v/>
      </c>
      <c r="P316" s="49">
        <f>IF(C316="","",IF(S316=0,"—",IF(L316="","Set date",IF(L316&lt;AsOf,"Overdue",IF(L316=AsOf,"Due today",IF(L316&lt;=AsOf+SoonDays,"Due soon","Scheduled"))))))</f>
        <v/>
      </c>
      <c r="Q316" s="50">
        <f>IF(C316="","",IF(B316="","",AsOf-B316))</f>
        <v/>
      </c>
      <c r="R316" s="49">
        <f>IF(C316="","",IF(O316&lt;&gt;"Booked","",IF(COUNTIF('CUSTOMERS'!$B$5:$B$404,C316)&gt;0,"✓ In CUSTOMERS","Add to CUSTOMERS")))</f>
        <v/>
      </c>
      <c r="S316" s="49">
        <f>IF(C316="","",IF(OR(J316="Booked",J316="Recurring Client",J316="Lost/Declined"),0,1))</f>
        <v/>
      </c>
      <c r="T316" s="51">
        <f>IF(B316="","",DATE(YEAR(B316),MONTH(B316),1))</f>
        <v/>
      </c>
      <c r="U316" s="49">
        <f>IF(OR(S316&lt;&gt;1,L316=""),"",COUNTIFS('LEADS'!$S$5:$S$504,1,'LEADS'!$L$5:$L$504,"&lt;"&amp;L316)+COUNTIFS($S$5:S316,1,$L$5:L316,L316))</f>
        <v/>
      </c>
    </row>
    <row r="317">
      <c r="A317" s="46" t="inlineStr">
        <is>
          <t>L-0313</t>
        </is>
      </c>
      <c r="B317" s="47" t="n"/>
      <c r="C317" s="38" t="n"/>
      <c r="D317" s="38" t="n"/>
      <c r="E317" s="38" t="n"/>
      <c r="F317" s="38" t="n"/>
      <c r="G317" s="38" t="n"/>
      <c r="H317" s="38" t="n"/>
      <c r="I317" s="48" t="n"/>
      <c r="J317" s="38" t="n"/>
      <c r="K317" s="47" t="n"/>
      <c r="L317" s="47" t="n"/>
      <c r="M317" s="38" t="n"/>
      <c r="N317" s="38" t="n"/>
      <c r="O317" s="49">
        <f>IF(C317="","",IF(OR(J317="Booked",J317="Recurring Client"),"Booked",IF(J317="Lost/Declined","Lost","Open")))</f>
        <v/>
      </c>
      <c r="P317" s="49">
        <f>IF(C317="","",IF(S317=0,"—",IF(L317="","Set date",IF(L317&lt;AsOf,"Overdue",IF(L317=AsOf,"Due today",IF(L317&lt;=AsOf+SoonDays,"Due soon","Scheduled"))))))</f>
        <v/>
      </c>
      <c r="Q317" s="50">
        <f>IF(C317="","",IF(B317="","",AsOf-B317))</f>
        <v/>
      </c>
      <c r="R317" s="49">
        <f>IF(C317="","",IF(O317&lt;&gt;"Booked","",IF(COUNTIF('CUSTOMERS'!$B$5:$B$404,C317)&gt;0,"✓ In CUSTOMERS","Add to CUSTOMERS")))</f>
        <v/>
      </c>
      <c r="S317" s="49">
        <f>IF(C317="","",IF(OR(J317="Booked",J317="Recurring Client",J317="Lost/Declined"),0,1))</f>
        <v/>
      </c>
      <c r="T317" s="51">
        <f>IF(B317="","",DATE(YEAR(B317),MONTH(B317),1))</f>
        <v/>
      </c>
      <c r="U317" s="49">
        <f>IF(OR(S317&lt;&gt;1,L317=""),"",COUNTIFS('LEADS'!$S$5:$S$504,1,'LEADS'!$L$5:$L$504,"&lt;"&amp;L317)+COUNTIFS($S$5:S317,1,$L$5:L317,L317))</f>
        <v/>
      </c>
    </row>
    <row r="318">
      <c r="A318" s="46" t="inlineStr">
        <is>
          <t>L-0314</t>
        </is>
      </c>
      <c r="B318" s="47" t="n"/>
      <c r="C318" s="38" t="n"/>
      <c r="D318" s="38" t="n"/>
      <c r="E318" s="38" t="n"/>
      <c r="F318" s="38" t="n"/>
      <c r="G318" s="38" t="n"/>
      <c r="H318" s="38" t="n"/>
      <c r="I318" s="48" t="n"/>
      <c r="J318" s="38" t="n"/>
      <c r="K318" s="47" t="n"/>
      <c r="L318" s="47" t="n"/>
      <c r="M318" s="38" t="n"/>
      <c r="N318" s="38" t="n"/>
      <c r="O318" s="49">
        <f>IF(C318="","",IF(OR(J318="Booked",J318="Recurring Client"),"Booked",IF(J318="Lost/Declined","Lost","Open")))</f>
        <v/>
      </c>
      <c r="P318" s="49">
        <f>IF(C318="","",IF(S318=0,"—",IF(L318="","Set date",IF(L318&lt;AsOf,"Overdue",IF(L318=AsOf,"Due today",IF(L318&lt;=AsOf+SoonDays,"Due soon","Scheduled"))))))</f>
        <v/>
      </c>
      <c r="Q318" s="50">
        <f>IF(C318="","",IF(B318="","",AsOf-B318))</f>
        <v/>
      </c>
      <c r="R318" s="49">
        <f>IF(C318="","",IF(O318&lt;&gt;"Booked","",IF(COUNTIF('CUSTOMERS'!$B$5:$B$404,C318)&gt;0,"✓ In CUSTOMERS","Add to CUSTOMERS")))</f>
        <v/>
      </c>
      <c r="S318" s="49">
        <f>IF(C318="","",IF(OR(J318="Booked",J318="Recurring Client",J318="Lost/Declined"),0,1))</f>
        <v/>
      </c>
      <c r="T318" s="51">
        <f>IF(B318="","",DATE(YEAR(B318),MONTH(B318),1))</f>
        <v/>
      </c>
      <c r="U318" s="49">
        <f>IF(OR(S318&lt;&gt;1,L318=""),"",COUNTIFS('LEADS'!$S$5:$S$504,1,'LEADS'!$L$5:$L$504,"&lt;"&amp;L318)+COUNTIFS($S$5:S318,1,$L$5:L318,L318))</f>
        <v/>
      </c>
    </row>
    <row r="319">
      <c r="A319" s="46" t="inlineStr">
        <is>
          <t>L-0315</t>
        </is>
      </c>
      <c r="B319" s="47" t="n"/>
      <c r="C319" s="38" t="n"/>
      <c r="D319" s="38" t="n"/>
      <c r="E319" s="38" t="n"/>
      <c r="F319" s="38" t="n"/>
      <c r="G319" s="38" t="n"/>
      <c r="H319" s="38" t="n"/>
      <c r="I319" s="48" t="n"/>
      <c r="J319" s="38" t="n"/>
      <c r="K319" s="47" t="n"/>
      <c r="L319" s="47" t="n"/>
      <c r="M319" s="38" t="n"/>
      <c r="N319" s="38" t="n"/>
      <c r="O319" s="49">
        <f>IF(C319="","",IF(OR(J319="Booked",J319="Recurring Client"),"Booked",IF(J319="Lost/Declined","Lost","Open")))</f>
        <v/>
      </c>
      <c r="P319" s="49">
        <f>IF(C319="","",IF(S319=0,"—",IF(L319="","Set date",IF(L319&lt;AsOf,"Overdue",IF(L319=AsOf,"Due today",IF(L319&lt;=AsOf+SoonDays,"Due soon","Scheduled"))))))</f>
        <v/>
      </c>
      <c r="Q319" s="50">
        <f>IF(C319="","",IF(B319="","",AsOf-B319))</f>
        <v/>
      </c>
      <c r="R319" s="49">
        <f>IF(C319="","",IF(O319&lt;&gt;"Booked","",IF(COUNTIF('CUSTOMERS'!$B$5:$B$404,C319)&gt;0,"✓ In CUSTOMERS","Add to CUSTOMERS")))</f>
        <v/>
      </c>
      <c r="S319" s="49">
        <f>IF(C319="","",IF(OR(J319="Booked",J319="Recurring Client",J319="Lost/Declined"),0,1))</f>
        <v/>
      </c>
      <c r="T319" s="51">
        <f>IF(B319="","",DATE(YEAR(B319),MONTH(B319),1))</f>
        <v/>
      </c>
      <c r="U319" s="49">
        <f>IF(OR(S319&lt;&gt;1,L319=""),"",COUNTIFS('LEADS'!$S$5:$S$504,1,'LEADS'!$L$5:$L$504,"&lt;"&amp;L319)+COUNTIFS($S$5:S319,1,$L$5:L319,L319))</f>
        <v/>
      </c>
    </row>
    <row r="320">
      <c r="A320" s="46" t="inlineStr">
        <is>
          <t>L-0316</t>
        </is>
      </c>
      <c r="B320" s="47" t="n"/>
      <c r="C320" s="38" t="n"/>
      <c r="D320" s="38" t="n"/>
      <c r="E320" s="38" t="n"/>
      <c r="F320" s="38" t="n"/>
      <c r="G320" s="38" t="n"/>
      <c r="H320" s="38" t="n"/>
      <c r="I320" s="48" t="n"/>
      <c r="J320" s="38" t="n"/>
      <c r="K320" s="47" t="n"/>
      <c r="L320" s="47" t="n"/>
      <c r="M320" s="38" t="n"/>
      <c r="N320" s="38" t="n"/>
      <c r="O320" s="49">
        <f>IF(C320="","",IF(OR(J320="Booked",J320="Recurring Client"),"Booked",IF(J320="Lost/Declined","Lost","Open")))</f>
        <v/>
      </c>
      <c r="P320" s="49">
        <f>IF(C320="","",IF(S320=0,"—",IF(L320="","Set date",IF(L320&lt;AsOf,"Overdue",IF(L320=AsOf,"Due today",IF(L320&lt;=AsOf+SoonDays,"Due soon","Scheduled"))))))</f>
        <v/>
      </c>
      <c r="Q320" s="50">
        <f>IF(C320="","",IF(B320="","",AsOf-B320))</f>
        <v/>
      </c>
      <c r="R320" s="49">
        <f>IF(C320="","",IF(O320&lt;&gt;"Booked","",IF(COUNTIF('CUSTOMERS'!$B$5:$B$404,C320)&gt;0,"✓ In CUSTOMERS","Add to CUSTOMERS")))</f>
        <v/>
      </c>
      <c r="S320" s="49">
        <f>IF(C320="","",IF(OR(J320="Booked",J320="Recurring Client",J320="Lost/Declined"),0,1))</f>
        <v/>
      </c>
      <c r="T320" s="51">
        <f>IF(B320="","",DATE(YEAR(B320),MONTH(B320),1))</f>
        <v/>
      </c>
      <c r="U320" s="49">
        <f>IF(OR(S320&lt;&gt;1,L320=""),"",COUNTIFS('LEADS'!$S$5:$S$504,1,'LEADS'!$L$5:$L$504,"&lt;"&amp;L320)+COUNTIFS($S$5:S320,1,$L$5:L320,L320))</f>
        <v/>
      </c>
    </row>
    <row r="321">
      <c r="A321" s="46" t="inlineStr">
        <is>
          <t>L-0317</t>
        </is>
      </c>
      <c r="B321" s="47" t="n"/>
      <c r="C321" s="38" t="n"/>
      <c r="D321" s="38" t="n"/>
      <c r="E321" s="38" t="n"/>
      <c r="F321" s="38" t="n"/>
      <c r="G321" s="38" t="n"/>
      <c r="H321" s="38" t="n"/>
      <c r="I321" s="48" t="n"/>
      <c r="J321" s="38" t="n"/>
      <c r="K321" s="47" t="n"/>
      <c r="L321" s="47" t="n"/>
      <c r="M321" s="38" t="n"/>
      <c r="N321" s="38" t="n"/>
      <c r="O321" s="49">
        <f>IF(C321="","",IF(OR(J321="Booked",J321="Recurring Client"),"Booked",IF(J321="Lost/Declined","Lost","Open")))</f>
        <v/>
      </c>
      <c r="P321" s="49">
        <f>IF(C321="","",IF(S321=0,"—",IF(L321="","Set date",IF(L321&lt;AsOf,"Overdue",IF(L321=AsOf,"Due today",IF(L321&lt;=AsOf+SoonDays,"Due soon","Scheduled"))))))</f>
        <v/>
      </c>
      <c r="Q321" s="50">
        <f>IF(C321="","",IF(B321="","",AsOf-B321))</f>
        <v/>
      </c>
      <c r="R321" s="49">
        <f>IF(C321="","",IF(O321&lt;&gt;"Booked","",IF(COUNTIF('CUSTOMERS'!$B$5:$B$404,C321)&gt;0,"✓ In CUSTOMERS","Add to CUSTOMERS")))</f>
        <v/>
      </c>
      <c r="S321" s="49">
        <f>IF(C321="","",IF(OR(J321="Booked",J321="Recurring Client",J321="Lost/Declined"),0,1))</f>
        <v/>
      </c>
      <c r="T321" s="51">
        <f>IF(B321="","",DATE(YEAR(B321),MONTH(B321),1))</f>
        <v/>
      </c>
      <c r="U321" s="49">
        <f>IF(OR(S321&lt;&gt;1,L321=""),"",COUNTIFS('LEADS'!$S$5:$S$504,1,'LEADS'!$L$5:$L$504,"&lt;"&amp;L321)+COUNTIFS($S$5:S321,1,$L$5:L321,L321))</f>
        <v/>
      </c>
    </row>
    <row r="322">
      <c r="A322" s="46" t="inlineStr">
        <is>
          <t>L-0318</t>
        </is>
      </c>
      <c r="B322" s="47" t="n"/>
      <c r="C322" s="38" t="n"/>
      <c r="D322" s="38" t="n"/>
      <c r="E322" s="38" t="n"/>
      <c r="F322" s="38" t="n"/>
      <c r="G322" s="38" t="n"/>
      <c r="H322" s="38" t="n"/>
      <c r="I322" s="48" t="n"/>
      <c r="J322" s="38" t="n"/>
      <c r="K322" s="47" t="n"/>
      <c r="L322" s="47" t="n"/>
      <c r="M322" s="38" t="n"/>
      <c r="N322" s="38" t="n"/>
      <c r="O322" s="49">
        <f>IF(C322="","",IF(OR(J322="Booked",J322="Recurring Client"),"Booked",IF(J322="Lost/Declined","Lost","Open")))</f>
        <v/>
      </c>
      <c r="P322" s="49">
        <f>IF(C322="","",IF(S322=0,"—",IF(L322="","Set date",IF(L322&lt;AsOf,"Overdue",IF(L322=AsOf,"Due today",IF(L322&lt;=AsOf+SoonDays,"Due soon","Scheduled"))))))</f>
        <v/>
      </c>
      <c r="Q322" s="50">
        <f>IF(C322="","",IF(B322="","",AsOf-B322))</f>
        <v/>
      </c>
      <c r="R322" s="49">
        <f>IF(C322="","",IF(O322&lt;&gt;"Booked","",IF(COUNTIF('CUSTOMERS'!$B$5:$B$404,C322)&gt;0,"✓ In CUSTOMERS","Add to CUSTOMERS")))</f>
        <v/>
      </c>
      <c r="S322" s="49">
        <f>IF(C322="","",IF(OR(J322="Booked",J322="Recurring Client",J322="Lost/Declined"),0,1))</f>
        <v/>
      </c>
      <c r="T322" s="51">
        <f>IF(B322="","",DATE(YEAR(B322),MONTH(B322),1))</f>
        <v/>
      </c>
      <c r="U322" s="49">
        <f>IF(OR(S322&lt;&gt;1,L322=""),"",COUNTIFS('LEADS'!$S$5:$S$504,1,'LEADS'!$L$5:$L$504,"&lt;"&amp;L322)+COUNTIFS($S$5:S322,1,$L$5:L322,L322))</f>
        <v/>
      </c>
    </row>
    <row r="323">
      <c r="A323" s="46" t="inlineStr">
        <is>
          <t>L-0319</t>
        </is>
      </c>
      <c r="B323" s="47" t="n"/>
      <c r="C323" s="38" t="n"/>
      <c r="D323" s="38" t="n"/>
      <c r="E323" s="38" t="n"/>
      <c r="F323" s="38" t="n"/>
      <c r="G323" s="38" t="n"/>
      <c r="H323" s="38" t="n"/>
      <c r="I323" s="48" t="n"/>
      <c r="J323" s="38" t="n"/>
      <c r="K323" s="47" t="n"/>
      <c r="L323" s="47" t="n"/>
      <c r="M323" s="38" t="n"/>
      <c r="N323" s="38" t="n"/>
      <c r="O323" s="49">
        <f>IF(C323="","",IF(OR(J323="Booked",J323="Recurring Client"),"Booked",IF(J323="Lost/Declined","Lost","Open")))</f>
        <v/>
      </c>
      <c r="P323" s="49">
        <f>IF(C323="","",IF(S323=0,"—",IF(L323="","Set date",IF(L323&lt;AsOf,"Overdue",IF(L323=AsOf,"Due today",IF(L323&lt;=AsOf+SoonDays,"Due soon","Scheduled"))))))</f>
        <v/>
      </c>
      <c r="Q323" s="50">
        <f>IF(C323="","",IF(B323="","",AsOf-B323))</f>
        <v/>
      </c>
      <c r="R323" s="49">
        <f>IF(C323="","",IF(O323&lt;&gt;"Booked","",IF(COUNTIF('CUSTOMERS'!$B$5:$B$404,C323)&gt;0,"✓ In CUSTOMERS","Add to CUSTOMERS")))</f>
        <v/>
      </c>
      <c r="S323" s="49">
        <f>IF(C323="","",IF(OR(J323="Booked",J323="Recurring Client",J323="Lost/Declined"),0,1))</f>
        <v/>
      </c>
      <c r="T323" s="51">
        <f>IF(B323="","",DATE(YEAR(B323),MONTH(B323),1))</f>
        <v/>
      </c>
      <c r="U323" s="49">
        <f>IF(OR(S323&lt;&gt;1,L323=""),"",COUNTIFS('LEADS'!$S$5:$S$504,1,'LEADS'!$L$5:$L$504,"&lt;"&amp;L323)+COUNTIFS($S$5:S323,1,$L$5:L323,L323))</f>
        <v/>
      </c>
    </row>
    <row r="324">
      <c r="A324" s="46" t="inlineStr">
        <is>
          <t>L-0320</t>
        </is>
      </c>
      <c r="B324" s="47" t="n"/>
      <c r="C324" s="38" t="n"/>
      <c r="D324" s="38" t="n"/>
      <c r="E324" s="38" t="n"/>
      <c r="F324" s="38" t="n"/>
      <c r="G324" s="38" t="n"/>
      <c r="H324" s="38" t="n"/>
      <c r="I324" s="48" t="n"/>
      <c r="J324" s="38" t="n"/>
      <c r="K324" s="47" t="n"/>
      <c r="L324" s="47" t="n"/>
      <c r="M324" s="38" t="n"/>
      <c r="N324" s="38" t="n"/>
      <c r="O324" s="49">
        <f>IF(C324="","",IF(OR(J324="Booked",J324="Recurring Client"),"Booked",IF(J324="Lost/Declined","Lost","Open")))</f>
        <v/>
      </c>
      <c r="P324" s="49">
        <f>IF(C324="","",IF(S324=0,"—",IF(L324="","Set date",IF(L324&lt;AsOf,"Overdue",IF(L324=AsOf,"Due today",IF(L324&lt;=AsOf+SoonDays,"Due soon","Scheduled"))))))</f>
        <v/>
      </c>
      <c r="Q324" s="50">
        <f>IF(C324="","",IF(B324="","",AsOf-B324))</f>
        <v/>
      </c>
      <c r="R324" s="49">
        <f>IF(C324="","",IF(O324&lt;&gt;"Booked","",IF(COUNTIF('CUSTOMERS'!$B$5:$B$404,C324)&gt;0,"✓ In CUSTOMERS","Add to CUSTOMERS")))</f>
        <v/>
      </c>
      <c r="S324" s="49">
        <f>IF(C324="","",IF(OR(J324="Booked",J324="Recurring Client",J324="Lost/Declined"),0,1))</f>
        <v/>
      </c>
      <c r="T324" s="51">
        <f>IF(B324="","",DATE(YEAR(B324),MONTH(B324),1))</f>
        <v/>
      </c>
      <c r="U324" s="49">
        <f>IF(OR(S324&lt;&gt;1,L324=""),"",COUNTIFS('LEADS'!$S$5:$S$504,1,'LEADS'!$L$5:$L$504,"&lt;"&amp;L324)+COUNTIFS($S$5:S324,1,$L$5:L324,L324))</f>
        <v/>
      </c>
    </row>
    <row r="325">
      <c r="A325" s="46" t="inlineStr">
        <is>
          <t>L-0321</t>
        </is>
      </c>
      <c r="B325" s="47" t="n"/>
      <c r="C325" s="38" t="n"/>
      <c r="D325" s="38" t="n"/>
      <c r="E325" s="38" t="n"/>
      <c r="F325" s="38" t="n"/>
      <c r="G325" s="38" t="n"/>
      <c r="H325" s="38" t="n"/>
      <c r="I325" s="48" t="n"/>
      <c r="J325" s="38" t="n"/>
      <c r="K325" s="47" t="n"/>
      <c r="L325" s="47" t="n"/>
      <c r="M325" s="38" t="n"/>
      <c r="N325" s="38" t="n"/>
      <c r="O325" s="49">
        <f>IF(C325="","",IF(OR(J325="Booked",J325="Recurring Client"),"Booked",IF(J325="Lost/Declined","Lost","Open")))</f>
        <v/>
      </c>
      <c r="P325" s="49">
        <f>IF(C325="","",IF(S325=0,"—",IF(L325="","Set date",IF(L325&lt;AsOf,"Overdue",IF(L325=AsOf,"Due today",IF(L325&lt;=AsOf+SoonDays,"Due soon","Scheduled"))))))</f>
        <v/>
      </c>
      <c r="Q325" s="50">
        <f>IF(C325="","",IF(B325="","",AsOf-B325))</f>
        <v/>
      </c>
      <c r="R325" s="49">
        <f>IF(C325="","",IF(O325&lt;&gt;"Booked","",IF(COUNTIF('CUSTOMERS'!$B$5:$B$404,C325)&gt;0,"✓ In CUSTOMERS","Add to CUSTOMERS")))</f>
        <v/>
      </c>
      <c r="S325" s="49">
        <f>IF(C325="","",IF(OR(J325="Booked",J325="Recurring Client",J325="Lost/Declined"),0,1))</f>
        <v/>
      </c>
      <c r="T325" s="51">
        <f>IF(B325="","",DATE(YEAR(B325),MONTH(B325),1))</f>
        <v/>
      </c>
      <c r="U325" s="49">
        <f>IF(OR(S325&lt;&gt;1,L325=""),"",COUNTIFS('LEADS'!$S$5:$S$504,1,'LEADS'!$L$5:$L$504,"&lt;"&amp;L325)+COUNTIFS($S$5:S325,1,$L$5:L325,L325))</f>
        <v/>
      </c>
    </row>
    <row r="326">
      <c r="A326" s="46" t="inlineStr">
        <is>
          <t>L-0322</t>
        </is>
      </c>
      <c r="B326" s="47" t="n"/>
      <c r="C326" s="38" t="n"/>
      <c r="D326" s="38" t="n"/>
      <c r="E326" s="38" t="n"/>
      <c r="F326" s="38" t="n"/>
      <c r="G326" s="38" t="n"/>
      <c r="H326" s="38" t="n"/>
      <c r="I326" s="48" t="n"/>
      <c r="J326" s="38" t="n"/>
      <c r="K326" s="47" t="n"/>
      <c r="L326" s="47" t="n"/>
      <c r="M326" s="38" t="n"/>
      <c r="N326" s="38" t="n"/>
      <c r="O326" s="49">
        <f>IF(C326="","",IF(OR(J326="Booked",J326="Recurring Client"),"Booked",IF(J326="Lost/Declined","Lost","Open")))</f>
        <v/>
      </c>
      <c r="P326" s="49">
        <f>IF(C326="","",IF(S326=0,"—",IF(L326="","Set date",IF(L326&lt;AsOf,"Overdue",IF(L326=AsOf,"Due today",IF(L326&lt;=AsOf+SoonDays,"Due soon","Scheduled"))))))</f>
        <v/>
      </c>
      <c r="Q326" s="50">
        <f>IF(C326="","",IF(B326="","",AsOf-B326))</f>
        <v/>
      </c>
      <c r="R326" s="49">
        <f>IF(C326="","",IF(O326&lt;&gt;"Booked","",IF(COUNTIF('CUSTOMERS'!$B$5:$B$404,C326)&gt;0,"✓ In CUSTOMERS","Add to CUSTOMERS")))</f>
        <v/>
      </c>
      <c r="S326" s="49">
        <f>IF(C326="","",IF(OR(J326="Booked",J326="Recurring Client",J326="Lost/Declined"),0,1))</f>
        <v/>
      </c>
      <c r="T326" s="51">
        <f>IF(B326="","",DATE(YEAR(B326),MONTH(B326),1))</f>
        <v/>
      </c>
      <c r="U326" s="49">
        <f>IF(OR(S326&lt;&gt;1,L326=""),"",COUNTIFS('LEADS'!$S$5:$S$504,1,'LEADS'!$L$5:$L$504,"&lt;"&amp;L326)+COUNTIFS($S$5:S326,1,$L$5:L326,L326))</f>
        <v/>
      </c>
    </row>
    <row r="327">
      <c r="A327" s="46" t="inlineStr">
        <is>
          <t>L-0323</t>
        </is>
      </c>
      <c r="B327" s="47" t="n"/>
      <c r="C327" s="38" t="n"/>
      <c r="D327" s="38" t="n"/>
      <c r="E327" s="38" t="n"/>
      <c r="F327" s="38" t="n"/>
      <c r="G327" s="38" t="n"/>
      <c r="H327" s="38" t="n"/>
      <c r="I327" s="48" t="n"/>
      <c r="J327" s="38" t="n"/>
      <c r="K327" s="47" t="n"/>
      <c r="L327" s="47" t="n"/>
      <c r="M327" s="38" t="n"/>
      <c r="N327" s="38" t="n"/>
      <c r="O327" s="49">
        <f>IF(C327="","",IF(OR(J327="Booked",J327="Recurring Client"),"Booked",IF(J327="Lost/Declined","Lost","Open")))</f>
        <v/>
      </c>
      <c r="P327" s="49">
        <f>IF(C327="","",IF(S327=0,"—",IF(L327="","Set date",IF(L327&lt;AsOf,"Overdue",IF(L327=AsOf,"Due today",IF(L327&lt;=AsOf+SoonDays,"Due soon","Scheduled"))))))</f>
        <v/>
      </c>
      <c r="Q327" s="50">
        <f>IF(C327="","",IF(B327="","",AsOf-B327))</f>
        <v/>
      </c>
      <c r="R327" s="49">
        <f>IF(C327="","",IF(O327&lt;&gt;"Booked","",IF(COUNTIF('CUSTOMERS'!$B$5:$B$404,C327)&gt;0,"✓ In CUSTOMERS","Add to CUSTOMERS")))</f>
        <v/>
      </c>
      <c r="S327" s="49">
        <f>IF(C327="","",IF(OR(J327="Booked",J327="Recurring Client",J327="Lost/Declined"),0,1))</f>
        <v/>
      </c>
      <c r="T327" s="51">
        <f>IF(B327="","",DATE(YEAR(B327),MONTH(B327),1))</f>
        <v/>
      </c>
      <c r="U327" s="49">
        <f>IF(OR(S327&lt;&gt;1,L327=""),"",COUNTIFS('LEADS'!$S$5:$S$504,1,'LEADS'!$L$5:$L$504,"&lt;"&amp;L327)+COUNTIFS($S$5:S327,1,$L$5:L327,L327))</f>
        <v/>
      </c>
    </row>
    <row r="328">
      <c r="A328" s="46" t="inlineStr">
        <is>
          <t>L-0324</t>
        </is>
      </c>
      <c r="B328" s="47" t="n"/>
      <c r="C328" s="38" t="n"/>
      <c r="D328" s="38" t="n"/>
      <c r="E328" s="38" t="n"/>
      <c r="F328" s="38" t="n"/>
      <c r="G328" s="38" t="n"/>
      <c r="H328" s="38" t="n"/>
      <c r="I328" s="48" t="n"/>
      <c r="J328" s="38" t="n"/>
      <c r="K328" s="47" t="n"/>
      <c r="L328" s="47" t="n"/>
      <c r="M328" s="38" t="n"/>
      <c r="N328" s="38" t="n"/>
      <c r="O328" s="49">
        <f>IF(C328="","",IF(OR(J328="Booked",J328="Recurring Client"),"Booked",IF(J328="Lost/Declined","Lost","Open")))</f>
        <v/>
      </c>
      <c r="P328" s="49">
        <f>IF(C328="","",IF(S328=0,"—",IF(L328="","Set date",IF(L328&lt;AsOf,"Overdue",IF(L328=AsOf,"Due today",IF(L328&lt;=AsOf+SoonDays,"Due soon","Scheduled"))))))</f>
        <v/>
      </c>
      <c r="Q328" s="50">
        <f>IF(C328="","",IF(B328="","",AsOf-B328))</f>
        <v/>
      </c>
      <c r="R328" s="49">
        <f>IF(C328="","",IF(O328&lt;&gt;"Booked","",IF(COUNTIF('CUSTOMERS'!$B$5:$B$404,C328)&gt;0,"✓ In CUSTOMERS","Add to CUSTOMERS")))</f>
        <v/>
      </c>
      <c r="S328" s="49">
        <f>IF(C328="","",IF(OR(J328="Booked",J328="Recurring Client",J328="Lost/Declined"),0,1))</f>
        <v/>
      </c>
      <c r="T328" s="51">
        <f>IF(B328="","",DATE(YEAR(B328),MONTH(B328),1))</f>
        <v/>
      </c>
      <c r="U328" s="49">
        <f>IF(OR(S328&lt;&gt;1,L328=""),"",COUNTIFS('LEADS'!$S$5:$S$504,1,'LEADS'!$L$5:$L$504,"&lt;"&amp;L328)+COUNTIFS($S$5:S328,1,$L$5:L328,L328))</f>
        <v/>
      </c>
    </row>
    <row r="329">
      <c r="A329" s="46" t="inlineStr">
        <is>
          <t>L-0325</t>
        </is>
      </c>
      <c r="B329" s="47" t="n"/>
      <c r="C329" s="38" t="n"/>
      <c r="D329" s="38" t="n"/>
      <c r="E329" s="38" t="n"/>
      <c r="F329" s="38" t="n"/>
      <c r="G329" s="38" t="n"/>
      <c r="H329" s="38" t="n"/>
      <c r="I329" s="48" t="n"/>
      <c r="J329" s="38" t="n"/>
      <c r="K329" s="47" t="n"/>
      <c r="L329" s="47" t="n"/>
      <c r="M329" s="38" t="n"/>
      <c r="N329" s="38" t="n"/>
      <c r="O329" s="49">
        <f>IF(C329="","",IF(OR(J329="Booked",J329="Recurring Client"),"Booked",IF(J329="Lost/Declined","Lost","Open")))</f>
        <v/>
      </c>
      <c r="P329" s="49">
        <f>IF(C329="","",IF(S329=0,"—",IF(L329="","Set date",IF(L329&lt;AsOf,"Overdue",IF(L329=AsOf,"Due today",IF(L329&lt;=AsOf+SoonDays,"Due soon","Scheduled"))))))</f>
        <v/>
      </c>
      <c r="Q329" s="50">
        <f>IF(C329="","",IF(B329="","",AsOf-B329))</f>
        <v/>
      </c>
      <c r="R329" s="49">
        <f>IF(C329="","",IF(O329&lt;&gt;"Booked","",IF(COUNTIF('CUSTOMERS'!$B$5:$B$404,C329)&gt;0,"✓ In CUSTOMERS","Add to CUSTOMERS")))</f>
        <v/>
      </c>
      <c r="S329" s="49">
        <f>IF(C329="","",IF(OR(J329="Booked",J329="Recurring Client",J329="Lost/Declined"),0,1))</f>
        <v/>
      </c>
      <c r="T329" s="51">
        <f>IF(B329="","",DATE(YEAR(B329),MONTH(B329),1))</f>
        <v/>
      </c>
      <c r="U329" s="49">
        <f>IF(OR(S329&lt;&gt;1,L329=""),"",COUNTIFS('LEADS'!$S$5:$S$504,1,'LEADS'!$L$5:$L$504,"&lt;"&amp;L329)+COUNTIFS($S$5:S329,1,$L$5:L329,L329))</f>
        <v/>
      </c>
    </row>
    <row r="330">
      <c r="A330" s="46" t="inlineStr">
        <is>
          <t>L-0326</t>
        </is>
      </c>
      <c r="B330" s="47" t="n"/>
      <c r="C330" s="38" t="n"/>
      <c r="D330" s="38" t="n"/>
      <c r="E330" s="38" t="n"/>
      <c r="F330" s="38" t="n"/>
      <c r="G330" s="38" t="n"/>
      <c r="H330" s="38" t="n"/>
      <c r="I330" s="48" t="n"/>
      <c r="J330" s="38" t="n"/>
      <c r="K330" s="47" t="n"/>
      <c r="L330" s="47" t="n"/>
      <c r="M330" s="38" t="n"/>
      <c r="N330" s="38" t="n"/>
      <c r="O330" s="49">
        <f>IF(C330="","",IF(OR(J330="Booked",J330="Recurring Client"),"Booked",IF(J330="Lost/Declined","Lost","Open")))</f>
        <v/>
      </c>
      <c r="P330" s="49">
        <f>IF(C330="","",IF(S330=0,"—",IF(L330="","Set date",IF(L330&lt;AsOf,"Overdue",IF(L330=AsOf,"Due today",IF(L330&lt;=AsOf+SoonDays,"Due soon","Scheduled"))))))</f>
        <v/>
      </c>
      <c r="Q330" s="50">
        <f>IF(C330="","",IF(B330="","",AsOf-B330))</f>
        <v/>
      </c>
      <c r="R330" s="49">
        <f>IF(C330="","",IF(O330&lt;&gt;"Booked","",IF(COUNTIF('CUSTOMERS'!$B$5:$B$404,C330)&gt;0,"✓ In CUSTOMERS","Add to CUSTOMERS")))</f>
        <v/>
      </c>
      <c r="S330" s="49">
        <f>IF(C330="","",IF(OR(J330="Booked",J330="Recurring Client",J330="Lost/Declined"),0,1))</f>
        <v/>
      </c>
      <c r="T330" s="51">
        <f>IF(B330="","",DATE(YEAR(B330),MONTH(B330),1))</f>
        <v/>
      </c>
      <c r="U330" s="49">
        <f>IF(OR(S330&lt;&gt;1,L330=""),"",COUNTIFS('LEADS'!$S$5:$S$504,1,'LEADS'!$L$5:$L$504,"&lt;"&amp;L330)+COUNTIFS($S$5:S330,1,$L$5:L330,L330))</f>
        <v/>
      </c>
    </row>
    <row r="331">
      <c r="A331" s="46" t="inlineStr">
        <is>
          <t>L-0327</t>
        </is>
      </c>
      <c r="B331" s="47" t="n"/>
      <c r="C331" s="38" t="n"/>
      <c r="D331" s="38" t="n"/>
      <c r="E331" s="38" t="n"/>
      <c r="F331" s="38" t="n"/>
      <c r="G331" s="38" t="n"/>
      <c r="H331" s="38" t="n"/>
      <c r="I331" s="48" t="n"/>
      <c r="J331" s="38" t="n"/>
      <c r="K331" s="47" t="n"/>
      <c r="L331" s="47" t="n"/>
      <c r="M331" s="38" t="n"/>
      <c r="N331" s="38" t="n"/>
      <c r="O331" s="49">
        <f>IF(C331="","",IF(OR(J331="Booked",J331="Recurring Client"),"Booked",IF(J331="Lost/Declined","Lost","Open")))</f>
        <v/>
      </c>
      <c r="P331" s="49">
        <f>IF(C331="","",IF(S331=0,"—",IF(L331="","Set date",IF(L331&lt;AsOf,"Overdue",IF(L331=AsOf,"Due today",IF(L331&lt;=AsOf+SoonDays,"Due soon","Scheduled"))))))</f>
        <v/>
      </c>
      <c r="Q331" s="50">
        <f>IF(C331="","",IF(B331="","",AsOf-B331))</f>
        <v/>
      </c>
      <c r="R331" s="49">
        <f>IF(C331="","",IF(O331&lt;&gt;"Booked","",IF(COUNTIF('CUSTOMERS'!$B$5:$B$404,C331)&gt;0,"✓ In CUSTOMERS","Add to CUSTOMERS")))</f>
        <v/>
      </c>
      <c r="S331" s="49">
        <f>IF(C331="","",IF(OR(J331="Booked",J331="Recurring Client",J331="Lost/Declined"),0,1))</f>
        <v/>
      </c>
      <c r="T331" s="51">
        <f>IF(B331="","",DATE(YEAR(B331),MONTH(B331),1))</f>
        <v/>
      </c>
      <c r="U331" s="49">
        <f>IF(OR(S331&lt;&gt;1,L331=""),"",COUNTIFS('LEADS'!$S$5:$S$504,1,'LEADS'!$L$5:$L$504,"&lt;"&amp;L331)+COUNTIFS($S$5:S331,1,$L$5:L331,L331))</f>
        <v/>
      </c>
    </row>
    <row r="332">
      <c r="A332" s="46" t="inlineStr">
        <is>
          <t>L-0328</t>
        </is>
      </c>
      <c r="B332" s="47" t="n"/>
      <c r="C332" s="38" t="n"/>
      <c r="D332" s="38" t="n"/>
      <c r="E332" s="38" t="n"/>
      <c r="F332" s="38" t="n"/>
      <c r="G332" s="38" t="n"/>
      <c r="H332" s="38" t="n"/>
      <c r="I332" s="48" t="n"/>
      <c r="J332" s="38" t="n"/>
      <c r="K332" s="47" t="n"/>
      <c r="L332" s="47" t="n"/>
      <c r="M332" s="38" t="n"/>
      <c r="N332" s="38" t="n"/>
      <c r="O332" s="49">
        <f>IF(C332="","",IF(OR(J332="Booked",J332="Recurring Client"),"Booked",IF(J332="Lost/Declined","Lost","Open")))</f>
        <v/>
      </c>
      <c r="P332" s="49">
        <f>IF(C332="","",IF(S332=0,"—",IF(L332="","Set date",IF(L332&lt;AsOf,"Overdue",IF(L332=AsOf,"Due today",IF(L332&lt;=AsOf+SoonDays,"Due soon","Scheduled"))))))</f>
        <v/>
      </c>
      <c r="Q332" s="50">
        <f>IF(C332="","",IF(B332="","",AsOf-B332))</f>
        <v/>
      </c>
      <c r="R332" s="49">
        <f>IF(C332="","",IF(O332&lt;&gt;"Booked","",IF(COUNTIF('CUSTOMERS'!$B$5:$B$404,C332)&gt;0,"✓ In CUSTOMERS","Add to CUSTOMERS")))</f>
        <v/>
      </c>
      <c r="S332" s="49">
        <f>IF(C332="","",IF(OR(J332="Booked",J332="Recurring Client",J332="Lost/Declined"),0,1))</f>
        <v/>
      </c>
      <c r="T332" s="51">
        <f>IF(B332="","",DATE(YEAR(B332),MONTH(B332),1))</f>
        <v/>
      </c>
      <c r="U332" s="49">
        <f>IF(OR(S332&lt;&gt;1,L332=""),"",COUNTIFS('LEADS'!$S$5:$S$504,1,'LEADS'!$L$5:$L$504,"&lt;"&amp;L332)+COUNTIFS($S$5:S332,1,$L$5:L332,L332))</f>
        <v/>
      </c>
    </row>
    <row r="333">
      <c r="A333" s="46" t="inlineStr">
        <is>
          <t>L-0329</t>
        </is>
      </c>
      <c r="B333" s="47" t="n"/>
      <c r="C333" s="38" t="n"/>
      <c r="D333" s="38" t="n"/>
      <c r="E333" s="38" t="n"/>
      <c r="F333" s="38" t="n"/>
      <c r="G333" s="38" t="n"/>
      <c r="H333" s="38" t="n"/>
      <c r="I333" s="48" t="n"/>
      <c r="J333" s="38" t="n"/>
      <c r="K333" s="47" t="n"/>
      <c r="L333" s="47" t="n"/>
      <c r="M333" s="38" t="n"/>
      <c r="N333" s="38" t="n"/>
      <c r="O333" s="49">
        <f>IF(C333="","",IF(OR(J333="Booked",J333="Recurring Client"),"Booked",IF(J333="Lost/Declined","Lost","Open")))</f>
        <v/>
      </c>
      <c r="P333" s="49">
        <f>IF(C333="","",IF(S333=0,"—",IF(L333="","Set date",IF(L333&lt;AsOf,"Overdue",IF(L333=AsOf,"Due today",IF(L333&lt;=AsOf+SoonDays,"Due soon","Scheduled"))))))</f>
        <v/>
      </c>
      <c r="Q333" s="50">
        <f>IF(C333="","",IF(B333="","",AsOf-B333))</f>
        <v/>
      </c>
      <c r="R333" s="49">
        <f>IF(C333="","",IF(O333&lt;&gt;"Booked","",IF(COUNTIF('CUSTOMERS'!$B$5:$B$404,C333)&gt;0,"✓ In CUSTOMERS","Add to CUSTOMERS")))</f>
        <v/>
      </c>
      <c r="S333" s="49">
        <f>IF(C333="","",IF(OR(J333="Booked",J333="Recurring Client",J333="Lost/Declined"),0,1))</f>
        <v/>
      </c>
      <c r="T333" s="51">
        <f>IF(B333="","",DATE(YEAR(B333),MONTH(B333),1))</f>
        <v/>
      </c>
      <c r="U333" s="49">
        <f>IF(OR(S333&lt;&gt;1,L333=""),"",COUNTIFS('LEADS'!$S$5:$S$504,1,'LEADS'!$L$5:$L$504,"&lt;"&amp;L333)+COUNTIFS($S$5:S333,1,$L$5:L333,L333))</f>
        <v/>
      </c>
    </row>
    <row r="334">
      <c r="A334" s="46" t="inlineStr">
        <is>
          <t>L-0330</t>
        </is>
      </c>
      <c r="B334" s="47" t="n"/>
      <c r="C334" s="38" t="n"/>
      <c r="D334" s="38" t="n"/>
      <c r="E334" s="38" t="n"/>
      <c r="F334" s="38" t="n"/>
      <c r="G334" s="38" t="n"/>
      <c r="H334" s="38" t="n"/>
      <c r="I334" s="48" t="n"/>
      <c r="J334" s="38" t="n"/>
      <c r="K334" s="47" t="n"/>
      <c r="L334" s="47" t="n"/>
      <c r="M334" s="38" t="n"/>
      <c r="N334" s="38" t="n"/>
      <c r="O334" s="49">
        <f>IF(C334="","",IF(OR(J334="Booked",J334="Recurring Client"),"Booked",IF(J334="Lost/Declined","Lost","Open")))</f>
        <v/>
      </c>
      <c r="P334" s="49">
        <f>IF(C334="","",IF(S334=0,"—",IF(L334="","Set date",IF(L334&lt;AsOf,"Overdue",IF(L334=AsOf,"Due today",IF(L334&lt;=AsOf+SoonDays,"Due soon","Scheduled"))))))</f>
        <v/>
      </c>
      <c r="Q334" s="50">
        <f>IF(C334="","",IF(B334="","",AsOf-B334))</f>
        <v/>
      </c>
      <c r="R334" s="49">
        <f>IF(C334="","",IF(O334&lt;&gt;"Booked","",IF(COUNTIF('CUSTOMERS'!$B$5:$B$404,C334)&gt;0,"✓ In CUSTOMERS","Add to CUSTOMERS")))</f>
        <v/>
      </c>
      <c r="S334" s="49">
        <f>IF(C334="","",IF(OR(J334="Booked",J334="Recurring Client",J334="Lost/Declined"),0,1))</f>
        <v/>
      </c>
      <c r="T334" s="51">
        <f>IF(B334="","",DATE(YEAR(B334),MONTH(B334),1))</f>
        <v/>
      </c>
      <c r="U334" s="49">
        <f>IF(OR(S334&lt;&gt;1,L334=""),"",COUNTIFS('LEADS'!$S$5:$S$504,1,'LEADS'!$L$5:$L$504,"&lt;"&amp;L334)+COUNTIFS($S$5:S334,1,$L$5:L334,L334))</f>
        <v/>
      </c>
    </row>
    <row r="335">
      <c r="A335" s="46" t="inlineStr">
        <is>
          <t>L-0331</t>
        </is>
      </c>
      <c r="B335" s="47" t="n"/>
      <c r="C335" s="38" t="n"/>
      <c r="D335" s="38" t="n"/>
      <c r="E335" s="38" t="n"/>
      <c r="F335" s="38" t="n"/>
      <c r="G335" s="38" t="n"/>
      <c r="H335" s="38" t="n"/>
      <c r="I335" s="48" t="n"/>
      <c r="J335" s="38" t="n"/>
      <c r="K335" s="47" t="n"/>
      <c r="L335" s="47" t="n"/>
      <c r="M335" s="38" t="n"/>
      <c r="N335" s="38" t="n"/>
      <c r="O335" s="49">
        <f>IF(C335="","",IF(OR(J335="Booked",J335="Recurring Client"),"Booked",IF(J335="Lost/Declined","Lost","Open")))</f>
        <v/>
      </c>
      <c r="P335" s="49">
        <f>IF(C335="","",IF(S335=0,"—",IF(L335="","Set date",IF(L335&lt;AsOf,"Overdue",IF(L335=AsOf,"Due today",IF(L335&lt;=AsOf+SoonDays,"Due soon","Scheduled"))))))</f>
        <v/>
      </c>
      <c r="Q335" s="50">
        <f>IF(C335="","",IF(B335="","",AsOf-B335))</f>
        <v/>
      </c>
      <c r="R335" s="49">
        <f>IF(C335="","",IF(O335&lt;&gt;"Booked","",IF(COUNTIF('CUSTOMERS'!$B$5:$B$404,C335)&gt;0,"✓ In CUSTOMERS","Add to CUSTOMERS")))</f>
        <v/>
      </c>
      <c r="S335" s="49">
        <f>IF(C335="","",IF(OR(J335="Booked",J335="Recurring Client",J335="Lost/Declined"),0,1))</f>
        <v/>
      </c>
      <c r="T335" s="51">
        <f>IF(B335="","",DATE(YEAR(B335),MONTH(B335),1))</f>
        <v/>
      </c>
      <c r="U335" s="49">
        <f>IF(OR(S335&lt;&gt;1,L335=""),"",COUNTIFS('LEADS'!$S$5:$S$504,1,'LEADS'!$L$5:$L$504,"&lt;"&amp;L335)+COUNTIFS($S$5:S335,1,$L$5:L335,L335))</f>
        <v/>
      </c>
    </row>
    <row r="336">
      <c r="A336" s="46" t="inlineStr">
        <is>
          <t>L-0332</t>
        </is>
      </c>
      <c r="B336" s="47" t="n"/>
      <c r="C336" s="38" t="n"/>
      <c r="D336" s="38" t="n"/>
      <c r="E336" s="38" t="n"/>
      <c r="F336" s="38" t="n"/>
      <c r="G336" s="38" t="n"/>
      <c r="H336" s="38" t="n"/>
      <c r="I336" s="48" t="n"/>
      <c r="J336" s="38" t="n"/>
      <c r="K336" s="47" t="n"/>
      <c r="L336" s="47" t="n"/>
      <c r="M336" s="38" t="n"/>
      <c r="N336" s="38" t="n"/>
      <c r="O336" s="49">
        <f>IF(C336="","",IF(OR(J336="Booked",J336="Recurring Client"),"Booked",IF(J336="Lost/Declined","Lost","Open")))</f>
        <v/>
      </c>
      <c r="P336" s="49">
        <f>IF(C336="","",IF(S336=0,"—",IF(L336="","Set date",IF(L336&lt;AsOf,"Overdue",IF(L336=AsOf,"Due today",IF(L336&lt;=AsOf+SoonDays,"Due soon","Scheduled"))))))</f>
        <v/>
      </c>
      <c r="Q336" s="50">
        <f>IF(C336="","",IF(B336="","",AsOf-B336))</f>
        <v/>
      </c>
      <c r="R336" s="49">
        <f>IF(C336="","",IF(O336&lt;&gt;"Booked","",IF(COUNTIF('CUSTOMERS'!$B$5:$B$404,C336)&gt;0,"✓ In CUSTOMERS","Add to CUSTOMERS")))</f>
        <v/>
      </c>
      <c r="S336" s="49">
        <f>IF(C336="","",IF(OR(J336="Booked",J336="Recurring Client",J336="Lost/Declined"),0,1))</f>
        <v/>
      </c>
      <c r="T336" s="51">
        <f>IF(B336="","",DATE(YEAR(B336),MONTH(B336),1))</f>
        <v/>
      </c>
      <c r="U336" s="49">
        <f>IF(OR(S336&lt;&gt;1,L336=""),"",COUNTIFS('LEADS'!$S$5:$S$504,1,'LEADS'!$L$5:$L$504,"&lt;"&amp;L336)+COUNTIFS($S$5:S336,1,$L$5:L336,L336))</f>
        <v/>
      </c>
    </row>
    <row r="337">
      <c r="A337" s="46" t="inlineStr">
        <is>
          <t>L-0333</t>
        </is>
      </c>
      <c r="B337" s="47" t="n"/>
      <c r="C337" s="38" t="n"/>
      <c r="D337" s="38" t="n"/>
      <c r="E337" s="38" t="n"/>
      <c r="F337" s="38" t="n"/>
      <c r="G337" s="38" t="n"/>
      <c r="H337" s="38" t="n"/>
      <c r="I337" s="48" t="n"/>
      <c r="J337" s="38" t="n"/>
      <c r="K337" s="47" t="n"/>
      <c r="L337" s="47" t="n"/>
      <c r="M337" s="38" t="n"/>
      <c r="N337" s="38" t="n"/>
      <c r="O337" s="49">
        <f>IF(C337="","",IF(OR(J337="Booked",J337="Recurring Client"),"Booked",IF(J337="Lost/Declined","Lost","Open")))</f>
        <v/>
      </c>
      <c r="P337" s="49">
        <f>IF(C337="","",IF(S337=0,"—",IF(L337="","Set date",IF(L337&lt;AsOf,"Overdue",IF(L337=AsOf,"Due today",IF(L337&lt;=AsOf+SoonDays,"Due soon","Scheduled"))))))</f>
        <v/>
      </c>
      <c r="Q337" s="50">
        <f>IF(C337="","",IF(B337="","",AsOf-B337))</f>
        <v/>
      </c>
      <c r="R337" s="49">
        <f>IF(C337="","",IF(O337&lt;&gt;"Booked","",IF(COUNTIF('CUSTOMERS'!$B$5:$B$404,C337)&gt;0,"✓ In CUSTOMERS","Add to CUSTOMERS")))</f>
        <v/>
      </c>
      <c r="S337" s="49">
        <f>IF(C337="","",IF(OR(J337="Booked",J337="Recurring Client",J337="Lost/Declined"),0,1))</f>
        <v/>
      </c>
      <c r="T337" s="51">
        <f>IF(B337="","",DATE(YEAR(B337),MONTH(B337),1))</f>
        <v/>
      </c>
      <c r="U337" s="49">
        <f>IF(OR(S337&lt;&gt;1,L337=""),"",COUNTIFS('LEADS'!$S$5:$S$504,1,'LEADS'!$L$5:$L$504,"&lt;"&amp;L337)+COUNTIFS($S$5:S337,1,$L$5:L337,L337))</f>
        <v/>
      </c>
    </row>
    <row r="338">
      <c r="A338" s="46" t="inlineStr">
        <is>
          <t>L-0334</t>
        </is>
      </c>
      <c r="B338" s="47" t="n"/>
      <c r="C338" s="38" t="n"/>
      <c r="D338" s="38" t="n"/>
      <c r="E338" s="38" t="n"/>
      <c r="F338" s="38" t="n"/>
      <c r="G338" s="38" t="n"/>
      <c r="H338" s="38" t="n"/>
      <c r="I338" s="48" t="n"/>
      <c r="J338" s="38" t="n"/>
      <c r="K338" s="47" t="n"/>
      <c r="L338" s="47" t="n"/>
      <c r="M338" s="38" t="n"/>
      <c r="N338" s="38" t="n"/>
      <c r="O338" s="49">
        <f>IF(C338="","",IF(OR(J338="Booked",J338="Recurring Client"),"Booked",IF(J338="Lost/Declined","Lost","Open")))</f>
        <v/>
      </c>
      <c r="P338" s="49">
        <f>IF(C338="","",IF(S338=0,"—",IF(L338="","Set date",IF(L338&lt;AsOf,"Overdue",IF(L338=AsOf,"Due today",IF(L338&lt;=AsOf+SoonDays,"Due soon","Scheduled"))))))</f>
        <v/>
      </c>
      <c r="Q338" s="50">
        <f>IF(C338="","",IF(B338="","",AsOf-B338))</f>
        <v/>
      </c>
      <c r="R338" s="49">
        <f>IF(C338="","",IF(O338&lt;&gt;"Booked","",IF(COUNTIF('CUSTOMERS'!$B$5:$B$404,C338)&gt;0,"✓ In CUSTOMERS","Add to CUSTOMERS")))</f>
        <v/>
      </c>
      <c r="S338" s="49">
        <f>IF(C338="","",IF(OR(J338="Booked",J338="Recurring Client",J338="Lost/Declined"),0,1))</f>
        <v/>
      </c>
      <c r="T338" s="51">
        <f>IF(B338="","",DATE(YEAR(B338),MONTH(B338),1))</f>
        <v/>
      </c>
      <c r="U338" s="49">
        <f>IF(OR(S338&lt;&gt;1,L338=""),"",COUNTIFS('LEADS'!$S$5:$S$504,1,'LEADS'!$L$5:$L$504,"&lt;"&amp;L338)+COUNTIFS($S$5:S338,1,$L$5:L338,L338))</f>
        <v/>
      </c>
    </row>
    <row r="339">
      <c r="A339" s="46" t="inlineStr">
        <is>
          <t>L-0335</t>
        </is>
      </c>
      <c r="B339" s="47" t="n"/>
      <c r="C339" s="38" t="n"/>
      <c r="D339" s="38" t="n"/>
      <c r="E339" s="38" t="n"/>
      <c r="F339" s="38" t="n"/>
      <c r="G339" s="38" t="n"/>
      <c r="H339" s="38" t="n"/>
      <c r="I339" s="48" t="n"/>
      <c r="J339" s="38" t="n"/>
      <c r="K339" s="47" t="n"/>
      <c r="L339" s="47" t="n"/>
      <c r="M339" s="38" t="n"/>
      <c r="N339" s="38" t="n"/>
      <c r="O339" s="49">
        <f>IF(C339="","",IF(OR(J339="Booked",J339="Recurring Client"),"Booked",IF(J339="Lost/Declined","Lost","Open")))</f>
        <v/>
      </c>
      <c r="P339" s="49">
        <f>IF(C339="","",IF(S339=0,"—",IF(L339="","Set date",IF(L339&lt;AsOf,"Overdue",IF(L339=AsOf,"Due today",IF(L339&lt;=AsOf+SoonDays,"Due soon","Scheduled"))))))</f>
        <v/>
      </c>
      <c r="Q339" s="50">
        <f>IF(C339="","",IF(B339="","",AsOf-B339))</f>
        <v/>
      </c>
      <c r="R339" s="49">
        <f>IF(C339="","",IF(O339&lt;&gt;"Booked","",IF(COUNTIF('CUSTOMERS'!$B$5:$B$404,C339)&gt;0,"✓ In CUSTOMERS","Add to CUSTOMERS")))</f>
        <v/>
      </c>
      <c r="S339" s="49">
        <f>IF(C339="","",IF(OR(J339="Booked",J339="Recurring Client",J339="Lost/Declined"),0,1))</f>
        <v/>
      </c>
      <c r="T339" s="51">
        <f>IF(B339="","",DATE(YEAR(B339),MONTH(B339),1))</f>
        <v/>
      </c>
      <c r="U339" s="49">
        <f>IF(OR(S339&lt;&gt;1,L339=""),"",COUNTIFS('LEADS'!$S$5:$S$504,1,'LEADS'!$L$5:$L$504,"&lt;"&amp;L339)+COUNTIFS($S$5:S339,1,$L$5:L339,L339))</f>
        <v/>
      </c>
    </row>
    <row r="340">
      <c r="A340" s="46" t="inlineStr">
        <is>
          <t>L-0336</t>
        </is>
      </c>
      <c r="B340" s="47" t="n"/>
      <c r="C340" s="38" t="n"/>
      <c r="D340" s="38" t="n"/>
      <c r="E340" s="38" t="n"/>
      <c r="F340" s="38" t="n"/>
      <c r="G340" s="38" t="n"/>
      <c r="H340" s="38" t="n"/>
      <c r="I340" s="48" t="n"/>
      <c r="J340" s="38" t="n"/>
      <c r="K340" s="47" t="n"/>
      <c r="L340" s="47" t="n"/>
      <c r="M340" s="38" t="n"/>
      <c r="N340" s="38" t="n"/>
      <c r="O340" s="49">
        <f>IF(C340="","",IF(OR(J340="Booked",J340="Recurring Client"),"Booked",IF(J340="Lost/Declined","Lost","Open")))</f>
        <v/>
      </c>
      <c r="P340" s="49">
        <f>IF(C340="","",IF(S340=0,"—",IF(L340="","Set date",IF(L340&lt;AsOf,"Overdue",IF(L340=AsOf,"Due today",IF(L340&lt;=AsOf+SoonDays,"Due soon","Scheduled"))))))</f>
        <v/>
      </c>
      <c r="Q340" s="50">
        <f>IF(C340="","",IF(B340="","",AsOf-B340))</f>
        <v/>
      </c>
      <c r="R340" s="49">
        <f>IF(C340="","",IF(O340&lt;&gt;"Booked","",IF(COUNTIF('CUSTOMERS'!$B$5:$B$404,C340)&gt;0,"✓ In CUSTOMERS","Add to CUSTOMERS")))</f>
        <v/>
      </c>
      <c r="S340" s="49">
        <f>IF(C340="","",IF(OR(J340="Booked",J340="Recurring Client",J340="Lost/Declined"),0,1))</f>
        <v/>
      </c>
      <c r="T340" s="51">
        <f>IF(B340="","",DATE(YEAR(B340),MONTH(B340),1))</f>
        <v/>
      </c>
      <c r="U340" s="49">
        <f>IF(OR(S340&lt;&gt;1,L340=""),"",COUNTIFS('LEADS'!$S$5:$S$504,1,'LEADS'!$L$5:$L$504,"&lt;"&amp;L340)+COUNTIFS($S$5:S340,1,$L$5:L340,L340))</f>
        <v/>
      </c>
    </row>
    <row r="341">
      <c r="A341" s="46" t="inlineStr">
        <is>
          <t>L-0337</t>
        </is>
      </c>
      <c r="B341" s="47" t="n"/>
      <c r="C341" s="38" t="n"/>
      <c r="D341" s="38" t="n"/>
      <c r="E341" s="38" t="n"/>
      <c r="F341" s="38" t="n"/>
      <c r="G341" s="38" t="n"/>
      <c r="H341" s="38" t="n"/>
      <c r="I341" s="48" t="n"/>
      <c r="J341" s="38" t="n"/>
      <c r="K341" s="47" t="n"/>
      <c r="L341" s="47" t="n"/>
      <c r="M341" s="38" t="n"/>
      <c r="N341" s="38" t="n"/>
      <c r="O341" s="49">
        <f>IF(C341="","",IF(OR(J341="Booked",J341="Recurring Client"),"Booked",IF(J341="Lost/Declined","Lost","Open")))</f>
        <v/>
      </c>
      <c r="P341" s="49">
        <f>IF(C341="","",IF(S341=0,"—",IF(L341="","Set date",IF(L341&lt;AsOf,"Overdue",IF(L341=AsOf,"Due today",IF(L341&lt;=AsOf+SoonDays,"Due soon","Scheduled"))))))</f>
        <v/>
      </c>
      <c r="Q341" s="50">
        <f>IF(C341="","",IF(B341="","",AsOf-B341))</f>
        <v/>
      </c>
      <c r="R341" s="49">
        <f>IF(C341="","",IF(O341&lt;&gt;"Booked","",IF(COUNTIF('CUSTOMERS'!$B$5:$B$404,C341)&gt;0,"✓ In CUSTOMERS","Add to CUSTOMERS")))</f>
        <v/>
      </c>
      <c r="S341" s="49">
        <f>IF(C341="","",IF(OR(J341="Booked",J341="Recurring Client",J341="Lost/Declined"),0,1))</f>
        <v/>
      </c>
      <c r="T341" s="51">
        <f>IF(B341="","",DATE(YEAR(B341),MONTH(B341),1))</f>
        <v/>
      </c>
      <c r="U341" s="49">
        <f>IF(OR(S341&lt;&gt;1,L341=""),"",COUNTIFS('LEADS'!$S$5:$S$504,1,'LEADS'!$L$5:$L$504,"&lt;"&amp;L341)+COUNTIFS($S$5:S341,1,$L$5:L341,L341))</f>
        <v/>
      </c>
    </row>
    <row r="342">
      <c r="A342" s="46" t="inlineStr">
        <is>
          <t>L-0338</t>
        </is>
      </c>
      <c r="B342" s="47" t="n"/>
      <c r="C342" s="38" t="n"/>
      <c r="D342" s="38" t="n"/>
      <c r="E342" s="38" t="n"/>
      <c r="F342" s="38" t="n"/>
      <c r="G342" s="38" t="n"/>
      <c r="H342" s="38" t="n"/>
      <c r="I342" s="48" t="n"/>
      <c r="J342" s="38" t="n"/>
      <c r="K342" s="47" t="n"/>
      <c r="L342" s="47" t="n"/>
      <c r="M342" s="38" t="n"/>
      <c r="N342" s="38" t="n"/>
      <c r="O342" s="49">
        <f>IF(C342="","",IF(OR(J342="Booked",J342="Recurring Client"),"Booked",IF(J342="Lost/Declined","Lost","Open")))</f>
        <v/>
      </c>
      <c r="P342" s="49">
        <f>IF(C342="","",IF(S342=0,"—",IF(L342="","Set date",IF(L342&lt;AsOf,"Overdue",IF(L342=AsOf,"Due today",IF(L342&lt;=AsOf+SoonDays,"Due soon","Scheduled"))))))</f>
        <v/>
      </c>
      <c r="Q342" s="50">
        <f>IF(C342="","",IF(B342="","",AsOf-B342))</f>
        <v/>
      </c>
      <c r="R342" s="49">
        <f>IF(C342="","",IF(O342&lt;&gt;"Booked","",IF(COUNTIF('CUSTOMERS'!$B$5:$B$404,C342)&gt;0,"✓ In CUSTOMERS","Add to CUSTOMERS")))</f>
        <v/>
      </c>
      <c r="S342" s="49">
        <f>IF(C342="","",IF(OR(J342="Booked",J342="Recurring Client",J342="Lost/Declined"),0,1))</f>
        <v/>
      </c>
      <c r="T342" s="51">
        <f>IF(B342="","",DATE(YEAR(B342),MONTH(B342),1))</f>
        <v/>
      </c>
      <c r="U342" s="49">
        <f>IF(OR(S342&lt;&gt;1,L342=""),"",COUNTIFS('LEADS'!$S$5:$S$504,1,'LEADS'!$L$5:$L$504,"&lt;"&amp;L342)+COUNTIFS($S$5:S342,1,$L$5:L342,L342))</f>
        <v/>
      </c>
    </row>
    <row r="343">
      <c r="A343" s="46" t="inlineStr">
        <is>
          <t>L-0339</t>
        </is>
      </c>
      <c r="B343" s="47" t="n"/>
      <c r="C343" s="38" t="n"/>
      <c r="D343" s="38" t="n"/>
      <c r="E343" s="38" t="n"/>
      <c r="F343" s="38" t="n"/>
      <c r="G343" s="38" t="n"/>
      <c r="H343" s="38" t="n"/>
      <c r="I343" s="48" t="n"/>
      <c r="J343" s="38" t="n"/>
      <c r="K343" s="47" t="n"/>
      <c r="L343" s="47" t="n"/>
      <c r="M343" s="38" t="n"/>
      <c r="N343" s="38" t="n"/>
      <c r="O343" s="49">
        <f>IF(C343="","",IF(OR(J343="Booked",J343="Recurring Client"),"Booked",IF(J343="Lost/Declined","Lost","Open")))</f>
        <v/>
      </c>
      <c r="P343" s="49">
        <f>IF(C343="","",IF(S343=0,"—",IF(L343="","Set date",IF(L343&lt;AsOf,"Overdue",IF(L343=AsOf,"Due today",IF(L343&lt;=AsOf+SoonDays,"Due soon","Scheduled"))))))</f>
        <v/>
      </c>
      <c r="Q343" s="50">
        <f>IF(C343="","",IF(B343="","",AsOf-B343))</f>
        <v/>
      </c>
      <c r="R343" s="49">
        <f>IF(C343="","",IF(O343&lt;&gt;"Booked","",IF(COUNTIF('CUSTOMERS'!$B$5:$B$404,C343)&gt;0,"✓ In CUSTOMERS","Add to CUSTOMERS")))</f>
        <v/>
      </c>
      <c r="S343" s="49">
        <f>IF(C343="","",IF(OR(J343="Booked",J343="Recurring Client",J343="Lost/Declined"),0,1))</f>
        <v/>
      </c>
      <c r="T343" s="51">
        <f>IF(B343="","",DATE(YEAR(B343),MONTH(B343),1))</f>
        <v/>
      </c>
      <c r="U343" s="49">
        <f>IF(OR(S343&lt;&gt;1,L343=""),"",COUNTIFS('LEADS'!$S$5:$S$504,1,'LEADS'!$L$5:$L$504,"&lt;"&amp;L343)+COUNTIFS($S$5:S343,1,$L$5:L343,L343))</f>
        <v/>
      </c>
    </row>
    <row r="344">
      <c r="A344" s="46" t="inlineStr">
        <is>
          <t>L-0340</t>
        </is>
      </c>
      <c r="B344" s="47" t="n"/>
      <c r="C344" s="38" t="n"/>
      <c r="D344" s="38" t="n"/>
      <c r="E344" s="38" t="n"/>
      <c r="F344" s="38" t="n"/>
      <c r="G344" s="38" t="n"/>
      <c r="H344" s="38" t="n"/>
      <c r="I344" s="48" t="n"/>
      <c r="J344" s="38" t="n"/>
      <c r="K344" s="47" t="n"/>
      <c r="L344" s="47" t="n"/>
      <c r="M344" s="38" t="n"/>
      <c r="N344" s="38" t="n"/>
      <c r="O344" s="49">
        <f>IF(C344="","",IF(OR(J344="Booked",J344="Recurring Client"),"Booked",IF(J344="Lost/Declined","Lost","Open")))</f>
        <v/>
      </c>
      <c r="P344" s="49">
        <f>IF(C344="","",IF(S344=0,"—",IF(L344="","Set date",IF(L344&lt;AsOf,"Overdue",IF(L344=AsOf,"Due today",IF(L344&lt;=AsOf+SoonDays,"Due soon","Scheduled"))))))</f>
        <v/>
      </c>
      <c r="Q344" s="50">
        <f>IF(C344="","",IF(B344="","",AsOf-B344))</f>
        <v/>
      </c>
      <c r="R344" s="49">
        <f>IF(C344="","",IF(O344&lt;&gt;"Booked","",IF(COUNTIF('CUSTOMERS'!$B$5:$B$404,C344)&gt;0,"✓ In CUSTOMERS","Add to CUSTOMERS")))</f>
        <v/>
      </c>
      <c r="S344" s="49">
        <f>IF(C344="","",IF(OR(J344="Booked",J344="Recurring Client",J344="Lost/Declined"),0,1))</f>
        <v/>
      </c>
      <c r="T344" s="51">
        <f>IF(B344="","",DATE(YEAR(B344),MONTH(B344),1))</f>
        <v/>
      </c>
      <c r="U344" s="49">
        <f>IF(OR(S344&lt;&gt;1,L344=""),"",COUNTIFS('LEADS'!$S$5:$S$504,1,'LEADS'!$L$5:$L$504,"&lt;"&amp;L344)+COUNTIFS($S$5:S344,1,$L$5:L344,L344))</f>
        <v/>
      </c>
    </row>
    <row r="345">
      <c r="A345" s="46" t="inlineStr">
        <is>
          <t>L-0341</t>
        </is>
      </c>
      <c r="B345" s="47" t="n"/>
      <c r="C345" s="38" t="n"/>
      <c r="D345" s="38" t="n"/>
      <c r="E345" s="38" t="n"/>
      <c r="F345" s="38" t="n"/>
      <c r="G345" s="38" t="n"/>
      <c r="H345" s="38" t="n"/>
      <c r="I345" s="48" t="n"/>
      <c r="J345" s="38" t="n"/>
      <c r="K345" s="47" t="n"/>
      <c r="L345" s="47" t="n"/>
      <c r="M345" s="38" t="n"/>
      <c r="N345" s="38" t="n"/>
      <c r="O345" s="49">
        <f>IF(C345="","",IF(OR(J345="Booked",J345="Recurring Client"),"Booked",IF(J345="Lost/Declined","Lost","Open")))</f>
        <v/>
      </c>
      <c r="P345" s="49">
        <f>IF(C345="","",IF(S345=0,"—",IF(L345="","Set date",IF(L345&lt;AsOf,"Overdue",IF(L345=AsOf,"Due today",IF(L345&lt;=AsOf+SoonDays,"Due soon","Scheduled"))))))</f>
        <v/>
      </c>
      <c r="Q345" s="50">
        <f>IF(C345="","",IF(B345="","",AsOf-B345))</f>
        <v/>
      </c>
      <c r="R345" s="49">
        <f>IF(C345="","",IF(O345&lt;&gt;"Booked","",IF(COUNTIF('CUSTOMERS'!$B$5:$B$404,C345)&gt;0,"✓ In CUSTOMERS","Add to CUSTOMERS")))</f>
        <v/>
      </c>
      <c r="S345" s="49">
        <f>IF(C345="","",IF(OR(J345="Booked",J345="Recurring Client",J345="Lost/Declined"),0,1))</f>
        <v/>
      </c>
      <c r="T345" s="51">
        <f>IF(B345="","",DATE(YEAR(B345),MONTH(B345),1))</f>
        <v/>
      </c>
      <c r="U345" s="49">
        <f>IF(OR(S345&lt;&gt;1,L345=""),"",COUNTIFS('LEADS'!$S$5:$S$504,1,'LEADS'!$L$5:$L$504,"&lt;"&amp;L345)+COUNTIFS($S$5:S345,1,$L$5:L345,L345))</f>
        <v/>
      </c>
    </row>
    <row r="346">
      <c r="A346" s="46" t="inlineStr">
        <is>
          <t>L-0342</t>
        </is>
      </c>
      <c r="B346" s="47" t="n"/>
      <c r="C346" s="38" t="n"/>
      <c r="D346" s="38" t="n"/>
      <c r="E346" s="38" t="n"/>
      <c r="F346" s="38" t="n"/>
      <c r="G346" s="38" t="n"/>
      <c r="H346" s="38" t="n"/>
      <c r="I346" s="48" t="n"/>
      <c r="J346" s="38" t="n"/>
      <c r="K346" s="47" t="n"/>
      <c r="L346" s="47" t="n"/>
      <c r="M346" s="38" t="n"/>
      <c r="N346" s="38" t="n"/>
      <c r="O346" s="49">
        <f>IF(C346="","",IF(OR(J346="Booked",J346="Recurring Client"),"Booked",IF(J346="Lost/Declined","Lost","Open")))</f>
        <v/>
      </c>
      <c r="P346" s="49">
        <f>IF(C346="","",IF(S346=0,"—",IF(L346="","Set date",IF(L346&lt;AsOf,"Overdue",IF(L346=AsOf,"Due today",IF(L346&lt;=AsOf+SoonDays,"Due soon","Scheduled"))))))</f>
        <v/>
      </c>
      <c r="Q346" s="50">
        <f>IF(C346="","",IF(B346="","",AsOf-B346))</f>
        <v/>
      </c>
      <c r="R346" s="49">
        <f>IF(C346="","",IF(O346&lt;&gt;"Booked","",IF(COUNTIF('CUSTOMERS'!$B$5:$B$404,C346)&gt;0,"✓ In CUSTOMERS","Add to CUSTOMERS")))</f>
        <v/>
      </c>
      <c r="S346" s="49">
        <f>IF(C346="","",IF(OR(J346="Booked",J346="Recurring Client",J346="Lost/Declined"),0,1))</f>
        <v/>
      </c>
      <c r="T346" s="51">
        <f>IF(B346="","",DATE(YEAR(B346),MONTH(B346),1))</f>
        <v/>
      </c>
      <c r="U346" s="49">
        <f>IF(OR(S346&lt;&gt;1,L346=""),"",COUNTIFS('LEADS'!$S$5:$S$504,1,'LEADS'!$L$5:$L$504,"&lt;"&amp;L346)+COUNTIFS($S$5:S346,1,$L$5:L346,L346))</f>
        <v/>
      </c>
    </row>
    <row r="347">
      <c r="A347" s="46" t="inlineStr">
        <is>
          <t>L-0343</t>
        </is>
      </c>
      <c r="B347" s="47" t="n"/>
      <c r="C347" s="38" t="n"/>
      <c r="D347" s="38" t="n"/>
      <c r="E347" s="38" t="n"/>
      <c r="F347" s="38" t="n"/>
      <c r="G347" s="38" t="n"/>
      <c r="H347" s="38" t="n"/>
      <c r="I347" s="48" t="n"/>
      <c r="J347" s="38" t="n"/>
      <c r="K347" s="47" t="n"/>
      <c r="L347" s="47" t="n"/>
      <c r="M347" s="38" t="n"/>
      <c r="N347" s="38" t="n"/>
      <c r="O347" s="49">
        <f>IF(C347="","",IF(OR(J347="Booked",J347="Recurring Client"),"Booked",IF(J347="Lost/Declined","Lost","Open")))</f>
        <v/>
      </c>
      <c r="P347" s="49">
        <f>IF(C347="","",IF(S347=0,"—",IF(L347="","Set date",IF(L347&lt;AsOf,"Overdue",IF(L347=AsOf,"Due today",IF(L347&lt;=AsOf+SoonDays,"Due soon","Scheduled"))))))</f>
        <v/>
      </c>
      <c r="Q347" s="50">
        <f>IF(C347="","",IF(B347="","",AsOf-B347))</f>
        <v/>
      </c>
      <c r="R347" s="49">
        <f>IF(C347="","",IF(O347&lt;&gt;"Booked","",IF(COUNTIF('CUSTOMERS'!$B$5:$B$404,C347)&gt;0,"✓ In CUSTOMERS","Add to CUSTOMERS")))</f>
        <v/>
      </c>
      <c r="S347" s="49">
        <f>IF(C347="","",IF(OR(J347="Booked",J347="Recurring Client",J347="Lost/Declined"),0,1))</f>
        <v/>
      </c>
      <c r="T347" s="51">
        <f>IF(B347="","",DATE(YEAR(B347),MONTH(B347),1))</f>
        <v/>
      </c>
      <c r="U347" s="49">
        <f>IF(OR(S347&lt;&gt;1,L347=""),"",COUNTIFS('LEADS'!$S$5:$S$504,1,'LEADS'!$L$5:$L$504,"&lt;"&amp;L347)+COUNTIFS($S$5:S347,1,$L$5:L347,L347))</f>
        <v/>
      </c>
    </row>
    <row r="348">
      <c r="A348" s="46" t="inlineStr">
        <is>
          <t>L-0344</t>
        </is>
      </c>
      <c r="B348" s="47" t="n"/>
      <c r="C348" s="38" t="n"/>
      <c r="D348" s="38" t="n"/>
      <c r="E348" s="38" t="n"/>
      <c r="F348" s="38" t="n"/>
      <c r="G348" s="38" t="n"/>
      <c r="H348" s="38" t="n"/>
      <c r="I348" s="48" t="n"/>
      <c r="J348" s="38" t="n"/>
      <c r="K348" s="47" t="n"/>
      <c r="L348" s="47" t="n"/>
      <c r="M348" s="38" t="n"/>
      <c r="N348" s="38" t="n"/>
      <c r="O348" s="49">
        <f>IF(C348="","",IF(OR(J348="Booked",J348="Recurring Client"),"Booked",IF(J348="Lost/Declined","Lost","Open")))</f>
        <v/>
      </c>
      <c r="P348" s="49">
        <f>IF(C348="","",IF(S348=0,"—",IF(L348="","Set date",IF(L348&lt;AsOf,"Overdue",IF(L348=AsOf,"Due today",IF(L348&lt;=AsOf+SoonDays,"Due soon","Scheduled"))))))</f>
        <v/>
      </c>
      <c r="Q348" s="50">
        <f>IF(C348="","",IF(B348="","",AsOf-B348))</f>
        <v/>
      </c>
      <c r="R348" s="49">
        <f>IF(C348="","",IF(O348&lt;&gt;"Booked","",IF(COUNTIF('CUSTOMERS'!$B$5:$B$404,C348)&gt;0,"✓ In CUSTOMERS","Add to CUSTOMERS")))</f>
        <v/>
      </c>
      <c r="S348" s="49">
        <f>IF(C348="","",IF(OR(J348="Booked",J348="Recurring Client",J348="Lost/Declined"),0,1))</f>
        <v/>
      </c>
      <c r="T348" s="51">
        <f>IF(B348="","",DATE(YEAR(B348),MONTH(B348),1))</f>
        <v/>
      </c>
      <c r="U348" s="49">
        <f>IF(OR(S348&lt;&gt;1,L348=""),"",COUNTIFS('LEADS'!$S$5:$S$504,1,'LEADS'!$L$5:$L$504,"&lt;"&amp;L348)+COUNTIFS($S$5:S348,1,$L$5:L348,L348))</f>
        <v/>
      </c>
    </row>
    <row r="349">
      <c r="A349" s="46" t="inlineStr">
        <is>
          <t>L-0345</t>
        </is>
      </c>
      <c r="B349" s="47" t="n"/>
      <c r="C349" s="38" t="n"/>
      <c r="D349" s="38" t="n"/>
      <c r="E349" s="38" t="n"/>
      <c r="F349" s="38" t="n"/>
      <c r="G349" s="38" t="n"/>
      <c r="H349" s="38" t="n"/>
      <c r="I349" s="48" t="n"/>
      <c r="J349" s="38" t="n"/>
      <c r="K349" s="47" t="n"/>
      <c r="L349" s="47" t="n"/>
      <c r="M349" s="38" t="n"/>
      <c r="N349" s="38" t="n"/>
      <c r="O349" s="49">
        <f>IF(C349="","",IF(OR(J349="Booked",J349="Recurring Client"),"Booked",IF(J349="Lost/Declined","Lost","Open")))</f>
        <v/>
      </c>
      <c r="P349" s="49">
        <f>IF(C349="","",IF(S349=0,"—",IF(L349="","Set date",IF(L349&lt;AsOf,"Overdue",IF(L349=AsOf,"Due today",IF(L349&lt;=AsOf+SoonDays,"Due soon","Scheduled"))))))</f>
        <v/>
      </c>
      <c r="Q349" s="50">
        <f>IF(C349="","",IF(B349="","",AsOf-B349))</f>
        <v/>
      </c>
      <c r="R349" s="49">
        <f>IF(C349="","",IF(O349&lt;&gt;"Booked","",IF(COUNTIF('CUSTOMERS'!$B$5:$B$404,C349)&gt;0,"✓ In CUSTOMERS","Add to CUSTOMERS")))</f>
        <v/>
      </c>
      <c r="S349" s="49">
        <f>IF(C349="","",IF(OR(J349="Booked",J349="Recurring Client",J349="Lost/Declined"),0,1))</f>
        <v/>
      </c>
      <c r="T349" s="51">
        <f>IF(B349="","",DATE(YEAR(B349),MONTH(B349),1))</f>
        <v/>
      </c>
      <c r="U349" s="49">
        <f>IF(OR(S349&lt;&gt;1,L349=""),"",COUNTIFS('LEADS'!$S$5:$S$504,1,'LEADS'!$L$5:$L$504,"&lt;"&amp;L349)+COUNTIFS($S$5:S349,1,$L$5:L349,L349))</f>
        <v/>
      </c>
    </row>
    <row r="350">
      <c r="A350" s="46" t="inlineStr">
        <is>
          <t>L-0346</t>
        </is>
      </c>
      <c r="B350" s="47" t="n"/>
      <c r="C350" s="38" t="n"/>
      <c r="D350" s="38" t="n"/>
      <c r="E350" s="38" t="n"/>
      <c r="F350" s="38" t="n"/>
      <c r="G350" s="38" t="n"/>
      <c r="H350" s="38" t="n"/>
      <c r="I350" s="48" t="n"/>
      <c r="J350" s="38" t="n"/>
      <c r="K350" s="47" t="n"/>
      <c r="L350" s="47" t="n"/>
      <c r="M350" s="38" t="n"/>
      <c r="N350" s="38" t="n"/>
      <c r="O350" s="49">
        <f>IF(C350="","",IF(OR(J350="Booked",J350="Recurring Client"),"Booked",IF(J350="Lost/Declined","Lost","Open")))</f>
        <v/>
      </c>
      <c r="P350" s="49">
        <f>IF(C350="","",IF(S350=0,"—",IF(L350="","Set date",IF(L350&lt;AsOf,"Overdue",IF(L350=AsOf,"Due today",IF(L350&lt;=AsOf+SoonDays,"Due soon","Scheduled"))))))</f>
        <v/>
      </c>
      <c r="Q350" s="50">
        <f>IF(C350="","",IF(B350="","",AsOf-B350))</f>
        <v/>
      </c>
      <c r="R350" s="49">
        <f>IF(C350="","",IF(O350&lt;&gt;"Booked","",IF(COUNTIF('CUSTOMERS'!$B$5:$B$404,C350)&gt;0,"✓ In CUSTOMERS","Add to CUSTOMERS")))</f>
        <v/>
      </c>
      <c r="S350" s="49">
        <f>IF(C350="","",IF(OR(J350="Booked",J350="Recurring Client",J350="Lost/Declined"),0,1))</f>
        <v/>
      </c>
      <c r="T350" s="51">
        <f>IF(B350="","",DATE(YEAR(B350),MONTH(B350),1))</f>
        <v/>
      </c>
      <c r="U350" s="49">
        <f>IF(OR(S350&lt;&gt;1,L350=""),"",COUNTIFS('LEADS'!$S$5:$S$504,1,'LEADS'!$L$5:$L$504,"&lt;"&amp;L350)+COUNTIFS($S$5:S350,1,$L$5:L350,L350))</f>
        <v/>
      </c>
    </row>
    <row r="351">
      <c r="A351" s="46" t="inlineStr">
        <is>
          <t>L-0347</t>
        </is>
      </c>
      <c r="B351" s="47" t="n"/>
      <c r="C351" s="38" t="n"/>
      <c r="D351" s="38" t="n"/>
      <c r="E351" s="38" t="n"/>
      <c r="F351" s="38" t="n"/>
      <c r="G351" s="38" t="n"/>
      <c r="H351" s="38" t="n"/>
      <c r="I351" s="48" t="n"/>
      <c r="J351" s="38" t="n"/>
      <c r="K351" s="47" t="n"/>
      <c r="L351" s="47" t="n"/>
      <c r="M351" s="38" t="n"/>
      <c r="N351" s="38" t="n"/>
      <c r="O351" s="49">
        <f>IF(C351="","",IF(OR(J351="Booked",J351="Recurring Client"),"Booked",IF(J351="Lost/Declined","Lost","Open")))</f>
        <v/>
      </c>
      <c r="P351" s="49">
        <f>IF(C351="","",IF(S351=0,"—",IF(L351="","Set date",IF(L351&lt;AsOf,"Overdue",IF(L351=AsOf,"Due today",IF(L351&lt;=AsOf+SoonDays,"Due soon","Scheduled"))))))</f>
        <v/>
      </c>
      <c r="Q351" s="50">
        <f>IF(C351="","",IF(B351="","",AsOf-B351))</f>
        <v/>
      </c>
      <c r="R351" s="49">
        <f>IF(C351="","",IF(O351&lt;&gt;"Booked","",IF(COUNTIF('CUSTOMERS'!$B$5:$B$404,C351)&gt;0,"✓ In CUSTOMERS","Add to CUSTOMERS")))</f>
        <v/>
      </c>
      <c r="S351" s="49">
        <f>IF(C351="","",IF(OR(J351="Booked",J351="Recurring Client",J351="Lost/Declined"),0,1))</f>
        <v/>
      </c>
      <c r="T351" s="51">
        <f>IF(B351="","",DATE(YEAR(B351),MONTH(B351),1))</f>
        <v/>
      </c>
      <c r="U351" s="49">
        <f>IF(OR(S351&lt;&gt;1,L351=""),"",COUNTIFS('LEADS'!$S$5:$S$504,1,'LEADS'!$L$5:$L$504,"&lt;"&amp;L351)+COUNTIFS($S$5:S351,1,$L$5:L351,L351))</f>
        <v/>
      </c>
    </row>
    <row r="352">
      <c r="A352" s="46" t="inlineStr">
        <is>
          <t>L-0348</t>
        </is>
      </c>
      <c r="B352" s="47" t="n"/>
      <c r="C352" s="38" t="n"/>
      <c r="D352" s="38" t="n"/>
      <c r="E352" s="38" t="n"/>
      <c r="F352" s="38" t="n"/>
      <c r="G352" s="38" t="n"/>
      <c r="H352" s="38" t="n"/>
      <c r="I352" s="48" t="n"/>
      <c r="J352" s="38" t="n"/>
      <c r="K352" s="47" t="n"/>
      <c r="L352" s="47" t="n"/>
      <c r="M352" s="38" t="n"/>
      <c r="N352" s="38" t="n"/>
      <c r="O352" s="49">
        <f>IF(C352="","",IF(OR(J352="Booked",J352="Recurring Client"),"Booked",IF(J352="Lost/Declined","Lost","Open")))</f>
        <v/>
      </c>
      <c r="P352" s="49">
        <f>IF(C352="","",IF(S352=0,"—",IF(L352="","Set date",IF(L352&lt;AsOf,"Overdue",IF(L352=AsOf,"Due today",IF(L352&lt;=AsOf+SoonDays,"Due soon","Scheduled"))))))</f>
        <v/>
      </c>
      <c r="Q352" s="50">
        <f>IF(C352="","",IF(B352="","",AsOf-B352))</f>
        <v/>
      </c>
      <c r="R352" s="49">
        <f>IF(C352="","",IF(O352&lt;&gt;"Booked","",IF(COUNTIF('CUSTOMERS'!$B$5:$B$404,C352)&gt;0,"✓ In CUSTOMERS","Add to CUSTOMERS")))</f>
        <v/>
      </c>
      <c r="S352" s="49">
        <f>IF(C352="","",IF(OR(J352="Booked",J352="Recurring Client",J352="Lost/Declined"),0,1))</f>
        <v/>
      </c>
      <c r="T352" s="51">
        <f>IF(B352="","",DATE(YEAR(B352),MONTH(B352),1))</f>
        <v/>
      </c>
      <c r="U352" s="49">
        <f>IF(OR(S352&lt;&gt;1,L352=""),"",COUNTIFS('LEADS'!$S$5:$S$504,1,'LEADS'!$L$5:$L$504,"&lt;"&amp;L352)+COUNTIFS($S$5:S352,1,$L$5:L352,L352))</f>
        <v/>
      </c>
    </row>
    <row r="353">
      <c r="A353" s="46" t="inlineStr">
        <is>
          <t>L-0349</t>
        </is>
      </c>
      <c r="B353" s="47" t="n"/>
      <c r="C353" s="38" t="n"/>
      <c r="D353" s="38" t="n"/>
      <c r="E353" s="38" t="n"/>
      <c r="F353" s="38" t="n"/>
      <c r="G353" s="38" t="n"/>
      <c r="H353" s="38" t="n"/>
      <c r="I353" s="48" t="n"/>
      <c r="J353" s="38" t="n"/>
      <c r="K353" s="47" t="n"/>
      <c r="L353" s="47" t="n"/>
      <c r="M353" s="38" t="n"/>
      <c r="N353" s="38" t="n"/>
      <c r="O353" s="49">
        <f>IF(C353="","",IF(OR(J353="Booked",J353="Recurring Client"),"Booked",IF(J353="Lost/Declined","Lost","Open")))</f>
        <v/>
      </c>
      <c r="P353" s="49">
        <f>IF(C353="","",IF(S353=0,"—",IF(L353="","Set date",IF(L353&lt;AsOf,"Overdue",IF(L353=AsOf,"Due today",IF(L353&lt;=AsOf+SoonDays,"Due soon","Scheduled"))))))</f>
        <v/>
      </c>
      <c r="Q353" s="50">
        <f>IF(C353="","",IF(B353="","",AsOf-B353))</f>
        <v/>
      </c>
      <c r="R353" s="49">
        <f>IF(C353="","",IF(O353&lt;&gt;"Booked","",IF(COUNTIF('CUSTOMERS'!$B$5:$B$404,C353)&gt;0,"✓ In CUSTOMERS","Add to CUSTOMERS")))</f>
        <v/>
      </c>
      <c r="S353" s="49">
        <f>IF(C353="","",IF(OR(J353="Booked",J353="Recurring Client",J353="Lost/Declined"),0,1))</f>
        <v/>
      </c>
      <c r="T353" s="51">
        <f>IF(B353="","",DATE(YEAR(B353),MONTH(B353),1))</f>
        <v/>
      </c>
      <c r="U353" s="49">
        <f>IF(OR(S353&lt;&gt;1,L353=""),"",COUNTIFS('LEADS'!$S$5:$S$504,1,'LEADS'!$L$5:$L$504,"&lt;"&amp;L353)+COUNTIFS($S$5:S353,1,$L$5:L353,L353))</f>
        <v/>
      </c>
    </row>
    <row r="354">
      <c r="A354" s="46" t="inlineStr">
        <is>
          <t>L-0350</t>
        </is>
      </c>
      <c r="B354" s="47" t="n"/>
      <c r="C354" s="38" t="n"/>
      <c r="D354" s="38" t="n"/>
      <c r="E354" s="38" t="n"/>
      <c r="F354" s="38" t="n"/>
      <c r="G354" s="38" t="n"/>
      <c r="H354" s="38" t="n"/>
      <c r="I354" s="48" t="n"/>
      <c r="J354" s="38" t="n"/>
      <c r="K354" s="47" t="n"/>
      <c r="L354" s="47" t="n"/>
      <c r="M354" s="38" t="n"/>
      <c r="N354" s="38" t="n"/>
      <c r="O354" s="49">
        <f>IF(C354="","",IF(OR(J354="Booked",J354="Recurring Client"),"Booked",IF(J354="Lost/Declined","Lost","Open")))</f>
        <v/>
      </c>
      <c r="P354" s="49">
        <f>IF(C354="","",IF(S354=0,"—",IF(L354="","Set date",IF(L354&lt;AsOf,"Overdue",IF(L354=AsOf,"Due today",IF(L354&lt;=AsOf+SoonDays,"Due soon","Scheduled"))))))</f>
        <v/>
      </c>
      <c r="Q354" s="50">
        <f>IF(C354="","",IF(B354="","",AsOf-B354))</f>
        <v/>
      </c>
      <c r="R354" s="49">
        <f>IF(C354="","",IF(O354&lt;&gt;"Booked","",IF(COUNTIF('CUSTOMERS'!$B$5:$B$404,C354)&gt;0,"✓ In CUSTOMERS","Add to CUSTOMERS")))</f>
        <v/>
      </c>
      <c r="S354" s="49">
        <f>IF(C354="","",IF(OR(J354="Booked",J354="Recurring Client",J354="Lost/Declined"),0,1))</f>
        <v/>
      </c>
      <c r="T354" s="51">
        <f>IF(B354="","",DATE(YEAR(B354),MONTH(B354),1))</f>
        <v/>
      </c>
      <c r="U354" s="49">
        <f>IF(OR(S354&lt;&gt;1,L354=""),"",COUNTIFS('LEADS'!$S$5:$S$504,1,'LEADS'!$L$5:$L$504,"&lt;"&amp;L354)+COUNTIFS($S$5:S354,1,$L$5:L354,L354))</f>
        <v/>
      </c>
    </row>
    <row r="355">
      <c r="A355" s="46" t="inlineStr">
        <is>
          <t>L-0351</t>
        </is>
      </c>
      <c r="B355" s="47" t="n"/>
      <c r="C355" s="38" t="n"/>
      <c r="D355" s="38" t="n"/>
      <c r="E355" s="38" t="n"/>
      <c r="F355" s="38" t="n"/>
      <c r="G355" s="38" t="n"/>
      <c r="H355" s="38" t="n"/>
      <c r="I355" s="48" t="n"/>
      <c r="J355" s="38" t="n"/>
      <c r="K355" s="47" t="n"/>
      <c r="L355" s="47" t="n"/>
      <c r="M355" s="38" t="n"/>
      <c r="N355" s="38" t="n"/>
      <c r="O355" s="49">
        <f>IF(C355="","",IF(OR(J355="Booked",J355="Recurring Client"),"Booked",IF(J355="Lost/Declined","Lost","Open")))</f>
        <v/>
      </c>
      <c r="P355" s="49">
        <f>IF(C355="","",IF(S355=0,"—",IF(L355="","Set date",IF(L355&lt;AsOf,"Overdue",IF(L355=AsOf,"Due today",IF(L355&lt;=AsOf+SoonDays,"Due soon","Scheduled"))))))</f>
        <v/>
      </c>
      <c r="Q355" s="50">
        <f>IF(C355="","",IF(B355="","",AsOf-B355))</f>
        <v/>
      </c>
      <c r="R355" s="49">
        <f>IF(C355="","",IF(O355&lt;&gt;"Booked","",IF(COUNTIF('CUSTOMERS'!$B$5:$B$404,C355)&gt;0,"✓ In CUSTOMERS","Add to CUSTOMERS")))</f>
        <v/>
      </c>
      <c r="S355" s="49">
        <f>IF(C355="","",IF(OR(J355="Booked",J355="Recurring Client",J355="Lost/Declined"),0,1))</f>
        <v/>
      </c>
      <c r="T355" s="51">
        <f>IF(B355="","",DATE(YEAR(B355),MONTH(B355),1))</f>
        <v/>
      </c>
      <c r="U355" s="49">
        <f>IF(OR(S355&lt;&gt;1,L355=""),"",COUNTIFS('LEADS'!$S$5:$S$504,1,'LEADS'!$L$5:$L$504,"&lt;"&amp;L355)+COUNTIFS($S$5:S355,1,$L$5:L355,L355))</f>
        <v/>
      </c>
    </row>
    <row r="356">
      <c r="A356" s="46" t="inlineStr">
        <is>
          <t>L-0352</t>
        </is>
      </c>
      <c r="B356" s="47" t="n"/>
      <c r="C356" s="38" t="n"/>
      <c r="D356" s="38" t="n"/>
      <c r="E356" s="38" t="n"/>
      <c r="F356" s="38" t="n"/>
      <c r="G356" s="38" t="n"/>
      <c r="H356" s="38" t="n"/>
      <c r="I356" s="48" t="n"/>
      <c r="J356" s="38" t="n"/>
      <c r="K356" s="47" t="n"/>
      <c r="L356" s="47" t="n"/>
      <c r="M356" s="38" t="n"/>
      <c r="N356" s="38" t="n"/>
      <c r="O356" s="49">
        <f>IF(C356="","",IF(OR(J356="Booked",J356="Recurring Client"),"Booked",IF(J356="Lost/Declined","Lost","Open")))</f>
        <v/>
      </c>
      <c r="P356" s="49">
        <f>IF(C356="","",IF(S356=0,"—",IF(L356="","Set date",IF(L356&lt;AsOf,"Overdue",IF(L356=AsOf,"Due today",IF(L356&lt;=AsOf+SoonDays,"Due soon","Scheduled"))))))</f>
        <v/>
      </c>
      <c r="Q356" s="50">
        <f>IF(C356="","",IF(B356="","",AsOf-B356))</f>
        <v/>
      </c>
      <c r="R356" s="49">
        <f>IF(C356="","",IF(O356&lt;&gt;"Booked","",IF(COUNTIF('CUSTOMERS'!$B$5:$B$404,C356)&gt;0,"✓ In CUSTOMERS","Add to CUSTOMERS")))</f>
        <v/>
      </c>
      <c r="S356" s="49">
        <f>IF(C356="","",IF(OR(J356="Booked",J356="Recurring Client",J356="Lost/Declined"),0,1))</f>
        <v/>
      </c>
      <c r="T356" s="51">
        <f>IF(B356="","",DATE(YEAR(B356),MONTH(B356),1))</f>
        <v/>
      </c>
      <c r="U356" s="49">
        <f>IF(OR(S356&lt;&gt;1,L356=""),"",COUNTIFS('LEADS'!$S$5:$S$504,1,'LEADS'!$L$5:$L$504,"&lt;"&amp;L356)+COUNTIFS($S$5:S356,1,$L$5:L356,L356))</f>
        <v/>
      </c>
    </row>
    <row r="357">
      <c r="A357" s="46" t="inlineStr">
        <is>
          <t>L-0353</t>
        </is>
      </c>
      <c r="B357" s="47" t="n"/>
      <c r="C357" s="38" t="n"/>
      <c r="D357" s="38" t="n"/>
      <c r="E357" s="38" t="n"/>
      <c r="F357" s="38" t="n"/>
      <c r="G357" s="38" t="n"/>
      <c r="H357" s="38" t="n"/>
      <c r="I357" s="48" t="n"/>
      <c r="J357" s="38" t="n"/>
      <c r="K357" s="47" t="n"/>
      <c r="L357" s="47" t="n"/>
      <c r="M357" s="38" t="n"/>
      <c r="N357" s="38" t="n"/>
      <c r="O357" s="49">
        <f>IF(C357="","",IF(OR(J357="Booked",J357="Recurring Client"),"Booked",IF(J357="Lost/Declined","Lost","Open")))</f>
        <v/>
      </c>
      <c r="P357" s="49">
        <f>IF(C357="","",IF(S357=0,"—",IF(L357="","Set date",IF(L357&lt;AsOf,"Overdue",IF(L357=AsOf,"Due today",IF(L357&lt;=AsOf+SoonDays,"Due soon","Scheduled"))))))</f>
        <v/>
      </c>
      <c r="Q357" s="50">
        <f>IF(C357="","",IF(B357="","",AsOf-B357))</f>
        <v/>
      </c>
      <c r="R357" s="49">
        <f>IF(C357="","",IF(O357&lt;&gt;"Booked","",IF(COUNTIF('CUSTOMERS'!$B$5:$B$404,C357)&gt;0,"✓ In CUSTOMERS","Add to CUSTOMERS")))</f>
        <v/>
      </c>
      <c r="S357" s="49">
        <f>IF(C357="","",IF(OR(J357="Booked",J357="Recurring Client",J357="Lost/Declined"),0,1))</f>
        <v/>
      </c>
      <c r="T357" s="51">
        <f>IF(B357="","",DATE(YEAR(B357),MONTH(B357),1))</f>
        <v/>
      </c>
      <c r="U357" s="49">
        <f>IF(OR(S357&lt;&gt;1,L357=""),"",COUNTIFS('LEADS'!$S$5:$S$504,1,'LEADS'!$L$5:$L$504,"&lt;"&amp;L357)+COUNTIFS($S$5:S357,1,$L$5:L357,L357))</f>
        <v/>
      </c>
    </row>
    <row r="358">
      <c r="A358" s="46" t="inlineStr">
        <is>
          <t>L-0354</t>
        </is>
      </c>
      <c r="B358" s="47" t="n"/>
      <c r="C358" s="38" t="n"/>
      <c r="D358" s="38" t="n"/>
      <c r="E358" s="38" t="n"/>
      <c r="F358" s="38" t="n"/>
      <c r="G358" s="38" t="n"/>
      <c r="H358" s="38" t="n"/>
      <c r="I358" s="48" t="n"/>
      <c r="J358" s="38" t="n"/>
      <c r="K358" s="47" t="n"/>
      <c r="L358" s="47" t="n"/>
      <c r="M358" s="38" t="n"/>
      <c r="N358" s="38" t="n"/>
      <c r="O358" s="49">
        <f>IF(C358="","",IF(OR(J358="Booked",J358="Recurring Client"),"Booked",IF(J358="Lost/Declined","Lost","Open")))</f>
        <v/>
      </c>
      <c r="P358" s="49">
        <f>IF(C358="","",IF(S358=0,"—",IF(L358="","Set date",IF(L358&lt;AsOf,"Overdue",IF(L358=AsOf,"Due today",IF(L358&lt;=AsOf+SoonDays,"Due soon","Scheduled"))))))</f>
        <v/>
      </c>
      <c r="Q358" s="50">
        <f>IF(C358="","",IF(B358="","",AsOf-B358))</f>
        <v/>
      </c>
      <c r="R358" s="49">
        <f>IF(C358="","",IF(O358&lt;&gt;"Booked","",IF(COUNTIF('CUSTOMERS'!$B$5:$B$404,C358)&gt;0,"✓ In CUSTOMERS","Add to CUSTOMERS")))</f>
        <v/>
      </c>
      <c r="S358" s="49">
        <f>IF(C358="","",IF(OR(J358="Booked",J358="Recurring Client",J358="Lost/Declined"),0,1))</f>
        <v/>
      </c>
      <c r="T358" s="51">
        <f>IF(B358="","",DATE(YEAR(B358),MONTH(B358),1))</f>
        <v/>
      </c>
      <c r="U358" s="49">
        <f>IF(OR(S358&lt;&gt;1,L358=""),"",COUNTIFS('LEADS'!$S$5:$S$504,1,'LEADS'!$L$5:$L$504,"&lt;"&amp;L358)+COUNTIFS($S$5:S358,1,$L$5:L358,L358))</f>
        <v/>
      </c>
    </row>
    <row r="359">
      <c r="A359" s="46" t="inlineStr">
        <is>
          <t>L-0355</t>
        </is>
      </c>
      <c r="B359" s="47" t="n"/>
      <c r="C359" s="38" t="n"/>
      <c r="D359" s="38" t="n"/>
      <c r="E359" s="38" t="n"/>
      <c r="F359" s="38" t="n"/>
      <c r="G359" s="38" t="n"/>
      <c r="H359" s="38" t="n"/>
      <c r="I359" s="48" t="n"/>
      <c r="J359" s="38" t="n"/>
      <c r="K359" s="47" t="n"/>
      <c r="L359" s="47" t="n"/>
      <c r="M359" s="38" t="n"/>
      <c r="N359" s="38" t="n"/>
      <c r="O359" s="49">
        <f>IF(C359="","",IF(OR(J359="Booked",J359="Recurring Client"),"Booked",IF(J359="Lost/Declined","Lost","Open")))</f>
        <v/>
      </c>
      <c r="P359" s="49">
        <f>IF(C359="","",IF(S359=0,"—",IF(L359="","Set date",IF(L359&lt;AsOf,"Overdue",IF(L359=AsOf,"Due today",IF(L359&lt;=AsOf+SoonDays,"Due soon","Scheduled"))))))</f>
        <v/>
      </c>
      <c r="Q359" s="50">
        <f>IF(C359="","",IF(B359="","",AsOf-B359))</f>
        <v/>
      </c>
      <c r="R359" s="49">
        <f>IF(C359="","",IF(O359&lt;&gt;"Booked","",IF(COUNTIF('CUSTOMERS'!$B$5:$B$404,C359)&gt;0,"✓ In CUSTOMERS","Add to CUSTOMERS")))</f>
        <v/>
      </c>
      <c r="S359" s="49">
        <f>IF(C359="","",IF(OR(J359="Booked",J359="Recurring Client",J359="Lost/Declined"),0,1))</f>
        <v/>
      </c>
      <c r="T359" s="51">
        <f>IF(B359="","",DATE(YEAR(B359),MONTH(B359),1))</f>
        <v/>
      </c>
      <c r="U359" s="49">
        <f>IF(OR(S359&lt;&gt;1,L359=""),"",COUNTIFS('LEADS'!$S$5:$S$504,1,'LEADS'!$L$5:$L$504,"&lt;"&amp;L359)+COUNTIFS($S$5:S359,1,$L$5:L359,L359))</f>
        <v/>
      </c>
    </row>
    <row r="360">
      <c r="A360" s="46" t="inlineStr">
        <is>
          <t>L-0356</t>
        </is>
      </c>
      <c r="B360" s="47" t="n"/>
      <c r="C360" s="38" t="n"/>
      <c r="D360" s="38" t="n"/>
      <c r="E360" s="38" t="n"/>
      <c r="F360" s="38" t="n"/>
      <c r="G360" s="38" t="n"/>
      <c r="H360" s="38" t="n"/>
      <c r="I360" s="48" t="n"/>
      <c r="J360" s="38" t="n"/>
      <c r="K360" s="47" t="n"/>
      <c r="L360" s="47" t="n"/>
      <c r="M360" s="38" t="n"/>
      <c r="N360" s="38" t="n"/>
      <c r="O360" s="49">
        <f>IF(C360="","",IF(OR(J360="Booked",J360="Recurring Client"),"Booked",IF(J360="Lost/Declined","Lost","Open")))</f>
        <v/>
      </c>
      <c r="P360" s="49">
        <f>IF(C360="","",IF(S360=0,"—",IF(L360="","Set date",IF(L360&lt;AsOf,"Overdue",IF(L360=AsOf,"Due today",IF(L360&lt;=AsOf+SoonDays,"Due soon","Scheduled"))))))</f>
        <v/>
      </c>
      <c r="Q360" s="50">
        <f>IF(C360="","",IF(B360="","",AsOf-B360))</f>
        <v/>
      </c>
      <c r="R360" s="49">
        <f>IF(C360="","",IF(O360&lt;&gt;"Booked","",IF(COUNTIF('CUSTOMERS'!$B$5:$B$404,C360)&gt;0,"✓ In CUSTOMERS","Add to CUSTOMERS")))</f>
        <v/>
      </c>
      <c r="S360" s="49">
        <f>IF(C360="","",IF(OR(J360="Booked",J360="Recurring Client",J360="Lost/Declined"),0,1))</f>
        <v/>
      </c>
      <c r="T360" s="51">
        <f>IF(B360="","",DATE(YEAR(B360),MONTH(B360),1))</f>
        <v/>
      </c>
      <c r="U360" s="49">
        <f>IF(OR(S360&lt;&gt;1,L360=""),"",COUNTIFS('LEADS'!$S$5:$S$504,1,'LEADS'!$L$5:$L$504,"&lt;"&amp;L360)+COUNTIFS($S$5:S360,1,$L$5:L360,L360))</f>
        <v/>
      </c>
    </row>
    <row r="361">
      <c r="A361" s="46" t="inlineStr">
        <is>
          <t>L-0357</t>
        </is>
      </c>
      <c r="B361" s="47" t="n"/>
      <c r="C361" s="38" t="n"/>
      <c r="D361" s="38" t="n"/>
      <c r="E361" s="38" t="n"/>
      <c r="F361" s="38" t="n"/>
      <c r="G361" s="38" t="n"/>
      <c r="H361" s="38" t="n"/>
      <c r="I361" s="48" t="n"/>
      <c r="J361" s="38" t="n"/>
      <c r="K361" s="47" t="n"/>
      <c r="L361" s="47" t="n"/>
      <c r="M361" s="38" t="n"/>
      <c r="N361" s="38" t="n"/>
      <c r="O361" s="49">
        <f>IF(C361="","",IF(OR(J361="Booked",J361="Recurring Client"),"Booked",IF(J361="Lost/Declined","Lost","Open")))</f>
        <v/>
      </c>
      <c r="P361" s="49">
        <f>IF(C361="","",IF(S361=0,"—",IF(L361="","Set date",IF(L361&lt;AsOf,"Overdue",IF(L361=AsOf,"Due today",IF(L361&lt;=AsOf+SoonDays,"Due soon","Scheduled"))))))</f>
        <v/>
      </c>
      <c r="Q361" s="50">
        <f>IF(C361="","",IF(B361="","",AsOf-B361))</f>
        <v/>
      </c>
      <c r="R361" s="49">
        <f>IF(C361="","",IF(O361&lt;&gt;"Booked","",IF(COUNTIF('CUSTOMERS'!$B$5:$B$404,C361)&gt;0,"✓ In CUSTOMERS","Add to CUSTOMERS")))</f>
        <v/>
      </c>
      <c r="S361" s="49">
        <f>IF(C361="","",IF(OR(J361="Booked",J361="Recurring Client",J361="Lost/Declined"),0,1))</f>
        <v/>
      </c>
      <c r="T361" s="51">
        <f>IF(B361="","",DATE(YEAR(B361),MONTH(B361),1))</f>
        <v/>
      </c>
      <c r="U361" s="49">
        <f>IF(OR(S361&lt;&gt;1,L361=""),"",COUNTIFS('LEADS'!$S$5:$S$504,1,'LEADS'!$L$5:$L$504,"&lt;"&amp;L361)+COUNTIFS($S$5:S361,1,$L$5:L361,L361))</f>
        <v/>
      </c>
    </row>
    <row r="362">
      <c r="A362" s="46" t="inlineStr">
        <is>
          <t>L-0358</t>
        </is>
      </c>
      <c r="B362" s="47" t="n"/>
      <c r="C362" s="38" t="n"/>
      <c r="D362" s="38" t="n"/>
      <c r="E362" s="38" t="n"/>
      <c r="F362" s="38" t="n"/>
      <c r="G362" s="38" t="n"/>
      <c r="H362" s="38" t="n"/>
      <c r="I362" s="48" t="n"/>
      <c r="J362" s="38" t="n"/>
      <c r="K362" s="47" t="n"/>
      <c r="L362" s="47" t="n"/>
      <c r="M362" s="38" t="n"/>
      <c r="N362" s="38" t="n"/>
      <c r="O362" s="49">
        <f>IF(C362="","",IF(OR(J362="Booked",J362="Recurring Client"),"Booked",IF(J362="Lost/Declined","Lost","Open")))</f>
        <v/>
      </c>
      <c r="P362" s="49">
        <f>IF(C362="","",IF(S362=0,"—",IF(L362="","Set date",IF(L362&lt;AsOf,"Overdue",IF(L362=AsOf,"Due today",IF(L362&lt;=AsOf+SoonDays,"Due soon","Scheduled"))))))</f>
        <v/>
      </c>
      <c r="Q362" s="50">
        <f>IF(C362="","",IF(B362="","",AsOf-B362))</f>
        <v/>
      </c>
      <c r="R362" s="49">
        <f>IF(C362="","",IF(O362&lt;&gt;"Booked","",IF(COUNTIF('CUSTOMERS'!$B$5:$B$404,C362)&gt;0,"✓ In CUSTOMERS","Add to CUSTOMERS")))</f>
        <v/>
      </c>
      <c r="S362" s="49">
        <f>IF(C362="","",IF(OR(J362="Booked",J362="Recurring Client",J362="Lost/Declined"),0,1))</f>
        <v/>
      </c>
      <c r="T362" s="51">
        <f>IF(B362="","",DATE(YEAR(B362),MONTH(B362),1))</f>
        <v/>
      </c>
      <c r="U362" s="49">
        <f>IF(OR(S362&lt;&gt;1,L362=""),"",COUNTIFS('LEADS'!$S$5:$S$504,1,'LEADS'!$L$5:$L$504,"&lt;"&amp;L362)+COUNTIFS($S$5:S362,1,$L$5:L362,L362))</f>
        <v/>
      </c>
    </row>
    <row r="363">
      <c r="A363" s="46" t="inlineStr">
        <is>
          <t>L-0359</t>
        </is>
      </c>
      <c r="B363" s="47" t="n"/>
      <c r="C363" s="38" t="n"/>
      <c r="D363" s="38" t="n"/>
      <c r="E363" s="38" t="n"/>
      <c r="F363" s="38" t="n"/>
      <c r="G363" s="38" t="n"/>
      <c r="H363" s="38" t="n"/>
      <c r="I363" s="48" t="n"/>
      <c r="J363" s="38" t="n"/>
      <c r="K363" s="47" t="n"/>
      <c r="L363" s="47" t="n"/>
      <c r="M363" s="38" t="n"/>
      <c r="N363" s="38" t="n"/>
      <c r="O363" s="49">
        <f>IF(C363="","",IF(OR(J363="Booked",J363="Recurring Client"),"Booked",IF(J363="Lost/Declined","Lost","Open")))</f>
        <v/>
      </c>
      <c r="P363" s="49">
        <f>IF(C363="","",IF(S363=0,"—",IF(L363="","Set date",IF(L363&lt;AsOf,"Overdue",IF(L363=AsOf,"Due today",IF(L363&lt;=AsOf+SoonDays,"Due soon","Scheduled"))))))</f>
        <v/>
      </c>
      <c r="Q363" s="50">
        <f>IF(C363="","",IF(B363="","",AsOf-B363))</f>
        <v/>
      </c>
      <c r="R363" s="49">
        <f>IF(C363="","",IF(O363&lt;&gt;"Booked","",IF(COUNTIF('CUSTOMERS'!$B$5:$B$404,C363)&gt;0,"✓ In CUSTOMERS","Add to CUSTOMERS")))</f>
        <v/>
      </c>
      <c r="S363" s="49">
        <f>IF(C363="","",IF(OR(J363="Booked",J363="Recurring Client",J363="Lost/Declined"),0,1))</f>
        <v/>
      </c>
      <c r="T363" s="51">
        <f>IF(B363="","",DATE(YEAR(B363),MONTH(B363),1))</f>
        <v/>
      </c>
      <c r="U363" s="49">
        <f>IF(OR(S363&lt;&gt;1,L363=""),"",COUNTIFS('LEADS'!$S$5:$S$504,1,'LEADS'!$L$5:$L$504,"&lt;"&amp;L363)+COUNTIFS($S$5:S363,1,$L$5:L363,L363))</f>
        <v/>
      </c>
    </row>
    <row r="364">
      <c r="A364" s="46" t="inlineStr">
        <is>
          <t>L-0360</t>
        </is>
      </c>
      <c r="B364" s="47" t="n"/>
      <c r="C364" s="38" t="n"/>
      <c r="D364" s="38" t="n"/>
      <c r="E364" s="38" t="n"/>
      <c r="F364" s="38" t="n"/>
      <c r="G364" s="38" t="n"/>
      <c r="H364" s="38" t="n"/>
      <c r="I364" s="48" t="n"/>
      <c r="J364" s="38" t="n"/>
      <c r="K364" s="47" t="n"/>
      <c r="L364" s="47" t="n"/>
      <c r="M364" s="38" t="n"/>
      <c r="N364" s="38" t="n"/>
      <c r="O364" s="49">
        <f>IF(C364="","",IF(OR(J364="Booked",J364="Recurring Client"),"Booked",IF(J364="Lost/Declined","Lost","Open")))</f>
        <v/>
      </c>
      <c r="P364" s="49">
        <f>IF(C364="","",IF(S364=0,"—",IF(L364="","Set date",IF(L364&lt;AsOf,"Overdue",IF(L364=AsOf,"Due today",IF(L364&lt;=AsOf+SoonDays,"Due soon","Scheduled"))))))</f>
        <v/>
      </c>
      <c r="Q364" s="50">
        <f>IF(C364="","",IF(B364="","",AsOf-B364))</f>
        <v/>
      </c>
      <c r="R364" s="49">
        <f>IF(C364="","",IF(O364&lt;&gt;"Booked","",IF(COUNTIF('CUSTOMERS'!$B$5:$B$404,C364)&gt;0,"✓ In CUSTOMERS","Add to CUSTOMERS")))</f>
        <v/>
      </c>
      <c r="S364" s="49">
        <f>IF(C364="","",IF(OR(J364="Booked",J364="Recurring Client",J364="Lost/Declined"),0,1))</f>
        <v/>
      </c>
      <c r="T364" s="51">
        <f>IF(B364="","",DATE(YEAR(B364),MONTH(B364),1))</f>
        <v/>
      </c>
      <c r="U364" s="49">
        <f>IF(OR(S364&lt;&gt;1,L364=""),"",COUNTIFS('LEADS'!$S$5:$S$504,1,'LEADS'!$L$5:$L$504,"&lt;"&amp;L364)+COUNTIFS($S$5:S364,1,$L$5:L364,L364))</f>
        <v/>
      </c>
    </row>
    <row r="365">
      <c r="A365" s="46" t="inlineStr">
        <is>
          <t>L-0361</t>
        </is>
      </c>
      <c r="B365" s="47" t="n"/>
      <c r="C365" s="38" t="n"/>
      <c r="D365" s="38" t="n"/>
      <c r="E365" s="38" t="n"/>
      <c r="F365" s="38" t="n"/>
      <c r="G365" s="38" t="n"/>
      <c r="H365" s="38" t="n"/>
      <c r="I365" s="48" t="n"/>
      <c r="J365" s="38" t="n"/>
      <c r="K365" s="47" t="n"/>
      <c r="L365" s="47" t="n"/>
      <c r="M365" s="38" t="n"/>
      <c r="N365" s="38" t="n"/>
      <c r="O365" s="49">
        <f>IF(C365="","",IF(OR(J365="Booked",J365="Recurring Client"),"Booked",IF(J365="Lost/Declined","Lost","Open")))</f>
        <v/>
      </c>
      <c r="P365" s="49">
        <f>IF(C365="","",IF(S365=0,"—",IF(L365="","Set date",IF(L365&lt;AsOf,"Overdue",IF(L365=AsOf,"Due today",IF(L365&lt;=AsOf+SoonDays,"Due soon","Scheduled"))))))</f>
        <v/>
      </c>
      <c r="Q365" s="50">
        <f>IF(C365="","",IF(B365="","",AsOf-B365))</f>
        <v/>
      </c>
      <c r="R365" s="49">
        <f>IF(C365="","",IF(O365&lt;&gt;"Booked","",IF(COUNTIF('CUSTOMERS'!$B$5:$B$404,C365)&gt;0,"✓ In CUSTOMERS","Add to CUSTOMERS")))</f>
        <v/>
      </c>
      <c r="S365" s="49">
        <f>IF(C365="","",IF(OR(J365="Booked",J365="Recurring Client",J365="Lost/Declined"),0,1))</f>
        <v/>
      </c>
      <c r="T365" s="51">
        <f>IF(B365="","",DATE(YEAR(B365),MONTH(B365),1))</f>
        <v/>
      </c>
      <c r="U365" s="49">
        <f>IF(OR(S365&lt;&gt;1,L365=""),"",COUNTIFS('LEADS'!$S$5:$S$504,1,'LEADS'!$L$5:$L$504,"&lt;"&amp;L365)+COUNTIFS($S$5:S365,1,$L$5:L365,L365))</f>
        <v/>
      </c>
    </row>
    <row r="366">
      <c r="A366" s="46" t="inlineStr">
        <is>
          <t>L-0362</t>
        </is>
      </c>
      <c r="B366" s="47" t="n"/>
      <c r="C366" s="38" t="n"/>
      <c r="D366" s="38" t="n"/>
      <c r="E366" s="38" t="n"/>
      <c r="F366" s="38" t="n"/>
      <c r="G366" s="38" t="n"/>
      <c r="H366" s="38" t="n"/>
      <c r="I366" s="48" t="n"/>
      <c r="J366" s="38" t="n"/>
      <c r="K366" s="47" t="n"/>
      <c r="L366" s="47" t="n"/>
      <c r="M366" s="38" t="n"/>
      <c r="N366" s="38" t="n"/>
      <c r="O366" s="49">
        <f>IF(C366="","",IF(OR(J366="Booked",J366="Recurring Client"),"Booked",IF(J366="Lost/Declined","Lost","Open")))</f>
        <v/>
      </c>
      <c r="P366" s="49">
        <f>IF(C366="","",IF(S366=0,"—",IF(L366="","Set date",IF(L366&lt;AsOf,"Overdue",IF(L366=AsOf,"Due today",IF(L366&lt;=AsOf+SoonDays,"Due soon","Scheduled"))))))</f>
        <v/>
      </c>
      <c r="Q366" s="50">
        <f>IF(C366="","",IF(B366="","",AsOf-B366))</f>
        <v/>
      </c>
      <c r="R366" s="49">
        <f>IF(C366="","",IF(O366&lt;&gt;"Booked","",IF(COUNTIF('CUSTOMERS'!$B$5:$B$404,C366)&gt;0,"✓ In CUSTOMERS","Add to CUSTOMERS")))</f>
        <v/>
      </c>
      <c r="S366" s="49">
        <f>IF(C366="","",IF(OR(J366="Booked",J366="Recurring Client",J366="Lost/Declined"),0,1))</f>
        <v/>
      </c>
      <c r="T366" s="51">
        <f>IF(B366="","",DATE(YEAR(B366),MONTH(B366),1))</f>
        <v/>
      </c>
      <c r="U366" s="49">
        <f>IF(OR(S366&lt;&gt;1,L366=""),"",COUNTIFS('LEADS'!$S$5:$S$504,1,'LEADS'!$L$5:$L$504,"&lt;"&amp;L366)+COUNTIFS($S$5:S366,1,$L$5:L366,L366))</f>
        <v/>
      </c>
    </row>
    <row r="367">
      <c r="A367" s="46" t="inlineStr">
        <is>
          <t>L-0363</t>
        </is>
      </c>
      <c r="B367" s="47" t="n"/>
      <c r="C367" s="38" t="n"/>
      <c r="D367" s="38" t="n"/>
      <c r="E367" s="38" t="n"/>
      <c r="F367" s="38" t="n"/>
      <c r="G367" s="38" t="n"/>
      <c r="H367" s="38" t="n"/>
      <c r="I367" s="48" t="n"/>
      <c r="J367" s="38" t="n"/>
      <c r="K367" s="47" t="n"/>
      <c r="L367" s="47" t="n"/>
      <c r="M367" s="38" t="n"/>
      <c r="N367" s="38" t="n"/>
      <c r="O367" s="49">
        <f>IF(C367="","",IF(OR(J367="Booked",J367="Recurring Client"),"Booked",IF(J367="Lost/Declined","Lost","Open")))</f>
        <v/>
      </c>
      <c r="P367" s="49">
        <f>IF(C367="","",IF(S367=0,"—",IF(L367="","Set date",IF(L367&lt;AsOf,"Overdue",IF(L367=AsOf,"Due today",IF(L367&lt;=AsOf+SoonDays,"Due soon","Scheduled"))))))</f>
        <v/>
      </c>
      <c r="Q367" s="50">
        <f>IF(C367="","",IF(B367="","",AsOf-B367))</f>
        <v/>
      </c>
      <c r="R367" s="49">
        <f>IF(C367="","",IF(O367&lt;&gt;"Booked","",IF(COUNTIF('CUSTOMERS'!$B$5:$B$404,C367)&gt;0,"✓ In CUSTOMERS","Add to CUSTOMERS")))</f>
        <v/>
      </c>
      <c r="S367" s="49">
        <f>IF(C367="","",IF(OR(J367="Booked",J367="Recurring Client",J367="Lost/Declined"),0,1))</f>
        <v/>
      </c>
      <c r="T367" s="51">
        <f>IF(B367="","",DATE(YEAR(B367),MONTH(B367),1))</f>
        <v/>
      </c>
      <c r="U367" s="49">
        <f>IF(OR(S367&lt;&gt;1,L367=""),"",COUNTIFS('LEADS'!$S$5:$S$504,1,'LEADS'!$L$5:$L$504,"&lt;"&amp;L367)+COUNTIFS($S$5:S367,1,$L$5:L367,L367))</f>
        <v/>
      </c>
    </row>
    <row r="368">
      <c r="A368" s="46" t="inlineStr">
        <is>
          <t>L-0364</t>
        </is>
      </c>
      <c r="B368" s="47" t="n"/>
      <c r="C368" s="38" t="n"/>
      <c r="D368" s="38" t="n"/>
      <c r="E368" s="38" t="n"/>
      <c r="F368" s="38" t="n"/>
      <c r="G368" s="38" t="n"/>
      <c r="H368" s="38" t="n"/>
      <c r="I368" s="48" t="n"/>
      <c r="J368" s="38" t="n"/>
      <c r="K368" s="47" t="n"/>
      <c r="L368" s="47" t="n"/>
      <c r="M368" s="38" t="n"/>
      <c r="N368" s="38" t="n"/>
      <c r="O368" s="49">
        <f>IF(C368="","",IF(OR(J368="Booked",J368="Recurring Client"),"Booked",IF(J368="Lost/Declined","Lost","Open")))</f>
        <v/>
      </c>
      <c r="P368" s="49">
        <f>IF(C368="","",IF(S368=0,"—",IF(L368="","Set date",IF(L368&lt;AsOf,"Overdue",IF(L368=AsOf,"Due today",IF(L368&lt;=AsOf+SoonDays,"Due soon","Scheduled"))))))</f>
        <v/>
      </c>
      <c r="Q368" s="50">
        <f>IF(C368="","",IF(B368="","",AsOf-B368))</f>
        <v/>
      </c>
      <c r="R368" s="49">
        <f>IF(C368="","",IF(O368&lt;&gt;"Booked","",IF(COUNTIF('CUSTOMERS'!$B$5:$B$404,C368)&gt;0,"✓ In CUSTOMERS","Add to CUSTOMERS")))</f>
        <v/>
      </c>
      <c r="S368" s="49">
        <f>IF(C368="","",IF(OR(J368="Booked",J368="Recurring Client",J368="Lost/Declined"),0,1))</f>
        <v/>
      </c>
      <c r="T368" s="51">
        <f>IF(B368="","",DATE(YEAR(B368),MONTH(B368),1))</f>
        <v/>
      </c>
      <c r="U368" s="49">
        <f>IF(OR(S368&lt;&gt;1,L368=""),"",COUNTIFS('LEADS'!$S$5:$S$504,1,'LEADS'!$L$5:$L$504,"&lt;"&amp;L368)+COUNTIFS($S$5:S368,1,$L$5:L368,L368))</f>
        <v/>
      </c>
    </row>
    <row r="369">
      <c r="A369" s="46" t="inlineStr">
        <is>
          <t>L-0365</t>
        </is>
      </c>
      <c r="B369" s="47" t="n"/>
      <c r="C369" s="38" t="n"/>
      <c r="D369" s="38" t="n"/>
      <c r="E369" s="38" t="n"/>
      <c r="F369" s="38" t="n"/>
      <c r="G369" s="38" t="n"/>
      <c r="H369" s="38" t="n"/>
      <c r="I369" s="48" t="n"/>
      <c r="J369" s="38" t="n"/>
      <c r="K369" s="47" t="n"/>
      <c r="L369" s="47" t="n"/>
      <c r="M369" s="38" t="n"/>
      <c r="N369" s="38" t="n"/>
      <c r="O369" s="49">
        <f>IF(C369="","",IF(OR(J369="Booked",J369="Recurring Client"),"Booked",IF(J369="Lost/Declined","Lost","Open")))</f>
        <v/>
      </c>
      <c r="P369" s="49">
        <f>IF(C369="","",IF(S369=0,"—",IF(L369="","Set date",IF(L369&lt;AsOf,"Overdue",IF(L369=AsOf,"Due today",IF(L369&lt;=AsOf+SoonDays,"Due soon","Scheduled"))))))</f>
        <v/>
      </c>
      <c r="Q369" s="50">
        <f>IF(C369="","",IF(B369="","",AsOf-B369))</f>
        <v/>
      </c>
      <c r="R369" s="49">
        <f>IF(C369="","",IF(O369&lt;&gt;"Booked","",IF(COUNTIF('CUSTOMERS'!$B$5:$B$404,C369)&gt;0,"✓ In CUSTOMERS","Add to CUSTOMERS")))</f>
        <v/>
      </c>
      <c r="S369" s="49">
        <f>IF(C369="","",IF(OR(J369="Booked",J369="Recurring Client",J369="Lost/Declined"),0,1))</f>
        <v/>
      </c>
      <c r="T369" s="51">
        <f>IF(B369="","",DATE(YEAR(B369),MONTH(B369),1))</f>
        <v/>
      </c>
      <c r="U369" s="49">
        <f>IF(OR(S369&lt;&gt;1,L369=""),"",COUNTIFS('LEADS'!$S$5:$S$504,1,'LEADS'!$L$5:$L$504,"&lt;"&amp;L369)+COUNTIFS($S$5:S369,1,$L$5:L369,L369))</f>
        <v/>
      </c>
    </row>
    <row r="370">
      <c r="A370" s="46" t="inlineStr">
        <is>
          <t>L-0366</t>
        </is>
      </c>
      <c r="B370" s="47" t="n"/>
      <c r="C370" s="38" t="n"/>
      <c r="D370" s="38" t="n"/>
      <c r="E370" s="38" t="n"/>
      <c r="F370" s="38" t="n"/>
      <c r="G370" s="38" t="n"/>
      <c r="H370" s="38" t="n"/>
      <c r="I370" s="48" t="n"/>
      <c r="J370" s="38" t="n"/>
      <c r="K370" s="47" t="n"/>
      <c r="L370" s="47" t="n"/>
      <c r="M370" s="38" t="n"/>
      <c r="N370" s="38" t="n"/>
      <c r="O370" s="49">
        <f>IF(C370="","",IF(OR(J370="Booked",J370="Recurring Client"),"Booked",IF(J370="Lost/Declined","Lost","Open")))</f>
        <v/>
      </c>
      <c r="P370" s="49">
        <f>IF(C370="","",IF(S370=0,"—",IF(L370="","Set date",IF(L370&lt;AsOf,"Overdue",IF(L370=AsOf,"Due today",IF(L370&lt;=AsOf+SoonDays,"Due soon","Scheduled"))))))</f>
        <v/>
      </c>
      <c r="Q370" s="50">
        <f>IF(C370="","",IF(B370="","",AsOf-B370))</f>
        <v/>
      </c>
      <c r="R370" s="49">
        <f>IF(C370="","",IF(O370&lt;&gt;"Booked","",IF(COUNTIF('CUSTOMERS'!$B$5:$B$404,C370)&gt;0,"✓ In CUSTOMERS","Add to CUSTOMERS")))</f>
        <v/>
      </c>
      <c r="S370" s="49">
        <f>IF(C370="","",IF(OR(J370="Booked",J370="Recurring Client",J370="Lost/Declined"),0,1))</f>
        <v/>
      </c>
      <c r="T370" s="51">
        <f>IF(B370="","",DATE(YEAR(B370),MONTH(B370),1))</f>
        <v/>
      </c>
      <c r="U370" s="49">
        <f>IF(OR(S370&lt;&gt;1,L370=""),"",COUNTIFS('LEADS'!$S$5:$S$504,1,'LEADS'!$L$5:$L$504,"&lt;"&amp;L370)+COUNTIFS($S$5:S370,1,$L$5:L370,L370))</f>
        <v/>
      </c>
    </row>
    <row r="371">
      <c r="A371" s="46" t="inlineStr">
        <is>
          <t>L-0367</t>
        </is>
      </c>
      <c r="B371" s="47" t="n"/>
      <c r="C371" s="38" t="n"/>
      <c r="D371" s="38" t="n"/>
      <c r="E371" s="38" t="n"/>
      <c r="F371" s="38" t="n"/>
      <c r="G371" s="38" t="n"/>
      <c r="H371" s="38" t="n"/>
      <c r="I371" s="48" t="n"/>
      <c r="J371" s="38" t="n"/>
      <c r="K371" s="47" t="n"/>
      <c r="L371" s="47" t="n"/>
      <c r="M371" s="38" t="n"/>
      <c r="N371" s="38" t="n"/>
      <c r="O371" s="49">
        <f>IF(C371="","",IF(OR(J371="Booked",J371="Recurring Client"),"Booked",IF(J371="Lost/Declined","Lost","Open")))</f>
        <v/>
      </c>
      <c r="P371" s="49">
        <f>IF(C371="","",IF(S371=0,"—",IF(L371="","Set date",IF(L371&lt;AsOf,"Overdue",IF(L371=AsOf,"Due today",IF(L371&lt;=AsOf+SoonDays,"Due soon","Scheduled"))))))</f>
        <v/>
      </c>
      <c r="Q371" s="50">
        <f>IF(C371="","",IF(B371="","",AsOf-B371))</f>
        <v/>
      </c>
      <c r="R371" s="49">
        <f>IF(C371="","",IF(O371&lt;&gt;"Booked","",IF(COUNTIF('CUSTOMERS'!$B$5:$B$404,C371)&gt;0,"✓ In CUSTOMERS","Add to CUSTOMERS")))</f>
        <v/>
      </c>
      <c r="S371" s="49">
        <f>IF(C371="","",IF(OR(J371="Booked",J371="Recurring Client",J371="Lost/Declined"),0,1))</f>
        <v/>
      </c>
      <c r="T371" s="51">
        <f>IF(B371="","",DATE(YEAR(B371),MONTH(B371),1))</f>
        <v/>
      </c>
      <c r="U371" s="49">
        <f>IF(OR(S371&lt;&gt;1,L371=""),"",COUNTIFS('LEADS'!$S$5:$S$504,1,'LEADS'!$L$5:$L$504,"&lt;"&amp;L371)+COUNTIFS($S$5:S371,1,$L$5:L371,L371))</f>
        <v/>
      </c>
    </row>
    <row r="372">
      <c r="A372" s="46" t="inlineStr">
        <is>
          <t>L-0368</t>
        </is>
      </c>
      <c r="B372" s="47" t="n"/>
      <c r="C372" s="38" t="n"/>
      <c r="D372" s="38" t="n"/>
      <c r="E372" s="38" t="n"/>
      <c r="F372" s="38" t="n"/>
      <c r="G372" s="38" t="n"/>
      <c r="H372" s="38" t="n"/>
      <c r="I372" s="48" t="n"/>
      <c r="J372" s="38" t="n"/>
      <c r="K372" s="47" t="n"/>
      <c r="L372" s="47" t="n"/>
      <c r="M372" s="38" t="n"/>
      <c r="N372" s="38" t="n"/>
      <c r="O372" s="49">
        <f>IF(C372="","",IF(OR(J372="Booked",J372="Recurring Client"),"Booked",IF(J372="Lost/Declined","Lost","Open")))</f>
        <v/>
      </c>
      <c r="P372" s="49">
        <f>IF(C372="","",IF(S372=0,"—",IF(L372="","Set date",IF(L372&lt;AsOf,"Overdue",IF(L372=AsOf,"Due today",IF(L372&lt;=AsOf+SoonDays,"Due soon","Scheduled"))))))</f>
        <v/>
      </c>
      <c r="Q372" s="50">
        <f>IF(C372="","",IF(B372="","",AsOf-B372))</f>
        <v/>
      </c>
      <c r="R372" s="49">
        <f>IF(C372="","",IF(O372&lt;&gt;"Booked","",IF(COUNTIF('CUSTOMERS'!$B$5:$B$404,C372)&gt;0,"✓ In CUSTOMERS","Add to CUSTOMERS")))</f>
        <v/>
      </c>
      <c r="S372" s="49">
        <f>IF(C372="","",IF(OR(J372="Booked",J372="Recurring Client",J372="Lost/Declined"),0,1))</f>
        <v/>
      </c>
      <c r="T372" s="51">
        <f>IF(B372="","",DATE(YEAR(B372),MONTH(B372),1))</f>
        <v/>
      </c>
      <c r="U372" s="49">
        <f>IF(OR(S372&lt;&gt;1,L372=""),"",COUNTIFS('LEADS'!$S$5:$S$504,1,'LEADS'!$L$5:$L$504,"&lt;"&amp;L372)+COUNTIFS($S$5:S372,1,$L$5:L372,L372))</f>
        <v/>
      </c>
    </row>
    <row r="373">
      <c r="A373" s="46" t="inlineStr">
        <is>
          <t>L-0369</t>
        </is>
      </c>
      <c r="B373" s="47" t="n"/>
      <c r="C373" s="38" t="n"/>
      <c r="D373" s="38" t="n"/>
      <c r="E373" s="38" t="n"/>
      <c r="F373" s="38" t="n"/>
      <c r="G373" s="38" t="n"/>
      <c r="H373" s="38" t="n"/>
      <c r="I373" s="48" t="n"/>
      <c r="J373" s="38" t="n"/>
      <c r="K373" s="47" t="n"/>
      <c r="L373" s="47" t="n"/>
      <c r="M373" s="38" t="n"/>
      <c r="N373" s="38" t="n"/>
      <c r="O373" s="49">
        <f>IF(C373="","",IF(OR(J373="Booked",J373="Recurring Client"),"Booked",IF(J373="Lost/Declined","Lost","Open")))</f>
        <v/>
      </c>
      <c r="P373" s="49">
        <f>IF(C373="","",IF(S373=0,"—",IF(L373="","Set date",IF(L373&lt;AsOf,"Overdue",IF(L373=AsOf,"Due today",IF(L373&lt;=AsOf+SoonDays,"Due soon","Scheduled"))))))</f>
        <v/>
      </c>
      <c r="Q373" s="50">
        <f>IF(C373="","",IF(B373="","",AsOf-B373))</f>
        <v/>
      </c>
      <c r="R373" s="49">
        <f>IF(C373="","",IF(O373&lt;&gt;"Booked","",IF(COUNTIF('CUSTOMERS'!$B$5:$B$404,C373)&gt;0,"✓ In CUSTOMERS","Add to CUSTOMERS")))</f>
        <v/>
      </c>
      <c r="S373" s="49">
        <f>IF(C373="","",IF(OR(J373="Booked",J373="Recurring Client",J373="Lost/Declined"),0,1))</f>
        <v/>
      </c>
      <c r="T373" s="51">
        <f>IF(B373="","",DATE(YEAR(B373),MONTH(B373),1))</f>
        <v/>
      </c>
      <c r="U373" s="49">
        <f>IF(OR(S373&lt;&gt;1,L373=""),"",COUNTIFS('LEADS'!$S$5:$S$504,1,'LEADS'!$L$5:$L$504,"&lt;"&amp;L373)+COUNTIFS($S$5:S373,1,$L$5:L373,L373))</f>
        <v/>
      </c>
    </row>
    <row r="374">
      <c r="A374" s="46" t="inlineStr">
        <is>
          <t>L-0370</t>
        </is>
      </c>
      <c r="B374" s="47" t="n"/>
      <c r="C374" s="38" t="n"/>
      <c r="D374" s="38" t="n"/>
      <c r="E374" s="38" t="n"/>
      <c r="F374" s="38" t="n"/>
      <c r="G374" s="38" t="n"/>
      <c r="H374" s="38" t="n"/>
      <c r="I374" s="48" t="n"/>
      <c r="J374" s="38" t="n"/>
      <c r="K374" s="47" t="n"/>
      <c r="L374" s="47" t="n"/>
      <c r="M374" s="38" t="n"/>
      <c r="N374" s="38" t="n"/>
      <c r="O374" s="49">
        <f>IF(C374="","",IF(OR(J374="Booked",J374="Recurring Client"),"Booked",IF(J374="Lost/Declined","Lost","Open")))</f>
        <v/>
      </c>
      <c r="P374" s="49">
        <f>IF(C374="","",IF(S374=0,"—",IF(L374="","Set date",IF(L374&lt;AsOf,"Overdue",IF(L374=AsOf,"Due today",IF(L374&lt;=AsOf+SoonDays,"Due soon","Scheduled"))))))</f>
        <v/>
      </c>
      <c r="Q374" s="50">
        <f>IF(C374="","",IF(B374="","",AsOf-B374))</f>
        <v/>
      </c>
      <c r="R374" s="49">
        <f>IF(C374="","",IF(O374&lt;&gt;"Booked","",IF(COUNTIF('CUSTOMERS'!$B$5:$B$404,C374)&gt;0,"✓ In CUSTOMERS","Add to CUSTOMERS")))</f>
        <v/>
      </c>
      <c r="S374" s="49">
        <f>IF(C374="","",IF(OR(J374="Booked",J374="Recurring Client",J374="Lost/Declined"),0,1))</f>
        <v/>
      </c>
      <c r="T374" s="51">
        <f>IF(B374="","",DATE(YEAR(B374),MONTH(B374),1))</f>
        <v/>
      </c>
      <c r="U374" s="49">
        <f>IF(OR(S374&lt;&gt;1,L374=""),"",COUNTIFS('LEADS'!$S$5:$S$504,1,'LEADS'!$L$5:$L$504,"&lt;"&amp;L374)+COUNTIFS($S$5:S374,1,$L$5:L374,L374))</f>
        <v/>
      </c>
    </row>
    <row r="375">
      <c r="A375" s="46" t="inlineStr">
        <is>
          <t>L-0371</t>
        </is>
      </c>
      <c r="B375" s="47" t="n"/>
      <c r="C375" s="38" t="n"/>
      <c r="D375" s="38" t="n"/>
      <c r="E375" s="38" t="n"/>
      <c r="F375" s="38" t="n"/>
      <c r="G375" s="38" t="n"/>
      <c r="H375" s="38" t="n"/>
      <c r="I375" s="48" t="n"/>
      <c r="J375" s="38" t="n"/>
      <c r="K375" s="47" t="n"/>
      <c r="L375" s="47" t="n"/>
      <c r="M375" s="38" t="n"/>
      <c r="N375" s="38" t="n"/>
      <c r="O375" s="49">
        <f>IF(C375="","",IF(OR(J375="Booked",J375="Recurring Client"),"Booked",IF(J375="Lost/Declined","Lost","Open")))</f>
        <v/>
      </c>
      <c r="P375" s="49">
        <f>IF(C375="","",IF(S375=0,"—",IF(L375="","Set date",IF(L375&lt;AsOf,"Overdue",IF(L375=AsOf,"Due today",IF(L375&lt;=AsOf+SoonDays,"Due soon","Scheduled"))))))</f>
        <v/>
      </c>
      <c r="Q375" s="50">
        <f>IF(C375="","",IF(B375="","",AsOf-B375))</f>
        <v/>
      </c>
      <c r="R375" s="49">
        <f>IF(C375="","",IF(O375&lt;&gt;"Booked","",IF(COUNTIF('CUSTOMERS'!$B$5:$B$404,C375)&gt;0,"✓ In CUSTOMERS","Add to CUSTOMERS")))</f>
        <v/>
      </c>
      <c r="S375" s="49">
        <f>IF(C375="","",IF(OR(J375="Booked",J375="Recurring Client",J375="Lost/Declined"),0,1))</f>
        <v/>
      </c>
      <c r="T375" s="51">
        <f>IF(B375="","",DATE(YEAR(B375),MONTH(B375),1))</f>
        <v/>
      </c>
      <c r="U375" s="49">
        <f>IF(OR(S375&lt;&gt;1,L375=""),"",COUNTIFS('LEADS'!$S$5:$S$504,1,'LEADS'!$L$5:$L$504,"&lt;"&amp;L375)+COUNTIFS($S$5:S375,1,$L$5:L375,L375))</f>
        <v/>
      </c>
    </row>
    <row r="376">
      <c r="A376" s="46" t="inlineStr">
        <is>
          <t>L-0372</t>
        </is>
      </c>
      <c r="B376" s="47" t="n"/>
      <c r="C376" s="38" t="n"/>
      <c r="D376" s="38" t="n"/>
      <c r="E376" s="38" t="n"/>
      <c r="F376" s="38" t="n"/>
      <c r="G376" s="38" t="n"/>
      <c r="H376" s="38" t="n"/>
      <c r="I376" s="48" t="n"/>
      <c r="J376" s="38" t="n"/>
      <c r="K376" s="47" t="n"/>
      <c r="L376" s="47" t="n"/>
      <c r="M376" s="38" t="n"/>
      <c r="N376" s="38" t="n"/>
      <c r="O376" s="49">
        <f>IF(C376="","",IF(OR(J376="Booked",J376="Recurring Client"),"Booked",IF(J376="Lost/Declined","Lost","Open")))</f>
        <v/>
      </c>
      <c r="P376" s="49">
        <f>IF(C376="","",IF(S376=0,"—",IF(L376="","Set date",IF(L376&lt;AsOf,"Overdue",IF(L376=AsOf,"Due today",IF(L376&lt;=AsOf+SoonDays,"Due soon","Scheduled"))))))</f>
        <v/>
      </c>
      <c r="Q376" s="50">
        <f>IF(C376="","",IF(B376="","",AsOf-B376))</f>
        <v/>
      </c>
      <c r="R376" s="49">
        <f>IF(C376="","",IF(O376&lt;&gt;"Booked","",IF(COUNTIF('CUSTOMERS'!$B$5:$B$404,C376)&gt;0,"✓ In CUSTOMERS","Add to CUSTOMERS")))</f>
        <v/>
      </c>
      <c r="S376" s="49">
        <f>IF(C376="","",IF(OR(J376="Booked",J376="Recurring Client",J376="Lost/Declined"),0,1))</f>
        <v/>
      </c>
      <c r="T376" s="51">
        <f>IF(B376="","",DATE(YEAR(B376),MONTH(B376),1))</f>
        <v/>
      </c>
      <c r="U376" s="49">
        <f>IF(OR(S376&lt;&gt;1,L376=""),"",COUNTIFS('LEADS'!$S$5:$S$504,1,'LEADS'!$L$5:$L$504,"&lt;"&amp;L376)+COUNTIFS($S$5:S376,1,$L$5:L376,L376))</f>
        <v/>
      </c>
    </row>
    <row r="377">
      <c r="A377" s="46" t="inlineStr">
        <is>
          <t>L-0373</t>
        </is>
      </c>
      <c r="B377" s="47" t="n"/>
      <c r="C377" s="38" t="n"/>
      <c r="D377" s="38" t="n"/>
      <c r="E377" s="38" t="n"/>
      <c r="F377" s="38" t="n"/>
      <c r="G377" s="38" t="n"/>
      <c r="H377" s="38" t="n"/>
      <c r="I377" s="48" t="n"/>
      <c r="J377" s="38" t="n"/>
      <c r="K377" s="47" t="n"/>
      <c r="L377" s="47" t="n"/>
      <c r="M377" s="38" t="n"/>
      <c r="N377" s="38" t="n"/>
      <c r="O377" s="49">
        <f>IF(C377="","",IF(OR(J377="Booked",J377="Recurring Client"),"Booked",IF(J377="Lost/Declined","Lost","Open")))</f>
        <v/>
      </c>
      <c r="P377" s="49">
        <f>IF(C377="","",IF(S377=0,"—",IF(L377="","Set date",IF(L377&lt;AsOf,"Overdue",IF(L377=AsOf,"Due today",IF(L377&lt;=AsOf+SoonDays,"Due soon","Scheduled"))))))</f>
        <v/>
      </c>
      <c r="Q377" s="50">
        <f>IF(C377="","",IF(B377="","",AsOf-B377))</f>
        <v/>
      </c>
      <c r="R377" s="49">
        <f>IF(C377="","",IF(O377&lt;&gt;"Booked","",IF(COUNTIF('CUSTOMERS'!$B$5:$B$404,C377)&gt;0,"✓ In CUSTOMERS","Add to CUSTOMERS")))</f>
        <v/>
      </c>
      <c r="S377" s="49">
        <f>IF(C377="","",IF(OR(J377="Booked",J377="Recurring Client",J377="Lost/Declined"),0,1))</f>
        <v/>
      </c>
      <c r="T377" s="51">
        <f>IF(B377="","",DATE(YEAR(B377),MONTH(B377),1))</f>
        <v/>
      </c>
      <c r="U377" s="49">
        <f>IF(OR(S377&lt;&gt;1,L377=""),"",COUNTIFS('LEADS'!$S$5:$S$504,1,'LEADS'!$L$5:$L$504,"&lt;"&amp;L377)+COUNTIFS($S$5:S377,1,$L$5:L377,L377))</f>
        <v/>
      </c>
    </row>
    <row r="378">
      <c r="A378" s="46" t="inlineStr">
        <is>
          <t>L-0374</t>
        </is>
      </c>
      <c r="B378" s="47" t="n"/>
      <c r="C378" s="38" t="n"/>
      <c r="D378" s="38" t="n"/>
      <c r="E378" s="38" t="n"/>
      <c r="F378" s="38" t="n"/>
      <c r="G378" s="38" t="n"/>
      <c r="H378" s="38" t="n"/>
      <c r="I378" s="48" t="n"/>
      <c r="J378" s="38" t="n"/>
      <c r="K378" s="47" t="n"/>
      <c r="L378" s="47" t="n"/>
      <c r="M378" s="38" t="n"/>
      <c r="N378" s="38" t="n"/>
      <c r="O378" s="49">
        <f>IF(C378="","",IF(OR(J378="Booked",J378="Recurring Client"),"Booked",IF(J378="Lost/Declined","Lost","Open")))</f>
        <v/>
      </c>
      <c r="P378" s="49">
        <f>IF(C378="","",IF(S378=0,"—",IF(L378="","Set date",IF(L378&lt;AsOf,"Overdue",IF(L378=AsOf,"Due today",IF(L378&lt;=AsOf+SoonDays,"Due soon","Scheduled"))))))</f>
        <v/>
      </c>
      <c r="Q378" s="50">
        <f>IF(C378="","",IF(B378="","",AsOf-B378))</f>
        <v/>
      </c>
      <c r="R378" s="49">
        <f>IF(C378="","",IF(O378&lt;&gt;"Booked","",IF(COUNTIF('CUSTOMERS'!$B$5:$B$404,C378)&gt;0,"✓ In CUSTOMERS","Add to CUSTOMERS")))</f>
        <v/>
      </c>
      <c r="S378" s="49">
        <f>IF(C378="","",IF(OR(J378="Booked",J378="Recurring Client",J378="Lost/Declined"),0,1))</f>
        <v/>
      </c>
      <c r="T378" s="51">
        <f>IF(B378="","",DATE(YEAR(B378),MONTH(B378),1))</f>
        <v/>
      </c>
      <c r="U378" s="49">
        <f>IF(OR(S378&lt;&gt;1,L378=""),"",COUNTIFS('LEADS'!$S$5:$S$504,1,'LEADS'!$L$5:$L$504,"&lt;"&amp;L378)+COUNTIFS($S$5:S378,1,$L$5:L378,L378))</f>
        <v/>
      </c>
    </row>
    <row r="379">
      <c r="A379" s="46" t="inlineStr">
        <is>
          <t>L-0375</t>
        </is>
      </c>
      <c r="B379" s="47" t="n"/>
      <c r="C379" s="38" t="n"/>
      <c r="D379" s="38" t="n"/>
      <c r="E379" s="38" t="n"/>
      <c r="F379" s="38" t="n"/>
      <c r="G379" s="38" t="n"/>
      <c r="H379" s="38" t="n"/>
      <c r="I379" s="48" t="n"/>
      <c r="J379" s="38" t="n"/>
      <c r="K379" s="47" t="n"/>
      <c r="L379" s="47" t="n"/>
      <c r="M379" s="38" t="n"/>
      <c r="N379" s="38" t="n"/>
      <c r="O379" s="49">
        <f>IF(C379="","",IF(OR(J379="Booked",J379="Recurring Client"),"Booked",IF(J379="Lost/Declined","Lost","Open")))</f>
        <v/>
      </c>
      <c r="P379" s="49">
        <f>IF(C379="","",IF(S379=0,"—",IF(L379="","Set date",IF(L379&lt;AsOf,"Overdue",IF(L379=AsOf,"Due today",IF(L379&lt;=AsOf+SoonDays,"Due soon","Scheduled"))))))</f>
        <v/>
      </c>
      <c r="Q379" s="50">
        <f>IF(C379="","",IF(B379="","",AsOf-B379))</f>
        <v/>
      </c>
      <c r="R379" s="49">
        <f>IF(C379="","",IF(O379&lt;&gt;"Booked","",IF(COUNTIF('CUSTOMERS'!$B$5:$B$404,C379)&gt;0,"✓ In CUSTOMERS","Add to CUSTOMERS")))</f>
        <v/>
      </c>
      <c r="S379" s="49">
        <f>IF(C379="","",IF(OR(J379="Booked",J379="Recurring Client",J379="Lost/Declined"),0,1))</f>
        <v/>
      </c>
      <c r="T379" s="51">
        <f>IF(B379="","",DATE(YEAR(B379),MONTH(B379),1))</f>
        <v/>
      </c>
      <c r="U379" s="49">
        <f>IF(OR(S379&lt;&gt;1,L379=""),"",COUNTIFS('LEADS'!$S$5:$S$504,1,'LEADS'!$L$5:$L$504,"&lt;"&amp;L379)+COUNTIFS($S$5:S379,1,$L$5:L379,L379))</f>
        <v/>
      </c>
    </row>
    <row r="380">
      <c r="A380" s="46" t="inlineStr">
        <is>
          <t>L-0376</t>
        </is>
      </c>
      <c r="B380" s="47" t="n"/>
      <c r="C380" s="38" t="n"/>
      <c r="D380" s="38" t="n"/>
      <c r="E380" s="38" t="n"/>
      <c r="F380" s="38" t="n"/>
      <c r="G380" s="38" t="n"/>
      <c r="H380" s="38" t="n"/>
      <c r="I380" s="48" t="n"/>
      <c r="J380" s="38" t="n"/>
      <c r="K380" s="47" t="n"/>
      <c r="L380" s="47" t="n"/>
      <c r="M380" s="38" t="n"/>
      <c r="N380" s="38" t="n"/>
      <c r="O380" s="49">
        <f>IF(C380="","",IF(OR(J380="Booked",J380="Recurring Client"),"Booked",IF(J380="Lost/Declined","Lost","Open")))</f>
        <v/>
      </c>
      <c r="P380" s="49">
        <f>IF(C380="","",IF(S380=0,"—",IF(L380="","Set date",IF(L380&lt;AsOf,"Overdue",IF(L380=AsOf,"Due today",IF(L380&lt;=AsOf+SoonDays,"Due soon","Scheduled"))))))</f>
        <v/>
      </c>
      <c r="Q380" s="50">
        <f>IF(C380="","",IF(B380="","",AsOf-B380))</f>
        <v/>
      </c>
      <c r="R380" s="49">
        <f>IF(C380="","",IF(O380&lt;&gt;"Booked","",IF(COUNTIF('CUSTOMERS'!$B$5:$B$404,C380)&gt;0,"✓ In CUSTOMERS","Add to CUSTOMERS")))</f>
        <v/>
      </c>
      <c r="S380" s="49">
        <f>IF(C380="","",IF(OR(J380="Booked",J380="Recurring Client",J380="Lost/Declined"),0,1))</f>
        <v/>
      </c>
      <c r="T380" s="51">
        <f>IF(B380="","",DATE(YEAR(B380),MONTH(B380),1))</f>
        <v/>
      </c>
      <c r="U380" s="49">
        <f>IF(OR(S380&lt;&gt;1,L380=""),"",COUNTIFS('LEADS'!$S$5:$S$504,1,'LEADS'!$L$5:$L$504,"&lt;"&amp;L380)+COUNTIFS($S$5:S380,1,$L$5:L380,L380))</f>
        <v/>
      </c>
    </row>
    <row r="381">
      <c r="A381" s="46" t="inlineStr">
        <is>
          <t>L-0377</t>
        </is>
      </c>
      <c r="B381" s="47" t="n"/>
      <c r="C381" s="38" t="n"/>
      <c r="D381" s="38" t="n"/>
      <c r="E381" s="38" t="n"/>
      <c r="F381" s="38" t="n"/>
      <c r="G381" s="38" t="n"/>
      <c r="H381" s="38" t="n"/>
      <c r="I381" s="48" t="n"/>
      <c r="J381" s="38" t="n"/>
      <c r="K381" s="47" t="n"/>
      <c r="L381" s="47" t="n"/>
      <c r="M381" s="38" t="n"/>
      <c r="N381" s="38" t="n"/>
      <c r="O381" s="49">
        <f>IF(C381="","",IF(OR(J381="Booked",J381="Recurring Client"),"Booked",IF(J381="Lost/Declined","Lost","Open")))</f>
        <v/>
      </c>
      <c r="P381" s="49">
        <f>IF(C381="","",IF(S381=0,"—",IF(L381="","Set date",IF(L381&lt;AsOf,"Overdue",IF(L381=AsOf,"Due today",IF(L381&lt;=AsOf+SoonDays,"Due soon","Scheduled"))))))</f>
        <v/>
      </c>
      <c r="Q381" s="50">
        <f>IF(C381="","",IF(B381="","",AsOf-B381))</f>
        <v/>
      </c>
      <c r="R381" s="49">
        <f>IF(C381="","",IF(O381&lt;&gt;"Booked","",IF(COUNTIF('CUSTOMERS'!$B$5:$B$404,C381)&gt;0,"✓ In CUSTOMERS","Add to CUSTOMERS")))</f>
        <v/>
      </c>
      <c r="S381" s="49">
        <f>IF(C381="","",IF(OR(J381="Booked",J381="Recurring Client",J381="Lost/Declined"),0,1))</f>
        <v/>
      </c>
      <c r="T381" s="51">
        <f>IF(B381="","",DATE(YEAR(B381),MONTH(B381),1))</f>
        <v/>
      </c>
      <c r="U381" s="49">
        <f>IF(OR(S381&lt;&gt;1,L381=""),"",COUNTIFS('LEADS'!$S$5:$S$504,1,'LEADS'!$L$5:$L$504,"&lt;"&amp;L381)+COUNTIFS($S$5:S381,1,$L$5:L381,L381))</f>
        <v/>
      </c>
    </row>
    <row r="382">
      <c r="A382" s="46" t="inlineStr">
        <is>
          <t>L-0378</t>
        </is>
      </c>
      <c r="B382" s="47" t="n"/>
      <c r="C382" s="38" t="n"/>
      <c r="D382" s="38" t="n"/>
      <c r="E382" s="38" t="n"/>
      <c r="F382" s="38" t="n"/>
      <c r="G382" s="38" t="n"/>
      <c r="H382" s="38" t="n"/>
      <c r="I382" s="48" t="n"/>
      <c r="J382" s="38" t="n"/>
      <c r="K382" s="47" t="n"/>
      <c r="L382" s="47" t="n"/>
      <c r="M382" s="38" t="n"/>
      <c r="N382" s="38" t="n"/>
      <c r="O382" s="49">
        <f>IF(C382="","",IF(OR(J382="Booked",J382="Recurring Client"),"Booked",IF(J382="Lost/Declined","Lost","Open")))</f>
        <v/>
      </c>
      <c r="P382" s="49">
        <f>IF(C382="","",IF(S382=0,"—",IF(L382="","Set date",IF(L382&lt;AsOf,"Overdue",IF(L382=AsOf,"Due today",IF(L382&lt;=AsOf+SoonDays,"Due soon","Scheduled"))))))</f>
        <v/>
      </c>
      <c r="Q382" s="50">
        <f>IF(C382="","",IF(B382="","",AsOf-B382))</f>
        <v/>
      </c>
      <c r="R382" s="49">
        <f>IF(C382="","",IF(O382&lt;&gt;"Booked","",IF(COUNTIF('CUSTOMERS'!$B$5:$B$404,C382)&gt;0,"✓ In CUSTOMERS","Add to CUSTOMERS")))</f>
        <v/>
      </c>
      <c r="S382" s="49">
        <f>IF(C382="","",IF(OR(J382="Booked",J382="Recurring Client",J382="Lost/Declined"),0,1))</f>
        <v/>
      </c>
      <c r="T382" s="51">
        <f>IF(B382="","",DATE(YEAR(B382),MONTH(B382),1))</f>
        <v/>
      </c>
      <c r="U382" s="49">
        <f>IF(OR(S382&lt;&gt;1,L382=""),"",COUNTIFS('LEADS'!$S$5:$S$504,1,'LEADS'!$L$5:$L$504,"&lt;"&amp;L382)+COUNTIFS($S$5:S382,1,$L$5:L382,L382))</f>
        <v/>
      </c>
    </row>
    <row r="383">
      <c r="A383" s="46" t="inlineStr">
        <is>
          <t>L-0379</t>
        </is>
      </c>
      <c r="B383" s="47" t="n"/>
      <c r="C383" s="38" t="n"/>
      <c r="D383" s="38" t="n"/>
      <c r="E383" s="38" t="n"/>
      <c r="F383" s="38" t="n"/>
      <c r="G383" s="38" t="n"/>
      <c r="H383" s="38" t="n"/>
      <c r="I383" s="48" t="n"/>
      <c r="J383" s="38" t="n"/>
      <c r="K383" s="47" t="n"/>
      <c r="L383" s="47" t="n"/>
      <c r="M383" s="38" t="n"/>
      <c r="N383" s="38" t="n"/>
      <c r="O383" s="49">
        <f>IF(C383="","",IF(OR(J383="Booked",J383="Recurring Client"),"Booked",IF(J383="Lost/Declined","Lost","Open")))</f>
        <v/>
      </c>
      <c r="P383" s="49">
        <f>IF(C383="","",IF(S383=0,"—",IF(L383="","Set date",IF(L383&lt;AsOf,"Overdue",IF(L383=AsOf,"Due today",IF(L383&lt;=AsOf+SoonDays,"Due soon","Scheduled"))))))</f>
        <v/>
      </c>
      <c r="Q383" s="50">
        <f>IF(C383="","",IF(B383="","",AsOf-B383))</f>
        <v/>
      </c>
      <c r="R383" s="49">
        <f>IF(C383="","",IF(O383&lt;&gt;"Booked","",IF(COUNTIF('CUSTOMERS'!$B$5:$B$404,C383)&gt;0,"✓ In CUSTOMERS","Add to CUSTOMERS")))</f>
        <v/>
      </c>
      <c r="S383" s="49">
        <f>IF(C383="","",IF(OR(J383="Booked",J383="Recurring Client",J383="Lost/Declined"),0,1))</f>
        <v/>
      </c>
      <c r="T383" s="51">
        <f>IF(B383="","",DATE(YEAR(B383),MONTH(B383),1))</f>
        <v/>
      </c>
      <c r="U383" s="49">
        <f>IF(OR(S383&lt;&gt;1,L383=""),"",COUNTIFS('LEADS'!$S$5:$S$504,1,'LEADS'!$L$5:$L$504,"&lt;"&amp;L383)+COUNTIFS($S$5:S383,1,$L$5:L383,L383))</f>
        <v/>
      </c>
    </row>
    <row r="384">
      <c r="A384" s="46" t="inlineStr">
        <is>
          <t>L-0380</t>
        </is>
      </c>
      <c r="B384" s="47" t="n"/>
      <c r="C384" s="38" t="n"/>
      <c r="D384" s="38" t="n"/>
      <c r="E384" s="38" t="n"/>
      <c r="F384" s="38" t="n"/>
      <c r="G384" s="38" t="n"/>
      <c r="H384" s="38" t="n"/>
      <c r="I384" s="48" t="n"/>
      <c r="J384" s="38" t="n"/>
      <c r="K384" s="47" t="n"/>
      <c r="L384" s="47" t="n"/>
      <c r="M384" s="38" t="n"/>
      <c r="N384" s="38" t="n"/>
      <c r="O384" s="49">
        <f>IF(C384="","",IF(OR(J384="Booked",J384="Recurring Client"),"Booked",IF(J384="Lost/Declined","Lost","Open")))</f>
        <v/>
      </c>
      <c r="P384" s="49">
        <f>IF(C384="","",IF(S384=0,"—",IF(L384="","Set date",IF(L384&lt;AsOf,"Overdue",IF(L384=AsOf,"Due today",IF(L384&lt;=AsOf+SoonDays,"Due soon","Scheduled"))))))</f>
        <v/>
      </c>
      <c r="Q384" s="50">
        <f>IF(C384="","",IF(B384="","",AsOf-B384))</f>
        <v/>
      </c>
      <c r="R384" s="49">
        <f>IF(C384="","",IF(O384&lt;&gt;"Booked","",IF(COUNTIF('CUSTOMERS'!$B$5:$B$404,C384)&gt;0,"✓ In CUSTOMERS","Add to CUSTOMERS")))</f>
        <v/>
      </c>
      <c r="S384" s="49">
        <f>IF(C384="","",IF(OR(J384="Booked",J384="Recurring Client",J384="Lost/Declined"),0,1))</f>
        <v/>
      </c>
      <c r="T384" s="51">
        <f>IF(B384="","",DATE(YEAR(B384),MONTH(B384),1))</f>
        <v/>
      </c>
      <c r="U384" s="49">
        <f>IF(OR(S384&lt;&gt;1,L384=""),"",COUNTIFS('LEADS'!$S$5:$S$504,1,'LEADS'!$L$5:$L$504,"&lt;"&amp;L384)+COUNTIFS($S$5:S384,1,$L$5:L384,L384))</f>
        <v/>
      </c>
    </row>
    <row r="385">
      <c r="A385" s="46" t="inlineStr">
        <is>
          <t>L-0381</t>
        </is>
      </c>
      <c r="B385" s="47" t="n"/>
      <c r="C385" s="38" t="n"/>
      <c r="D385" s="38" t="n"/>
      <c r="E385" s="38" t="n"/>
      <c r="F385" s="38" t="n"/>
      <c r="G385" s="38" t="n"/>
      <c r="H385" s="38" t="n"/>
      <c r="I385" s="48" t="n"/>
      <c r="J385" s="38" t="n"/>
      <c r="K385" s="47" t="n"/>
      <c r="L385" s="47" t="n"/>
      <c r="M385" s="38" t="n"/>
      <c r="N385" s="38" t="n"/>
      <c r="O385" s="49">
        <f>IF(C385="","",IF(OR(J385="Booked",J385="Recurring Client"),"Booked",IF(J385="Lost/Declined","Lost","Open")))</f>
        <v/>
      </c>
      <c r="P385" s="49">
        <f>IF(C385="","",IF(S385=0,"—",IF(L385="","Set date",IF(L385&lt;AsOf,"Overdue",IF(L385=AsOf,"Due today",IF(L385&lt;=AsOf+SoonDays,"Due soon","Scheduled"))))))</f>
        <v/>
      </c>
      <c r="Q385" s="50">
        <f>IF(C385="","",IF(B385="","",AsOf-B385))</f>
        <v/>
      </c>
      <c r="R385" s="49">
        <f>IF(C385="","",IF(O385&lt;&gt;"Booked","",IF(COUNTIF('CUSTOMERS'!$B$5:$B$404,C385)&gt;0,"✓ In CUSTOMERS","Add to CUSTOMERS")))</f>
        <v/>
      </c>
      <c r="S385" s="49">
        <f>IF(C385="","",IF(OR(J385="Booked",J385="Recurring Client",J385="Lost/Declined"),0,1))</f>
        <v/>
      </c>
      <c r="T385" s="51">
        <f>IF(B385="","",DATE(YEAR(B385),MONTH(B385),1))</f>
        <v/>
      </c>
      <c r="U385" s="49">
        <f>IF(OR(S385&lt;&gt;1,L385=""),"",COUNTIFS('LEADS'!$S$5:$S$504,1,'LEADS'!$L$5:$L$504,"&lt;"&amp;L385)+COUNTIFS($S$5:S385,1,$L$5:L385,L385))</f>
        <v/>
      </c>
    </row>
    <row r="386">
      <c r="A386" s="46" t="inlineStr">
        <is>
          <t>L-0382</t>
        </is>
      </c>
      <c r="B386" s="47" t="n"/>
      <c r="C386" s="38" t="n"/>
      <c r="D386" s="38" t="n"/>
      <c r="E386" s="38" t="n"/>
      <c r="F386" s="38" t="n"/>
      <c r="G386" s="38" t="n"/>
      <c r="H386" s="38" t="n"/>
      <c r="I386" s="48" t="n"/>
      <c r="J386" s="38" t="n"/>
      <c r="K386" s="47" t="n"/>
      <c r="L386" s="47" t="n"/>
      <c r="M386" s="38" t="n"/>
      <c r="N386" s="38" t="n"/>
      <c r="O386" s="49">
        <f>IF(C386="","",IF(OR(J386="Booked",J386="Recurring Client"),"Booked",IF(J386="Lost/Declined","Lost","Open")))</f>
        <v/>
      </c>
      <c r="P386" s="49">
        <f>IF(C386="","",IF(S386=0,"—",IF(L386="","Set date",IF(L386&lt;AsOf,"Overdue",IF(L386=AsOf,"Due today",IF(L386&lt;=AsOf+SoonDays,"Due soon","Scheduled"))))))</f>
        <v/>
      </c>
      <c r="Q386" s="50">
        <f>IF(C386="","",IF(B386="","",AsOf-B386))</f>
        <v/>
      </c>
      <c r="R386" s="49">
        <f>IF(C386="","",IF(O386&lt;&gt;"Booked","",IF(COUNTIF('CUSTOMERS'!$B$5:$B$404,C386)&gt;0,"✓ In CUSTOMERS","Add to CUSTOMERS")))</f>
        <v/>
      </c>
      <c r="S386" s="49">
        <f>IF(C386="","",IF(OR(J386="Booked",J386="Recurring Client",J386="Lost/Declined"),0,1))</f>
        <v/>
      </c>
      <c r="T386" s="51">
        <f>IF(B386="","",DATE(YEAR(B386),MONTH(B386),1))</f>
        <v/>
      </c>
      <c r="U386" s="49">
        <f>IF(OR(S386&lt;&gt;1,L386=""),"",COUNTIFS('LEADS'!$S$5:$S$504,1,'LEADS'!$L$5:$L$504,"&lt;"&amp;L386)+COUNTIFS($S$5:S386,1,$L$5:L386,L386))</f>
        <v/>
      </c>
    </row>
    <row r="387">
      <c r="A387" s="46" t="inlineStr">
        <is>
          <t>L-0383</t>
        </is>
      </c>
      <c r="B387" s="47" t="n"/>
      <c r="C387" s="38" t="n"/>
      <c r="D387" s="38" t="n"/>
      <c r="E387" s="38" t="n"/>
      <c r="F387" s="38" t="n"/>
      <c r="G387" s="38" t="n"/>
      <c r="H387" s="38" t="n"/>
      <c r="I387" s="48" t="n"/>
      <c r="J387" s="38" t="n"/>
      <c r="K387" s="47" t="n"/>
      <c r="L387" s="47" t="n"/>
      <c r="M387" s="38" t="n"/>
      <c r="N387" s="38" t="n"/>
      <c r="O387" s="49">
        <f>IF(C387="","",IF(OR(J387="Booked",J387="Recurring Client"),"Booked",IF(J387="Lost/Declined","Lost","Open")))</f>
        <v/>
      </c>
      <c r="P387" s="49">
        <f>IF(C387="","",IF(S387=0,"—",IF(L387="","Set date",IF(L387&lt;AsOf,"Overdue",IF(L387=AsOf,"Due today",IF(L387&lt;=AsOf+SoonDays,"Due soon","Scheduled"))))))</f>
        <v/>
      </c>
      <c r="Q387" s="50">
        <f>IF(C387="","",IF(B387="","",AsOf-B387))</f>
        <v/>
      </c>
      <c r="R387" s="49">
        <f>IF(C387="","",IF(O387&lt;&gt;"Booked","",IF(COUNTIF('CUSTOMERS'!$B$5:$B$404,C387)&gt;0,"✓ In CUSTOMERS","Add to CUSTOMERS")))</f>
        <v/>
      </c>
      <c r="S387" s="49">
        <f>IF(C387="","",IF(OR(J387="Booked",J387="Recurring Client",J387="Lost/Declined"),0,1))</f>
        <v/>
      </c>
      <c r="T387" s="51">
        <f>IF(B387="","",DATE(YEAR(B387),MONTH(B387),1))</f>
        <v/>
      </c>
      <c r="U387" s="49">
        <f>IF(OR(S387&lt;&gt;1,L387=""),"",COUNTIFS('LEADS'!$S$5:$S$504,1,'LEADS'!$L$5:$L$504,"&lt;"&amp;L387)+COUNTIFS($S$5:S387,1,$L$5:L387,L387))</f>
        <v/>
      </c>
    </row>
    <row r="388">
      <c r="A388" s="46" t="inlineStr">
        <is>
          <t>L-0384</t>
        </is>
      </c>
      <c r="B388" s="47" t="n"/>
      <c r="C388" s="38" t="n"/>
      <c r="D388" s="38" t="n"/>
      <c r="E388" s="38" t="n"/>
      <c r="F388" s="38" t="n"/>
      <c r="G388" s="38" t="n"/>
      <c r="H388" s="38" t="n"/>
      <c r="I388" s="48" t="n"/>
      <c r="J388" s="38" t="n"/>
      <c r="K388" s="47" t="n"/>
      <c r="L388" s="47" t="n"/>
      <c r="M388" s="38" t="n"/>
      <c r="N388" s="38" t="n"/>
      <c r="O388" s="49">
        <f>IF(C388="","",IF(OR(J388="Booked",J388="Recurring Client"),"Booked",IF(J388="Lost/Declined","Lost","Open")))</f>
        <v/>
      </c>
      <c r="P388" s="49">
        <f>IF(C388="","",IF(S388=0,"—",IF(L388="","Set date",IF(L388&lt;AsOf,"Overdue",IF(L388=AsOf,"Due today",IF(L388&lt;=AsOf+SoonDays,"Due soon","Scheduled"))))))</f>
        <v/>
      </c>
      <c r="Q388" s="50">
        <f>IF(C388="","",IF(B388="","",AsOf-B388))</f>
        <v/>
      </c>
      <c r="R388" s="49">
        <f>IF(C388="","",IF(O388&lt;&gt;"Booked","",IF(COUNTIF('CUSTOMERS'!$B$5:$B$404,C388)&gt;0,"✓ In CUSTOMERS","Add to CUSTOMERS")))</f>
        <v/>
      </c>
      <c r="S388" s="49">
        <f>IF(C388="","",IF(OR(J388="Booked",J388="Recurring Client",J388="Lost/Declined"),0,1))</f>
        <v/>
      </c>
      <c r="T388" s="51">
        <f>IF(B388="","",DATE(YEAR(B388),MONTH(B388),1))</f>
        <v/>
      </c>
      <c r="U388" s="49">
        <f>IF(OR(S388&lt;&gt;1,L388=""),"",COUNTIFS('LEADS'!$S$5:$S$504,1,'LEADS'!$L$5:$L$504,"&lt;"&amp;L388)+COUNTIFS($S$5:S388,1,$L$5:L388,L388))</f>
        <v/>
      </c>
    </row>
    <row r="389">
      <c r="A389" s="46" t="inlineStr">
        <is>
          <t>L-0385</t>
        </is>
      </c>
      <c r="B389" s="47" t="n"/>
      <c r="C389" s="38" t="n"/>
      <c r="D389" s="38" t="n"/>
      <c r="E389" s="38" t="n"/>
      <c r="F389" s="38" t="n"/>
      <c r="G389" s="38" t="n"/>
      <c r="H389" s="38" t="n"/>
      <c r="I389" s="48" t="n"/>
      <c r="J389" s="38" t="n"/>
      <c r="K389" s="47" t="n"/>
      <c r="L389" s="47" t="n"/>
      <c r="M389" s="38" t="n"/>
      <c r="N389" s="38" t="n"/>
      <c r="O389" s="49">
        <f>IF(C389="","",IF(OR(J389="Booked",J389="Recurring Client"),"Booked",IF(J389="Lost/Declined","Lost","Open")))</f>
        <v/>
      </c>
      <c r="P389" s="49">
        <f>IF(C389="","",IF(S389=0,"—",IF(L389="","Set date",IF(L389&lt;AsOf,"Overdue",IF(L389=AsOf,"Due today",IF(L389&lt;=AsOf+SoonDays,"Due soon","Scheduled"))))))</f>
        <v/>
      </c>
      <c r="Q389" s="50">
        <f>IF(C389="","",IF(B389="","",AsOf-B389))</f>
        <v/>
      </c>
      <c r="R389" s="49">
        <f>IF(C389="","",IF(O389&lt;&gt;"Booked","",IF(COUNTIF('CUSTOMERS'!$B$5:$B$404,C389)&gt;0,"✓ In CUSTOMERS","Add to CUSTOMERS")))</f>
        <v/>
      </c>
      <c r="S389" s="49">
        <f>IF(C389="","",IF(OR(J389="Booked",J389="Recurring Client",J389="Lost/Declined"),0,1))</f>
        <v/>
      </c>
      <c r="T389" s="51">
        <f>IF(B389="","",DATE(YEAR(B389),MONTH(B389),1))</f>
        <v/>
      </c>
      <c r="U389" s="49">
        <f>IF(OR(S389&lt;&gt;1,L389=""),"",COUNTIFS('LEADS'!$S$5:$S$504,1,'LEADS'!$L$5:$L$504,"&lt;"&amp;L389)+COUNTIFS($S$5:S389,1,$L$5:L389,L389))</f>
        <v/>
      </c>
    </row>
    <row r="390">
      <c r="A390" s="46" t="inlineStr">
        <is>
          <t>L-0386</t>
        </is>
      </c>
      <c r="B390" s="47" t="n"/>
      <c r="C390" s="38" t="n"/>
      <c r="D390" s="38" t="n"/>
      <c r="E390" s="38" t="n"/>
      <c r="F390" s="38" t="n"/>
      <c r="G390" s="38" t="n"/>
      <c r="H390" s="38" t="n"/>
      <c r="I390" s="48" t="n"/>
      <c r="J390" s="38" t="n"/>
      <c r="K390" s="47" t="n"/>
      <c r="L390" s="47" t="n"/>
      <c r="M390" s="38" t="n"/>
      <c r="N390" s="38" t="n"/>
      <c r="O390" s="49">
        <f>IF(C390="","",IF(OR(J390="Booked",J390="Recurring Client"),"Booked",IF(J390="Lost/Declined","Lost","Open")))</f>
        <v/>
      </c>
      <c r="P390" s="49">
        <f>IF(C390="","",IF(S390=0,"—",IF(L390="","Set date",IF(L390&lt;AsOf,"Overdue",IF(L390=AsOf,"Due today",IF(L390&lt;=AsOf+SoonDays,"Due soon","Scheduled"))))))</f>
        <v/>
      </c>
      <c r="Q390" s="50">
        <f>IF(C390="","",IF(B390="","",AsOf-B390))</f>
        <v/>
      </c>
      <c r="R390" s="49">
        <f>IF(C390="","",IF(O390&lt;&gt;"Booked","",IF(COUNTIF('CUSTOMERS'!$B$5:$B$404,C390)&gt;0,"✓ In CUSTOMERS","Add to CUSTOMERS")))</f>
        <v/>
      </c>
      <c r="S390" s="49">
        <f>IF(C390="","",IF(OR(J390="Booked",J390="Recurring Client",J390="Lost/Declined"),0,1))</f>
        <v/>
      </c>
      <c r="T390" s="51">
        <f>IF(B390="","",DATE(YEAR(B390),MONTH(B390),1))</f>
        <v/>
      </c>
      <c r="U390" s="49">
        <f>IF(OR(S390&lt;&gt;1,L390=""),"",COUNTIFS('LEADS'!$S$5:$S$504,1,'LEADS'!$L$5:$L$504,"&lt;"&amp;L390)+COUNTIFS($S$5:S390,1,$L$5:L390,L390))</f>
        <v/>
      </c>
    </row>
    <row r="391">
      <c r="A391" s="46" t="inlineStr">
        <is>
          <t>L-0387</t>
        </is>
      </c>
      <c r="B391" s="47" t="n"/>
      <c r="C391" s="38" t="n"/>
      <c r="D391" s="38" t="n"/>
      <c r="E391" s="38" t="n"/>
      <c r="F391" s="38" t="n"/>
      <c r="G391" s="38" t="n"/>
      <c r="H391" s="38" t="n"/>
      <c r="I391" s="48" t="n"/>
      <c r="J391" s="38" t="n"/>
      <c r="K391" s="47" t="n"/>
      <c r="L391" s="47" t="n"/>
      <c r="M391" s="38" t="n"/>
      <c r="N391" s="38" t="n"/>
      <c r="O391" s="49">
        <f>IF(C391="","",IF(OR(J391="Booked",J391="Recurring Client"),"Booked",IF(J391="Lost/Declined","Lost","Open")))</f>
        <v/>
      </c>
      <c r="P391" s="49">
        <f>IF(C391="","",IF(S391=0,"—",IF(L391="","Set date",IF(L391&lt;AsOf,"Overdue",IF(L391=AsOf,"Due today",IF(L391&lt;=AsOf+SoonDays,"Due soon","Scheduled"))))))</f>
        <v/>
      </c>
      <c r="Q391" s="50">
        <f>IF(C391="","",IF(B391="","",AsOf-B391))</f>
        <v/>
      </c>
      <c r="R391" s="49">
        <f>IF(C391="","",IF(O391&lt;&gt;"Booked","",IF(COUNTIF('CUSTOMERS'!$B$5:$B$404,C391)&gt;0,"✓ In CUSTOMERS","Add to CUSTOMERS")))</f>
        <v/>
      </c>
      <c r="S391" s="49">
        <f>IF(C391="","",IF(OR(J391="Booked",J391="Recurring Client",J391="Lost/Declined"),0,1))</f>
        <v/>
      </c>
      <c r="T391" s="51">
        <f>IF(B391="","",DATE(YEAR(B391),MONTH(B391),1))</f>
        <v/>
      </c>
      <c r="U391" s="49">
        <f>IF(OR(S391&lt;&gt;1,L391=""),"",COUNTIFS('LEADS'!$S$5:$S$504,1,'LEADS'!$L$5:$L$504,"&lt;"&amp;L391)+COUNTIFS($S$5:S391,1,$L$5:L391,L391))</f>
        <v/>
      </c>
    </row>
    <row r="392">
      <c r="A392" s="46" t="inlineStr">
        <is>
          <t>L-0388</t>
        </is>
      </c>
      <c r="B392" s="47" t="n"/>
      <c r="C392" s="38" t="n"/>
      <c r="D392" s="38" t="n"/>
      <c r="E392" s="38" t="n"/>
      <c r="F392" s="38" t="n"/>
      <c r="G392" s="38" t="n"/>
      <c r="H392" s="38" t="n"/>
      <c r="I392" s="48" t="n"/>
      <c r="J392" s="38" t="n"/>
      <c r="K392" s="47" t="n"/>
      <c r="L392" s="47" t="n"/>
      <c r="M392" s="38" t="n"/>
      <c r="N392" s="38" t="n"/>
      <c r="O392" s="49">
        <f>IF(C392="","",IF(OR(J392="Booked",J392="Recurring Client"),"Booked",IF(J392="Lost/Declined","Lost","Open")))</f>
        <v/>
      </c>
      <c r="P392" s="49">
        <f>IF(C392="","",IF(S392=0,"—",IF(L392="","Set date",IF(L392&lt;AsOf,"Overdue",IF(L392=AsOf,"Due today",IF(L392&lt;=AsOf+SoonDays,"Due soon","Scheduled"))))))</f>
        <v/>
      </c>
      <c r="Q392" s="50">
        <f>IF(C392="","",IF(B392="","",AsOf-B392))</f>
        <v/>
      </c>
      <c r="R392" s="49">
        <f>IF(C392="","",IF(O392&lt;&gt;"Booked","",IF(COUNTIF('CUSTOMERS'!$B$5:$B$404,C392)&gt;0,"✓ In CUSTOMERS","Add to CUSTOMERS")))</f>
        <v/>
      </c>
      <c r="S392" s="49">
        <f>IF(C392="","",IF(OR(J392="Booked",J392="Recurring Client",J392="Lost/Declined"),0,1))</f>
        <v/>
      </c>
      <c r="T392" s="51">
        <f>IF(B392="","",DATE(YEAR(B392),MONTH(B392),1))</f>
        <v/>
      </c>
      <c r="U392" s="49">
        <f>IF(OR(S392&lt;&gt;1,L392=""),"",COUNTIFS('LEADS'!$S$5:$S$504,1,'LEADS'!$L$5:$L$504,"&lt;"&amp;L392)+COUNTIFS($S$5:S392,1,$L$5:L392,L392))</f>
        <v/>
      </c>
    </row>
    <row r="393">
      <c r="A393" s="46" t="inlineStr">
        <is>
          <t>L-0389</t>
        </is>
      </c>
      <c r="B393" s="47" t="n"/>
      <c r="C393" s="38" t="n"/>
      <c r="D393" s="38" t="n"/>
      <c r="E393" s="38" t="n"/>
      <c r="F393" s="38" t="n"/>
      <c r="G393" s="38" t="n"/>
      <c r="H393" s="38" t="n"/>
      <c r="I393" s="48" t="n"/>
      <c r="J393" s="38" t="n"/>
      <c r="K393" s="47" t="n"/>
      <c r="L393" s="47" t="n"/>
      <c r="M393" s="38" t="n"/>
      <c r="N393" s="38" t="n"/>
      <c r="O393" s="49">
        <f>IF(C393="","",IF(OR(J393="Booked",J393="Recurring Client"),"Booked",IF(J393="Lost/Declined","Lost","Open")))</f>
        <v/>
      </c>
      <c r="P393" s="49">
        <f>IF(C393="","",IF(S393=0,"—",IF(L393="","Set date",IF(L393&lt;AsOf,"Overdue",IF(L393=AsOf,"Due today",IF(L393&lt;=AsOf+SoonDays,"Due soon","Scheduled"))))))</f>
        <v/>
      </c>
      <c r="Q393" s="50">
        <f>IF(C393="","",IF(B393="","",AsOf-B393))</f>
        <v/>
      </c>
      <c r="R393" s="49">
        <f>IF(C393="","",IF(O393&lt;&gt;"Booked","",IF(COUNTIF('CUSTOMERS'!$B$5:$B$404,C393)&gt;0,"✓ In CUSTOMERS","Add to CUSTOMERS")))</f>
        <v/>
      </c>
      <c r="S393" s="49">
        <f>IF(C393="","",IF(OR(J393="Booked",J393="Recurring Client",J393="Lost/Declined"),0,1))</f>
        <v/>
      </c>
      <c r="T393" s="51">
        <f>IF(B393="","",DATE(YEAR(B393),MONTH(B393),1))</f>
        <v/>
      </c>
      <c r="U393" s="49">
        <f>IF(OR(S393&lt;&gt;1,L393=""),"",COUNTIFS('LEADS'!$S$5:$S$504,1,'LEADS'!$L$5:$L$504,"&lt;"&amp;L393)+COUNTIFS($S$5:S393,1,$L$5:L393,L393))</f>
        <v/>
      </c>
    </row>
    <row r="394">
      <c r="A394" s="46" t="inlineStr">
        <is>
          <t>L-0390</t>
        </is>
      </c>
      <c r="B394" s="47" t="n"/>
      <c r="C394" s="38" t="n"/>
      <c r="D394" s="38" t="n"/>
      <c r="E394" s="38" t="n"/>
      <c r="F394" s="38" t="n"/>
      <c r="G394" s="38" t="n"/>
      <c r="H394" s="38" t="n"/>
      <c r="I394" s="48" t="n"/>
      <c r="J394" s="38" t="n"/>
      <c r="K394" s="47" t="n"/>
      <c r="L394" s="47" t="n"/>
      <c r="M394" s="38" t="n"/>
      <c r="N394" s="38" t="n"/>
      <c r="O394" s="49">
        <f>IF(C394="","",IF(OR(J394="Booked",J394="Recurring Client"),"Booked",IF(J394="Lost/Declined","Lost","Open")))</f>
        <v/>
      </c>
      <c r="P394" s="49">
        <f>IF(C394="","",IF(S394=0,"—",IF(L394="","Set date",IF(L394&lt;AsOf,"Overdue",IF(L394=AsOf,"Due today",IF(L394&lt;=AsOf+SoonDays,"Due soon","Scheduled"))))))</f>
        <v/>
      </c>
      <c r="Q394" s="50">
        <f>IF(C394="","",IF(B394="","",AsOf-B394))</f>
        <v/>
      </c>
      <c r="R394" s="49">
        <f>IF(C394="","",IF(O394&lt;&gt;"Booked","",IF(COUNTIF('CUSTOMERS'!$B$5:$B$404,C394)&gt;0,"✓ In CUSTOMERS","Add to CUSTOMERS")))</f>
        <v/>
      </c>
      <c r="S394" s="49">
        <f>IF(C394="","",IF(OR(J394="Booked",J394="Recurring Client",J394="Lost/Declined"),0,1))</f>
        <v/>
      </c>
      <c r="T394" s="51">
        <f>IF(B394="","",DATE(YEAR(B394),MONTH(B394),1))</f>
        <v/>
      </c>
      <c r="U394" s="49">
        <f>IF(OR(S394&lt;&gt;1,L394=""),"",COUNTIFS('LEADS'!$S$5:$S$504,1,'LEADS'!$L$5:$L$504,"&lt;"&amp;L394)+COUNTIFS($S$5:S394,1,$L$5:L394,L394))</f>
        <v/>
      </c>
    </row>
    <row r="395">
      <c r="A395" s="46" t="inlineStr">
        <is>
          <t>L-0391</t>
        </is>
      </c>
      <c r="B395" s="47" t="n"/>
      <c r="C395" s="38" t="n"/>
      <c r="D395" s="38" t="n"/>
      <c r="E395" s="38" t="n"/>
      <c r="F395" s="38" t="n"/>
      <c r="G395" s="38" t="n"/>
      <c r="H395" s="38" t="n"/>
      <c r="I395" s="48" t="n"/>
      <c r="J395" s="38" t="n"/>
      <c r="K395" s="47" t="n"/>
      <c r="L395" s="47" t="n"/>
      <c r="M395" s="38" t="n"/>
      <c r="N395" s="38" t="n"/>
      <c r="O395" s="49">
        <f>IF(C395="","",IF(OR(J395="Booked",J395="Recurring Client"),"Booked",IF(J395="Lost/Declined","Lost","Open")))</f>
        <v/>
      </c>
      <c r="P395" s="49">
        <f>IF(C395="","",IF(S395=0,"—",IF(L395="","Set date",IF(L395&lt;AsOf,"Overdue",IF(L395=AsOf,"Due today",IF(L395&lt;=AsOf+SoonDays,"Due soon","Scheduled"))))))</f>
        <v/>
      </c>
      <c r="Q395" s="50">
        <f>IF(C395="","",IF(B395="","",AsOf-B395))</f>
        <v/>
      </c>
      <c r="R395" s="49">
        <f>IF(C395="","",IF(O395&lt;&gt;"Booked","",IF(COUNTIF('CUSTOMERS'!$B$5:$B$404,C395)&gt;0,"✓ In CUSTOMERS","Add to CUSTOMERS")))</f>
        <v/>
      </c>
      <c r="S395" s="49">
        <f>IF(C395="","",IF(OR(J395="Booked",J395="Recurring Client",J395="Lost/Declined"),0,1))</f>
        <v/>
      </c>
      <c r="T395" s="51">
        <f>IF(B395="","",DATE(YEAR(B395),MONTH(B395),1))</f>
        <v/>
      </c>
      <c r="U395" s="49">
        <f>IF(OR(S395&lt;&gt;1,L395=""),"",COUNTIFS('LEADS'!$S$5:$S$504,1,'LEADS'!$L$5:$L$504,"&lt;"&amp;L395)+COUNTIFS($S$5:S395,1,$L$5:L395,L395))</f>
        <v/>
      </c>
    </row>
    <row r="396">
      <c r="A396" s="46" t="inlineStr">
        <is>
          <t>L-0392</t>
        </is>
      </c>
      <c r="B396" s="47" t="n"/>
      <c r="C396" s="38" t="n"/>
      <c r="D396" s="38" t="n"/>
      <c r="E396" s="38" t="n"/>
      <c r="F396" s="38" t="n"/>
      <c r="G396" s="38" t="n"/>
      <c r="H396" s="38" t="n"/>
      <c r="I396" s="48" t="n"/>
      <c r="J396" s="38" t="n"/>
      <c r="K396" s="47" t="n"/>
      <c r="L396" s="47" t="n"/>
      <c r="M396" s="38" t="n"/>
      <c r="N396" s="38" t="n"/>
      <c r="O396" s="49">
        <f>IF(C396="","",IF(OR(J396="Booked",J396="Recurring Client"),"Booked",IF(J396="Lost/Declined","Lost","Open")))</f>
        <v/>
      </c>
      <c r="P396" s="49">
        <f>IF(C396="","",IF(S396=0,"—",IF(L396="","Set date",IF(L396&lt;AsOf,"Overdue",IF(L396=AsOf,"Due today",IF(L396&lt;=AsOf+SoonDays,"Due soon","Scheduled"))))))</f>
        <v/>
      </c>
      <c r="Q396" s="50">
        <f>IF(C396="","",IF(B396="","",AsOf-B396))</f>
        <v/>
      </c>
      <c r="R396" s="49">
        <f>IF(C396="","",IF(O396&lt;&gt;"Booked","",IF(COUNTIF('CUSTOMERS'!$B$5:$B$404,C396)&gt;0,"✓ In CUSTOMERS","Add to CUSTOMERS")))</f>
        <v/>
      </c>
      <c r="S396" s="49">
        <f>IF(C396="","",IF(OR(J396="Booked",J396="Recurring Client",J396="Lost/Declined"),0,1))</f>
        <v/>
      </c>
      <c r="T396" s="51">
        <f>IF(B396="","",DATE(YEAR(B396),MONTH(B396),1))</f>
        <v/>
      </c>
      <c r="U396" s="49">
        <f>IF(OR(S396&lt;&gt;1,L396=""),"",COUNTIFS('LEADS'!$S$5:$S$504,1,'LEADS'!$L$5:$L$504,"&lt;"&amp;L396)+COUNTIFS($S$5:S396,1,$L$5:L396,L396))</f>
        <v/>
      </c>
    </row>
    <row r="397">
      <c r="A397" s="46" t="inlineStr">
        <is>
          <t>L-0393</t>
        </is>
      </c>
      <c r="B397" s="47" t="n"/>
      <c r="C397" s="38" t="n"/>
      <c r="D397" s="38" t="n"/>
      <c r="E397" s="38" t="n"/>
      <c r="F397" s="38" t="n"/>
      <c r="G397" s="38" t="n"/>
      <c r="H397" s="38" t="n"/>
      <c r="I397" s="48" t="n"/>
      <c r="J397" s="38" t="n"/>
      <c r="K397" s="47" t="n"/>
      <c r="L397" s="47" t="n"/>
      <c r="M397" s="38" t="n"/>
      <c r="N397" s="38" t="n"/>
      <c r="O397" s="49">
        <f>IF(C397="","",IF(OR(J397="Booked",J397="Recurring Client"),"Booked",IF(J397="Lost/Declined","Lost","Open")))</f>
        <v/>
      </c>
      <c r="P397" s="49">
        <f>IF(C397="","",IF(S397=0,"—",IF(L397="","Set date",IF(L397&lt;AsOf,"Overdue",IF(L397=AsOf,"Due today",IF(L397&lt;=AsOf+SoonDays,"Due soon","Scheduled"))))))</f>
        <v/>
      </c>
      <c r="Q397" s="50">
        <f>IF(C397="","",IF(B397="","",AsOf-B397))</f>
        <v/>
      </c>
      <c r="R397" s="49">
        <f>IF(C397="","",IF(O397&lt;&gt;"Booked","",IF(COUNTIF('CUSTOMERS'!$B$5:$B$404,C397)&gt;0,"✓ In CUSTOMERS","Add to CUSTOMERS")))</f>
        <v/>
      </c>
      <c r="S397" s="49">
        <f>IF(C397="","",IF(OR(J397="Booked",J397="Recurring Client",J397="Lost/Declined"),0,1))</f>
        <v/>
      </c>
      <c r="T397" s="51">
        <f>IF(B397="","",DATE(YEAR(B397),MONTH(B397),1))</f>
        <v/>
      </c>
      <c r="U397" s="49">
        <f>IF(OR(S397&lt;&gt;1,L397=""),"",COUNTIFS('LEADS'!$S$5:$S$504,1,'LEADS'!$L$5:$L$504,"&lt;"&amp;L397)+COUNTIFS($S$5:S397,1,$L$5:L397,L397))</f>
        <v/>
      </c>
    </row>
    <row r="398">
      <c r="A398" s="46" t="inlineStr">
        <is>
          <t>L-0394</t>
        </is>
      </c>
      <c r="B398" s="47" t="n"/>
      <c r="C398" s="38" t="n"/>
      <c r="D398" s="38" t="n"/>
      <c r="E398" s="38" t="n"/>
      <c r="F398" s="38" t="n"/>
      <c r="G398" s="38" t="n"/>
      <c r="H398" s="38" t="n"/>
      <c r="I398" s="48" t="n"/>
      <c r="J398" s="38" t="n"/>
      <c r="K398" s="47" t="n"/>
      <c r="L398" s="47" t="n"/>
      <c r="M398" s="38" t="n"/>
      <c r="N398" s="38" t="n"/>
      <c r="O398" s="49">
        <f>IF(C398="","",IF(OR(J398="Booked",J398="Recurring Client"),"Booked",IF(J398="Lost/Declined","Lost","Open")))</f>
        <v/>
      </c>
      <c r="P398" s="49">
        <f>IF(C398="","",IF(S398=0,"—",IF(L398="","Set date",IF(L398&lt;AsOf,"Overdue",IF(L398=AsOf,"Due today",IF(L398&lt;=AsOf+SoonDays,"Due soon","Scheduled"))))))</f>
        <v/>
      </c>
      <c r="Q398" s="50">
        <f>IF(C398="","",IF(B398="","",AsOf-B398))</f>
        <v/>
      </c>
      <c r="R398" s="49">
        <f>IF(C398="","",IF(O398&lt;&gt;"Booked","",IF(COUNTIF('CUSTOMERS'!$B$5:$B$404,C398)&gt;0,"✓ In CUSTOMERS","Add to CUSTOMERS")))</f>
        <v/>
      </c>
      <c r="S398" s="49">
        <f>IF(C398="","",IF(OR(J398="Booked",J398="Recurring Client",J398="Lost/Declined"),0,1))</f>
        <v/>
      </c>
      <c r="T398" s="51">
        <f>IF(B398="","",DATE(YEAR(B398),MONTH(B398),1))</f>
        <v/>
      </c>
      <c r="U398" s="49">
        <f>IF(OR(S398&lt;&gt;1,L398=""),"",COUNTIFS('LEADS'!$S$5:$S$504,1,'LEADS'!$L$5:$L$504,"&lt;"&amp;L398)+COUNTIFS($S$5:S398,1,$L$5:L398,L398))</f>
        <v/>
      </c>
    </row>
    <row r="399">
      <c r="A399" s="46" t="inlineStr">
        <is>
          <t>L-0395</t>
        </is>
      </c>
      <c r="B399" s="47" t="n"/>
      <c r="C399" s="38" t="n"/>
      <c r="D399" s="38" t="n"/>
      <c r="E399" s="38" t="n"/>
      <c r="F399" s="38" t="n"/>
      <c r="G399" s="38" t="n"/>
      <c r="H399" s="38" t="n"/>
      <c r="I399" s="48" t="n"/>
      <c r="J399" s="38" t="n"/>
      <c r="K399" s="47" t="n"/>
      <c r="L399" s="47" t="n"/>
      <c r="M399" s="38" t="n"/>
      <c r="N399" s="38" t="n"/>
      <c r="O399" s="49">
        <f>IF(C399="","",IF(OR(J399="Booked",J399="Recurring Client"),"Booked",IF(J399="Lost/Declined","Lost","Open")))</f>
        <v/>
      </c>
      <c r="P399" s="49">
        <f>IF(C399="","",IF(S399=0,"—",IF(L399="","Set date",IF(L399&lt;AsOf,"Overdue",IF(L399=AsOf,"Due today",IF(L399&lt;=AsOf+SoonDays,"Due soon","Scheduled"))))))</f>
        <v/>
      </c>
      <c r="Q399" s="50">
        <f>IF(C399="","",IF(B399="","",AsOf-B399))</f>
        <v/>
      </c>
      <c r="R399" s="49">
        <f>IF(C399="","",IF(O399&lt;&gt;"Booked","",IF(COUNTIF('CUSTOMERS'!$B$5:$B$404,C399)&gt;0,"✓ In CUSTOMERS","Add to CUSTOMERS")))</f>
        <v/>
      </c>
      <c r="S399" s="49">
        <f>IF(C399="","",IF(OR(J399="Booked",J399="Recurring Client",J399="Lost/Declined"),0,1))</f>
        <v/>
      </c>
      <c r="T399" s="51">
        <f>IF(B399="","",DATE(YEAR(B399),MONTH(B399),1))</f>
        <v/>
      </c>
      <c r="U399" s="49">
        <f>IF(OR(S399&lt;&gt;1,L399=""),"",COUNTIFS('LEADS'!$S$5:$S$504,1,'LEADS'!$L$5:$L$504,"&lt;"&amp;L399)+COUNTIFS($S$5:S399,1,$L$5:L399,L399))</f>
        <v/>
      </c>
    </row>
    <row r="400">
      <c r="A400" s="46" t="inlineStr">
        <is>
          <t>L-0396</t>
        </is>
      </c>
      <c r="B400" s="47" t="n"/>
      <c r="C400" s="38" t="n"/>
      <c r="D400" s="38" t="n"/>
      <c r="E400" s="38" t="n"/>
      <c r="F400" s="38" t="n"/>
      <c r="G400" s="38" t="n"/>
      <c r="H400" s="38" t="n"/>
      <c r="I400" s="48" t="n"/>
      <c r="J400" s="38" t="n"/>
      <c r="K400" s="47" t="n"/>
      <c r="L400" s="47" t="n"/>
      <c r="M400" s="38" t="n"/>
      <c r="N400" s="38" t="n"/>
      <c r="O400" s="49">
        <f>IF(C400="","",IF(OR(J400="Booked",J400="Recurring Client"),"Booked",IF(J400="Lost/Declined","Lost","Open")))</f>
        <v/>
      </c>
      <c r="P400" s="49">
        <f>IF(C400="","",IF(S400=0,"—",IF(L400="","Set date",IF(L400&lt;AsOf,"Overdue",IF(L400=AsOf,"Due today",IF(L400&lt;=AsOf+SoonDays,"Due soon","Scheduled"))))))</f>
        <v/>
      </c>
      <c r="Q400" s="50">
        <f>IF(C400="","",IF(B400="","",AsOf-B400))</f>
        <v/>
      </c>
      <c r="R400" s="49">
        <f>IF(C400="","",IF(O400&lt;&gt;"Booked","",IF(COUNTIF('CUSTOMERS'!$B$5:$B$404,C400)&gt;0,"✓ In CUSTOMERS","Add to CUSTOMERS")))</f>
        <v/>
      </c>
      <c r="S400" s="49">
        <f>IF(C400="","",IF(OR(J400="Booked",J400="Recurring Client",J400="Lost/Declined"),0,1))</f>
        <v/>
      </c>
      <c r="T400" s="51">
        <f>IF(B400="","",DATE(YEAR(B400),MONTH(B400),1))</f>
        <v/>
      </c>
      <c r="U400" s="49">
        <f>IF(OR(S400&lt;&gt;1,L400=""),"",COUNTIFS('LEADS'!$S$5:$S$504,1,'LEADS'!$L$5:$L$504,"&lt;"&amp;L400)+COUNTIFS($S$5:S400,1,$L$5:L400,L400))</f>
        <v/>
      </c>
    </row>
    <row r="401">
      <c r="A401" s="46" t="inlineStr">
        <is>
          <t>L-0397</t>
        </is>
      </c>
      <c r="B401" s="47" t="n"/>
      <c r="C401" s="38" t="n"/>
      <c r="D401" s="38" t="n"/>
      <c r="E401" s="38" t="n"/>
      <c r="F401" s="38" t="n"/>
      <c r="G401" s="38" t="n"/>
      <c r="H401" s="38" t="n"/>
      <c r="I401" s="48" t="n"/>
      <c r="J401" s="38" t="n"/>
      <c r="K401" s="47" t="n"/>
      <c r="L401" s="47" t="n"/>
      <c r="M401" s="38" t="n"/>
      <c r="N401" s="38" t="n"/>
      <c r="O401" s="49">
        <f>IF(C401="","",IF(OR(J401="Booked",J401="Recurring Client"),"Booked",IF(J401="Lost/Declined","Lost","Open")))</f>
        <v/>
      </c>
      <c r="P401" s="49">
        <f>IF(C401="","",IF(S401=0,"—",IF(L401="","Set date",IF(L401&lt;AsOf,"Overdue",IF(L401=AsOf,"Due today",IF(L401&lt;=AsOf+SoonDays,"Due soon","Scheduled"))))))</f>
        <v/>
      </c>
      <c r="Q401" s="50">
        <f>IF(C401="","",IF(B401="","",AsOf-B401))</f>
        <v/>
      </c>
      <c r="R401" s="49">
        <f>IF(C401="","",IF(O401&lt;&gt;"Booked","",IF(COUNTIF('CUSTOMERS'!$B$5:$B$404,C401)&gt;0,"✓ In CUSTOMERS","Add to CUSTOMERS")))</f>
        <v/>
      </c>
      <c r="S401" s="49">
        <f>IF(C401="","",IF(OR(J401="Booked",J401="Recurring Client",J401="Lost/Declined"),0,1))</f>
        <v/>
      </c>
      <c r="T401" s="51">
        <f>IF(B401="","",DATE(YEAR(B401),MONTH(B401),1))</f>
        <v/>
      </c>
      <c r="U401" s="49">
        <f>IF(OR(S401&lt;&gt;1,L401=""),"",COUNTIFS('LEADS'!$S$5:$S$504,1,'LEADS'!$L$5:$L$504,"&lt;"&amp;L401)+COUNTIFS($S$5:S401,1,$L$5:L401,L401))</f>
        <v/>
      </c>
    </row>
    <row r="402">
      <c r="A402" s="46" t="inlineStr">
        <is>
          <t>L-0398</t>
        </is>
      </c>
      <c r="B402" s="47" t="n"/>
      <c r="C402" s="38" t="n"/>
      <c r="D402" s="38" t="n"/>
      <c r="E402" s="38" t="n"/>
      <c r="F402" s="38" t="n"/>
      <c r="G402" s="38" t="n"/>
      <c r="H402" s="38" t="n"/>
      <c r="I402" s="48" t="n"/>
      <c r="J402" s="38" t="n"/>
      <c r="K402" s="47" t="n"/>
      <c r="L402" s="47" t="n"/>
      <c r="M402" s="38" t="n"/>
      <c r="N402" s="38" t="n"/>
      <c r="O402" s="49">
        <f>IF(C402="","",IF(OR(J402="Booked",J402="Recurring Client"),"Booked",IF(J402="Lost/Declined","Lost","Open")))</f>
        <v/>
      </c>
      <c r="P402" s="49">
        <f>IF(C402="","",IF(S402=0,"—",IF(L402="","Set date",IF(L402&lt;AsOf,"Overdue",IF(L402=AsOf,"Due today",IF(L402&lt;=AsOf+SoonDays,"Due soon","Scheduled"))))))</f>
        <v/>
      </c>
      <c r="Q402" s="50">
        <f>IF(C402="","",IF(B402="","",AsOf-B402))</f>
        <v/>
      </c>
      <c r="R402" s="49">
        <f>IF(C402="","",IF(O402&lt;&gt;"Booked","",IF(COUNTIF('CUSTOMERS'!$B$5:$B$404,C402)&gt;0,"✓ In CUSTOMERS","Add to CUSTOMERS")))</f>
        <v/>
      </c>
      <c r="S402" s="49">
        <f>IF(C402="","",IF(OR(J402="Booked",J402="Recurring Client",J402="Lost/Declined"),0,1))</f>
        <v/>
      </c>
      <c r="T402" s="51">
        <f>IF(B402="","",DATE(YEAR(B402),MONTH(B402),1))</f>
        <v/>
      </c>
      <c r="U402" s="49">
        <f>IF(OR(S402&lt;&gt;1,L402=""),"",COUNTIFS('LEADS'!$S$5:$S$504,1,'LEADS'!$L$5:$L$504,"&lt;"&amp;L402)+COUNTIFS($S$5:S402,1,$L$5:L402,L402))</f>
        <v/>
      </c>
    </row>
    <row r="403">
      <c r="A403" s="46" t="inlineStr">
        <is>
          <t>L-0399</t>
        </is>
      </c>
      <c r="B403" s="47" t="n"/>
      <c r="C403" s="38" t="n"/>
      <c r="D403" s="38" t="n"/>
      <c r="E403" s="38" t="n"/>
      <c r="F403" s="38" t="n"/>
      <c r="G403" s="38" t="n"/>
      <c r="H403" s="38" t="n"/>
      <c r="I403" s="48" t="n"/>
      <c r="J403" s="38" t="n"/>
      <c r="K403" s="47" t="n"/>
      <c r="L403" s="47" t="n"/>
      <c r="M403" s="38" t="n"/>
      <c r="N403" s="38" t="n"/>
      <c r="O403" s="49">
        <f>IF(C403="","",IF(OR(J403="Booked",J403="Recurring Client"),"Booked",IF(J403="Lost/Declined","Lost","Open")))</f>
        <v/>
      </c>
      <c r="P403" s="49">
        <f>IF(C403="","",IF(S403=0,"—",IF(L403="","Set date",IF(L403&lt;AsOf,"Overdue",IF(L403=AsOf,"Due today",IF(L403&lt;=AsOf+SoonDays,"Due soon","Scheduled"))))))</f>
        <v/>
      </c>
      <c r="Q403" s="50">
        <f>IF(C403="","",IF(B403="","",AsOf-B403))</f>
        <v/>
      </c>
      <c r="R403" s="49">
        <f>IF(C403="","",IF(O403&lt;&gt;"Booked","",IF(COUNTIF('CUSTOMERS'!$B$5:$B$404,C403)&gt;0,"✓ In CUSTOMERS","Add to CUSTOMERS")))</f>
        <v/>
      </c>
      <c r="S403" s="49">
        <f>IF(C403="","",IF(OR(J403="Booked",J403="Recurring Client",J403="Lost/Declined"),0,1))</f>
        <v/>
      </c>
      <c r="T403" s="51">
        <f>IF(B403="","",DATE(YEAR(B403),MONTH(B403),1))</f>
        <v/>
      </c>
      <c r="U403" s="49">
        <f>IF(OR(S403&lt;&gt;1,L403=""),"",COUNTIFS('LEADS'!$S$5:$S$504,1,'LEADS'!$L$5:$L$504,"&lt;"&amp;L403)+COUNTIFS($S$5:S403,1,$L$5:L403,L403))</f>
        <v/>
      </c>
    </row>
    <row r="404">
      <c r="A404" s="46" t="inlineStr">
        <is>
          <t>L-0400</t>
        </is>
      </c>
      <c r="B404" s="47" t="n"/>
      <c r="C404" s="38" t="n"/>
      <c r="D404" s="38" t="n"/>
      <c r="E404" s="38" t="n"/>
      <c r="F404" s="38" t="n"/>
      <c r="G404" s="38" t="n"/>
      <c r="H404" s="38" t="n"/>
      <c r="I404" s="48" t="n"/>
      <c r="J404" s="38" t="n"/>
      <c r="K404" s="47" t="n"/>
      <c r="L404" s="47" t="n"/>
      <c r="M404" s="38" t="n"/>
      <c r="N404" s="38" t="n"/>
      <c r="O404" s="49">
        <f>IF(C404="","",IF(OR(J404="Booked",J404="Recurring Client"),"Booked",IF(J404="Lost/Declined","Lost","Open")))</f>
        <v/>
      </c>
      <c r="P404" s="49">
        <f>IF(C404="","",IF(S404=0,"—",IF(L404="","Set date",IF(L404&lt;AsOf,"Overdue",IF(L404=AsOf,"Due today",IF(L404&lt;=AsOf+SoonDays,"Due soon","Scheduled"))))))</f>
        <v/>
      </c>
      <c r="Q404" s="50">
        <f>IF(C404="","",IF(B404="","",AsOf-B404))</f>
        <v/>
      </c>
      <c r="R404" s="49">
        <f>IF(C404="","",IF(O404&lt;&gt;"Booked","",IF(COUNTIF('CUSTOMERS'!$B$5:$B$404,C404)&gt;0,"✓ In CUSTOMERS","Add to CUSTOMERS")))</f>
        <v/>
      </c>
      <c r="S404" s="49">
        <f>IF(C404="","",IF(OR(J404="Booked",J404="Recurring Client",J404="Lost/Declined"),0,1))</f>
        <v/>
      </c>
      <c r="T404" s="51">
        <f>IF(B404="","",DATE(YEAR(B404),MONTH(B404),1))</f>
        <v/>
      </c>
      <c r="U404" s="49">
        <f>IF(OR(S404&lt;&gt;1,L404=""),"",COUNTIFS('LEADS'!$S$5:$S$504,1,'LEADS'!$L$5:$L$504,"&lt;"&amp;L404)+COUNTIFS($S$5:S404,1,$L$5:L404,L404))</f>
        <v/>
      </c>
    </row>
    <row r="405">
      <c r="A405" s="46" t="inlineStr">
        <is>
          <t>L-0401</t>
        </is>
      </c>
      <c r="B405" s="47" t="n"/>
      <c r="C405" s="38" t="n"/>
      <c r="D405" s="38" t="n"/>
      <c r="E405" s="38" t="n"/>
      <c r="F405" s="38" t="n"/>
      <c r="G405" s="38" t="n"/>
      <c r="H405" s="38" t="n"/>
      <c r="I405" s="48" t="n"/>
      <c r="J405" s="38" t="n"/>
      <c r="K405" s="47" t="n"/>
      <c r="L405" s="47" t="n"/>
      <c r="M405" s="38" t="n"/>
      <c r="N405" s="38" t="n"/>
      <c r="O405" s="49">
        <f>IF(C405="","",IF(OR(J405="Booked",J405="Recurring Client"),"Booked",IF(J405="Lost/Declined","Lost","Open")))</f>
        <v/>
      </c>
      <c r="P405" s="49">
        <f>IF(C405="","",IF(S405=0,"—",IF(L405="","Set date",IF(L405&lt;AsOf,"Overdue",IF(L405=AsOf,"Due today",IF(L405&lt;=AsOf+SoonDays,"Due soon","Scheduled"))))))</f>
        <v/>
      </c>
      <c r="Q405" s="50">
        <f>IF(C405="","",IF(B405="","",AsOf-B405))</f>
        <v/>
      </c>
      <c r="R405" s="49">
        <f>IF(C405="","",IF(O405&lt;&gt;"Booked","",IF(COUNTIF('CUSTOMERS'!$B$5:$B$404,C405)&gt;0,"✓ In CUSTOMERS","Add to CUSTOMERS")))</f>
        <v/>
      </c>
      <c r="S405" s="49">
        <f>IF(C405="","",IF(OR(J405="Booked",J405="Recurring Client",J405="Lost/Declined"),0,1))</f>
        <v/>
      </c>
      <c r="T405" s="51">
        <f>IF(B405="","",DATE(YEAR(B405),MONTH(B405),1))</f>
        <v/>
      </c>
      <c r="U405" s="49">
        <f>IF(OR(S405&lt;&gt;1,L405=""),"",COUNTIFS('LEADS'!$S$5:$S$504,1,'LEADS'!$L$5:$L$504,"&lt;"&amp;L405)+COUNTIFS($S$5:S405,1,$L$5:L405,L405))</f>
        <v/>
      </c>
    </row>
    <row r="406">
      <c r="A406" s="46" t="inlineStr">
        <is>
          <t>L-0402</t>
        </is>
      </c>
      <c r="B406" s="47" t="n"/>
      <c r="C406" s="38" t="n"/>
      <c r="D406" s="38" t="n"/>
      <c r="E406" s="38" t="n"/>
      <c r="F406" s="38" t="n"/>
      <c r="G406" s="38" t="n"/>
      <c r="H406" s="38" t="n"/>
      <c r="I406" s="48" t="n"/>
      <c r="J406" s="38" t="n"/>
      <c r="K406" s="47" t="n"/>
      <c r="L406" s="47" t="n"/>
      <c r="M406" s="38" t="n"/>
      <c r="N406" s="38" t="n"/>
      <c r="O406" s="49">
        <f>IF(C406="","",IF(OR(J406="Booked",J406="Recurring Client"),"Booked",IF(J406="Lost/Declined","Lost","Open")))</f>
        <v/>
      </c>
      <c r="P406" s="49">
        <f>IF(C406="","",IF(S406=0,"—",IF(L406="","Set date",IF(L406&lt;AsOf,"Overdue",IF(L406=AsOf,"Due today",IF(L406&lt;=AsOf+SoonDays,"Due soon","Scheduled"))))))</f>
        <v/>
      </c>
      <c r="Q406" s="50">
        <f>IF(C406="","",IF(B406="","",AsOf-B406))</f>
        <v/>
      </c>
      <c r="R406" s="49">
        <f>IF(C406="","",IF(O406&lt;&gt;"Booked","",IF(COUNTIF('CUSTOMERS'!$B$5:$B$404,C406)&gt;0,"✓ In CUSTOMERS","Add to CUSTOMERS")))</f>
        <v/>
      </c>
      <c r="S406" s="49">
        <f>IF(C406="","",IF(OR(J406="Booked",J406="Recurring Client",J406="Lost/Declined"),0,1))</f>
        <v/>
      </c>
      <c r="T406" s="51">
        <f>IF(B406="","",DATE(YEAR(B406),MONTH(B406),1))</f>
        <v/>
      </c>
      <c r="U406" s="49">
        <f>IF(OR(S406&lt;&gt;1,L406=""),"",COUNTIFS('LEADS'!$S$5:$S$504,1,'LEADS'!$L$5:$L$504,"&lt;"&amp;L406)+COUNTIFS($S$5:S406,1,$L$5:L406,L406))</f>
        <v/>
      </c>
    </row>
    <row r="407">
      <c r="A407" s="46" t="inlineStr">
        <is>
          <t>L-0403</t>
        </is>
      </c>
      <c r="B407" s="47" t="n"/>
      <c r="C407" s="38" t="n"/>
      <c r="D407" s="38" t="n"/>
      <c r="E407" s="38" t="n"/>
      <c r="F407" s="38" t="n"/>
      <c r="G407" s="38" t="n"/>
      <c r="H407" s="38" t="n"/>
      <c r="I407" s="48" t="n"/>
      <c r="J407" s="38" t="n"/>
      <c r="K407" s="47" t="n"/>
      <c r="L407" s="47" t="n"/>
      <c r="M407" s="38" t="n"/>
      <c r="N407" s="38" t="n"/>
      <c r="O407" s="49">
        <f>IF(C407="","",IF(OR(J407="Booked",J407="Recurring Client"),"Booked",IF(J407="Lost/Declined","Lost","Open")))</f>
        <v/>
      </c>
      <c r="P407" s="49">
        <f>IF(C407="","",IF(S407=0,"—",IF(L407="","Set date",IF(L407&lt;AsOf,"Overdue",IF(L407=AsOf,"Due today",IF(L407&lt;=AsOf+SoonDays,"Due soon","Scheduled"))))))</f>
        <v/>
      </c>
      <c r="Q407" s="50">
        <f>IF(C407="","",IF(B407="","",AsOf-B407))</f>
        <v/>
      </c>
      <c r="R407" s="49">
        <f>IF(C407="","",IF(O407&lt;&gt;"Booked","",IF(COUNTIF('CUSTOMERS'!$B$5:$B$404,C407)&gt;0,"✓ In CUSTOMERS","Add to CUSTOMERS")))</f>
        <v/>
      </c>
      <c r="S407" s="49">
        <f>IF(C407="","",IF(OR(J407="Booked",J407="Recurring Client",J407="Lost/Declined"),0,1))</f>
        <v/>
      </c>
      <c r="T407" s="51">
        <f>IF(B407="","",DATE(YEAR(B407),MONTH(B407),1))</f>
        <v/>
      </c>
      <c r="U407" s="49">
        <f>IF(OR(S407&lt;&gt;1,L407=""),"",COUNTIFS('LEADS'!$S$5:$S$504,1,'LEADS'!$L$5:$L$504,"&lt;"&amp;L407)+COUNTIFS($S$5:S407,1,$L$5:L407,L407))</f>
        <v/>
      </c>
    </row>
    <row r="408">
      <c r="A408" s="46" t="inlineStr">
        <is>
          <t>L-0404</t>
        </is>
      </c>
      <c r="B408" s="47" t="n"/>
      <c r="C408" s="38" t="n"/>
      <c r="D408" s="38" t="n"/>
      <c r="E408" s="38" t="n"/>
      <c r="F408" s="38" t="n"/>
      <c r="G408" s="38" t="n"/>
      <c r="H408" s="38" t="n"/>
      <c r="I408" s="48" t="n"/>
      <c r="J408" s="38" t="n"/>
      <c r="K408" s="47" t="n"/>
      <c r="L408" s="47" t="n"/>
      <c r="M408" s="38" t="n"/>
      <c r="N408" s="38" t="n"/>
      <c r="O408" s="49">
        <f>IF(C408="","",IF(OR(J408="Booked",J408="Recurring Client"),"Booked",IF(J408="Lost/Declined","Lost","Open")))</f>
        <v/>
      </c>
      <c r="P408" s="49">
        <f>IF(C408="","",IF(S408=0,"—",IF(L408="","Set date",IF(L408&lt;AsOf,"Overdue",IF(L408=AsOf,"Due today",IF(L408&lt;=AsOf+SoonDays,"Due soon","Scheduled"))))))</f>
        <v/>
      </c>
      <c r="Q408" s="50">
        <f>IF(C408="","",IF(B408="","",AsOf-B408))</f>
        <v/>
      </c>
      <c r="R408" s="49">
        <f>IF(C408="","",IF(O408&lt;&gt;"Booked","",IF(COUNTIF('CUSTOMERS'!$B$5:$B$404,C408)&gt;0,"✓ In CUSTOMERS","Add to CUSTOMERS")))</f>
        <v/>
      </c>
      <c r="S408" s="49">
        <f>IF(C408="","",IF(OR(J408="Booked",J408="Recurring Client",J408="Lost/Declined"),0,1))</f>
        <v/>
      </c>
      <c r="T408" s="51">
        <f>IF(B408="","",DATE(YEAR(B408),MONTH(B408),1))</f>
        <v/>
      </c>
      <c r="U408" s="49">
        <f>IF(OR(S408&lt;&gt;1,L408=""),"",COUNTIFS('LEADS'!$S$5:$S$504,1,'LEADS'!$L$5:$L$504,"&lt;"&amp;L408)+COUNTIFS($S$5:S408,1,$L$5:L408,L408))</f>
        <v/>
      </c>
    </row>
    <row r="409">
      <c r="A409" s="46" t="inlineStr">
        <is>
          <t>L-0405</t>
        </is>
      </c>
      <c r="B409" s="47" t="n"/>
      <c r="C409" s="38" t="n"/>
      <c r="D409" s="38" t="n"/>
      <c r="E409" s="38" t="n"/>
      <c r="F409" s="38" t="n"/>
      <c r="G409" s="38" t="n"/>
      <c r="H409" s="38" t="n"/>
      <c r="I409" s="48" t="n"/>
      <c r="J409" s="38" t="n"/>
      <c r="K409" s="47" t="n"/>
      <c r="L409" s="47" t="n"/>
      <c r="M409" s="38" t="n"/>
      <c r="N409" s="38" t="n"/>
      <c r="O409" s="49">
        <f>IF(C409="","",IF(OR(J409="Booked",J409="Recurring Client"),"Booked",IF(J409="Lost/Declined","Lost","Open")))</f>
        <v/>
      </c>
      <c r="P409" s="49">
        <f>IF(C409="","",IF(S409=0,"—",IF(L409="","Set date",IF(L409&lt;AsOf,"Overdue",IF(L409=AsOf,"Due today",IF(L409&lt;=AsOf+SoonDays,"Due soon","Scheduled"))))))</f>
        <v/>
      </c>
      <c r="Q409" s="50">
        <f>IF(C409="","",IF(B409="","",AsOf-B409))</f>
        <v/>
      </c>
      <c r="R409" s="49">
        <f>IF(C409="","",IF(O409&lt;&gt;"Booked","",IF(COUNTIF('CUSTOMERS'!$B$5:$B$404,C409)&gt;0,"✓ In CUSTOMERS","Add to CUSTOMERS")))</f>
        <v/>
      </c>
      <c r="S409" s="49">
        <f>IF(C409="","",IF(OR(J409="Booked",J409="Recurring Client",J409="Lost/Declined"),0,1))</f>
        <v/>
      </c>
      <c r="T409" s="51">
        <f>IF(B409="","",DATE(YEAR(B409),MONTH(B409),1))</f>
        <v/>
      </c>
      <c r="U409" s="49">
        <f>IF(OR(S409&lt;&gt;1,L409=""),"",COUNTIFS('LEADS'!$S$5:$S$504,1,'LEADS'!$L$5:$L$504,"&lt;"&amp;L409)+COUNTIFS($S$5:S409,1,$L$5:L409,L409))</f>
        <v/>
      </c>
    </row>
    <row r="410">
      <c r="A410" s="46" t="inlineStr">
        <is>
          <t>L-0406</t>
        </is>
      </c>
      <c r="B410" s="47" t="n"/>
      <c r="C410" s="38" t="n"/>
      <c r="D410" s="38" t="n"/>
      <c r="E410" s="38" t="n"/>
      <c r="F410" s="38" t="n"/>
      <c r="G410" s="38" t="n"/>
      <c r="H410" s="38" t="n"/>
      <c r="I410" s="48" t="n"/>
      <c r="J410" s="38" t="n"/>
      <c r="K410" s="47" t="n"/>
      <c r="L410" s="47" t="n"/>
      <c r="M410" s="38" t="n"/>
      <c r="N410" s="38" t="n"/>
      <c r="O410" s="49">
        <f>IF(C410="","",IF(OR(J410="Booked",J410="Recurring Client"),"Booked",IF(J410="Lost/Declined","Lost","Open")))</f>
        <v/>
      </c>
      <c r="P410" s="49">
        <f>IF(C410="","",IF(S410=0,"—",IF(L410="","Set date",IF(L410&lt;AsOf,"Overdue",IF(L410=AsOf,"Due today",IF(L410&lt;=AsOf+SoonDays,"Due soon","Scheduled"))))))</f>
        <v/>
      </c>
      <c r="Q410" s="50">
        <f>IF(C410="","",IF(B410="","",AsOf-B410))</f>
        <v/>
      </c>
      <c r="R410" s="49">
        <f>IF(C410="","",IF(O410&lt;&gt;"Booked","",IF(COUNTIF('CUSTOMERS'!$B$5:$B$404,C410)&gt;0,"✓ In CUSTOMERS","Add to CUSTOMERS")))</f>
        <v/>
      </c>
      <c r="S410" s="49">
        <f>IF(C410="","",IF(OR(J410="Booked",J410="Recurring Client",J410="Lost/Declined"),0,1))</f>
        <v/>
      </c>
      <c r="T410" s="51">
        <f>IF(B410="","",DATE(YEAR(B410),MONTH(B410),1))</f>
        <v/>
      </c>
      <c r="U410" s="49">
        <f>IF(OR(S410&lt;&gt;1,L410=""),"",COUNTIFS('LEADS'!$S$5:$S$504,1,'LEADS'!$L$5:$L$504,"&lt;"&amp;L410)+COUNTIFS($S$5:S410,1,$L$5:L410,L410))</f>
        <v/>
      </c>
    </row>
    <row r="411">
      <c r="A411" s="46" t="inlineStr">
        <is>
          <t>L-0407</t>
        </is>
      </c>
      <c r="B411" s="47" t="n"/>
      <c r="C411" s="38" t="n"/>
      <c r="D411" s="38" t="n"/>
      <c r="E411" s="38" t="n"/>
      <c r="F411" s="38" t="n"/>
      <c r="G411" s="38" t="n"/>
      <c r="H411" s="38" t="n"/>
      <c r="I411" s="48" t="n"/>
      <c r="J411" s="38" t="n"/>
      <c r="K411" s="47" t="n"/>
      <c r="L411" s="47" t="n"/>
      <c r="M411" s="38" t="n"/>
      <c r="N411" s="38" t="n"/>
      <c r="O411" s="49">
        <f>IF(C411="","",IF(OR(J411="Booked",J411="Recurring Client"),"Booked",IF(J411="Lost/Declined","Lost","Open")))</f>
        <v/>
      </c>
      <c r="P411" s="49">
        <f>IF(C411="","",IF(S411=0,"—",IF(L411="","Set date",IF(L411&lt;AsOf,"Overdue",IF(L411=AsOf,"Due today",IF(L411&lt;=AsOf+SoonDays,"Due soon","Scheduled"))))))</f>
        <v/>
      </c>
      <c r="Q411" s="50">
        <f>IF(C411="","",IF(B411="","",AsOf-B411))</f>
        <v/>
      </c>
      <c r="R411" s="49">
        <f>IF(C411="","",IF(O411&lt;&gt;"Booked","",IF(COUNTIF('CUSTOMERS'!$B$5:$B$404,C411)&gt;0,"✓ In CUSTOMERS","Add to CUSTOMERS")))</f>
        <v/>
      </c>
      <c r="S411" s="49">
        <f>IF(C411="","",IF(OR(J411="Booked",J411="Recurring Client",J411="Lost/Declined"),0,1))</f>
        <v/>
      </c>
      <c r="T411" s="51">
        <f>IF(B411="","",DATE(YEAR(B411),MONTH(B411),1))</f>
        <v/>
      </c>
      <c r="U411" s="49">
        <f>IF(OR(S411&lt;&gt;1,L411=""),"",COUNTIFS('LEADS'!$S$5:$S$504,1,'LEADS'!$L$5:$L$504,"&lt;"&amp;L411)+COUNTIFS($S$5:S411,1,$L$5:L411,L411))</f>
        <v/>
      </c>
    </row>
    <row r="412">
      <c r="A412" s="46" t="inlineStr">
        <is>
          <t>L-0408</t>
        </is>
      </c>
      <c r="B412" s="47" t="n"/>
      <c r="C412" s="38" t="n"/>
      <c r="D412" s="38" t="n"/>
      <c r="E412" s="38" t="n"/>
      <c r="F412" s="38" t="n"/>
      <c r="G412" s="38" t="n"/>
      <c r="H412" s="38" t="n"/>
      <c r="I412" s="48" t="n"/>
      <c r="J412" s="38" t="n"/>
      <c r="K412" s="47" t="n"/>
      <c r="L412" s="47" t="n"/>
      <c r="M412" s="38" t="n"/>
      <c r="N412" s="38" t="n"/>
      <c r="O412" s="49">
        <f>IF(C412="","",IF(OR(J412="Booked",J412="Recurring Client"),"Booked",IF(J412="Lost/Declined","Lost","Open")))</f>
        <v/>
      </c>
      <c r="P412" s="49">
        <f>IF(C412="","",IF(S412=0,"—",IF(L412="","Set date",IF(L412&lt;AsOf,"Overdue",IF(L412=AsOf,"Due today",IF(L412&lt;=AsOf+SoonDays,"Due soon","Scheduled"))))))</f>
        <v/>
      </c>
      <c r="Q412" s="50">
        <f>IF(C412="","",IF(B412="","",AsOf-B412))</f>
        <v/>
      </c>
      <c r="R412" s="49">
        <f>IF(C412="","",IF(O412&lt;&gt;"Booked","",IF(COUNTIF('CUSTOMERS'!$B$5:$B$404,C412)&gt;0,"✓ In CUSTOMERS","Add to CUSTOMERS")))</f>
        <v/>
      </c>
      <c r="S412" s="49">
        <f>IF(C412="","",IF(OR(J412="Booked",J412="Recurring Client",J412="Lost/Declined"),0,1))</f>
        <v/>
      </c>
      <c r="T412" s="51">
        <f>IF(B412="","",DATE(YEAR(B412),MONTH(B412),1))</f>
        <v/>
      </c>
      <c r="U412" s="49">
        <f>IF(OR(S412&lt;&gt;1,L412=""),"",COUNTIFS('LEADS'!$S$5:$S$504,1,'LEADS'!$L$5:$L$504,"&lt;"&amp;L412)+COUNTIFS($S$5:S412,1,$L$5:L412,L412))</f>
        <v/>
      </c>
    </row>
    <row r="413">
      <c r="A413" s="46" t="inlineStr">
        <is>
          <t>L-0409</t>
        </is>
      </c>
      <c r="B413" s="47" t="n"/>
      <c r="C413" s="38" t="n"/>
      <c r="D413" s="38" t="n"/>
      <c r="E413" s="38" t="n"/>
      <c r="F413" s="38" t="n"/>
      <c r="G413" s="38" t="n"/>
      <c r="H413" s="38" t="n"/>
      <c r="I413" s="48" t="n"/>
      <c r="J413" s="38" t="n"/>
      <c r="K413" s="47" t="n"/>
      <c r="L413" s="47" t="n"/>
      <c r="M413" s="38" t="n"/>
      <c r="N413" s="38" t="n"/>
      <c r="O413" s="49">
        <f>IF(C413="","",IF(OR(J413="Booked",J413="Recurring Client"),"Booked",IF(J413="Lost/Declined","Lost","Open")))</f>
        <v/>
      </c>
      <c r="P413" s="49">
        <f>IF(C413="","",IF(S413=0,"—",IF(L413="","Set date",IF(L413&lt;AsOf,"Overdue",IF(L413=AsOf,"Due today",IF(L413&lt;=AsOf+SoonDays,"Due soon","Scheduled"))))))</f>
        <v/>
      </c>
      <c r="Q413" s="50">
        <f>IF(C413="","",IF(B413="","",AsOf-B413))</f>
        <v/>
      </c>
      <c r="R413" s="49">
        <f>IF(C413="","",IF(O413&lt;&gt;"Booked","",IF(COUNTIF('CUSTOMERS'!$B$5:$B$404,C413)&gt;0,"✓ In CUSTOMERS","Add to CUSTOMERS")))</f>
        <v/>
      </c>
      <c r="S413" s="49">
        <f>IF(C413="","",IF(OR(J413="Booked",J413="Recurring Client",J413="Lost/Declined"),0,1))</f>
        <v/>
      </c>
      <c r="T413" s="51">
        <f>IF(B413="","",DATE(YEAR(B413),MONTH(B413),1))</f>
        <v/>
      </c>
      <c r="U413" s="49">
        <f>IF(OR(S413&lt;&gt;1,L413=""),"",COUNTIFS('LEADS'!$S$5:$S$504,1,'LEADS'!$L$5:$L$504,"&lt;"&amp;L413)+COUNTIFS($S$5:S413,1,$L$5:L413,L413))</f>
        <v/>
      </c>
    </row>
    <row r="414">
      <c r="A414" s="46" t="inlineStr">
        <is>
          <t>L-0410</t>
        </is>
      </c>
      <c r="B414" s="47" t="n"/>
      <c r="C414" s="38" t="n"/>
      <c r="D414" s="38" t="n"/>
      <c r="E414" s="38" t="n"/>
      <c r="F414" s="38" t="n"/>
      <c r="G414" s="38" t="n"/>
      <c r="H414" s="38" t="n"/>
      <c r="I414" s="48" t="n"/>
      <c r="J414" s="38" t="n"/>
      <c r="K414" s="47" t="n"/>
      <c r="L414" s="47" t="n"/>
      <c r="M414" s="38" t="n"/>
      <c r="N414" s="38" t="n"/>
      <c r="O414" s="49">
        <f>IF(C414="","",IF(OR(J414="Booked",J414="Recurring Client"),"Booked",IF(J414="Lost/Declined","Lost","Open")))</f>
        <v/>
      </c>
      <c r="P414" s="49">
        <f>IF(C414="","",IF(S414=0,"—",IF(L414="","Set date",IF(L414&lt;AsOf,"Overdue",IF(L414=AsOf,"Due today",IF(L414&lt;=AsOf+SoonDays,"Due soon","Scheduled"))))))</f>
        <v/>
      </c>
      <c r="Q414" s="50">
        <f>IF(C414="","",IF(B414="","",AsOf-B414))</f>
        <v/>
      </c>
      <c r="R414" s="49">
        <f>IF(C414="","",IF(O414&lt;&gt;"Booked","",IF(COUNTIF('CUSTOMERS'!$B$5:$B$404,C414)&gt;0,"✓ In CUSTOMERS","Add to CUSTOMERS")))</f>
        <v/>
      </c>
      <c r="S414" s="49">
        <f>IF(C414="","",IF(OR(J414="Booked",J414="Recurring Client",J414="Lost/Declined"),0,1))</f>
        <v/>
      </c>
      <c r="T414" s="51">
        <f>IF(B414="","",DATE(YEAR(B414),MONTH(B414),1))</f>
        <v/>
      </c>
      <c r="U414" s="49">
        <f>IF(OR(S414&lt;&gt;1,L414=""),"",COUNTIFS('LEADS'!$S$5:$S$504,1,'LEADS'!$L$5:$L$504,"&lt;"&amp;L414)+COUNTIFS($S$5:S414,1,$L$5:L414,L414))</f>
        <v/>
      </c>
    </row>
    <row r="415">
      <c r="A415" s="46" t="inlineStr">
        <is>
          <t>L-0411</t>
        </is>
      </c>
      <c r="B415" s="47" t="n"/>
      <c r="C415" s="38" t="n"/>
      <c r="D415" s="38" t="n"/>
      <c r="E415" s="38" t="n"/>
      <c r="F415" s="38" t="n"/>
      <c r="G415" s="38" t="n"/>
      <c r="H415" s="38" t="n"/>
      <c r="I415" s="48" t="n"/>
      <c r="J415" s="38" t="n"/>
      <c r="K415" s="47" t="n"/>
      <c r="L415" s="47" t="n"/>
      <c r="M415" s="38" t="n"/>
      <c r="N415" s="38" t="n"/>
      <c r="O415" s="49">
        <f>IF(C415="","",IF(OR(J415="Booked",J415="Recurring Client"),"Booked",IF(J415="Lost/Declined","Lost","Open")))</f>
        <v/>
      </c>
      <c r="P415" s="49">
        <f>IF(C415="","",IF(S415=0,"—",IF(L415="","Set date",IF(L415&lt;AsOf,"Overdue",IF(L415=AsOf,"Due today",IF(L415&lt;=AsOf+SoonDays,"Due soon","Scheduled"))))))</f>
        <v/>
      </c>
      <c r="Q415" s="50">
        <f>IF(C415="","",IF(B415="","",AsOf-B415))</f>
        <v/>
      </c>
      <c r="R415" s="49">
        <f>IF(C415="","",IF(O415&lt;&gt;"Booked","",IF(COUNTIF('CUSTOMERS'!$B$5:$B$404,C415)&gt;0,"✓ In CUSTOMERS","Add to CUSTOMERS")))</f>
        <v/>
      </c>
      <c r="S415" s="49">
        <f>IF(C415="","",IF(OR(J415="Booked",J415="Recurring Client",J415="Lost/Declined"),0,1))</f>
        <v/>
      </c>
      <c r="T415" s="51">
        <f>IF(B415="","",DATE(YEAR(B415),MONTH(B415),1))</f>
        <v/>
      </c>
      <c r="U415" s="49">
        <f>IF(OR(S415&lt;&gt;1,L415=""),"",COUNTIFS('LEADS'!$S$5:$S$504,1,'LEADS'!$L$5:$L$504,"&lt;"&amp;L415)+COUNTIFS($S$5:S415,1,$L$5:L415,L415))</f>
        <v/>
      </c>
    </row>
    <row r="416">
      <c r="A416" s="46" t="inlineStr">
        <is>
          <t>L-0412</t>
        </is>
      </c>
      <c r="B416" s="47" t="n"/>
      <c r="C416" s="38" t="n"/>
      <c r="D416" s="38" t="n"/>
      <c r="E416" s="38" t="n"/>
      <c r="F416" s="38" t="n"/>
      <c r="G416" s="38" t="n"/>
      <c r="H416" s="38" t="n"/>
      <c r="I416" s="48" t="n"/>
      <c r="J416" s="38" t="n"/>
      <c r="K416" s="47" t="n"/>
      <c r="L416" s="47" t="n"/>
      <c r="M416" s="38" t="n"/>
      <c r="N416" s="38" t="n"/>
      <c r="O416" s="49">
        <f>IF(C416="","",IF(OR(J416="Booked",J416="Recurring Client"),"Booked",IF(J416="Lost/Declined","Lost","Open")))</f>
        <v/>
      </c>
      <c r="P416" s="49">
        <f>IF(C416="","",IF(S416=0,"—",IF(L416="","Set date",IF(L416&lt;AsOf,"Overdue",IF(L416=AsOf,"Due today",IF(L416&lt;=AsOf+SoonDays,"Due soon","Scheduled"))))))</f>
        <v/>
      </c>
      <c r="Q416" s="50">
        <f>IF(C416="","",IF(B416="","",AsOf-B416))</f>
        <v/>
      </c>
      <c r="R416" s="49">
        <f>IF(C416="","",IF(O416&lt;&gt;"Booked","",IF(COUNTIF('CUSTOMERS'!$B$5:$B$404,C416)&gt;0,"✓ In CUSTOMERS","Add to CUSTOMERS")))</f>
        <v/>
      </c>
      <c r="S416" s="49">
        <f>IF(C416="","",IF(OR(J416="Booked",J416="Recurring Client",J416="Lost/Declined"),0,1))</f>
        <v/>
      </c>
      <c r="T416" s="51">
        <f>IF(B416="","",DATE(YEAR(B416),MONTH(B416),1))</f>
        <v/>
      </c>
      <c r="U416" s="49">
        <f>IF(OR(S416&lt;&gt;1,L416=""),"",COUNTIFS('LEADS'!$S$5:$S$504,1,'LEADS'!$L$5:$L$504,"&lt;"&amp;L416)+COUNTIFS($S$5:S416,1,$L$5:L416,L416))</f>
        <v/>
      </c>
    </row>
    <row r="417">
      <c r="A417" s="46" t="inlineStr">
        <is>
          <t>L-0413</t>
        </is>
      </c>
      <c r="B417" s="47" t="n"/>
      <c r="C417" s="38" t="n"/>
      <c r="D417" s="38" t="n"/>
      <c r="E417" s="38" t="n"/>
      <c r="F417" s="38" t="n"/>
      <c r="G417" s="38" t="n"/>
      <c r="H417" s="38" t="n"/>
      <c r="I417" s="48" t="n"/>
      <c r="J417" s="38" t="n"/>
      <c r="K417" s="47" t="n"/>
      <c r="L417" s="47" t="n"/>
      <c r="M417" s="38" t="n"/>
      <c r="N417" s="38" t="n"/>
      <c r="O417" s="49">
        <f>IF(C417="","",IF(OR(J417="Booked",J417="Recurring Client"),"Booked",IF(J417="Lost/Declined","Lost","Open")))</f>
        <v/>
      </c>
      <c r="P417" s="49">
        <f>IF(C417="","",IF(S417=0,"—",IF(L417="","Set date",IF(L417&lt;AsOf,"Overdue",IF(L417=AsOf,"Due today",IF(L417&lt;=AsOf+SoonDays,"Due soon","Scheduled"))))))</f>
        <v/>
      </c>
      <c r="Q417" s="50">
        <f>IF(C417="","",IF(B417="","",AsOf-B417))</f>
        <v/>
      </c>
      <c r="R417" s="49">
        <f>IF(C417="","",IF(O417&lt;&gt;"Booked","",IF(COUNTIF('CUSTOMERS'!$B$5:$B$404,C417)&gt;0,"✓ In CUSTOMERS","Add to CUSTOMERS")))</f>
        <v/>
      </c>
      <c r="S417" s="49">
        <f>IF(C417="","",IF(OR(J417="Booked",J417="Recurring Client",J417="Lost/Declined"),0,1))</f>
        <v/>
      </c>
      <c r="T417" s="51">
        <f>IF(B417="","",DATE(YEAR(B417),MONTH(B417),1))</f>
        <v/>
      </c>
      <c r="U417" s="49">
        <f>IF(OR(S417&lt;&gt;1,L417=""),"",COUNTIFS('LEADS'!$S$5:$S$504,1,'LEADS'!$L$5:$L$504,"&lt;"&amp;L417)+COUNTIFS($S$5:S417,1,$L$5:L417,L417))</f>
        <v/>
      </c>
    </row>
    <row r="418">
      <c r="A418" s="46" t="inlineStr">
        <is>
          <t>L-0414</t>
        </is>
      </c>
      <c r="B418" s="47" t="n"/>
      <c r="C418" s="38" t="n"/>
      <c r="D418" s="38" t="n"/>
      <c r="E418" s="38" t="n"/>
      <c r="F418" s="38" t="n"/>
      <c r="G418" s="38" t="n"/>
      <c r="H418" s="38" t="n"/>
      <c r="I418" s="48" t="n"/>
      <c r="J418" s="38" t="n"/>
      <c r="K418" s="47" t="n"/>
      <c r="L418" s="47" t="n"/>
      <c r="M418" s="38" t="n"/>
      <c r="N418" s="38" t="n"/>
      <c r="O418" s="49">
        <f>IF(C418="","",IF(OR(J418="Booked",J418="Recurring Client"),"Booked",IF(J418="Lost/Declined","Lost","Open")))</f>
        <v/>
      </c>
      <c r="P418" s="49">
        <f>IF(C418="","",IF(S418=0,"—",IF(L418="","Set date",IF(L418&lt;AsOf,"Overdue",IF(L418=AsOf,"Due today",IF(L418&lt;=AsOf+SoonDays,"Due soon","Scheduled"))))))</f>
        <v/>
      </c>
      <c r="Q418" s="50">
        <f>IF(C418="","",IF(B418="","",AsOf-B418))</f>
        <v/>
      </c>
      <c r="R418" s="49">
        <f>IF(C418="","",IF(O418&lt;&gt;"Booked","",IF(COUNTIF('CUSTOMERS'!$B$5:$B$404,C418)&gt;0,"✓ In CUSTOMERS","Add to CUSTOMERS")))</f>
        <v/>
      </c>
      <c r="S418" s="49">
        <f>IF(C418="","",IF(OR(J418="Booked",J418="Recurring Client",J418="Lost/Declined"),0,1))</f>
        <v/>
      </c>
      <c r="T418" s="51">
        <f>IF(B418="","",DATE(YEAR(B418),MONTH(B418),1))</f>
        <v/>
      </c>
      <c r="U418" s="49">
        <f>IF(OR(S418&lt;&gt;1,L418=""),"",COUNTIFS('LEADS'!$S$5:$S$504,1,'LEADS'!$L$5:$L$504,"&lt;"&amp;L418)+COUNTIFS($S$5:S418,1,$L$5:L418,L418))</f>
        <v/>
      </c>
    </row>
    <row r="419">
      <c r="A419" s="46" t="inlineStr">
        <is>
          <t>L-0415</t>
        </is>
      </c>
      <c r="B419" s="47" t="n"/>
      <c r="C419" s="38" t="n"/>
      <c r="D419" s="38" t="n"/>
      <c r="E419" s="38" t="n"/>
      <c r="F419" s="38" t="n"/>
      <c r="G419" s="38" t="n"/>
      <c r="H419" s="38" t="n"/>
      <c r="I419" s="48" t="n"/>
      <c r="J419" s="38" t="n"/>
      <c r="K419" s="47" t="n"/>
      <c r="L419" s="47" t="n"/>
      <c r="M419" s="38" t="n"/>
      <c r="N419" s="38" t="n"/>
      <c r="O419" s="49">
        <f>IF(C419="","",IF(OR(J419="Booked",J419="Recurring Client"),"Booked",IF(J419="Lost/Declined","Lost","Open")))</f>
        <v/>
      </c>
      <c r="P419" s="49">
        <f>IF(C419="","",IF(S419=0,"—",IF(L419="","Set date",IF(L419&lt;AsOf,"Overdue",IF(L419=AsOf,"Due today",IF(L419&lt;=AsOf+SoonDays,"Due soon","Scheduled"))))))</f>
        <v/>
      </c>
      <c r="Q419" s="50">
        <f>IF(C419="","",IF(B419="","",AsOf-B419))</f>
        <v/>
      </c>
      <c r="R419" s="49">
        <f>IF(C419="","",IF(O419&lt;&gt;"Booked","",IF(COUNTIF('CUSTOMERS'!$B$5:$B$404,C419)&gt;0,"✓ In CUSTOMERS","Add to CUSTOMERS")))</f>
        <v/>
      </c>
      <c r="S419" s="49">
        <f>IF(C419="","",IF(OR(J419="Booked",J419="Recurring Client",J419="Lost/Declined"),0,1))</f>
        <v/>
      </c>
      <c r="T419" s="51">
        <f>IF(B419="","",DATE(YEAR(B419),MONTH(B419),1))</f>
        <v/>
      </c>
      <c r="U419" s="49">
        <f>IF(OR(S419&lt;&gt;1,L419=""),"",COUNTIFS('LEADS'!$S$5:$S$504,1,'LEADS'!$L$5:$L$504,"&lt;"&amp;L419)+COUNTIFS($S$5:S419,1,$L$5:L419,L419))</f>
        <v/>
      </c>
    </row>
    <row r="420">
      <c r="A420" s="46" t="inlineStr">
        <is>
          <t>L-0416</t>
        </is>
      </c>
      <c r="B420" s="47" t="n"/>
      <c r="C420" s="38" t="n"/>
      <c r="D420" s="38" t="n"/>
      <c r="E420" s="38" t="n"/>
      <c r="F420" s="38" t="n"/>
      <c r="G420" s="38" t="n"/>
      <c r="H420" s="38" t="n"/>
      <c r="I420" s="48" t="n"/>
      <c r="J420" s="38" t="n"/>
      <c r="K420" s="47" t="n"/>
      <c r="L420" s="47" t="n"/>
      <c r="M420" s="38" t="n"/>
      <c r="N420" s="38" t="n"/>
      <c r="O420" s="49">
        <f>IF(C420="","",IF(OR(J420="Booked",J420="Recurring Client"),"Booked",IF(J420="Lost/Declined","Lost","Open")))</f>
        <v/>
      </c>
      <c r="P420" s="49">
        <f>IF(C420="","",IF(S420=0,"—",IF(L420="","Set date",IF(L420&lt;AsOf,"Overdue",IF(L420=AsOf,"Due today",IF(L420&lt;=AsOf+SoonDays,"Due soon","Scheduled"))))))</f>
        <v/>
      </c>
      <c r="Q420" s="50">
        <f>IF(C420="","",IF(B420="","",AsOf-B420))</f>
        <v/>
      </c>
      <c r="R420" s="49">
        <f>IF(C420="","",IF(O420&lt;&gt;"Booked","",IF(COUNTIF('CUSTOMERS'!$B$5:$B$404,C420)&gt;0,"✓ In CUSTOMERS","Add to CUSTOMERS")))</f>
        <v/>
      </c>
      <c r="S420" s="49">
        <f>IF(C420="","",IF(OR(J420="Booked",J420="Recurring Client",J420="Lost/Declined"),0,1))</f>
        <v/>
      </c>
      <c r="T420" s="51">
        <f>IF(B420="","",DATE(YEAR(B420),MONTH(B420),1))</f>
        <v/>
      </c>
      <c r="U420" s="49">
        <f>IF(OR(S420&lt;&gt;1,L420=""),"",COUNTIFS('LEADS'!$S$5:$S$504,1,'LEADS'!$L$5:$L$504,"&lt;"&amp;L420)+COUNTIFS($S$5:S420,1,$L$5:L420,L420))</f>
        <v/>
      </c>
    </row>
    <row r="421">
      <c r="A421" s="46" t="inlineStr">
        <is>
          <t>L-0417</t>
        </is>
      </c>
      <c r="B421" s="47" t="n"/>
      <c r="C421" s="38" t="n"/>
      <c r="D421" s="38" t="n"/>
      <c r="E421" s="38" t="n"/>
      <c r="F421" s="38" t="n"/>
      <c r="G421" s="38" t="n"/>
      <c r="H421" s="38" t="n"/>
      <c r="I421" s="48" t="n"/>
      <c r="J421" s="38" t="n"/>
      <c r="K421" s="47" t="n"/>
      <c r="L421" s="47" t="n"/>
      <c r="M421" s="38" t="n"/>
      <c r="N421" s="38" t="n"/>
      <c r="O421" s="49">
        <f>IF(C421="","",IF(OR(J421="Booked",J421="Recurring Client"),"Booked",IF(J421="Lost/Declined","Lost","Open")))</f>
        <v/>
      </c>
      <c r="P421" s="49">
        <f>IF(C421="","",IF(S421=0,"—",IF(L421="","Set date",IF(L421&lt;AsOf,"Overdue",IF(L421=AsOf,"Due today",IF(L421&lt;=AsOf+SoonDays,"Due soon","Scheduled"))))))</f>
        <v/>
      </c>
      <c r="Q421" s="50">
        <f>IF(C421="","",IF(B421="","",AsOf-B421))</f>
        <v/>
      </c>
      <c r="R421" s="49">
        <f>IF(C421="","",IF(O421&lt;&gt;"Booked","",IF(COUNTIF('CUSTOMERS'!$B$5:$B$404,C421)&gt;0,"✓ In CUSTOMERS","Add to CUSTOMERS")))</f>
        <v/>
      </c>
      <c r="S421" s="49">
        <f>IF(C421="","",IF(OR(J421="Booked",J421="Recurring Client",J421="Lost/Declined"),0,1))</f>
        <v/>
      </c>
      <c r="T421" s="51">
        <f>IF(B421="","",DATE(YEAR(B421),MONTH(B421),1))</f>
        <v/>
      </c>
      <c r="U421" s="49">
        <f>IF(OR(S421&lt;&gt;1,L421=""),"",COUNTIFS('LEADS'!$S$5:$S$504,1,'LEADS'!$L$5:$L$504,"&lt;"&amp;L421)+COUNTIFS($S$5:S421,1,$L$5:L421,L421))</f>
        <v/>
      </c>
    </row>
    <row r="422">
      <c r="A422" s="46" t="inlineStr">
        <is>
          <t>L-0418</t>
        </is>
      </c>
      <c r="B422" s="47" t="n"/>
      <c r="C422" s="38" t="n"/>
      <c r="D422" s="38" t="n"/>
      <c r="E422" s="38" t="n"/>
      <c r="F422" s="38" t="n"/>
      <c r="G422" s="38" t="n"/>
      <c r="H422" s="38" t="n"/>
      <c r="I422" s="48" t="n"/>
      <c r="J422" s="38" t="n"/>
      <c r="K422" s="47" t="n"/>
      <c r="L422" s="47" t="n"/>
      <c r="M422" s="38" t="n"/>
      <c r="N422" s="38" t="n"/>
      <c r="O422" s="49">
        <f>IF(C422="","",IF(OR(J422="Booked",J422="Recurring Client"),"Booked",IF(J422="Lost/Declined","Lost","Open")))</f>
        <v/>
      </c>
      <c r="P422" s="49">
        <f>IF(C422="","",IF(S422=0,"—",IF(L422="","Set date",IF(L422&lt;AsOf,"Overdue",IF(L422=AsOf,"Due today",IF(L422&lt;=AsOf+SoonDays,"Due soon","Scheduled"))))))</f>
        <v/>
      </c>
      <c r="Q422" s="50">
        <f>IF(C422="","",IF(B422="","",AsOf-B422))</f>
        <v/>
      </c>
      <c r="R422" s="49">
        <f>IF(C422="","",IF(O422&lt;&gt;"Booked","",IF(COUNTIF('CUSTOMERS'!$B$5:$B$404,C422)&gt;0,"✓ In CUSTOMERS","Add to CUSTOMERS")))</f>
        <v/>
      </c>
      <c r="S422" s="49">
        <f>IF(C422="","",IF(OR(J422="Booked",J422="Recurring Client",J422="Lost/Declined"),0,1))</f>
        <v/>
      </c>
      <c r="T422" s="51">
        <f>IF(B422="","",DATE(YEAR(B422),MONTH(B422),1))</f>
        <v/>
      </c>
      <c r="U422" s="49">
        <f>IF(OR(S422&lt;&gt;1,L422=""),"",COUNTIFS('LEADS'!$S$5:$S$504,1,'LEADS'!$L$5:$L$504,"&lt;"&amp;L422)+COUNTIFS($S$5:S422,1,$L$5:L422,L422))</f>
        <v/>
      </c>
    </row>
    <row r="423">
      <c r="A423" s="46" t="inlineStr">
        <is>
          <t>L-0419</t>
        </is>
      </c>
      <c r="B423" s="47" t="n"/>
      <c r="C423" s="38" t="n"/>
      <c r="D423" s="38" t="n"/>
      <c r="E423" s="38" t="n"/>
      <c r="F423" s="38" t="n"/>
      <c r="G423" s="38" t="n"/>
      <c r="H423" s="38" t="n"/>
      <c r="I423" s="48" t="n"/>
      <c r="J423" s="38" t="n"/>
      <c r="K423" s="47" t="n"/>
      <c r="L423" s="47" t="n"/>
      <c r="M423" s="38" t="n"/>
      <c r="N423" s="38" t="n"/>
      <c r="O423" s="49">
        <f>IF(C423="","",IF(OR(J423="Booked",J423="Recurring Client"),"Booked",IF(J423="Lost/Declined","Lost","Open")))</f>
        <v/>
      </c>
      <c r="P423" s="49">
        <f>IF(C423="","",IF(S423=0,"—",IF(L423="","Set date",IF(L423&lt;AsOf,"Overdue",IF(L423=AsOf,"Due today",IF(L423&lt;=AsOf+SoonDays,"Due soon","Scheduled"))))))</f>
        <v/>
      </c>
      <c r="Q423" s="50">
        <f>IF(C423="","",IF(B423="","",AsOf-B423))</f>
        <v/>
      </c>
      <c r="R423" s="49">
        <f>IF(C423="","",IF(O423&lt;&gt;"Booked","",IF(COUNTIF('CUSTOMERS'!$B$5:$B$404,C423)&gt;0,"✓ In CUSTOMERS","Add to CUSTOMERS")))</f>
        <v/>
      </c>
      <c r="S423" s="49">
        <f>IF(C423="","",IF(OR(J423="Booked",J423="Recurring Client",J423="Lost/Declined"),0,1))</f>
        <v/>
      </c>
      <c r="T423" s="51">
        <f>IF(B423="","",DATE(YEAR(B423),MONTH(B423),1))</f>
        <v/>
      </c>
      <c r="U423" s="49">
        <f>IF(OR(S423&lt;&gt;1,L423=""),"",COUNTIFS('LEADS'!$S$5:$S$504,1,'LEADS'!$L$5:$L$504,"&lt;"&amp;L423)+COUNTIFS($S$5:S423,1,$L$5:L423,L423))</f>
        <v/>
      </c>
    </row>
    <row r="424">
      <c r="A424" s="46" t="inlineStr">
        <is>
          <t>L-0420</t>
        </is>
      </c>
      <c r="B424" s="47" t="n"/>
      <c r="C424" s="38" t="n"/>
      <c r="D424" s="38" t="n"/>
      <c r="E424" s="38" t="n"/>
      <c r="F424" s="38" t="n"/>
      <c r="G424" s="38" t="n"/>
      <c r="H424" s="38" t="n"/>
      <c r="I424" s="48" t="n"/>
      <c r="J424" s="38" t="n"/>
      <c r="K424" s="47" t="n"/>
      <c r="L424" s="47" t="n"/>
      <c r="M424" s="38" t="n"/>
      <c r="N424" s="38" t="n"/>
      <c r="O424" s="49">
        <f>IF(C424="","",IF(OR(J424="Booked",J424="Recurring Client"),"Booked",IF(J424="Lost/Declined","Lost","Open")))</f>
        <v/>
      </c>
      <c r="P424" s="49">
        <f>IF(C424="","",IF(S424=0,"—",IF(L424="","Set date",IF(L424&lt;AsOf,"Overdue",IF(L424=AsOf,"Due today",IF(L424&lt;=AsOf+SoonDays,"Due soon","Scheduled"))))))</f>
        <v/>
      </c>
      <c r="Q424" s="50">
        <f>IF(C424="","",IF(B424="","",AsOf-B424))</f>
        <v/>
      </c>
      <c r="R424" s="49">
        <f>IF(C424="","",IF(O424&lt;&gt;"Booked","",IF(COUNTIF('CUSTOMERS'!$B$5:$B$404,C424)&gt;0,"✓ In CUSTOMERS","Add to CUSTOMERS")))</f>
        <v/>
      </c>
      <c r="S424" s="49">
        <f>IF(C424="","",IF(OR(J424="Booked",J424="Recurring Client",J424="Lost/Declined"),0,1))</f>
        <v/>
      </c>
      <c r="T424" s="51">
        <f>IF(B424="","",DATE(YEAR(B424),MONTH(B424),1))</f>
        <v/>
      </c>
      <c r="U424" s="49">
        <f>IF(OR(S424&lt;&gt;1,L424=""),"",COUNTIFS('LEADS'!$S$5:$S$504,1,'LEADS'!$L$5:$L$504,"&lt;"&amp;L424)+COUNTIFS($S$5:S424,1,$L$5:L424,L424))</f>
        <v/>
      </c>
    </row>
    <row r="425">
      <c r="A425" s="46" t="inlineStr">
        <is>
          <t>L-0421</t>
        </is>
      </c>
      <c r="B425" s="47" t="n"/>
      <c r="C425" s="38" t="n"/>
      <c r="D425" s="38" t="n"/>
      <c r="E425" s="38" t="n"/>
      <c r="F425" s="38" t="n"/>
      <c r="G425" s="38" t="n"/>
      <c r="H425" s="38" t="n"/>
      <c r="I425" s="48" t="n"/>
      <c r="J425" s="38" t="n"/>
      <c r="K425" s="47" t="n"/>
      <c r="L425" s="47" t="n"/>
      <c r="M425" s="38" t="n"/>
      <c r="N425" s="38" t="n"/>
      <c r="O425" s="49">
        <f>IF(C425="","",IF(OR(J425="Booked",J425="Recurring Client"),"Booked",IF(J425="Lost/Declined","Lost","Open")))</f>
        <v/>
      </c>
      <c r="P425" s="49">
        <f>IF(C425="","",IF(S425=0,"—",IF(L425="","Set date",IF(L425&lt;AsOf,"Overdue",IF(L425=AsOf,"Due today",IF(L425&lt;=AsOf+SoonDays,"Due soon","Scheduled"))))))</f>
        <v/>
      </c>
      <c r="Q425" s="50">
        <f>IF(C425="","",IF(B425="","",AsOf-B425))</f>
        <v/>
      </c>
      <c r="R425" s="49">
        <f>IF(C425="","",IF(O425&lt;&gt;"Booked","",IF(COUNTIF('CUSTOMERS'!$B$5:$B$404,C425)&gt;0,"✓ In CUSTOMERS","Add to CUSTOMERS")))</f>
        <v/>
      </c>
      <c r="S425" s="49">
        <f>IF(C425="","",IF(OR(J425="Booked",J425="Recurring Client",J425="Lost/Declined"),0,1))</f>
        <v/>
      </c>
      <c r="T425" s="51">
        <f>IF(B425="","",DATE(YEAR(B425),MONTH(B425),1))</f>
        <v/>
      </c>
      <c r="U425" s="49">
        <f>IF(OR(S425&lt;&gt;1,L425=""),"",COUNTIFS('LEADS'!$S$5:$S$504,1,'LEADS'!$L$5:$L$504,"&lt;"&amp;L425)+COUNTIFS($S$5:S425,1,$L$5:L425,L425))</f>
        <v/>
      </c>
    </row>
    <row r="426">
      <c r="A426" s="46" t="inlineStr">
        <is>
          <t>L-0422</t>
        </is>
      </c>
      <c r="B426" s="47" t="n"/>
      <c r="C426" s="38" t="n"/>
      <c r="D426" s="38" t="n"/>
      <c r="E426" s="38" t="n"/>
      <c r="F426" s="38" t="n"/>
      <c r="G426" s="38" t="n"/>
      <c r="H426" s="38" t="n"/>
      <c r="I426" s="48" t="n"/>
      <c r="J426" s="38" t="n"/>
      <c r="K426" s="47" t="n"/>
      <c r="L426" s="47" t="n"/>
      <c r="M426" s="38" t="n"/>
      <c r="N426" s="38" t="n"/>
      <c r="O426" s="49">
        <f>IF(C426="","",IF(OR(J426="Booked",J426="Recurring Client"),"Booked",IF(J426="Lost/Declined","Lost","Open")))</f>
        <v/>
      </c>
      <c r="P426" s="49">
        <f>IF(C426="","",IF(S426=0,"—",IF(L426="","Set date",IF(L426&lt;AsOf,"Overdue",IF(L426=AsOf,"Due today",IF(L426&lt;=AsOf+SoonDays,"Due soon","Scheduled"))))))</f>
        <v/>
      </c>
      <c r="Q426" s="50">
        <f>IF(C426="","",IF(B426="","",AsOf-B426))</f>
        <v/>
      </c>
      <c r="R426" s="49">
        <f>IF(C426="","",IF(O426&lt;&gt;"Booked","",IF(COUNTIF('CUSTOMERS'!$B$5:$B$404,C426)&gt;0,"✓ In CUSTOMERS","Add to CUSTOMERS")))</f>
        <v/>
      </c>
      <c r="S426" s="49">
        <f>IF(C426="","",IF(OR(J426="Booked",J426="Recurring Client",J426="Lost/Declined"),0,1))</f>
        <v/>
      </c>
      <c r="T426" s="51">
        <f>IF(B426="","",DATE(YEAR(B426),MONTH(B426),1))</f>
        <v/>
      </c>
      <c r="U426" s="49">
        <f>IF(OR(S426&lt;&gt;1,L426=""),"",COUNTIFS('LEADS'!$S$5:$S$504,1,'LEADS'!$L$5:$L$504,"&lt;"&amp;L426)+COUNTIFS($S$5:S426,1,$L$5:L426,L426))</f>
        <v/>
      </c>
    </row>
    <row r="427">
      <c r="A427" s="46" t="inlineStr">
        <is>
          <t>L-0423</t>
        </is>
      </c>
      <c r="B427" s="47" t="n"/>
      <c r="C427" s="38" t="n"/>
      <c r="D427" s="38" t="n"/>
      <c r="E427" s="38" t="n"/>
      <c r="F427" s="38" t="n"/>
      <c r="G427" s="38" t="n"/>
      <c r="H427" s="38" t="n"/>
      <c r="I427" s="48" t="n"/>
      <c r="J427" s="38" t="n"/>
      <c r="K427" s="47" t="n"/>
      <c r="L427" s="47" t="n"/>
      <c r="M427" s="38" t="n"/>
      <c r="N427" s="38" t="n"/>
      <c r="O427" s="49">
        <f>IF(C427="","",IF(OR(J427="Booked",J427="Recurring Client"),"Booked",IF(J427="Lost/Declined","Lost","Open")))</f>
        <v/>
      </c>
      <c r="P427" s="49">
        <f>IF(C427="","",IF(S427=0,"—",IF(L427="","Set date",IF(L427&lt;AsOf,"Overdue",IF(L427=AsOf,"Due today",IF(L427&lt;=AsOf+SoonDays,"Due soon","Scheduled"))))))</f>
        <v/>
      </c>
      <c r="Q427" s="50">
        <f>IF(C427="","",IF(B427="","",AsOf-B427))</f>
        <v/>
      </c>
      <c r="R427" s="49">
        <f>IF(C427="","",IF(O427&lt;&gt;"Booked","",IF(COUNTIF('CUSTOMERS'!$B$5:$B$404,C427)&gt;0,"✓ In CUSTOMERS","Add to CUSTOMERS")))</f>
        <v/>
      </c>
      <c r="S427" s="49">
        <f>IF(C427="","",IF(OR(J427="Booked",J427="Recurring Client",J427="Lost/Declined"),0,1))</f>
        <v/>
      </c>
      <c r="T427" s="51">
        <f>IF(B427="","",DATE(YEAR(B427),MONTH(B427),1))</f>
        <v/>
      </c>
      <c r="U427" s="49">
        <f>IF(OR(S427&lt;&gt;1,L427=""),"",COUNTIFS('LEADS'!$S$5:$S$504,1,'LEADS'!$L$5:$L$504,"&lt;"&amp;L427)+COUNTIFS($S$5:S427,1,$L$5:L427,L427))</f>
        <v/>
      </c>
    </row>
    <row r="428">
      <c r="A428" s="46" t="inlineStr">
        <is>
          <t>L-0424</t>
        </is>
      </c>
      <c r="B428" s="47" t="n"/>
      <c r="C428" s="38" t="n"/>
      <c r="D428" s="38" t="n"/>
      <c r="E428" s="38" t="n"/>
      <c r="F428" s="38" t="n"/>
      <c r="G428" s="38" t="n"/>
      <c r="H428" s="38" t="n"/>
      <c r="I428" s="48" t="n"/>
      <c r="J428" s="38" t="n"/>
      <c r="K428" s="47" t="n"/>
      <c r="L428" s="47" t="n"/>
      <c r="M428" s="38" t="n"/>
      <c r="N428" s="38" t="n"/>
      <c r="O428" s="49">
        <f>IF(C428="","",IF(OR(J428="Booked",J428="Recurring Client"),"Booked",IF(J428="Lost/Declined","Lost","Open")))</f>
        <v/>
      </c>
      <c r="P428" s="49">
        <f>IF(C428="","",IF(S428=0,"—",IF(L428="","Set date",IF(L428&lt;AsOf,"Overdue",IF(L428=AsOf,"Due today",IF(L428&lt;=AsOf+SoonDays,"Due soon","Scheduled"))))))</f>
        <v/>
      </c>
      <c r="Q428" s="50">
        <f>IF(C428="","",IF(B428="","",AsOf-B428))</f>
        <v/>
      </c>
      <c r="R428" s="49">
        <f>IF(C428="","",IF(O428&lt;&gt;"Booked","",IF(COUNTIF('CUSTOMERS'!$B$5:$B$404,C428)&gt;0,"✓ In CUSTOMERS","Add to CUSTOMERS")))</f>
        <v/>
      </c>
      <c r="S428" s="49">
        <f>IF(C428="","",IF(OR(J428="Booked",J428="Recurring Client",J428="Lost/Declined"),0,1))</f>
        <v/>
      </c>
      <c r="T428" s="51">
        <f>IF(B428="","",DATE(YEAR(B428),MONTH(B428),1))</f>
        <v/>
      </c>
      <c r="U428" s="49">
        <f>IF(OR(S428&lt;&gt;1,L428=""),"",COUNTIFS('LEADS'!$S$5:$S$504,1,'LEADS'!$L$5:$L$504,"&lt;"&amp;L428)+COUNTIFS($S$5:S428,1,$L$5:L428,L428))</f>
        <v/>
      </c>
    </row>
    <row r="429">
      <c r="A429" s="46" t="inlineStr">
        <is>
          <t>L-0425</t>
        </is>
      </c>
      <c r="B429" s="47" t="n"/>
      <c r="C429" s="38" t="n"/>
      <c r="D429" s="38" t="n"/>
      <c r="E429" s="38" t="n"/>
      <c r="F429" s="38" t="n"/>
      <c r="G429" s="38" t="n"/>
      <c r="H429" s="38" t="n"/>
      <c r="I429" s="48" t="n"/>
      <c r="J429" s="38" t="n"/>
      <c r="K429" s="47" t="n"/>
      <c r="L429" s="47" t="n"/>
      <c r="M429" s="38" t="n"/>
      <c r="N429" s="38" t="n"/>
      <c r="O429" s="49">
        <f>IF(C429="","",IF(OR(J429="Booked",J429="Recurring Client"),"Booked",IF(J429="Lost/Declined","Lost","Open")))</f>
        <v/>
      </c>
      <c r="P429" s="49">
        <f>IF(C429="","",IF(S429=0,"—",IF(L429="","Set date",IF(L429&lt;AsOf,"Overdue",IF(L429=AsOf,"Due today",IF(L429&lt;=AsOf+SoonDays,"Due soon","Scheduled"))))))</f>
        <v/>
      </c>
      <c r="Q429" s="50">
        <f>IF(C429="","",IF(B429="","",AsOf-B429))</f>
        <v/>
      </c>
      <c r="R429" s="49">
        <f>IF(C429="","",IF(O429&lt;&gt;"Booked","",IF(COUNTIF('CUSTOMERS'!$B$5:$B$404,C429)&gt;0,"✓ In CUSTOMERS","Add to CUSTOMERS")))</f>
        <v/>
      </c>
      <c r="S429" s="49">
        <f>IF(C429="","",IF(OR(J429="Booked",J429="Recurring Client",J429="Lost/Declined"),0,1))</f>
        <v/>
      </c>
      <c r="T429" s="51">
        <f>IF(B429="","",DATE(YEAR(B429),MONTH(B429),1))</f>
        <v/>
      </c>
      <c r="U429" s="49">
        <f>IF(OR(S429&lt;&gt;1,L429=""),"",COUNTIFS('LEADS'!$S$5:$S$504,1,'LEADS'!$L$5:$L$504,"&lt;"&amp;L429)+COUNTIFS($S$5:S429,1,$L$5:L429,L429))</f>
        <v/>
      </c>
    </row>
    <row r="430">
      <c r="A430" s="46" t="inlineStr">
        <is>
          <t>L-0426</t>
        </is>
      </c>
      <c r="B430" s="47" t="n"/>
      <c r="C430" s="38" t="n"/>
      <c r="D430" s="38" t="n"/>
      <c r="E430" s="38" t="n"/>
      <c r="F430" s="38" t="n"/>
      <c r="G430" s="38" t="n"/>
      <c r="H430" s="38" t="n"/>
      <c r="I430" s="48" t="n"/>
      <c r="J430" s="38" t="n"/>
      <c r="K430" s="47" t="n"/>
      <c r="L430" s="47" t="n"/>
      <c r="M430" s="38" t="n"/>
      <c r="N430" s="38" t="n"/>
      <c r="O430" s="49">
        <f>IF(C430="","",IF(OR(J430="Booked",J430="Recurring Client"),"Booked",IF(J430="Lost/Declined","Lost","Open")))</f>
        <v/>
      </c>
      <c r="P430" s="49">
        <f>IF(C430="","",IF(S430=0,"—",IF(L430="","Set date",IF(L430&lt;AsOf,"Overdue",IF(L430=AsOf,"Due today",IF(L430&lt;=AsOf+SoonDays,"Due soon","Scheduled"))))))</f>
        <v/>
      </c>
      <c r="Q430" s="50">
        <f>IF(C430="","",IF(B430="","",AsOf-B430))</f>
        <v/>
      </c>
      <c r="R430" s="49">
        <f>IF(C430="","",IF(O430&lt;&gt;"Booked","",IF(COUNTIF('CUSTOMERS'!$B$5:$B$404,C430)&gt;0,"✓ In CUSTOMERS","Add to CUSTOMERS")))</f>
        <v/>
      </c>
      <c r="S430" s="49">
        <f>IF(C430="","",IF(OR(J430="Booked",J430="Recurring Client",J430="Lost/Declined"),0,1))</f>
        <v/>
      </c>
      <c r="T430" s="51">
        <f>IF(B430="","",DATE(YEAR(B430),MONTH(B430),1))</f>
        <v/>
      </c>
      <c r="U430" s="49">
        <f>IF(OR(S430&lt;&gt;1,L430=""),"",COUNTIFS('LEADS'!$S$5:$S$504,1,'LEADS'!$L$5:$L$504,"&lt;"&amp;L430)+COUNTIFS($S$5:S430,1,$L$5:L430,L430))</f>
        <v/>
      </c>
    </row>
    <row r="431">
      <c r="A431" s="46" t="inlineStr">
        <is>
          <t>L-0427</t>
        </is>
      </c>
      <c r="B431" s="47" t="n"/>
      <c r="C431" s="38" t="n"/>
      <c r="D431" s="38" t="n"/>
      <c r="E431" s="38" t="n"/>
      <c r="F431" s="38" t="n"/>
      <c r="G431" s="38" t="n"/>
      <c r="H431" s="38" t="n"/>
      <c r="I431" s="48" t="n"/>
      <c r="J431" s="38" t="n"/>
      <c r="K431" s="47" t="n"/>
      <c r="L431" s="47" t="n"/>
      <c r="M431" s="38" t="n"/>
      <c r="N431" s="38" t="n"/>
      <c r="O431" s="49">
        <f>IF(C431="","",IF(OR(J431="Booked",J431="Recurring Client"),"Booked",IF(J431="Lost/Declined","Lost","Open")))</f>
        <v/>
      </c>
      <c r="P431" s="49">
        <f>IF(C431="","",IF(S431=0,"—",IF(L431="","Set date",IF(L431&lt;AsOf,"Overdue",IF(L431=AsOf,"Due today",IF(L431&lt;=AsOf+SoonDays,"Due soon","Scheduled"))))))</f>
        <v/>
      </c>
      <c r="Q431" s="50">
        <f>IF(C431="","",IF(B431="","",AsOf-B431))</f>
        <v/>
      </c>
      <c r="R431" s="49">
        <f>IF(C431="","",IF(O431&lt;&gt;"Booked","",IF(COUNTIF('CUSTOMERS'!$B$5:$B$404,C431)&gt;0,"✓ In CUSTOMERS","Add to CUSTOMERS")))</f>
        <v/>
      </c>
      <c r="S431" s="49">
        <f>IF(C431="","",IF(OR(J431="Booked",J431="Recurring Client",J431="Lost/Declined"),0,1))</f>
        <v/>
      </c>
      <c r="T431" s="51">
        <f>IF(B431="","",DATE(YEAR(B431),MONTH(B431),1))</f>
        <v/>
      </c>
      <c r="U431" s="49">
        <f>IF(OR(S431&lt;&gt;1,L431=""),"",COUNTIFS('LEADS'!$S$5:$S$504,1,'LEADS'!$L$5:$L$504,"&lt;"&amp;L431)+COUNTIFS($S$5:S431,1,$L$5:L431,L431))</f>
        <v/>
      </c>
    </row>
    <row r="432">
      <c r="A432" s="46" t="inlineStr">
        <is>
          <t>L-0428</t>
        </is>
      </c>
      <c r="B432" s="47" t="n"/>
      <c r="C432" s="38" t="n"/>
      <c r="D432" s="38" t="n"/>
      <c r="E432" s="38" t="n"/>
      <c r="F432" s="38" t="n"/>
      <c r="G432" s="38" t="n"/>
      <c r="H432" s="38" t="n"/>
      <c r="I432" s="48" t="n"/>
      <c r="J432" s="38" t="n"/>
      <c r="K432" s="47" t="n"/>
      <c r="L432" s="47" t="n"/>
      <c r="M432" s="38" t="n"/>
      <c r="N432" s="38" t="n"/>
      <c r="O432" s="49">
        <f>IF(C432="","",IF(OR(J432="Booked",J432="Recurring Client"),"Booked",IF(J432="Lost/Declined","Lost","Open")))</f>
        <v/>
      </c>
      <c r="P432" s="49">
        <f>IF(C432="","",IF(S432=0,"—",IF(L432="","Set date",IF(L432&lt;AsOf,"Overdue",IF(L432=AsOf,"Due today",IF(L432&lt;=AsOf+SoonDays,"Due soon","Scheduled"))))))</f>
        <v/>
      </c>
      <c r="Q432" s="50">
        <f>IF(C432="","",IF(B432="","",AsOf-B432))</f>
        <v/>
      </c>
      <c r="R432" s="49">
        <f>IF(C432="","",IF(O432&lt;&gt;"Booked","",IF(COUNTIF('CUSTOMERS'!$B$5:$B$404,C432)&gt;0,"✓ In CUSTOMERS","Add to CUSTOMERS")))</f>
        <v/>
      </c>
      <c r="S432" s="49">
        <f>IF(C432="","",IF(OR(J432="Booked",J432="Recurring Client",J432="Lost/Declined"),0,1))</f>
        <v/>
      </c>
      <c r="T432" s="51">
        <f>IF(B432="","",DATE(YEAR(B432),MONTH(B432),1))</f>
        <v/>
      </c>
      <c r="U432" s="49">
        <f>IF(OR(S432&lt;&gt;1,L432=""),"",COUNTIFS('LEADS'!$S$5:$S$504,1,'LEADS'!$L$5:$L$504,"&lt;"&amp;L432)+COUNTIFS($S$5:S432,1,$L$5:L432,L432))</f>
        <v/>
      </c>
    </row>
    <row r="433">
      <c r="A433" s="46" t="inlineStr">
        <is>
          <t>L-0429</t>
        </is>
      </c>
      <c r="B433" s="47" t="n"/>
      <c r="C433" s="38" t="n"/>
      <c r="D433" s="38" t="n"/>
      <c r="E433" s="38" t="n"/>
      <c r="F433" s="38" t="n"/>
      <c r="G433" s="38" t="n"/>
      <c r="H433" s="38" t="n"/>
      <c r="I433" s="48" t="n"/>
      <c r="J433" s="38" t="n"/>
      <c r="K433" s="47" t="n"/>
      <c r="L433" s="47" t="n"/>
      <c r="M433" s="38" t="n"/>
      <c r="N433" s="38" t="n"/>
      <c r="O433" s="49">
        <f>IF(C433="","",IF(OR(J433="Booked",J433="Recurring Client"),"Booked",IF(J433="Lost/Declined","Lost","Open")))</f>
        <v/>
      </c>
      <c r="P433" s="49">
        <f>IF(C433="","",IF(S433=0,"—",IF(L433="","Set date",IF(L433&lt;AsOf,"Overdue",IF(L433=AsOf,"Due today",IF(L433&lt;=AsOf+SoonDays,"Due soon","Scheduled"))))))</f>
        <v/>
      </c>
      <c r="Q433" s="50">
        <f>IF(C433="","",IF(B433="","",AsOf-B433))</f>
        <v/>
      </c>
      <c r="R433" s="49">
        <f>IF(C433="","",IF(O433&lt;&gt;"Booked","",IF(COUNTIF('CUSTOMERS'!$B$5:$B$404,C433)&gt;0,"✓ In CUSTOMERS","Add to CUSTOMERS")))</f>
        <v/>
      </c>
      <c r="S433" s="49">
        <f>IF(C433="","",IF(OR(J433="Booked",J433="Recurring Client",J433="Lost/Declined"),0,1))</f>
        <v/>
      </c>
      <c r="T433" s="51">
        <f>IF(B433="","",DATE(YEAR(B433),MONTH(B433),1))</f>
        <v/>
      </c>
      <c r="U433" s="49">
        <f>IF(OR(S433&lt;&gt;1,L433=""),"",COUNTIFS('LEADS'!$S$5:$S$504,1,'LEADS'!$L$5:$L$504,"&lt;"&amp;L433)+COUNTIFS($S$5:S433,1,$L$5:L433,L433))</f>
        <v/>
      </c>
    </row>
    <row r="434">
      <c r="A434" s="46" t="inlineStr">
        <is>
          <t>L-0430</t>
        </is>
      </c>
      <c r="B434" s="47" t="n"/>
      <c r="C434" s="38" t="n"/>
      <c r="D434" s="38" t="n"/>
      <c r="E434" s="38" t="n"/>
      <c r="F434" s="38" t="n"/>
      <c r="G434" s="38" t="n"/>
      <c r="H434" s="38" t="n"/>
      <c r="I434" s="48" t="n"/>
      <c r="J434" s="38" t="n"/>
      <c r="K434" s="47" t="n"/>
      <c r="L434" s="47" t="n"/>
      <c r="M434" s="38" t="n"/>
      <c r="N434" s="38" t="n"/>
      <c r="O434" s="49">
        <f>IF(C434="","",IF(OR(J434="Booked",J434="Recurring Client"),"Booked",IF(J434="Lost/Declined","Lost","Open")))</f>
        <v/>
      </c>
      <c r="P434" s="49">
        <f>IF(C434="","",IF(S434=0,"—",IF(L434="","Set date",IF(L434&lt;AsOf,"Overdue",IF(L434=AsOf,"Due today",IF(L434&lt;=AsOf+SoonDays,"Due soon","Scheduled"))))))</f>
        <v/>
      </c>
      <c r="Q434" s="50">
        <f>IF(C434="","",IF(B434="","",AsOf-B434))</f>
        <v/>
      </c>
      <c r="R434" s="49">
        <f>IF(C434="","",IF(O434&lt;&gt;"Booked","",IF(COUNTIF('CUSTOMERS'!$B$5:$B$404,C434)&gt;0,"✓ In CUSTOMERS","Add to CUSTOMERS")))</f>
        <v/>
      </c>
      <c r="S434" s="49">
        <f>IF(C434="","",IF(OR(J434="Booked",J434="Recurring Client",J434="Lost/Declined"),0,1))</f>
        <v/>
      </c>
      <c r="T434" s="51">
        <f>IF(B434="","",DATE(YEAR(B434),MONTH(B434),1))</f>
        <v/>
      </c>
      <c r="U434" s="49">
        <f>IF(OR(S434&lt;&gt;1,L434=""),"",COUNTIFS('LEADS'!$S$5:$S$504,1,'LEADS'!$L$5:$L$504,"&lt;"&amp;L434)+COUNTIFS($S$5:S434,1,$L$5:L434,L434))</f>
        <v/>
      </c>
    </row>
    <row r="435">
      <c r="A435" s="46" t="inlineStr">
        <is>
          <t>L-0431</t>
        </is>
      </c>
      <c r="B435" s="47" t="n"/>
      <c r="C435" s="38" t="n"/>
      <c r="D435" s="38" t="n"/>
      <c r="E435" s="38" t="n"/>
      <c r="F435" s="38" t="n"/>
      <c r="G435" s="38" t="n"/>
      <c r="H435" s="38" t="n"/>
      <c r="I435" s="48" t="n"/>
      <c r="J435" s="38" t="n"/>
      <c r="K435" s="47" t="n"/>
      <c r="L435" s="47" t="n"/>
      <c r="M435" s="38" t="n"/>
      <c r="N435" s="38" t="n"/>
      <c r="O435" s="49">
        <f>IF(C435="","",IF(OR(J435="Booked",J435="Recurring Client"),"Booked",IF(J435="Lost/Declined","Lost","Open")))</f>
        <v/>
      </c>
      <c r="P435" s="49">
        <f>IF(C435="","",IF(S435=0,"—",IF(L435="","Set date",IF(L435&lt;AsOf,"Overdue",IF(L435=AsOf,"Due today",IF(L435&lt;=AsOf+SoonDays,"Due soon","Scheduled"))))))</f>
        <v/>
      </c>
      <c r="Q435" s="50">
        <f>IF(C435="","",IF(B435="","",AsOf-B435))</f>
        <v/>
      </c>
      <c r="R435" s="49">
        <f>IF(C435="","",IF(O435&lt;&gt;"Booked","",IF(COUNTIF('CUSTOMERS'!$B$5:$B$404,C435)&gt;0,"✓ In CUSTOMERS","Add to CUSTOMERS")))</f>
        <v/>
      </c>
      <c r="S435" s="49">
        <f>IF(C435="","",IF(OR(J435="Booked",J435="Recurring Client",J435="Lost/Declined"),0,1))</f>
        <v/>
      </c>
      <c r="T435" s="51">
        <f>IF(B435="","",DATE(YEAR(B435),MONTH(B435),1))</f>
        <v/>
      </c>
      <c r="U435" s="49">
        <f>IF(OR(S435&lt;&gt;1,L435=""),"",COUNTIFS('LEADS'!$S$5:$S$504,1,'LEADS'!$L$5:$L$504,"&lt;"&amp;L435)+COUNTIFS($S$5:S435,1,$L$5:L435,L435))</f>
        <v/>
      </c>
    </row>
    <row r="436">
      <c r="A436" s="46" t="inlineStr">
        <is>
          <t>L-0432</t>
        </is>
      </c>
      <c r="B436" s="47" t="n"/>
      <c r="C436" s="38" t="n"/>
      <c r="D436" s="38" t="n"/>
      <c r="E436" s="38" t="n"/>
      <c r="F436" s="38" t="n"/>
      <c r="G436" s="38" t="n"/>
      <c r="H436" s="38" t="n"/>
      <c r="I436" s="48" t="n"/>
      <c r="J436" s="38" t="n"/>
      <c r="K436" s="47" t="n"/>
      <c r="L436" s="47" t="n"/>
      <c r="M436" s="38" t="n"/>
      <c r="N436" s="38" t="n"/>
      <c r="O436" s="49">
        <f>IF(C436="","",IF(OR(J436="Booked",J436="Recurring Client"),"Booked",IF(J436="Lost/Declined","Lost","Open")))</f>
        <v/>
      </c>
      <c r="P436" s="49">
        <f>IF(C436="","",IF(S436=0,"—",IF(L436="","Set date",IF(L436&lt;AsOf,"Overdue",IF(L436=AsOf,"Due today",IF(L436&lt;=AsOf+SoonDays,"Due soon","Scheduled"))))))</f>
        <v/>
      </c>
      <c r="Q436" s="50">
        <f>IF(C436="","",IF(B436="","",AsOf-B436))</f>
        <v/>
      </c>
      <c r="R436" s="49">
        <f>IF(C436="","",IF(O436&lt;&gt;"Booked","",IF(COUNTIF('CUSTOMERS'!$B$5:$B$404,C436)&gt;0,"✓ In CUSTOMERS","Add to CUSTOMERS")))</f>
        <v/>
      </c>
      <c r="S436" s="49">
        <f>IF(C436="","",IF(OR(J436="Booked",J436="Recurring Client",J436="Lost/Declined"),0,1))</f>
        <v/>
      </c>
      <c r="T436" s="51">
        <f>IF(B436="","",DATE(YEAR(B436),MONTH(B436),1))</f>
        <v/>
      </c>
      <c r="U436" s="49">
        <f>IF(OR(S436&lt;&gt;1,L436=""),"",COUNTIFS('LEADS'!$S$5:$S$504,1,'LEADS'!$L$5:$L$504,"&lt;"&amp;L436)+COUNTIFS($S$5:S436,1,$L$5:L436,L436))</f>
        <v/>
      </c>
    </row>
    <row r="437">
      <c r="A437" s="46" t="inlineStr">
        <is>
          <t>L-0433</t>
        </is>
      </c>
      <c r="B437" s="47" t="n"/>
      <c r="C437" s="38" t="n"/>
      <c r="D437" s="38" t="n"/>
      <c r="E437" s="38" t="n"/>
      <c r="F437" s="38" t="n"/>
      <c r="G437" s="38" t="n"/>
      <c r="H437" s="38" t="n"/>
      <c r="I437" s="48" t="n"/>
      <c r="J437" s="38" t="n"/>
      <c r="K437" s="47" t="n"/>
      <c r="L437" s="47" t="n"/>
      <c r="M437" s="38" t="n"/>
      <c r="N437" s="38" t="n"/>
      <c r="O437" s="49">
        <f>IF(C437="","",IF(OR(J437="Booked",J437="Recurring Client"),"Booked",IF(J437="Lost/Declined","Lost","Open")))</f>
        <v/>
      </c>
      <c r="P437" s="49">
        <f>IF(C437="","",IF(S437=0,"—",IF(L437="","Set date",IF(L437&lt;AsOf,"Overdue",IF(L437=AsOf,"Due today",IF(L437&lt;=AsOf+SoonDays,"Due soon","Scheduled"))))))</f>
        <v/>
      </c>
      <c r="Q437" s="50">
        <f>IF(C437="","",IF(B437="","",AsOf-B437))</f>
        <v/>
      </c>
      <c r="R437" s="49">
        <f>IF(C437="","",IF(O437&lt;&gt;"Booked","",IF(COUNTIF('CUSTOMERS'!$B$5:$B$404,C437)&gt;0,"✓ In CUSTOMERS","Add to CUSTOMERS")))</f>
        <v/>
      </c>
      <c r="S437" s="49">
        <f>IF(C437="","",IF(OR(J437="Booked",J437="Recurring Client",J437="Lost/Declined"),0,1))</f>
        <v/>
      </c>
      <c r="T437" s="51">
        <f>IF(B437="","",DATE(YEAR(B437),MONTH(B437),1))</f>
        <v/>
      </c>
      <c r="U437" s="49">
        <f>IF(OR(S437&lt;&gt;1,L437=""),"",COUNTIFS('LEADS'!$S$5:$S$504,1,'LEADS'!$L$5:$L$504,"&lt;"&amp;L437)+COUNTIFS($S$5:S437,1,$L$5:L437,L437))</f>
        <v/>
      </c>
    </row>
    <row r="438">
      <c r="A438" s="46" t="inlineStr">
        <is>
          <t>L-0434</t>
        </is>
      </c>
      <c r="B438" s="47" t="n"/>
      <c r="C438" s="38" t="n"/>
      <c r="D438" s="38" t="n"/>
      <c r="E438" s="38" t="n"/>
      <c r="F438" s="38" t="n"/>
      <c r="G438" s="38" t="n"/>
      <c r="H438" s="38" t="n"/>
      <c r="I438" s="48" t="n"/>
      <c r="J438" s="38" t="n"/>
      <c r="K438" s="47" t="n"/>
      <c r="L438" s="47" t="n"/>
      <c r="M438" s="38" t="n"/>
      <c r="N438" s="38" t="n"/>
      <c r="O438" s="49">
        <f>IF(C438="","",IF(OR(J438="Booked",J438="Recurring Client"),"Booked",IF(J438="Lost/Declined","Lost","Open")))</f>
        <v/>
      </c>
      <c r="P438" s="49">
        <f>IF(C438="","",IF(S438=0,"—",IF(L438="","Set date",IF(L438&lt;AsOf,"Overdue",IF(L438=AsOf,"Due today",IF(L438&lt;=AsOf+SoonDays,"Due soon","Scheduled"))))))</f>
        <v/>
      </c>
      <c r="Q438" s="50">
        <f>IF(C438="","",IF(B438="","",AsOf-B438))</f>
        <v/>
      </c>
      <c r="R438" s="49">
        <f>IF(C438="","",IF(O438&lt;&gt;"Booked","",IF(COUNTIF('CUSTOMERS'!$B$5:$B$404,C438)&gt;0,"✓ In CUSTOMERS","Add to CUSTOMERS")))</f>
        <v/>
      </c>
      <c r="S438" s="49">
        <f>IF(C438="","",IF(OR(J438="Booked",J438="Recurring Client",J438="Lost/Declined"),0,1))</f>
        <v/>
      </c>
      <c r="T438" s="51">
        <f>IF(B438="","",DATE(YEAR(B438),MONTH(B438),1))</f>
        <v/>
      </c>
      <c r="U438" s="49">
        <f>IF(OR(S438&lt;&gt;1,L438=""),"",COUNTIFS('LEADS'!$S$5:$S$504,1,'LEADS'!$L$5:$L$504,"&lt;"&amp;L438)+COUNTIFS($S$5:S438,1,$L$5:L438,L438))</f>
        <v/>
      </c>
    </row>
    <row r="439">
      <c r="A439" s="46" t="inlineStr">
        <is>
          <t>L-0435</t>
        </is>
      </c>
      <c r="B439" s="47" t="n"/>
      <c r="C439" s="38" t="n"/>
      <c r="D439" s="38" t="n"/>
      <c r="E439" s="38" t="n"/>
      <c r="F439" s="38" t="n"/>
      <c r="G439" s="38" t="n"/>
      <c r="H439" s="38" t="n"/>
      <c r="I439" s="48" t="n"/>
      <c r="J439" s="38" t="n"/>
      <c r="K439" s="47" t="n"/>
      <c r="L439" s="47" t="n"/>
      <c r="M439" s="38" t="n"/>
      <c r="N439" s="38" t="n"/>
      <c r="O439" s="49">
        <f>IF(C439="","",IF(OR(J439="Booked",J439="Recurring Client"),"Booked",IF(J439="Lost/Declined","Lost","Open")))</f>
        <v/>
      </c>
      <c r="P439" s="49">
        <f>IF(C439="","",IF(S439=0,"—",IF(L439="","Set date",IF(L439&lt;AsOf,"Overdue",IF(L439=AsOf,"Due today",IF(L439&lt;=AsOf+SoonDays,"Due soon","Scheduled"))))))</f>
        <v/>
      </c>
      <c r="Q439" s="50">
        <f>IF(C439="","",IF(B439="","",AsOf-B439))</f>
        <v/>
      </c>
      <c r="R439" s="49">
        <f>IF(C439="","",IF(O439&lt;&gt;"Booked","",IF(COUNTIF('CUSTOMERS'!$B$5:$B$404,C439)&gt;0,"✓ In CUSTOMERS","Add to CUSTOMERS")))</f>
        <v/>
      </c>
      <c r="S439" s="49">
        <f>IF(C439="","",IF(OR(J439="Booked",J439="Recurring Client",J439="Lost/Declined"),0,1))</f>
        <v/>
      </c>
      <c r="T439" s="51">
        <f>IF(B439="","",DATE(YEAR(B439),MONTH(B439),1))</f>
        <v/>
      </c>
      <c r="U439" s="49">
        <f>IF(OR(S439&lt;&gt;1,L439=""),"",COUNTIFS('LEADS'!$S$5:$S$504,1,'LEADS'!$L$5:$L$504,"&lt;"&amp;L439)+COUNTIFS($S$5:S439,1,$L$5:L439,L439))</f>
        <v/>
      </c>
    </row>
    <row r="440">
      <c r="A440" s="46" t="inlineStr">
        <is>
          <t>L-0436</t>
        </is>
      </c>
      <c r="B440" s="47" t="n"/>
      <c r="C440" s="38" t="n"/>
      <c r="D440" s="38" t="n"/>
      <c r="E440" s="38" t="n"/>
      <c r="F440" s="38" t="n"/>
      <c r="G440" s="38" t="n"/>
      <c r="H440" s="38" t="n"/>
      <c r="I440" s="48" t="n"/>
      <c r="J440" s="38" t="n"/>
      <c r="K440" s="47" t="n"/>
      <c r="L440" s="47" t="n"/>
      <c r="M440" s="38" t="n"/>
      <c r="N440" s="38" t="n"/>
      <c r="O440" s="49">
        <f>IF(C440="","",IF(OR(J440="Booked",J440="Recurring Client"),"Booked",IF(J440="Lost/Declined","Lost","Open")))</f>
        <v/>
      </c>
      <c r="P440" s="49">
        <f>IF(C440="","",IF(S440=0,"—",IF(L440="","Set date",IF(L440&lt;AsOf,"Overdue",IF(L440=AsOf,"Due today",IF(L440&lt;=AsOf+SoonDays,"Due soon","Scheduled"))))))</f>
        <v/>
      </c>
      <c r="Q440" s="50">
        <f>IF(C440="","",IF(B440="","",AsOf-B440))</f>
        <v/>
      </c>
      <c r="R440" s="49">
        <f>IF(C440="","",IF(O440&lt;&gt;"Booked","",IF(COUNTIF('CUSTOMERS'!$B$5:$B$404,C440)&gt;0,"✓ In CUSTOMERS","Add to CUSTOMERS")))</f>
        <v/>
      </c>
      <c r="S440" s="49">
        <f>IF(C440="","",IF(OR(J440="Booked",J440="Recurring Client",J440="Lost/Declined"),0,1))</f>
        <v/>
      </c>
      <c r="T440" s="51">
        <f>IF(B440="","",DATE(YEAR(B440),MONTH(B440),1))</f>
        <v/>
      </c>
      <c r="U440" s="49">
        <f>IF(OR(S440&lt;&gt;1,L440=""),"",COUNTIFS('LEADS'!$S$5:$S$504,1,'LEADS'!$L$5:$L$504,"&lt;"&amp;L440)+COUNTIFS($S$5:S440,1,$L$5:L440,L440))</f>
        <v/>
      </c>
    </row>
    <row r="441">
      <c r="A441" s="46" t="inlineStr">
        <is>
          <t>L-0437</t>
        </is>
      </c>
      <c r="B441" s="47" t="n"/>
      <c r="C441" s="38" t="n"/>
      <c r="D441" s="38" t="n"/>
      <c r="E441" s="38" t="n"/>
      <c r="F441" s="38" t="n"/>
      <c r="G441" s="38" t="n"/>
      <c r="H441" s="38" t="n"/>
      <c r="I441" s="48" t="n"/>
      <c r="J441" s="38" t="n"/>
      <c r="K441" s="47" t="n"/>
      <c r="L441" s="47" t="n"/>
      <c r="M441" s="38" t="n"/>
      <c r="N441" s="38" t="n"/>
      <c r="O441" s="49">
        <f>IF(C441="","",IF(OR(J441="Booked",J441="Recurring Client"),"Booked",IF(J441="Lost/Declined","Lost","Open")))</f>
        <v/>
      </c>
      <c r="P441" s="49">
        <f>IF(C441="","",IF(S441=0,"—",IF(L441="","Set date",IF(L441&lt;AsOf,"Overdue",IF(L441=AsOf,"Due today",IF(L441&lt;=AsOf+SoonDays,"Due soon","Scheduled"))))))</f>
        <v/>
      </c>
      <c r="Q441" s="50">
        <f>IF(C441="","",IF(B441="","",AsOf-B441))</f>
        <v/>
      </c>
      <c r="R441" s="49">
        <f>IF(C441="","",IF(O441&lt;&gt;"Booked","",IF(COUNTIF('CUSTOMERS'!$B$5:$B$404,C441)&gt;0,"✓ In CUSTOMERS","Add to CUSTOMERS")))</f>
        <v/>
      </c>
      <c r="S441" s="49">
        <f>IF(C441="","",IF(OR(J441="Booked",J441="Recurring Client",J441="Lost/Declined"),0,1))</f>
        <v/>
      </c>
      <c r="T441" s="51">
        <f>IF(B441="","",DATE(YEAR(B441),MONTH(B441),1))</f>
        <v/>
      </c>
      <c r="U441" s="49">
        <f>IF(OR(S441&lt;&gt;1,L441=""),"",COUNTIFS('LEADS'!$S$5:$S$504,1,'LEADS'!$L$5:$L$504,"&lt;"&amp;L441)+COUNTIFS($S$5:S441,1,$L$5:L441,L441))</f>
        <v/>
      </c>
    </row>
    <row r="442">
      <c r="A442" s="46" t="inlineStr">
        <is>
          <t>L-0438</t>
        </is>
      </c>
      <c r="B442" s="47" t="n"/>
      <c r="C442" s="38" t="n"/>
      <c r="D442" s="38" t="n"/>
      <c r="E442" s="38" t="n"/>
      <c r="F442" s="38" t="n"/>
      <c r="G442" s="38" t="n"/>
      <c r="H442" s="38" t="n"/>
      <c r="I442" s="48" t="n"/>
      <c r="J442" s="38" t="n"/>
      <c r="K442" s="47" t="n"/>
      <c r="L442" s="47" t="n"/>
      <c r="M442" s="38" t="n"/>
      <c r="N442" s="38" t="n"/>
      <c r="O442" s="49">
        <f>IF(C442="","",IF(OR(J442="Booked",J442="Recurring Client"),"Booked",IF(J442="Lost/Declined","Lost","Open")))</f>
        <v/>
      </c>
      <c r="P442" s="49">
        <f>IF(C442="","",IF(S442=0,"—",IF(L442="","Set date",IF(L442&lt;AsOf,"Overdue",IF(L442=AsOf,"Due today",IF(L442&lt;=AsOf+SoonDays,"Due soon","Scheduled"))))))</f>
        <v/>
      </c>
      <c r="Q442" s="50">
        <f>IF(C442="","",IF(B442="","",AsOf-B442))</f>
        <v/>
      </c>
      <c r="R442" s="49">
        <f>IF(C442="","",IF(O442&lt;&gt;"Booked","",IF(COUNTIF('CUSTOMERS'!$B$5:$B$404,C442)&gt;0,"✓ In CUSTOMERS","Add to CUSTOMERS")))</f>
        <v/>
      </c>
      <c r="S442" s="49">
        <f>IF(C442="","",IF(OR(J442="Booked",J442="Recurring Client",J442="Lost/Declined"),0,1))</f>
        <v/>
      </c>
      <c r="T442" s="51">
        <f>IF(B442="","",DATE(YEAR(B442),MONTH(B442),1))</f>
        <v/>
      </c>
      <c r="U442" s="49">
        <f>IF(OR(S442&lt;&gt;1,L442=""),"",COUNTIFS('LEADS'!$S$5:$S$504,1,'LEADS'!$L$5:$L$504,"&lt;"&amp;L442)+COUNTIFS($S$5:S442,1,$L$5:L442,L442))</f>
        <v/>
      </c>
    </row>
    <row r="443">
      <c r="A443" s="46" t="inlineStr">
        <is>
          <t>L-0439</t>
        </is>
      </c>
      <c r="B443" s="47" t="n"/>
      <c r="C443" s="38" t="n"/>
      <c r="D443" s="38" t="n"/>
      <c r="E443" s="38" t="n"/>
      <c r="F443" s="38" t="n"/>
      <c r="G443" s="38" t="n"/>
      <c r="H443" s="38" t="n"/>
      <c r="I443" s="48" t="n"/>
      <c r="J443" s="38" t="n"/>
      <c r="K443" s="47" t="n"/>
      <c r="L443" s="47" t="n"/>
      <c r="M443" s="38" t="n"/>
      <c r="N443" s="38" t="n"/>
      <c r="O443" s="49">
        <f>IF(C443="","",IF(OR(J443="Booked",J443="Recurring Client"),"Booked",IF(J443="Lost/Declined","Lost","Open")))</f>
        <v/>
      </c>
      <c r="P443" s="49">
        <f>IF(C443="","",IF(S443=0,"—",IF(L443="","Set date",IF(L443&lt;AsOf,"Overdue",IF(L443=AsOf,"Due today",IF(L443&lt;=AsOf+SoonDays,"Due soon","Scheduled"))))))</f>
        <v/>
      </c>
      <c r="Q443" s="50">
        <f>IF(C443="","",IF(B443="","",AsOf-B443))</f>
        <v/>
      </c>
      <c r="R443" s="49">
        <f>IF(C443="","",IF(O443&lt;&gt;"Booked","",IF(COUNTIF('CUSTOMERS'!$B$5:$B$404,C443)&gt;0,"✓ In CUSTOMERS","Add to CUSTOMERS")))</f>
        <v/>
      </c>
      <c r="S443" s="49">
        <f>IF(C443="","",IF(OR(J443="Booked",J443="Recurring Client",J443="Lost/Declined"),0,1))</f>
        <v/>
      </c>
      <c r="T443" s="51">
        <f>IF(B443="","",DATE(YEAR(B443),MONTH(B443),1))</f>
        <v/>
      </c>
      <c r="U443" s="49">
        <f>IF(OR(S443&lt;&gt;1,L443=""),"",COUNTIFS('LEADS'!$S$5:$S$504,1,'LEADS'!$L$5:$L$504,"&lt;"&amp;L443)+COUNTIFS($S$5:S443,1,$L$5:L443,L443))</f>
        <v/>
      </c>
    </row>
    <row r="444">
      <c r="A444" s="46" t="inlineStr">
        <is>
          <t>L-0440</t>
        </is>
      </c>
      <c r="B444" s="47" t="n"/>
      <c r="C444" s="38" t="n"/>
      <c r="D444" s="38" t="n"/>
      <c r="E444" s="38" t="n"/>
      <c r="F444" s="38" t="n"/>
      <c r="G444" s="38" t="n"/>
      <c r="H444" s="38" t="n"/>
      <c r="I444" s="48" t="n"/>
      <c r="J444" s="38" t="n"/>
      <c r="K444" s="47" t="n"/>
      <c r="L444" s="47" t="n"/>
      <c r="M444" s="38" t="n"/>
      <c r="N444" s="38" t="n"/>
      <c r="O444" s="49">
        <f>IF(C444="","",IF(OR(J444="Booked",J444="Recurring Client"),"Booked",IF(J444="Lost/Declined","Lost","Open")))</f>
        <v/>
      </c>
      <c r="P444" s="49">
        <f>IF(C444="","",IF(S444=0,"—",IF(L444="","Set date",IF(L444&lt;AsOf,"Overdue",IF(L444=AsOf,"Due today",IF(L444&lt;=AsOf+SoonDays,"Due soon","Scheduled"))))))</f>
        <v/>
      </c>
      <c r="Q444" s="50">
        <f>IF(C444="","",IF(B444="","",AsOf-B444))</f>
        <v/>
      </c>
      <c r="R444" s="49">
        <f>IF(C444="","",IF(O444&lt;&gt;"Booked","",IF(COUNTIF('CUSTOMERS'!$B$5:$B$404,C444)&gt;0,"✓ In CUSTOMERS","Add to CUSTOMERS")))</f>
        <v/>
      </c>
      <c r="S444" s="49">
        <f>IF(C444="","",IF(OR(J444="Booked",J444="Recurring Client",J444="Lost/Declined"),0,1))</f>
        <v/>
      </c>
      <c r="T444" s="51">
        <f>IF(B444="","",DATE(YEAR(B444),MONTH(B444),1))</f>
        <v/>
      </c>
      <c r="U444" s="49">
        <f>IF(OR(S444&lt;&gt;1,L444=""),"",COUNTIFS('LEADS'!$S$5:$S$504,1,'LEADS'!$L$5:$L$504,"&lt;"&amp;L444)+COUNTIFS($S$5:S444,1,$L$5:L444,L444))</f>
        <v/>
      </c>
    </row>
    <row r="445">
      <c r="A445" s="46" t="inlineStr">
        <is>
          <t>L-0441</t>
        </is>
      </c>
      <c r="B445" s="47" t="n"/>
      <c r="C445" s="38" t="n"/>
      <c r="D445" s="38" t="n"/>
      <c r="E445" s="38" t="n"/>
      <c r="F445" s="38" t="n"/>
      <c r="G445" s="38" t="n"/>
      <c r="H445" s="38" t="n"/>
      <c r="I445" s="48" t="n"/>
      <c r="J445" s="38" t="n"/>
      <c r="K445" s="47" t="n"/>
      <c r="L445" s="47" t="n"/>
      <c r="M445" s="38" t="n"/>
      <c r="N445" s="38" t="n"/>
      <c r="O445" s="49">
        <f>IF(C445="","",IF(OR(J445="Booked",J445="Recurring Client"),"Booked",IF(J445="Lost/Declined","Lost","Open")))</f>
        <v/>
      </c>
      <c r="P445" s="49">
        <f>IF(C445="","",IF(S445=0,"—",IF(L445="","Set date",IF(L445&lt;AsOf,"Overdue",IF(L445=AsOf,"Due today",IF(L445&lt;=AsOf+SoonDays,"Due soon","Scheduled"))))))</f>
        <v/>
      </c>
      <c r="Q445" s="50">
        <f>IF(C445="","",IF(B445="","",AsOf-B445))</f>
        <v/>
      </c>
      <c r="R445" s="49">
        <f>IF(C445="","",IF(O445&lt;&gt;"Booked","",IF(COUNTIF('CUSTOMERS'!$B$5:$B$404,C445)&gt;0,"✓ In CUSTOMERS","Add to CUSTOMERS")))</f>
        <v/>
      </c>
      <c r="S445" s="49">
        <f>IF(C445="","",IF(OR(J445="Booked",J445="Recurring Client",J445="Lost/Declined"),0,1))</f>
        <v/>
      </c>
      <c r="T445" s="51">
        <f>IF(B445="","",DATE(YEAR(B445),MONTH(B445),1))</f>
        <v/>
      </c>
      <c r="U445" s="49">
        <f>IF(OR(S445&lt;&gt;1,L445=""),"",COUNTIFS('LEADS'!$S$5:$S$504,1,'LEADS'!$L$5:$L$504,"&lt;"&amp;L445)+COUNTIFS($S$5:S445,1,$L$5:L445,L445))</f>
        <v/>
      </c>
    </row>
    <row r="446">
      <c r="A446" s="46" t="inlineStr">
        <is>
          <t>L-0442</t>
        </is>
      </c>
      <c r="B446" s="47" t="n"/>
      <c r="C446" s="38" t="n"/>
      <c r="D446" s="38" t="n"/>
      <c r="E446" s="38" t="n"/>
      <c r="F446" s="38" t="n"/>
      <c r="G446" s="38" t="n"/>
      <c r="H446" s="38" t="n"/>
      <c r="I446" s="48" t="n"/>
      <c r="J446" s="38" t="n"/>
      <c r="K446" s="47" t="n"/>
      <c r="L446" s="47" t="n"/>
      <c r="M446" s="38" t="n"/>
      <c r="N446" s="38" t="n"/>
      <c r="O446" s="49">
        <f>IF(C446="","",IF(OR(J446="Booked",J446="Recurring Client"),"Booked",IF(J446="Lost/Declined","Lost","Open")))</f>
        <v/>
      </c>
      <c r="P446" s="49">
        <f>IF(C446="","",IF(S446=0,"—",IF(L446="","Set date",IF(L446&lt;AsOf,"Overdue",IF(L446=AsOf,"Due today",IF(L446&lt;=AsOf+SoonDays,"Due soon","Scheduled"))))))</f>
        <v/>
      </c>
      <c r="Q446" s="50">
        <f>IF(C446="","",IF(B446="","",AsOf-B446))</f>
        <v/>
      </c>
      <c r="R446" s="49">
        <f>IF(C446="","",IF(O446&lt;&gt;"Booked","",IF(COUNTIF('CUSTOMERS'!$B$5:$B$404,C446)&gt;0,"✓ In CUSTOMERS","Add to CUSTOMERS")))</f>
        <v/>
      </c>
      <c r="S446" s="49">
        <f>IF(C446="","",IF(OR(J446="Booked",J446="Recurring Client",J446="Lost/Declined"),0,1))</f>
        <v/>
      </c>
      <c r="T446" s="51">
        <f>IF(B446="","",DATE(YEAR(B446),MONTH(B446),1))</f>
        <v/>
      </c>
      <c r="U446" s="49">
        <f>IF(OR(S446&lt;&gt;1,L446=""),"",COUNTIFS('LEADS'!$S$5:$S$504,1,'LEADS'!$L$5:$L$504,"&lt;"&amp;L446)+COUNTIFS($S$5:S446,1,$L$5:L446,L446))</f>
        <v/>
      </c>
    </row>
    <row r="447">
      <c r="A447" s="46" t="inlineStr">
        <is>
          <t>L-0443</t>
        </is>
      </c>
      <c r="B447" s="47" t="n"/>
      <c r="C447" s="38" t="n"/>
      <c r="D447" s="38" t="n"/>
      <c r="E447" s="38" t="n"/>
      <c r="F447" s="38" t="n"/>
      <c r="G447" s="38" t="n"/>
      <c r="H447" s="38" t="n"/>
      <c r="I447" s="48" t="n"/>
      <c r="J447" s="38" t="n"/>
      <c r="K447" s="47" t="n"/>
      <c r="L447" s="47" t="n"/>
      <c r="M447" s="38" t="n"/>
      <c r="N447" s="38" t="n"/>
      <c r="O447" s="49">
        <f>IF(C447="","",IF(OR(J447="Booked",J447="Recurring Client"),"Booked",IF(J447="Lost/Declined","Lost","Open")))</f>
        <v/>
      </c>
      <c r="P447" s="49">
        <f>IF(C447="","",IF(S447=0,"—",IF(L447="","Set date",IF(L447&lt;AsOf,"Overdue",IF(L447=AsOf,"Due today",IF(L447&lt;=AsOf+SoonDays,"Due soon","Scheduled"))))))</f>
        <v/>
      </c>
      <c r="Q447" s="50">
        <f>IF(C447="","",IF(B447="","",AsOf-B447))</f>
        <v/>
      </c>
      <c r="R447" s="49">
        <f>IF(C447="","",IF(O447&lt;&gt;"Booked","",IF(COUNTIF('CUSTOMERS'!$B$5:$B$404,C447)&gt;0,"✓ In CUSTOMERS","Add to CUSTOMERS")))</f>
        <v/>
      </c>
      <c r="S447" s="49">
        <f>IF(C447="","",IF(OR(J447="Booked",J447="Recurring Client",J447="Lost/Declined"),0,1))</f>
        <v/>
      </c>
      <c r="T447" s="51">
        <f>IF(B447="","",DATE(YEAR(B447),MONTH(B447),1))</f>
        <v/>
      </c>
      <c r="U447" s="49">
        <f>IF(OR(S447&lt;&gt;1,L447=""),"",COUNTIFS('LEADS'!$S$5:$S$504,1,'LEADS'!$L$5:$L$504,"&lt;"&amp;L447)+COUNTIFS($S$5:S447,1,$L$5:L447,L447))</f>
        <v/>
      </c>
    </row>
    <row r="448">
      <c r="A448" s="46" t="inlineStr">
        <is>
          <t>L-0444</t>
        </is>
      </c>
      <c r="B448" s="47" t="n"/>
      <c r="C448" s="38" t="n"/>
      <c r="D448" s="38" t="n"/>
      <c r="E448" s="38" t="n"/>
      <c r="F448" s="38" t="n"/>
      <c r="G448" s="38" t="n"/>
      <c r="H448" s="38" t="n"/>
      <c r="I448" s="48" t="n"/>
      <c r="J448" s="38" t="n"/>
      <c r="K448" s="47" t="n"/>
      <c r="L448" s="47" t="n"/>
      <c r="M448" s="38" t="n"/>
      <c r="N448" s="38" t="n"/>
      <c r="O448" s="49">
        <f>IF(C448="","",IF(OR(J448="Booked",J448="Recurring Client"),"Booked",IF(J448="Lost/Declined","Lost","Open")))</f>
        <v/>
      </c>
      <c r="P448" s="49">
        <f>IF(C448="","",IF(S448=0,"—",IF(L448="","Set date",IF(L448&lt;AsOf,"Overdue",IF(L448=AsOf,"Due today",IF(L448&lt;=AsOf+SoonDays,"Due soon","Scheduled"))))))</f>
        <v/>
      </c>
      <c r="Q448" s="50">
        <f>IF(C448="","",IF(B448="","",AsOf-B448))</f>
        <v/>
      </c>
      <c r="R448" s="49">
        <f>IF(C448="","",IF(O448&lt;&gt;"Booked","",IF(COUNTIF('CUSTOMERS'!$B$5:$B$404,C448)&gt;0,"✓ In CUSTOMERS","Add to CUSTOMERS")))</f>
        <v/>
      </c>
      <c r="S448" s="49">
        <f>IF(C448="","",IF(OR(J448="Booked",J448="Recurring Client",J448="Lost/Declined"),0,1))</f>
        <v/>
      </c>
      <c r="T448" s="51">
        <f>IF(B448="","",DATE(YEAR(B448),MONTH(B448),1))</f>
        <v/>
      </c>
      <c r="U448" s="49">
        <f>IF(OR(S448&lt;&gt;1,L448=""),"",COUNTIFS('LEADS'!$S$5:$S$504,1,'LEADS'!$L$5:$L$504,"&lt;"&amp;L448)+COUNTIFS($S$5:S448,1,$L$5:L448,L448))</f>
        <v/>
      </c>
    </row>
    <row r="449">
      <c r="A449" s="46" t="inlineStr">
        <is>
          <t>L-0445</t>
        </is>
      </c>
      <c r="B449" s="47" t="n"/>
      <c r="C449" s="38" t="n"/>
      <c r="D449" s="38" t="n"/>
      <c r="E449" s="38" t="n"/>
      <c r="F449" s="38" t="n"/>
      <c r="G449" s="38" t="n"/>
      <c r="H449" s="38" t="n"/>
      <c r="I449" s="48" t="n"/>
      <c r="J449" s="38" t="n"/>
      <c r="K449" s="47" t="n"/>
      <c r="L449" s="47" t="n"/>
      <c r="M449" s="38" t="n"/>
      <c r="N449" s="38" t="n"/>
      <c r="O449" s="49">
        <f>IF(C449="","",IF(OR(J449="Booked",J449="Recurring Client"),"Booked",IF(J449="Lost/Declined","Lost","Open")))</f>
        <v/>
      </c>
      <c r="P449" s="49">
        <f>IF(C449="","",IF(S449=0,"—",IF(L449="","Set date",IF(L449&lt;AsOf,"Overdue",IF(L449=AsOf,"Due today",IF(L449&lt;=AsOf+SoonDays,"Due soon","Scheduled"))))))</f>
        <v/>
      </c>
      <c r="Q449" s="50">
        <f>IF(C449="","",IF(B449="","",AsOf-B449))</f>
        <v/>
      </c>
      <c r="R449" s="49">
        <f>IF(C449="","",IF(O449&lt;&gt;"Booked","",IF(COUNTIF('CUSTOMERS'!$B$5:$B$404,C449)&gt;0,"✓ In CUSTOMERS","Add to CUSTOMERS")))</f>
        <v/>
      </c>
      <c r="S449" s="49">
        <f>IF(C449="","",IF(OR(J449="Booked",J449="Recurring Client",J449="Lost/Declined"),0,1))</f>
        <v/>
      </c>
      <c r="T449" s="51">
        <f>IF(B449="","",DATE(YEAR(B449),MONTH(B449),1))</f>
        <v/>
      </c>
      <c r="U449" s="49">
        <f>IF(OR(S449&lt;&gt;1,L449=""),"",COUNTIFS('LEADS'!$S$5:$S$504,1,'LEADS'!$L$5:$L$504,"&lt;"&amp;L449)+COUNTIFS($S$5:S449,1,$L$5:L449,L449))</f>
        <v/>
      </c>
    </row>
    <row r="450">
      <c r="A450" s="46" t="inlineStr">
        <is>
          <t>L-0446</t>
        </is>
      </c>
      <c r="B450" s="47" t="n"/>
      <c r="C450" s="38" t="n"/>
      <c r="D450" s="38" t="n"/>
      <c r="E450" s="38" t="n"/>
      <c r="F450" s="38" t="n"/>
      <c r="G450" s="38" t="n"/>
      <c r="H450" s="38" t="n"/>
      <c r="I450" s="48" t="n"/>
      <c r="J450" s="38" t="n"/>
      <c r="K450" s="47" t="n"/>
      <c r="L450" s="47" t="n"/>
      <c r="M450" s="38" t="n"/>
      <c r="N450" s="38" t="n"/>
      <c r="O450" s="49">
        <f>IF(C450="","",IF(OR(J450="Booked",J450="Recurring Client"),"Booked",IF(J450="Lost/Declined","Lost","Open")))</f>
        <v/>
      </c>
      <c r="P450" s="49">
        <f>IF(C450="","",IF(S450=0,"—",IF(L450="","Set date",IF(L450&lt;AsOf,"Overdue",IF(L450=AsOf,"Due today",IF(L450&lt;=AsOf+SoonDays,"Due soon","Scheduled"))))))</f>
        <v/>
      </c>
      <c r="Q450" s="50">
        <f>IF(C450="","",IF(B450="","",AsOf-B450))</f>
        <v/>
      </c>
      <c r="R450" s="49">
        <f>IF(C450="","",IF(O450&lt;&gt;"Booked","",IF(COUNTIF('CUSTOMERS'!$B$5:$B$404,C450)&gt;0,"✓ In CUSTOMERS","Add to CUSTOMERS")))</f>
        <v/>
      </c>
      <c r="S450" s="49">
        <f>IF(C450="","",IF(OR(J450="Booked",J450="Recurring Client",J450="Lost/Declined"),0,1))</f>
        <v/>
      </c>
      <c r="T450" s="51">
        <f>IF(B450="","",DATE(YEAR(B450),MONTH(B450),1))</f>
        <v/>
      </c>
      <c r="U450" s="49">
        <f>IF(OR(S450&lt;&gt;1,L450=""),"",COUNTIFS('LEADS'!$S$5:$S$504,1,'LEADS'!$L$5:$L$504,"&lt;"&amp;L450)+COUNTIFS($S$5:S450,1,$L$5:L450,L450))</f>
        <v/>
      </c>
    </row>
    <row r="451">
      <c r="A451" s="46" t="inlineStr">
        <is>
          <t>L-0447</t>
        </is>
      </c>
      <c r="B451" s="47" t="n"/>
      <c r="C451" s="38" t="n"/>
      <c r="D451" s="38" t="n"/>
      <c r="E451" s="38" t="n"/>
      <c r="F451" s="38" t="n"/>
      <c r="G451" s="38" t="n"/>
      <c r="H451" s="38" t="n"/>
      <c r="I451" s="48" t="n"/>
      <c r="J451" s="38" t="n"/>
      <c r="K451" s="47" t="n"/>
      <c r="L451" s="47" t="n"/>
      <c r="M451" s="38" t="n"/>
      <c r="N451" s="38" t="n"/>
      <c r="O451" s="49">
        <f>IF(C451="","",IF(OR(J451="Booked",J451="Recurring Client"),"Booked",IF(J451="Lost/Declined","Lost","Open")))</f>
        <v/>
      </c>
      <c r="P451" s="49">
        <f>IF(C451="","",IF(S451=0,"—",IF(L451="","Set date",IF(L451&lt;AsOf,"Overdue",IF(L451=AsOf,"Due today",IF(L451&lt;=AsOf+SoonDays,"Due soon","Scheduled"))))))</f>
        <v/>
      </c>
      <c r="Q451" s="50">
        <f>IF(C451="","",IF(B451="","",AsOf-B451))</f>
        <v/>
      </c>
      <c r="R451" s="49">
        <f>IF(C451="","",IF(O451&lt;&gt;"Booked","",IF(COUNTIF('CUSTOMERS'!$B$5:$B$404,C451)&gt;0,"✓ In CUSTOMERS","Add to CUSTOMERS")))</f>
        <v/>
      </c>
      <c r="S451" s="49">
        <f>IF(C451="","",IF(OR(J451="Booked",J451="Recurring Client",J451="Lost/Declined"),0,1))</f>
        <v/>
      </c>
      <c r="T451" s="51">
        <f>IF(B451="","",DATE(YEAR(B451),MONTH(B451),1))</f>
        <v/>
      </c>
      <c r="U451" s="49">
        <f>IF(OR(S451&lt;&gt;1,L451=""),"",COUNTIFS('LEADS'!$S$5:$S$504,1,'LEADS'!$L$5:$L$504,"&lt;"&amp;L451)+COUNTIFS($S$5:S451,1,$L$5:L451,L451))</f>
        <v/>
      </c>
    </row>
    <row r="452">
      <c r="A452" s="46" t="inlineStr">
        <is>
          <t>L-0448</t>
        </is>
      </c>
      <c r="B452" s="47" t="n"/>
      <c r="C452" s="38" t="n"/>
      <c r="D452" s="38" t="n"/>
      <c r="E452" s="38" t="n"/>
      <c r="F452" s="38" t="n"/>
      <c r="G452" s="38" t="n"/>
      <c r="H452" s="38" t="n"/>
      <c r="I452" s="48" t="n"/>
      <c r="J452" s="38" t="n"/>
      <c r="K452" s="47" t="n"/>
      <c r="L452" s="47" t="n"/>
      <c r="M452" s="38" t="n"/>
      <c r="N452" s="38" t="n"/>
      <c r="O452" s="49">
        <f>IF(C452="","",IF(OR(J452="Booked",J452="Recurring Client"),"Booked",IF(J452="Lost/Declined","Lost","Open")))</f>
        <v/>
      </c>
      <c r="P452" s="49">
        <f>IF(C452="","",IF(S452=0,"—",IF(L452="","Set date",IF(L452&lt;AsOf,"Overdue",IF(L452=AsOf,"Due today",IF(L452&lt;=AsOf+SoonDays,"Due soon","Scheduled"))))))</f>
        <v/>
      </c>
      <c r="Q452" s="50">
        <f>IF(C452="","",IF(B452="","",AsOf-B452))</f>
        <v/>
      </c>
      <c r="R452" s="49">
        <f>IF(C452="","",IF(O452&lt;&gt;"Booked","",IF(COUNTIF('CUSTOMERS'!$B$5:$B$404,C452)&gt;0,"✓ In CUSTOMERS","Add to CUSTOMERS")))</f>
        <v/>
      </c>
      <c r="S452" s="49">
        <f>IF(C452="","",IF(OR(J452="Booked",J452="Recurring Client",J452="Lost/Declined"),0,1))</f>
        <v/>
      </c>
      <c r="T452" s="51">
        <f>IF(B452="","",DATE(YEAR(B452),MONTH(B452),1))</f>
        <v/>
      </c>
      <c r="U452" s="49">
        <f>IF(OR(S452&lt;&gt;1,L452=""),"",COUNTIFS('LEADS'!$S$5:$S$504,1,'LEADS'!$L$5:$L$504,"&lt;"&amp;L452)+COUNTIFS($S$5:S452,1,$L$5:L452,L452))</f>
        <v/>
      </c>
    </row>
    <row r="453">
      <c r="A453" s="46" t="inlineStr">
        <is>
          <t>L-0449</t>
        </is>
      </c>
      <c r="B453" s="47" t="n"/>
      <c r="C453" s="38" t="n"/>
      <c r="D453" s="38" t="n"/>
      <c r="E453" s="38" t="n"/>
      <c r="F453" s="38" t="n"/>
      <c r="G453" s="38" t="n"/>
      <c r="H453" s="38" t="n"/>
      <c r="I453" s="48" t="n"/>
      <c r="J453" s="38" t="n"/>
      <c r="K453" s="47" t="n"/>
      <c r="L453" s="47" t="n"/>
      <c r="M453" s="38" t="n"/>
      <c r="N453" s="38" t="n"/>
      <c r="O453" s="49">
        <f>IF(C453="","",IF(OR(J453="Booked",J453="Recurring Client"),"Booked",IF(J453="Lost/Declined","Lost","Open")))</f>
        <v/>
      </c>
      <c r="P453" s="49">
        <f>IF(C453="","",IF(S453=0,"—",IF(L453="","Set date",IF(L453&lt;AsOf,"Overdue",IF(L453=AsOf,"Due today",IF(L453&lt;=AsOf+SoonDays,"Due soon","Scheduled"))))))</f>
        <v/>
      </c>
      <c r="Q453" s="50">
        <f>IF(C453="","",IF(B453="","",AsOf-B453))</f>
        <v/>
      </c>
      <c r="R453" s="49">
        <f>IF(C453="","",IF(O453&lt;&gt;"Booked","",IF(COUNTIF('CUSTOMERS'!$B$5:$B$404,C453)&gt;0,"✓ In CUSTOMERS","Add to CUSTOMERS")))</f>
        <v/>
      </c>
      <c r="S453" s="49">
        <f>IF(C453="","",IF(OR(J453="Booked",J453="Recurring Client",J453="Lost/Declined"),0,1))</f>
        <v/>
      </c>
      <c r="T453" s="51">
        <f>IF(B453="","",DATE(YEAR(B453),MONTH(B453),1))</f>
        <v/>
      </c>
      <c r="U453" s="49">
        <f>IF(OR(S453&lt;&gt;1,L453=""),"",COUNTIFS('LEADS'!$S$5:$S$504,1,'LEADS'!$L$5:$L$504,"&lt;"&amp;L453)+COUNTIFS($S$5:S453,1,$L$5:L453,L453))</f>
        <v/>
      </c>
    </row>
    <row r="454">
      <c r="A454" s="46" t="inlineStr">
        <is>
          <t>L-0450</t>
        </is>
      </c>
      <c r="B454" s="47" t="n"/>
      <c r="C454" s="38" t="n"/>
      <c r="D454" s="38" t="n"/>
      <c r="E454" s="38" t="n"/>
      <c r="F454" s="38" t="n"/>
      <c r="G454" s="38" t="n"/>
      <c r="H454" s="38" t="n"/>
      <c r="I454" s="48" t="n"/>
      <c r="J454" s="38" t="n"/>
      <c r="K454" s="47" t="n"/>
      <c r="L454" s="47" t="n"/>
      <c r="M454" s="38" t="n"/>
      <c r="N454" s="38" t="n"/>
      <c r="O454" s="49">
        <f>IF(C454="","",IF(OR(J454="Booked",J454="Recurring Client"),"Booked",IF(J454="Lost/Declined","Lost","Open")))</f>
        <v/>
      </c>
      <c r="P454" s="49">
        <f>IF(C454="","",IF(S454=0,"—",IF(L454="","Set date",IF(L454&lt;AsOf,"Overdue",IF(L454=AsOf,"Due today",IF(L454&lt;=AsOf+SoonDays,"Due soon","Scheduled"))))))</f>
        <v/>
      </c>
      <c r="Q454" s="50">
        <f>IF(C454="","",IF(B454="","",AsOf-B454))</f>
        <v/>
      </c>
      <c r="R454" s="49">
        <f>IF(C454="","",IF(O454&lt;&gt;"Booked","",IF(COUNTIF('CUSTOMERS'!$B$5:$B$404,C454)&gt;0,"✓ In CUSTOMERS","Add to CUSTOMERS")))</f>
        <v/>
      </c>
      <c r="S454" s="49">
        <f>IF(C454="","",IF(OR(J454="Booked",J454="Recurring Client",J454="Lost/Declined"),0,1))</f>
        <v/>
      </c>
      <c r="T454" s="51">
        <f>IF(B454="","",DATE(YEAR(B454),MONTH(B454),1))</f>
        <v/>
      </c>
      <c r="U454" s="49">
        <f>IF(OR(S454&lt;&gt;1,L454=""),"",COUNTIFS('LEADS'!$S$5:$S$504,1,'LEADS'!$L$5:$L$504,"&lt;"&amp;L454)+COUNTIFS($S$5:S454,1,$L$5:L454,L454))</f>
        <v/>
      </c>
    </row>
    <row r="455">
      <c r="A455" s="46" t="inlineStr">
        <is>
          <t>L-0451</t>
        </is>
      </c>
      <c r="B455" s="47" t="n"/>
      <c r="C455" s="38" t="n"/>
      <c r="D455" s="38" t="n"/>
      <c r="E455" s="38" t="n"/>
      <c r="F455" s="38" t="n"/>
      <c r="G455" s="38" t="n"/>
      <c r="H455" s="38" t="n"/>
      <c r="I455" s="48" t="n"/>
      <c r="J455" s="38" t="n"/>
      <c r="K455" s="47" t="n"/>
      <c r="L455" s="47" t="n"/>
      <c r="M455" s="38" t="n"/>
      <c r="N455" s="38" t="n"/>
      <c r="O455" s="49">
        <f>IF(C455="","",IF(OR(J455="Booked",J455="Recurring Client"),"Booked",IF(J455="Lost/Declined","Lost","Open")))</f>
        <v/>
      </c>
      <c r="P455" s="49">
        <f>IF(C455="","",IF(S455=0,"—",IF(L455="","Set date",IF(L455&lt;AsOf,"Overdue",IF(L455=AsOf,"Due today",IF(L455&lt;=AsOf+SoonDays,"Due soon","Scheduled"))))))</f>
        <v/>
      </c>
      <c r="Q455" s="50">
        <f>IF(C455="","",IF(B455="","",AsOf-B455))</f>
        <v/>
      </c>
      <c r="R455" s="49">
        <f>IF(C455="","",IF(O455&lt;&gt;"Booked","",IF(COUNTIF('CUSTOMERS'!$B$5:$B$404,C455)&gt;0,"✓ In CUSTOMERS","Add to CUSTOMERS")))</f>
        <v/>
      </c>
      <c r="S455" s="49">
        <f>IF(C455="","",IF(OR(J455="Booked",J455="Recurring Client",J455="Lost/Declined"),0,1))</f>
        <v/>
      </c>
      <c r="T455" s="51">
        <f>IF(B455="","",DATE(YEAR(B455),MONTH(B455),1))</f>
        <v/>
      </c>
      <c r="U455" s="49">
        <f>IF(OR(S455&lt;&gt;1,L455=""),"",COUNTIFS('LEADS'!$S$5:$S$504,1,'LEADS'!$L$5:$L$504,"&lt;"&amp;L455)+COUNTIFS($S$5:S455,1,$L$5:L455,L455))</f>
        <v/>
      </c>
    </row>
    <row r="456">
      <c r="A456" s="46" t="inlineStr">
        <is>
          <t>L-0452</t>
        </is>
      </c>
      <c r="B456" s="47" t="n"/>
      <c r="C456" s="38" t="n"/>
      <c r="D456" s="38" t="n"/>
      <c r="E456" s="38" t="n"/>
      <c r="F456" s="38" t="n"/>
      <c r="G456" s="38" t="n"/>
      <c r="H456" s="38" t="n"/>
      <c r="I456" s="48" t="n"/>
      <c r="J456" s="38" t="n"/>
      <c r="K456" s="47" t="n"/>
      <c r="L456" s="47" t="n"/>
      <c r="M456" s="38" t="n"/>
      <c r="N456" s="38" t="n"/>
      <c r="O456" s="49">
        <f>IF(C456="","",IF(OR(J456="Booked",J456="Recurring Client"),"Booked",IF(J456="Lost/Declined","Lost","Open")))</f>
        <v/>
      </c>
      <c r="P456" s="49">
        <f>IF(C456="","",IF(S456=0,"—",IF(L456="","Set date",IF(L456&lt;AsOf,"Overdue",IF(L456=AsOf,"Due today",IF(L456&lt;=AsOf+SoonDays,"Due soon","Scheduled"))))))</f>
        <v/>
      </c>
      <c r="Q456" s="50">
        <f>IF(C456="","",IF(B456="","",AsOf-B456))</f>
        <v/>
      </c>
      <c r="R456" s="49">
        <f>IF(C456="","",IF(O456&lt;&gt;"Booked","",IF(COUNTIF('CUSTOMERS'!$B$5:$B$404,C456)&gt;0,"✓ In CUSTOMERS","Add to CUSTOMERS")))</f>
        <v/>
      </c>
      <c r="S456" s="49">
        <f>IF(C456="","",IF(OR(J456="Booked",J456="Recurring Client",J456="Lost/Declined"),0,1))</f>
        <v/>
      </c>
      <c r="T456" s="51">
        <f>IF(B456="","",DATE(YEAR(B456),MONTH(B456),1))</f>
        <v/>
      </c>
      <c r="U456" s="49">
        <f>IF(OR(S456&lt;&gt;1,L456=""),"",COUNTIFS('LEADS'!$S$5:$S$504,1,'LEADS'!$L$5:$L$504,"&lt;"&amp;L456)+COUNTIFS($S$5:S456,1,$L$5:L456,L456))</f>
        <v/>
      </c>
    </row>
    <row r="457">
      <c r="A457" s="46" t="inlineStr">
        <is>
          <t>L-0453</t>
        </is>
      </c>
      <c r="B457" s="47" t="n"/>
      <c r="C457" s="38" t="n"/>
      <c r="D457" s="38" t="n"/>
      <c r="E457" s="38" t="n"/>
      <c r="F457" s="38" t="n"/>
      <c r="G457" s="38" t="n"/>
      <c r="H457" s="38" t="n"/>
      <c r="I457" s="48" t="n"/>
      <c r="J457" s="38" t="n"/>
      <c r="K457" s="47" t="n"/>
      <c r="L457" s="47" t="n"/>
      <c r="M457" s="38" t="n"/>
      <c r="N457" s="38" t="n"/>
      <c r="O457" s="49">
        <f>IF(C457="","",IF(OR(J457="Booked",J457="Recurring Client"),"Booked",IF(J457="Lost/Declined","Lost","Open")))</f>
        <v/>
      </c>
      <c r="P457" s="49">
        <f>IF(C457="","",IF(S457=0,"—",IF(L457="","Set date",IF(L457&lt;AsOf,"Overdue",IF(L457=AsOf,"Due today",IF(L457&lt;=AsOf+SoonDays,"Due soon","Scheduled"))))))</f>
        <v/>
      </c>
      <c r="Q457" s="50">
        <f>IF(C457="","",IF(B457="","",AsOf-B457))</f>
        <v/>
      </c>
      <c r="R457" s="49">
        <f>IF(C457="","",IF(O457&lt;&gt;"Booked","",IF(COUNTIF('CUSTOMERS'!$B$5:$B$404,C457)&gt;0,"✓ In CUSTOMERS","Add to CUSTOMERS")))</f>
        <v/>
      </c>
      <c r="S457" s="49">
        <f>IF(C457="","",IF(OR(J457="Booked",J457="Recurring Client",J457="Lost/Declined"),0,1))</f>
        <v/>
      </c>
      <c r="T457" s="51">
        <f>IF(B457="","",DATE(YEAR(B457),MONTH(B457),1))</f>
        <v/>
      </c>
      <c r="U457" s="49">
        <f>IF(OR(S457&lt;&gt;1,L457=""),"",COUNTIFS('LEADS'!$S$5:$S$504,1,'LEADS'!$L$5:$L$504,"&lt;"&amp;L457)+COUNTIFS($S$5:S457,1,$L$5:L457,L457))</f>
        <v/>
      </c>
    </row>
    <row r="458">
      <c r="A458" s="46" t="inlineStr">
        <is>
          <t>L-0454</t>
        </is>
      </c>
      <c r="B458" s="47" t="n"/>
      <c r="C458" s="38" t="n"/>
      <c r="D458" s="38" t="n"/>
      <c r="E458" s="38" t="n"/>
      <c r="F458" s="38" t="n"/>
      <c r="G458" s="38" t="n"/>
      <c r="H458" s="38" t="n"/>
      <c r="I458" s="48" t="n"/>
      <c r="J458" s="38" t="n"/>
      <c r="K458" s="47" t="n"/>
      <c r="L458" s="47" t="n"/>
      <c r="M458" s="38" t="n"/>
      <c r="N458" s="38" t="n"/>
      <c r="O458" s="49">
        <f>IF(C458="","",IF(OR(J458="Booked",J458="Recurring Client"),"Booked",IF(J458="Lost/Declined","Lost","Open")))</f>
        <v/>
      </c>
      <c r="P458" s="49">
        <f>IF(C458="","",IF(S458=0,"—",IF(L458="","Set date",IF(L458&lt;AsOf,"Overdue",IF(L458=AsOf,"Due today",IF(L458&lt;=AsOf+SoonDays,"Due soon","Scheduled"))))))</f>
        <v/>
      </c>
      <c r="Q458" s="50">
        <f>IF(C458="","",IF(B458="","",AsOf-B458))</f>
        <v/>
      </c>
      <c r="R458" s="49">
        <f>IF(C458="","",IF(O458&lt;&gt;"Booked","",IF(COUNTIF('CUSTOMERS'!$B$5:$B$404,C458)&gt;0,"✓ In CUSTOMERS","Add to CUSTOMERS")))</f>
        <v/>
      </c>
      <c r="S458" s="49">
        <f>IF(C458="","",IF(OR(J458="Booked",J458="Recurring Client",J458="Lost/Declined"),0,1))</f>
        <v/>
      </c>
      <c r="T458" s="51">
        <f>IF(B458="","",DATE(YEAR(B458),MONTH(B458),1))</f>
        <v/>
      </c>
      <c r="U458" s="49">
        <f>IF(OR(S458&lt;&gt;1,L458=""),"",COUNTIFS('LEADS'!$S$5:$S$504,1,'LEADS'!$L$5:$L$504,"&lt;"&amp;L458)+COUNTIFS($S$5:S458,1,$L$5:L458,L458))</f>
        <v/>
      </c>
    </row>
    <row r="459">
      <c r="A459" s="46" t="inlineStr">
        <is>
          <t>L-0455</t>
        </is>
      </c>
      <c r="B459" s="47" t="n"/>
      <c r="C459" s="38" t="n"/>
      <c r="D459" s="38" t="n"/>
      <c r="E459" s="38" t="n"/>
      <c r="F459" s="38" t="n"/>
      <c r="G459" s="38" t="n"/>
      <c r="H459" s="38" t="n"/>
      <c r="I459" s="48" t="n"/>
      <c r="J459" s="38" t="n"/>
      <c r="K459" s="47" t="n"/>
      <c r="L459" s="47" t="n"/>
      <c r="M459" s="38" t="n"/>
      <c r="N459" s="38" t="n"/>
      <c r="O459" s="49">
        <f>IF(C459="","",IF(OR(J459="Booked",J459="Recurring Client"),"Booked",IF(J459="Lost/Declined","Lost","Open")))</f>
        <v/>
      </c>
      <c r="P459" s="49">
        <f>IF(C459="","",IF(S459=0,"—",IF(L459="","Set date",IF(L459&lt;AsOf,"Overdue",IF(L459=AsOf,"Due today",IF(L459&lt;=AsOf+SoonDays,"Due soon","Scheduled"))))))</f>
        <v/>
      </c>
      <c r="Q459" s="50">
        <f>IF(C459="","",IF(B459="","",AsOf-B459))</f>
        <v/>
      </c>
      <c r="R459" s="49">
        <f>IF(C459="","",IF(O459&lt;&gt;"Booked","",IF(COUNTIF('CUSTOMERS'!$B$5:$B$404,C459)&gt;0,"✓ In CUSTOMERS","Add to CUSTOMERS")))</f>
        <v/>
      </c>
      <c r="S459" s="49">
        <f>IF(C459="","",IF(OR(J459="Booked",J459="Recurring Client",J459="Lost/Declined"),0,1))</f>
        <v/>
      </c>
      <c r="T459" s="51">
        <f>IF(B459="","",DATE(YEAR(B459),MONTH(B459),1))</f>
        <v/>
      </c>
      <c r="U459" s="49">
        <f>IF(OR(S459&lt;&gt;1,L459=""),"",COUNTIFS('LEADS'!$S$5:$S$504,1,'LEADS'!$L$5:$L$504,"&lt;"&amp;L459)+COUNTIFS($S$5:S459,1,$L$5:L459,L459))</f>
        <v/>
      </c>
    </row>
    <row r="460">
      <c r="A460" s="46" t="inlineStr">
        <is>
          <t>L-0456</t>
        </is>
      </c>
      <c r="B460" s="47" t="n"/>
      <c r="C460" s="38" t="n"/>
      <c r="D460" s="38" t="n"/>
      <c r="E460" s="38" t="n"/>
      <c r="F460" s="38" t="n"/>
      <c r="G460" s="38" t="n"/>
      <c r="H460" s="38" t="n"/>
      <c r="I460" s="48" t="n"/>
      <c r="J460" s="38" t="n"/>
      <c r="K460" s="47" t="n"/>
      <c r="L460" s="47" t="n"/>
      <c r="M460" s="38" t="n"/>
      <c r="N460" s="38" t="n"/>
      <c r="O460" s="49">
        <f>IF(C460="","",IF(OR(J460="Booked",J460="Recurring Client"),"Booked",IF(J460="Lost/Declined","Lost","Open")))</f>
        <v/>
      </c>
      <c r="P460" s="49">
        <f>IF(C460="","",IF(S460=0,"—",IF(L460="","Set date",IF(L460&lt;AsOf,"Overdue",IF(L460=AsOf,"Due today",IF(L460&lt;=AsOf+SoonDays,"Due soon","Scheduled"))))))</f>
        <v/>
      </c>
      <c r="Q460" s="50">
        <f>IF(C460="","",IF(B460="","",AsOf-B460))</f>
        <v/>
      </c>
      <c r="R460" s="49">
        <f>IF(C460="","",IF(O460&lt;&gt;"Booked","",IF(COUNTIF('CUSTOMERS'!$B$5:$B$404,C460)&gt;0,"✓ In CUSTOMERS","Add to CUSTOMERS")))</f>
        <v/>
      </c>
      <c r="S460" s="49">
        <f>IF(C460="","",IF(OR(J460="Booked",J460="Recurring Client",J460="Lost/Declined"),0,1))</f>
        <v/>
      </c>
      <c r="T460" s="51">
        <f>IF(B460="","",DATE(YEAR(B460),MONTH(B460),1))</f>
        <v/>
      </c>
      <c r="U460" s="49">
        <f>IF(OR(S460&lt;&gt;1,L460=""),"",COUNTIFS('LEADS'!$S$5:$S$504,1,'LEADS'!$L$5:$L$504,"&lt;"&amp;L460)+COUNTIFS($S$5:S460,1,$L$5:L460,L460))</f>
        <v/>
      </c>
    </row>
    <row r="461">
      <c r="A461" s="46" t="inlineStr">
        <is>
          <t>L-0457</t>
        </is>
      </c>
      <c r="B461" s="47" t="n"/>
      <c r="C461" s="38" t="n"/>
      <c r="D461" s="38" t="n"/>
      <c r="E461" s="38" t="n"/>
      <c r="F461" s="38" t="n"/>
      <c r="G461" s="38" t="n"/>
      <c r="H461" s="38" t="n"/>
      <c r="I461" s="48" t="n"/>
      <c r="J461" s="38" t="n"/>
      <c r="K461" s="47" t="n"/>
      <c r="L461" s="47" t="n"/>
      <c r="M461" s="38" t="n"/>
      <c r="N461" s="38" t="n"/>
      <c r="O461" s="49">
        <f>IF(C461="","",IF(OR(J461="Booked",J461="Recurring Client"),"Booked",IF(J461="Lost/Declined","Lost","Open")))</f>
        <v/>
      </c>
      <c r="P461" s="49">
        <f>IF(C461="","",IF(S461=0,"—",IF(L461="","Set date",IF(L461&lt;AsOf,"Overdue",IF(L461=AsOf,"Due today",IF(L461&lt;=AsOf+SoonDays,"Due soon","Scheduled"))))))</f>
        <v/>
      </c>
      <c r="Q461" s="50">
        <f>IF(C461="","",IF(B461="","",AsOf-B461))</f>
        <v/>
      </c>
      <c r="R461" s="49">
        <f>IF(C461="","",IF(O461&lt;&gt;"Booked","",IF(COUNTIF('CUSTOMERS'!$B$5:$B$404,C461)&gt;0,"✓ In CUSTOMERS","Add to CUSTOMERS")))</f>
        <v/>
      </c>
      <c r="S461" s="49">
        <f>IF(C461="","",IF(OR(J461="Booked",J461="Recurring Client",J461="Lost/Declined"),0,1))</f>
        <v/>
      </c>
      <c r="T461" s="51">
        <f>IF(B461="","",DATE(YEAR(B461),MONTH(B461),1))</f>
        <v/>
      </c>
      <c r="U461" s="49">
        <f>IF(OR(S461&lt;&gt;1,L461=""),"",COUNTIFS('LEADS'!$S$5:$S$504,1,'LEADS'!$L$5:$L$504,"&lt;"&amp;L461)+COUNTIFS($S$5:S461,1,$L$5:L461,L461))</f>
        <v/>
      </c>
    </row>
    <row r="462">
      <c r="A462" s="46" t="inlineStr">
        <is>
          <t>L-0458</t>
        </is>
      </c>
      <c r="B462" s="47" t="n"/>
      <c r="C462" s="38" t="n"/>
      <c r="D462" s="38" t="n"/>
      <c r="E462" s="38" t="n"/>
      <c r="F462" s="38" t="n"/>
      <c r="G462" s="38" t="n"/>
      <c r="H462" s="38" t="n"/>
      <c r="I462" s="48" t="n"/>
      <c r="J462" s="38" t="n"/>
      <c r="K462" s="47" t="n"/>
      <c r="L462" s="47" t="n"/>
      <c r="M462" s="38" t="n"/>
      <c r="N462" s="38" t="n"/>
      <c r="O462" s="49">
        <f>IF(C462="","",IF(OR(J462="Booked",J462="Recurring Client"),"Booked",IF(J462="Lost/Declined","Lost","Open")))</f>
        <v/>
      </c>
      <c r="P462" s="49">
        <f>IF(C462="","",IF(S462=0,"—",IF(L462="","Set date",IF(L462&lt;AsOf,"Overdue",IF(L462=AsOf,"Due today",IF(L462&lt;=AsOf+SoonDays,"Due soon","Scheduled"))))))</f>
        <v/>
      </c>
      <c r="Q462" s="50">
        <f>IF(C462="","",IF(B462="","",AsOf-B462))</f>
        <v/>
      </c>
      <c r="R462" s="49">
        <f>IF(C462="","",IF(O462&lt;&gt;"Booked","",IF(COUNTIF('CUSTOMERS'!$B$5:$B$404,C462)&gt;0,"✓ In CUSTOMERS","Add to CUSTOMERS")))</f>
        <v/>
      </c>
      <c r="S462" s="49">
        <f>IF(C462="","",IF(OR(J462="Booked",J462="Recurring Client",J462="Lost/Declined"),0,1))</f>
        <v/>
      </c>
      <c r="T462" s="51">
        <f>IF(B462="","",DATE(YEAR(B462),MONTH(B462),1))</f>
        <v/>
      </c>
      <c r="U462" s="49">
        <f>IF(OR(S462&lt;&gt;1,L462=""),"",COUNTIFS('LEADS'!$S$5:$S$504,1,'LEADS'!$L$5:$L$504,"&lt;"&amp;L462)+COUNTIFS($S$5:S462,1,$L$5:L462,L462))</f>
        <v/>
      </c>
    </row>
    <row r="463">
      <c r="A463" s="46" t="inlineStr">
        <is>
          <t>L-0459</t>
        </is>
      </c>
      <c r="B463" s="47" t="n"/>
      <c r="C463" s="38" t="n"/>
      <c r="D463" s="38" t="n"/>
      <c r="E463" s="38" t="n"/>
      <c r="F463" s="38" t="n"/>
      <c r="G463" s="38" t="n"/>
      <c r="H463" s="38" t="n"/>
      <c r="I463" s="48" t="n"/>
      <c r="J463" s="38" t="n"/>
      <c r="K463" s="47" t="n"/>
      <c r="L463" s="47" t="n"/>
      <c r="M463" s="38" t="n"/>
      <c r="N463" s="38" t="n"/>
      <c r="O463" s="49">
        <f>IF(C463="","",IF(OR(J463="Booked",J463="Recurring Client"),"Booked",IF(J463="Lost/Declined","Lost","Open")))</f>
        <v/>
      </c>
      <c r="P463" s="49">
        <f>IF(C463="","",IF(S463=0,"—",IF(L463="","Set date",IF(L463&lt;AsOf,"Overdue",IF(L463=AsOf,"Due today",IF(L463&lt;=AsOf+SoonDays,"Due soon","Scheduled"))))))</f>
        <v/>
      </c>
      <c r="Q463" s="50">
        <f>IF(C463="","",IF(B463="","",AsOf-B463))</f>
        <v/>
      </c>
      <c r="R463" s="49">
        <f>IF(C463="","",IF(O463&lt;&gt;"Booked","",IF(COUNTIF('CUSTOMERS'!$B$5:$B$404,C463)&gt;0,"✓ In CUSTOMERS","Add to CUSTOMERS")))</f>
        <v/>
      </c>
      <c r="S463" s="49">
        <f>IF(C463="","",IF(OR(J463="Booked",J463="Recurring Client",J463="Lost/Declined"),0,1))</f>
        <v/>
      </c>
      <c r="T463" s="51">
        <f>IF(B463="","",DATE(YEAR(B463),MONTH(B463),1))</f>
        <v/>
      </c>
      <c r="U463" s="49">
        <f>IF(OR(S463&lt;&gt;1,L463=""),"",COUNTIFS('LEADS'!$S$5:$S$504,1,'LEADS'!$L$5:$L$504,"&lt;"&amp;L463)+COUNTIFS($S$5:S463,1,$L$5:L463,L463))</f>
        <v/>
      </c>
    </row>
    <row r="464">
      <c r="A464" s="46" t="inlineStr">
        <is>
          <t>L-0460</t>
        </is>
      </c>
      <c r="B464" s="47" t="n"/>
      <c r="C464" s="38" t="n"/>
      <c r="D464" s="38" t="n"/>
      <c r="E464" s="38" t="n"/>
      <c r="F464" s="38" t="n"/>
      <c r="G464" s="38" t="n"/>
      <c r="H464" s="38" t="n"/>
      <c r="I464" s="48" t="n"/>
      <c r="J464" s="38" t="n"/>
      <c r="K464" s="47" t="n"/>
      <c r="L464" s="47" t="n"/>
      <c r="M464" s="38" t="n"/>
      <c r="N464" s="38" t="n"/>
      <c r="O464" s="49">
        <f>IF(C464="","",IF(OR(J464="Booked",J464="Recurring Client"),"Booked",IF(J464="Lost/Declined","Lost","Open")))</f>
        <v/>
      </c>
      <c r="P464" s="49">
        <f>IF(C464="","",IF(S464=0,"—",IF(L464="","Set date",IF(L464&lt;AsOf,"Overdue",IF(L464=AsOf,"Due today",IF(L464&lt;=AsOf+SoonDays,"Due soon","Scheduled"))))))</f>
        <v/>
      </c>
      <c r="Q464" s="50">
        <f>IF(C464="","",IF(B464="","",AsOf-B464))</f>
        <v/>
      </c>
      <c r="R464" s="49">
        <f>IF(C464="","",IF(O464&lt;&gt;"Booked","",IF(COUNTIF('CUSTOMERS'!$B$5:$B$404,C464)&gt;0,"✓ In CUSTOMERS","Add to CUSTOMERS")))</f>
        <v/>
      </c>
      <c r="S464" s="49">
        <f>IF(C464="","",IF(OR(J464="Booked",J464="Recurring Client",J464="Lost/Declined"),0,1))</f>
        <v/>
      </c>
      <c r="T464" s="51">
        <f>IF(B464="","",DATE(YEAR(B464),MONTH(B464),1))</f>
        <v/>
      </c>
      <c r="U464" s="49">
        <f>IF(OR(S464&lt;&gt;1,L464=""),"",COUNTIFS('LEADS'!$S$5:$S$504,1,'LEADS'!$L$5:$L$504,"&lt;"&amp;L464)+COUNTIFS($S$5:S464,1,$L$5:L464,L464))</f>
        <v/>
      </c>
    </row>
    <row r="465">
      <c r="A465" s="46" t="inlineStr">
        <is>
          <t>L-0461</t>
        </is>
      </c>
      <c r="B465" s="47" t="n"/>
      <c r="C465" s="38" t="n"/>
      <c r="D465" s="38" t="n"/>
      <c r="E465" s="38" t="n"/>
      <c r="F465" s="38" t="n"/>
      <c r="G465" s="38" t="n"/>
      <c r="H465" s="38" t="n"/>
      <c r="I465" s="48" t="n"/>
      <c r="J465" s="38" t="n"/>
      <c r="K465" s="47" t="n"/>
      <c r="L465" s="47" t="n"/>
      <c r="M465" s="38" t="n"/>
      <c r="N465" s="38" t="n"/>
      <c r="O465" s="49">
        <f>IF(C465="","",IF(OR(J465="Booked",J465="Recurring Client"),"Booked",IF(J465="Lost/Declined","Lost","Open")))</f>
        <v/>
      </c>
      <c r="P465" s="49">
        <f>IF(C465="","",IF(S465=0,"—",IF(L465="","Set date",IF(L465&lt;AsOf,"Overdue",IF(L465=AsOf,"Due today",IF(L465&lt;=AsOf+SoonDays,"Due soon","Scheduled"))))))</f>
        <v/>
      </c>
      <c r="Q465" s="50">
        <f>IF(C465="","",IF(B465="","",AsOf-B465))</f>
        <v/>
      </c>
      <c r="R465" s="49">
        <f>IF(C465="","",IF(O465&lt;&gt;"Booked","",IF(COUNTIF('CUSTOMERS'!$B$5:$B$404,C465)&gt;0,"✓ In CUSTOMERS","Add to CUSTOMERS")))</f>
        <v/>
      </c>
      <c r="S465" s="49">
        <f>IF(C465="","",IF(OR(J465="Booked",J465="Recurring Client",J465="Lost/Declined"),0,1))</f>
        <v/>
      </c>
      <c r="T465" s="51">
        <f>IF(B465="","",DATE(YEAR(B465),MONTH(B465),1))</f>
        <v/>
      </c>
      <c r="U465" s="49">
        <f>IF(OR(S465&lt;&gt;1,L465=""),"",COUNTIFS('LEADS'!$S$5:$S$504,1,'LEADS'!$L$5:$L$504,"&lt;"&amp;L465)+COUNTIFS($S$5:S465,1,$L$5:L465,L465))</f>
        <v/>
      </c>
    </row>
    <row r="466">
      <c r="A466" s="46" t="inlineStr">
        <is>
          <t>L-0462</t>
        </is>
      </c>
      <c r="B466" s="47" t="n"/>
      <c r="C466" s="38" t="n"/>
      <c r="D466" s="38" t="n"/>
      <c r="E466" s="38" t="n"/>
      <c r="F466" s="38" t="n"/>
      <c r="G466" s="38" t="n"/>
      <c r="H466" s="38" t="n"/>
      <c r="I466" s="48" t="n"/>
      <c r="J466" s="38" t="n"/>
      <c r="K466" s="47" t="n"/>
      <c r="L466" s="47" t="n"/>
      <c r="M466" s="38" t="n"/>
      <c r="N466" s="38" t="n"/>
      <c r="O466" s="49">
        <f>IF(C466="","",IF(OR(J466="Booked",J466="Recurring Client"),"Booked",IF(J466="Lost/Declined","Lost","Open")))</f>
        <v/>
      </c>
      <c r="P466" s="49">
        <f>IF(C466="","",IF(S466=0,"—",IF(L466="","Set date",IF(L466&lt;AsOf,"Overdue",IF(L466=AsOf,"Due today",IF(L466&lt;=AsOf+SoonDays,"Due soon","Scheduled"))))))</f>
        <v/>
      </c>
      <c r="Q466" s="50">
        <f>IF(C466="","",IF(B466="","",AsOf-B466))</f>
        <v/>
      </c>
      <c r="R466" s="49">
        <f>IF(C466="","",IF(O466&lt;&gt;"Booked","",IF(COUNTIF('CUSTOMERS'!$B$5:$B$404,C466)&gt;0,"✓ In CUSTOMERS","Add to CUSTOMERS")))</f>
        <v/>
      </c>
      <c r="S466" s="49">
        <f>IF(C466="","",IF(OR(J466="Booked",J466="Recurring Client",J466="Lost/Declined"),0,1))</f>
        <v/>
      </c>
      <c r="T466" s="51">
        <f>IF(B466="","",DATE(YEAR(B466),MONTH(B466),1))</f>
        <v/>
      </c>
      <c r="U466" s="49">
        <f>IF(OR(S466&lt;&gt;1,L466=""),"",COUNTIFS('LEADS'!$S$5:$S$504,1,'LEADS'!$L$5:$L$504,"&lt;"&amp;L466)+COUNTIFS($S$5:S466,1,$L$5:L466,L466))</f>
        <v/>
      </c>
    </row>
    <row r="467">
      <c r="A467" s="46" t="inlineStr">
        <is>
          <t>L-0463</t>
        </is>
      </c>
      <c r="B467" s="47" t="n"/>
      <c r="C467" s="38" t="n"/>
      <c r="D467" s="38" t="n"/>
      <c r="E467" s="38" t="n"/>
      <c r="F467" s="38" t="n"/>
      <c r="G467" s="38" t="n"/>
      <c r="H467" s="38" t="n"/>
      <c r="I467" s="48" t="n"/>
      <c r="J467" s="38" t="n"/>
      <c r="K467" s="47" t="n"/>
      <c r="L467" s="47" t="n"/>
      <c r="M467" s="38" t="n"/>
      <c r="N467" s="38" t="n"/>
      <c r="O467" s="49">
        <f>IF(C467="","",IF(OR(J467="Booked",J467="Recurring Client"),"Booked",IF(J467="Lost/Declined","Lost","Open")))</f>
        <v/>
      </c>
      <c r="P467" s="49">
        <f>IF(C467="","",IF(S467=0,"—",IF(L467="","Set date",IF(L467&lt;AsOf,"Overdue",IF(L467=AsOf,"Due today",IF(L467&lt;=AsOf+SoonDays,"Due soon","Scheduled"))))))</f>
        <v/>
      </c>
      <c r="Q467" s="50">
        <f>IF(C467="","",IF(B467="","",AsOf-B467))</f>
        <v/>
      </c>
      <c r="R467" s="49">
        <f>IF(C467="","",IF(O467&lt;&gt;"Booked","",IF(COUNTIF('CUSTOMERS'!$B$5:$B$404,C467)&gt;0,"✓ In CUSTOMERS","Add to CUSTOMERS")))</f>
        <v/>
      </c>
      <c r="S467" s="49">
        <f>IF(C467="","",IF(OR(J467="Booked",J467="Recurring Client",J467="Lost/Declined"),0,1))</f>
        <v/>
      </c>
      <c r="T467" s="51">
        <f>IF(B467="","",DATE(YEAR(B467),MONTH(B467),1))</f>
        <v/>
      </c>
      <c r="U467" s="49">
        <f>IF(OR(S467&lt;&gt;1,L467=""),"",COUNTIFS('LEADS'!$S$5:$S$504,1,'LEADS'!$L$5:$L$504,"&lt;"&amp;L467)+COUNTIFS($S$5:S467,1,$L$5:L467,L467))</f>
        <v/>
      </c>
    </row>
    <row r="468">
      <c r="A468" s="46" t="inlineStr">
        <is>
          <t>L-0464</t>
        </is>
      </c>
      <c r="B468" s="47" t="n"/>
      <c r="C468" s="38" t="n"/>
      <c r="D468" s="38" t="n"/>
      <c r="E468" s="38" t="n"/>
      <c r="F468" s="38" t="n"/>
      <c r="G468" s="38" t="n"/>
      <c r="H468" s="38" t="n"/>
      <c r="I468" s="48" t="n"/>
      <c r="J468" s="38" t="n"/>
      <c r="K468" s="47" t="n"/>
      <c r="L468" s="47" t="n"/>
      <c r="M468" s="38" t="n"/>
      <c r="N468" s="38" t="n"/>
      <c r="O468" s="49">
        <f>IF(C468="","",IF(OR(J468="Booked",J468="Recurring Client"),"Booked",IF(J468="Lost/Declined","Lost","Open")))</f>
        <v/>
      </c>
      <c r="P468" s="49">
        <f>IF(C468="","",IF(S468=0,"—",IF(L468="","Set date",IF(L468&lt;AsOf,"Overdue",IF(L468=AsOf,"Due today",IF(L468&lt;=AsOf+SoonDays,"Due soon","Scheduled"))))))</f>
        <v/>
      </c>
      <c r="Q468" s="50">
        <f>IF(C468="","",IF(B468="","",AsOf-B468))</f>
        <v/>
      </c>
      <c r="R468" s="49">
        <f>IF(C468="","",IF(O468&lt;&gt;"Booked","",IF(COUNTIF('CUSTOMERS'!$B$5:$B$404,C468)&gt;0,"✓ In CUSTOMERS","Add to CUSTOMERS")))</f>
        <v/>
      </c>
      <c r="S468" s="49">
        <f>IF(C468="","",IF(OR(J468="Booked",J468="Recurring Client",J468="Lost/Declined"),0,1))</f>
        <v/>
      </c>
      <c r="T468" s="51">
        <f>IF(B468="","",DATE(YEAR(B468),MONTH(B468),1))</f>
        <v/>
      </c>
      <c r="U468" s="49">
        <f>IF(OR(S468&lt;&gt;1,L468=""),"",COUNTIFS('LEADS'!$S$5:$S$504,1,'LEADS'!$L$5:$L$504,"&lt;"&amp;L468)+COUNTIFS($S$5:S468,1,$L$5:L468,L468))</f>
        <v/>
      </c>
    </row>
    <row r="469">
      <c r="A469" s="46" t="inlineStr">
        <is>
          <t>L-0465</t>
        </is>
      </c>
      <c r="B469" s="47" t="n"/>
      <c r="C469" s="38" t="n"/>
      <c r="D469" s="38" t="n"/>
      <c r="E469" s="38" t="n"/>
      <c r="F469" s="38" t="n"/>
      <c r="G469" s="38" t="n"/>
      <c r="H469" s="38" t="n"/>
      <c r="I469" s="48" t="n"/>
      <c r="J469" s="38" t="n"/>
      <c r="K469" s="47" t="n"/>
      <c r="L469" s="47" t="n"/>
      <c r="M469" s="38" t="n"/>
      <c r="N469" s="38" t="n"/>
      <c r="O469" s="49">
        <f>IF(C469="","",IF(OR(J469="Booked",J469="Recurring Client"),"Booked",IF(J469="Lost/Declined","Lost","Open")))</f>
        <v/>
      </c>
      <c r="P469" s="49">
        <f>IF(C469="","",IF(S469=0,"—",IF(L469="","Set date",IF(L469&lt;AsOf,"Overdue",IF(L469=AsOf,"Due today",IF(L469&lt;=AsOf+SoonDays,"Due soon","Scheduled"))))))</f>
        <v/>
      </c>
      <c r="Q469" s="50">
        <f>IF(C469="","",IF(B469="","",AsOf-B469))</f>
        <v/>
      </c>
      <c r="R469" s="49">
        <f>IF(C469="","",IF(O469&lt;&gt;"Booked","",IF(COUNTIF('CUSTOMERS'!$B$5:$B$404,C469)&gt;0,"✓ In CUSTOMERS","Add to CUSTOMERS")))</f>
        <v/>
      </c>
      <c r="S469" s="49">
        <f>IF(C469="","",IF(OR(J469="Booked",J469="Recurring Client",J469="Lost/Declined"),0,1))</f>
        <v/>
      </c>
      <c r="T469" s="51">
        <f>IF(B469="","",DATE(YEAR(B469),MONTH(B469),1))</f>
        <v/>
      </c>
      <c r="U469" s="49">
        <f>IF(OR(S469&lt;&gt;1,L469=""),"",COUNTIFS('LEADS'!$S$5:$S$504,1,'LEADS'!$L$5:$L$504,"&lt;"&amp;L469)+COUNTIFS($S$5:S469,1,$L$5:L469,L469))</f>
        <v/>
      </c>
    </row>
    <row r="470">
      <c r="A470" s="46" t="inlineStr">
        <is>
          <t>L-0466</t>
        </is>
      </c>
      <c r="B470" s="47" t="n"/>
      <c r="C470" s="38" t="n"/>
      <c r="D470" s="38" t="n"/>
      <c r="E470" s="38" t="n"/>
      <c r="F470" s="38" t="n"/>
      <c r="G470" s="38" t="n"/>
      <c r="H470" s="38" t="n"/>
      <c r="I470" s="48" t="n"/>
      <c r="J470" s="38" t="n"/>
      <c r="K470" s="47" t="n"/>
      <c r="L470" s="47" t="n"/>
      <c r="M470" s="38" t="n"/>
      <c r="N470" s="38" t="n"/>
      <c r="O470" s="49">
        <f>IF(C470="","",IF(OR(J470="Booked",J470="Recurring Client"),"Booked",IF(J470="Lost/Declined","Lost","Open")))</f>
        <v/>
      </c>
      <c r="P470" s="49">
        <f>IF(C470="","",IF(S470=0,"—",IF(L470="","Set date",IF(L470&lt;AsOf,"Overdue",IF(L470=AsOf,"Due today",IF(L470&lt;=AsOf+SoonDays,"Due soon","Scheduled"))))))</f>
        <v/>
      </c>
      <c r="Q470" s="50">
        <f>IF(C470="","",IF(B470="","",AsOf-B470))</f>
        <v/>
      </c>
      <c r="R470" s="49">
        <f>IF(C470="","",IF(O470&lt;&gt;"Booked","",IF(COUNTIF('CUSTOMERS'!$B$5:$B$404,C470)&gt;0,"✓ In CUSTOMERS","Add to CUSTOMERS")))</f>
        <v/>
      </c>
      <c r="S470" s="49">
        <f>IF(C470="","",IF(OR(J470="Booked",J470="Recurring Client",J470="Lost/Declined"),0,1))</f>
        <v/>
      </c>
      <c r="T470" s="51">
        <f>IF(B470="","",DATE(YEAR(B470),MONTH(B470),1))</f>
        <v/>
      </c>
      <c r="U470" s="49">
        <f>IF(OR(S470&lt;&gt;1,L470=""),"",COUNTIFS('LEADS'!$S$5:$S$504,1,'LEADS'!$L$5:$L$504,"&lt;"&amp;L470)+COUNTIFS($S$5:S470,1,$L$5:L470,L470))</f>
        <v/>
      </c>
    </row>
    <row r="471">
      <c r="A471" s="46" t="inlineStr">
        <is>
          <t>L-0467</t>
        </is>
      </c>
      <c r="B471" s="47" t="n"/>
      <c r="C471" s="38" t="n"/>
      <c r="D471" s="38" t="n"/>
      <c r="E471" s="38" t="n"/>
      <c r="F471" s="38" t="n"/>
      <c r="G471" s="38" t="n"/>
      <c r="H471" s="38" t="n"/>
      <c r="I471" s="48" t="n"/>
      <c r="J471" s="38" t="n"/>
      <c r="K471" s="47" t="n"/>
      <c r="L471" s="47" t="n"/>
      <c r="M471" s="38" t="n"/>
      <c r="N471" s="38" t="n"/>
      <c r="O471" s="49">
        <f>IF(C471="","",IF(OR(J471="Booked",J471="Recurring Client"),"Booked",IF(J471="Lost/Declined","Lost","Open")))</f>
        <v/>
      </c>
      <c r="P471" s="49">
        <f>IF(C471="","",IF(S471=0,"—",IF(L471="","Set date",IF(L471&lt;AsOf,"Overdue",IF(L471=AsOf,"Due today",IF(L471&lt;=AsOf+SoonDays,"Due soon","Scheduled"))))))</f>
        <v/>
      </c>
      <c r="Q471" s="50">
        <f>IF(C471="","",IF(B471="","",AsOf-B471))</f>
        <v/>
      </c>
      <c r="R471" s="49">
        <f>IF(C471="","",IF(O471&lt;&gt;"Booked","",IF(COUNTIF('CUSTOMERS'!$B$5:$B$404,C471)&gt;0,"✓ In CUSTOMERS","Add to CUSTOMERS")))</f>
        <v/>
      </c>
      <c r="S471" s="49">
        <f>IF(C471="","",IF(OR(J471="Booked",J471="Recurring Client",J471="Lost/Declined"),0,1))</f>
        <v/>
      </c>
      <c r="T471" s="51">
        <f>IF(B471="","",DATE(YEAR(B471),MONTH(B471),1))</f>
        <v/>
      </c>
      <c r="U471" s="49">
        <f>IF(OR(S471&lt;&gt;1,L471=""),"",COUNTIFS('LEADS'!$S$5:$S$504,1,'LEADS'!$L$5:$L$504,"&lt;"&amp;L471)+COUNTIFS($S$5:S471,1,$L$5:L471,L471))</f>
        <v/>
      </c>
    </row>
    <row r="472">
      <c r="A472" s="46" t="inlineStr">
        <is>
          <t>L-0468</t>
        </is>
      </c>
      <c r="B472" s="47" t="n"/>
      <c r="C472" s="38" t="n"/>
      <c r="D472" s="38" t="n"/>
      <c r="E472" s="38" t="n"/>
      <c r="F472" s="38" t="n"/>
      <c r="G472" s="38" t="n"/>
      <c r="H472" s="38" t="n"/>
      <c r="I472" s="48" t="n"/>
      <c r="J472" s="38" t="n"/>
      <c r="K472" s="47" t="n"/>
      <c r="L472" s="47" t="n"/>
      <c r="M472" s="38" t="n"/>
      <c r="N472" s="38" t="n"/>
      <c r="O472" s="49">
        <f>IF(C472="","",IF(OR(J472="Booked",J472="Recurring Client"),"Booked",IF(J472="Lost/Declined","Lost","Open")))</f>
        <v/>
      </c>
      <c r="P472" s="49">
        <f>IF(C472="","",IF(S472=0,"—",IF(L472="","Set date",IF(L472&lt;AsOf,"Overdue",IF(L472=AsOf,"Due today",IF(L472&lt;=AsOf+SoonDays,"Due soon","Scheduled"))))))</f>
        <v/>
      </c>
      <c r="Q472" s="50">
        <f>IF(C472="","",IF(B472="","",AsOf-B472))</f>
        <v/>
      </c>
      <c r="R472" s="49">
        <f>IF(C472="","",IF(O472&lt;&gt;"Booked","",IF(COUNTIF('CUSTOMERS'!$B$5:$B$404,C472)&gt;0,"✓ In CUSTOMERS","Add to CUSTOMERS")))</f>
        <v/>
      </c>
      <c r="S472" s="49">
        <f>IF(C472="","",IF(OR(J472="Booked",J472="Recurring Client",J472="Lost/Declined"),0,1))</f>
        <v/>
      </c>
      <c r="T472" s="51">
        <f>IF(B472="","",DATE(YEAR(B472),MONTH(B472),1))</f>
        <v/>
      </c>
      <c r="U472" s="49">
        <f>IF(OR(S472&lt;&gt;1,L472=""),"",COUNTIFS('LEADS'!$S$5:$S$504,1,'LEADS'!$L$5:$L$504,"&lt;"&amp;L472)+COUNTIFS($S$5:S472,1,$L$5:L472,L472))</f>
        <v/>
      </c>
    </row>
    <row r="473">
      <c r="A473" s="46" t="inlineStr">
        <is>
          <t>L-0469</t>
        </is>
      </c>
      <c r="B473" s="47" t="n"/>
      <c r="C473" s="38" t="n"/>
      <c r="D473" s="38" t="n"/>
      <c r="E473" s="38" t="n"/>
      <c r="F473" s="38" t="n"/>
      <c r="G473" s="38" t="n"/>
      <c r="H473" s="38" t="n"/>
      <c r="I473" s="48" t="n"/>
      <c r="J473" s="38" t="n"/>
      <c r="K473" s="47" t="n"/>
      <c r="L473" s="47" t="n"/>
      <c r="M473" s="38" t="n"/>
      <c r="N473" s="38" t="n"/>
      <c r="O473" s="49">
        <f>IF(C473="","",IF(OR(J473="Booked",J473="Recurring Client"),"Booked",IF(J473="Lost/Declined","Lost","Open")))</f>
        <v/>
      </c>
      <c r="P473" s="49">
        <f>IF(C473="","",IF(S473=0,"—",IF(L473="","Set date",IF(L473&lt;AsOf,"Overdue",IF(L473=AsOf,"Due today",IF(L473&lt;=AsOf+SoonDays,"Due soon","Scheduled"))))))</f>
        <v/>
      </c>
      <c r="Q473" s="50">
        <f>IF(C473="","",IF(B473="","",AsOf-B473))</f>
        <v/>
      </c>
      <c r="R473" s="49">
        <f>IF(C473="","",IF(O473&lt;&gt;"Booked","",IF(COUNTIF('CUSTOMERS'!$B$5:$B$404,C473)&gt;0,"✓ In CUSTOMERS","Add to CUSTOMERS")))</f>
        <v/>
      </c>
      <c r="S473" s="49">
        <f>IF(C473="","",IF(OR(J473="Booked",J473="Recurring Client",J473="Lost/Declined"),0,1))</f>
        <v/>
      </c>
      <c r="T473" s="51">
        <f>IF(B473="","",DATE(YEAR(B473),MONTH(B473),1))</f>
        <v/>
      </c>
      <c r="U473" s="49">
        <f>IF(OR(S473&lt;&gt;1,L473=""),"",COUNTIFS('LEADS'!$S$5:$S$504,1,'LEADS'!$L$5:$L$504,"&lt;"&amp;L473)+COUNTIFS($S$5:S473,1,$L$5:L473,L473))</f>
        <v/>
      </c>
    </row>
    <row r="474">
      <c r="A474" s="46" t="inlineStr">
        <is>
          <t>L-0470</t>
        </is>
      </c>
      <c r="B474" s="47" t="n"/>
      <c r="C474" s="38" t="n"/>
      <c r="D474" s="38" t="n"/>
      <c r="E474" s="38" t="n"/>
      <c r="F474" s="38" t="n"/>
      <c r="G474" s="38" t="n"/>
      <c r="H474" s="38" t="n"/>
      <c r="I474" s="48" t="n"/>
      <c r="J474" s="38" t="n"/>
      <c r="K474" s="47" t="n"/>
      <c r="L474" s="47" t="n"/>
      <c r="M474" s="38" t="n"/>
      <c r="N474" s="38" t="n"/>
      <c r="O474" s="49">
        <f>IF(C474="","",IF(OR(J474="Booked",J474="Recurring Client"),"Booked",IF(J474="Lost/Declined","Lost","Open")))</f>
        <v/>
      </c>
      <c r="P474" s="49">
        <f>IF(C474="","",IF(S474=0,"—",IF(L474="","Set date",IF(L474&lt;AsOf,"Overdue",IF(L474=AsOf,"Due today",IF(L474&lt;=AsOf+SoonDays,"Due soon","Scheduled"))))))</f>
        <v/>
      </c>
      <c r="Q474" s="50">
        <f>IF(C474="","",IF(B474="","",AsOf-B474))</f>
        <v/>
      </c>
      <c r="R474" s="49">
        <f>IF(C474="","",IF(O474&lt;&gt;"Booked","",IF(COUNTIF('CUSTOMERS'!$B$5:$B$404,C474)&gt;0,"✓ In CUSTOMERS","Add to CUSTOMERS")))</f>
        <v/>
      </c>
      <c r="S474" s="49">
        <f>IF(C474="","",IF(OR(J474="Booked",J474="Recurring Client",J474="Lost/Declined"),0,1))</f>
        <v/>
      </c>
      <c r="T474" s="51">
        <f>IF(B474="","",DATE(YEAR(B474),MONTH(B474),1))</f>
        <v/>
      </c>
      <c r="U474" s="49">
        <f>IF(OR(S474&lt;&gt;1,L474=""),"",COUNTIFS('LEADS'!$S$5:$S$504,1,'LEADS'!$L$5:$L$504,"&lt;"&amp;L474)+COUNTIFS($S$5:S474,1,$L$5:L474,L474))</f>
        <v/>
      </c>
    </row>
    <row r="475">
      <c r="A475" s="46" t="inlineStr">
        <is>
          <t>L-0471</t>
        </is>
      </c>
      <c r="B475" s="47" t="n"/>
      <c r="C475" s="38" t="n"/>
      <c r="D475" s="38" t="n"/>
      <c r="E475" s="38" t="n"/>
      <c r="F475" s="38" t="n"/>
      <c r="G475" s="38" t="n"/>
      <c r="H475" s="38" t="n"/>
      <c r="I475" s="48" t="n"/>
      <c r="J475" s="38" t="n"/>
      <c r="K475" s="47" t="n"/>
      <c r="L475" s="47" t="n"/>
      <c r="M475" s="38" t="n"/>
      <c r="N475" s="38" t="n"/>
      <c r="O475" s="49">
        <f>IF(C475="","",IF(OR(J475="Booked",J475="Recurring Client"),"Booked",IF(J475="Lost/Declined","Lost","Open")))</f>
        <v/>
      </c>
      <c r="P475" s="49">
        <f>IF(C475="","",IF(S475=0,"—",IF(L475="","Set date",IF(L475&lt;AsOf,"Overdue",IF(L475=AsOf,"Due today",IF(L475&lt;=AsOf+SoonDays,"Due soon","Scheduled"))))))</f>
        <v/>
      </c>
      <c r="Q475" s="50">
        <f>IF(C475="","",IF(B475="","",AsOf-B475))</f>
        <v/>
      </c>
      <c r="R475" s="49">
        <f>IF(C475="","",IF(O475&lt;&gt;"Booked","",IF(COUNTIF('CUSTOMERS'!$B$5:$B$404,C475)&gt;0,"✓ In CUSTOMERS","Add to CUSTOMERS")))</f>
        <v/>
      </c>
      <c r="S475" s="49">
        <f>IF(C475="","",IF(OR(J475="Booked",J475="Recurring Client",J475="Lost/Declined"),0,1))</f>
        <v/>
      </c>
      <c r="T475" s="51">
        <f>IF(B475="","",DATE(YEAR(B475),MONTH(B475),1))</f>
        <v/>
      </c>
      <c r="U475" s="49">
        <f>IF(OR(S475&lt;&gt;1,L475=""),"",COUNTIFS('LEADS'!$S$5:$S$504,1,'LEADS'!$L$5:$L$504,"&lt;"&amp;L475)+COUNTIFS($S$5:S475,1,$L$5:L475,L475))</f>
        <v/>
      </c>
    </row>
    <row r="476">
      <c r="A476" s="46" t="inlineStr">
        <is>
          <t>L-0472</t>
        </is>
      </c>
      <c r="B476" s="47" t="n"/>
      <c r="C476" s="38" t="n"/>
      <c r="D476" s="38" t="n"/>
      <c r="E476" s="38" t="n"/>
      <c r="F476" s="38" t="n"/>
      <c r="G476" s="38" t="n"/>
      <c r="H476" s="38" t="n"/>
      <c r="I476" s="48" t="n"/>
      <c r="J476" s="38" t="n"/>
      <c r="K476" s="47" t="n"/>
      <c r="L476" s="47" t="n"/>
      <c r="M476" s="38" t="n"/>
      <c r="N476" s="38" t="n"/>
      <c r="O476" s="49">
        <f>IF(C476="","",IF(OR(J476="Booked",J476="Recurring Client"),"Booked",IF(J476="Lost/Declined","Lost","Open")))</f>
        <v/>
      </c>
      <c r="P476" s="49">
        <f>IF(C476="","",IF(S476=0,"—",IF(L476="","Set date",IF(L476&lt;AsOf,"Overdue",IF(L476=AsOf,"Due today",IF(L476&lt;=AsOf+SoonDays,"Due soon","Scheduled"))))))</f>
        <v/>
      </c>
      <c r="Q476" s="50">
        <f>IF(C476="","",IF(B476="","",AsOf-B476))</f>
        <v/>
      </c>
      <c r="R476" s="49">
        <f>IF(C476="","",IF(O476&lt;&gt;"Booked","",IF(COUNTIF('CUSTOMERS'!$B$5:$B$404,C476)&gt;0,"✓ In CUSTOMERS","Add to CUSTOMERS")))</f>
        <v/>
      </c>
      <c r="S476" s="49">
        <f>IF(C476="","",IF(OR(J476="Booked",J476="Recurring Client",J476="Lost/Declined"),0,1))</f>
        <v/>
      </c>
      <c r="T476" s="51">
        <f>IF(B476="","",DATE(YEAR(B476),MONTH(B476),1))</f>
        <v/>
      </c>
      <c r="U476" s="49">
        <f>IF(OR(S476&lt;&gt;1,L476=""),"",COUNTIFS('LEADS'!$S$5:$S$504,1,'LEADS'!$L$5:$L$504,"&lt;"&amp;L476)+COUNTIFS($S$5:S476,1,$L$5:L476,L476))</f>
        <v/>
      </c>
    </row>
    <row r="477">
      <c r="A477" s="46" t="inlineStr">
        <is>
          <t>L-0473</t>
        </is>
      </c>
      <c r="B477" s="47" t="n"/>
      <c r="C477" s="38" t="n"/>
      <c r="D477" s="38" t="n"/>
      <c r="E477" s="38" t="n"/>
      <c r="F477" s="38" t="n"/>
      <c r="G477" s="38" t="n"/>
      <c r="H477" s="38" t="n"/>
      <c r="I477" s="48" t="n"/>
      <c r="J477" s="38" t="n"/>
      <c r="K477" s="47" t="n"/>
      <c r="L477" s="47" t="n"/>
      <c r="M477" s="38" t="n"/>
      <c r="N477" s="38" t="n"/>
      <c r="O477" s="49">
        <f>IF(C477="","",IF(OR(J477="Booked",J477="Recurring Client"),"Booked",IF(J477="Lost/Declined","Lost","Open")))</f>
        <v/>
      </c>
      <c r="P477" s="49">
        <f>IF(C477="","",IF(S477=0,"—",IF(L477="","Set date",IF(L477&lt;AsOf,"Overdue",IF(L477=AsOf,"Due today",IF(L477&lt;=AsOf+SoonDays,"Due soon","Scheduled"))))))</f>
        <v/>
      </c>
      <c r="Q477" s="50">
        <f>IF(C477="","",IF(B477="","",AsOf-B477))</f>
        <v/>
      </c>
      <c r="R477" s="49">
        <f>IF(C477="","",IF(O477&lt;&gt;"Booked","",IF(COUNTIF('CUSTOMERS'!$B$5:$B$404,C477)&gt;0,"✓ In CUSTOMERS","Add to CUSTOMERS")))</f>
        <v/>
      </c>
      <c r="S477" s="49">
        <f>IF(C477="","",IF(OR(J477="Booked",J477="Recurring Client",J477="Lost/Declined"),0,1))</f>
        <v/>
      </c>
      <c r="T477" s="51">
        <f>IF(B477="","",DATE(YEAR(B477),MONTH(B477),1))</f>
        <v/>
      </c>
      <c r="U477" s="49">
        <f>IF(OR(S477&lt;&gt;1,L477=""),"",COUNTIFS('LEADS'!$S$5:$S$504,1,'LEADS'!$L$5:$L$504,"&lt;"&amp;L477)+COUNTIFS($S$5:S477,1,$L$5:L477,L477))</f>
        <v/>
      </c>
    </row>
    <row r="478">
      <c r="A478" s="46" t="inlineStr">
        <is>
          <t>L-0474</t>
        </is>
      </c>
      <c r="B478" s="47" t="n"/>
      <c r="C478" s="38" t="n"/>
      <c r="D478" s="38" t="n"/>
      <c r="E478" s="38" t="n"/>
      <c r="F478" s="38" t="n"/>
      <c r="G478" s="38" t="n"/>
      <c r="H478" s="38" t="n"/>
      <c r="I478" s="48" t="n"/>
      <c r="J478" s="38" t="n"/>
      <c r="K478" s="47" t="n"/>
      <c r="L478" s="47" t="n"/>
      <c r="M478" s="38" t="n"/>
      <c r="N478" s="38" t="n"/>
      <c r="O478" s="49">
        <f>IF(C478="","",IF(OR(J478="Booked",J478="Recurring Client"),"Booked",IF(J478="Lost/Declined","Lost","Open")))</f>
        <v/>
      </c>
      <c r="P478" s="49">
        <f>IF(C478="","",IF(S478=0,"—",IF(L478="","Set date",IF(L478&lt;AsOf,"Overdue",IF(L478=AsOf,"Due today",IF(L478&lt;=AsOf+SoonDays,"Due soon","Scheduled"))))))</f>
        <v/>
      </c>
      <c r="Q478" s="50">
        <f>IF(C478="","",IF(B478="","",AsOf-B478))</f>
        <v/>
      </c>
      <c r="R478" s="49">
        <f>IF(C478="","",IF(O478&lt;&gt;"Booked","",IF(COUNTIF('CUSTOMERS'!$B$5:$B$404,C478)&gt;0,"✓ In CUSTOMERS","Add to CUSTOMERS")))</f>
        <v/>
      </c>
      <c r="S478" s="49">
        <f>IF(C478="","",IF(OR(J478="Booked",J478="Recurring Client",J478="Lost/Declined"),0,1))</f>
        <v/>
      </c>
      <c r="T478" s="51">
        <f>IF(B478="","",DATE(YEAR(B478),MONTH(B478),1))</f>
        <v/>
      </c>
      <c r="U478" s="49">
        <f>IF(OR(S478&lt;&gt;1,L478=""),"",COUNTIFS('LEADS'!$S$5:$S$504,1,'LEADS'!$L$5:$L$504,"&lt;"&amp;L478)+COUNTIFS($S$5:S478,1,$L$5:L478,L478))</f>
        <v/>
      </c>
    </row>
    <row r="479">
      <c r="A479" s="46" t="inlineStr">
        <is>
          <t>L-0475</t>
        </is>
      </c>
      <c r="B479" s="47" t="n"/>
      <c r="C479" s="38" t="n"/>
      <c r="D479" s="38" t="n"/>
      <c r="E479" s="38" t="n"/>
      <c r="F479" s="38" t="n"/>
      <c r="G479" s="38" t="n"/>
      <c r="H479" s="38" t="n"/>
      <c r="I479" s="48" t="n"/>
      <c r="J479" s="38" t="n"/>
      <c r="K479" s="47" t="n"/>
      <c r="L479" s="47" t="n"/>
      <c r="M479" s="38" t="n"/>
      <c r="N479" s="38" t="n"/>
      <c r="O479" s="49">
        <f>IF(C479="","",IF(OR(J479="Booked",J479="Recurring Client"),"Booked",IF(J479="Lost/Declined","Lost","Open")))</f>
        <v/>
      </c>
      <c r="P479" s="49">
        <f>IF(C479="","",IF(S479=0,"—",IF(L479="","Set date",IF(L479&lt;AsOf,"Overdue",IF(L479=AsOf,"Due today",IF(L479&lt;=AsOf+SoonDays,"Due soon","Scheduled"))))))</f>
        <v/>
      </c>
      <c r="Q479" s="50">
        <f>IF(C479="","",IF(B479="","",AsOf-B479))</f>
        <v/>
      </c>
      <c r="R479" s="49">
        <f>IF(C479="","",IF(O479&lt;&gt;"Booked","",IF(COUNTIF('CUSTOMERS'!$B$5:$B$404,C479)&gt;0,"✓ In CUSTOMERS","Add to CUSTOMERS")))</f>
        <v/>
      </c>
      <c r="S479" s="49">
        <f>IF(C479="","",IF(OR(J479="Booked",J479="Recurring Client",J479="Lost/Declined"),0,1))</f>
        <v/>
      </c>
      <c r="T479" s="51">
        <f>IF(B479="","",DATE(YEAR(B479),MONTH(B479),1))</f>
        <v/>
      </c>
      <c r="U479" s="49">
        <f>IF(OR(S479&lt;&gt;1,L479=""),"",COUNTIFS('LEADS'!$S$5:$S$504,1,'LEADS'!$L$5:$L$504,"&lt;"&amp;L479)+COUNTIFS($S$5:S479,1,$L$5:L479,L479))</f>
        <v/>
      </c>
    </row>
    <row r="480">
      <c r="A480" s="46" t="inlineStr">
        <is>
          <t>L-0476</t>
        </is>
      </c>
      <c r="B480" s="47" t="n"/>
      <c r="C480" s="38" t="n"/>
      <c r="D480" s="38" t="n"/>
      <c r="E480" s="38" t="n"/>
      <c r="F480" s="38" t="n"/>
      <c r="G480" s="38" t="n"/>
      <c r="H480" s="38" t="n"/>
      <c r="I480" s="48" t="n"/>
      <c r="J480" s="38" t="n"/>
      <c r="K480" s="47" t="n"/>
      <c r="L480" s="47" t="n"/>
      <c r="M480" s="38" t="n"/>
      <c r="N480" s="38" t="n"/>
      <c r="O480" s="49">
        <f>IF(C480="","",IF(OR(J480="Booked",J480="Recurring Client"),"Booked",IF(J480="Lost/Declined","Lost","Open")))</f>
        <v/>
      </c>
      <c r="P480" s="49">
        <f>IF(C480="","",IF(S480=0,"—",IF(L480="","Set date",IF(L480&lt;AsOf,"Overdue",IF(L480=AsOf,"Due today",IF(L480&lt;=AsOf+SoonDays,"Due soon","Scheduled"))))))</f>
        <v/>
      </c>
      <c r="Q480" s="50">
        <f>IF(C480="","",IF(B480="","",AsOf-B480))</f>
        <v/>
      </c>
      <c r="R480" s="49">
        <f>IF(C480="","",IF(O480&lt;&gt;"Booked","",IF(COUNTIF('CUSTOMERS'!$B$5:$B$404,C480)&gt;0,"✓ In CUSTOMERS","Add to CUSTOMERS")))</f>
        <v/>
      </c>
      <c r="S480" s="49">
        <f>IF(C480="","",IF(OR(J480="Booked",J480="Recurring Client",J480="Lost/Declined"),0,1))</f>
        <v/>
      </c>
      <c r="T480" s="51">
        <f>IF(B480="","",DATE(YEAR(B480),MONTH(B480),1))</f>
        <v/>
      </c>
      <c r="U480" s="49">
        <f>IF(OR(S480&lt;&gt;1,L480=""),"",COUNTIFS('LEADS'!$S$5:$S$504,1,'LEADS'!$L$5:$L$504,"&lt;"&amp;L480)+COUNTIFS($S$5:S480,1,$L$5:L480,L480))</f>
        <v/>
      </c>
    </row>
    <row r="481">
      <c r="A481" s="46" t="inlineStr">
        <is>
          <t>L-0477</t>
        </is>
      </c>
      <c r="B481" s="47" t="n"/>
      <c r="C481" s="38" t="n"/>
      <c r="D481" s="38" t="n"/>
      <c r="E481" s="38" t="n"/>
      <c r="F481" s="38" t="n"/>
      <c r="G481" s="38" t="n"/>
      <c r="H481" s="38" t="n"/>
      <c r="I481" s="48" t="n"/>
      <c r="J481" s="38" t="n"/>
      <c r="K481" s="47" t="n"/>
      <c r="L481" s="47" t="n"/>
      <c r="M481" s="38" t="n"/>
      <c r="N481" s="38" t="n"/>
      <c r="O481" s="49">
        <f>IF(C481="","",IF(OR(J481="Booked",J481="Recurring Client"),"Booked",IF(J481="Lost/Declined","Lost","Open")))</f>
        <v/>
      </c>
      <c r="P481" s="49">
        <f>IF(C481="","",IF(S481=0,"—",IF(L481="","Set date",IF(L481&lt;AsOf,"Overdue",IF(L481=AsOf,"Due today",IF(L481&lt;=AsOf+SoonDays,"Due soon","Scheduled"))))))</f>
        <v/>
      </c>
      <c r="Q481" s="50">
        <f>IF(C481="","",IF(B481="","",AsOf-B481))</f>
        <v/>
      </c>
      <c r="R481" s="49">
        <f>IF(C481="","",IF(O481&lt;&gt;"Booked","",IF(COUNTIF('CUSTOMERS'!$B$5:$B$404,C481)&gt;0,"✓ In CUSTOMERS","Add to CUSTOMERS")))</f>
        <v/>
      </c>
      <c r="S481" s="49">
        <f>IF(C481="","",IF(OR(J481="Booked",J481="Recurring Client",J481="Lost/Declined"),0,1))</f>
        <v/>
      </c>
      <c r="T481" s="51">
        <f>IF(B481="","",DATE(YEAR(B481),MONTH(B481),1))</f>
        <v/>
      </c>
      <c r="U481" s="49">
        <f>IF(OR(S481&lt;&gt;1,L481=""),"",COUNTIFS('LEADS'!$S$5:$S$504,1,'LEADS'!$L$5:$L$504,"&lt;"&amp;L481)+COUNTIFS($S$5:S481,1,$L$5:L481,L481))</f>
        <v/>
      </c>
    </row>
    <row r="482">
      <c r="A482" s="46" t="inlineStr">
        <is>
          <t>L-0478</t>
        </is>
      </c>
      <c r="B482" s="47" t="n"/>
      <c r="C482" s="38" t="n"/>
      <c r="D482" s="38" t="n"/>
      <c r="E482" s="38" t="n"/>
      <c r="F482" s="38" t="n"/>
      <c r="G482" s="38" t="n"/>
      <c r="H482" s="38" t="n"/>
      <c r="I482" s="48" t="n"/>
      <c r="J482" s="38" t="n"/>
      <c r="K482" s="47" t="n"/>
      <c r="L482" s="47" t="n"/>
      <c r="M482" s="38" t="n"/>
      <c r="N482" s="38" t="n"/>
      <c r="O482" s="49">
        <f>IF(C482="","",IF(OR(J482="Booked",J482="Recurring Client"),"Booked",IF(J482="Lost/Declined","Lost","Open")))</f>
        <v/>
      </c>
      <c r="P482" s="49">
        <f>IF(C482="","",IF(S482=0,"—",IF(L482="","Set date",IF(L482&lt;AsOf,"Overdue",IF(L482=AsOf,"Due today",IF(L482&lt;=AsOf+SoonDays,"Due soon","Scheduled"))))))</f>
        <v/>
      </c>
      <c r="Q482" s="50">
        <f>IF(C482="","",IF(B482="","",AsOf-B482))</f>
        <v/>
      </c>
      <c r="R482" s="49">
        <f>IF(C482="","",IF(O482&lt;&gt;"Booked","",IF(COUNTIF('CUSTOMERS'!$B$5:$B$404,C482)&gt;0,"✓ In CUSTOMERS","Add to CUSTOMERS")))</f>
        <v/>
      </c>
      <c r="S482" s="49">
        <f>IF(C482="","",IF(OR(J482="Booked",J482="Recurring Client",J482="Lost/Declined"),0,1))</f>
        <v/>
      </c>
      <c r="T482" s="51">
        <f>IF(B482="","",DATE(YEAR(B482),MONTH(B482),1))</f>
        <v/>
      </c>
      <c r="U482" s="49">
        <f>IF(OR(S482&lt;&gt;1,L482=""),"",COUNTIFS('LEADS'!$S$5:$S$504,1,'LEADS'!$L$5:$L$504,"&lt;"&amp;L482)+COUNTIFS($S$5:S482,1,$L$5:L482,L482))</f>
        <v/>
      </c>
    </row>
    <row r="483">
      <c r="A483" s="46" t="inlineStr">
        <is>
          <t>L-0479</t>
        </is>
      </c>
      <c r="B483" s="47" t="n"/>
      <c r="C483" s="38" t="n"/>
      <c r="D483" s="38" t="n"/>
      <c r="E483" s="38" t="n"/>
      <c r="F483" s="38" t="n"/>
      <c r="G483" s="38" t="n"/>
      <c r="H483" s="38" t="n"/>
      <c r="I483" s="48" t="n"/>
      <c r="J483" s="38" t="n"/>
      <c r="K483" s="47" t="n"/>
      <c r="L483" s="47" t="n"/>
      <c r="M483" s="38" t="n"/>
      <c r="N483" s="38" t="n"/>
      <c r="O483" s="49">
        <f>IF(C483="","",IF(OR(J483="Booked",J483="Recurring Client"),"Booked",IF(J483="Lost/Declined","Lost","Open")))</f>
        <v/>
      </c>
      <c r="P483" s="49">
        <f>IF(C483="","",IF(S483=0,"—",IF(L483="","Set date",IF(L483&lt;AsOf,"Overdue",IF(L483=AsOf,"Due today",IF(L483&lt;=AsOf+SoonDays,"Due soon","Scheduled"))))))</f>
        <v/>
      </c>
      <c r="Q483" s="50">
        <f>IF(C483="","",IF(B483="","",AsOf-B483))</f>
        <v/>
      </c>
      <c r="R483" s="49">
        <f>IF(C483="","",IF(O483&lt;&gt;"Booked","",IF(COUNTIF('CUSTOMERS'!$B$5:$B$404,C483)&gt;0,"✓ In CUSTOMERS","Add to CUSTOMERS")))</f>
        <v/>
      </c>
      <c r="S483" s="49">
        <f>IF(C483="","",IF(OR(J483="Booked",J483="Recurring Client",J483="Lost/Declined"),0,1))</f>
        <v/>
      </c>
      <c r="T483" s="51">
        <f>IF(B483="","",DATE(YEAR(B483),MONTH(B483),1))</f>
        <v/>
      </c>
      <c r="U483" s="49">
        <f>IF(OR(S483&lt;&gt;1,L483=""),"",COUNTIFS('LEADS'!$S$5:$S$504,1,'LEADS'!$L$5:$L$504,"&lt;"&amp;L483)+COUNTIFS($S$5:S483,1,$L$5:L483,L483))</f>
        <v/>
      </c>
    </row>
    <row r="484">
      <c r="A484" s="46" t="inlineStr">
        <is>
          <t>L-0480</t>
        </is>
      </c>
      <c r="B484" s="47" t="n"/>
      <c r="C484" s="38" t="n"/>
      <c r="D484" s="38" t="n"/>
      <c r="E484" s="38" t="n"/>
      <c r="F484" s="38" t="n"/>
      <c r="G484" s="38" t="n"/>
      <c r="H484" s="38" t="n"/>
      <c r="I484" s="48" t="n"/>
      <c r="J484" s="38" t="n"/>
      <c r="K484" s="47" t="n"/>
      <c r="L484" s="47" t="n"/>
      <c r="M484" s="38" t="n"/>
      <c r="N484" s="38" t="n"/>
      <c r="O484" s="49">
        <f>IF(C484="","",IF(OR(J484="Booked",J484="Recurring Client"),"Booked",IF(J484="Lost/Declined","Lost","Open")))</f>
        <v/>
      </c>
      <c r="P484" s="49">
        <f>IF(C484="","",IF(S484=0,"—",IF(L484="","Set date",IF(L484&lt;AsOf,"Overdue",IF(L484=AsOf,"Due today",IF(L484&lt;=AsOf+SoonDays,"Due soon","Scheduled"))))))</f>
        <v/>
      </c>
      <c r="Q484" s="50">
        <f>IF(C484="","",IF(B484="","",AsOf-B484))</f>
        <v/>
      </c>
      <c r="R484" s="49">
        <f>IF(C484="","",IF(O484&lt;&gt;"Booked","",IF(COUNTIF('CUSTOMERS'!$B$5:$B$404,C484)&gt;0,"✓ In CUSTOMERS","Add to CUSTOMERS")))</f>
        <v/>
      </c>
      <c r="S484" s="49">
        <f>IF(C484="","",IF(OR(J484="Booked",J484="Recurring Client",J484="Lost/Declined"),0,1))</f>
        <v/>
      </c>
      <c r="T484" s="51">
        <f>IF(B484="","",DATE(YEAR(B484),MONTH(B484),1))</f>
        <v/>
      </c>
      <c r="U484" s="49">
        <f>IF(OR(S484&lt;&gt;1,L484=""),"",COUNTIFS('LEADS'!$S$5:$S$504,1,'LEADS'!$L$5:$L$504,"&lt;"&amp;L484)+COUNTIFS($S$5:S484,1,$L$5:L484,L484))</f>
        <v/>
      </c>
    </row>
    <row r="485">
      <c r="A485" s="46" t="inlineStr">
        <is>
          <t>L-0481</t>
        </is>
      </c>
      <c r="B485" s="47" t="n"/>
      <c r="C485" s="38" t="n"/>
      <c r="D485" s="38" t="n"/>
      <c r="E485" s="38" t="n"/>
      <c r="F485" s="38" t="n"/>
      <c r="G485" s="38" t="n"/>
      <c r="H485" s="38" t="n"/>
      <c r="I485" s="48" t="n"/>
      <c r="J485" s="38" t="n"/>
      <c r="K485" s="47" t="n"/>
      <c r="L485" s="47" t="n"/>
      <c r="M485" s="38" t="n"/>
      <c r="N485" s="38" t="n"/>
      <c r="O485" s="49">
        <f>IF(C485="","",IF(OR(J485="Booked",J485="Recurring Client"),"Booked",IF(J485="Lost/Declined","Lost","Open")))</f>
        <v/>
      </c>
      <c r="P485" s="49">
        <f>IF(C485="","",IF(S485=0,"—",IF(L485="","Set date",IF(L485&lt;AsOf,"Overdue",IF(L485=AsOf,"Due today",IF(L485&lt;=AsOf+SoonDays,"Due soon","Scheduled"))))))</f>
        <v/>
      </c>
      <c r="Q485" s="50">
        <f>IF(C485="","",IF(B485="","",AsOf-B485))</f>
        <v/>
      </c>
      <c r="R485" s="49">
        <f>IF(C485="","",IF(O485&lt;&gt;"Booked","",IF(COUNTIF('CUSTOMERS'!$B$5:$B$404,C485)&gt;0,"✓ In CUSTOMERS","Add to CUSTOMERS")))</f>
        <v/>
      </c>
      <c r="S485" s="49">
        <f>IF(C485="","",IF(OR(J485="Booked",J485="Recurring Client",J485="Lost/Declined"),0,1))</f>
        <v/>
      </c>
      <c r="T485" s="51">
        <f>IF(B485="","",DATE(YEAR(B485),MONTH(B485),1))</f>
        <v/>
      </c>
      <c r="U485" s="49">
        <f>IF(OR(S485&lt;&gt;1,L485=""),"",COUNTIFS('LEADS'!$S$5:$S$504,1,'LEADS'!$L$5:$L$504,"&lt;"&amp;L485)+COUNTIFS($S$5:S485,1,$L$5:L485,L485))</f>
        <v/>
      </c>
    </row>
    <row r="486">
      <c r="A486" s="46" t="inlineStr">
        <is>
          <t>L-0482</t>
        </is>
      </c>
      <c r="B486" s="47" t="n"/>
      <c r="C486" s="38" t="n"/>
      <c r="D486" s="38" t="n"/>
      <c r="E486" s="38" t="n"/>
      <c r="F486" s="38" t="n"/>
      <c r="G486" s="38" t="n"/>
      <c r="H486" s="38" t="n"/>
      <c r="I486" s="48" t="n"/>
      <c r="J486" s="38" t="n"/>
      <c r="K486" s="47" t="n"/>
      <c r="L486" s="47" t="n"/>
      <c r="M486" s="38" t="n"/>
      <c r="N486" s="38" t="n"/>
      <c r="O486" s="49">
        <f>IF(C486="","",IF(OR(J486="Booked",J486="Recurring Client"),"Booked",IF(J486="Lost/Declined","Lost","Open")))</f>
        <v/>
      </c>
      <c r="P486" s="49">
        <f>IF(C486="","",IF(S486=0,"—",IF(L486="","Set date",IF(L486&lt;AsOf,"Overdue",IF(L486=AsOf,"Due today",IF(L486&lt;=AsOf+SoonDays,"Due soon","Scheduled"))))))</f>
        <v/>
      </c>
      <c r="Q486" s="50">
        <f>IF(C486="","",IF(B486="","",AsOf-B486))</f>
        <v/>
      </c>
      <c r="R486" s="49">
        <f>IF(C486="","",IF(O486&lt;&gt;"Booked","",IF(COUNTIF('CUSTOMERS'!$B$5:$B$404,C486)&gt;0,"✓ In CUSTOMERS","Add to CUSTOMERS")))</f>
        <v/>
      </c>
      <c r="S486" s="49">
        <f>IF(C486="","",IF(OR(J486="Booked",J486="Recurring Client",J486="Lost/Declined"),0,1))</f>
        <v/>
      </c>
      <c r="T486" s="51">
        <f>IF(B486="","",DATE(YEAR(B486),MONTH(B486),1))</f>
        <v/>
      </c>
      <c r="U486" s="49">
        <f>IF(OR(S486&lt;&gt;1,L486=""),"",COUNTIFS('LEADS'!$S$5:$S$504,1,'LEADS'!$L$5:$L$504,"&lt;"&amp;L486)+COUNTIFS($S$5:S486,1,$L$5:L486,L486))</f>
        <v/>
      </c>
    </row>
    <row r="487">
      <c r="A487" s="46" t="inlineStr">
        <is>
          <t>L-0483</t>
        </is>
      </c>
      <c r="B487" s="47" t="n"/>
      <c r="C487" s="38" t="n"/>
      <c r="D487" s="38" t="n"/>
      <c r="E487" s="38" t="n"/>
      <c r="F487" s="38" t="n"/>
      <c r="G487" s="38" t="n"/>
      <c r="H487" s="38" t="n"/>
      <c r="I487" s="48" t="n"/>
      <c r="J487" s="38" t="n"/>
      <c r="K487" s="47" t="n"/>
      <c r="L487" s="47" t="n"/>
      <c r="M487" s="38" t="n"/>
      <c r="N487" s="38" t="n"/>
      <c r="O487" s="49">
        <f>IF(C487="","",IF(OR(J487="Booked",J487="Recurring Client"),"Booked",IF(J487="Lost/Declined","Lost","Open")))</f>
        <v/>
      </c>
      <c r="P487" s="49">
        <f>IF(C487="","",IF(S487=0,"—",IF(L487="","Set date",IF(L487&lt;AsOf,"Overdue",IF(L487=AsOf,"Due today",IF(L487&lt;=AsOf+SoonDays,"Due soon","Scheduled"))))))</f>
        <v/>
      </c>
      <c r="Q487" s="50">
        <f>IF(C487="","",IF(B487="","",AsOf-B487))</f>
        <v/>
      </c>
      <c r="R487" s="49">
        <f>IF(C487="","",IF(O487&lt;&gt;"Booked","",IF(COUNTIF('CUSTOMERS'!$B$5:$B$404,C487)&gt;0,"✓ In CUSTOMERS","Add to CUSTOMERS")))</f>
        <v/>
      </c>
      <c r="S487" s="49">
        <f>IF(C487="","",IF(OR(J487="Booked",J487="Recurring Client",J487="Lost/Declined"),0,1))</f>
        <v/>
      </c>
      <c r="T487" s="51">
        <f>IF(B487="","",DATE(YEAR(B487),MONTH(B487),1))</f>
        <v/>
      </c>
      <c r="U487" s="49">
        <f>IF(OR(S487&lt;&gt;1,L487=""),"",COUNTIFS('LEADS'!$S$5:$S$504,1,'LEADS'!$L$5:$L$504,"&lt;"&amp;L487)+COUNTIFS($S$5:S487,1,$L$5:L487,L487))</f>
        <v/>
      </c>
    </row>
    <row r="488">
      <c r="A488" s="46" t="inlineStr">
        <is>
          <t>L-0484</t>
        </is>
      </c>
      <c r="B488" s="47" t="n"/>
      <c r="C488" s="38" t="n"/>
      <c r="D488" s="38" t="n"/>
      <c r="E488" s="38" t="n"/>
      <c r="F488" s="38" t="n"/>
      <c r="G488" s="38" t="n"/>
      <c r="H488" s="38" t="n"/>
      <c r="I488" s="48" t="n"/>
      <c r="J488" s="38" t="n"/>
      <c r="K488" s="47" t="n"/>
      <c r="L488" s="47" t="n"/>
      <c r="M488" s="38" t="n"/>
      <c r="N488" s="38" t="n"/>
      <c r="O488" s="49">
        <f>IF(C488="","",IF(OR(J488="Booked",J488="Recurring Client"),"Booked",IF(J488="Lost/Declined","Lost","Open")))</f>
        <v/>
      </c>
      <c r="P488" s="49">
        <f>IF(C488="","",IF(S488=0,"—",IF(L488="","Set date",IF(L488&lt;AsOf,"Overdue",IF(L488=AsOf,"Due today",IF(L488&lt;=AsOf+SoonDays,"Due soon","Scheduled"))))))</f>
        <v/>
      </c>
      <c r="Q488" s="50">
        <f>IF(C488="","",IF(B488="","",AsOf-B488))</f>
        <v/>
      </c>
      <c r="R488" s="49">
        <f>IF(C488="","",IF(O488&lt;&gt;"Booked","",IF(COUNTIF('CUSTOMERS'!$B$5:$B$404,C488)&gt;0,"✓ In CUSTOMERS","Add to CUSTOMERS")))</f>
        <v/>
      </c>
      <c r="S488" s="49">
        <f>IF(C488="","",IF(OR(J488="Booked",J488="Recurring Client",J488="Lost/Declined"),0,1))</f>
        <v/>
      </c>
      <c r="T488" s="51">
        <f>IF(B488="","",DATE(YEAR(B488),MONTH(B488),1))</f>
        <v/>
      </c>
      <c r="U488" s="49">
        <f>IF(OR(S488&lt;&gt;1,L488=""),"",COUNTIFS('LEADS'!$S$5:$S$504,1,'LEADS'!$L$5:$L$504,"&lt;"&amp;L488)+COUNTIFS($S$5:S488,1,$L$5:L488,L488))</f>
        <v/>
      </c>
    </row>
    <row r="489">
      <c r="A489" s="46" t="inlineStr">
        <is>
          <t>L-0485</t>
        </is>
      </c>
      <c r="B489" s="47" t="n"/>
      <c r="C489" s="38" t="n"/>
      <c r="D489" s="38" t="n"/>
      <c r="E489" s="38" t="n"/>
      <c r="F489" s="38" t="n"/>
      <c r="G489" s="38" t="n"/>
      <c r="H489" s="38" t="n"/>
      <c r="I489" s="48" t="n"/>
      <c r="J489" s="38" t="n"/>
      <c r="K489" s="47" t="n"/>
      <c r="L489" s="47" t="n"/>
      <c r="M489" s="38" t="n"/>
      <c r="N489" s="38" t="n"/>
      <c r="O489" s="49">
        <f>IF(C489="","",IF(OR(J489="Booked",J489="Recurring Client"),"Booked",IF(J489="Lost/Declined","Lost","Open")))</f>
        <v/>
      </c>
      <c r="P489" s="49">
        <f>IF(C489="","",IF(S489=0,"—",IF(L489="","Set date",IF(L489&lt;AsOf,"Overdue",IF(L489=AsOf,"Due today",IF(L489&lt;=AsOf+SoonDays,"Due soon","Scheduled"))))))</f>
        <v/>
      </c>
      <c r="Q489" s="50">
        <f>IF(C489="","",IF(B489="","",AsOf-B489))</f>
        <v/>
      </c>
      <c r="R489" s="49">
        <f>IF(C489="","",IF(O489&lt;&gt;"Booked","",IF(COUNTIF('CUSTOMERS'!$B$5:$B$404,C489)&gt;0,"✓ In CUSTOMERS","Add to CUSTOMERS")))</f>
        <v/>
      </c>
      <c r="S489" s="49">
        <f>IF(C489="","",IF(OR(J489="Booked",J489="Recurring Client",J489="Lost/Declined"),0,1))</f>
        <v/>
      </c>
      <c r="T489" s="51">
        <f>IF(B489="","",DATE(YEAR(B489),MONTH(B489),1))</f>
        <v/>
      </c>
      <c r="U489" s="49">
        <f>IF(OR(S489&lt;&gt;1,L489=""),"",COUNTIFS('LEADS'!$S$5:$S$504,1,'LEADS'!$L$5:$L$504,"&lt;"&amp;L489)+COUNTIFS($S$5:S489,1,$L$5:L489,L489))</f>
        <v/>
      </c>
    </row>
    <row r="490">
      <c r="A490" s="46" t="inlineStr">
        <is>
          <t>L-0486</t>
        </is>
      </c>
      <c r="B490" s="47" t="n"/>
      <c r="C490" s="38" t="n"/>
      <c r="D490" s="38" t="n"/>
      <c r="E490" s="38" t="n"/>
      <c r="F490" s="38" t="n"/>
      <c r="G490" s="38" t="n"/>
      <c r="H490" s="38" t="n"/>
      <c r="I490" s="48" t="n"/>
      <c r="J490" s="38" t="n"/>
      <c r="K490" s="47" t="n"/>
      <c r="L490" s="47" t="n"/>
      <c r="M490" s="38" t="n"/>
      <c r="N490" s="38" t="n"/>
      <c r="O490" s="49">
        <f>IF(C490="","",IF(OR(J490="Booked",J490="Recurring Client"),"Booked",IF(J490="Lost/Declined","Lost","Open")))</f>
        <v/>
      </c>
      <c r="P490" s="49">
        <f>IF(C490="","",IF(S490=0,"—",IF(L490="","Set date",IF(L490&lt;AsOf,"Overdue",IF(L490=AsOf,"Due today",IF(L490&lt;=AsOf+SoonDays,"Due soon","Scheduled"))))))</f>
        <v/>
      </c>
      <c r="Q490" s="50">
        <f>IF(C490="","",IF(B490="","",AsOf-B490))</f>
        <v/>
      </c>
      <c r="R490" s="49">
        <f>IF(C490="","",IF(O490&lt;&gt;"Booked","",IF(COUNTIF('CUSTOMERS'!$B$5:$B$404,C490)&gt;0,"✓ In CUSTOMERS","Add to CUSTOMERS")))</f>
        <v/>
      </c>
      <c r="S490" s="49">
        <f>IF(C490="","",IF(OR(J490="Booked",J490="Recurring Client",J490="Lost/Declined"),0,1))</f>
        <v/>
      </c>
      <c r="T490" s="51">
        <f>IF(B490="","",DATE(YEAR(B490),MONTH(B490),1))</f>
        <v/>
      </c>
      <c r="U490" s="49">
        <f>IF(OR(S490&lt;&gt;1,L490=""),"",COUNTIFS('LEADS'!$S$5:$S$504,1,'LEADS'!$L$5:$L$504,"&lt;"&amp;L490)+COUNTIFS($S$5:S490,1,$L$5:L490,L490))</f>
        <v/>
      </c>
    </row>
    <row r="491">
      <c r="A491" s="46" t="inlineStr">
        <is>
          <t>L-0487</t>
        </is>
      </c>
      <c r="B491" s="47" t="n"/>
      <c r="C491" s="38" t="n"/>
      <c r="D491" s="38" t="n"/>
      <c r="E491" s="38" t="n"/>
      <c r="F491" s="38" t="n"/>
      <c r="G491" s="38" t="n"/>
      <c r="H491" s="38" t="n"/>
      <c r="I491" s="48" t="n"/>
      <c r="J491" s="38" t="n"/>
      <c r="K491" s="47" t="n"/>
      <c r="L491" s="47" t="n"/>
      <c r="M491" s="38" t="n"/>
      <c r="N491" s="38" t="n"/>
      <c r="O491" s="49">
        <f>IF(C491="","",IF(OR(J491="Booked",J491="Recurring Client"),"Booked",IF(J491="Lost/Declined","Lost","Open")))</f>
        <v/>
      </c>
      <c r="P491" s="49">
        <f>IF(C491="","",IF(S491=0,"—",IF(L491="","Set date",IF(L491&lt;AsOf,"Overdue",IF(L491=AsOf,"Due today",IF(L491&lt;=AsOf+SoonDays,"Due soon","Scheduled"))))))</f>
        <v/>
      </c>
      <c r="Q491" s="50">
        <f>IF(C491="","",IF(B491="","",AsOf-B491))</f>
        <v/>
      </c>
      <c r="R491" s="49">
        <f>IF(C491="","",IF(O491&lt;&gt;"Booked","",IF(COUNTIF('CUSTOMERS'!$B$5:$B$404,C491)&gt;0,"✓ In CUSTOMERS","Add to CUSTOMERS")))</f>
        <v/>
      </c>
      <c r="S491" s="49">
        <f>IF(C491="","",IF(OR(J491="Booked",J491="Recurring Client",J491="Lost/Declined"),0,1))</f>
        <v/>
      </c>
      <c r="T491" s="51">
        <f>IF(B491="","",DATE(YEAR(B491),MONTH(B491),1))</f>
        <v/>
      </c>
      <c r="U491" s="49">
        <f>IF(OR(S491&lt;&gt;1,L491=""),"",COUNTIFS('LEADS'!$S$5:$S$504,1,'LEADS'!$L$5:$L$504,"&lt;"&amp;L491)+COUNTIFS($S$5:S491,1,$L$5:L491,L491))</f>
        <v/>
      </c>
    </row>
    <row r="492">
      <c r="A492" s="46" t="inlineStr">
        <is>
          <t>L-0488</t>
        </is>
      </c>
      <c r="B492" s="47" t="n"/>
      <c r="C492" s="38" t="n"/>
      <c r="D492" s="38" t="n"/>
      <c r="E492" s="38" t="n"/>
      <c r="F492" s="38" t="n"/>
      <c r="G492" s="38" t="n"/>
      <c r="H492" s="38" t="n"/>
      <c r="I492" s="48" t="n"/>
      <c r="J492" s="38" t="n"/>
      <c r="K492" s="47" t="n"/>
      <c r="L492" s="47" t="n"/>
      <c r="M492" s="38" t="n"/>
      <c r="N492" s="38" t="n"/>
      <c r="O492" s="49">
        <f>IF(C492="","",IF(OR(J492="Booked",J492="Recurring Client"),"Booked",IF(J492="Lost/Declined","Lost","Open")))</f>
        <v/>
      </c>
      <c r="P492" s="49">
        <f>IF(C492="","",IF(S492=0,"—",IF(L492="","Set date",IF(L492&lt;AsOf,"Overdue",IF(L492=AsOf,"Due today",IF(L492&lt;=AsOf+SoonDays,"Due soon","Scheduled"))))))</f>
        <v/>
      </c>
      <c r="Q492" s="50">
        <f>IF(C492="","",IF(B492="","",AsOf-B492))</f>
        <v/>
      </c>
      <c r="R492" s="49">
        <f>IF(C492="","",IF(O492&lt;&gt;"Booked","",IF(COUNTIF('CUSTOMERS'!$B$5:$B$404,C492)&gt;0,"✓ In CUSTOMERS","Add to CUSTOMERS")))</f>
        <v/>
      </c>
      <c r="S492" s="49">
        <f>IF(C492="","",IF(OR(J492="Booked",J492="Recurring Client",J492="Lost/Declined"),0,1))</f>
        <v/>
      </c>
      <c r="T492" s="51">
        <f>IF(B492="","",DATE(YEAR(B492),MONTH(B492),1))</f>
        <v/>
      </c>
      <c r="U492" s="49">
        <f>IF(OR(S492&lt;&gt;1,L492=""),"",COUNTIFS('LEADS'!$S$5:$S$504,1,'LEADS'!$L$5:$L$504,"&lt;"&amp;L492)+COUNTIFS($S$5:S492,1,$L$5:L492,L492))</f>
        <v/>
      </c>
    </row>
    <row r="493">
      <c r="A493" s="46" t="inlineStr">
        <is>
          <t>L-0489</t>
        </is>
      </c>
      <c r="B493" s="47" t="n"/>
      <c r="C493" s="38" t="n"/>
      <c r="D493" s="38" t="n"/>
      <c r="E493" s="38" t="n"/>
      <c r="F493" s="38" t="n"/>
      <c r="G493" s="38" t="n"/>
      <c r="H493" s="38" t="n"/>
      <c r="I493" s="48" t="n"/>
      <c r="J493" s="38" t="n"/>
      <c r="K493" s="47" t="n"/>
      <c r="L493" s="47" t="n"/>
      <c r="M493" s="38" t="n"/>
      <c r="N493" s="38" t="n"/>
      <c r="O493" s="49">
        <f>IF(C493="","",IF(OR(J493="Booked",J493="Recurring Client"),"Booked",IF(J493="Lost/Declined","Lost","Open")))</f>
        <v/>
      </c>
      <c r="P493" s="49">
        <f>IF(C493="","",IF(S493=0,"—",IF(L493="","Set date",IF(L493&lt;AsOf,"Overdue",IF(L493=AsOf,"Due today",IF(L493&lt;=AsOf+SoonDays,"Due soon","Scheduled"))))))</f>
        <v/>
      </c>
      <c r="Q493" s="50">
        <f>IF(C493="","",IF(B493="","",AsOf-B493))</f>
        <v/>
      </c>
      <c r="R493" s="49">
        <f>IF(C493="","",IF(O493&lt;&gt;"Booked","",IF(COUNTIF('CUSTOMERS'!$B$5:$B$404,C493)&gt;0,"✓ In CUSTOMERS","Add to CUSTOMERS")))</f>
        <v/>
      </c>
      <c r="S493" s="49">
        <f>IF(C493="","",IF(OR(J493="Booked",J493="Recurring Client",J493="Lost/Declined"),0,1))</f>
        <v/>
      </c>
      <c r="T493" s="51">
        <f>IF(B493="","",DATE(YEAR(B493),MONTH(B493),1))</f>
        <v/>
      </c>
      <c r="U493" s="49">
        <f>IF(OR(S493&lt;&gt;1,L493=""),"",COUNTIFS('LEADS'!$S$5:$S$504,1,'LEADS'!$L$5:$L$504,"&lt;"&amp;L493)+COUNTIFS($S$5:S493,1,$L$5:L493,L493))</f>
        <v/>
      </c>
    </row>
    <row r="494">
      <c r="A494" s="46" t="inlineStr">
        <is>
          <t>L-0490</t>
        </is>
      </c>
      <c r="B494" s="47" t="n"/>
      <c r="C494" s="38" t="n"/>
      <c r="D494" s="38" t="n"/>
      <c r="E494" s="38" t="n"/>
      <c r="F494" s="38" t="n"/>
      <c r="G494" s="38" t="n"/>
      <c r="H494" s="38" t="n"/>
      <c r="I494" s="48" t="n"/>
      <c r="J494" s="38" t="n"/>
      <c r="K494" s="47" t="n"/>
      <c r="L494" s="47" t="n"/>
      <c r="M494" s="38" t="n"/>
      <c r="N494" s="38" t="n"/>
      <c r="O494" s="49">
        <f>IF(C494="","",IF(OR(J494="Booked",J494="Recurring Client"),"Booked",IF(J494="Lost/Declined","Lost","Open")))</f>
        <v/>
      </c>
      <c r="P494" s="49">
        <f>IF(C494="","",IF(S494=0,"—",IF(L494="","Set date",IF(L494&lt;AsOf,"Overdue",IF(L494=AsOf,"Due today",IF(L494&lt;=AsOf+SoonDays,"Due soon","Scheduled"))))))</f>
        <v/>
      </c>
      <c r="Q494" s="50">
        <f>IF(C494="","",IF(B494="","",AsOf-B494))</f>
        <v/>
      </c>
      <c r="R494" s="49">
        <f>IF(C494="","",IF(O494&lt;&gt;"Booked","",IF(COUNTIF('CUSTOMERS'!$B$5:$B$404,C494)&gt;0,"✓ In CUSTOMERS","Add to CUSTOMERS")))</f>
        <v/>
      </c>
      <c r="S494" s="49">
        <f>IF(C494="","",IF(OR(J494="Booked",J494="Recurring Client",J494="Lost/Declined"),0,1))</f>
        <v/>
      </c>
      <c r="T494" s="51">
        <f>IF(B494="","",DATE(YEAR(B494),MONTH(B494),1))</f>
        <v/>
      </c>
      <c r="U494" s="49">
        <f>IF(OR(S494&lt;&gt;1,L494=""),"",COUNTIFS('LEADS'!$S$5:$S$504,1,'LEADS'!$L$5:$L$504,"&lt;"&amp;L494)+COUNTIFS($S$5:S494,1,$L$5:L494,L494))</f>
        <v/>
      </c>
    </row>
    <row r="495">
      <c r="A495" s="46" t="inlineStr">
        <is>
          <t>L-0491</t>
        </is>
      </c>
      <c r="B495" s="47" t="n"/>
      <c r="C495" s="38" t="n"/>
      <c r="D495" s="38" t="n"/>
      <c r="E495" s="38" t="n"/>
      <c r="F495" s="38" t="n"/>
      <c r="G495" s="38" t="n"/>
      <c r="H495" s="38" t="n"/>
      <c r="I495" s="48" t="n"/>
      <c r="J495" s="38" t="n"/>
      <c r="K495" s="47" t="n"/>
      <c r="L495" s="47" t="n"/>
      <c r="M495" s="38" t="n"/>
      <c r="N495" s="38" t="n"/>
      <c r="O495" s="49">
        <f>IF(C495="","",IF(OR(J495="Booked",J495="Recurring Client"),"Booked",IF(J495="Lost/Declined","Lost","Open")))</f>
        <v/>
      </c>
      <c r="P495" s="49">
        <f>IF(C495="","",IF(S495=0,"—",IF(L495="","Set date",IF(L495&lt;AsOf,"Overdue",IF(L495=AsOf,"Due today",IF(L495&lt;=AsOf+SoonDays,"Due soon","Scheduled"))))))</f>
        <v/>
      </c>
      <c r="Q495" s="50">
        <f>IF(C495="","",IF(B495="","",AsOf-B495))</f>
        <v/>
      </c>
      <c r="R495" s="49">
        <f>IF(C495="","",IF(O495&lt;&gt;"Booked","",IF(COUNTIF('CUSTOMERS'!$B$5:$B$404,C495)&gt;0,"✓ In CUSTOMERS","Add to CUSTOMERS")))</f>
        <v/>
      </c>
      <c r="S495" s="49">
        <f>IF(C495="","",IF(OR(J495="Booked",J495="Recurring Client",J495="Lost/Declined"),0,1))</f>
        <v/>
      </c>
      <c r="T495" s="51">
        <f>IF(B495="","",DATE(YEAR(B495),MONTH(B495),1))</f>
        <v/>
      </c>
      <c r="U495" s="49">
        <f>IF(OR(S495&lt;&gt;1,L495=""),"",COUNTIFS('LEADS'!$S$5:$S$504,1,'LEADS'!$L$5:$L$504,"&lt;"&amp;L495)+COUNTIFS($S$5:S495,1,$L$5:L495,L495))</f>
        <v/>
      </c>
    </row>
    <row r="496">
      <c r="A496" s="46" t="inlineStr">
        <is>
          <t>L-0492</t>
        </is>
      </c>
      <c r="B496" s="47" t="n"/>
      <c r="C496" s="38" t="n"/>
      <c r="D496" s="38" t="n"/>
      <c r="E496" s="38" t="n"/>
      <c r="F496" s="38" t="n"/>
      <c r="G496" s="38" t="n"/>
      <c r="H496" s="38" t="n"/>
      <c r="I496" s="48" t="n"/>
      <c r="J496" s="38" t="n"/>
      <c r="K496" s="47" t="n"/>
      <c r="L496" s="47" t="n"/>
      <c r="M496" s="38" t="n"/>
      <c r="N496" s="38" t="n"/>
      <c r="O496" s="49">
        <f>IF(C496="","",IF(OR(J496="Booked",J496="Recurring Client"),"Booked",IF(J496="Lost/Declined","Lost","Open")))</f>
        <v/>
      </c>
      <c r="P496" s="49">
        <f>IF(C496="","",IF(S496=0,"—",IF(L496="","Set date",IF(L496&lt;AsOf,"Overdue",IF(L496=AsOf,"Due today",IF(L496&lt;=AsOf+SoonDays,"Due soon","Scheduled"))))))</f>
        <v/>
      </c>
      <c r="Q496" s="50">
        <f>IF(C496="","",IF(B496="","",AsOf-B496))</f>
        <v/>
      </c>
      <c r="R496" s="49">
        <f>IF(C496="","",IF(O496&lt;&gt;"Booked","",IF(COUNTIF('CUSTOMERS'!$B$5:$B$404,C496)&gt;0,"✓ In CUSTOMERS","Add to CUSTOMERS")))</f>
        <v/>
      </c>
      <c r="S496" s="49">
        <f>IF(C496="","",IF(OR(J496="Booked",J496="Recurring Client",J496="Lost/Declined"),0,1))</f>
        <v/>
      </c>
      <c r="T496" s="51">
        <f>IF(B496="","",DATE(YEAR(B496),MONTH(B496),1))</f>
        <v/>
      </c>
      <c r="U496" s="49">
        <f>IF(OR(S496&lt;&gt;1,L496=""),"",COUNTIFS('LEADS'!$S$5:$S$504,1,'LEADS'!$L$5:$L$504,"&lt;"&amp;L496)+COUNTIFS($S$5:S496,1,$L$5:L496,L496))</f>
        <v/>
      </c>
    </row>
    <row r="497">
      <c r="A497" s="46" t="inlineStr">
        <is>
          <t>L-0493</t>
        </is>
      </c>
      <c r="B497" s="47" t="n"/>
      <c r="C497" s="38" t="n"/>
      <c r="D497" s="38" t="n"/>
      <c r="E497" s="38" t="n"/>
      <c r="F497" s="38" t="n"/>
      <c r="G497" s="38" t="n"/>
      <c r="H497" s="38" t="n"/>
      <c r="I497" s="48" t="n"/>
      <c r="J497" s="38" t="n"/>
      <c r="K497" s="47" t="n"/>
      <c r="L497" s="47" t="n"/>
      <c r="M497" s="38" t="n"/>
      <c r="N497" s="38" t="n"/>
      <c r="O497" s="49">
        <f>IF(C497="","",IF(OR(J497="Booked",J497="Recurring Client"),"Booked",IF(J497="Lost/Declined","Lost","Open")))</f>
        <v/>
      </c>
      <c r="P497" s="49">
        <f>IF(C497="","",IF(S497=0,"—",IF(L497="","Set date",IF(L497&lt;AsOf,"Overdue",IF(L497=AsOf,"Due today",IF(L497&lt;=AsOf+SoonDays,"Due soon","Scheduled"))))))</f>
        <v/>
      </c>
      <c r="Q497" s="50">
        <f>IF(C497="","",IF(B497="","",AsOf-B497))</f>
        <v/>
      </c>
      <c r="R497" s="49">
        <f>IF(C497="","",IF(O497&lt;&gt;"Booked","",IF(COUNTIF('CUSTOMERS'!$B$5:$B$404,C497)&gt;0,"✓ In CUSTOMERS","Add to CUSTOMERS")))</f>
        <v/>
      </c>
      <c r="S497" s="49">
        <f>IF(C497="","",IF(OR(J497="Booked",J497="Recurring Client",J497="Lost/Declined"),0,1))</f>
        <v/>
      </c>
      <c r="T497" s="51">
        <f>IF(B497="","",DATE(YEAR(B497),MONTH(B497),1))</f>
        <v/>
      </c>
      <c r="U497" s="49">
        <f>IF(OR(S497&lt;&gt;1,L497=""),"",COUNTIFS('LEADS'!$S$5:$S$504,1,'LEADS'!$L$5:$L$504,"&lt;"&amp;L497)+COUNTIFS($S$5:S497,1,$L$5:L497,L497))</f>
        <v/>
      </c>
    </row>
    <row r="498">
      <c r="A498" s="46" t="inlineStr">
        <is>
          <t>L-0494</t>
        </is>
      </c>
      <c r="B498" s="47" t="n"/>
      <c r="C498" s="38" t="n"/>
      <c r="D498" s="38" t="n"/>
      <c r="E498" s="38" t="n"/>
      <c r="F498" s="38" t="n"/>
      <c r="G498" s="38" t="n"/>
      <c r="H498" s="38" t="n"/>
      <c r="I498" s="48" t="n"/>
      <c r="J498" s="38" t="n"/>
      <c r="K498" s="47" t="n"/>
      <c r="L498" s="47" t="n"/>
      <c r="M498" s="38" t="n"/>
      <c r="N498" s="38" t="n"/>
      <c r="O498" s="49">
        <f>IF(C498="","",IF(OR(J498="Booked",J498="Recurring Client"),"Booked",IF(J498="Lost/Declined","Lost","Open")))</f>
        <v/>
      </c>
      <c r="P498" s="49">
        <f>IF(C498="","",IF(S498=0,"—",IF(L498="","Set date",IF(L498&lt;AsOf,"Overdue",IF(L498=AsOf,"Due today",IF(L498&lt;=AsOf+SoonDays,"Due soon","Scheduled"))))))</f>
        <v/>
      </c>
      <c r="Q498" s="50">
        <f>IF(C498="","",IF(B498="","",AsOf-B498))</f>
        <v/>
      </c>
      <c r="R498" s="49">
        <f>IF(C498="","",IF(O498&lt;&gt;"Booked","",IF(COUNTIF('CUSTOMERS'!$B$5:$B$404,C498)&gt;0,"✓ In CUSTOMERS","Add to CUSTOMERS")))</f>
        <v/>
      </c>
      <c r="S498" s="49">
        <f>IF(C498="","",IF(OR(J498="Booked",J498="Recurring Client",J498="Lost/Declined"),0,1))</f>
        <v/>
      </c>
      <c r="T498" s="51">
        <f>IF(B498="","",DATE(YEAR(B498),MONTH(B498),1))</f>
        <v/>
      </c>
      <c r="U498" s="49">
        <f>IF(OR(S498&lt;&gt;1,L498=""),"",COUNTIFS('LEADS'!$S$5:$S$504,1,'LEADS'!$L$5:$L$504,"&lt;"&amp;L498)+COUNTIFS($S$5:S498,1,$L$5:L498,L498))</f>
        <v/>
      </c>
    </row>
    <row r="499">
      <c r="A499" s="46" t="inlineStr">
        <is>
          <t>L-0495</t>
        </is>
      </c>
      <c r="B499" s="47" t="n"/>
      <c r="C499" s="38" t="n"/>
      <c r="D499" s="38" t="n"/>
      <c r="E499" s="38" t="n"/>
      <c r="F499" s="38" t="n"/>
      <c r="G499" s="38" t="n"/>
      <c r="H499" s="38" t="n"/>
      <c r="I499" s="48" t="n"/>
      <c r="J499" s="38" t="n"/>
      <c r="K499" s="47" t="n"/>
      <c r="L499" s="47" t="n"/>
      <c r="M499" s="38" t="n"/>
      <c r="N499" s="38" t="n"/>
      <c r="O499" s="49">
        <f>IF(C499="","",IF(OR(J499="Booked",J499="Recurring Client"),"Booked",IF(J499="Lost/Declined","Lost","Open")))</f>
        <v/>
      </c>
      <c r="P499" s="49">
        <f>IF(C499="","",IF(S499=0,"—",IF(L499="","Set date",IF(L499&lt;AsOf,"Overdue",IF(L499=AsOf,"Due today",IF(L499&lt;=AsOf+SoonDays,"Due soon","Scheduled"))))))</f>
        <v/>
      </c>
      <c r="Q499" s="50">
        <f>IF(C499="","",IF(B499="","",AsOf-B499))</f>
        <v/>
      </c>
      <c r="R499" s="49">
        <f>IF(C499="","",IF(O499&lt;&gt;"Booked","",IF(COUNTIF('CUSTOMERS'!$B$5:$B$404,C499)&gt;0,"✓ In CUSTOMERS","Add to CUSTOMERS")))</f>
        <v/>
      </c>
      <c r="S499" s="49">
        <f>IF(C499="","",IF(OR(J499="Booked",J499="Recurring Client",J499="Lost/Declined"),0,1))</f>
        <v/>
      </c>
      <c r="T499" s="51">
        <f>IF(B499="","",DATE(YEAR(B499),MONTH(B499),1))</f>
        <v/>
      </c>
      <c r="U499" s="49">
        <f>IF(OR(S499&lt;&gt;1,L499=""),"",COUNTIFS('LEADS'!$S$5:$S$504,1,'LEADS'!$L$5:$L$504,"&lt;"&amp;L499)+COUNTIFS($S$5:S499,1,$L$5:L499,L499))</f>
        <v/>
      </c>
    </row>
    <row r="500">
      <c r="A500" s="46" t="inlineStr">
        <is>
          <t>L-0496</t>
        </is>
      </c>
      <c r="B500" s="47" t="n"/>
      <c r="C500" s="38" t="n"/>
      <c r="D500" s="38" t="n"/>
      <c r="E500" s="38" t="n"/>
      <c r="F500" s="38" t="n"/>
      <c r="G500" s="38" t="n"/>
      <c r="H500" s="38" t="n"/>
      <c r="I500" s="48" t="n"/>
      <c r="J500" s="38" t="n"/>
      <c r="K500" s="47" t="n"/>
      <c r="L500" s="47" t="n"/>
      <c r="M500" s="38" t="n"/>
      <c r="N500" s="38" t="n"/>
      <c r="O500" s="49">
        <f>IF(C500="","",IF(OR(J500="Booked",J500="Recurring Client"),"Booked",IF(J500="Lost/Declined","Lost","Open")))</f>
        <v/>
      </c>
      <c r="P500" s="49">
        <f>IF(C500="","",IF(S500=0,"—",IF(L500="","Set date",IF(L500&lt;AsOf,"Overdue",IF(L500=AsOf,"Due today",IF(L500&lt;=AsOf+SoonDays,"Due soon","Scheduled"))))))</f>
        <v/>
      </c>
      <c r="Q500" s="50">
        <f>IF(C500="","",IF(B500="","",AsOf-B500))</f>
        <v/>
      </c>
      <c r="R500" s="49">
        <f>IF(C500="","",IF(O500&lt;&gt;"Booked","",IF(COUNTIF('CUSTOMERS'!$B$5:$B$404,C500)&gt;0,"✓ In CUSTOMERS","Add to CUSTOMERS")))</f>
        <v/>
      </c>
      <c r="S500" s="49">
        <f>IF(C500="","",IF(OR(J500="Booked",J500="Recurring Client",J500="Lost/Declined"),0,1))</f>
        <v/>
      </c>
      <c r="T500" s="51">
        <f>IF(B500="","",DATE(YEAR(B500),MONTH(B500),1))</f>
        <v/>
      </c>
      <c r="U500" s="49">
        <f>IF(OR(S500&lt;&gt;1,L500=""),"",COUNTIFS('LEADS'!$S$5:$S$504,1,'LEADS'!$L$5:$L$504,"&lt;"&amp;L500)+COUNTIFS($S$5:S500,1,$L$5:L500,L500))</f>
        <v/>
      </c>
    </row>
    <row r="501">
      <c r="A501" s="46" t="inlineStr">
        <is>
          <t>L-0497</t>
        </is>
      </c>
      <c r="B501" s="47" t="n"/>
      <c r="C501" s="38" t="n"/>
      <c r="D501" s="38" t="n"/>
      <c r="E501" s="38" t="n"/>
      <c r="F501" s="38" t="n"/>
      <c r="G501" s="38" t="n"/>
      <c r="H501" s="38" t="n"/>
      <c r="I501" s="48" t="n"/>
      <c r="J501" s="38" t="n"/>
      <c r="K501" s="47" t="n"/>
      <c r="L501" s="47" t="n"/>
      <c r="M501" s="38" t="n"/>
      <c r="N501" s="38" t="n"/>
      <c r="O501" s="49">
        <f>IF(C501="","",IF(OR(J501="Booked",J501="Recurring Client"),"Booked",IF(J501="Lost/Declined","Lost","Open")))</f>
        <v/>
      </c>
      <c r="P501" s="49">
        <f>IF(C501="","",IF(S501=0,"—",IF(L501="","Set date",IF(L501&lt;AsOf,"Overdue",IF(L501=AsOf,"Due today",IF(L501&lt;=AsOf+SoonDays,"Due soon","Scheduled"))))))</f>
        <v/>
      </c>
      <c r="Q501" s="50">
        <f>IF(C501="","",IF(B501="","",AsOf-B501))</f>
        <v/>
      </c>
      <c r="R501" s="49">
        <f>IF(C501="","",IF(O501&lt;&gt;"Booked","",IF(COUNTIF('CUSTOMERS'!$B$5:$B$404,C501)&gt;0,"✓ In CUSTOMERS","Add to CUSTOMERS")))</f>
        <v/>
      </c>
      <c r="S501" s="49">
        <f>IF(C501="","",IF(OR(J501="Booked",J501="Recurring Client",J501="Lost/Declined"),0,1))</f>
        <v/>
      </c>
      <c r="T501" s="51">
        <f>IF(B501="","",DATE(YEAR(B501),MONTH(B501),1))</f>
        <v/>
      </c>
      <c r="U501" s="49">
        <f>IF(OR(S501&lt;&gt;1,L501=""),"",COUNTIFS('LEADS'!$S$5:$S$504,1,'LEADS'!$L$5:$L$504,"&lt;"&amp;L501)+COUNTIFS($S$5:S501,1,$L$5:L501,L501))</f>
        <v/>
      </c>
    </row>
    <row r="502">
      <c r="A502" s="46" t="inlineStr">
        <is>
          <t>L-0498</t>
        </is>
      </c>
      <c r="B502" s="47" t="n"/>
      <c r="C502" s="38" t="n"/>
      <c r="D502" s="38" t="n"/>
      <c r="E502" s="38" t="n"/>
      <c r="F502" s="38" t="n"/>
      <c r="G502" s="38" t="n"/>
      <c r="H502" s="38" t="n"/>
      <c r="I502" s="48" t="n"/>
      <c r="J502" s="38" t="n"/>
      <c r="K502" s="47" t="n"/>
      <c r="L502" s="47" t="n"/>
      <c r="M502" s="38" t="n"/>
      <c r="N502" s="38" t="n"/>
      <c r="O502" s="49">
        <f>IF(C502="","",IF(OR(J502="Booked",J502="Recurring Client"),"Booked",IF(J502="Lost/Declined","Lost","Open")))</f>
        <v/>
      </c>
      <c r="P502" s="49">
        <f>IF(C502="","",IF(S502=0,"—",IF(L502="","Set date",IF(L502&lt;AsOf,"Overdue",IF(L502=AsOf,"Due today",IF(L502&lt;=AsOf+SoonDays,"Due soon","Scheduled"))))))</f>
        <v/>
      </c>
      <c r="Q502" s="50">
        <f>IF(C502="","",IF(B502="","",AsOf-B502))</f>
        <v/>
      </c>
      <c r="R502" s="49">
        <f>IF(C502="","",IF(O502&lt;&gt;"Booked","",IF(COUNTIF('CUSTOMERS'!$B$5:$B$404,C502)&gt;0,"✓ In CUSTOMERS","Add to CUSTOMERS")))</f>
        <v/>
      </c>
      <c r="S502" s="49">
        <f>IF(C502="","",IF(OR(J502="Booked",J502="Recurring Client",J502="Lost/Declined"),0,1))</f>
        <v/>
      </c>
      <c r="T502" s="51">
        <f>IF(B502="","",DATE(YEAR(B502),MONTH(B502),1))</f>
        <v/>
      </c>
      <c r="U502" s="49">
        <f>IF(OR(S502&lt;&gt;1,L502=""),"",COUNTIFS('LEADS'!$S$5:$S$504,1,'LEADS'!$L$5:$L$504,"&lt;"&amp;L502)+COUNTIFS($S$5:S502,1,$L$5:L502,L502))</f>
        <v/>
      </c>
    </row>
    <row r="503">
      <c r="A503" s="46" t="inlineStr">
        <is>
          <t>L-0499</t>
        </is>
      </c>
      <c r="B503" s="47" t="n"/>
      <c r="C503" s="38" t="n"/>
      <c r="D503" s="38" t="n"/>
      <c r="E503" s="38" t="n"/>
      <c r="F503" s="38" t="n"/>
      <c r="G503" s="38" t="n"/>
      <c r="H503" s="38" t="n"/>
      <c r="I503" s="48" t="n"/>
      <c r="J503" s="38" t="n"/>
      <c r="K503" s="47" t="n"/>
      <c r="L503" s="47" t="n"/>
      <c r="M503" s="38" t="n"/>
      <c r="N503" s="38" t="n"/>
      <c r="O503" s="49">
        <f>IF(C503="","",IF(OR(J503="Booked",J503="Recurring Client"),"Booked",IF(J503="Lost/Declined","Lost","Open")))</f>
        <v/>
      </c>
      <c r="P503" s="49">
        <f>IF(C503="","",IF(S503=0,"—",IF(L503="","Set date",IF(L503&lt;AsOf,"Overdue",IF(L503=AsOf,"Due today",IF(L503&lt;=AsOf+SoonDays,"Due soon","Scheduled"))))))</f>
        <v/>
      </c>
      <c r="Q503" s="50">
        <f>IF(C503="","",IF(B503="","",AsOf-B503))</f>
        <v/>
      </c>
      <c r="R503" s="49">
        <f>IF(C503="","",IF(O503&lt;&gt;"Booked","",IF(COUNTIF('CUSTOMERS'!$B$5:$B$404,C503)&gt;0,"✓ In CUSTOMERS","Add to CUSTOMERS")))</f>
        <v/>
      </c>
      <c r="S503" s="49">
        <f>IF(C503="","",IF(OR(J503="Booked",J503="Recurring Client",J503="Lost/Declined"),0,1))</f>
        <v/>
      </c>
      <c r="T503" s="51">
        <f>IF(B503="","",DATE(YEAR(B503),MONTH(B503),1))</f>
        <v/>
      </c>
      <c r="U503" s="49">
        <f>IF(OR(S503&lt;&gt;1,L503=""),"",COUNTIFS('LEADS'!$S$5:$S$504,1,'LEADS'!$L$5:$L$504,"&lt;"&amp;L503)+COUNTIFS($S$5:S503,1,$L$5:L503,L503))</f>
        <v/>
      </c>
    </row>
    <row r="504">
      <c r="A504" s="46" t="inlineStr">
        <is>
          <t>L-0500</t>
        </is>
      </c>
      <c r="B504" s="47" t="n"/>
      <c r="C504" s="38" t="n"/>
      <c r="D504" s="38" t="n"/>
      <c r="E504" s="38" t="n"/>
      <c r="F504" s="38" t="n"/>
      <c r="G504" s="38" t="n"/>
      <c r="H504" s="38" t="n"/>
      <c r="I504" s="48" t="n"/>
      <c r="J504" s="38" t="n"/>
      <c r="K504" s="47" t="n"/>
      <c r="L504" s="47" t="n"/>
      <c r="M504" s="38" t="n"/>
      <c r="N504" s="38" t="n"/>
      <c r="O504" s="49">
        <f>IF(C504="","",IF(OR(J504="Booked",J504="Recurring Client"),"Booked",IF(J504="Lost/Declined","Lost","Open")))</f>
        <v/>
      </c>
      <c r="P504" s="49">
        <f>IF(C504="","",IF(S504=0,"—",IF(L504="","Set date",IF(L504&lt;AsOf,"Overdue",IF(L504=AsOf,"Due today",IF(L504&lt;=AsOf+SoonDays,"Due soon","Scheduled"))))))</f>
        <v/>
      </c>
      <c r="Q504" s="50">
        <f>IF(C504="","",IF(B504="","",AsOf-B504))</f>
        <v/>
      </c>
      <c r="R504" s="49">
        <f>IF(C504="","",IF(O504&lt;&gt;"Booked","",IF(COUNTIF('CUSTOMERS'!$B$5:$B$404,C504)&gt;0,"✓ In CUSTOMERS","Add to CUSTOMERS")))</f>
        <v/>
      </c>
      <c r="S504" s="49">
        <f>IF(C504="","",IF(OR(J504="Booked",J504="Recurring Client",J504="Lost/Declined"),0,1))</f>
        <v/>
      </c>
      <c r="T504" s="51">
        <f>IF(B504="","",DATE(YEAR(B504),MONTH(B504),1))</f>
        <v/>
      </c>
      <c r="U504" s="49">
        <f>IF(OR(S504&lt;&gt;1,L504=""),"",COUNTIFS('LEADS'!$S$5:$S$504,1,'LEADS'!$L$5:$L$504,"&lt;"&amp;L504)+COUNTIFS($S$5:S504,1,$L$5:L504,L504))</f>
        <v/>
      </c>
    </row>
  </sheetData>
  <autoFilter ref="A4:U504"/>
  <mergeCells count="2">
    <mergeCell ref="A1:U1"/>
    <mergeCell ref="A2:U2"/>
  </mergeCells>
  <conditionalFormatting sqref="J5:J504">
    <cfRule type="expression" priority="1" dxfId="1">
      <formula>J5="New Lead"</formula>
    </cfRule>
    <cfRule type="expression" priority="2" dxfId="2">
      <formula>J5="Quote Sent"</formula>
    </cfRule>
    <cfRule type="expression" priority="3" dxfId="2">
      <formula>J5="Follow-Up"</formula>
    </cfRule>
    <cfRule type="expression" priority="4" dxfId="3">
      <formula>J5="Booked"</formula>
    </cfRule>
    <cfRule type="expression" priority="5" dxfId="3">
      <formula>J5="Recurring Client"</formula>
    </cfRule>
    <cfRule type="expression" priority="6" dxfId="4">
      <formula>J5="Lost/Declined"</formula>
    </cfRule>
  </conditionalFormatting>
  <conditionalFormatting sqref="P5:P504">
    <cfRule type="expression" priority="7" dxfId="0">
      <formula>P5="Overdue"</formula>
    </cfRule>
    <cfRule type="expression" priority="8" dxfId="2">
      <formula>P5="Due today"</formula>
    </cfRule>
  </conditionalFormatting>
  <conditionalFormatting sqref="R5:R504">
    <cfRule type="expression" priority="9" dxfId="0">
      <formula>R5="Add to CUSTOMERS"</formula>
    </cfRule>
  </conditionalFormatting>
  <dataValidations count="4">
    <dataValidation sqref="F5:F504" showDropDown="0" showInputMessage="0" showErrorMessage="0" allowBlank="1" type="list">
      <formula1>='SETTINGS'!$F$5:$F$24</formula1>
    </dataValidation>
    <dataValidation sqref="G5:G504" showDropDown="0" showInputMessage="0" showErrorMessage="0" allowBlank="1" type="list">
      <formula1>='PRICING'!$A$7:$A$16</formula1>
    </dataValidation>
    <dataValidation sqref="J5:J504" showDropDown="0" showInputMessage="0" showErrorMessage="0" allowBlank="1" type="list">
      <formula1>='SETTINGS'!$G$5:$G$12</formula1>
    </dataValidation>
    <dataValidation sqref="M5:M504" showDropDown="0" showInputMessage="0" showErrorMessage="0" allowBlank="1" type="list">
      <formula1>='SETTINGS'!$H$5:$H$24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4.xml><?xml version="1.0" encoding="utf-8"?>
<worksheet xmlns="http://schemas.openxmlformats.org/spreadsheetml/2006/main">
  <sheetPr>
    <tabColor rgb="002A5D8F"/>
    <outlinePr summaryBelow="1" summaryRight="1"/>
    <pageSetUpPr fitToPage="1"/>
  </sheetPr>
  <dimension ref="A1:S4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15" customWidth="1" min="3" max="3"/>
    <col width="24" customWidth="1" min="4" max="4"/>
    <col width="18" customWidth="1" min="5" max="5"/>
    <col width="18" customWidth="1" min="6" max="6"/>
    <col width="13" customWidth="1" min="7" max="7"/>
    <col width="13" customWidth="1" min="8" max="8"/>
    <col width="13" customWidth="1" min="9" max="9"/>
    <col width="28"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8" customWidth="1" min="18" max="18"/>
    <col width="13" customWidth="1" min="19" max="19"/>
  </cols>
  <sheetData>
    <row r="1" ht="34" customHeight="1">
      <c r="A1" s="42" t="inlineStr">
        <is>
          <t>CUSTOMERS</t>
        </is>
      </c>
      <c r="B1" s="1" t="n"/>
      <c r="C1" s="1" t="n"/>
      <c r="D1" s="1" t="n"/>
      <c r="E1" s="1" t="n"/>
      <c r="F1" s="1" t="n"/>
      <c r="G1" s="1" t="n"/>
      <c r="H1" s="1" t="n"/>
      <c r="I1" s="1" t="n"/>
      <c r="J1" s="1" t="n"/>
      <c r="K1" s="1" t="n"/>
      <c r="L1" s="1" t="n"/>
      <c r="M1" s="1" t="n"/>
      <c r="N1" s="1" t="n"/>
      <c r="O1" s="1" t="n"/>
      <c r="P1" s="1" t="n"/>
      <c r="Q1" s="1" t="n"/>
      <c r="R1" s="1" t="n"/>
      <c r="S1" s="1" t="n"/>
    </row>
    <row r="2" ht="30" customHeight="1">
      <c r="A2" s="43" t="inlineStr">
        <is>
          <t>Your customer list. History, lifetime revenue, balance due and the suggested next action fill in automatically from JOBS, RECURRING, REVIEWS and REFERRALS.</t>
        </is>
      </c>
    </row>
    <row r="3" ht="18" customHeight="1">
      <c r="A3" s="24" t="inlineStr">
        <is>
          <t>← Start Here</t>
        </is>
      </c>
      <c r="B3" s="24" t="inlineStr">
        <is>
          <t>Dashboard →</t>
        </is>
      </c>
    </row>
    <row r="4" ht="42" customHeight="1">
      <c r="A4" s="44" t="inlineStr">
        <is>
          <t>Customer ID</t>
        </is>
      </c>
      <c r="B4" s="44" t="inlineStr">
        <is>
          <t>Customer Name (unique)</t>
        </is>
      </c>
      <c r="C4" s="44" t="inlineStr">
        <is>
          <t>Phone</t>
        </is>
      </c>
      <c r="D4" s="44" t="inlineStr">
        <is>
          <t>Email</t>
        </is>
      </c>
      <c r="E4" s="44" t="inlineStr">
        <is>
          <t>Customer Type</t>
        </is>
      </c>
      <c r="F4" s="44" t="inlineStr">
        <is>
          <t>Lead Source</t>
        </is>
      </c>
      <c r="G4" s="44" t="inlineStr">
        <is>
          <t>Preferred Contact</t>
        </is>
      </c>
      <c r="H4" s="44" t="inlineStr">
        <is>
          <t>Status</t>
        </is>
      </c>
      <c r="I4" s="44" t="inlineStr">
        <is>
          <t>Date Added</t>
        </is>
      </c>
      <c r="J4" s="44" t="inlineStr">
        <is>
          <t>Notes</t>
        </is>
      </c>
      <c r="K4" s="45" t="inlineStr">
        <is>
          <t>First Job ⚙</t>
        </is>
      </c>
      <c r="L4" s="45" t="inlineStr">
        <is>
          <t>Last Job ⚙</t>
        </is>
      </c>
      <c r="M4" s="45" t="inlineStr">
        <is>
          <t>Completed Jobs ⚙</t>
        </is>
      </c>
      <c r="N4" s="45" t="inlineStr">
        <is>
          <t>Lifetime Revenue ⚙</t>
        </is>
      </c>
      <c r="O4" s="45" t="inlineStr">
        <is>
          <t>Balance Due ⚙</t>
        </is>
      </c>
      <c r="P4" s="45" t="inlineStr">
        <is>
          <t>Recurring Plan? ⚙</t>
        </is>
      </c>
      <c r="Q4" s="45" t="inlineStr">
        <is>
          <t>Days Since Last Job ⚙</t>
        </is>
      </c>
      <c r="R4" s="45" t="inlineStr">
        <is>
          <t>Suggested Next Action ⚙</t>
        </is>
      </c>
      <c r="S4" s="45" t="inlineStr">
        <is>
          <t>Referrals Given ⚙</t>
        </is>
      </c>
    </row>
    <row r="5">
      <c r="A5" s="46" t="inlineStr">
        <is>
          <t>C-001</t>
        </is>
      </c>
      <c r="B5" s="38" t="inlineStr">
        <is>
          <t>Lane Ivers</t>
        </is>
      </c>
      <c r="C5" s="38" t="inlineStr">
        <is>
          <t>555-0104</t>
        </is>
      </c>
      <c r="D5" s="38" t="inlineStr">
        <is>
          <t>lane.ivers@example.com</t>
        </is>
      </c>
      <c r="E5" s="38" t="inlineStr">
        <is>
          <t>Residential</t>
        </is>
      </c>
      <c r="F5" s="38" t="inlineStr">
        <is>
          <t>Website Form</t>
        </is>
      </c>
      <c r="G5" s="38" t="inlineStr">
        <is>
          <t>Call</t>
        </is>
      </c>
      <c r="H5" s="38" t="inlineStr">
        <is>
          <t>Active</t>
        </is>
      </c>
      <c r="I5" s="47" t="n">
        <v>46042</v>
      </c>
      <c r="J5" s="38" t="inlineStr"/>
      <c r="K5" s="52">
        <f>IF(B5="","",IF(_xlfn.MINIFS('JOBS'!$B$5:$B$1504,'JOBS'!$D$5:$D$1504,B5,'JOBS'!$O$5:$O$1504,"Completed")=0,"",_xlfn.MINIFS('JOBS'!$B$5:$B$1504,'JOBS'!$D$5:$D$1504,B5,'JOBS'!$O$5:$O$1504,"Completed")))</f>
        <v/>
      </c>
      <c r="L5" s="52">
        <f>IF(B5="","",IF(_xlfn.MAXIFS('JOBS'!$B$5:$B$1504,'JOBS'!$D$5:$D$1504,B5,'JOBS'!$O$5:$O$1504,"Completed")=0,"",_xlfn.MAXIFS('JOBS'!$B$5:$B$1504,'JOBS'!$D$5:$D$1504,B5,'JOBS'!$O$5:$O$1504,"Completed")))</f>
        <v/>
      </c>
      <c r="M5" s="53">
        <f>IF(B5="","",COUNTIFS('JOBS'!$D$5:$D$1504,B5,'JOBS'!$O$5:$O$1504,"Completed"))</f>
        <v/>
      </c>
      <c r="N5" s="54">
        <f>IF(B5="","",SUMIFS('JOBS'!$L$5:$L$1504,'JOBS'!$D$5:$D$1504,B5,'JOBS'!$O$5:$O$1504,"Completed"))</f>
        <v/>
      </c>
      <c r="O5" s="55">
        <f>IF(B5="","",SUMIFS('JOBS'!$U$5:$U$1504,'JOBS'!$D$5:$D$1504,B5))</f>
        <v/>
      </c>
      <c r="P5" s="49">
        <f>IF(B5="","",IF(COUNTIFS('RECURRING'!$B$5:$B$154,B5,'RECURRING'!$J$5:$J$154,"Active")&gt;0,"Yes","No"))</f>
        <v/>
      </c>
      <c r="Q5" s="50">
        <f>IF(L5="","",AsOf-L5)</f>
        <v/>
      </c>
      <c r="R5" s="49">
        <f>IF(B5="","",IF(H5="Do not service","—",IF(O5&gt;0.005,"Collect balance",IF(M5=0,"Book first job",IF(AND(P5="No",Q5&gt;=ReactDays),"Reactivate",IF(COUNTIF('REVIEWS'!$A$5:$A$504,B5)=0,"Ask for review",IF(AND(P5="No",M5&gt;=1),"Offer recurring plan","—")))))))</f>
        <v/>
      </c>
      <c r="S5" s="53">
        <f>IF(B5="","",COUNTIF('REFERRALS'!$B$5:$B$204,B5))</f>
        <v/>
      </c>
    </row>
    <row r="6">
      <c r="A6" s="46" t="inlineStr">
        <is>
          <t>C-002</t>
        </is>
      </c>
      <c r="B6" s="38" t="inlineStr">
        <is>
          <t>Logan Porter</t>
        </is>
      </c>
      <c r="C6" s="38" t="inlineStr">
        <is>
          <t>555-0105</t>
        </is>
      </c>
      <c r="D6" s="38" t="inlineStr">
        <is>
          <t>logan.porter@example.com</t>
        </is>
      </c>
      <c r="E6" s="38" t="inlineStr">
        <is>
          <t>Residential</t>
        </is>
      </c>
      <c r="F6" s="38" t="inlineStr">
        <is>
          <t>Referral</t>
        </is>
      </c>
      <c r="G6" s="38" t="inlineStr">
        <is>
          <t>Text</t>
        </is>
      </c>
      <c r="H6" s="38" t="inlineStr">
        <is>
          <t>Active</t>
        </is>
      </c>
      <c r="I6" s="47" t="n">
        <v>46094</v>
      </c>
      <c r="J6" s="38" t="inlineStr"/>
      <c r="K6" s="52">
        <f>IF(B6="","",IF(_xlfn.MINIFS('JOBS'!$B$5:$B$1504,'JOBS'!$D$5:$D$1504,B6,'JOBS'!$O$5:$O$1504,"Completed")=0,"",_xlfn.MINIFS('JOBS'!$B$5:$B$1504,'JOBS'!$D$5:$D$1504,B6,'JOBS'!$O$5:$O$1504,"Completed")))</f>
        <v/>
      </c>
      <c r="L6" s="52">
        <f>IF(B6="","",IF(_xlfn.MAXIFS('JOBS'!$B$5:$B$1504,'JOBS'!$D$5:$D$1504,B6,'JOBS'!$O$5:$O$1504,"Completed")=0,"",_xlfn.MAXIFS('JOBS'!$B$5:$B$1504,'JOBS'!$D$5:$D$1504,B6,'JOBS'!$O$5:$O$1504,"Completed")))</f>
        <v/>
      </c>
      <c r="M6" s="53">
        <f>IF(B6="","",COUNTIFS('JOBS'!$D$5:$D$1504,B6,'JOBS'!$O$5:$O$1504,"Completed"))</f>
        <v/>
      </c>
      <c r="N6" s="54">
        <f>IF(B6="","",SUMIFS('JOBS'!$L$5:$L$1504,'JOBS'!$D$5:$D$1504,B6,'JOBS'!$O$5:$O$1504,"Completed"))</f>
        <v/>
      </c>
      <c r="O6" s="55">
        <f>IF(B6="","",SUMIFS('JOBS'!$U$5:$U$1504,'JOBS'!$D$5:$D$1504,B6))</f>
        <v/>
      </c>
      <c r="P6" s="49">
        <f>IF(B6="","",IF(COUNTIFS('RECURRING'!$B$5:$B$154,B6,'RECURRING'!$J$5:$J$154,"Active")&gt;0,"Yes","No"))</f>
        <v/>
      </c>
      <c r="Q6" s="50">
        <f>IF(L6="","",AsOf-L6)</f>
        <v/>
      </c>
      <c r="R6" s="49">
        <f>IF(B6="","",IF(H6="Do not service","—",IF(O6&gt;0.005,"Collect balance",IF(M6=0,"Book first job",IF(AND(P6="No",Q6&gt;=ReactDays),"Reactivate",IF(COUNTIF('REVIEWS'!$A$5:$A$504,B6)=0,"Ask for review",IF(AND(P6="No",M6&gt;=1),"Offer recurring plan","—")))))))</f>
        <v/>
      </c>
      <c r="S6" s="53">
        <f>IF(B6="","",COUNTIF('REFERRALS'!$B$5:$B$204,B6))</f>
        <v/>
      </c>
    </row>
    <row r="7">
      <c r="A7" s="46" t="inlineStr">
        <is>
          <t>C-003</t>
        </is>
      </c>
      <c r="B7" s="38" t="inlineStr">
        <is>
          <t>Devon Hayes</t>
        </is>
      </c>
      <c r="C7" s="38" t="inlineStr">
        <is>
          <t>555-0106</t>
        </is>
      </c>
      <c r="D7" s="38" t="inlineStr">
        <is>
          <t>devon.hayes@example.com</t>
        </is>
      </c>
      <c r="E7" s="38" t="inlineStr">
        <is>
          <t>Residential</t>
        </is>
      </c>
      <c r="F7" s="38" t="inlineStr">
        <is>
          <t>Google Business Profile</t>
        </is>
      </c>
      <c r="G7" s="38" t="inlineStr">
        <is>
          <t>Text</t>
        </is>
      </c>
      <c r="H7" s="38" t="inlineStr">
        <is>
          <t>Active</t>
        </is>
      </c>
      <c r="I7" s="47" t="n">
        <v>46161</v>
      </c>
      <c r="J7" s="38" t="inlineStr"/>
      <c r="K7" s="52">
        <f>IF(B7="","",IF(_xlfn.MINIFS('JOBS'!$B$5:$B$1504,'JOBS'!$D$5:$D$1504,B7,'JOBS'!$O$5:$O$1504,"Completed")=0,"",_xlfn.MINIFS('JOBS'!$B$5:$B$1504,'JOBS'!$D$5:$D$1504,B7,'JOBS'!$O$5:$O$1504,"Completed")))</f>
        <v/>
      </c>
      <c r="L7" s="52">
        <f>IF(B7="","",IF(_xlfn.MAXIFS('JOBS'!$B$5:$B$1504,'JOBS'!$D$5:$D$1504,B7,'JOBS'!$O$5:$O$1504,"Completed")=0,"",_xlfn.MAXIFS('JOBS'!$B$5:$B$1504,'JOBS'!$D$5:$D$1504,B7,'JOBS'!$O$5:$O$1504,"Completed")))</f>
        <v/>
      </c>
      <c r="M7" s="53">
        <f>IF(B7="","",COUNTIFS('JOBS'!$D$5:$D$1504,B7,'JOBS'!$O$5:$O$1504,"Completed"))</f>
        <v/>
      </c>
      <c r="N7" s="54">
        <f>IF(B7="","",SUMIFS('JOBS'!$L$5:$L$1504,'JOBS'!$D$5:$D$1504,B7,'JOBS'!$O$5:$O$1504,"Completed"))</f>
        <v/>
      </c>
      <c r="O7" s="55">
        <f>IF(B7="","",SUMIFS('JOBS'!$U$5:$U$1504,'JOBS'!$D$5:$D$1504,B7))</f>
        <v/>
      </c>
      <c r="P7" s="49">
        <f>IF(B7="","",IF(COUNTIFS('RECURRING'!$B$5:$B$154,B7,'RECURRING'!$J$5:$J$154,"Active")&gt;0,"Yes","No"))</f>
        <v/>
      </c>
      <c r="Q7" s="50">
        <f>IF(L7="","",AsOf-L7)</f>
        <v/>
      </c>
      <c r="R7" s="49">
        <f>IF(B7="","",IF(H7="Do not service","—",IF(O7&gt;0.005,"Collect balance",IF(M7=0,"Book first job",IF(AND(P7="No",Q7&gt;=ReactDays),"Reactivate",IF(COUNTIF('REVIEWS'!$A$5:$A$504,B7)=0,"Ask for review",IF(AND(P7="No",M7&gt;=1),"Offer recurring plan","—")))))))</f>
        <v/>
      </c>
      <c r="S7" s="53">
        <f>IF(B7="","",COUNTIF('REFERRALS'!$B$5:$B$204,B7))</f>
        <v/>
      </c>
    </row>
    <row r="8">
      <c r="A8" s="46" t="inlineStr">
        <is>
          <t>C-004</t>
        </is>
      </c>
      <c r="B8" s="38" t="inlineStr">
        <is>
          <t>Noel Collins</t>
        </is>
      </c>
      <c r="C8" s="38" t="inlineStr">
        <is>
          <t>555-0107</t>
        </is>
      </c>
      <c r="D8" s="38" t="inlineStr">
        <is>
          <t>noel.collins@example.com</t>
        </is>
      </c>
      <c r="E8" s="38" t="inlineStr">
        <is>
          <t>Residential</t>
        </is>
      </c>
      <c r="F8" s="38" t="inlineStr">
        <is>
          <t>Facebook</t>
        </is>
      </c>
      <c r="G8" s="38" t="inlineStr">
        <is>
          <t>Call</t>
        </is>
      </c>
      <c r="H8" s="38" t="inlineStr">
        <is>
          <t>Active</t>
        </is>
      </c>
      <c r="I8" s="47" t="n">
        <v>46098</v>
      </c>
      <c r="J8" s="38" t="inlineStr"/>
      <c r="K8" s="52">
        <f>IF(B8="","",IF(_xlfn.MINIFS('JOBS'!$B$5:$B$1504,'JOBS'!$D$5:$D$1504,B8,'JOBS'!$O$5:$O$1504,"Completed")=0,"",_xlfn.MINIFS('JOBS'!$B$5:$B$1504,'JOBS'!$D$5:$D$1504,B8,'JOBS'!$O$5:$O$1504,"Completed")))</f>
        <v/>
      </c>
      <c r="L8" s="52">
        <f>IF(B8="","",IF(_xlfn.MAXIFS('JOBS'!$B$5:$B$1504,'JOBS'!$D$5:$D$1504,B8,'JOBS'!$O$5:$O$1504,"Completed")=0,"",_xlfn.MAXIFS('JOBS'!$B$5:$B$1504,'JOBS'!$D$5:$D$1504,B8,'JOBS'!$O$5:$O$1504,"Completed")))</f>
        <v/>
      </c>
      <c r="M8" s="53">
        <f>IF(B8="","",COUNTIFS('JOBS'!$D$5:$D$1504,B8,'JOBS'!$O$5:$O$1504,"Completed"))</f>
        <v/>
      </c>
      <c r="N8" s="54">
        <f>IF(B8="","",SUMIFS('JOBS'!$L$5:$L$1504,'JOBS'!$D$5:$D$1504,B8,'JOBS'!$O$5:$O$1504,"Completed"))</f>
        <v/>
      </c>
      <c r="O8" s="55">
        <f>IF(B8="","",SUMIFS('JOBS'!$U$5:$U$1504,'JOBS'!$D$5:$D$1504,B8))</f>
        <v/>
      </c>
      <c r="P8" s="49">
        <f>IF(B8="","",IF(COUNTIFS('RECURRING'!$B$5:$B$154,B8,'RECURRING'!$J$5:$J$154,"Active")&gt;0,"Yes","No"))</f>
        <v/>
      </c>
      <c r="Q8" s="50">
        <f>IF(L8="","",AsOf-L8)</f>
        <v/>
      </c>
      <c r="R8" s="49">
        <f>IF(B8="","",IF(H8="Do not service","—",IF(O8&gt;0.005,"Collect balance",IF(M8=0,"Book first job",IF(AND(P8="No",Q8&gt;=ReactDays),"Reactivate",IF(COUNTIF('REVIEWS'!$A$5:$A$504,B8)=0,"Ask for review",IF(AND(P8="No",M8&gt;=1),"Offer recurring plan","—")))))))</f>
        <v/>
      </c>
      <c r="S8" s="53">
        <f>IF(B8="","",COUNTIF('REFERRALS'!$B$5:$B$204,B8))</f>
        <v/>
      </c>
    </row>
    <row r="9">
      <c r="A9" s="46" t="inlineStr">
        <is>
          <t>C-005</t>
        </is>
      </c>
      <c r="B9" s="38" t="inlineStr">
        <is>
          <t>Rowan Foxworth</t>
        </is>
      </c>
      <c r="C9" s="38" t="inlineStr">
        <is>
          <t>555-0108</t>
        </is>
      </c>
      <c r="D9" s="38" t="inlineStr">
        <is>
          <t>rowan.foxworth@example.com</t>
        </is>
      </c>
      <c r="E9" s="38" t="inlineStr">
        <is>
          <t>Residential</t>
        </is>
      </c>
      <c r="F9" s="38" t="inlineStr">
        <is>
          <t>Google Search</t>
        </is>
      </c>
      <c r="G9" s="38" t="inlineStr">
        <is>
          <t>Text</t>
        </is>
      </c>
      <c r="H9" s="38" t="inlineStr">
        <is>
          <t>Active</t>
        </is>
      </c>
      <c r="I9" s="47" t="n">
        <v>46089</v>
      </c>
      <c r="J9" s="38" t="inlineStr"/>
      <c r="K9" s="52">
        <f>IF(B9="","",IF(_xlfn.MINIFS('JOBS'!$B$5:$B$1504,'JOBS'!$D$5:$D$1504,B9,'JOBS'!$O$5:$O$1504,"Completed")=0,"",_xlfn.MINIFS('JOBS'!$B$5:$B$1504,'JOBS'!$D$5:$D$1504,B9,'JOBS'!$O$5:$O$1504,"Completed")))</f>
        <v/>
      </c>
      <c r="L9" s="52">
        <f>IF(B9="","",IF(_xlfn.MAXIFS('JOBS'!$B$5:$B$1504,'JOBS'!$D$5:$D$1504,B9,'JOBS'!$O$5:$O$1504,"Completed")=0,"",_xlfn.MAXIFS('JOBS'!$B$5:$B$1504,'JOBS'!$D$5:$D$1504,B9,'JOBS'!$O$5:$O$1504,"Completed")))</f>
        <v/>
      </c>
      <c r="M9" s="53">
        <f>IF(B9="","",COUNTIFS('JOBS'!$D$5:$D$1504,B9,'JOBS'!$O$5:$O$1504,"Completed"))</f>
        <v/>
      </c>
      <c r="N9" s="54">
        <f>IF(B9="","",SUMIFS('JOBS'!$L$5:$L$1504,'JOBS'!$D$5:$D$1504,B9,'JOBS'!$O$5:$O$1504,"Completed"))</f>
        <v/>
      </c>
      <c r="O9" s="55">
        <f>IF(B9="","",SUMIFS('JOBS'!$U$5:$U$1504,'JOBS'!$D$5:$D$1504,B9))</f>
        <v/>
      </c>
      <c r="P9" s="49">
        <f>IF(B9="","",IF(COUNTIFS('RECURRING'!$B$5:$B$154,B9,'RECURRING'!$J$5:$J$154,"Active")&gt;0,"Yes","No"))</f>
        <v/>
      </c>
      <c r="Q9" s="50">
        <f>IF(L9="","",AsOf-L9)</f>
        <v/>
      </c>
      <c r="R9" s="49">
        <f>IF(B9="","",IF(H9="Do not service","—",IF(O9&gt;0.005,"Collect balance",IF(M9=0,"Book first job",IF(AND(P9="No",Q9&gt;=ReactDays),"Reactivate",IF(COUNTIF('REVIEWS'!$A$5:$A$504,B9)=0,"Ask for review",IF(AND(P9="No",M9&gt;=1),"Offer recurring plan","—")))))))</f>
        <v/>
      </c>
      <c r="S9" s="53">
        <f>IF(B9="","",COUNTIF('REFERRALS'!$B$5:$B$204,B9))</f>
        <v/>
      </c>
    </row>
    <row r="10">
      <c r="A10" s="46" t="inlineStr">
        <is>
          <t>C-006</t>
        </is>
      </c>
      <c r="B10" s="38" t="inlineStr">
        <is>
          <t>Dana Collins</t>
        </is>
      </c>
      <c r="C10" s="38" t="inlineStr">
        <is>
          <t>555-0109</t>
        </is>
      </c>
      <c r="D10" s="38" t="inlineStr">
        <is>
          <t>dana.collins@example.com</t>
        </is>
      </c>
      <c r="E10" s="38" t="inlineStr">
        <is>
          <t>Residential</t>
        </is>
      </c>
      <c r="F10" s="38" t="inlineStr">
        <is>
          <t>Google Business Profile</t>
        </is>
      </c>
      <c r="G10" s="38" t="inlineStr">
        <is>
          <t>Text</t>
        </is>
      </c>
      <c r="H10" s="38" t="inlineStr">
        <is>
          <t>Active</t>
        </is>
      </c>
      <c r="I10" s="47" t="n">
        <v>46024</v>
      </c>
      <c r="J10" s="38" t="inlineStr"/>
      <c r="K10" s="52">
        <f>IF(B10="","",IF(_xlfn.MINIFS('JOBS'!$B$5:$B$1504,'JOBS'!$D$5:$D$1504,B10,'JOBS'!$O$5:$O$1504,"Completed")=0,"",_xlfn.MINIFS('JOBS'!$B$5:$B$1504,'JOBS'!$D$5:$D$1504,B10,'JOBS'!$O$5:$O$1504,"Completed")))</f>
        <v/>
      </c>
      <c r="L10" s="52">
        <f>IF(B10="","",IF(_xlfn.MAXIFS('JOBS'!$B$5:$B$1504,'JOBS'!$D$5:$D$1504,B10,'JOBS'!$O$5:$O$1504,"Completed")=0,"",_xlfn.MAXIFS('JOBS'!$B$5:$B$1504,'JOBS'!$D$5:$D$1504,B10,'JOBS'!$O$5:$O$1504,"Completed")))</f>
        <v/>
      </c>
      <c r="M10" s="53">
        <f>IF(B10="","",COUNTIFS('JOBS'!$D$5:$D$1504,B10,'JOBS'!$O$5:$O$1504,"Completed"))</f>
        <v/>
      </c>
      <c r="N10" s="54">
        <f>IF(B10="","",SUMIFS('JOBS'!$L$5:$L$1504,'JOBS'!$D$5:$D$1504,B10,'JOBS'!$O$5:$O$1504,"Completed"))</f>
        <v/>
      </c>
      <c r="O10" s="55">
        <f>IF(B10="","",SUMIFS('JOBS'!$U$5:$U$1504,'JOBS'!$D$5:$D$1504,B10))</f>
        <v/>
      </c>
      <c r="P10" s="49">
        <f>IF(B10="","",IF(COUNTIFS('RECURRING'!$B$5:$B$154,B10,'RECURRING'!$J$5:$J$154,"Active")&gt;0,"Yes","No"))</f>
        <v/>
      </c>
      <c r="Q10" s="50">
        <f>IF(L10="","",AsOf-L10)</f>
        <v/>
      </c>
      <c r="R10" s="49">
        <f>IF(B10="","",IF(H10="Do not service","—",IF(O10&gt;0.005,"Collect balance",IF(M10=0,"Book first job",IF(AND(P10="No",Q10&gt;=ReactDays),"Reactivate",IF(COUNTIF('REVIEWS'!$A$5:$A$504,B10)=0,"Ask for review",IF(AND(P10="No",M10&gt;=1),"Offer recurring plan","—")))))))</f>
        <v/>
      </c>
      <c r="S10" s="53">
        <f>IF(B10="","",COUNTIF('REFERRALS'!$B$5:$B$204,B10))</f>
        <v/>
      </c>
    </row>
    <row r="11">
      <c r="A11" s="46" t="inlineStr">
        <is>
          <t>C-007</t>
        </is>
      </c>
      <c r="B11" s="38" t="inlineStr">
        <is>
          <t>Finley Quigley</t>
        </is>
      </c>
      <c r="C11" s="38" t="inlineStr">
        <is>
          <t>555-0110</t>
        </is>
      </c>
      <c r="D11" s="38" t="inlineStr">
        <is>
          <t>finley.quigley@example.com</t>
        </is>
      </c>
      <c r="E11" s="38" t="inlineStr">
        <is>
          <t>Residential</t>
        </is>
      </c>
      <c r="F11" s="38" t="inlineStr">
        <is>
          <t>Google Search</t>
        </is>
      </c>
      <c r="G11" s="38" t="inlineStr">
        <is>
          <t>Call</t>
        </is>
      </c>
      <c r="H11" s="38" t="inlineStr">
        <is>
          <t>Active</t>
        </is>
      </c>
      <c r="I11" s="47" t="n">
        <v>46105</v>
      </c>
      <c r="J11" s="38" t="inlineStr"/>
      <c r="K11" s="52">
        <f>IF(B11="","",IF(_xlfn.MINIFS('JOBS'!$B$5:$B$1504,'JOBS'!$D$5:$D$1504,B11,'JOBS'!$O$5:$O$1504,"Completed")=0,"",_xlfn.MINIFS('JOBS'!$B$5:$B$1504,'JOBS'!$D$5:$D$1504,B11,'JOBS'!$O$5:$O$1504,"Completed")))</f>
        <v/>
      </c>
      <c r="L11" s="52">
        <f>IF(B11="","",IF(_xlfn.MAXIFS('JOBS'!$B$5:$B$1504,'JOBS'!$D$5:$D$1504,B11,'JOBS'!$O$5:$O$1504,"Completed")=0,"",_xlfn.MAXIFS('JOBS'!$B$5:$B$1504,'JOBS'!$D$5:$D$1504,B11,'JOBS'!$O$5:$O$1504,"Completed")))</f>
        <v/>
      </c>
      <c r="M11" s="53">
        <f>IF(B11="","",COUNTIFS('JOBS'!$D$5:$D$1504,B11,'JOBS'!$O$5:$O$1504,"Completed"))</f>
        <v/>
      </c>
      <c r="N11" s="54">
        <f>IF(B11="","",SUMIFS('JOBS'!$L$5:$L$1504,'JOBS'!$D$5:$D$1504,B11,'JOBS'!$O$5:$O$1504,"Completed"))</f>
        <v/>
      </c>
      <c r="O11" s="55">
        <f>IF(B11="","",SUMIFS('JOBS'!$U$5:$U$1504,'JOBS'!$D$5:$D$1504,B11))</f>
        <v/>
      </c>
      <c r="P11" s="49">
        <f>IF(B11="","",IF(COUNTIFS('RECURRING'!$B$5:$B$154,B11,'RECURRING'!$J$5:$J$154,"Active")&gt;0,"Yes","No"))</f>
        <v/>
      </c>
      <c r="Q11" s="50">
        <f>IF(L11="","",AsOf-L11)</f>
        <v/>
      </c>
      <c r="R11" s="49">
        <f>IF(B11="","",IF(H11="Do not service","—",IF(O11&gt;0.005,"Collect balance",IF(M11=0,"Book first job",IF(AND(P11="No",Q11&gt;=ReactDays),"Reactivate",IF(COUNTIF('REVIEWS'!$A$5:$A$504,B11)=0,"Ask for review",IF(AND(P11="No",M11&gt;=1),"Offer recurring plan","—")))))))</f>
        <v/>
      </c>
      <c r="S11" s="53">
        <f>IF(B11="","",COUNTIF('REFERRALS'!$B$5:$B$204,B11))</f>
        <v/>
      </c>
    </row>
    <row r="12">
      <c r="A12" s="46" t="inlineStr">
        <is>
          <t>C-008</t>
        </is>
      </c>
      <c r="B12" s="38" t="inlineStr">
        <is>
          <t>Dana Ivers</t>
        </is>
      </c>
      <c r="C12" s="38" t="inlineStr">
        <is>
          <t>555-0111</t>
        </is>
      </c>
      <c r="D12" s="38" t="inlineStr">
        <is>
          <t>dana.ivers@example.com</t>
        </is>
      </c>
      <c r="E12" s="38" t="inlineStr">
        <is>
          <t>Residential</t>
        </is>
      </c>
      <c r="F12" s="38" t="inlineStr">
        <is>
          <t>Google Business Profile</t>
        </is>
      </c>
      <c r="G12" s="38" t="inlineStr">
        <is>
          <t>Text</t>
        </is>
      </c>
      <c r="H12" s="38" t="inlineStr">
        <is>
          <t>Active</t>
        </is>
      </c>
      <c r="I12" s="47" t="n">
        <v>46147</v>
      </c>
      <c r="J12" s="38" t="inlineStr"/>
      <c r="K12" s="52">
        <f>IF(B12="","",IF(_xlfn.MINIFS('JOBS'!$B$5:$B$1504,'JOBS'!$D$5:$D$1504,B12,'JOBS'!$O$5:$O$1504,"Completed")=0,"",_xlfn.MINIFS('JOBS'!$B$5:$B$1504,'JOBS'!$D$5:$D$1504,B12,'JOBS'!$O$5:$O$1504,"Completed")))</f>
        <v/>
      </c>
      <c r="L12" s="52">
        <f>IF(B12="","",IF(_xlfn.MAXIFS('JOBS'!$B$5:$B$1504,'JOBS'!$D$5:$D$1504,B12,'JOBS'!$O$5:$O$1504,"Completed")=0,"",_xlfn.MAXIFS('JOBS'!$B$5:$B$1504,'JOBS'!$D$5:$D$1504,B12,'JOBS'!$O$5:$O$1504,"Completed")))</f>
        <v/>
      </c>
      <c r="M12" s="53">
        <f>IF(B12="","",COUNTIFS('JOBS'!$D$5:$D$1504,B12,'JOBS'!$O$5:$O$1504,"Completed"))</f>
        <v/>
      </c>
      <c r="N12" s="54">
        <f>IF(B12="","",SUMIFS('JOBS'!$L$5:$L$1504,'JOBS'!$D$5:$D$1504,B12,'JOBS'!$O$5:$O$1504,"Completed"))</f>
        <v/>
      </c>
      <c r="O12" s="55">
        <f>IF(B12="","",SUMIFS('JOBS'!$U$5:$U$1504,'JOBS'!$D$5:$D$1504,B12))</f>
        <v/>
      </c>
      <c r="P12" s="49">
        <f>IF(B12="","",IF(COUNTIFS('RECURRING'!$B$5:$B$154,B12,'RECURRING'!$J$5:$J$154,"Active")&gt;0,"Yes","No"))</f>
        <v/>
      </c>
      <c r="Q12" s="50">
        <f>IF(L12="","",AsOf-L12)</f>
        <v/>
      </c>
      <c r="R12" s="49">
        <f>IF(B12="","",IF(H12="Do not service","—",IF(O12&gt;0.005,"Collect balance",IF(M12=0,"Book first job",IF(AND(P12="No",Q12&gt;=ReactDays),"Reactivate",IF(COUNTIF('REVIEWS'!$A$5:$A$504,B12)=0,"Ask for review",IF(AND(P12="No",M12&gt;=1),"Offer recurring plan","—")))))))</f>
        <v/>
      </c>
      <c r="S12" s="53">
        <f>IF(B12="","",COUNTIF('REFERRALS'!$B$5:$B$204,B12))</f>
        <v/>
      </c>
    </row>
    <row r="13">
      <c r="A13" s="46" t="inlineStr">
        <is>
          <t>C-009</t>
        </is>
      </c>
      <c r="B13" s="38" t="inlineStr">
        <is>
          <t>Taylor Quigley</t>
        </is>
      </c>
      <c r="C13" s="38" t="inlineStr">
        <is>
          <t>555-0112</t>
        </is>
      </c>
      <c r="D13" s="38" t="inlineStr">
        <is>
          <t>taylor.quigley@example.com</t>
        </is>
      </c>
      <c r="E13" s="38" t="inlineStr">
        <is>
          <t>Residential</t>
        </is>
      </c>
      <c r="F13" s="38" t="inlineStr">
        <is>
          <t>Flyer / Door Hanger</t>
        </is>
      </c>
      <c r="G13" s="38" t="inlineStr">
        <is>
          <t>Text</t>
        </is>
      </c>
      <c r="H13" s="38" t="inlineStr">
        <is>
          <t>Active</t>
        </is>
      </c>
      <c r="I13" s="47" t="n">
        <v>46036</v>
      </c>
      <c r="J13" s="38" t="inlineStr"/>
      <c r="K13" s="52">
        <f>IF(B13="","",IF(_xlfn.MINIFS('JOBS'!$B$5:$B$1504,'JOBS'!$D$5:$D$1504,B13,'JOBS'!$O$5:$O$1504,"Completed")=0,"",_xlfn.MINIFS('JOBS'!$B$5:$B$1504,'JOBS'!$D$5:$D$1504,B13,'JOBS'!$O$5:$O$1504,"Completed")))</f>
        <v/>
      </c>
      <c r="L13" s="52">
        <f>IF(B13="","",IF(_xlfn.MAXIFS('JOBS'!$B$5:$B$1504,'JOBS'!$D$5:$D$1504,B13,'JOBS'!$O$5:$O$1504,"Completed")=0,"",_xlfn.MAXIFS('JOBS'!$B$5:$B$1504,'JOBS'!$D$5:$D$1504,B13,'JOBS'!$O$5:$O$1504,"Completed")))</f>
        <v/>
      </c>
      <c r="M13" s="53">
        <f>IF(B13="","",COUNTIFS('JOBS'!$D$5:$D$1504,B13,'JOBS'!$O$5:$O$1504,"Completed"))</f>
        <v/>
      </c>
      <c r="N13" s="54">
        <f>IF(B13="","",SUMIFS('JOBS'!$L$5:$L$1504,'JOBS'!$D$5:$D$1504,B13,'JOBS'!$O$5:$O$1504,"Completed"))</f>
        <v/>
      </c>
      <c r="O13" s="55">
        <f>IF(B13="","",SUMIFS('JOBS'!$U$5:$U$1504,'JOBS'!$D$5:$D$1504,B13))</f>
        <v/>
      </c>
      <c r="P13" s="49">
        <f>IF(B13="","",IF(COUNTIFS('RECURRING'!$B$5:$B$154,B13,'RECURRING'!$J$5:$J$154,"Active")&gt;0,"Yes","No"))</f>
        <v/>
      </c>
      <c r="Q13" s="50">
        <f>IF(L13="","",AsOf-L13)</f>
        <v/>
      </c>
      <c r="R13" s="49">
        <f>IF(B13="","",IF(H13="Do not service","—",IF(O13&gt;0.005,"Collect balance",IF(M13=0,"Book first job",IF(AND(P13="No",Q13&gt;=ReactDays),"Reactivate",IF(COUNTIF('REVIEWS'!$A$5:$A$504,B13)=0,"Ask for review",IF(AND(P13="No",M13&gt;=1),"Offer recurring plan","—")))))))</f>
        <v/>
      </c>
      <c r="S13" s="53">
        <f>IF(B13="","",COUNTIF('REFERRALS'!$B$5:$B$204,B13))</f>
        <v/>
      </c>
    </row>
    <row r="14">
      <c r="A14" s="46" t="inlineStr">
        <is>
          <t>C-010</t>
        </is>
      </c>
      <c r="B14" s="38" t="inlineStr">
        <is>
          <t>Lane Northcott</t>
        </is>
      </c>
      <c r="C14" s="38" t="inlineStr">
        <is>
          <t>555-0113</t>
        </is>
      </c>
      <c r="D14" s="38" t="inlineStr">
        <is>
          <t>lane.northcott@example.com</t>
        </is>
      </c>
      <c r="E14" s="38" t="inlineStr">
        <is>
          <t>Residential</t>
        </is>
      </c>
      <c r="F14" s="38" t="inlineStr">
        <is>
          <t>Google Business Profile</t>
        </is>
      </c>
      <c r="G14" s="38" t="inlineStr">
        <is>
          <t>Email</t>
        </is>
      </c>
      <c r="H14" s="38" t="inlineStr">
        <is>
          <t>Active</t>
        </is>
      </c>
      <c r="I14" s="47" t="n">
        <v>46030</v>
      </c>
      <c r="J14" s="38" t="inlineStr"/>
      <c r="K14" s="52">
        <f>IF(B14="","",IF(_xlfn.MINIFS('JOBS'!$B$5:$B$1504,'JOBS'!$D$5:$D$1504,B14,'JOBS'!$O$5:$O$1504,"Completed")=0,"",_xlfn.MINIFS('JOBS'!$B$5:$B$1504,'JOBS'!$D$5:$D$1504,B14,'JOBS'!$O$5:$O$1504,"Completed")))</f>
        <v/>
      </c>
      <c r="L14" s="52">
        <f>IF(B14="","",IF(_xlfn.MAXIFS('JOBS'!$B$5:$B$1504,'JOBS'!$D$5:$D$1504,B14,'JOBS'!$O$5:$O$1504,"Completed")=0,"",_xlfn.MAXIFS('JOBS'!$B$5:$B$1504,'JOBS'!$D$5:$D$1504,B14,'JOBS'!$O$5:$O$1504,"Completed")))</f>
        <v/>
      </c>
      <c r="M14" s="53">
        <f>IF(B14="","",COUNTIFS('JOBS'!$D$5:$D$1504,B14,'JOBS'!$O$5:$O$1504,"Completed"))</f>
        <v/>
      </c>
      <c r="N14" s="54">
        <f>IF(B14="","",SUMIFS('JOBS'!$L$5:$L$1504,'JOBS'!$D$5:$D$1504,B14,'JOBS'!$O$5:$O$1504,"Completed"))</f>
        <v/>
      </c>
      <c r="O14" s="55">
        <f>IF(B14="","",SUMIFS('JOBS'!$U$5:$U$1504,'JOBS'!$D$5:$D$1504,B14))</f>
        <v/>
      </c>
      <c r="P14" s="49">
        <f>IF(B14="","",IF(COUNTIFS('RECURRING'!$B$5:$B$154,B14,'RECURRING'!$J$5:$J$154,"Active")&gt;0,"Yes","No"))</f>
        <v/>
      </c>
      <c r="Q14" s="50">
        <f>IF(L14="","",AsOf-L14)</f>
        <v/>
      </c>
      <c r="R14" s="49">
        <f>IF(B14="","",IF(H14="Do not service","—",IF(O14&gt;0.005,"Collect balance",IF(M14=0,"Book first job",IF(AND(P14="No",Q14&gt;=ReactDays),"Reactivate",IF(COUNTIF('REVIEWS'!$A$5:$A$504,B14)=0,"Ask for review",IF(AND(P14="No",M14&gt;=1),"Offer recurring plan","—")))))))</f>
        <v/>
      </c>
      <c r="S14" s="53">
        <f>IF(B14="","",COUNTIF('REFERRALS'!$B$5:$B$204,B14))</f>
        <v/>
      </c>
    </row>
    <row r="15">
      <c r="A15" s="46" t="inlineStr">
        <is>
          <t>C-011</t>
        </is>
      </c>
      <c r="B15" s="38" t="inlineStr">
        <is>
          <t>Peyton Underhill</t>
        </is>
      </c>
      <c r="C15" s="38" t="inlineStr">
        <is>
          <t>555-0114</t>
        </is>
      </c>
      <c r="D15" s="38" t="inlineStr">
        <is>
          <t>peyton.underhill@example.com</t>
        </is>
      </c>
      <c r="E15" s="38" t="inlineStr">
        <is>
          <t>Residential</t>
        </is>
      </c>
      <c r="F15" s="38" t="inlineStr">
        <is>
          <t>Referral</t>
        </is>
      </c>
      <c r="G15" s="38" t="inlineStr">
        <is>
          <t>Call</t>
        </is>
      </c>
      <c r="H15" s="38" t="inlineStr">
        <is>
          <t>Active</t>
        </is>
      </c>
      <c r="I15" s="47" t="n">
        <v>46079</v>
      </c>
      <c r="J15" s="38" t="inlineStr"/>
      <c r="K15" s="52">
        <f>IF(B15="","",IF(_xlfn.MINIFS('JOBS'!$B$5:$B$1504,'JOBS'!$D$5:$D$1504,B15,'JOBS'!$O$5:$O$1504,"Completed")=0,"",_xlfn.MINIFS('JOBS'!$B$5:$B$1504,'JOBS'!$D$5:$D$1504,B15,'JOBS'!$O$5:$O$1504,"Completed")))</f>
        <v/>
      </c>
      <c r="L15" s="52">
        <f>IF(B15="","",IF(_xlfn.MAXIFS('JOBS'!$B$5:$B$1504,'JOBS'!$D$5:$D$1504,B15,'JOBS'!$O$5:$O$1504,"Completed")=0,"",_xlfn.MAXIFS('JOBS'!$B$5:$B$1504,'JOBS'!$D$5:$D$1504,B15,'JOBS'!$O$5:$O$1504,"Completed")))</f>
        <v/>
      </c>
      <c r="M15" s="53">
        <f>IF(B15="","",COUNTIFS('JOBS'!$D$5:$D$1504,B15,'JOBS'!$O$5:$O$1504,"Completed"))</f>
        <v/>
      </c>
      <c r="N15" s="54">
        <f>IF(B15="","",SUMIFS('JOBS'!$L$5:$L$1504,'JOBS'!$D$5:$D$1504,B15,'JOBS'!$O$5:$O$1504,"Completed"))</f>
        <v/>
      </c>
      <c r="O15" s="55">
        <f>IF(B15="","",SUMIFS('JOBS'!$U$5:$U$1504,'JOBS'!$D$5:$D$1504,B15))</f>
        <v/>
      </c>
      <c r="P15" s="49">
        <f>IF(B15="","",IF(COUNTIFS('RECURRING'!$B$5:$B$154,B15,'RECURRING'!$J$5:$J$154,"Active")&gt;0,"Yes","No"))</f>
        <v/>
      </c>
      <c r="Q15" s="50">
        <f>IF(L15="","",AsOf-L15)</f>
        <v/>
      </c>
      <c r="R15" s="49">
        <f>IF(B15="","",IF(H15="Do not service","—",IF(O15&gt;0.005,"Collect balance",IF(M15=0,"Book first job",IF(AND(P15="No",Q15&gt;=ReactDays),"Reactivate",IF(COUNTIF('REVIEWS'!$A$5:$A$504,B15)=0,"Ask for review",IF(AND(P15="No",M15&gt;=1),"Offer recurring plan","—")))))))</f>
        <v/>
      </c>
      <c r="S15" s="53">
        <f>IF(B15="","",COUNTIF('REFERRALS'!$B$5:$B$204,B15))</f>
        <v/>
      </c>
    </row>
    <row r="16">
      <c r="A16" s="46" t="inlineStr">
        <is>
          <t>C-012</t>
        </is>
      </c>
      <c r="B16" s="38" t="inlineStr">
        <is>
          <t>Rowan Merriweather</t>
        </is>
      </c>
      <c r="C16" s="38" t="inlineStr">
        <is>
          <t>555-0115</t>
        </is>
      </c>
      <c r="D16" s="38" t="inlineStr">
        <is>
          <t>rowan.merriweather@example.com</t>
        </is>
      </c>
      <c r="E16" s="38" t="inlineStr">
        <is>
          <t>Residential</t>
        </is>
      </c>
      <c r="F16" s="38" t="inlineStr">
        <is>
          <t>Nextdoor</t>
        </is>
      </c>
      <c r="G16" s="38" t="inlineStr">
        <is>
          <t>Text</t>
        </is>
      </c>
      <c r="H16" s="38" t="inlineStr">
        <is>
          <t>Active</t>
        </is>
      </c>
      <c r="I16" s="47" t="n">
        <v>46091</v>
      </c>
      <c r="J16" s="38" t="inlineStr"/>
      <c r="K16" s="52">
        <f>IF(B16="","",IF(_xlfn.MINIFS('JOBS'!$B$5:$B$1504,'JOBS'!$D$5:$D$1504,B16,'JOBS'!$O$5:$O$1504,"Completed")=0,"",_xlfn.MINIFS('JOBS'!$B$5:$B$1504,'JOBS'!$D$5:$D$1504,B16,'JOBS'!$O$5:$O$1504,"Completed")))</f>
        <v/>
      </c>
      <c r="L16" s="52">
        <f>IF(B16="","",IF(_xlfn.MAXIFS('JOBS'!$B$5:$B$1504,'JOBS'!$D$5:$D$1504,B16,'JOBS'!$O$5:$O$1504,"Completed")=0,"",_xlfn.MAXIFS('JOBS'!$B$5:$B$1504,'JOBS'!$D$5:$D$1504,B16,'JOBS'!$O$5:$O$1504,"Completed")))</f>
        <v/>
      </c>
      <c r="M16" s="53">
        <f>IF(B16="","",COUNTIFS('JOBS'!$D$5:$D$1504,B16,'JOBS'!$O$5:$O$1504,"Completed"))</f>
        <v/>
      </c>
      <c r="N16" s="54">
        <f>IF(B16="","",SUMIFS('JOBS'!$L$5:$L$1504,'JOBS'!$D$5:$D$1504,B16,'JOBS'!$O$5:$O$1504,"Completed"))</f>
        <v/>
      </c>
      <c r="O16" s="55">
        <f>IF(B16="","",SUMIFS('JOBS'!$U$5:$U$1504,'JOBS'!$D$5:$D$1504,B16))</f>
        <v/>
      </c>
      <c r="P16" s="49">
        <f>IF(B16="","",IF(COUNTIFS('RECURRING'!$B$5:$B$154,B16,'RECURRING'!$J$5:$J$154,"Active")&gt;0,"Yes","No"))</f>
        <v/>
      </c>
      <c r="Q16" s="50">
        <f>IF(L16="","",AsOf-L16)</f>
        <v/>
      </c>
      <c r="R16" s="49">
        <f>IF(B16="","",IF(H16="Do not service","—",IF(O16&gt;0.005,"Collect balance",IF(M16=0,"Book first job",IF(AND(P16="No",Q16&gt;=ReactDays),"Reactivate",IF(COUNTIF('REVIEWS'!$A$5:$A$504,B16)=0,"Ask for review",IF(AND(P16="No",M16&gt;=1),"Offer recurring plan","—")))))))</f>
        <v/>
      </c>
      <c r="S16" s="53">
        <f>IF(B16="","",COUNTIF('REFERRALS'!$B$5:$B$204,B16))</f>
        <v/>
      </c>
    </row>
    <row r="17">
      <c r="A17" s="46" t="inlineStr">
        <is>
          <t>C-013</t>
        </is>
      </c>
      <c r="B17" s="38" t="inlineStr">
        <is>
          <t>Harper Hayes</t>
        </is>
      </c>
      <c r="C17" s="38" t="inlineStr">
        <is>
          <t>555-0116</t>
        </is>
      </c>
      <c r="D17" s="38" t="inlineStr">
        <is>
          <t>harper.hayes@example.com</t>
        </is>
      </c>
      <c r="E17" s="38" t="inlineStr">
        <is>
          <t>Residential</t>
        </is>
      </c>
      <c r="F17" s="38" t="inlineStr">
        <is>
          <t>Referral</t>
        </is>
      </c>
      <c r="G17" s="38" t="inlineStr">
        <is>
          <t>Email</t>
        </is>
      </c>
      <c r="H17" s="38" t="inlineStr">
        <is>
          <t>Active</t>
        </is>
      </c>
      <c r="I17" s="47" t="n">
        <v>46264</v>
      </c>
      <c r="J17" s="38" t="inlineStr"/>
      <c r="K17" s="52">
        <f>IF(B17="","",IF(_xlfn.MINIFS('JOBS'!$B$5:$B$1504,'JOBS'!$D$5:$D$1504,B17,'JOBS'!$O$5:$O$1504,"Completed")=0,"",_xlfn.MINIFS('JOBS'!$B$5:$B$1504,'JOBS'!$D$5:$D$1504,B17,'JOBS'!$O$5:$O$1504,"Completed")))</f>
        <v/>
      </c>
      <c r="L17" s="52">
        <f>IF(B17="","",IF(_xlfn.MAXIFS('JOBS'!$B$5:$B$1504,'JOBS'!$D$5:$D$1504,B17,'JOBS'!$O$5:$O$1504,"Completed")=0,"",_xlfn.MAXIFS('JOBS'!$B$5:$B$1504,'JOBS'!$D$5:$D$1504,B17,'JOBS'!$O$5:$O$1504,"Completed")))</f>
        <v/>
      </c>
      <c r="M17" s="53">
        <f>IF(B17="","",COUNTIFS('JOBS'!$D$5:$D$1504,B17,'JOBS'!$O$5:$O$1504,"Completed"))</f>
        <v/>
      </c>
      <c r="N17" s="54">
        <f>IF(B17="","",SUMIFS('JOBS'!$L$5:$L$1504,'JOBS'!$D$5:$D$1504,B17,'JOBS'!$O$5:$O$1504,"Completed"))</f>
        <v/>
      </c>
      <c r="O17" s="55">
        <f>IF(B17="","",SUMIFS('JOBS'!$U$5:$U$1504,'JOBS'!$D$5:$D$1504,B17))</f>
        <v/>
      </c>
      <c r="P17" s="49">
        <f>IF(B17="","",IF(COUNTIFS('RECURRING'!$B$5:$B$154,B17,'RECURRING'!$J$5:$J$154,"Active")&gt;0,"Yes","No"))</f>
        <v/>
      </c>
      <c r="Q17" s="50">
        <f>IF(L17="","",AsOf-L17)</f>
        <v/>
      </c>
      <c r="R17" s="49">
        <f>IF(B17="","",IF(H17="Do not service","—",IF(O17&gt;0.005,"Collect balance",IF(M17=0,"Book first job",IF(AND(P17="No",Q17&gt;=ReactDays),"Reactivate",IF(COUNTIF('REVIEWS'!$A$5:$A$504,B17)=0,"Ask for review",IF(AND(P17="No",M17&gt;=1),"Offer recurring plan","—")))))))</f>
        <v/>
      </c>
      <c r="S17" s="53">
        <f>IF(B17="","",COUNTIF('REFERRALS'!$B$5:$B$204,B17))</f>
        <v/>
      </c>
    </row>
    <row r="18">
      <c r="A18" s="46" t="inlineStr">
        <is>
          <t>C-014</t>
        </is>
      </c>
      <c r="B18" s="38" t="inlineStr">
        <is>
          <t>Emerson Calloway</t>
        </is>
      </c>
      <c r="C18" s="38" t="inlineStr">
        <is>
          <t>555-0117</t>
        </is>
      </c>
      <c r="D18" s="38" t="inlineStr">
        <is>
          <t>emerson.calloway@example.com</t>
        </is>
      </c>
      <c r="E18" s="38" t="inlineStr">
        <is>
          <t>Residential</t>
        </is>
      </c>
      <c r="F18" s="38" t="inlineStr">
        <is>
          <t>Google Search</t>
        </is>
      </c>
      <c r="G18" s="38" t="inlineStr">
        <is>
          <t>Text</t>
        </is>
      </c>
      <c r="H18" s="38" t="inlineStr">
        <is>
          <t>Active</t>
        </is>
      </c>
      <c r="I18" s="47" t="n">
        <v>46244</v>
      </c>
      <c r="J18" s="38" t="inlineStr"/>
      <c r="K18" s="52">
        <f>IF(B18="","",IF(_xlfn.MINIFS('JOBS'!$B$5:$B$1504,'JOBS'!$D$5:$D$1504,B18,'JOBS'!$O$5:$O$1504,"Completed")=0,"",_xlfn.MINIFS('JOBS'!$B$5:$B$1504,'JOBS'!$D$5:$D$1504,B18,'JOBS'!$O$5:$O$1504,"Completed")))</f>
        <v/>
      </c>
      <c r="L18" s="52">
        <f>IF(B18="","",IF(_xlfn.MAXIFS('JOBS'!$B$5:$B$1504,'JOBS'!$D$5:$D$1504,B18,'JOBS'!$O$5:$O$1504,"Completed")=0,"",_xlfn.MAXIFS('JOBS'!$B$5:$B$1504,'JOBS'!$D$5:$D$1504,B18,'JOBS'!$O$5:$O$1504,"Completed")))</f>
        <v/>
      </c>
      <c r="M18" s="53">
        <f>IF(B18="","",COUNTIFS('JOBS'!$D$5:$D$1504,B18,'JOBS'!$O$5:$O$1504,"Completed"))</f>
        <v/>
      </c>
      <c r="N18" s="54">
        <f>IF(B18="","",SUMIFS('JOBS'!$L$5:$L$1504,'JOBS'!$D$5:$D$1504,B18,'JOBS'!$O$5:$O$1504,"Completed"))</f>
        <v/>
      </c>
      <c r="O18" s="55">
        <f>IF(B18="","",SUMIFS('JOBS'!$U$5:$U$1504,'JOBS'!$D$5:$D$1504,B18))</f>
        <v/>
      </c>
      <c r="P18" s="49">
        <f>IF(B18="","",IF(COUNTIFS('RECURRING'!$B$5:$B$154,B18,'RECURRING'!$J$5:$J$154,"Active")&gt;0,"Yes","No"))</f>
        <v/>
      </c>
      <c r="Q18" s="50">
        <f>IF(L18="","",AsOf-L18)</f>
        <v/>
      </c>
      <c r="R18" s="49">
        <f>IF(B18="","",IF(H18="Do not service","—",IF(O18&gt;0.005,"Collect balance",IF(M18=0,"Book first job",IF(AND(P18="No",Q18&gt;=ReactDays),"Reactivate",IF(COUNTIF('REVIEWS'!$A$5:$A$504,B18)=0,"Ask for review",IF(AND(P18="No",M18&gt;=1),"Offer recurring plan","—")))))))</f>
        <v/>
      </c>
      <c r="S18" s="53">
        <f>IF(B18="","",COUNTIF('REFERRALS'!$B$5:$B$204,B18))</f>
        <v/>
      </c>
    </row>
    <row r="19">
      <c r="A19" s="46" t="inlineStr">
        <is>
          <t>C-015</t>
        </is>
      </c>
      <c r="B19" s="38" t="inlineStr">
        <is>
          <t>Parker Pembrook</t>
        </is>
      </c>
      <c r="C19" s="38" t="inlineStr">
        <is>
          <t>555-0118</t>
        </is>
      </c>
      <c r="D19" s="38" t="inlineStr">
        <is>
          <t>parker.pembrook@example.com</t>
        </is>
      </c>
      <c r="E19" s="38" t="inlineStr">
        <is>
          <t>Residential</t>
        </is>
      </c>
      <c r="F19" s="38" t="inlineStr">
        <is>
          <t>Google Search</t>
        </is>
      </c>
      <c r="G19" s="38" t="inlineStr">
        <is>
          <t>Text</t>
        </is>
      </c>
      <c r="H19" s="38" t="inlineStr">
        <is>
          <t>Active</t>
        </is>
      </c>
      <c r="I19" s="47" t="n">
        <v>46134</v>
      </c>
      <c r="J19" s="38" t="inlineStr"/>
      <c r="K19" s="52">
        <f>IF(B19="","",IF(_xlfn.MINIFS('JOBS'!$B$5:$B$1504,'JOBS'!$D$5:$D$1504,B19,'JOBS'!$O$5:$O$1504,"Completed")=0,"",_xlfn.MINIFS('JOBS'!$B$5:$B$1504,'JOBS'!$D$5:$D$1504,B19,'JOBS'!$O$5:$O$1504,"Completed")))</f>
        <v/>
      </c>
      <c r="L19" s="52">
        <f>IF(B19="","",IF(_xlfn.MAXIFS('JOBS'!$B$5:$B$1504,'JOBS'!$D$5:$D$1504,B19,'JOBS'!$O$5:$O$1504,"Completed")=0,"",_xlfn.MAXIFS('JOBS'!$B$5:$B$1504,'JOBS'!$D$5:$D$1504,B19,'JOBS'!$O$5:$O$1504,"Completed")))</f>
        <v/>
      </c>
      <c r="M19" s="53">
        <f>IF(B19="","",COUNTIFS('JOBS'!$D$5:$D$1504,B19,'JOBS'!$O$5:$O$1504,"Completed"))</f>
        <v/>
      </c>
      <c r="N19" s="54">
        <f>IF(B19="","",SUMIFS('JOBS'!$L$5:$L$1504,'JOBS'!$D$5:$D$1504,B19,'JOBS'!$O$5:$O$1504,"Completed"))</f>
        <v/>
      </c>
      <c r="O19" s="55">
        <f>IF(B19="","",SUMIFS('JOBS'!$U$5:$U$1504,'JOBS'!$D$5:$D$1504,B19))</f>
        <v/>
      </c>
      <c r="P19" s="49">
        <f>IF(B19="","",IF(COUNTIFS('RECURRING'!$B$5:$B$154,B19,'RECURRING'!$J$5:$J$154,"Active")&gt;0,"Yes","No"))</f>
        <v/>
      </c>
      <c r="Q19" s="50">
        <f>IF(L19="","",AsOf-L19)</f>
        <v/>
      </c>
      <c r="R19" s="49">
        <f>IF(B19="","",IF(H19="Do not service","—",IF(O19&gt;0.005,"Collect balance",IF(M19=0,"Book first job",IF(AND(P19="No",Q19&gt;=ReactDays),"Reactivate",IF(COUNTIF('REVIEWS'!$A$5:$A$504,B19)=0,"Ask for review",IF(AND(P19="No",M19&gt;=1),"Offer recurring plan","—")))))))</f>
        <v/>
      </c>
      <c r="S19" s="53">
        <f>IF(B19="","",COUNTIF('REFERRALS'!$B$5:$B$204,B19))</f>
        <v/>
      </c>
    </row>
    <row r="20">
      <c r="A20" s="46" t="inlineStr">
        <is>
          <t>C-016</t>
        </is>
      </c>
      <c r="B20" s="38" t="inlineStr">
        <is>
          <t>Blake Dunmore</t>
        </is>
      </c>
      <c r="C20" s="38" t="inlineStr">
        <is>
          <t>555-0119</t>
        </is>
      </c>
      <c r="D20" s="38" t="inlineStr">
        <is>
          <t>blake.dunmore@example.com</t>
        </is>
      </c>
      <c r="E20" s="38" t="inlineStr">
        <is>
          <t>Residential</t>
        </is>
      </c>
      <c r="F20" s="38" t="inlineStr">
        <is>
          <t>Instagram</t>
        </is>
      </c>
      <c r="G20" s="38" t="inlineStr">
        <is>
          <t>Email</t>
        </is>
      </c>
      <c r="H20" s="38" t="inlineStr">
        <is>
          <t>Active</t>
        </is>
      </c>
      <c r="I20" s="47" t="n">
        <v>46159</v>
      </c>
      <c r="J20" s="38" t="inlineStr"/>
      <c r="K20" s="52">
        <f>IF(B20="","",IF(_xlfn.MINIFS('JOBS'!$B$5:$B$1504,'JOBS'!$D$5:$D$1504,B20,'JOBS'!$O$5:$O$1504,"Completed")=0,"",_xlfn.MINIFS('JOBS'!$B$5:$B$1504,'JOBS'!$D$5:$D$1504,B20,'JOBS'!$O$5:$O$1504,"Completed")))</f>
        <v/>
      </c>
      <c r="L20" s="52">
        <f>IF(B20="","",IF(_xlfn.MAXIFS('JOBS'!$B$5:$B$1504,'JOBS'!$D$5:$D$1504,B20,'JOBS'!$O$5:$O$1504,"Completed")=0,"",_xlfn.MAXIFS('JOBS'!$B$5:$B$1504,'JOBS'!$D$5:$D$1504,B20,'JOBS'!$O$5:$O$1504,"Completed")))</f>
        <v/>
      </c>
      <c r="M20" s="53">
        <f>IF(B20="","",COUNTIFS('JOBS'!$D$5:$D$1504,B20,'JOBS'!$O$5:$O$1504,"Completed"))</f>
        <v/>
      </c>
      <c r="N20" s="54">
        <f>IF(B20="","",SUMIFS('JOBS'!$L$5:$L$1504,'JOBS'!$D$5:$D$1504,B20,'JOBS'!$O$5:$O$1504,"Completed"))</f>
        <v/>
      </c>
      <c r="O20" s="55">
        <f>IF(B20="","",SUMIFS('JOBS'!$U$5:$U$1504,'JOBS'!$D$5:$D$1504,B20))</f>
        <v/>
      </c>
      <c r="P20" s="49">
        <f>IF(B20="","",IF(COUNTIFS('RECURRING'!$B$5:$B$154,B20,'RECURRING'!$J$5:$J$154,"Active")&gt;0,"Yes","No"))</f>
        <v/>
      </c>
      <c r="Q20" s="50">
        <f>IF(L20="","",AsOf-L20)</f>
        <v/>
      </c>
      <c r="R20" s="49">
        <f>IF(B20="","",IF(H20="Do not service","—",IF(O20&gt;0.005,"Collect balance",IF(M20=0,"Book first job",IF(AND(P20="No",Q20&gt;=ReactDays),"Reactivate",IF(COUNTIF('REVIEWS'!$A$5:$A$504,B20)=0,"Ask for review",IF(AND(P20="No",M20&gt;=1),"Offer recurring plan","—")))))))</f>
        <v/>
      </c>
      <c r="S20" s="53">
        <f>IF(B20="","",COUNTIF('REFERRALS'!$B$5:$B$204,B20))</f>
        <v/>
      </c>
    </row>
    <row r="21">
      <c r="A21" s="46" t="inlineStr">
        <is>
          <t>C-017</t>
        </is>
      </c>
      <c r="B21" s="38" t="inlineStr">
        <is>
          <t>Kendall Sutton</t>
        </is>
      </c>
      <c r="C21" s="38" t="inlineStr">
        <is>
          <t>555-0120</t>
        </is>
      </c>
      <c r="D21" s="38" t="inlineStr">
        <is>
          <t>kendall.sutton@example.com</t>
        </is>
      </c>
      <c r="E21" s="38" t="inlineStr">
        <is>
          <t>Residential</t>
        </is>
      </c>
      <c r="F21" s="38" t="inlineStr">
        <is>
          <t>Google Business Profile</t>
        </is>
      </c>
      <c r="G21" s="38" t="inlineStr">
        <is>
          <t>Email</t>
        </is>
      </c>
      <c r="H21" s="38" t="inlineStr">
        <is>
          <t>Active</t>
        </is>
      </c>
      <c r="I21" s="47" t="n">
        <v>46228</v>
      </c>
      <c r="J21" s="38" t="inlineStr"/>
      <c r="K21" s="52">
        <f>IF(B21="","",IF(_xlfn.MINIFS('JOBS'!$B$5:$B$1504,'JOBS'!$D$5:$D$1504,B21,'JOBS'!$O$5:$O$1504,"Completed")=0,"",_xlfn.MINIFS('JOBS'!$B$5:$B$1504,'JOBS'!$D$5:$D$1504,B21,'JOBS'!$O$5:$O$1504,"Completed")))</f>
        <v/>
      </c>
      <c r="L21" s="52">
        <f>IF(B21="","",IF(_xlfn.MAXIFS('JOBS'!$B$5:$B$1504,'JOBS'!$D$5:$D$1504,B21,'JOBS'!$O$5:$O$1504,"Completed")=0,"",_xlfn.MAXIFS('JOBS'!$B$5:$B$1504,'JOBS'!$D$5:$D$1504,B21,'JOBS'!$O$5:$O$1504,"Completed")))</f>
        <v/>
      </c>
      <c r="M21" s="53">
        <f>IF(B21="","",COUNTIFS('JOBS'!$D$5:$D$1504,B21,'JOBS'!$O$5:$O$1504,"Completed"))</f>
        <v/>
      </c>
      <c r="N21" s="54">
        <f>IF(B21="","",SUMIFS('JOBS'!$L$5:$L$1504,'JOBS'!$D$5:$D$1504,B21,'JOBS'!$O$5:$O$1504,"Completed"))</f>
        <v/>
      </c>
      <c r="O21" s="55">
        <f>IF(B21="","",SUMIFS('JOBS'!$U$5:$U$1504,'JOBS'!$D$5:$D$1504,B21))</f>
        <v/>
      </c>
      <c r="P21" s="49">
        <f>IF(B21="","",IF(COUNTIFS('RECURRING'!$B$5:$B$154,B21,'RECURRING'!$J$5:$J$154,"Active")&gt;0,"Yes","No"))</f>
        <v/>
      </c>
      <c r="Q21" s="50">
        <f>IF(L21="","",AsOf-L21)</f>
        <v/>
      </c>
      <c r="R21" s="49">
        <f>IF(B21="","",IF(H21="Do not service","—",IF(O21&gt;0.005,"Collect balance",IF(M21=0,"Book first job",IF(AND(P21="No",Q21&gt;=ReactDays),"Reactivate",IF(COUNTIF('REVIEWS'!$A$5:$A$504,B21)=0,"Ask for review",IF(AND(P21="No",M21&gt;=1),"Offer recurring plan","—")))))))</f>
        <v/>
      </c>
      <c r="S21" s="53">
        <f>IF(B21="","",COUNTIF('REFERRALS'!$B$5:$B$204,B21))</f>
        <v/>
      </c>
    </row>
    <row r="22">
      <c r="A22" s="46" t="inlineStr">
        <is>
          <t>C-018</t>
        </is>
      </c>
      <c r="B22" s="38" t="inlineStr">
        <is>
          <t>Drew Bennett</t>
        </is>
      </c>
      <c r="C22" s="38" t="inlineStr">
        <is>
          <t>555-0121</t>
        </is>
      </c>
      <c r="D22" s="38" t="inlineStr">
        <is>
          <t>drew.bennett@example.com</t>
        </is>
      </c>
      <c r="E22" s="38" t="inlineStr">
        <is>
          <t>Residential</t>
        </is>
      </c>
      <c r="F22" s="38" t="inlineStr">
        <is>
          <t>Website Form</t>
        </is>
      </c>
      <c r="G22" s="38" t="inlineStr">
        <is>
          <t>Text</t>
        </is>
      </c>
      <c r="H22" s="38" t="inlineStr">
        <is>
          <t>Active</t>
        </is>
      </c>
      <c r="I22" s="47" t="n">
        <v>46211</v>
      </c>
      <c r="J22" s="38" t="inlineStr"/>
      <c r="K22" s="52">
        <f>IF(B22="","",IF(_xlfn.MINIFS('JOBS'!$B$5:$B$1504,'JOBS'!$D$5:$D$1504,B22,'JOBS'!$O$5:$O$1504,"Completed")=0,"",_xlfn.MINIFS('JOBS'!$B$5:$B$1504,'JOBS'!$D$5:$D$1504,B22,'JOBS'!$O$5:$O$1504,"Completed")))</f>
        <v/>
      </c>
      <c r="L22" s="52">
        <f>IF(B22="","",IF(_xlfn.MAXIFS('JOBS'!$B$5:$B$1504,'JOBS'!$D$5:$D$1504,B22,'JOBS'!$O$5:$O$1504,"Completed")=0,"",_xlfn.MAXIFS('JOBS'!$B$5:$B$1504,'JOBS'!$D$5:$D$1504,B22,'JOBS'!$O$5:$O$1504,"Completed")))</f>
        <v/>
      </c>
      <c r="M22" s="53">
        <f>IF(B22="","",COUNTIFS('JOBS'!$D$5:$D$1504,B22,'JOBS'!$O$5:$O$1504,"Completed"))</f>
        <v/>
      </c>
      <c r="N22" s="54">
        <f>IF(B22="","",SUMIFS('JOBS'!$L$5:$L$1504,'JOBS'!$D$5:$D$1504,B22,'JOBS'!$O$5:$O$1504,"Completed"))</f>
        <v/>
      </c>
      <c r="O22" s="55">
        <f>IF(B22="","",SUMIFS('JOBS'!$U$5:$U$1504,'JOBS'!$D$5:$D$1504,B22))</f>
        <v/>
      </c>
      <c r="P22" s="49">
        <f>IF(B22="","",IF(COUNTIFS('RECURRING'!$B$5:$B$154,B22,'RECURRING'!$J$5:$J$154,"Active")&gt;0,"Yes","No"))</f>
        <v/>
      </c>
      <c r="Q22" s="50">
        <f>IF(L22="","",AsOf-L22)</f>
        <v/>
      </c>
      <c r="R22" s="49">
        <f>IF(B22="","",IF(H22="Do not service","—",IF(O22&gt;0.005,"Collect balance",IF(M22=0,"Book first job",IF(AND(P22="No",Q22&gt;=ReactDays),"Reactivate",IF(COUNTIF('REVIEWS'!$A$5:$A$504,B22)=0,"Ask for review",IF(AND(P22="No",M22&gt;=1),"Offer recurring plan","—")))))))</f>
        <v/>
      </c>
      <c r="S22" s="53">
        <f>IF(B22="","",COUNTIF('REFERRALS'!$B$5:$B$204,B22))</f>
        <v/>
      </c>
    </row>
    <row r="23">
      <c r="A23" s="46" t="inlineStr">
        <is>
          <t>C-019</t>
        </is>
      </c>
      <c r="B23" s="38" t="inlineStr">
        <is>
          <t>Skyler Yardley</t>
        </is>
      </c>
      <c r="C23" s="38" t="inlineStr">
        <is>
          <t>555-0122</t>
        </is>
      </c>
      <c r="D23" s="38" t="inlineStr">
        <is>
          <t>skyler.yardley@example.com</t>
        </is>
      </c>
      <c r="E23" s="38" t="inlineStr">
        <is>
          <t>Residential</t>
        </is>
      </c>
      <c r="F23" s="38" t="inlineStr">
        <is>
          <t>Nextdoor</t>
        </is>
      </c>
      <c r="G23" s="38" t="inlineStr">
        <is>
          <t>Call</t>
        </is>
      </c>
      <c r="H23" s="38" t="inlineStr">
        <is>
          <t>Active</t>
        </is>
      </c>
      <c r="I23" s="47" t="n">
        <v>46117</v>
      </c>
      <c r="J23" s="38" t="inlineStr"/>
      <c r="K23" s="52">
        <f>IF(B23="","",IF(_xlfn.MINIFS('JOBS'!$B$5:$B$1504,'JOBS'!$D$5:$D$1504,B23,'JOBS'!$O$5:$O$1504,"Completed")=0,"",_xlfn.MINIFS('JOBS'!$B$5:$B$1504,'JOBS'!$D$5:$D$1504,B23,'JOBS'!$O$5:$O$1504,"Completed")))</f>
        <v/>
      </c>
      <c r="L23" s="52">
        <f>IF(B23="","",IF(_xlfn.MAXIFS('JOBS'!$B$5:$B$1504,'JOBS'!$D$5:$D$1504,B23,'JOBS'!$O$5:$O$1504,"Completed")=0,"",_xlfn.MAXIFS('JOBS'!$B$5:$B$1504,'JOBS'!$D$5:$D$1504,B23,'JOBS'!$O$5:$O$1504,"Completed")))</f>
        <v/>
      </c>
      <c r="M23" s="53">
        <f>IF(B23="","",COUNTIFS('JOBS'!$D$5:$D$1504,B23,'JOBS'!$O$5:$O$1504,"Completed"))</f>
        <v/>
      </c>
      <c r="N23" s="54">
        <f>IF(B23="","",SUMIFS('JOBS'!$L$5:$L$1504,'JOBS'!$D$5:$D$1504,B23,'JOBS'!$O$5:$O$1504,"Completed"))</f>
        <v/>
      </c>
      <c r="O23" s="55">
        <f>IF(B23="","",SUMIFS('JOBS'!$U$5:$U$1504,'JOBS'!$D$5:$D$1504,B23))</f>
        <v/>
      </c>
      <c r="P23" s="49">
        <f>IF(B23="","",IF(COUNTIFS('RECURRING'!$B$5:$B$154,B23,'RECURRING'!$J$5:$J$154,"Active")&gt;0,"Yes","No"))</f>
        <v/>
      </c>
      <c r="Q23" s="50">
        <f>IF(L23="","",AsOf-L23)</f>
        <v/>
      </c>
      <c r="R23" s="49">
        <f>IF(B23="","",IF(H23="Do not service","—",IF(O23&gt;0.005,"Collect balance",IF(M23=0,"Book first job",IF(AND(P23="No",Q23&gt;=ReactDays),"Reactivate",IF(COUNTIF('REVIEWS'!$A$5:$A$504,B23)=0,"Ask for review",IF(AND(P23="No",M23&gt;=1),"Offer recurring plan","—")))))))</f>
        <v/>
      </c>
      <c r="S23" s="53">
        <f>IF(B23="","",COUNTIF('REFERRALS'!$B$5:$B$204,B23))</f>
        <v/>
      </c>
    </row>
    <row r="24">
      <c r="A24" s="46" t="inlineStr">
        <is>
          <t>C-020</t>
        </is>
      </c>
      <c r="B24" s="38" t="inlineStr">
        <is>
          <t>Wren Porter</t>
        </is>
      </c>
      <c r="C24" s="38" t="inlineStr">
        <is>
          <t>555-0123</t>
        </is>
      </c>
      <c r="D24" s="38" t="inlineStr">
        <is>
          <t>wren.porter@example.com</t>
        </is>
      </c>
      <c r="E24" s="38" t="inlineStr">
        <is>
          <t>Residential</t>
        </is>
      </c>
      <c r="F24" s="38" t="inlineStr">
        <is>
          <t>Referral</t>
        </is>
      </c>
      <c r="G24" s="38" t="inlineStr">
        <is>
          <t>Text</t>
        </is>
      </c>
      <c r="H24" s="38" t="inlineStr">
        <is>
          <t>Active</t>
        </is>
      </c>
      <c r="I24" s="47" t="n">
        <v>46050</v>
      </c>
      <c r="J24" s="38" t="inlineStr"/>
      <c r="K24" s="52">
        <f>IF(B24="","",IF(_xlfn.MINIFS('JOBS'!$B$5:$B$1504,'JOBS'!$D$5:$D$1504,B24,'JOBS'!$O$5:$O$1504,"Completed")=0,"",_xlfn.MINIFS('JOBS'!$B$5:$B$1504,'JOBS'!$D$5:$D$1504,B24,'JOBS'!$O$5:$O$1504,"Completed")))</f>
        <v/>
      </c>
      <c r="L24" s="52">
        <f>IF(B24="","",IF(_xlfn.MAXIFS('JOBS'!$B$5:$B$1504,'JOBS'!$D$5:$D$1504,B24,'JOBS'!$O$5:$O$1504,"Completed")=0,"",_xlfn.MAXIFS('JOBS'!$B$5:$B$1504,'JOBS'!$D$5:$D$1504,B24,'JOBS'!$O$5:$O$1504,"Completed")))</f>
        <v/>
      </c>
      <c r="M24" s="53">
        <f>IF(B24="","",COUNTIFS('JOBS'!$D$5:$D$1504,B24,'JOBS'!$O$5:$O$1504,"Completed"))</f>
        <v/>
      </c>
      <c r="N24" s="54">
        <f>IF(B24="","",SUMIFS('JOBS'!$L$5:$L$1504,'JOBS'!$D$5:$D$1504,B24,'JOBS'!$O$5:$O$1504,"Completed"))</f>
        <v/>
      </c>
      <c r="O24" s="55">
        <f>IF(B24="","",SUMIFS('JOBS'!$U$5:$U$1504,'JOBS'!$D$5:$D$1504,B24))</f>
        <v/>
      </c>
      <c r="P24" s="49">
        <f>IF(B24="","",IF(COUNTIFS('RECURRING'!$B$5:$B$154,B24,'RECURRING'!$J$5:$J$154,"Active")&gt;0,"Yes","No"))</f>
        <v/>
      </c>
      <c r="Q24" s="50">
        <f>IF(L24="","",AsOf-L24)</f>
        <v/>
      </c>
      <c r="R24" s="49">
        <f>IF(B24="","",IF(H24="Do not service","—",IF(O24&gt;0.005,"Collect balance",IF(M24=0,"Book first job",IF(AND(P24="No",Q24&gt;=ReactDays),"Reactivate",IF(COUNTIF('REVIEWS'!$A$5:$A$504,B24)=0,"Ask for review",IF(AND(P24="No",M24&gt;=1),"Offer recurring plan","—")))))))</f>
        <v/>
      </c>
      <c r="S24" s="53">
        <f>IF(B24="","",COUNTIF('REFERRALS'!$B$5:$B$204,B24))</f>
        <v/>
      </c>
    </row>
    <row r="25">
      <c r="A25" s="46" t="inlineStr">
        <is>
          <t>C-021</t>
        </is>
      </c>
      <c r="B25" s="38" t="inlineStr">
        <is>
          <t>Wren Delgado</t>
        </is>
      </c>
      <c r="C25" s="38" t="inlineStr">
        <is>
          <t>555-0124</t>
        </is>
      </c>
      <c r="D25" s="38" t="inlineStr">
        <is>
          <t>wren.delgado@example.com</t>
        </is>
      </c>
      <c r="E25" s="38" t="inlineStr">
        <is>
          <t>Residential</t>
        </is>
      </c>
      <c r="F25" s="38" t="inlineStr">
        <is>
          <t>Nextdoor</t>
        </is>
      </c>
      <c r="G25" s="38" t="inlineStr">
        <is>
          <t>Text</t>
        </is>
      </c>
      <c r="H25" s="38" t="inlineStr">
        <is>
          <t>Active</t>
        </is>
      </c>
      <c r="I25" s="47" t="n">
        <v>46181</v>
      </c>
      <c r="J25" s="38" t="inlineStr">
        <is>
          <t>Moved? Try a reactivation message</t>
        </is>
      </c>
      <c r="K25" s="52">
        <f>IF(B25="","",IF(_xlfn.MINIFS('JOBS'!$B$5:$B$1504,'JOBS'!$D$5:$D$1504,B25,'JOBS'!$O$5:$O$1504,"Completed")=0,"",_xlfn.MINIFS('JOBS'!$B$5:$B$1504,'JOBS'!$D$5:$D$1504,B25,'JOBS'!$O$5:$O$1504,"Completed")))</f>
        <v/>
      </c>
      <c r="L25" s="52">
        <f>IF(B25="","",IF(_xlfn.MAXIFS('JOBS'!$B$5:$B$1504,'JOBS'!$D$5:$D$1504,B25,'JOBS'!$O$5:$O$1504,"Completed")=0,"",_xlfn.MAXIFS('JOBS'!$B$5:$B$1504,'JOBS'!$D$5:$D$1504,B25,'JOBS'!$O$5:$O$1504,"Completed")))</f>
        <v/>
      </c>
      <c r="M25" s="53">
        <f>IF(B25="","",COUNTIFS('JOBS'!$D$5:$D$1504,B25,'JOBS'!$O$5:$O$1504,"Completed"))</f>
        <v/>
      </c>
      <c r="N25" s="54">
        <f>IF(B25="","",SUMIFS('JOBS'!$L$5:$L$1504,'JOBS'!$D$5:$D$1504,B25,'JOBS'!$O$5:$O$1504,"Completed"))</f>
        <v/>
      </c>
      <c r="O25" s="55">
        <f>IF(B25="","",SUMIFS('JOBS'!$U$5:$U$1504,'JOBS'!$D$5:$D$1504,B25))</f>
        <v/>
      </c>
      <c r="P25" s="49">
        <f>IF(B25="","",IF(COUNTIFS('RECURRING'!$B$5:$B$154,B25,'RECURRING'!$J$5:$J$154,"Active")&gt;0,"Yes","No"))</f>
        <v/>
      </c>
      <c r="Q25" s="50">
        <f>IF(L25="","",AsOf-L25)</f>
        <v/>
      </c>
      <c r="R25" s="49">
        <f>IF(B25="","",IF(H25="Do not service","—",IF(O25&gt;0.005,"Collect balance",IF(M25=0,"Book first job",IF(AND(P25="No",Q25&gt;=ReactDays),"Reactivate",IF(COUNTIF('REVIEWS'!$A$5:$A$504,B25)=0,"Ask for review",IF(AND(P25="No",M25&gt;=1),"Offer recurring plan","—")))))))</f>
        <v/>
      </c>
      <c r="S25" s="53">
        <f>IF(B25="","",COUNTIF('REFERRALS'!$B$5:$B$204,B25))</f>
        <v/>
      </c>
    </row>
    <row r="26">
      <c r="A26" s="46" t="inlineStr">
        <is>
          <t>C-022</t>
        </is>
      </c>
      <c r="B26" s="38" t="inlineStr">
        <is>
          <t>Quinn Ashworth</t>
        </is>
      </c>
      <c r="C26" s="38" t="inlineStr">
        <is>
          <t>555-0125</t>
        </is>
      </c>
      <c r="D26" s="38" t="inlineStr">
        <is>
          <t>quinn.ashworth@example.com</t>
        </is>
      </c>
      <c r="E26" s="38" t="inlineStr">
        <is>
          <t>Residential</t>
        </is>
      </c>
      <c r="F26" s="38" t="inlineStr">
        <is>
          <t>Website Form</t>
        </is>
      </c>
      <c r="G26" s="38" t="inlineStr">
        <is>
          <t>Text</t>
        </is>
      </c>
      <c r="H26" s="38" t="inlineStr">
        <is>
          <t>Active</t>
        </is>
      </c>
      <c r="I26" s="47" t="n">
        <v>46221</v>
      </c>
      <c r="J26" s="38" t="inlineStr"/>
      <c r="K26" s="52">
        <f>IF(B26="","",IF(_xlfn.MINIFS('JOBS'!$B$5:$B$1504,'JOBS'!$D$5:$D$1504,B26,'JOBS'!$O$5:$O$1504,"Completed")=0,"",_xlfn.MINIFS('JOBS'!$B$5:$B$1504,'JOBS'!$D$5:$D$1504,B26,'JOBS'!$O$5:$O$1504,"Completed")))</f>
        <v/>
      </c>
      <c r="L26" s="52">
        <f>IF(B26="","",IF(_xlfn.MAXIFS('JOBS'!$B$5:$B$1504,'JOBS'!$D$5:$D$1504,B26,'JOBS'!$O$5:$O$1504,"Completed")=0,"",_xlfn.MAXIFS('JOBS'!$B$5:$B$1504,'JOBS'!$D$5:$D$1504,B26,'JOBS'!$O$5:$O$1504,"Completed")))</f>
        <v/>
      </c>
      <c r="M26" s="53">
        <f>IF(B26="","",COUNTIFS('JOBS'!$D$5:$D$1504,B26,'JOBS'!$O$5:$O$1504,"Completed"))</f>
        <v/>
      </c>
      <c r="N26" s="54">
        <f>IF(B26="","",SUMIFS('JOBS'!$L$5:$L$1504,'JOBS'!$D$5:$D$1504,B26,'JOBS'!$O$5:$O$1504,"Completed"))</f>
        <v/>
      </c>
      <c r="O26" s="55">
        <f>IF(B26="","",SUMIFS('JOBS'!$U$5:$U$1504,'JOBS'!$D$5:$D$1504,B26))</f>
        <v/>
      </c>
      <c r="P26" s="49">
        <f>IF(B26="","",IF(COUNTIFS('RECURRING'!$B$5:$B$154,B26,'RECURRING'!$J$5:$J$154,"Active")&gt;0,"Yes","No"))</f>
        <v/>
      </c>
      <c r="Q26" s="50">
        <f>IF(L26="","",AsOf-L26)</f>
        <v/>
      </c>
      <c r="R26" s="49">
        <f>IF(B26="","",IF(H26="Do not service","—",IF(O26&gt;0.005,"Collect balance",IF(M26=0,"Book first job",IF(AND(P26="No",Q26&gt;=ReactDays),"Reactivate",IF(COUNTIF('REVIEWS'!$A$5:$A$504,B26)=0,"Ask for review",IF(AND(P26="No",M26&gt;=1),"Offer recurring plan","—")))))))</f>
        <v/>
      </c>
      <c r="S26" s="53">
        <f>IF(B26="","",COUNTIF('REFERRALS'!$B$5:$B$204,B26))</f>
        <v/>
      </c>
    </row>
    <row r="27">
      <c r="A27" s="46" t="inlineStr">
        <is>
          <t>C-023</t>
        </is>
      </c>
      <c r="B27" s="38" t="inlineStr">
        <is>
          <t>Brightside Dental Studio (sample)</t>
        </is>
      </c>
      <c r="C27" s="38" t="inlineStr">
        <is>
          <t>555-0126</t>
        </is>
      </c>
      <c r="D27" s="38" t="inlineStr">
        <is>
          <t>brightside.dental.studio.(sample)@example.com</t>
        </is>
      </c>
      <c r="E27" s="38" t="inlineStr">
        <is>
          <t>Commercial</t>
        </is>
      </c>
      <c r="F27" s="38" t="inlineStr">
        <is>
          <t>Referral</t>
        </is>
      </c>
      <c r="G27" s="38" t="inlineStr">
        <is>
          <t>Email</t>
        </is>
      </c>
      <c r="H27" s="38" t="inlineStr">
        <is>
          <t>Active</t>
        </is>
      </c>
      <c r="I27" s="47" t="n">
        <v>46049</v>
      </c>
      <c r="J27" s="38" t="inlineStr"/>
      <c r="K27" s="52">
        <f>IF(B27="","",IF(_xlfn.MINIFS('JOBS'!$B$5:$B$1504,'JOBS'!$D$5:$D$1504,B27,'JOBS'!$O$5:$O$1504,"Completed")=0,"",_xlfn.MINIFS('JOBS'!$B$5:$B$1504,'JOBS'!$D$5:$D$1504,B27,'JOBS'!$O$5:$O$1504,"Completed")))</f>
        <v/>
      </c>
      <c r="L27" s="52">
        <f>IF(B27="","",IF(_xlfn.MAXIFS('JOBS'!$B$5:$B$1504,'JOBS'!$D$5:$D$1504,B27,'JOBS'!$O$5:$O$1504,"Completed")=0,"",_xlfn.MAXIFS('JOBS'!$B$5:$B$1504,'JOBS'!$D$5:$D$1504,B27,'JOBS'!$O$5:$O$1504,"Completed")))</f>
        <v/>
      </c>
      <c r="M27" s="53">
        <f>IF(B27="","",COUNTIFS('JOBS'!$D$5:$D$1504,B27,'JOBS'!$O$5:$O$1504,"Completed"))</f>
        <v/>
      </c>
      <c r="N27" s="54">
        <f>IF(B27="","",SUMIFS('JOBS'!$L$5:$L$1504,'JOBS'!$D$5:$D$1504,B27,'JOBS'!$O$5:$O$1504,"Completed"))</f>
        <v/>
      </c>
      <c r="O27" s="55">
        <f>IF(B27="","",SUMIFS('JOBS'!$U$5:$U$1504,'JOBS'!$D$5:$D$1504,B27))</f>
        <v/>
      </c>
      <c r="P27" s="49">
        <f>IF(B27="","",IF(COUNTIFS('RECURRING'!$B$5:$B$154,B27,'RECURRING'!$J$5:$J$154,"Active")&gt;0,"Yes","No"))</f>
        <v/>
      </c>
      <c r="Q27" s="50">
        <f>IF(L27="","",AsOf-L27)</f>
        <v/>
      </c>
      <c r="R27" s="49">
        <f>IF(B27="","",IF(H27="Do not service","—",IF(O27&gt;0.005,"Collect balance",IF(M27=0,"Book first job",IF(AND(P27="No",Q27&gt;=ReactDays),"Reactivate",IF(COUNTIF('REVIEWS'!$A$5:$A$504,B27)=0,"Ask for review",IF(AND(P27="No",M27&gt;=1),"Offer recurring plan","—")))))))</f>
        <v/>
      </c>
      <c r="S27" s="53">
        <f>IF(B27="","",COUNTIF('REFERRALS'!$B$5:$B$204,B27))</f>
        <v/>
      </c>
    </row>
    <row r="28">
      <c r="A28" s="46" t="inlineStr">
        <is>
          <t>C-024</t>
        </is>
      </c>
      <c r="B28" s="38" t="inlineStr">
        <is>
          <t>Oakview Office Suites (sample)</t>
        </is>
      </c>
      <c r="C28" s="38" t="inlineStr">
        <is>
          <t>555-0127</t>
        </is>
      </c>
      <c r="D28" s="38" t="inlineStr">
        <is>
          <t>oakview.office.suites.(sample)@example.com</t>
        </is>
      </c>
      <c r="E28" s="38" t="inlineStr">
        <is>
          <t>Commercial</t>
        </is>
      </c>
      <c r="F28" s="38" t="inlineStr">
        <is>
          <t>Referral</t>
        </is>
      </c>
      <c r="G28" s="38" t="inlineStr">
        <is>
          <t>Email</t>
        </is>
      </c>
      <c r="H28" s="38" t="inlineStr">
        <is>
          <t>Active</t>
        </is>
      </c>
      <c r="I28" s="47" t="n">
        <v>46111</v>
      </c>
      <c r="J28" s="38" t="inlineStr"/>
      <c r="K28" s="52">
        <f>IF(B28="","",IF(_xlfn.MINIFS('JOBS'!$B$5:$B$1504,'JOBS'!$D$5:$D$1504,B28,'JOBS'!$O$5:$O$1504,"Completed")=0,"",_xlfn.MINIFS('JOBS'!$B$5:$B$1504,'JOBS'!$D$5:$D$1504,B28,'JOBS'!$O$5:$O$1504,"Completed")))</f>
        <v/>
      </c>
      <c r="L28" s="52">
        <f>IF(B28="","",IF(_xlfn.MAXIFS('JOBS'!$B$5:$B$1504,'JOBS'!$D$5:$D$1504,B28,'JOBS'!$O$5:$O$1504,"Completed")=0,"",_xlfn.MAXIFS('JOBS'!$B$5:$B$1504,'JOBS'!$D$5:$D$1504,B28,'JOBS'!$O$5:$O$1504,"Completed")))</f>
        <v/>
      </c>
      <c r="M28" s="53">
        <f>IF(B28="","",COUNTIFS('JOBS'!$D$5:$D$1504,B28,'JOBS'!$O$5:$O$1504,"Completed"))</f>
        <v/>
      </c>
      <c r="N28" s="54">
        <f>IF(B28="","",SUMIFS('JOBS'!$L$5:$L$1504,'JOBS'!$D$5:$D$1504,B28,'JOBS'!$O$5:$O$1504,"Completed"))</f>
        <v/>
      </c>
      <c r="O28" s="55">
        <f>IF(B28="","",SUMIFS('JOBS'!$U$5:$U$1504,'JOBS'!$D$5:$D$1504,B28))</f>
        <v/>
      </c>
      <c r="P28" s="49">
        <f>IF(B28="","",IF(COUNTIFS('RECURRING'!$B$5:$B$154,B28,'RECURRING'!$J$5:$J$154,"Active")&gt;0,"Yes","No"))</f>
        <v/>
      </c>
      <c r="Q28" s="50">
        <f>IF(L28="","",AsOf-L28)</f>
        <v/>
      </c>
      <c r="R28" s="49">
        <f>IF(B28="","",IF(H28="Do not service","—",IF(O28&gt;0.005,"Collect balance",IF(M28=0,"Book first job",IF(AND(P28="No",Q28&gt;=ReactDays),"Reactivate",IF(COUNTIF('REVIEWS'!$A$5:$A$504,B28)=0,"Ask for review",IF(AND(P28="No",M28&gt;=1),"Offer recurring plan","—")))))))</f>
        <v/>
      </c>
      <c r="S28" s="53">
        <f>IF(B28="","",COUNTIF('REFERRALS'!$B$5:$B$204,B28))</f>
        <v/>
      </c>
    </row>
    <row r="29">
      <c r="A29" s="46" t="inlineStr">
        <is>
          <t>C-025</t>
        </is>
      </c>
      <c r="B29" s="38" t="inlineStr">
        <is>
          <t>Harbor Yoga Loft (sample)</t>
        </is>
      </c>
      <c r="C29" s="38" t="inlineStr">
        <is>
          <t>555-0128</t>
        </is>
      </c>
      <c r="D29" s="38" t="inlineStr">
        <is>
          <t>harbor.yoga.loft.(sample)@example.com</t>
        </is>
      </c>
      <c r="E29" s="38" t="inlineStr">
        <is>
          <t>Commercial</t>
        </is>
      </c>
      <c r="F29" s="38" t="inlineStr">
        <is>
          <t>Nextdoor</t>
        </is>
      </c>
      <c r="G29" s="38" t="inlineStr">
        <is>
          <t>Email</t>
        </is>
      </c>
      <c r="H29" s="38" t="inlineStr">
        <is>
          <t>Active</t>
        </is>
      </c>
      <c r="I29" s="47" t="n">
        <v>46086</v>
      </c>
      <c r="J29" s="38" t="inlineStr"/>
      <c r="K29" s="52">
        <f>IF(B29="","",IF(_xlfn.MINIFS('JOBS'!$B$5:$B$1504,'JOBS'!$D$5:$D$1504,B29,'JOBS'!$O$5:$O$1504,"Completed")=0,"",_xlfn.MINIFS('JOBS'!$B$5:$B$1504,'JOBS'!$D$5:$D$1504,B29,'JOBS'!$O$5:$O$1504,"Completed")))</f>
        <v/>
      </c>
      <c r="L29" s="52">
        <f>IF(B29="","",IF(_xlfn.MAXIFS('JOBS'!$B$5:$B$1504,'JOBS'!$D$5:$D$1504,B29,'JOBS'!$O$5:$O$1504,"Completed")=0,"",_xlfn.MAXIFS('JOBS'!$B$5:$B$1504,'JOBS'!$D$5:$D$1504,B29,'JOBS'!$O$5:$O$1504,"Completed")))</f>
        <v/>
      </c>
      <c r="M29" s="53">
        <f>IF(B29="","",COUNTIFS('JOBS'!$D$5:$D$1504,B29,'JOBS'!$O$5:$O$1504,"Completed"))</f>
        <v/>
      </c>
      <c r="N29" s="54">
        <f>IF(B29="","",SUMIFS('JOBS'!$L$5:$L$1504,'JOBS'!$D$5:$D$1504,B29,'JOBS'!$O$5:$O$1504,"Completed"))</f>
        <v/>
      </c>
      <c r="O29" s="55">
        <f>IF(B29="","",SUMIFS('JOBS'!$U$5:$U$1504,'JOBS'!$D$5:$D$1504,B29))</f>
        <v/>
      </c>
      <c r="P29" s="49">
        <f>IF(B29="","",IF(COUNTIFS('RECURRING'!$B$5:$B$154,B29,'RECURRING'!$J$5:$J$154,"Active")&gt;0,"Yes","No"))</f>
        <v/>
      </c>
      <c r="Q29" s="50">
        <f>IF(L29="","",AsOf-L29)</f>
        <v/>
      </c>
      <c r="R29" s="49">
        <f>IF(B29="","",IF(H29="Do not service","—",IF(O29&gt;0.005,"Collect balance",IF(M29=0,"Book first job",IF(AND(P29="No",Q29&gt;=ReactDays),"Reactivate",IF(COUNTIF('REVIEWS'!$A$5:$A$504,B29)=0,"Ask for review",IF(AND(P29="No",M29&gt;=1),"Offer recurring plan","—")))))))</f>
        <v/>
      </c>
      <c r="S29" s="53">
        <f>IF(B29="","",COUNTIF('REFERRALS'!$B$5:$B$204,B29))</f>
        <v/>
      </c>
    </row>
    <row r="30">
      <c r="A30" s="46" t="inlineStr">
        <is>
          <t>C-026</t>
        </is>
      </c>
      <c r="B30" s="38" t="inlineStr">
        <is>
          <t>Dana Oakes</t>
        </is>
      </c>
      <c r="C30" s="38" t="inlineStr">
        <is>
          <t>555-0129</t>
        </is>
      </c>
      <c r="D30" s="38" t="inlineStr">
        <is>
          <t>dana.oakes@example.com</t>
        </is>
      </c>
      <c r="E30" s="38" t="inlineStr">
        <is>
          <t>Short-Term Rental Host</t>
        </is>
      </c>
      <c r="F30" s="38" t="inlineStr">
        <is>
          <t>Facebook</t>
        </is>
      </c>
      <c r="G30" s="38" t="inlineStr">
        <is>
          <t>Email</t>
        </is>
      </c>
      <c r="H30" s="38" t="inlineStr">
        <is>
          <t>Active</t>
        </is>
      </c>
      <c r="I30" s="47" t="n">
        <v>46035</v>
      </c>
      <c r="J30" s="38" t="inlineStr"/>
      <c r="K30" s="52">
        <f>IF(B30="","",IF(_xlfn.MINIFS('JOBS'!$B$5:$B$1504,'JOBS'!$D$5:$D$1504,B30,'JOBS'!$O$5:$O$1504,"Completed")=0,"",_xlfn.MINIFS('JOBS'!$B$5:$B$1504,'JOBS'!$D$5:$D$1504,B30,'JOBS'!$O$5:$O$1504,"Completed")))</f>
        <v/>
      </c>
      <c r="L30" s="52">
        <f>IF(B30="","",IF(_xlfn.MAXIFS('JOBS'!$B$5:$B$1504,'JOBS'!$D$5:$D$1504,B30,'JOBS'!$O$5:$O$1504,"Completed")=0,"",_xlfn.MAXIFS('JOBS'!$B$5:$B$1504,'JOBS'!$D$5:$D$1504,B30,'JOBS'!$O$5:$O$1504,"Completed")))</f>
        <v/>
      </c>
      <c r="M30" s="53">
        <f>IF(B30="","",COUNTIFS('JOBS'!$D$5:$D$1504,B30,'JOBS'!$O$5:$O$1504,"Completed"))</f>
        <v/>
      </c>
      <c r="N30" s="54">
        <f>IF(B30="","",SUMIFS('JOBS'!$L$5:$L$1504,'JOBS'!$D$5:$D$1504,B30,'JOBS'!$O$5:$O$1504,"Completed"))</f>
        <v/>
      </c>
      <c r="O30" s="55">
        <f>IF(B30="","",SUMIFS('JOBS'!$U$5:$U$1504,'JOBS'!$D$5:$D$1504,B30))</f>
        <v/>
      </c>
      <c r="P30" s="49">
        <f>IF(B30="","",IF(COUNTIFS('RECURRING'!$B$5:$B$154,B30,'RECURRING'!$J$5:$J$154,"Active")&gt;0,"Yes","No"))</f>
        <v/>
      </c>
      <c r="Q30" s="50">
        <f>IF(L30="","",AsOf-L30)</f>
        <v/>
      </c>
      <c r="R30" s="49">
        <f>IF(B30="","",IF(H30="Do not service","—",IF(O30&gt;0.005,"Collect balance",IF(M30=0,"Book first job",IF(AND(P30="No",Q30&gt;=ReactDays),"Reactivate",IF(COUNTIF('REVIEWS'!$A$5:$A$504,B30)=0,"Ask for review",IF(AND(P30="No",M30&gt;=1),"Offer recurring plan","—")))))))</f>
        <v/>
      </c>
      <c r="S30" s="53">
        <f>IF(B30="","",COUNTIF('REFERRALS'!$B$5:$B$204,B30))</f>
        <v/>
      </c>
    </row>
    <row r="31">
      <c r="A31" s="46" t="inlineStr">
        <is>
          <t>C-027</t>
        </is>
      </c>
      <c r="B31" s="38" t="inlineStr">
        <is>
          <t>Blake Oakes</t>
        </is>
      </c>
      <c r="C31" s="38" t="inlineStr">
        <is>
          <t>555-0130</t>
        </is>
      </c>
      <c r="D31" s="38" t="inlineStr">
        <is>
          <t>blake.oakes@example.com</t>
        </is>
      </c>
      <c r="E31" s="38" t="inlineStr">
        <is>
          <t>Short-Term Rental Host</t>
        </is>
      </c>
      <c r="F31" s="38" t="inlineStr">
        <is>
          <t>Google Search</t>
        </is>
      </c>
      <c r="G31" s="38" t="inlineStr">
        <is>
          <t>Text</t>
        </is>
      </c>
      <c r="H31" s="38" t="inlineStr">
        <is>
          <t>Active</t>
        </is>
      </c>
      <c r="I31" s="47" t="n">
        <v>46038</v>
      </c>
      <c r="J31" s="38" t="inlineStr"/>
      <c r="K31" s="52">
        <f>IF(B31="","",IF(_xlfn.MINIFS('JOBS'!$B$5:$B$1504,'JOBS'!$D$5:$D$1504,B31,'JOBS'!$O$5:$O$1504,"Completed")=0,"",_xlfn.MINIFS('JOBS'!$B$5:$B$1504,'JOBS'!$D$5:$D$1504,B31,'JOBS'!$O$5:$O$1504,"Completed")))</f>
        <v/>
      </c>
      <c r="L31" s="52">
        <f>IF(B31="","",IF(_xlfn.MAXIFS('JOBS'!$B$5:$B$1504,'JOBS'!$D$5:$D$1504,B31,'JOBS'!$O$5:$O$1504,"Completed")=0,"",_xlfn.MAXIFS('JOBS'!$B$5:$B$1504,'JOBS'!$D$5:$D$1504,B31,'JOBS'!$O$5:$O$1504,"Completed")))</f>
        <v/>
      </c>
      <c r="M31" s="53">
        <f>IF(B31="","",COUNTIFS('JOBS'!$D$5:$D$1504,B31,'JOBS'!$O$5:$O$1504,"Completed"))</f>
        <v/>
      </c>
      <c r="N31" s="54">
        <f>IF(B31="","",SUMIFS('JOBS'!$L$5:$L$1504,'JOBS'!$D$5:$D$1504,B31,'JOBS'!$O$5:$O$1504,"Completed"))</f>
        <v/>
      </c>
      <c r="O31" s="55">
        <f>IF(B31="","",SUMIFS('JOBS'!$U$5:$U$1504,'JOBS'!$D$5:$D$1504,B31))</f>
        <v/>
      </c>
      <c r="P31" s="49">
        <f>IF(B31="","",IF(COUNTIFS('RECURRING'!$B$5:$B$154,B31,'RECURRING'!$J$5:$J$154,"Active")&gt;0,"Yes","No"))</f>
        <v/>
      </c>
      <c r="Q31" s="50">
        <f>IF(L31="","",AsOf-L31)</f>
        <v/>
      </c>
      <c r="R31" s="49">
        <f>IF(B31="","",IF(H31="Do not service","—",IF(O31&gt;0.005,"Collect balance",IF(M31=0,"Book first job",IF(AND(P31="No",Q31&gt;=ReactDays),"Reactivate",IF(COUNTIF('REVIEWS'!$A$5:$A$504,B31)=0,"Ask for review",IF(AND(P31="No",M31&gt;=1),"Offer recurring plan","—")))))))</f>
        <v/>
      </c>
      <c r="S31" s="53">
        <f>IF(B31="","",COUNTIF('REFERRALS'!$B$5:$B$204,B31))</f>
        <v/>
      </c>
    </row>
    <row r="32">
      <c r="A32" s="46" t="inlineStr">
        <is>
          <t>C-028</t>
        </is>
      </c>
      <c r="B32" s="38" t="inlineStr">
        <is>
          <t>Emerson Holloway</t>
        </is>
      </c>
      <c r="C32" s="38" t="inlineStr">
        <is>
          <t>555-0131</t>
        </is>
      </c>
      <c r="D32" s="38" t="inlineStr">
        <is>
          <t>emerson.holloway@example.com</t>
        </is>
      </c>
      <c r="E32" s="38" t="inlineStr">
        <is>
          <t>Short-Term Rental Host</t>
        </is>
      </c>
      <c r="F32" s="38" t="inlineStr">
        <is>
          <t>Google Business Profile</t>
        </is>
      </c>
      <c r="G32" s="38" t="inlineStr">
        <is>
          <t>Call</t>
        </is>
      </c>
      <c r="H32" s="38" t="inlineStr">
        <is>
          <t>Active</t>
        </is>
      </c>
      <c r="I32" s="47" t="n">
        <v>46036</v>
      </c>
      <c r="J32" s="38" t="inlineStr"/>
      <c r="K32" s="52">
        <f>IF(B32="","",IF(_xlfn.MINIFS('JOBS'!$B$5:$B$1504,'JOBS'!$D$5:$D$1504,B32,'JOBS'!$O$5:$O$1504,"Completed")=0,"",_xlfn.MINIFS('JOBS'!$B$5:$B$1504,'JOBS'!$D$5:$D$1504,B32,'JOBS'!$O$5:$O$1504,"Completed")))</f>
        <v/>
      </c>
      <c r="L32" s="52">
        <f>IF(B32="","",IF(_xlfn.MAXIFS('JOBS'!$B$5:$B$1504,'JOBS'!$D$5:$D$1504,B32,'JOBS'!$O$5:$O$1504,"Completed")=0,"",_xlfn.MAXIFS('JOBS'!$B$5:$B$1504,'JOBS'!$D$5:$D$1504,B32,'JOBS'!$O$5:$O$1504,"Completed")))</f>
        <v/>
      </c>
      <c r="M32" s="53">
        <f>IF(B32="","",COUNTIFS('JOBS'!$D$5:$D$1504,B32,'JOBS'!$O$5:$O$1504,"Completed"))</f>
        <v/>
      </c>
      <c r="N32" s="54">
        <f>IF(B32="","",SUMIFS('JOBS'!$L$5:$L$1504,'JOBS'!$D$5:$D$1504,B32,'JOBS'!$O$5:$O$1504,"Completed"))</f>
        <v/>
      </c>
      <c r="O32" s="55">
        <f>IF(B32="","",SUMIFS('JOBS'!$U$5:$U$1504,'JOBS'!$D$5:$D$1504,B32))</f>
        <v/>
      </c>
      <c r="P32" s="49">
        <f>IF(B32="","",IF(COUNTIFS('RECURRING'!$B$5:$B$154,B32,'RECURRING'!$J$5:$J$154,"Active")&gt;0,"Yes","No"))</f>
        <v/>
      </c>
      <c r="Q32" s="50">
        <f>IF(L32="","",AsOf-L32)</f>
        <v/>
      </c>
      <c r="R32" s="49">
        <f>IF(B32="","",IF(H32="Do not service","—",IF(O32&gt;0.005,"Collect balance",IF(M32=0,"Book first job",IF(AND(P32="No",Q32&gt;=ReactDays),"Reactivate",IF(COUNTIF('REVIEWS'!$A$5:$A$504,B32)=0,"Ask for review",IF(AND(P32="No",M32&gt;=1),"Offer recurring plan","—")))))))</f>
        <v/>
      </c>
      <c r="S32" s="53">
        <f>IF(B32="","",COUNTIF('REFERRALS'!$B$5:$B$204,B32))</f>
        <v/>
      </c>
    </row>
    <row r="33">
      <c r="A33" s="46" t="inlineStr">
        <is>
          <t>C-029</t>
        </is>
      </c>
      <c r="B33" s="38" t="inlineStr">
        <is>
          <t>Parker Lockhart</t>
        </is>
      </c>
      <c r="C33" s="38" t="inlineStr">
        <is>
          <t>555-0132</t>
        </is>
      </c>
      <c r="D33" s="38" t="inlineStr">
        <is>
          <t>parker.lockhart@example.com</t>
        </is>
      </c>
      <c r="E33" s="38" t="inlineStr">
        <is>
          <t>Short-Term Rental Host</t>
        </is>
      </c>
      <c r="F33" s="38" t="inlineStr">
        <is>
          <t>Google Search</t>
        </is>
      </c>
      <c r="G33" s="38" t="inlineStr">
        <is>
          <t>Email</t>
        </is>
      </c>
      <c r="H33" s="38" t="inlineStr">
        <is>
          <t>Active</t>
        </is>
      </c>
      <c r="I33" s="47" t="n">
        <v>46046</v>
      </c>
      <c r="J33" s="38" t="inlineStr"/>
      <c r="K33" s="52">
        <f>IF(B33="","",IF(_xlfn.MINIFS('JOBS'!$B$5:$B$1504,'JOBS'!$D$5:$D$1504,B33,'JOBS'!$O$5:$O$1504,"Completed")=0,"",_xlfn.MINIFS('JOBS'!$B$5:$B$1504,'JOBS'!$D$5:$D$1504,B33,'JOBS'!$O$5:$O$1504,"Completed")))</f>
        <v/>
      </c>
      <c r="L33" s="52">
        <f>IF(B33="","",IF(_xlfn.MAXIFS('JOBS'!$B$5:$B$1504,'JOBS'!$D$5:$D$1504,B33,'JOBS'!$O$5:$O$1504,"Completed")=0,"",_xlfn.MAXIFS('JOBS'!$B$5:$B$1504,'JOBS'!$D$5:$D$1504,B33,'JOBS'!$O$5:$O$1504,"Completed")))</f>
        <v/>
      </c>
      <c r="M33" s="53">
        <f>IF(B33="","",COUNTIFS('JOBS'!$D$5:$D$1504,B33,'JOBS'!$O$5:$O$1504,"Completed"))</f>
        <v/>
      </c>
      <c r="N33" s="54">
        <f>IF(B33="","",SUMIFS('JOBS'!$L$5:$L$1504,'JOBS'!$D$5:$D$1504,B33,'JOBS'!$O$5:$O$1504,"Completed"))</f>
        <v/>
      </c>
      <c r="O33" s="55">
        <f>IF(B33="","",SUMIFS('JOBS'!$U$5:$U$1504,'JOBS'!$D$5:$D$1504,B33))</f>
        <v/>
      </c>
      <c r="P33" s="49">
        <f>IF(B33="","",IF(COUNTIFS('RECURRING'!$B$5:$B$154,B33,'RECURRING'!$J$5:$J$154,"Active")&gt;0,"Yes","No"))</f>
        <v/>
      </c>
      <c r="Q33" s="50">
        <f>IF(L33="","",AsOf-L33)</f>
        <v/>
      </c>
      <c r="R33" s="49">
        <f>IF(B33="","",IF(H33="Do not service","—",IF(O33&gt;0.005,"Collect balance",IF(M33=0,"Book first job",IF(AND(P33="No",Q33&gt;=ReactDays),"Reactivate",IF(COUNTIF('REVIEWS'!$A$5:$A$504,B33)=0,"Ask for review",IF(AND(P33="No",M33&gt;=1),"Offer recurring plan","—")))))))</f>
        <v/>
      </c>
      <c r="S33" s="53">
        <f>IF(B33="","",COUNTIF('REFERRALS'!$B$5:$B$204,B33))</f>
        <v/>
      </c>
    </row>
    <row r="34">
      <c r="A34" s="46" t="inlineStr">
        <is>
          <t>C-030</t>
        </is>
      </c>
      <c r="B34" s="38" t="inlineStr">
        <is>
          <t>Crescent Property Group (sample)</t>
        </is>
      </c>
      <c r="C34" s="38" t="inlineStr">
        <is>
          <t>555-0133</t>
        </is>
      </c>
      <c r="D34" s="38" t="inlineStr">
        <is>
          <t>crescent.property.group.(sample)@example.com</t>
        </is>
      </c>
      <c r="E34" s="38" t="inlineStr">
        <is>
          <t>Property Manager</t>
        </is>
      </c>
      <c r="F34" s="38" t="inlineStr">
        <is>
          <t>Google Business Profile</t>
        </is>
      </c>
      <c r="G34" s="38" t="inlineStr">
        <is>
          <t>Email</t>
        </is>
      </c>
      <c r="H34" s="38" t="inlineStr">
        <is>
          <t>Active</t>
        </is>
      </c>
      <c r="I34" s="47" t="n">
        <v>46073</v>
      </c>
      <c r="J34" s="38" t="inlineStr"/>
      <c r="K34" s="52">
        <f>IF(B34="","",IF(_xlfn.MINIFS('JOBS'!$B$5:$B$1504,'JOBS'!$D$5:$D$1504,B34,'JOBS'!$O$5:$O$1504,"Completed")=0,"",_xlfn.MINIFS('JOBS'!$B$5:$B$1504,'JOBS'!$D$5:$D$1504,B34,'JOBS'!$O$5:$O$1504,"Completed")))</f>
        <v/>
      </c>
      <c r="L34" s="52">
        <f>IF(B34="","",IF(_xlfn.MAXIFS('JOBS'!$B$5:$B$1504,'JOBS'!$D$5:$D$1504,B34,'JOBS'!$O$5:$O$1504,"Completed")=0,"",_xlfn.MAXIFS('JOBS'!$B$5:$B$1504,'JOBS'!$D$5:$D$1504,B34,'JOBS'!$O$5:$O$1504,"Completed")))</f>
        <v/>
      </c>
      <c r="M34" s="53">
        <f>IF(B34="","",COUNTIFS('JOBS'!$D$5:$D$1504,B34,'JOBS'!$O$5:$O$1504,"Completed"))</f>
        <v/>
      </c>
      <c r="N34" s="54">
        <f>IF(B34="","",SUMIFS('JOBS'!$L$5:$L$1504,'JOBS'!$D$5:$D$1504,B34,'JOBS'!$O$5:$O$1504,"Completed"))</f>
        <v/>
      </c>
      <c r="O34" s="55">
        <f>IF(B34="","",SUMIFS('JOBS'!$U$5:$U$1504,'JOBS'!$D$5:$D$1504,B34))</f>
        <v/>
      </c>
      <c r="P34" s="49">
        <f>IF(B34="","",IF(COUNTIFS('RECURRING'!$B$5:$B$154,B34,'RECURRING'!$J$5:$J$154,"Active")&gt;0,"Yes","No"))</f>
        <v/>
      </c>
      <c r="Q34" s="50">
        <f>IF(L34="","",AsOf-L34)</f>
        <v/>
      </c>
      <c r="R34" s="49">
        <f>IF(B34="","",IF(H34="Do not service","—",IF(O34&gt;0.005,"Collect balance",IF(M34=0,"Book first job",IF(AND(P34="No",Q34&gt;=ReactDays),"Reactivate",IF(COUNTIF('REVIEWS'!$A$5:$A$504,B34)=0,"Ask for review",IF(AND(P34="No",M34&gt;=1),"Offer recurring plan","—")))))))</f>
        <v/>
      </c>
      <c r="S34" s="53">
        <f>IF(B34="","",COUNTIF('REFERRALS'!$B$5:$B$204,B34))</f>
        <v/>
      </c>
    </row>
    <row r="35">
      <c r="A35" s="46" t="inlineStr">
        <is>
          <t>C-031</t>
        </is>
      </c>
      <c r="B35" s="38" t="n"/>
      <c r="C35" s="38" t="n"/>
      <c r="D35" s="38" t="n"/>
      <c r="E35" s="38" t="n"/>
      <c r="F35" s="38" t="n"/>
      <c r="G35" s="38" t="n"/>
      <c r="H35" s="38" t="n"/>
      <c r="I35" s="47" t="n"/>
      <c r="J35" s="38" t="n"/>
      <c r="K35" s="52">
        <f>IF(B35="","",IF(_xlfn.MINIFS('JOBS'!$B$5:$B$1504,'JOBS'!$D$5:$D$1504,B35,'JOBS'!$O$5:$O$1504,"Completed")=0,"",_xlfn.MINIFS('JOBS'!$B$5:$B$1504,'JOBS'!$D$5:$D$1504,B35,'JOBS'!$O$5:$O$1504,"Completed")))</f>
        <v/>
      </c>
      <c r="L35" s="52">
        <f>IF(B35="","",IF(_xlfn.MAXIFS('JOBS'!$B$5:$B$1504,'JOBS'!$D$5:$D$1504,B35,'JOBS'!$O$5:$O$1504,"Completed")=0,"",_xlfn.MAXIFS('JOBS'!$B$5:$B$1504,'JOBS'!$D$5:$D$1504,B35,'JOBS'!$O$5:$O$1504,"Completed")))</f>
        <v/>
      </c>
      <c r="M35" s="53">
        <f>IF(B35="","",COUNTIFS('JOBS'!$D$5:$D$1504,B35,'JOBS'!$O$5:$O$1504,"Completed"))</f>
        <v/>
      </c>
      <c r="N35" s="54">
        <f>IF(B35="","",SUMIFS('JOBS'!$L$5:$L$1504,'JOBS'!$D$5:$D$1504,B35,'JOBS'!$O$5:$O$1504,"Completed"))</f>
        <v/>
      </c>
      <c r="O35" s="55">
        <f>IF(B35="","",SUMIFS('JOBS'!$U$5:$U$1504,'JOBS'!$D$5:$D$1504,B35))</f>
        <v/>
      </c>
      <c r="P35" s="49">
        <f>IF(B35="","",IF(COUNTIFS('RECURRING'!$B$5:$B$154,B35,'RECURRING'!$J$5:$J$154,"Active")&gt;0,"Yes","No"))</f>
        <v/>
      </c>
      <c r="Q35" s="50">
        <f>IF(L35="","",AsOf-L35)</f>
        <v/>
      </c>
      <c r="R35" s="49">
        <f>IF(B35="","",IF(H35="Do not service","—",IF(O35&gt;0.005,"Collect balance",IF(M35=0,"Book first job",IF(AND(P35="No",Q35&gt;=ReactDays),"Reactivate",IF(COUNTIF('REVIEWS'!$A$5:$A$504,B35)=0,"Ask for review",IF(AND(P35="No",M35&gt;=1),"Offer recurring plan","—")))))))</f>
        <v/>
      </c>
      <c r="S35" s="53">
        <f>IF(B35="","",COUNTIF('REFERRALS'!$B$5:$B$204,B35))</f>
        <v/>
      </c>
    </row>
    <row r="36">
      <c r="A36" s="46" t="inlineStr">
        <is>
          <t>C-032</t>
        </is>
      </c>
      <c r="B36" s="38" t="n"/>
      <c r="C36" s="38" t="n"/>
      <c r="D36" s="38" t="n"/>
      <c r="E36" s="38" t="n"/>
      <c r="F36" s="38" t="n"/>
      <c r="G36" s="38" t="n"/>
      <c r="H36" s="38" t="n"/>
      <c r="I36" s="47" t="n"/>
      <c r="J36" s="38" t="n"/>
      <c r="K36" s="52">
        <f>IF(B36="","",IF(_xlfn.MINIFS('JOBS'!$B$5:$B$1504,'JOBS'!$D$5:$D$1504,B36,'JOBS'!$O$5:$O$1504,"Completed")=0,"",_xlfn.MINIFS('JOBS'!$B$5:$B$1504,'JOBS'!$D$5:$D$1504,B36,'JOBS'!$O$5:$O$1504,"Completed")))</f>
        <v/>
      </c>
      <c r="L36" s="52">
        <f>IF(B36="","",IF(_xlfn.MAXIFS('JOBS'!$B$5:$B$1504,'JOBS'!$D$5:$D$1504,B36,'JOBS'!$O$5:$O$1504,"Completed")=0,"",_xlfn.MAXIFS('JOBS'!$B$5:$B$1504,'JOBS'!$D$5:$D$1504,B36,'JOBS'!$O$5:$O$1504,"Completed")))</f>
        <v/>
      </c>
      <c r="M36" s="53">
        <f>IF(B36="","",COUNTIFS('JOBS'!$D$5:$D$1504,B36,'JOBS'!$O$5:$O$1504,"Completed"))</f>
        <v/>
      </c>
      <c r="N36" s="54">
        <f>IF(B36="","",SUMIFS('JOBS'!$L$5:$L$1504,'JOBS'!$D$5:$D$1504,B36,'JOBS'!$O$5:$O$1504,"Completed"))</f>
        <v/>
      </c>
      <c r="O36" s="55">
        <f>IF(B36="","",SUMIFS('JOBS'!$U$5:$U$1504,'JOBS'!$D$5:$D$1504,B36))</f>
        <v/>
      </c>
      <c r="P36" s="49">
        <f>IF(B36="","",IF(COUNTIFS('RECURRING'!$B$5:$B$154,B36,'RECURRING'!$J$5:$J$154,"Active")&gt;0,"Yes","No"))</f>
        <v/>
      </c>
      <c r="Q36" s="50">
        <f>IF(L36="","",AsOf-L36)</f>
        <v/>
      </c>
      <c r="R36" s="49">
        <f>IF(B36="","",IF(H36="Do not service","—",IF(O36&gt;0.005,"Collect balance",IF(M36=0,"Book first job",IF(AND(P36="No",Q36&gt;=ReactDays),"Reactivate",IF(COUNTIF('REVIEWS'!$A$5:$A$504,B36)=0,"Ask for review",IF(AND(P36="No",M36&gt;=1),"Offer recurring plan","—")))))))</f>
        <v/>
      </c>
      <c r="S36" s="53">
        <f>IF(B36="","",COUNTIF('REFERRALS'!$B$5:$B$204,B36))</f>
        <v/>
      </c>
    </row>
    <row r="37">
      <c r="A37" s="46" t="inlineStr">
        <is>
          <t>C-033</t>
        </is>
      </c>
      <c r="B37" s="38" t="n"/>
      <c r="C37" s="38" t="n"/>
      <c r="D37" s="38" t="n"/>
      <c r="E37" s="38" t="n"/>
      <c r="F37" s="38" t="n"/>
      <c r="G37" s="38" t="n"/>
      <c r="H37" s="38" t="n"/>
      <c r="I37" s="47" t="n"/>
      <c r="J37" s="38" t="n"/>
      <c r="K37" s="52">
        <f>IF(B37="","",IF(_xlfn.MINIFS('JOBS'!$B$5:$B$1504,'JOBS'!$D$5:$D$1504,B37,'JOBS'!$O$5:$O$1504,"Completed")=0,"",_xlfn.MINIFS('JOBS'!$B$5:$B$1504,'JOBS'!$D$5:$D$1504,B37,'JOBS'!$O$5:$O$1504,"Completed")))</f>
        <v/>
      </c>
      <c r="L37" s="52">
        <f>IF(B37="","",IF(_xlfn.MAXIFS('JOBS'!$B$5:$B$1504,'JOBS'!$D$5:$D$1504,B37,'JOBS'!$O$5:$O$1504,"Completed")=0,"",_xlfn.MAXIFS('JOBS'!$B$5:$B$1504,'JOBS'!$D$5:$D$1504,B37,'JOBS'!$O$5:$O$1504,"Completed")))</f>
        <v/>
      </c>
      <c r="M37" s="53">
        <f>IF(B37="","",COUNTIFS('JOBS'!$D$5:$D$1504,B37,'JOBS'!$O$5:$O$1504,"Completed"))</f>
        <v/>
      </c>
      <c r="N37" s="54">
        <f>IF(B37="","",SUMIFS('JOBS'!$L$5:$L$1504,'JOBS'!$D$5:$D$1504,B37,'JOBS'!$O$5:$O$1504,"Completed"))</f>
        <v/>
      </c>
      <c r="O37" s="55">
        <f>IF(B37="","",SUMIFS('JOBS'!$U$5:$U$1504,'JOBS'!$D$5:$D$1504,B37))</f>
        <v/>
      </c>
      <c r="P37" s="49">
        <f>IF(B37="","",IF(COUNTIFS('RECURRING'!$B$5:$B$154,B37,'RECURRING'!$J$5:$J$154,"Active")&gt;0,"Yes","No"))</f>
        <v/>
      </c>
      <c r="Q37" s="50">
        <f>IF(L37="","",AsOf-L37)</f>
        <v/>
      </c>
      <c r="R37" s="49">
        <f>IF(B37="","",IF(H37="Do not service","—",IF(O37&gt;0.005,"Collect balance",IF(M37=0,"Book first job",IF(AND(P37="No",Q37&gt;=ReactDays),"Reactivate",IF(COUNTIF('REVIEWS'!$A$5:$A$504,B37)=0,"Ask for review",IF(AND(P37="No",M37&gt;=1),"Offer recurring plan","—")))))))</f>
        <v/>
      </c>
      <c r="S37" s="53">
        <f>IF(B37="","",COUNTIF('REFERRALS'!$B$5:$B$204,B37))</f>
        <v/>
      </c>
    </row>
    <row r="38">
      <c r="A38" s="46" t="inlineStr">
        <is>
          <t>C-034</t>
        </is>
      </c>
      <c r="B38" s="38" t="n"/>
      <c r="C38" s="38" t="n"/>
      <c r="D38" s="38" t="n"/>
      <c r="E38" s="38" t="n"/>
      <c r="F38" s="38" t="n"/>
      <c r="G38" s="38" t="n"/>
      <c r="H38" s="38" t="n"/>
      <c r="I38" s="47" t="n"/>
      <c r="J38" s="38" t="n"/>
      <c r="K38" s="52">
        <f>IF(B38="","",IF(_xlfn.MINIFS('JOBS'!$B$5:$B$1504,'JOBS'!$D$5:$D$1504,B38,'JOBS'!$O$5:$O$1504,"Completed")=0,"",_xlfn.MINIFS('JOBS'!$B$5:$B$1504,'JOBS'!$D$5:$D$1504,B38,'JOBS'!$O$5:$O$1504,"Completed")))</f>
        <v/>
      </c>
      <c r="L38" s="52">
        <f>IF(B38="","",IF(_xlfn.MAXIFS('JOBS'!$B$5:$B$1504,'JOBS'!$D$5:$D$1504,B38,'JOBS'!$O$5:$O$1504,"Completed")=0,"",_xlfn.MAXIFS('JOBS'!$B$5:$B$1504,'JOBS'!$D$5:$D$1504,B38,'JOBS'!$O$5:$O$1504,"Completed")))</f>
        <v/>
      </c>
      <c r="M38" s="53">
        <f>IF(B38="","",COUNTIFS('JOBS'!$D$5:$D$1504,B38,'JOBS'!$O$5:$O$1504,"Completed"))</f>
        <v/>
      </c>
      <c r="N38" s="54">
        <f>IF(B38="","",SUMIFS('JOBS'!$L$5:$L$1504,'JOBS'!$D$5:$D$1504,B38,'JOBS'!$O$5:$O$1504,"Completed"))</f>
        <v/>
      </c>
      <c r="O38" s="55">
        <f>IF(B38="","",SUMIFS('JOBS'!$U$5:$U$1504,'JOBS'!$D$5:$D$1504,B38))</f>
        <v/>
      </c>
      <c r="P38" s="49">
        <f>IF(B38="","",IF(COUNTIFS('RECURRING'!$B$5:$B$154,B38,'RECURRING'!$J$5:$J$154,"Active")&gt;0,"Yes","No"))</f>
        <v/>
      </c>
      <c r="Q38" s="50">
        <f>IF(L38="","",AsOf-L38)</f>
        <v/>
      </c>
      <c r="R38" s="49">
        <f>IF(B38="","",IF(H38="Do not service","—",IF(O38&gt;0.005,"Collect balance",IF(M38=0,"Book first job",IF(AND(P38="No",Q38&gt;=ReactDays),"Reactivate",IF(COUNTIF('REVIEWS'!$A$5:$A$504,B38)=0,"Ask for review",IF(AND(P38="No",M38&gt;=1),"Offer recurring plan","—")))))))</f>
        <v/>
      </c>
      <c r="S38" s="53">
        <f>IF(B38="","",COUNTIF('REFERRALS'!$B$5:$B$204,B38))</f>
        <v/>
      </c>
    </row>
    <row r="39">
      <c r="A39" s="46" t="inlineStr">
        <is>
          <t>C-035</t>
        </is>
      </c>
      <c r="B39" s="38" t="n"/>
      <c r="C39" s="38" t="n"/>
      <c r="D39" s="38" t="n"/>
      <c r="E39" s="38" t="n"/>
      <c r="F39" s="38" t="n"/>
      <c r="G39" s="38" t="n"/>
      <c r="H39" s="38" t="n"/>
      <c r="I39" s="47" t="n"/>
      <c r="J39" s="38" t="n"/>
      <c r="K39" s="52">
        <f>IF(B39="","",IF(_xlfn.MINIFS('JOBS'!$B$5:$B$1504,'JOBS'!$D$5:$D$1504,B39,'JOBS'!$O$5:$O$1504,"Completed")=0,"",_xlfn.MINIFS('JOBS'!$B$5:$B$1504,'JOBS'!$D$5:$D$1504,B39,'JOBS'!$O$5:$O$1504,"Completed")))</f>
        <v/>
      </c>
      <c r="L39" s="52">
        <f>IF(B39="","",IF(_xlfn.MAXIFS('JOBS'!$B$5:$B$1504,'JOBS'!$D$5:$D$1504,B39,'JOBS'!$O$5:$O$1504,"Completed")=0,"",_xlfn.MAXIFS('JOBS'!$B$5:$B$1504,'JOBS'!$D$5:$D$1504,B39,'JOBS'!$O$5:$O$1504,"Completed")))</f>
        <v/>
      </c>
      <c r="M39" s="53">
        <f>IF(B39="","",COUNTIFS('JOBS'!$D$5:$D$1504,B39,'JOBS'!$O$5:$O$1504,"Completed"))</f>
        <v/>
      </c>
      <c r="N39" s="54">
        <f>IF(B39="","",SUMIFS('JOBS'!$L$5:$L$1504,'JOBS'!$D$5:$D$1504,B39,'JOBS'!$O$5:$O$1504,"Completed"))</f>
        <v/>
      </c>
      <c r="O39" s="55">
        <f>IF(B39="","",SUMIFS('JOBS'!$U$5:$U$1504,'JOBS'!$D$5:$D$1504,B39))</f>
        <v/>
      </c>
      <c r="P39" s="49">
        <f>IF(B39="","",IF(COUNTIFS('RECURRING'!$B$5:$B$154,B39,'RECURRING'!$J$5:$J$154,"Active")&gt;0,"Yes","No"))</f>
        <v/>
      </c>
      <c r="Q39" s="50">
        <f>IF(L39="","",AsOf-L39)</f>
        <v/>
      </c>
      <c r="R39" s="49">
        <f>IF(B39="","",IF(H39="Do not service","—",IF(O39&gt;0.005,"Collect balance",IF(M39=0,"Book first job",IF(AND(P39="No",Q39&gt;=ReactDays),"Reactivate",IF(COUNTIF('REVIEWS'!$A$5:$A$504,B39)=0,"Ask for review",IF(AND(P39="No",M39&gt;=1),"Offer recurring plan","—")))))))</f>
        <v/>
      </c>
      <c r="S39" s="53">
        <f>IF(B39="","",COUNTIF('REFERRALS'!$B$5:$B$204,B39))</f>
        <v/>
      </c>
    </row>
    <row r="40">
      <c r="A40" s="46" t="inlineStr">
        <is>
          <t>C-036</t>
        </is>
      </c>
      <c r="B40" s="38" t="n"/>
      <c r="C40" s="38" t="n"/>
      <c r="D40" s="38" t="n"/>
      <c r="E40" s="38" t="n"/>
      <c r="F40" s="38" t="n"/>
      <c r="G40" s="38" t="n"/>
      <c r="H40" s="38" t="n"/>
      <c r="I40" s="47" t="n"/>
      <c r="J40" s="38" t="n"/>
      <c r="K40" s="52">
        <f>IF(B40="","",IF(_xlfn.MINIFS('JOBS'!$B$5:$B$1504,'JOBS'!$D$5:$D$1504,B40,'JOBS'!$O$5:$O$1504,"Completed")=0,"",_xlfn.MINIFS('JOBS'!$B$5:$B$1504,'JOBS'!$D$5:$D$1504,B40,'JOBS'!$O$5:$O$1504,"Completed")))</f>
        <v/>
      </c>
      <c r="L40" s="52">
        <f>IF(B40="","",IF(_xlfn.MAXIFS('JOBS'!$B$5:$B$1504,'JOBS'!$D$5:$D$1504,B40,'JOBS'!$O$5:$O$1504,"Completed")=0,"",_xlfn.MAXIFS('JOBS'!$B$5:$B$1504,'JOBS'!$D$5:$D$1504,B40,'JOBS'!$O$5:$O$1504,"Completed")))</f>
        <v/>
      </c>
      <c r="M40" s="53">
        <f>IF(B40="","",COUNTIFS('JOBS'!$D$5:$D$1504,B40,'JOBS'!$O$5:$O$1504,"Completed"))</f>
        <v/>
      </c>
      <c r="N40" s="54">
        <f>IF(B40="","",SUMIFS('JOBS'!$L$5:$L$1504,'JOBS'!$D$5:$D$1504,B40,'JOBS'!$O$5:$O$1504,"Completed"))</f>
        <v/>
      </c>
      <c r="O40" s="55">
        <f>IF(B40="","",SUMIFS('JOBS'!$U$5:$U$1504,'JOBS'!$D$5:$D$1504,B40))</f>
        <v/>
      </c>
      <c r="P40" s="49">
        <f>IF(B40="","",IF(COUNTIFS('RECURRING'!$B$5:$B$154,B40,'RECURRING'!$J$5:$J$154,"Active")&gt;0,"Yes","No"))</f>
        <v/>
      </c>
      <c r="Q40" s="50">
        <f>IF(L40="","",AsOf-L40)</f>
        <v/>
      </c>
      <c r="R40" s="49">
        <f>IF(B40="","",IF(H40="Do not service","—",IF(O40&gt;0.005,"Collect balance",IF(M40=0,"Book first job",IF(AND(P40="No",Q40&gt;=ReactDays),"Reactivate",IF(COUNTIF('REVIEWS'!$A$5:$A$504,B40)=0,"Ask for review",IF(AND(P40="No",M40&gt;=1),"Offer recurring plan","—")))))))</f>
        <v/>
      </c>
      <c r="S40" s="53">
        <f>IF(B40="","",COUNTIF('REFERRALS'!$B$5:$B$204,B40))</f>
        <v/>
      </c>
    </row>
    <row r="41">
      <c r="A41" s="46" t="inlineStr">
        <is>
          <t>C-037</t>
        </is>
      </c>
      <c r="B41" s="38" t="n"/>
      <c r="C41" s="38" t="n"/>
      <c r="D41" s="38" t="n"/>
      <c r="E41" s="38" t="n"/>
      <c r="F41" s="38" t="n"/>
      <c r="G41" s="38" t="n"/>
      <c r="H41" s="38" t="n"/>
      <c r="I41" s="47" t="n"/>
      <c r="J41" s="38" t="n"/>
      <c r="K41" s="52">
        <f>IF(B41="","",IF(_xlfn.MINIFS('JOBS'!$B$5:$B$1504,'JOBS'!$D$5:$D$1504,B41,'JOBS'!$O$5:$O$1504,"Completed")=0,"",_xlfn.MINIFS('JOBS'!$B$5:$B$1504,'JOBS'!$D$5:$D$1504,B41,'JOBS'!$O$5:$O$1504,"Completed")))</f>
        <v/>
      </c>
      <c r="L41" s="52">
        <f>IF(B41="","",IF(_xlfn.MAXIFS('JOBS'!$B$5:$B$1504,'JOBS'!$D$5:$D$1504,B41,'JOBS'!$O$5:$O$1504,"Completed")=0,"",_xlfn.MAXIFS('JOBS'!$B$5:$B$1504,'JOBS'!$D$5:$D$1504,B41,'JOBS'!$O$5:$O$1504,"Completed")))</f>
        <v/>
      </c>
      <c r="M41" s="53">
        <f>IF(B41="","",COUNTIFS('JOBS'!$D$5:$D$1504,B41,'JOBS'!$O$5:$O$1504,"Completed"))</f>
        <v/>
      </c>
      <c r="N41" s="54">
        <f>IF(B41="","",SUMIFS('JOBS'!$L$5:$L$1504,'JOBS'!$D$5:$D$1504,B41,'JOBS'!$O$5:$O$1504,"Completed"))</f>
        <v/>
      </c>
      <c r="O41" s="55">
        <f>IF(B41="","",SUMIFS('JOBS'!$U$5:$U$1504,'JOBS'!$D$5:$D$1504,B41))</f>
        <v/>
      </c>
      <c r="P41" s="49">
        <f>IF(B41="","",IF(COUNTIFS('RECURRING'!$B$5:$B$154,B41,'RECURRING'!$J$5:$J$154,"Active")&gt;0,"Yes","No"))</f>
        <v/>
      </c>
      <c r="Q41" s="50">
        <f>IF(L41="","",AsOf-L41)</f>
        <v/>
      </c>
      <c r="R41" s="49">
        <f>IF(B41="","",IF(H41="Do not service","—",IF(O41&gt;0.005,"Collect balance",IF(M41=0,"Book first job",IF(AND(P41="No",Q41&gt;=ReactDays),"Reactivate",IF(COUNTIF('REVIEWS'!$A$5:$A$504,B41)=0,"Ask for review",IF(AND(P41="No",M41&gt;=1),"Offer recurring plan","—")))))))</f>
        <v/>
      </c>
      <c r="S41" s="53">
        <f>IF(B41="","",COUNTIF('REFERRALS'!$B$5:$B$204,B41))</f>
        <v/>
      </c>
    </row>
    <row r="42">
      <c r="A42" s="46" t="inlineStr">
        <is>
          <t>C-038</t>
        </is>
      </c>
      <c r="B42" s="38" t="n"/>
      <c r="C42" s="38" t="n"/>
      <c r="D42" s="38" t="n"/>
      <c r="E42" s="38" t="n"/>
      <c r="F42" s="38" t="n"/>
      <c r="G42" s="38" t="n"/>
      <c r="H42" s="38" t="n"/>
      <c r="I42" s="47" t="n"/>
      <c r="J42" s="38" t="n"/>
      <c r="K42" s="52">
        <f>IF(B42="","",IF(_xlfn.MINIFS('JOBS'!$B$5:$B$1504,'JOBS'!$D$5:$D$1504,B42,'JOBS'!$O$5:$O$1504,"Completed")=0,"",_xlfn.MINIFS('JOBS'!$B$5:$B$1504,'JOBS'!$D$5:$D$1504,B42,'JOBS'!$O$5:$O$1504,"Completed")))</f>
        <v/>
      </c>
      <c r="L42" s="52">
        <f>IF(B42="","",IF(_xlfn.MAXIFS('JOBS'!$B$5:$B$1504,'JOBS'!$D$5:$D$1504,B42,'JOBS'!$O$5:$O$1504,"Completed")=0,"",_xlfn.MAXIFS('JOBS'!$B$5:$B$1504,'JOBS'!$D$5:$D$1504,B42,'JOBS'!$O$5:$O$1504,"Completed")))</f>
        <v/>
      </c>
      <c r="M42" s="53">
        <f>IF(B42="","",COUNTIFS('JOBS'!$D$5:$D$1504,B42,'JOBS'!$O$5:$O$1504,"Completed"))</f>
        <v/>
      </c>
      <c r="N42" s="54">
        <f>IF(B42="","",SUMIFS('JOBS'!$L$5:$L$1504,'JOBS'!$D$5:$D$1504,B42,'JOBS'!$O$5:$O$1504,"Completed"))</f>
        <v/>
      </c>
      <c r="O42" s="55">
        <f>IF(B42="","",SUMIFS('JOBS'!$U$5:$U$1504,'JOBS'!$D$5:$D$1504,B42))</f>
        <v/>
      </c>
      <c r="P42" s="49">
        <f>IF(B42="","",IF(COUNTIFS('RECURRING'!$B$5:$B$154,B42,'RECURRING'!$J$5:$J$154,"Active")&gt;0,"Yes","No"))</f>
        <v/>
      </c>
      <c r="Q42" s="50">
        <f>IF(L42="","",AsOf-L42)</f>
        <v/>
      </c>
      <c r="R42" s="49">
        <f>IF(B42="","",IF(H42="Do not service","—",IF(O42&gt;0.005,"Collect balance",IF(M42=0,"Book first job",IF(AND(P42="No",Q42&gt;=ReactDays),"Reactivate",IF(COUNTIF('REVIEWS'!$A$5:$A$504,B42)=0,"Ask for review",IF(AND(P42="No",M42&gt;=1),"Offer recurring plan","—")))))))</f>
        <v/>
      </c>
      <c r="S42" s="53">
        <f>IF(B42="","",COUNTIF('REFERRALS'!$B$5:$B$204,B42))</f>
        <v/>
      </c>
    </row>
    <row r="43">
      <c r="A43" s="46" t="inlineStr">
        <is>
          <t>C-039</t>
        </is>
      </c>
      <c r="B43" s="38" t="n"/>
      <c r="C43" s="38" t="n"/>
      <c r="D43" s="38" t="n"/>
      <c r="E43" s="38" t="n"/>
      <c r="F43" s="38" t="n"/>
      <c r="G43" s="38" t="n"/>
      <c r="H43" s="38" t="n"/>
      <c r="I43" s="47" t="n"/>
      <c r="J43" s="38" t="n"/>
      <c r="K43" s="52">
        <f>IF(B43="","",IF(_xlfn.MINIFS('JOBS'!$B$5:$B$1504,'JOBS'!$D$5:$D$1504,B43,'JOBS'!$O$5:$O$1504,"Completed")=0,"",_xlfn.MINIFS('JOBS'!$B$5:$B$1504,'JOBS'!$D$5:$D$1504,B43,'JOBS'!$O$5:$O$1504,"Completed")))</f>
        <v/>
      </c>
      <c r="L43" s="52">
        <f>IF(B43="","",IF(_xlfn.MAXIFS('JOBS'!$B$5:$B$1504,'JOBS'!$D$5:$D$1504,B43,'JOBS'!$O$5:$O$1504,"Completed")=0,"",_xlfn.MAXIFS('JOBS'!$B$5:$B$1504,'JOBS'!$D$5:$D$1504,B43,'JOBS'!$O$5:$O$1504,"Completed")))</f>
        <v/>
      </c>
      <c r="M43" s="53">
        <f>IF(B43="","",COUNTIFS('JOBS'!$D$5:$D$1504,B43,'JOBS'!$O$5:$O$1504,"Completed"))</f>
        <v/>
      </c>
      <c r="N43" s="54">
        <f>IF(B43="","",SUMIFS('JOBS'!$L$5:$L$1504,'JOBS'!$D$5:$D$1504,B43,'JOBS'!$O$5:$O$1504,"Completed"))</f>
        <v/>
      </c>
      <c r="O43" s="55">
        <f>IF(B43="","",SUMIFS('JOBS'!$U$5:$U$1504,'JOBS'!$D$5:$D$1504,B43))</f>
        <v/>
      </c>
      <c r="P43" s="49">
        <f>IF(B43="","",IF(COUNTIFS('RECURRING'!$B$5:$B$154,B43,'RECURRING'!$J$5:$J$154,"Active")&gt;0,"Yes","No"))</f>
        <v/>
      </c>
      <c r="Q43" s="50">
        <f>IF(L43="","",AsOf-L43)</f>
        <v/>
      </c>
      <c r="R43" s="49">
        <f>IF(B43="","",IF(H43="Do not service","—",IF(O43&gt;0.005,"Collect balance",IF(M43=0,"Book first job",IF(AND(P43="No",Q43&gt;=ReactDays),"Reactivate",IF(COUNTIF('REVIEWS'!$A$5:$A$504,B43)=0,"Ask for review",IF(AND(P43="No",M43&gt;=1),"Offer recurring plan","—")))))))</f>
        <v/>
      </c>
      <c r="S43" s="53">
        <f>IF(B43="","",COUNTIF('REFERRALS'!$B$5:$B$204,B43))</f>
        <v/>
      </c>
    </row>
    <row r="44">
      <c r="A44" s="46" t="inlineStr">
        <is>
          <t>C-040</t>
        </is>
      </c>
      <c r="B44" s="38" t="n"/>
      <c r="C44" s="38" t="n"/>
      <c r="D44" s="38" t="n"/>
      <c r="E44" s="38" t="n"/>
      <c r="F44" s="38" t="n"/>
      <c r="G44" s="38" t="n"/>
      <c r="H44" s="38" t="n"/>
      <c r="I44" s="47" t="n"/>
      <c r="J44" s="38" t="n"/>
      <c r="K44" s="52">
        <f>IF(B44="","",IF(_xlfn.MINIFS('JOBS'!$B$5:$B$1504,'JOBS'!$D$5:$D$1504,B44,'JOBS'!$O$5:$O$1504,"Completed")=0,"",_xlfn.MINIFS('JOBS'!$B$5:$B$1504,'JOBS'!$D$5:$D$1504,B44,'JOBS'!$O$5:$O$1504,"Completed")))</f>
        <v/>
      </c>
      <c r="L44" s="52">
        <f>IF(B44="","",IF(_xlfn.MAXIFS('JOBS'!$B$5:$B$1504,'JOBS'!$D$5:$D$1504,B44,'JOBS'!$O$5:$O$1504,"Completed")=0,"",_xlfn.MAXIFS('JOBS'!$B$5:$B$1504,'JOBS'!$D$5:$D$1504,B44,'JOBS'!$O$5:$O$1504,"Completed")))</f>
        <v/>
      </c>
      <c r="M44" s="53">
        <f>IF(B44="","",COUNTIFS('JOBS'!$D$5:$D$1504,B44,'JOBS'!$O$5:$O$1504,"Completed"))</f>
        <v/>
      </c>
      <c r="N44" s="54">
        <f>IF(B44="","",SUMIFS('JOBS'!$L$5:$L$1504,'JOBS'!$D$5:$D$1504,B44,'JOBS'!$O$5:$O$1504,"Completed"))</f>
        <v/>
      </c>
      <c r="O44" s="55">
        <f>IF(B44="","",SUMIFS('JOBS'!$U$5:$U$1504,'JOBS'!$D$5:$D$1504,B44))</f>
        <v/>
      </c>
      <c r="P44" s="49">
        <f>IF(B44="","",IF(COUNTIFS('RECURRING'!$B$5:$B$154,B44,'RECURRING'!$J$5:$J$154,"Active")&gt;0,"Yes","No"))</f>
        <v/>
      </c>
      <c r="Q44" s="50">
        <f>IF(L44="","",AsOf-L44)</f>
        <v/>
      </c>
      <c r="R44" s="49">
        <f>IF(B44="","",IF(H44="Do not service","—",IF(O44&gt;0.005,"Collect balance",IF(M44=0,"Book first job",IF(AND(P44="No",Q44&gt;=ReactDays),"Reactivate",IF(COUNTIF('REVIEWS'!$A$5:$A$504,B44)=0,"Ask for review",IF(AND(P44="No",M44&gt;=1),"Offer recurring plan","—")))))))</f>
        <v/>
      </c>
      <c r="S44" s="53">
        <f>IF(B44="","",COUNTIF('REFERRALS'!$B$5:$B$204,B44))</f>
        <v/>
      </c>
    </row>
    <row r="45">
      <c r="A45" s="46" t="inlineStr">
        <is>
          <t>C-041</t>
        </is>
      </c>
      <c r="B45" s="38" t="n"/>
      <c r="C45" s="38" t="n"/>
      <c r="D45" s="38" t="n"/>
      <c r="E45" s="38" t="n"/>
      <c r="F45" s="38" t="n"/>
      <c r="G45" s="38" t="n"/>
      <c r="H45" s="38" t="n"/>
      <c r="I45" s="47" t="n"/>
      <c r="J45" s="38" t="n"/>
      <c r="K45" s="52">
        <f>IF(B45="","",IF(_xlfn.MINIFS('JOBS'!$B$5:$B$1504,'JOBS'!$D$5:$D$1504,B45,'JOBS'!$O$5:$O$1504,"Completed")=0,"",_xlfn.MINIFS('JOBS'!$B$5:$B$1504,'JOBS'!$D$5:$D$1504,B45,'JOBS'!$O$5:$O$1504,"Completed")))</f>
        <v/>
      </c>
      <c r="L45" s="52">
        <f>IF(B45="","",IF(_xlfn.MAXIFS('JOBS'!$B$5:$B$1504,'JOBS'!$D$5:$D$1504,B45,'JOBS'!$O$5:$O$1504,"Completed")=0,"",_xlfn.MAXIFS('JOBS'!$B$5:$B$1504,'JOBS'!$D$5:$D$1504,B45,'JOBS'!$O$5:$O$1504,"Completed")))</f>
        <v/>
      </c>
      <c r="M45" s="53">
        <f>IF(B45="","",COUNTIFS('JOBS'!$D$5:$D$1504,B45,'JOBS'!$O$5:$O$1504,"Completed"))</f>
        <v/>
      </c>
      <c r="N45" s="54">
        <f>IF(B45="","",SUMIFS('JOBS'!$L$5:$L$1504,'JOBS'!$D$5:$D$1504,B45,'JOBS'!$O$5:$O$1504,"Completed"))</f>
        <v/>
      </c>
      <c r="O45" s="55">
        <f>IF(B45="","",SUMIFS('JOBS'!$U$5:$U$1504,'JOBS'!$D$5:$D$1504,B45))</f>
        <v/>
      </c>
      <c r="P45" s="49">
        <f>IF(B45="","",IF(COUNTIFS('RECURRING'!$B$5:$B$154,B45,'RECURRING'!$J$5:$J$154,"Active")&gt;0,"Yes","No"))</f>
        <v/>
      </c>
      <c r="Q45" s="50">
        <f>IF(L45="","",AsOf-L45)</f>
        <v/>
      </c>
      <c r="R45" s="49">
        <f>IF(B45="","",IF(H45="Do not service","—",IF(O45&gt;0.005,"Collect balance",IF(M45=0,"Book first job",IF(AND(P45="No",Q45&gt;=ReactDays),"Reactivate",IF(COUNTIF('REVIEWS'!$A$5:$A$504,B45)=0,"Ask for review",IF(AND(P45="No",M45&gt;=1),"Offer recurring plan","—")))))))</f>
        <v/>
      </c>
      <c r="S45" s="53">
        <f>IF(B45="","",COUNTIF('REFERRALS'!$B$5:$B$204,B45))</f>
        <v/>
      </c>
    </row>
    <row r="46">
      <c r="A46" s="46" t="inlineStr">
        <is>
          <t>C-042</t>
        </is>
      </c>
      <c r="B46" s="38" t="n"/>
      <c r="C46" s="38" t="n"/>
      <c r="D46" s="38" t="n"/>
      <c r="E46" s="38" t="n"/>
      <c r="F46" s="38" t="n"/>
      <c r="G46" s="38" t="n"/>
      <c r="H46" s="38" t="n"/>
      <c r="I46" s="47" t="n"/>
      <c r="J46" s="38" t="n"/>
      <c r="K46" s="52">
        <f>IF(B46="","",IF(_xlfn.MINIFS('JOBS'!$B$5:$B$1504,'JOBS'!$D$5:$D$1504,B46,'JOBS'!$O$5:$O$1504,"Completed")=0,"",_xlfn.MINIFS('JOBS'!$B$5:$B$1504,'JOBS'!$D$5:$D$1504,B46,'JOBS'!$O$5:$O$1504,"Completed")))</f>
        <v/>
      </c>
      <c r="L46" s="52">
        <f>IF(B46="","",IF(_xlfn.MAXIFS('JOBS'!$B$5:$B$1504,'JOBS'!$D$5:$D$1504,B46,'JOBS'!$O$5:$O$1504,"Completed")=0,"",_xlfn.MAXIFS('JOBS'!$B$5:$B$1504,'JOBS'!$D$5:$D$1504,B46,'JOBS'!$O$5:$O$1504,"Completed")))</f>
        <v/>
      </c>
      <c r="M46" s="53">
        <f>IF(B46="","",COUNTIFS('JOBS'!$D$5:$D$1504,B46,'JOBS'!$O$5:$O$1504,"Completed"))</f>
        <v/>
      </c>
      <c r="N46" s="54">
        <f>IF(B46="","",SUMIFS('JOBS'!$L$5:$L$1504,'JOBS'!$D$5:$D$1504,B46,'JOBS'!$O$5:$O$1504,"Completed"))</f>
        <v/>
      </c>
      <c r="O46" s="55">
        <f>IF(B46="","",SUMIFS('JOBS'!$U$5:$U$1504,'JOBS'!$D$5:$D$1504,B46))</f>
        <v/>
      </c>
      <c r="P46" s="49">
        <f>IF(B46="","",IF(COUNTIFS('RECURRING'!$B$5:$B$154,B46,'RECURRING'!$J$5:$J$154,"Active")&gt;0,"Yes","No"))</f>
        <v/>
      </c>
      <c r="Q46" s="50">
        <f>IF(L46="","",AsOf-L46)</f>
        <v/>
      </c>
      <c r="R46" s="49">
        <f>IF(B46="","",IF(H46="Do not service","—",IF(O46&gt;0.005,"Collect balance",IF(M46=0,"Book first job",IF(AND(P46="No",Q46&gt;=ReactDays),"Reactivate",IF(COUNTIF('REVIEWS'!$A$5:$A$504,B46)=0,"Ask for review",IF(AND(P46="No",M46&gt;=1),"Offer recurring plan","—")))))))</f>
        <v/>
      </c>
      <c r="S46" s="53">
        <f>IF(B46="","",COUNTIF('REFERRALS'!$B$5:$B$204,B46))</f>
        <v/>
      </c>
    </row>
    <row r="47">
      <c r="A47" s="46" t="inlineStr">
        <is>
          <t>C-043</t>
        </is>
      </c>
      <c r="B47" s="38" t="n"/>
      <c r="C47" s="38" t="n"/>
      <c r="D47" s="38" t="n"/>
      <c r="E47" s="38" t="n"/>
      <c r="F47" s="38" t="n"/>
      <c r="G47" s="38" t="n"/>
      <c r="H47" s="38" t="n"/>
      <c r="I47" s="47" t="n"/>
      <c r="J47" s="38" t="n"/>
      <c r="K47" s="52">
        <f>IF(B47="","",IF(_xlfn.MINIFS('JOBS'!$B$5:$B$1504,'JOBS'!$D$5:$D$1504,B47,'JOBS'!$O$5:$O$1504,"Completed")=0,"",_xlfn.MINIFS('JOBS'!$B$5:$B$1504,'JOBS'!$D$5:$D$1504,B47,'JOBS'!$O$5:$O$1504,"Completed")))</f>
        <v/>
      </c>
      <c r="L47" s="52">
        <f>IF(B47="","",IF(_xlfn.MAXIFS('JOBS'!$B$5:$B$1504,'JOBS'!$D$5:$D$1504,B47,'JOBS'!$O$5:$O$1504,"Completed")=0,"",_xlfn.MAXIFS('JOBS'!$B$5:$B$1504,'JOBS'!$D$5:$D$1504,B47,'JOBS'!$O$5:$O$1504,"Completed")))</f>
        <v/>
      </c>
      <c r="M47" s="53">
        <f>IF(B47="","",COUNTIFS('JOBS'!$D$5:$D$1504,B47,'JOBS'!$O$5:$O$1504,"Completed"))</f>
        <v/>
      </c>
      <c r="N47" s="54">
        <f>IF(B47="","",SUMIFS('JOBS'!$L$5:$L$1504,'JOBS'!$D$5:$D$1504,B47,'JOBS'!$O$5:$O$1504,"Completed"))</f>
        <v/>
      </c>
      <c r="O47" s="55">
        <f>IF(B47="","",SUMIFS('JOBS'!$U$5:$U$1504,'JOBS'!$D$5:$D$1504,B47))</f>
        <v/>
      </c>
      <c r="P47" s="49">
        <f>IF(B47="","",IF(COUNTIFS('RECURRING'!$B$5:$B$154,B47,'RECURRING'!$J$5:$J$154,"Active")&gt;0,"Yes","No"))</f>
        <v/>
      </c>
      <c r="Q47" s="50">
        <f>IF(L47="","",AsOf-L47)</f>
        <v/>
      </c>
      <c r="R47" s="49">
        <f>IF(B47="","",IF(H47="Do not service","—",IF(O47&gt;0.005,"Collect balance",IF(M47=0,"Book first job",IF(AND(P47="No",Q47&gt;=ReactDays),"Reactivate",IF(COUNTIF('REVIEWS'!$A$5:$A$504,B47)=0,"Ask for review",IF(AND(P47="No",M47&gt;=1),"Offer recurring plan","—")))))))</f>
        <v/>
      </c>
      <c r="S47" s="53">
        <f>IF(B47="","",COUNTIF('REFERRALS'!$B$5:$B$204,B47))</f>
        <v/>
      </c>
    </row>
    <row r="48">
      <c r="A48" s="46" t="inlineStr">
        <is>
          <t>C-044</t>
        </is>
      </c>
      <c r="B48" s="38" t="n"/>
      <c r="C48" s="38" t="n"/>
      <c r="D48" s="38" t="n"/>
      <c r="E48" s="38" t="n"/>
      <c r="F48" s="38" t="n"/>
      <c r="G48" s="38" t="n"/>
      <c r="H48" s="38" t="n"/>
      <c r="I48" s="47" t="n"/>
      <c r="J48" s="38" t="n"/>
      <c r="K48" s="52">
        <f>IF(B48="","",IF(_xlfn.MINIFS('JOBS'!$B$5:$B$1504,'JOBS'!$D$5:$D$1504,B48,'JOBS'!$O$5:$O$1504,"Completed")=0,"",_xlfn.MINIFS('JOBS'!$B$5:$B$1504,'JOBS'!$D$5:$D$1504,B48,'JOBS'!$O$5:$O$1504,"Completed")))</f>
        <v/>
      </c>
      <c r="L48" s="52">
        <f>IF(B48="","",IF(_xlfn.MAXIFS('JOBS'!$B$5:$B$1504,'JOBS'!$D$5:$D$1504,B48,'JOBS'!$O$5:$O$1504,"Completed")=0,"",_xlfn.MAXIFS('JOBS'!$B$5:$B$1504,'JOBS'!$D$5:$D$1504,B48,'JOBS'!$O$5:$O$1504,"Completed")))</f>
        <v/>
      </c>
      <c r="M48" s="53">
        <f>IF(B48="","",COUNTIFS('JOBS'!$D$5:$D$1504,B48,'JOBS'!$O$5:$O$1504,"Completed"))</f>
        <v/>
      </c>
      <c r="N48" s="54">
        <f>IF(B48="","",SUMIFS('JOBS'!$L$5:$L$1504,'JOBS'!$D$5:$D$1504,B48,'JOBS'!$O$5:$O$1504,"Completed"))</f>
        <v/>
      </c>
      <c r="O48" s="55">
        <f>IF(B48="","",SUMIFS('JOBS'!$U$5:$U$1504,'JOBS'!$D$5:$D$1504,B48))</f>
        <v/>
      </c>
      <c r="P48" s="49">
        <f>IF(B48="","",IF(COUNTIFS('RECURRING'!$B$5:$B$154,B48,'RECURRING'!$J$5:$J$154,"Active")&gt;0,"Yes","No"))</f>
        <v/>
      </c>
      <c r="Q48" s="50">
        <f>IF(L48="","",AsOf-L48)</f>
        <v/>
      </c>
      <c r="R48" s="49">
        <f>IF(B48="","",IF(H48="Do not service","—",IF(O48&gt;0.005,"Collect balance",IF(M48=0,"Book first job",IF(AND(P48="No",Q48&gt;=ReactDays),"Reactivate",IF(COUNTIF('REVIEWS'!$A$5:$A$504,B48)=0,"Ask for review",IF(AND(P48="No",M48&gt;=1),"Offer recurring plan","—")))))))</f>
        <v/>
      </c>
      <c r="S48" s="53">
        <f>IF(B48="","",COUNTIF('REFERRALS'!$B$5:$B$204,B48))</f>
        <v/>
      </c>
    </row>
    <row r="49">
      <c r="A49" s="46" t="inlineStr">
        <is>
          <t>C-045</t>
        </is>
      </c>
      <c r="B49" s="38" t="n"/>
      <c r="C49" s="38" t="n"/>
      <c r="D49" s="38" t="n"/>
      <c r="E49" s="38" t="n"/>
      <c r="F49" s="38" t="n"/>
      <c r="G49" s="38" t="n"/>
      <c r="H49" s="38" t="n"/>
      <c r="I49" s="47" t="n"/>
      <c r="J49" s="38" t="n"/>
      <c r="K49" s="52">
        <f>IF(B49="","",IF(_xlfn.MINIFS('JOBS'!$B$5:$B$1504,'JOBS'!$D$5:$D$1504,B49,'JOBS'!$O$5:$O$1504,"Completed")=0,"",_xlfn.MINIFS('JOBS'!$B$5:$B$1504,'JOBS'!$D$5:$D$1504,B49,'JOBS'!$O$5:$O$1504,"Completed")))</f>
        <v/>
      </c>
      <c r="L49" s="52">
        <f>IF(B49="","",IF(_xlfn.MAXIFS('JOBS'!$B$5:$B$1504,'JOBS'!$D$5:$D$1504,B49,'JOBS'!$O$5:$O$1504,"Completed")=0,"",_xlfn.MAXIFS('JOBS'!$B$5:$B$1504,'JOBS'!$D$5:$D$1504,B49,'JOBS'!$O$5:$O$1504,"Completed")))</f>
        <v/>
      </c>
      <c r="M49" s="53">
        <f>IF(B49="","",COUNTIFS('JOBS'!$D$5:$D$1504,B49,'JOBS'!$O$5:$O$1504,"Completed"))</f>
        <v/>
      </c>
      <c r="N49" s="54">
        <f>IF(B49="","",SUMIFS('JOBS'!$L$5:$L$1504,'JOBS'!$D$5:$D$1504,B49,'JOBS'!$O$5:$O$1504,"Completed"))</f>
        <v/>
      </c>
      <c r="O49" s="55">
        <f>IF(B49="","",SUMIFS('JOBS'!$U$5:$U$1504,'JOBS'!$D$5:$D$1504,B49))</f>
        <v/>
      </c>
      <c r="P49" s="49">
        <f>IF(B49="","",IF(COUNTIFS('RECURRING'!$B$5:$B$154,B49,'RECURRING'!$J$5:$J$154,"Active")&gt;0,"Yes","No"))</f>
        <v/>
      </c>
      <c r="Q49" s="50">
        <f>IF(L49="","",AsOf-L49)</f>
        <v/>
      </c>
      <c r="R49" s="49">
        <f>IF(B49="","",IF(H49="Do not service","—",IF(O49&gt;0.005,"Collect balance",IF(M49=0,"Book first job",IF(AND(P49="No",Q49&gt;=ReactDays),"Reactivate",IF(COUNTIF('REVIEWS'!$A$5:$A$504,B49)=0,"Ask for review",IF(AND(P49="No",M49&gt;=1),"Offer recurring plan","—")))))))</f>
        <v/>
      </c>
      <c r="S49" s="53">
        <f>IF(B49="","",COUNTIF('REFERRALS'!$B$5:$B$204,B49))</f>
        <v/>
      </c>
    </row>
    <row r="50">
      <c r="A50" s="46" t="inlineStr">
        <is>
          <t>C-046</t>
        </is>
      </c>
      <c r="B50" s="38" t="n"/>
      <c r="C50" s="38" t="n"/>
      <c r="D50" s="38" t="n"/>
      <c r="E50" s="38" t="n"/>
      <c r="F50" s="38" t="n"/>
      <c r="G50" s="38" t="n"/>
      <c r="H50" s="38" t="n"/>
      <c r="I50" s="47" t="n"/>
      <c r="J50" s="38" t="n"/>
      <c r="K50" s="52">
        <f>IF(B50="","",IF(_xlfn.MINIFS('JOBS'!$B$5:$B$1504,'JOBS'!$D$5:$D$1504,B50,'JOBS'!$O$5:$O$1504,"Completed")=0,"",_xlfn.MINIFS('JOBS'!$B$5:$B$1504,'JOBS'!$D$5:$D$1504,B50,'JOBS'!$O$5:$O$1504,"Completed")))</f>
        <v/>
      </c>
      <c r="L50" s="52">
        <f>IF(B50="","",IF(_xlfn.MAXIFS('JOBS'!$B$5:$B$1504,'JOBS'!$D$5:$D$1504,B50,'JOBS'!$O$5:$O$1504,"Completed")=0,"",_xlfn.MAXIFS('JOBS'!$B$5:$B$1504,'JOBS'!$D$5:$D$1504,B50,'JOBS'!$O$5:$O$1504,"Completed")))</f>
        <v/>
      </c>
      <c r="M50" s="53">
        <f>IF(B50="","",COUNTIFS('JOBS'!$D$5:$D$1504,B50,'JOBS'!$O$5:$O$1504,"Completed"))</f>
        <v/>
      </c>
      <c r="N50" s="54">
        <f>IF(B50="","",SUMIFS('JOBS'!$L$5:$L$1504,'JOBS'!$D$5:$D$1504,B50,'JOBS'!$O$5:$O$1504,"Completed"))</f>
        <v/>
      </c>
      <c r="O50" s="55">
        <f>IF(B50="","",SUMIFS('JOBS'!$U$5:$U$1504,'JOBS'!$D$5:$D$1504,B50))</f>
        <v/>
      </c>
      <c r="P50" s="49">
        <f>IF(B50="","",IF(COUNTIFS('RECURRING'!$B$5:$B$154,B50,'RECURRING'!$J$5:$J$154,"Active")&gt;0,"Yes","No"))</f>
        <v/>
      </c>
      <c r="Q50" s="50">
        <f>IF(L50="","",AsOf-L50)</f>
        <v/>
      </c>
      <c r="R50" s="49">
        <f>IF(B50="","",IF(H50="Do not service","—",IF(O50&gt;0.005,"Collect balance",IF(M50=0,"Book first job",IF(AND(P50="No",Q50&gt;=ReactDays),"Reactivate",IF(COUNTIF('REVIEWS'!$A$5:$A$504,B50)=0,"Ask for review",IF(AND(P50="No",M50&gt;=1),"Offer recurring plan","—")))))))</f>
        <v/>
      </c>
      <c r="S50" s="53">
        <f>IF(B50="","",COUNTIF('REFERRALS'!$B$5:$B$204,B50))</f>
        <v/>
      </c>
    </row>
    <row r="51">
      <c r="A51" s="46" t="inlineStr">
        <is>
          <t>C-047</t>
        </is>
      </c>
      <c r="B51" s="38" t="n"/>
      <c r="C51" s="38" t="n"/>
      <c r="D51" s="38" t="n"/>
      <c r="E51" s="38" t="n"/>
      <c r="F51" s="38" t="n"/>
      <c r="G51" s="38" t="n"/>
      <c r="H51" s="38" t="n"/>
      <c r="I51" s="47" t="n"/>
      <c r="J51" s="38" t="n"/>
      <c r="K51" s="52">
        <f>IF(B51="","",IF(_xlfn.MINIFS('JOBS'!$B$5:$B$1504,'JOBS'!$D$5:$D$1504,B51,'JOBS'!$O$5:$O$1504,"Completed")=0,"",_xlfn.MINIFS('JOBS'!$B$5:$B$1504,'JOBS'!$D$5:$D$1504,B51,'JOBS'!$O$5:$O$1504,"Completed")))</f>
        <v/>
      </c>
      <c r="L51" s="52">
        <f>IF(B51="","",IF(_xlfn.MAXIFS('JOBS'!$B$5:$B$1504,'JOBS'!$D$5:$D$1504,B51,'JOBS'!$O$5:$O$1504,"Completed")=0,"",_xlfn.MAXIFS('JOBS'!$B$5:$B$1504,'JOBS'!$D$5:$D$1504,B51,'JOBS'!$O$5:$O$1504,"Completed")))</f>
        <v/>
      </c>
      <c r="M51" s="53">
        <f>IF(B51="","",COUNTIFS('JOBS'!$D$5:$D$1504,B51,'JOBS'!$O$5:$O$1504,"Completed"))</f>
        <v/>
      </c>
      <c r="N51" s="54">
        <f>IF(B51="","",SUMIFS('JOBS'!$L$5:$L$1504,'JOBS'!$D$5:$D$1504,B51,'JOBS'!$O$5:$O$1504,"Completed"))</f>
        <v/>
      </c>
      <c r="O51" s="55">
        <f>IF(B51="","",SUMIFS('JOBS'!$U$5:$U$1504,'JOBS'!$D$5:$D$1504,B51))</f>
        <v/>
      </c>
      <c r="P51" s="49">
        <f>IF(B51="","",IF(COUNTIFS('RECURRING'!$B$5:$B$154,B51,'RECURRING'!$J$5:$J$154,"Active")&gt;0,"Yes","No"))</f>
        <v/>
      </c>
      <c r="Q51" s="50">
        <f>IF(L51="","",AsOf-L51)</f>
        <v/>
      </c>
      <c r="R51" s="49">
        <f>IF(B51="","",IF(H51="Do not service","—",IF(O51&gt;0.005,"Collect balance",IF(M51=0,"Book first job",IF(AND(P51="No",Q51&gt;=ReactDays),"Reactivate",IF(COUNTIF('REVIEWS'!$A$5:$A$504,B51)=0,"Ask for review",IF(AND(P51="No",M51&gt;=1),"Offer recurring plan","—")))))))</f>
        <v/>
      </c>
      <c r="S51" s="53">
        <f>IF(B51="","",COUNTIF('REFERRALS'!$B$5:$B$204,B51))</f>
        <v/>
      </c>
    </row>
    <row r="52">
      <c r="A52" s="46" t="inlineStr">
        <is>
          <t>C-048</t>
        </is>
      </c>
      <c r="B52" s="38" t="n"/>
      <c r="C52" s="38" t="n"/>
      <c r="D52" s="38" t="n"/>
      <c r="E52" s="38" t="n"/>
      <c r="F52" s="38" t="n"/>
      <c r="G52" s="38" t="n"/>
      <c r="H52" s="38" t="n"/>
      <c r="I52" s="47" t="n"/>
      <c r="J52" s="38" t="n"/>
      <c r="K52" s="52">
        <f>IF(B52="","",IF(_xlfn.MINIFS('JOBS'!$B$5:$B$1504,'JOBS'!$D$5:$D$1504,B52,'JOBS'!$O$5:$O$1504,"Completed")=0,"",_xlfn.MINIFS('JOBS'!$B$5:$B$1504,'JOBS'!$D$5:$D$1504,B52,'JOBS'!$O$5:$O$1504,"Completed")))</f>
        <v/>
      </c>
      <c r="L52" s="52">
        <f>IF(B52="","",IF(_xlfn.MAXIFS('JOBS'!$B$5:$B$1504,'JOBS'!$D$5:$D$1504,B52,'JOBS'!$O$5:$O$1504,"Completed")=0,"",_xlfn.MAXIFS('JOBS'!$B$5:$B$1504,'JOBS'!$D$5:$D$1504,B52,'JOBS'!$O$5:$O$1504,"Completed")))</f>
        <v/>
      </c>
      <c r="M52" s="53">
        <f>IF(B52="","",COUNTIFS('JOBS'!$D$5:$D$1504,B52,'JOBS'!$O$5:$O$1504,"Completed"))</f>
        <v/>
      </c>
      <c r="N52" s="54">
        <f>IF(B52="","",SUMIFS('JOBS'!$L$5:$L$1504,'JOBS'!$D$5:$D$1504,B52,'JOBS'!$O$5:$O$1504,"Completed"))</f>
        <v/>
      </c>
      <c r="O52" s="55">
        <f>IF(B52="","",SUMIFS('JOBS'!$U$5:$U$1504,'JOBS'!$D$5:$D$1504,B52))</f>
        <v/>
      </c>
      <c r="P52" s="49">
        <f>IF(B52="","",IF(COUNTIFS('RECURRING'!$B$5:$B$154,B52,'RECURRING'!$J$5:$J$154,"Active")&gt;0,"Yes","No"))</f>
        <v/>
      </c>
      <c r="Q52" s="50">
        <f>IF(L52="","",AsOf-L52)</f>
        <v/>
      </c>
      <c r="R52" s="49">
        <f>IF(B52="","",IF(H52="Do not service","—",IF(O52&gt;0.005,"Collect balance",IF(M52=0,"Book first job",IF(AND(P52="No",Q52&gt;=ReactDays),"Reactivate",IF(COUNTIF('REVIEWS'!$A$5:$A$504,B52)=0,"Ask for review",IF(AND(P52="No",M52&gt;=1),"Offer recurring plan","—")))))))</f>
        <v/>
      </c>
      <c r="S52" s="53">
        <f>IF(B52="","",COUNTIF('REFERRALS'!$B$5:$B$204,B52))</f>
        <v/>
      </c>
    </row>
    <row r="53">
      <c r="A53" s="46" t="inlineStr">
        <is>
          <t>C-049</t>
        </is>
      </c>
      <c r="B53" s="38" t="n"/>
      <c r="C53" s="38" t="n"/>
      <c r="D53" s="38" t="n"/>
      <c r="E53" s="38" t="n"/>
      <c r="F53" s="38" t="n"/>
      <c r="G53" s="38" t="n"/>
      <c r="H53" s="38" t="n"/>
      <c r="I53" s="47" t="n"/>
      <c r="J53" s="38" t="n"/>
      <c r="K53" s="52">
        <f>IF(B53="","",IF(_xlfn.MINIFS('JOBS'!$B$5:$B$1504,'JOBS'!$D$5:$D$1504,B53,'JOBS'!$O$5:$O$1504,"Completed")=0,"",_xlfn.MINIFS('JOBS'!$B$5:$B$1504,'JOBS'!$D$5:$D$1504,B53,'JOBS'!$O$5:$O$1504,"Completed")))</f>
        <v/>
      </c>
      <c r="L53" s="52">
        <f>IF(B53="","",IF(_xlfn.MAXIFS('JOBS'!$B$5:$B$1504,'JOBS'!$D$5:$D$1504,B53,'JOBS'!$O$5:$O$1504,"Completed")=0,"",_xlfn.MAXIFS('JOBS'!$B$5:$B$1504,'JOBS'!$D$5:$D$1504,B53,'JOBS'!$O$5:$O$1504,"Completed")))</f>
        <v/>
      </c>
      <c r="M53" s="53">
        <f>IF(B53="","",COUNTIFS('JOBS'!$D$5:$D$1504,B53,'JOBS'!$O$5:$O$1504,"Completed"))</f>
        <v/>
      </c>
      <c r="N53" s="54">
        <f>IF(B53="","",SUMIFS('JOBS'!$L$5:$L$1504,'JOBS'!$D$5:$D$1504,B53,'JOBS'!$O$5:$O$1504,"Completed"))</f>
        <v/>
      </c>
      <c r="O53" s="55">
        <f>IF(B53="","",SUMIFS('JOBS'!$U$5:$U$1504,'JOBS'!$D$5:$D$1504,B53))</f>
        <v/>
      </c>
      <c r="P53" s="49">
        <f>IF(B53="","",IF(COUNTIFS('RECURRING'!$B$5:$B$154,B53,'RECURRING'!$J$5:$J$154,"Active")&gt;0,"Yes","No"))</f>
        <v/>
      </c>
      <c r="Q53" s="50">
        <f>IF(L53="","",AsOf-L53)</f>
        <v/>
      </c>
      <c r="R53" s="49">
        <f>IF(B53="","",IF(H53="Do not service","—",IF(O53&gt;0.005,"Collect balance",IF(M53=0,"Book first job",IF(AND(P53="No",Q53&gt;=ReactDays),"Reactivate",IF(COUNTIF('REVIEWS'!$A$5:$A$504,B53)=0,"Ask for review",IF(AND(P53="No",M53&gt;=1),"Offer recurring plan","—")))))))</f>
        <v/>
      </c>
      <c r="S53" s="53">
        <f>IF(B53="","",COUNTIF('REFERRALS'!$B$5:$B$204,B53))</f>
        <v/>
      </c>
    </row>
    <row r="54">
      <c r="A54" s="46" t="inlineStr">
        <is>
          <t>C-050</t>
        </is>
      </c>
      <c r="B54" s="38" t="n"/>
      <c r="C54" s="38" t="n"/>
      <c r="D54" s="38" t="n"/>
      <c r="E54" s="38" t="n"/>
      <c r="F54" s="38" t="n"/>
      <c r="G54" s="38" t="n"/>
      <c r="H54" s="38" t="n"/>
      <c r="I54" s="47" t="n"/>
      <c r="J54" s="38" t="n"/>
      <c r="K54" s="52">
        <f>IF(B54="","",IF(_xlfn.MINIFS('JOBS'!$B$5:$B$1504,'JOBS'!$D$5:$D$1504,B54,'JOBS'!$O$5:$O$1504,"Completed")=0,"",_xlfn.MINIFS('JOBS'!$B$5:$B$1504,'JOBS'!$D$5:$D$1504,B54,'JOBS'!$O$5:$O$1504,"Completed")))</f>
        <v/>
      </c>
      <c r="L54" s="52">
        <f>IF(B54="","",IF(_xlfn.MAXIFS('JOBS'!$B$5:$B$1504,'JOBS'!$D$5:$D$1504,B54,'JOBS'!$O$5:$O$1504,"Completed")=0,"",_xlfn.MAXIFS('JOBS'!$B$5:$B$1504,'JOBS'!$D$5:$D$1504,B54,'JOBS'!$O$5:$O$1504,"Completed")))</f>
        <v/>
      </c>
      <c r="M54" s="53">
        <f>IF(B54="","",COUNTIFS('JOBS'!$D$5:$D$1504,B54,'JOBS'!$O$5:$O$1504,"Completed"))</f>
        <v/>
      </c>
      <c r="N54" s="54">
        <f>IF(B54="","",SUMIFS('JOBS'!$L$5:$L$1504,'JOBS'!$D$5:$D$1504,B54,'JOBS'!$O$5:$O$1504,"Completed"))</f>
        <v/>
      </c>
      <c r="O54" s="55">
        <f>IF(B54="","",SUMIFS('JOBS'!$U$5:$U$1504,'JOBS'!$D$5:$D$1504,B54))</f>
        <v/>
      </c>
      <c r="P54" s="49">
        <f>IF(B54="","",IF(COUNTIFS('RECURRING'!$B$5:$B$154,B54,'RECURRING'!$J$5:$J$154,"Active")&gt;0,"Yes","No"))</f>
        <v/>
      </c>
      <c r="Q54" s="50">
        <f>IF(L54="","",AsOf-L54)</f>
        <v/>
      </c>
      <c r="R54" s="49">
        <f>IF(B54="","",IF(H54="Do not service","—",IF(O54&gt;0.005,"Collect balance",IF(M54=0,"Book first job",IF(AND(P54="No",Q54&gt;=ReactDays),"Reactivate",IF(COUNTIF('REVIEWS'!$A$5:$A$504,B54)=0,"Ask for review",IF(AND(P54="No",M54&gt;=1),"Offer recurring plan","—")))))))</f>
        <v/>
      </c>
      <c r="S54" s="53">
        <f>IF(B54="","",COUNTIF('REFERRALS'!$B$5:$B$204,B54))</f>
        <v/>
      </c>
    </row>
    <row r="55">
      <c r="A55" s="46" t="inlineStr">
        <is>
          <t>C-051</t>
        </is>
      </c>
      <c r="B55" s="38" t="n"/>
      <c r="C55" s="38" t="n"/>
      <c r="D55" s="38" t="n"/>
      <c r="E55" s="38" t="n"/>
      <c r="F55" s="38" t="n"/>
      <c r="G55" s="38" t="n"/>
      <c r="H55" s="38" t="n"/>
      <c r="I55" s="47" t="n"/>
      <c r="J55" s="38" t="n"/>
      <c r="K55" s="52">
        <f>IF(B55="","",IF(_xlfn.MINIFS('JOBS'!$B$5:$B$1504,'JOBS'!$D$5:$D$1504,B55,'JOBS'!$O$5:$O$1504,"Completed")=0,"",_xlfn.MINIFS('JOBS'!$B$5:$B$1504,'JOBS'!$D$5:$D$1504,B55,'JOBS'!$O$5:$O$1504,"Completed")))</f>
        <v/>
      </c>
      <c r="L55" s="52">
        <f>IF(B55="","",IF(_xlfn.MAXIFS('JOBS'!$B$5:$B$1504,'JOBS'!$D$5:$D$1504,B55,'JOBS'!$O$5:$O$1504,"Completed")=0,"",_xlfn.MAXIFS('JOBS'!$B$5:$B$1504,'JOBS'!$D$5:$D$1504,B55,'JOBS'!$O$5:$O$1504,"Completed")))</f>
        <v/>
      </c>
      <c r="M55" s="53">
        <f>IF(B55="","",COUNTIFS('JOBS'!$D$5:$D$1504,B55,'JOBS'!$O$5:$O$1504,"Completed"))</f>
        <v/>
      </c>
      <c r="N55" s="54">
        <f>IF(B55="","",SUMIFS('JOBS'!$L$5:$L$1504,'JOBS'!$D$5:$D$1504,B55,'JOBS'!$O$5:$O$1504,"Completed"))</f>
        <v/>
      </c>
      <c r="O55" s="55">
        <f>IF(B55="","",SUMIFS('JOBS'!$U$5:$U$1504,'JOBS'!$D$5:$D$1504,B55))</f>
        <v/>
      </c>
      <c r="P55" s="49">
        <f>IF(B55="","",IF(COUNTIFS('RECURRING'!$B$5:$B$154,B55,'RECURRING'!$J$5:$J$154,"Active")&gt;0,"Yes","No"))</f>
        <v/>
      </c>
      <c r="Q55" s="50">
        <f>IF(L55="","",AsOf-L55)</f>
        <v/>
      </c>
      <c r="R55" s="49">
        <f>IF(B55="","",IF(H55="Do not service","—",IF(O55&gt;0.005,"Collect balance",IF(M55=0,"Book first job",IF(AND(P55="No",Q55&gt;=ReactDays),"Reactivate",IF(COUNTIF('REVIEWS'!$A$5:$A$504,B55)=0,"Ask for review",IF(AND(P55="No",M55&gt;=1),"Offer recurring plan","—")))))))</f>
        <v/>
      </c>
      <c r="S55" s="53">
        <f>IF(B55="","",COUNTIF('REFERRALS'!$B$5:$B$204,B55))</f>
        <v/>
      </c>
    </row>
    <row r="56">
      <c r="A56" s="46" t="inlineStr">
        <is>
          <t>C-052</t>
        </is>
      </c>
      <c r="B56" s="38" t="n"/>
      <c r="C56" s="38" t="n"/>
      <c r="D56" s="38" t="n"/>
      <c r="E56" s="38" t="n"/>
      <c r="F56" s="38" t="n"/>
      <c r="G56" s="38" t="n"/>
      <c r="H56" s="38" t="n"/>
      <c r="I56" s="47" t="n"/>
      <c r="J56" s="38" t="n"/>
      <c r="K56" s="52">
        <f>IF(B56="","",IF(_xlfn.MINIFS('JOBS'!$B$5:$B$1504,'JOBS'!$D$5:$D$1504,B56,'JOBS'!$O$5:$O$1504,"Completed")=0,"",_xlfn.MINIFS('JOBS'!$B$5:$B$1504,'JOBS'!$D$5:$D$1504,B56,'JOBS'!$O$5:$O$1504,"Completed")))</f>
        <v/>
      </c>
      <c r="L56" s="52">
        <f>IF(B56="","",IF(_xlfn.MAXIFS('JOBS'!$B$5:$B$1504,'JOBS'!$D$5:$D$1504,B56,'JOBS'!$O$5:$O$1504,"Completed")=0,"",_xlfn.MAXIFS('JOBS'!$B$5:$B$1504,'JOBS'!$D$5:$D$1504,B56,'JOBS'!$O$5:$O$1504,"Completed")))</f>
        <v/>
      </c>
      <c r="M56" s="53">
        <f>IF(B56="","",COUNTIFS('JOBS'!$D$5:$D$1504,B56,'JOBS'!$O$5:$O$1504,"Completed"))</f>
        <v/>
      </c>
      <c r="N56" s="54">
        <f>IF(B56="","",SUMIFS('JOBS'!$L$5:$L$1504,'JOBS'!$D$5:$D$1504,B56,'JOBS'!$O$5:$O$1504,"Completed"))</f>
        <v/>
      </c>
      <c r="O56" s="55">
        <f>IF(B56="","",SUMIFS('JOBS'!$U$5:$U$1504,'JOBS'!$D$5:$D$1504,B56))</f>
        <v/>
      </c>
      <c r="P56" s="49">
        <f>IF(B56="","",IF(COUNTIFS('RECURRING'!$B$5:$B$154,B56,'RECURRING'!$J$5:$J$154,"Active")&gt;0,"Yes","No"))</f>
        <v/>
      </c>
      <c r="Q56" s="50">
        <f>IF(L56="","",AsOf-L56)</f>
        <v/>
      </c>
      <c r="R56" s="49">
        <f>IF(B56="","",IF(H56="Do not service","—",IF(O56&gt;0.005,"Collect balance",IF(M56=0,"Book first job",IF(AND(P56="No",Q56&gt;=ReactDays),"Reactivate",IF(COUNTIF('REVIEWS'!$A$5:$A$504,B56)=0,"Ask for review",IF(AND(P56="No",M56&gt;=1),"Offer recurring plan","—")))))))</f>
        <v/>
      </c>
      <c r="S56" s="53">
        <f>IF(B56="","",COUNTIF('REFERRALS'!$B$5:$B$204,B56))</f>
        <v/>
      </c>
    </row>
    <row r="57">
      <c r="A57" s="46" t="inlineStr">
        <is>
          <t>C-053</t>
        </is>
      </c>
      <c r="B57" s="38" t="n"/>
      <c r="C57" s="38" t="n"/>
      <c r="D57" s="38" t="n"/>
      <c r="E57" s="38" t="n"/>
      <c r="F57" s="38" t="n"/>
      <c r="G57" s="38" t="n"/>
      <c r="H57" s="38" t="n"/>
      <c r="I57" s="47" t="n"/>
      <c r="J57" s="38" t="n"/>
      <c r="K57" s="52">
        <f>IF(B57="","",IF(_xlfn.MINIFS('JOBS'!$B$5:$B$1504,'JOBS'!$D$5:$D$1504,B57,'JOBS'!$O$5:$O$1504,"Completed")=0,"",_xlfn.MINIFS('JOBS'!$B$5:$B$1504,'JOBS'!$D$5:$D$1504,B57,'JOBS'!$O$5:$O$1504,"Completed")))</f>
        <v/>
      </c>
      <c r="L57" s="52">
        <f>IF(B57="","",IF(_xlfn.MAXIFS('JOBS'!$B$5:$B$1504,'JOBS'!$D$5:$D$1504,B57,'JOBS'!$O$5:$O$1504,"Completed")=0,"",_xlfn.MAXIFS('JOBS'!$B$5:$B$1504,'JOBS'!$D$5:$D$1504,B57,'JOBS'!$O$5:$O$1504,"Completed")))</f>
        <v/>
      </c>
      <c r="M57" s="53">
        <f>IF(B57="","",COUNTIFS('JOBS'!$D$5:$D$1504,B57,'JOBS'!$O$5:$O$1504,"Completed"))</f>
        <v/>
      </c>
      <c r="N57" s="54">
        <f>IF(B57="","",SUMIFS('JOBS'!$L$5:$L$1504,'JOBS'!$D$5:$D$1504,B57,'JOBS'!$O$5:$O$1504,"Completed"))</f>
        <v/>
      </c>
      <c r="O57" s="55">
        <f>IF(B57="","",SUMIFS('JOBS'!$U$5:$U$1504,'JOBS'!$D$5:$D$1504,B57))</f>
        <v/>
      </c>
      <c r="P57" s="49">
        <f>IF(B57="","",IF(COUNTIFS('RECURRING'!$B$5:$B$154,B57,'RECURRING'!$J$5:$J$154,"Active")&gt;0,"Yes","No"))</f>
        <v/>
      </c>
      <c r="Q57" s="50">
        <f>IF(L57="","",AsOf-L57)</f>
        <v/>
      </c>
      <c r="R57" s="49">
        <f>IF(B57="","",IF(H57="Do not service","—",IF(O57&gt;0.005,"Collect balance",IF(M57=0,"Book first job",IF(AND(P57="No",Q57&gt;=ReactDays),"Reactivate",IF(COUNTIF('REVIEWS'!$A$5:$A$504,B57)=0,"Ask for review",IF(AND(P57="No",M57&gt;=1),"Offer recurring plan","—")))))))</f>
        <v/>
      </c>
      <c r="S57" s="53">
        <f>IF(B57="","",COUNTIF('REFERRALS'!$B$5:$B$204,B57))</f>
        <v/>
      </c>
    </row>
    <row r="58">
      <c r="A58" s="46" t="inlineStr">
        <is>
          <t>C-054</t>
        </is>
      </c>
      <c r="B58" s="38" t="n"/>
      <c r="C58" s="38" t="n"/>
      <c r="D58" s="38" t="n"/>
      <c r="E58" s="38" t="n"/>
      <c r="F58" s="38" t="n"/>
      <c r="G58" s="38" t="n"/>
      <c r="H58" s="38" t="n"/>
      <c r="I58" s="47" t="n"/>
      <c r="J58" s="38" t="n"/>
      <c r="K58" s="52">
        <f>IF(B58="","",IF(_xlfn.MINIFS('JOBS'!$B$5:$B$1504,'JOBS'!$D$5:$D$1504,B58,'JOBS'!$O$5:$O$1504,"Completed")=0,"",_xlfn.MINIFS('JOBS'!$B$5:$B$1504,'JOBS'!$D$5:$D$1504,B58,'JOBS'!$O$5:$O$1504,"Completed")))</f>
        <v/>
      </c>
      <c r="L58" s="52">
        <f>IF(B58="","",IF(_xlfn.MAXIFS('JOBS'!$B$5:$B$1504,'JOBS'!$D$5:$D$1504,B58,'JOBS'!$O$5:$O$1504,"Completed")=0,"",_xlfn.MAXIFS('JOBS'!$B$5:$B$1504,'JOBS'!$D$5:$D$1504,B58,'JOBS'!$O$5:$O$1504,"Completed")))</f>
        <v/>
      </c>
      <c r="M58" s="53">
        <f>IF(B58="","",COUNTIFS('JOBS'!$D$5:$D$1504,B58,'JOBS'!$O$5:$O$1504,"Completed"))</f>
        <v/>
      </c>
      <c r="N58" s="54">
        <f>IF(B58="","",SUMIFS('JOBS'!$L$5:$L$1504,'JOBS'!$D$5:$D$1504,B58,'JOBS'!$O$5:$O$1504,"Completed"))</f>
        <v/>
      </c>
      <c r="O58" s="55">
        <f>IF(B58="","",SUMIFS('JOBS'!$U$5:$U$1504,'JOBS'!$D$5:$D$1504,B58))</f>
        <v/>
      </c>
      <c r="P58" s="49">
        <f>IF(B58="","",IF(COUNTIFS('RECURRING'!$B$5:$B$154,B58,'RECURRING'!$J$5:$J$154,"Active")&gt;0,"Yes","No"))</f>
        <v/>
      </c>
      <c r="Q58" s="50">
        <f>IF(L58="","",AsOf-L58)</f>
        <v/>
      </c>
      <c r="R58" s="49">
        <f>IF(B58="","",IF(H58="Do not service","—",IF(O58&gt;0.005,"Collect balance",IF(M58=0,"Book first job",IF(AND(P58="No",Q58&gt;=ReactDays),"Reactivate",IF(COUNTIF('REVIEWS'!$A$5:$A$504,B58)=0,"Ask for review",IF(AND(P58="No",M58&gt;=1),"Offer recurring plan","—")))))))</f>
        <v/>
      </c>
      <c r="S58" s="53">
        <f>IF(B58="","",COUNTIF('REFERRALS'!$B$5:$B$204,B58))</f>
        <v/>
      </c>
    </row>
    <row r="59">
      <c r="A59" s="46" t="inlineStr">
        <is>
          <t>C-055</t>
        </is>
      </c>
      <c r="B59" s="38" t="n"/>
      <c r="C59" s="38" t="n"/>
      <c r="D59" s="38" t="n"/>
      <c r="E59" s="38" t="n"/>
      <c r="F59" s="38" t="n"/>
      <c r="G59" s="38" t="n"/>
      <c r="H59" s="38" t="n"/>
      <c r="I59" s="47" t="n"/>
      <c r="J59" s="38" t="n"/>
      <c r="K59" s="52">
        <f>IF(B59="","",IF(_xlfn.MINIFS('JOBS'!$B$5:$B$1504,'JOBS'!$D$5:$D$1504,B59,'JOBS'!$O$5:$O$1504,"Completed")=0,"",_xlfn.MINIFS('JOBS'!$B$5:$B$1504,'JOBS'!$D$5:$D$1504,B59,'JOBS'!$O$5:$O$1504,"Completed")))</f>
        <v/>
      </c>
      <c r="L59" s="52">
        <f>IF(B59="","",IF(_xlfn.MAXIFS('JOBS'!$B$5:$B$1504,'JOBS'!$D$5:$D$1504,B59,'JOBS'!$O$5:$O$1504,"Completed")=0,"",_xlfn.MAXIFS('JOBS'!$B$5:$B$1504,'JOBS'!$D$5:$D$1504,B59,'JOBS'!$O$5:$O$1504,"Completed")))</f>
        <v/>
      </c>
      <c r="M59" s="53">
        <f>IF(B59="","",COUNTIFS('JOBS'!$D$5:$D$1504,B59,'JOBS'!$O$5:$O$1504,"Completed"))</f>
        <v/>
      </c>
      <c r="N59" s="54">
        <f>IF(B59="","",SUMIFS('JOBS'!$L$5:$L$1504,'JOBS'!$D$5:$D$1504,B59,'JOBS'!$O$5:$O$1504,"Completed"))</f>
        <v/>
      </c>
      <c r="O59" s="55">
        <f>IF(B59="","",SUMIFS('JOBS'!$U$5:$U$1504,'JOBS'!$D$5:$D$1504,B59))</f>
        <v/>
      </c>
      <c r="P59" s="49">
        <f>IF(B59="","",IF(COUNTIFS('RECURRING'!$B$5:$B$154,B59,'RECURRING'!$J$5:$J$154,"Active")&gt;0,"Yes","No"))</f>
        <v/>
      </c>
      <c r="Q59" s="50">
        <f>IF(L59="","",AsOf-L59)</f>
        <v/>
      </c>
      <c r="R59" s="49">
        <f>IF(B59="","",IF(H59="Do not service","—",IF(O59&gt;0.005,"Collect balance",IF(M59=0,"Book first job",IF(AND(P59="No",Q59&gt;=ReactDays),"Reactivate",IF(COUNTIF('REVIEWS'!$A$5:$A$504,B59)=0,"Ask for review",IF(AND(P59="No",M59&gt;=1),"Offer recurring plan","—")))))))</f>
        <v/>
      </c>
      <c r="S59" s="53">
        <f>IF(B59="","",COUNTIF('REFERRALS'!$B$5:$B$204,B59))</f>
        <v/>
      </c>
    </row>
    <row r="60">
      <c r="A60" s="46" t="inlineStr">
        <is>
          <t>C-056</t>
        </is>
      </c>
      <c r="B60" s="38" t="n"/>
      <c r="C60" s="38" t="n"/>
      <c r="D60" s="38" t="n"/>
      <c r="E60" s="38" t="n"/>
      <c r="F60" s="38" t="n"/>
      <c r="G60" s="38" t="n"/>
      <c r="H60" s="38" t="n"/>
      <c r="I60" s="47" t="n"/>
      <c r="J60" s="38" t="n"/>
      <c r="K60" s="52">
        <f>IF(B60="","",IF(_xlfn.MINIFS('JOBS'!$B$5:$B$1504,'JOBS'!$D$5:$D$1504,B60,'JOBS'!$O$5:$O$1504,"Completed")=0,"",_xlfn.MINIFS('JOBS'!$B$5:$B$1504,'JOBS'!$D$5:$D$1504,B60,'JOBS'!$O$5:$O$1504,"Completed")))</f>
        <v/>
      </c>
      <c r="L60" s="52">
        <f>IF(B60="","",IF(_xlfn.MAXIFS('JOBS'!$B$5:$B$1504,'JOBS'!$D$5:$D$1504,B60,'JOBS'!$O$5:$O$1504,"Completed")=0,"",_xlfn.MAXIFS('JOBS'!$B$5:$B$1504,'JOBS'!$D$5:$D$1504,B60,'JOBS'!$O$5:$O$1504,"Completed")))</f>
        <v/>
      </c>
      <c r="M60" s="53">
        <f>IF(B60="","",COUNTIFS('JOBS'!$D$5:$D$1504,B60,'JOBS'!$O$5:$O$1504,"Completed"))</f>
        <v/>
      </c>
      <c r="N60" s="54">
        <f>IF(B60="","",SUMIFS('JOBS'!$L$5:$L$1504,'JOBS'!$D$5:$D$1504,B60,'JOBS'!$O$5:$O$1504,"Completed"))</f>
        <v/>
      </c>
      <c r="O60" s="55">
        <f>IF(B60="","",SUMIFS('JOBS'!$U$5:$U$1504,'JOBS'!$D$5:$D$1504,B60))</f>
        <v/>
      </c>
      <c r="P60" s="49">
        <f>IF(B60="","",IF(COUNTIFS('RECURRING'!$B$5:$B$154,B60,'RECURRING'!$J$5:$J$154,"Active")&gt;0,"Yes","No"))</f>
        <v/>
      </c>
      <c r="Q60" s="50">
        <f>IF(L60="","",AsOf-L60)</f>
        <v/>
      </c>
      <c r="R60" s="49">
        <f>IF(B60="","",IF(H60="Do not service","—",IF(O60&gt;0.005,"Collect balance",IF(M60=0,"Book first job",IF(AND(P60="No",Q60&gt;=ReactDays),"Reactivate",IF(COUNTIF('REVIEWS'!$A$5:$A$504,B60)=0,"Ask for review",IF(AND(P60="No",M60&gt;=1),"Offer recurring plan","—")))))))</f>
        <v/>
      </c>
      <c r="S60" s="53">
        <f>IF(B60="","",COUNTIF('REFERRALS'!$B$5:$B$204,B60))</f>
        <v/>
      </c>
    </row>
    <row r="61">
      <c r="A61" s="46" t="inlineStr">
        <is>
          <t>C-057</t>
        </is>
      </c>
      <c r="B61" s="38" t="n"/>
      <c r="C61" s="38" t="n"/>
      <c r="D61" s="38" t="n"/>
      <c r="E61" s="38" t="n"/>
      <c r="F61" s="38" t="n"/>
      <c r="G61" s="38" t="n"/>
      <c r="H61" s="38" t="n"/>
      <c r="I61" s="47" t="n"/>
      <c r="J61" s="38" t="n"/>
      <c r="K61" s="52">
        <f>IF(B61="","",IF(_xlfn.MINIFS('JOBS'!$B$5:$B$1504,'JOBS'!$D$5:$D$1504,B61,'JOBS'!$O$5:$O$1504,"Completed")=0,"",_xlfn.MINIFS('JOBS'!$B$5:$B$1504,'JOBS'!$D$5:$D$1504,B61,'JOBS'!$O$5:$O$1504,"Completed")))</f>
        <v/>
      </c>
      <c r="L61" s="52">
        <f>IF(B61="","",IF(_xlfn.MAXIFS('JOBS'!$B$5:$B$1504,'JOBS'!$D$5:$D$1504,B61,'JOBS'!$O$5:$O$1504,"Completed")=0,"",_xlfn.MAXIFS('JOBS'!$B$5:$B$1504,'JOBS'!$D$5:$D$1504,B61,'JOBS'!$O$5:$O$1504,"Completed")))</f>
        <v/>
      </c>
      <c r="M61" s="53">
        <f>IF(B61="","",COUNTIFS('JOBS'!$D$5:$D$1504,B61,'JOBS'!$O$5:$O$1504,"Completed"))</f>
        <v/>
      </c>
      <c r="N61" s="54">
        <f>IF(B61="","",SUMIFS('JOBS'!$L$5:$L$1504,'JOBS'!$D$5:$D$1504,B61,'JOBS'!$O$5:$O$1504,"Completed"))</f>
        <v/>
      </c>
      <c r="O61" s="55">
        <f>IF(B61="","",SUMIFS('JOBS'!$U$5:$U$1504,'JOBS'!$D$5:$D$1504,B61))</f>
        <v/>
      </c>
      <c r="P61" s="49">
        <f>IF(B61="","",IF(COUNTIFS('RECURRING'!$B$5:$B$154,B61,'RECURRING'!$J$5:$J$154,"Active")&gt;0,"Yes","No"))</f>
        <v/>
      </c>
      <c r="Q61" s="50">
        <f>IF(L61="","",AsOf-L61)</f>
        <v/>
      </c>
      <c r="R61" s="49">
        <f>IF(B61="","",IF(H61="Do not service","—",IF(O61&gt;0.005,"Collect balance",IF(M61=0,"Book first job",IF(AND(P61="No",Q61&gt;=ReactDays),"Reactivate",IF(COUNTIF('REVIEWS'!$A$5:$A$504,B61)=0,"Ask for review",IF(AND(P61="No",M61&gt;=1),"Offer recurring plan","—")))))))</f>
        <v/>
      </c>
      <c r="S61" s="53">
        <f>IF(B61="","",COUNTIF('REFERRALS'!$B$5:$B$204,B61))</f>
        <v/>
      </c>
    </row>
    <row r="62">
      <c r="A62" s="46" t="inlineStr">
        <is>
          <t>C-058</t>
        </is>
      </c>
      <c r="B62" s="38" t="n"/>
      <c r="C62" s="38" t="n"/>
      <c r="D62" s="38" t="n"/>
      <c r="E62" s="38" t="n"/>
      <c r="F62" s="38" t="n"/>
      <c r="G62" s="38" t="n"/>
      <c r="H62" s="38" t="n"/>
      <c r="I62" s="47" t="n"/>
      <c r="J62" s="38" t="n"/>
      <c r="K62" s="52">
        <f>IF(B62="","",IF(_xlfn.MINIFS('JOBS'!$B$5:$B$1504,'JOBS'!$D$5:$D$1504,B62,'JOBS'!$O$5:$O$1504,"Completed")=0,"",_xlfn.MINIFS('JOBS'!$B$5:$B$1504,'JOBS'!$D$5:$D$1504,B62,'JOBS'!$O$5:$O$1504,"Completed")))</f>
        <v/>
      </c>
      <c r="L62" s="52">
        <f>IF(B62="","",IF(_xlfn.MAXIFS('JOBS'!$B$5:$B$1504,'JOBS'!$D$5:$D$1504,B62,'JOBS'!$O$5:$O$1504,"Completed")=0,"",_xlfn.MAXIFS('JOBS'!$B$5:$B$1504,'JOBS'!$D$5:$D$1504,B62,'JOBS'!$O$5:$O$1504,"Completed")))</f>
        <v/>
      </c>
      <c r="M62" s="53">
        <f>IF(B62="","",COUNTIFS('JOBS'!$D$5:$D$1504,B62,'JOBS'!$O$5:$O$1504,"Completed"))</f>
        <v/>
      </c>
      <c r="N62" s="54">
        <f>IF(B62="","",SUMIFS('JOBS'!$L$5:$L$1504,'JOBS'!$D$5:$D$1504,B62,'JOBS'!$O$5:$O$1504,"Completed"))</f>
        <v/>
      </c>
      <c r="O62" s="55">
        <f>IF(B62="","",SUMIFS('JOBS'!$U$5:$U$1504,'JOBS'!$D$5:$D$1504,B62))</f>
        <v/>
      </c>
      <c r="P62" s="49">
        <f>IF(B62="","",IF(COUNTIFS('RECURRING'!$B$5:$B$154,B62,'RECURRING'!$J$5:$J$154,"Active")&gt;0,"Yes","No"))</f>
        <v/>
      </c>
      <c r="Q62" s="50">
        <f>IF(L62="","",AsOf-L62)</f>
        <v/>
      </c>
      <c r="R62" s="49">
        <f>IF(B62="","",IF(H62="Do not service","—",IF(O62&gt;0.005,"Collect balance",IF(M62=0,"Book first job",IF(AND(P62="No",Q62&gt;=ReactDays),"Reactivate",IF(COUNTIF('REVIEWS'!$A$5:$A$504,B62)=0,"Ask for review",IF(AND(P62="No",M62&gt;=1),"Offer recurring plan","—")))))))</f>
        <v/>
      </c>
      <c r="S62" s="53">
        <f>IF(B62="","",COUNTIF('REFERRALS'!$B$5:$B$204,B62))</f>
        <v/>
      </c>
    </row>
    <row r="63">
      <c r="A63" s="46" t="inlineStr">
        <is>
          <t>C-059</t>
        </is>
      </c>
      <c r="B63" s="38" t="n"/>
      <c r="C63" s="38" t="n"/>
      <c r="D63" s="38" t="n"/>
      <c r="E63" s="38" t="n"/>
      <c r="F63" s="38" t="n"/>
      <c r="G63" s="38" t="n"/>
      <c r="H63" s="38" t="n"/>
      <c r="I63" s="47" t="n"/>
      <c r="J63" s="38" t="n"/>
      <c r="K63" s="52">
        <f>IF(B63="","",IF(_xlfn.MINIFS('JOBS'!$B$5:$B$1504,'JOBS'!$D$5:$D$1504,B63,'JOBS'!$O$5:$O$1504,"Completed")=0,"",_xlfn.MINIFS('JOBS'!$B$5:$B$1504,'JOBS'!$D$5:$D$1504,B63,'JOBS'!$O$5:$O$1504,"Completed")))</f>
        <v/>
      </c>
      <c r="L63" s="52">
        <f>IF(B63="","",IF(_xlfn.MAXIFS('JOBS'!$B$5:$B$1504,'JOBS'!$D$5:$D$1504,B63,'JOBS'!$O$5:$O$1504,"Completed")=0,"",_xlfn.MAXIFS('JOBS'!$B$5:$B$1504,'JOBS'!$D$5:$D$1504,B63,'JOBS'!$O$5:$O$1504,"Completed")))</f>
        <v/>
      </c>
      <c r="M63" s="53">
        <f>IF(B63="","",COUNTIFS('JOBS'!$D$5:$D$1504,B63,'JOBS'!$O$5:$O$1504,"Completed"))</f>
        <v/>
      </c>
      <c r="N63" s="54">
        <f>IF(B63="","",SUMIFS('JOBS'!$L$5:$L$1504,'JOBS'!$D$5:$D$1504,B63,'JOBS'!$O$5:$O$1504,"Completed"))</f>
        <v/>
      </c>
      <c r="O63" s="55">
        <f>IF(B63="","",SUMIFS('JOBS'!$U$5:$U$1504,'JOBS'!$D$5:$D$1504,B63))</f>
        <v/>
      </c>
      <c r="P63" s="49">
        <f>IF(B63="","",IF(COUNTIFS('RECURRING'!$B$5:$B$154,B63,'RECURRING'!$J$5:$J$154,"Active")&gt;0,"Yes","No"))</f>
        <v/>
      </c>
      <c r="Q63" s="50">
        <f>IF(L63="","",AsOf-L63)</f>
        <v/>
      </c>
      <c r="R63" s="49">
        <f>IF(B63="","",IF(H63="Do not service","—",IF(O63&gt;0.005,"Collect balance",IF(M63=0,"Book first job",IF(AND(P63="No",Q63&gt;=ReactDays),"Reactivate",IF(COUNTIF('REVIEWS'!$A$5:$A$504,B63)=0,"Ask for review",IF(AND(P63="No",M63&gt;=1),"Offer recurring plan","—")))))))</f>
        <v/>
      </c>
      <c r="S63" s="53">
        <f>IF(B63="","",COUNTIF('REFERRALS'!$B$5:$B$204,B63))</f>
        <v/>
      </c>
    </row>
    <row r="64">
      <c r="A64" s="46" t="inlineStr">
        <is>
          <t>C-060</t>
        </is>
      </c>
      <c r="B64" s="38" t="n"/>
      <c r="C64" s="38" t="n"/>
      <c r="D64" s="38" t="n"/>
      <c r="E64" s="38" t="n"/>
      <c r="F64" s="38" t="n"/>
      <c r="G64" s="38" t="n"/>
      <c r="H64" s="38" t="n"/>
      <c r="I64" s="47" t="n"/>
      <c r="J64" s="38" t="n"/>
      <c r="K64" s="52">
        <f>IF(B64="","",IF(_xlfn.MINIFS('JOBS'!$B$5:$B$1504,'JOBS'!$D$5:$D$1504,B64,'JOBS'!$O$5:$O$1504,"Completed")=0,"",_xlfn.MINIFS('JOBS'!$B$5:$B$1504,'JOBS'!$D$5:$D$1504,B64,'JOBS'!$O$5:$O$1504,"Completed")))</f>
        <v/>
      </c>
      <c r="L64" s="52">
        <f>IF(B64="","",IF(_xlfn.MAXIFS('JOBS'!$B$5:$B$1504,'JOBS'!$D$5:$D$1504,B64,'JOBS'!$O$5:$O$1504,"Completed")=0,"",_xlfn.MAXIFS('JOBS'!$B$5:$B$1504,'JOBS'!$D$5:$D$1504,B64,'JOBS'!$O$5:$O$1504,"Completed")))</f>
        <v/>
      </c>
      <c r="M64" s="53">
        <f>IF(B64="","",COUNTIFS('JOBS'!$D$5:$D$1504,B64,'JOBS'!$O$5:$O$1504,"Completed"))</f>
        <v/>
      </c>
      <c r="N64" s="54">
        <f>IF(B64="","",SUMIFS('JOBS'!$L$5:$L$1504,'JOBS'!$D$5:$D$1504,B64,'JOBS'!$O$5:$O$1504,"Completed"))</f>
        <v/>
      </c>
      <c r="O64" s="55">
        <f>IF(B64="","",SUMIFS('JOBS'!$U$5:$U$1504,'JOBS'!$D$5:$D$1504,B64))</f>
        <v/>
      </c>
      <c r="P64" s="49">
        <f>IF(B64="","",IF(COUNTIFS('RECURRING'!$B$5:$B$154,B64,'RECURRING'!$J$5:$J$154,"Active")&gt;0,"Yes","No"))</f>
        <v/>
      </c>
      <c r="Q64" s="50">
        <f>IF(L64="","",AsOf-L64)</f>
        <v/>
      </c>
      <c r="R64" s="49">
        <f>IF(B64="","",IF(H64="Do not service","—",IF(O64&gt;0.005,"Collect balance",IF(M64=0,"Book first job",IF(AND(P64="No",Q64&gt;=ReactDays),"Reactivate",IF(COUNTIF('REVIEWS'!$A$5:$A$504,B64)=0,"Ask for review",IF(AND(P64="No",M64&gt;=1),"Offer recurring plan","—")))))))</f>
        <v/>
      </c>
      <c r="S64" s="53">
        <f>IF(B64="","",COUNTIF('REFERRALS'!$B$5:$B$204,B64))</f>
        <v/>
      </c>
    </row>
    <row r="65">
      <c r="A65" s="46" t="inlineStr">
        <is>
          <t>C-061</t>
        </is>
      </c>
      <c r="B65" s="38" t="n"/>
      <c r="C65" s="38" t="n"/>
      <c r="D65" s="38" t="n"/>
      <c r="E65" s="38" t="n"/>
      <c r="F65" s="38" t="n"/>
      <c r="G65" s="38" t="n"/>
      <c r="H65" s="38" t="n"/>
      <c r="I65" s="47" t="n"/>
      <c r="J65" s="38" t="n"/>
      <c r="K65" s="52">
        <f>IF(B65="","",IF(_xlfn.MINIFS('JOBS'!$B$5:$B$1504,'JOBS'!$D$5:$D$1504,B65,'JOBS'!$O$5:$O$1504,"Completed")=0,"",_xlfn.MINIFS('JOBS'!$B$5:$B$1504,'JOBS'!$D$5:$D$1504,B65,'JOBS'!$O$5:$O$1504,"Completed")))</f>
        <v/>
      </c>
      <c r="L65" s="52">
        <f>IF(B65="","",IF(_xlfn.MAXIFS('JOBS'!$B$5:$B$1504,'JOBS'!$D$5:$D$1504,B65,'JOBS'!$O$5:$O$1504,"Completed")=0,"",_xlfn.MAXIFS('JOBS'!$B$5:$B$1504,'JOBS'!$D$5:$D$1504,B65,'JOBS'!$O$5:$O$1504,"Completed")))</f>
        <v/>
      </c>
      <c r="M65" s="53">
        <f>IF(B65="","",COUNTIFS('JOBS'!$D$5:$D$1504,B65,'JOBS'!$O$5:$O$1504,"Completed"))</f>
        <v/>
      </c>
      <c r="N65" s="54">
        <f>IF(B65="","",SUMIFS('JOBS'!$L$5:$L$1504,'JOBS'!$D$5:$D$1504,B65,'JOBS'!$O$5:$O$1504,"Completed"))</f>
        <v/>
      </c>
      <c r="O65" s="55">
        <f>IF(B65="","",SUMIFS('JOBS'!$U$5:$U$1504,'JOBS'!$D$5:$D$1504,B65))</f>
        <v/>
      </c>
      <c r="P65" s="49">
        <f>IF(B65="","",IF(COUNTIFS('RECURRING'!$B$5:$B$154,B65,'RECURRING'!$J$5:$J$154,"Active")&gt;0,"Yes","No"))</f>
        <v/>
      </c>
      <c r="Q65" s="50">
        <f>IF(L65="","",AsOf-L65)</f>
        <v/>
      </c>
      <c r="R65" s="49">
        <f>IF(B65="","",IF(H65="Do not service","—",IF(O65&gt;0.005,"Collect balance",IF(M65=0,"Book first job",IF(AND(P65="No",Q65&gt;=ReactDays),"Reactivate",IF(COUNTIF('REVIEWS'!$A$5:$A$504,B65)=0,"Ask for review",IF(AND(P65="No",M65&gt;=1),"Offer recurring plan","—")))))))</f>
        <v/>
      </c>
      <c r="S65" s="53">
        <f>IF(B65="","",COUNTIF('REFERRALS'!$B$5:$B$204,B65))</f>
        <v/>
      </c>
    </row>
    <row r="66">
      <c r="A66" s="46" t="inlineStr">
        <is>
          <t>C-062</t>
        </is>
      </c>
      <c r="B66" s="38" t="n"/>
      <c r="C66" s="38" t="n"/>
      <c r="D66" s="38" t="n"/>
      <c r="E66" s="38" t="n"/>
      <c r="F66" s="38" t="n"/>
      <c r="G66" s="38" t="n"/>
      <c r="H66" s="38" t="n"/>
      <c r="I66" s="47" t="n"/>
      <c r="J66" s="38" t="n"/>
      <c r="K66" s="52">
        <f>IF(B66="","",IF(_xlfn.MINIFS('JOBS'!$B$5:$B$1504,'JOBS'!$D$5:$D$1504,B66,'JOBS'!$O$5:$O$1504,"Completed")=0,"",_xlfn.MINIFS('JOBS'!$B$5:$B$1504,'JOBS'!$D$5:$D$1504,B66,'JOBS'!$O$5:$O$1504,"Completed")))</f>
        <v/>
      </c>
      <c r="L66" s="52">
        <f>IF(B66="","",IF(_xlfn.MAXIFS('JOBS'!$B$5:$B$1504,'JOBS'!$D$5:$D$1504,B66,'JOBS'!$O$5:$O$1504,"Completed")=0,"",_xlfn.MAXIFS('JOBS'!$B$5:$B$1504,'JOBS'!$D$5:$D$1504,B66,'JOBS'!$O$5:$O$1504,"Completed")))</f>
        <v/>
      </c>
      <c r="M66" s="53">
        <f>IF(B66="","",COUNTIFS('JOBS'!$D$5:$D$1504,B66,'JOBS'!$O$5:$O$1504,"Completed"))</f>
        <v/>
      </c>
      <c r="N66" s="54">
        <f>IF(B66="","",SUMIFS('JOBS'!$L$5:$L$1504,'JOBS'!$D$5:$D$1504,B66,'JOBS'!$O$5:$O$1504,"Completed"))</f>
        <v/>
      </c>
      <c r="O66" s="55">
        <f>IF(B66="","",SUMIFS('JOBS'!$U$5:$U$1504,'JOBS'!$D$5:$D$1504,B66))</f>
        <v/>
      </c>
      <c r="P66" s="49">
        <f>IF(B66="","",IF(COUNTIFS('RECURRING'!$B$5:$B$154,B66,'RECURRING'!$J$5:$J$154,"Active")&gt;0,"Yes","No"))</f>
        <v/>
      </c>
      <c r="Q66" s="50">
        <f>IF(L66="","",AsOf-L66)</f>
        <v/>
      </c>
      <c r="R66" s="49">
        <f>IF(B66="","",IF(H66="Do not service","—",IF(O66&gt;0.005,"Collect balance",IF(M66=0,"Book first job",IF(AND(P66="No",Q66&gt;=ReactDays),"Reactivate",IF(COUNTIF('REVIEWS'!$A$5:$A$504,B66)=0,"Ask for review",IF(AND(P66="No",M66&gt;=1),"Offer recurring plan","—")))))))</f>
        <v/>
      </c>
      <c r="S66" s="53">
        <f>IF(B66="","",COUNTIF('REFERRALS'!$B$5:$B$204,B66))</f>
        <v/>
      </c>
    </row>
    <row r="67">
      <c r="A67" s="46" t="inlineStr">
        <is>
          <t>C-063</t>
        </is>
      </c>
      <c r="B67" s="38" t="n"/>
      <c r="C67" s="38" t="n"/>
      <c r="D67" s="38" t="n"/>
      <c r="E67" s="38" t="n"/>
      <c r="F67" s="38" t="n"/>
      <c r="G67" s="38" t="n"/>
      <c r="H67" s="38" t="n"/>
      <c r="I67" s="47" t="n"/>
      <c r="J67" s="38" t="n"/>
      <c r="K67" s="52">
        <f>IF(B67="","",IF(_xlfn.MINIFS('JOBS'!$B$5:$B$1504,'JOBS'!$D$5:$D$1504,B67,'JOBS'!$O$5:$O$1504,"Completed")=0,"",_xlfn.MINIFS('JOBS'!$B$5:$B$1504,'JOBS'!$D$5:$D$1504,B67,'JOBS'!$O$5:$O$1504,"Completed")))</f>
        <v/>
      </c>
      <c r="L67" s="52">
        <f>IF(B67="","",IF(_xlfn.MAXIFS('JOBS'!$B$5:$B$1504,'JOBS'!$D$5:$D$1504,B67,'JOBS'!$O$5:$O$1504,"Completed")=0,"",_xlfn.MAXIFS('JOBS'!$B$5:$B$1504,'JOBS'!$D$5:$D$1504,B67,'JOBS'!$O$5:$O$1504,"Completed")))</f>
        <v/>
      </c>
      <c r="M67" s="53">
        <f>IF(B67="","",COUNTIFS('JOBS'!$D$5:$D$1504,B67,'JOBS'!$O$5:$O$1504,"Completed"))</f>
        <v/>
      </c>
      <c r="N67" s="54">
        <f>IF(B67="","",SUMIFS('JOBS'!$L$5:$L$1504,'JOBS'!$D$5:$D$1504,B67,'JOBS'!$O$5:$O$1504,"Completed"))</f>
        <v/>
      </c>
      <c r="O67" s="55">
        <f>IF(B67="","",SUMIFS('JOBS'!$U$5:$U$1504,'JOBS'!$D$5:$D$1504,B67))</f>
        <v/>
      </c>
      <c r="P67" s="49">
        <f>IF(B67="","",IF(COUNTIFS('RECURRING'!$B$5:$B$154,B67,'RECURRING'!$J$5:$J$154,"Active")&gt;0,"Yes","No"))</f>
        <v/>
      </c>
      <c r="Q67" s="50">
        <f>IF(L67="","",AsOf-L67)</f>
        <v/>
      </c>
      <c r="R67" s="49">
        <f>IF(B67="","",IF(H67="Do not service","—",IF(O67&gt;0.005,"Collect balance",IF(M67=0,"Book first job",IF(AND(P67="No",Q67&gt;=ReactDays),"Reactivate",IF(COUNTIF('REVIEWS'!$A$5:$A$504,B67)=0,"Ask for review",IF(AND(P67="No",M67&gt;=1),"Offer recurring plan","—")))))))</f>
        <v/>
      </c>
      <c r="S67" s="53">
        <f>IF(B67="","",COUNTIF('REFERRALS'!$B$5:$B$204,B67))</f>
        <v/>
      </c>
    </row>
    <row r="68">
      <c r="A68" s="46" t="inlineStr">
        <is>
          <t>C-064</t>
        </is>
      </c>
      <c r="B68" s="38" t="n"/>
      <c r="C68" s="38" t="n"/>
      <c r="D68" s="38" t="n"/>
      <c r="E68" s="38" t="n"/>
      <c r="F68" s="38" t="n"/>
      <c r="G68" s="38" t="n"/>
      <c r="H68" s="38" t="n"/>
      <c r="I68" s="47" t="n"/>
      <c r="J68" s="38" t="n"/>
      <c r="K68" s="52">
        <f>IF(B68="","",IF(_xlfn.MINIFS('JOBS'!$B$5:$B$1504,'JOBS'!$D$5:$D$1504,B68,'JOBS'!$O$5:$O$1504,"Completed")=0,"",_xlfn.MINIFS('JOBS'!$B$5:$B$1504,'JOBS'!$D$5:$D$1504,B68,'JOBS'!$O$5:$O$1504,"Completed")))</f>
        <v/>
      </c>
      <c r="L68" s="52">
        <f>IF(B68="","",IF(_xlfn.MAXIFS('JOBS'!$B$5:$B$1504,'JOBS'!$D$5:$D$1504,B68,'JOBS'!$O$5:$O$1504,"Completed")=0,"",_xlfn.MAXIFS('JOBS'!$B$5:$B$1504,'JOBS'!$D$5:$D$1504,B68,'JOBS'!$O$5:$O$1504,"Completed")))</f>
        <v/>
      </c>
      <c r="M68" s="53">
        <f>IF(B68="","",COUNTIFS('JOBS'!$D$5:$D$1504,B68,'JOBS'!$O$5:$O$1504,"Completed"))</f>
        <v/>
      </c>
      <c r="N68" s="54">
        <f>IF(B68="","",SUMIFS('JOBS'!$L$5:$L$1504,'JOBS'!$D$5:$D$1504,B68,'JOBS'!$O$5:$O$1504,"Completed"))</f>
        <v/>
      </c>
      <c r="O68" s="55">
        <f>IF(B68="","",SUMIFS('JOBS'!$U$5:$U$1504,'JOBS'!$D$5:$D$1504,B68))</f>
        <v/>
      </c>
      <c r="P68" s="49">
        <f>IF(B68="","",IF(COUNTIFS('RECURRING'!$B$5:$B$154,B68,'RECURRING'!$J$5:$J$154,"Active")&gt;0,"Yes","No"))</f>
        <v/>
      </c>
      <c r="Q68" s="50">
        <f>IF(L68="","",AsOf-L68)</f>
        <v/>
      </c>
      <c r="R68" s="49">
        <f>IF(B68="","",IF(H68="Do not service","—",IF(O68&gt;0.005,"Collect balance",IF(M68=0,"Book first job",IF(AND(P68="No",Q68&gt;=ReactDays),"Reactivate",IF(COUNTIF('REVIEWS'!$A$5:$A$504,B68)=0,"Ask for review",IF(AND(P68="No",M68&gt;=1),"Offer recurring plan","—")))))))</f>
        <v/>
      </c>
      <c r="S68" s="53">
        <f>IF(B68="","",COUNTIF('REFERRALS'!$B$5:$B$204,B68))</f>
        <v/>
      </c>
    </row>
    <row r="69">
      <c r="A69" s="46" t="inlineStr">
        <is>
          <t>C-065</t>
        </is>
      </c>
      <c r="B69" s="38" t="n"/>
      <c r="C69" s="38" t="n"/>
      <c r="D69" s="38" t="n"/>
      <c r="E69" s="38" t="n"/>
      <c r="F69" s="38" t="n"/>
      <c r="G69" s="38" t="n"/>
      <c r="H69" s="38" t="n"/>
      <c r="I69" s="47" t="n"/>
      <c r="J69" s="38" t="n"/>
      <c r="K69" s="52">
        <f>IF(B69="","",IF(_xlfn.MINIFS('JOBS'!$B$5:$B$1504,'JOBS'!$D$5:$D$1504,B69,'JOBS'!$O$5:$O$1504,"Completed")=0,"",_xlfn.MINIFS('JOBS'!$B$5:$B$1504,'JOBS'!$D$5:$D$1504,B69,'JOBS'!$O$5:$O$1504,"Completed")))</f>
        <v/>
      </c>
      <c r="L69" s="52">
        <f>IF(B69="","",IF(_xlfn.MAXIFS('JOBS'!$B$5:$B$1504,'JOBS'!$D$5:$D$1504,B69,'JOBS'!$O$5:$O$1504,"Completed")=0,"",_xlfn.MAXIFS('JOBS'!$B$5:$B$1504,'JOBS'!$D$5:$D$1504,B69,'JOBS'!$O$5:$O$1504,"Completed")))</f>
        <v/>
      </c>
      <c r="M69" s="53">
        <f>IF(B69="","",COUNTIFS('JOBS'!$D$5:$D$1504,B69,'JOBS'!$O$5:$O$1504,"Completed"))</f>
        <v/>
      </c>
      <c r="N69" s="54">
        <f>IF(B69="","",SUMIFS('JOBS'!$L$5:$L$1504,'JOBS'!$D$5:$D$1504,B69,'JOBS'!$O$5:$O$1504,"Completed"))</f>
        <v/>
      </c>
      <c r="O69" s="55">
        <f>IF(B69="","",SUMIFS('JOBS'!$U$5:$U$1504,'JOBS'!$D$5:$D$1504,B69))</f>
        <v/>
      </c>
      <c r="P69" s="49">
        <f>IF(B69="","",IF(COUNTIFS('RECURRING'!$B$5:$B$154,B69,'RECURRING'!$J$5:$J$154,"Active")&gt;0,"Yes","No"))</f>
        <v/>
      </c>
      <c r="Q69" s="50">
        <f>IF(L69="","",AsOf-L69)</f>
        <v/>
      </c>
      <c r="R69" s="49">
        <f>IF(B69="","",IF(H69="Do not service","—",IF(O69&gt;0.005,"Collect balance",IF(M69=0,"Book first job",IF(AND(P69="No",Q69&gt;=ReactDays),"Reactivate",IF(COUNTIF('REVIEWS'!$A$5:$A$504,B69)=0,"Ask for review",IF(AND(P69="No",M69&gt;=1),"Offer recurring plan","—")))))))</f>
        <v/>
      </c>
      <c r="S69" s="53">
        <f>IF(B69="","",COUNTIF('REFERRALS'!$B$5:$B$204,B69))</f>
        <v/>
      </c>
    </row>
    <row r="70">
      <c r="A70" s="46" t="inlineStr">
        <is>
          <t>C-066</t>
        </is>
      </c>
      <c r="B70" s="38" t="n"/>
      <c r="C70" s="38" t="n"/>
      <c r="D70" s="38" t="n"/>
      <c r="E70" s="38" t="n"/>
      <c r="F70" s="38" t="n"/>
      <c r="G70" s="38" t="n"/>
      <c r="H70" s="38" t="n"/>
      <c r="I70" s="47" t="n"/>
      <c r="J70" s="38" t="n"/>
      <c r="K70" s="52">
        <f>IF(B70="","",IF(_xlfn.MINIFS('JOBS'!$B$5:$B$1504,'JOBS'!$D$5:$D$1504,B70,'JOBS'!$O$5:$O$1504,"Completed")=0,"",_xlfn.MINIFS('JOBS'!$B$5:$B$1504,'JOBS'!$D$5:$D$1504,B70,'JOBS'!$O$5:$O$1504,"Completed")))</f>
        <v/>
      </c>
      <c r="L70" s="52">
        <f>IF(B70="","",IF(_xlfn.MAXIFS('JOBS'!$B$5:$B$1504,'JOBS'!$D$5:$D$1504,B70,'JOBS'!$O$5:$O$1504,"Completed")=0,"",_xlfn.MAXIFS('JOBS'!$B$5:$B$1504,'JOBS'!$D$5:$D$1504,B70,'JOBS'!$O$5:$O$1504,"Completed")))</f>
        <v/>
      </c>
      <c r="M70" s="53">
        <f>IF(B70="","",COUNTIFS('JOBS'!$D$5:$D$1504,B70,'JOBS'!$O$5:$O$1504,"Completed"))</f>
        <v/>
      </c>
      <c r="N70" s="54">
        <f>IF(B70="","",SUMIFS('JOBS'!$L$5:$L$1504,'JOBS'!$D$5:$D$1504,B70,'JOBS'!$O$5:$O$1504,"Completed"))</f>
        <v/>
      </c>
      <c r="O70" s="55">
        <f>IF(B70="","",SUMIFS('JOBS'!$U$5:$U$1504,'JOBS'!$D$5:$D$1504,B70))</f>
        <v/>
      </c>
      <c r="P70" s="49">
        <f>IF(B70="","",IF(COUNTIFS('RECURRING'!$B$5:$B$154,B70,'RECURRING'!$J$5:$J$154,"Active")&gt;0,"Yes","No"))</f>
        <v/>
      </c>
      <c r="Q70" s="50">
        <f>IF(L70="","",AsOf-L70)</f>
        <v/>
      </c>
      <c r="R70" s="49">
        <f>IF(B70="","",IF(H70="Do not service","—",IF(O70&gt;0.005,"Collect balance",IF(M70=0,"Book first job",IF(AND(P70="No",Q70&gt;=ReactDays),"Reactivate",IF(COUNTIF('REVIEWS'!$A$5:$A$504,B70)=0,"Ask for review",IF(AND(P70="No",M70&gt;=1),"Offer recurring plan","—")))))))</f>
        <v/>
      </c>
      <c r="S70" s="53">
        <f>IF(B70="","",COUNTIF('REFERRALS'!$B$5:$B$204,B70))</f>
        <v/>
      </c>
    </row>
    <row r="71">
      <c r="A71" s="46" t="inlineStr">
        <is>
          <t>C-067</t>
        </is>
      </c>
      <c r="B71" s="38" t="n"/>
      <c r="C71" s="38" t="n"/>
      <c r="D71" s="38" t="n"/>
      <c r="E71" s="38" t="n"/>
      <c r="F71" s="38" t="n"/>
      <c r="G71" s="38" t="n"/>
      <c r="H71" s="38" t="n"/>
      <c r="I71" s="47" t="n"/>
      <c r="J71" s="38" t="n"/>
      <c r="K71" s="52">
        <f>IF(B71="","",IF(_xlfn.MINIFS('JOBS'!$B$5:$B$1504,'JOBS'!$D$5:$D$1504,B71,'JOBS'!$O$5:$O$1504,"Completed")=0,"",_xlfn.MINIFS('JOBS'!$B$5:$B$1504,'JOBS'!$D$5:$D$1504,B71,'JOBS'!$O$5:$O$1504,"Completed")))</f>
        <v/>
      </c>
      <c r="L71" s="52">
        <f>IF(B71="","",IF(_xlfn.MAXIFS('JOBS'!$B$5:$B$1504,'JOBS'!$D$5:$D$1504,B71,'JOBS'!$O$5:$O$1504,"Completed")=0,"",_xlfn.MAXIFS('JOBS'!$B$5:$B$1504,'JOBS'!$D$5:$D$1504,B71,'JOBS'!$O$5:$O$1504,"Completed")))</f>
        <v/>
      </c>
      <c r="M71" s="53">
        <f>IF(B71="","",COUNTIFS('JOBS'!$D$5:$D$1504,B71,'JOBS'!$O$5:$O$1504,"Completed"))</f>
        <v/>
      </c>
      <c r="N71" s="54">
        <f>IF(B71="","",SUMIFS('JOBS'!$L$5:$L$1504,'JOBS'!$D$5:$D$1504,B71,'JOBS'!$O$5:$O$1504,"Completed"))</f>
        <v/>
      </c>
      <c r="O71" s="55">
        <f>IF(B71="","",SUMIFS('JOBS'!$U$5:$U$1504,'JOBS'!$D$5:$D$1504,B71))</f>
        <v/>
      </c>
      <c r="P71" s="49">
        <f>IF(B71="","",IF(COUNTIFS('RECURRING'!$B$5:$B$154,B71,'RECURRING'!$J$5:$J$154,"Active")&gt;0,"Yes","No"))</f>
        <v/>
      </c>
      <c r="Q71" s="50">
        <f>IF(L71="","",AsOf-L71)</f>
        <v/>
      </c>
      <c r="R71" s="49">
        <f>IF(B71="","",IF(H71="Do not service","—",IF(O71&gt;0.005,"Collect balance",IF(M71=0,"Book first job",IF(AND(P71="No",Q71&gt;=ReactDays),"Reactivate",IF(COUNTIF('REVIEWS'!$A$5:$A$504,B71)=0,"Ask for review",IF(AND(P71="No",M71&gt;=1),"Offer recurring plan","—")))))))</f>
        <v/>
      </c>
      <c r="S71" s="53">
        <f>IF(B71="","",COUNTIF('REFERRALS'!$B$5:$B$204,B71))</f>
        <v/>
      </c>
    </row>
    <row r="72">
      <c r="A72" s="46" t="inlineStr">
        <is>
          <t>C-068</t>
        </is>
      </c>
      <c r="B72" s="38" t="n"/>
      <c r="C72" s="38" t="n"/>
      <c r="D72" s="38" t="n"/>
      <c r="E72" s="38" t="n"/>
      <c r="F72" s="38" t="n"/>
      <c r="G72" s="38" t="n"/>
      <c r="H72" s="38" t="n"/>
      <c r="I72" s="47" t="n"/>
      <c r="J72" s="38" t="n"/>
      <c r="K72" s="52">
        <f>IF(B72="","",IF(_xlfn.MINIFS('JOBS'!$B$5:$B$1504,'JOBS'!$D$5:$D$1504,B72,'JOBS'!$O$5:$O$1504,"Completed")=0,"",_xlfn.MINIFS('JOBS'!$B$5:$B$1504,'JOBS'!$D$5:$D$1504,B72,'JOBS'!$O$5:$O$1504,"Completed")))</f>
        <v/>
      </c>
      <c r="L72" s="52">
        <f>IF(B72="","",IF(_xlfn.MAXIFS('JOBS'!$B$5:$B$1504,'JOBS'!$D$5:$D$1504,B72,'JOBS'!$O$5:$O$1504,"Completed")=0,"",_xlfn.MAXIFS('JOBS'!$B$5:$B$1504,'JOBS'!$D$5:$D$1504,B72,'JOBS'!$O$5:$O$1504,"Completed")))</f>
        <v/>
      </c>
      <c r="M72" s="53">
        <f>IF(B72="","",COUNTIFS('JOBS'!$D$5:$D$1504,B72,'JOBS'!$O$5:$O$1504,"Completed"))</f>
        <v/>
      </c>
      <c r="N72" s="54">
        <f>IF(B72="","",SUMIFS('JOBS'!$L$5:$L$1504,'JOBS'!$D$5:$D$1504,B72,'JOBS'!$O$5:$O$1504,"Completed"))</f>
        <v/>
      </c>
      <c r="O72" s="55">
        <f>IF(B72="","",SUMIFS('JOBS'!$U$5:$U$1504,'JOBS'!$D$5:$D$1504,B72))</f>
        <v/>
      </c>
      <c r="P72" s="49">
        <f>IF(B72="","",IF(COUNTIFS('RECURRING'!$B$5:$B$154,B72,'RECURRING'!$J$5:$J$154,"Active")&gt;0,"Yes","No"))</f>
        <v/>
      </c>
      <c r="Q72" s="50">
        <f>IF(L72="","",AsOf-L72)</f>
        <v/>
      </c>
      <c r="R72" s="49">
        <f>IF(B72="","",IF(H72="Do not service","—",IF(O72&gt;0.005,"Collect balance",IF(M72=0,"Book first job",IF(AND(P72="No",Q72&gt;=ReactDays),"Reactivate",IF(COUNTIF('REVIEWS'!$A$5:$A$504,B72)=0,"Ask for review",IF(AND(P72="No",M72&gt;=1),"Offer recurring plan","—")))))))</f>
        <v/>
      </c>
      <c r="S72" s="53">
        <f>IF(B72="","",COUNTIF('REFERRALS'!$B$5:$B$204,B72))</f>
        <v/>
      </c>
    </row>
    <row r="73">
      <c r="A73" s="46" t="inlineStr">
        <is>
          <t>C-069</t>
        </is>
      </c>
      <c r="B73" s="38" t="n"/>
      <c r="C73" s="38" t="n"/>
      <c r="D73" s="38" t="n"/>
      <c r="E73" s="38" t="n"/>
      <c r="F73" s="38" t="n"/>
      <c r="G73" s="38" t="n"/>
      <c r="H73" s="38" t="n"/>
      <c r="I73" s="47" t="n"/>
      <c r="J73" s="38" t="n"/>
      <c r="K73" s="52">
        <f>IF(B73="","",IF(_xlfn.MINIFS('JOBS'!$B$5:$B$1504,'JOBS'!$D$5:$D$1504,B73,'JOBS'!$O$5:$O$1504,"Completed")=0,"",_xlfn.MINIFS('JOBS'!$B$5:$B$1504,'JOBS'!$D$5:$D$1504,B73,'JOBS'!$O$5:$O$1504,"Completed")))</f>
        <v/>
      </c>
      <c r="L73" s="52">
        <f>IF(B73="","",IF(_xlfn.MAXIFS('JOBS'!$B$5:$B$1504,'JOBS'!$D$5:$D$1504,B73,'JOBS'!$O$5:$O$1504,"Completed")=0,"",_xlfn.MAXIFS('JOBS'!$B$5:$B$1504,'JOBS'!$D$5:$D$1504,B73,'JOBS'!$O$5:$O$1504,"Completed")))</f>
        <v/>
      </c>
      <c r="M73" s="53">
        <f>IF(B73="","",COUNTIFS('JOBS'!$D$5:$D$1504,B73,'JOBS'!$O$5:$O$1504,"Completed"))</f>
        <v/>
      </c>
      <c r="N73" s="54">
        <f>IF(B73="","",SUMIFS('JOBS'!$L$5:$L$1504,'JOBS'!$D$5:$D$1504,B73,'JOBS'!$O$5:$O$1504,"Completed"))</f>
        <v/>
      </c>
      <c r="O73" s="55">
        <f>IF(B73="","",SUMIFS('JOBS'!$U$5:$U$1504,'JOBS'!$D$5:$D$1504,B73))</f>
        <v/>
      </c>
      <c r="P73" s="49">
        <f>IF(B73="","",IF(COUNTIFS('RECURRING'!$B$5:$B$154,B73,'RECURRING'!$J$5:$J$154,"Active")&gt;0,"Yes","No"))</f>
        <v/>
      </c>
      <c r="Q73" s="50">
        <f>IF(L73="","",AsOf-L73)</f>
        <v/>
      </c>
      <c r="R73" s="49">
        <f>IF(B73="","",IF(H73="Do not service","—",IF(O73&gt;0.005,"Collect balance",IF(M73=0,"Book first job",IF(AND(P73="No",Q73&gt;=ReactDays),"Reactivate",IF(COUNTIF('REVIEWS'!$A$5:$A$504,B73)=0,"Ask for review",IF(AND(P73="No",M73&gt;=1),"Offer recurring plan","—")))))))</f>
        <v/>
      </c>
      <c r="S73" s="53">
        <f>IF(B73="","",COUNTIF('REFERRALS'!$B$5:$B$204,B73))</f>
        <v/>
      </c>
    </row>
    <row r="74">
      <c r="A74" s="46" t="inlineStr">
        <is>
          <t>C-070</t>
        </is>
      </c>
      <c r="B74" s="38" t="n"/>
      <c r="C74" s="38" t="n"/>
      <c r="D74" s="38" t="n"/>
      <c r="E74" s="38" t="n"/>
      <c r="F74" s="38" t="n"/>
      <c r="G74" s="38" t="n"/>
      <c r="H74" s="38" t="n"/>
      <c r="I74" s="47" t="n"/>
      <c r="J74" s="38" t="n"/>
      <c r="K74" s="52">
        <f>IF(B74="","",IF(_xlfn.MINIFS('JOBS'!$B$5:$B$1504,'JOBS'!$D$5:$D$1504,B74,'JOBS'!$O$5:$O$1504,"Completed")=0,"",_xlfn.MINIFS('JOBS'!$B$5:$B$1504,'JOBS'!$D$5:$D$1504,B74,'JOBS'!$O$5:$O$1504,"Completed")))</f>
        <v/>
      </c>
      <c r="L74" s="52">
        <f>IF(B74="","",IF(_xlfn.MAXIFS('JOBS'!$B$5:$B$1504,'JOBS'!$D$5:$D$1504,B74,'JOBS'!$O$5:$O$1504,"Completed")=0,"",_xlfn.MAXIFS('JOBS'!$B$5:$B$1504,'JOBS'!$D$5:$D$1504,B74,'JOBS'!$O$5:$O$1504,"Completed")))</f>
        <v/>
      </c>
      <c r="M74" s="53">
        <f>IF(B74="","",COUNTIFS('JOBS'!$D$5:$D$1504,B74,'JOBS'!$O$5:$O$1504,"Completed"))</f>
        <v/>
      </c>
      <c r="N74" s="54">
        <f>IF(B74="","",SUMIFS('JOBS'!$L$5:$L$1504,'JOBS'!$D$5:$D$1504,B74,'JOBS'!$O$5:$O$1504,"Completed"))</f>
        <v/>
      </c>
      <c r="O74" s="55">
        <f>IF(B74="","",SUMIFS('JOBS'!$U$5:$U$1504,'JOBS'!$D$5:$D$1504,B74))</f>
        <v/>
      </c>
      <c r="P74" s="49">
        <f>IF(B74="","",IF(COUNTIFS('RECURRING'!$B$5:$B$154,B74,'RECURRING'!$J$5:$J$154,"Active")&gt;0,"Yes","No"))</f>
        <v/>
      </c>
      <c r="Q74" s="50">
        <f>IF(L74="","",AsOf-L74)</f>
        <v/>
      </c>
      <c r="R74" s="49">
        <f>IF(B74="","",IF(H74="Do not service","—",IF(O74&gt;0.005,"Collect balance",IF(M74=0,"Book first job",IF(AND(P74="No",Q74&gt;=ReactDays),"Reactivate",IF(COUNTIF('REVIEWS'!$A$5:$A$504,B74)=0,"Ask for review",IF(AND(P74="No",M74&gt;=1),"Offer recurring plan","—")))))))</f>
        <v/>
      </c>
      <c r="S74" s="53">
        <f>IF(B74="","",COUNTIF('REFERRALS'!$B$5:$B$204,B74))</f>
        <v/>
      </c>
    </row>
    <row r="75">
      <c r="A75" s="46" t="inlineStr">
        <is>
          <t>C-071</t>
        </is>
      </c>
      <c r="B75" s="38" t="n"/>
      <c r="C75" s="38" t="n"/>
      <c r="D75" s="38" t="n"/>
      <c r="E75" s="38" t="n"/>
      <c r="F75" s="38" t="n"/>
      <c r="G75" s="38" t="n"/>
      <c r="H75" s="38" t="n"/>
      <c r="I75" s="47" t="n"/>
      <c r="J75" s="38" t="n"/>
      <c r="K75" s="52">
        <f>IF(B75="","",IF(_xlfn.MINIFS('JOBS'!$B$5:$B$1504,'JOBS'!$D$5:$D$1504,B75,'JOBS'!$O$5:$O$1504,"Completed")=0,"",_xlfn.MINIFS('JOBS'!$B$5:$B$1504,'JOBS'!$D$5:$D$1504,B75,'JOBS'!$O$5:$O$1504,"Completed")))</f>
        <v/>
      </c>
      <c r="L75" s="52">
        <f>IF(B75="","",IF(_xlfn.MAXIFS('JOBS'!$B$5:$B$1504,'JOBS'!$D$5:$D$1504,B75,'JOBS'!$O$5:$O$1504,"Completed")=0,"",_xlfn.MAXIFS('JOBS'!$B$5:$B$1504,'JOBS'!$D$5:$D$1504,B75,'JOBS'!$O$5:$O$1504,"Completed")))</f>
        <v/>
      </c>
      <c r="M75" s="53">
        <f>IF(B75="","",COUNTIFS('JOBS'!$D$5:$D$1504,B75,'JOBS'!$O$5:$O$1504,"Completed"))</f>
        <v/>
      </c>
      <c r="N75" s="54">
        <f>IF(B75="","",SUMIFS('JOBS'!$L$5:$L$1504,'JOBS'!$D$5:$D$1504,B75,'JOBS'!$O$5:$O$1504,"Completed"))</f>
        <v/>
      </c>
      <c r="O75" s="55">
        <f>IF(B75="","",SUMIFS('JOBS'!$U$5:$U$1504,'JOBS'!$D$5:$D$1504,B75))</f>
        <v/>
      </c>
      <c r="P75" s="49">
        <f>IF(B75="","",IF(COUNTIFS('RECURRING'!$B$5:$B$154,B75,'RECURRING'!$J$5:$J$154,"Active")&gt;0,"Yes","No"))</f>
        <v/>
      </c>
      <c r="Q75" s="50">
        <f>IF(L75="","",AsOf-L75)</f>
        <v/>
      </c>
      <c r="R75" s="49">
        <f>IF(B75="","",IF(H75="Do not service","—",IF(O75&gt;0.005,"Collect balance",IF(M75=0,"Book first job",IF(AND(P75="No",Q75&gt;=ReactDays),"Reactivate",IF(COUNTIF('REVIEWS'!$A$5:$A$504,B75)=0,"Ask for review",IF(AND(P75="No",M75&gt;=1),"Offer recurring plan","—")))))))</f>
        <v/>
      </c>
      <c r="S75" s="53">
        <f>IF(B75="","",COUNTIF('REFERRALS'!$B$5:$B$204,B75))</f>
        <v/>
      </c>
    </row>
    <row r="76">
      <c r="A76" s="46" t="inlineStr">
        <is>
          <t>C-072</t>
        </is>
      </c>
      <c r="B76" s="38" t="n"/>
      <c r="C76" s="38" t="n"/>
      <c r="D76" s="38" t="n"/>
      <c r="E76" s="38" t="n"/>
      <c r="F76" s="38" t="n"/>
      <c r="G76" s="38" t="n"/>
      <c r="H76" s="38" t="n"/>
      <c r="I76" s="47" t="n"/>
      <c r="J76" s="38" t="n"/>
      <c r="K76" s="52">
        <f>IF(B76="","",IF(_xlfn.MINIFS('JOBS'!$B$5:$B$1504,'JOBS'!$D$5:$D$1504,B76,'JOBS'!$O$5:$O$1504,"Completed")=0,"",_xlfn.MINIFS('JOBS'!$B$5:$B$1504,'JOBS'!$D$5:$D$1504,B76,'JOBS'!$O$5:$O$1504,"Completed")))</f>
        <v/>
      </c>
      <c r="L76" s="52">
        <f>IF(B76="","",IF(_xlfn.MAXIFS('JOBS'!$B$5:$B$1504,'JOBS'!$D$5:$D$1504,B76,'JOBS'!$O$5:$O$1504,"Completed")=0,"",_xlfn.MAXIFS('JOBS'!$B$5:$B$1504,'JOBS'!$D$5:$D$1504,B76,'JOBS'!$O$5:$O$1504,"Completed")))</f>
        <v/>
      </c>
      <c r="M76" s="53">
        <f>IF(B76="","",COUNTIFS('JOBS'!$D$5:$D$1504,B76,'JOBS'!$O$5:$O$1504,"Completed"))</f>
        <v/>
      </c>
      <c r="N76" s="54">
        <f>IF(B76="","",SUMIFS('JOBS'!$L$5:$L$1504,'JOBS'!$D$5:$D$1504,B76,'JOBS'!$O$5:$O$1504,"Completed"))</f>
        <v/>
      </c>
      <c r="O76" s="55">
        <f>IF(B76="","",SUMIFS('JOBS'!$U$5:$U$1504,'JOBS'!$D$5:$D$1504,B76))</f>
        <v/>
      </c>
      <c r="P76" s="49">
        <f>IF(B76="","",IF(COUNTIFS('RECURRING'!$B$5:$B$154,B76,'RECURRING'!$J$5:$J$154,"Active")&gt;0,"Yes","No"))</f>
        <v/>
      </c>
      <c r="Q76" s="50">
        <f>IF(L76="","",AsOf-L76)</f>
        <v/>
      </c>
      <c r="R76" s="49">
        <f>IF(B76="","",IF(H76="Do not service","—",IF(O76&gt;0.005,"Collect balance",IF(M76=0,"Book first job",IF(AND(P76="No",Q76&gt;=ReactDays),"Reactivate",IF(COUNTIF('REVIEWS'!$A$5:$A$504,B76)=0,"Ask for review",IF(AND(P76="No",M76&gt;=1),"Offer recurring plan","—")))))))</f>
        <v/>
      </c>
      <c r="S76" s="53">
        <f>IF(B76="","",COUNTIF('REFERRALS'!$B$5:$B$204,B76))</f>
        <v/>
      </c>
    </row>
    <row r="77">
      <c r="A77" s="46" t="inlineStr">
        <is>
          <t>C-073</t>
        </is>
      </c>
      <c r="B77" s="38" t="n"/>
      <c r="C77" s="38" t="n"/>
      <c r="D77" s="38" t="n"/>
      <c r="E77" s="38" t="n"/>
      <c r="F77" s="38" t="n"/>
      <c r="G77" s="38" t="n"/>
      <c r="H77" s="38" t="n"/>
      <c r="I77" s="47" t="n"/>
      <c r="J77" s="38" t="n"/>
      <c r="K77" s="52">
        <f>IF(B77="","",IF(_xlfn.MINIFS('JOBS'!$B$5:$B$1504,'JOBS'!$D$5:$D$1504,B77,'JOBS'!$O$5:$O$1504,"Completed")=0,"",_xlfn.MINIFS('JOBS'!$B$5:$B$1504,'JOBS'!$D$5:$D$1504,B77,'JOBS'!$O$5:$O$1504,"Completed")))</f>
        <v/>
      </c>
      <c r="L77" s="52">
        <f>IF(B77="","",IF(_xlfn.MAXIFS('JOBS'!$B$5:$B$1504,'JOBS'!$D$5:$D$1504,B77,'JOBS'!$O$5:$O$1504,"Completed")=0,"",_xlfn.MAXIFS('JOBS'!$B$5:$B$1504,'JOBS'!$D$5:$D$1504,B77,'JOBS'!$O$5:$O$1504,"Completed")))</f>
        <v/>
      </c>
      <c r="M77" s="53">
        <f>IF(B77="","",COUNTIFS('JOBS'!$D$5:$D$1504,B77,'JOBS'!$O$5:$O$1504,"Completed"))</f>
        <v/>
      </c>
      <c r="N77" s="54">
        <f>IF(B77="","",SUMIFS('JOBS'!$L$5:$L$1504,'JOBS'!$D$5:$D$1504,B77,'JOBS'!$O$5:$O$1504,"Completed"))</f>
        <v/>
      </c>
      <c r="O77" s="55">
        <f>IF(B77="","",SUMIFS('JOBS'!$U$5:$U$1504,'JOBS'!$D$5:$D$1504,B77))</f>
        <v/>
      </c>
      <c r="P77" s="49">
        <f>IF(B77="","",IF(COUNTIFS('RECURRING'!$B$5:$B$154,B77,'RECURRING'!$J$5:$J$154,"Active")&gt;0,"Yes","No"))</f>
        <v/>
      </c>
      <c r="Q77" s="50">
        <f>IF(L77="","",AsOf-L77)</f>
        <v/>
      </c>
      <c r="R77" s="49">
        <f>IF(B77="","",IF(H77="Do not service","—",IF(O77&gt;0.005,"Collect balance",IF(M77=0,"Book first job",IF(AND(P77="No",Q77&gt;=ReactDays),"Reactivate",IF(COUNTIF('REVIEWS'!$A$5:$A$504,B77)=0,"Ask for review",IF(AND(P77="No",M77&gt;=1),"Offer recurring plan","—")))))))</f>
        <v/>
      </c>
      <c r="S77" s="53">
        <f>IF(B77="","",COUNTIF('REFERRALS'!$B$5:$B$204,B77))</f>
        <v/>
      </c>
    </row>
    <row r="78">
      <c r="A78" s="46" t="inlineStr">
        <is>
          <t>C-074</t>
        </is>
      </c>
      <c r="B78" s="38" t="n"/>
      <c r="C78" s="38" t="n"/>
      <c r="D78" s="38" t="n"/>
      <c r="E78" s="38" t="n"/>
      <c r="F78" s="38" t="n"/>
      <c r="G78" s="38" t="n"/>
      <c r="H78" s="38" t="n"/>
      <c r="I78" s="47" t="n"/>
      <c r="J78" s="38" t="n"/>
      <c r="K78" s="52">
        <f>IF(B78="","",IF(_xlfn.MINIFS('JOBS'!$B$5:$B$1504,'JOBS'!$D$5:$D$1504,B78,'JOBS'!$O$5:$O$1504,"Completed")=0,"",_xlfn.MINIFS('JOBS'!$B$5:$B$1504,'JOBS'!$D$5:$D$1504,B78,'JOBS'!$O$5:$O$1504,"Completed")))</f>
        <v/>
      </c>
      <c r="L78" s="52">
        <f>IF(B78="","",IF(_xlfn.MAXIFS('JOBS'!$B$5:$B$1504,'JOBS'!$D$5:$D$1504,B78,'JOBS'!$O$5:$O$1504,"Completed")=0,"",_xlfn.MAXIFS('JOBS'!$B$5:$B$1504,'JOBS'!$D$5:$D$1504,B78,'JOBS'!$O$5:$O$1504,"Completed")))</f>
        <v/>
      </c>
      <c r="M78" s="53">
        <f>IF(B78="","",COUNTIFS('JOBS'!$D$5:$D$1504,B78,'JOBS'!$O$5:$O$1504,"Completed"))</f>
        <v/>
      </c>
      <c r="N78" s="54">
        <f>IF(B78="","",SUMIFS('JOBS'!$L$5:$L$1504,'JOBS'!$D$5:$D$1504,B78,'JOBS'!$O$5:$O$1504,"Completed"))</f>
        <v/>
      </c>
      <c r="O78" s="55">
        <f>IF(B78="","",SUMIFS('JOBS'!$U$5:$U$1504,'JOBS'!$D$5:$D$1504,B78))</f>
        <v/>
      </c>
      <c r="P78" s="49">
        <f>IF(B78="","",IF(COUNTIFS('RECURRING'!$B$5:$B$154,B78,'RECURRING'!$J$5:$J$154,"Active")&gt;0,"Yes","No"))</f>
        <v/>
      </c>
      <c r="Q78" s="50">
        <f>IF(L78="","",AsOf-L78)</f>
        <v/>
      </c>
      <c r="R78" s="49">
        <f>IF(B78="","",IF(H78="Do not service","—",IF(O78&gt;0.005,"Collect balance",IF(M78=0,"Book first job",IF(AND(P78="No",Q78&gt;=ReactDays),"Reactivate",IF(COUNTIF('REVIEWS'!$A$5:$A$504,B78)=0,"Ask for review",IF(AND(P78="No",M78&gt;=1),"Offer recurring plan","—")))))))</f>
        <v/>
      </c>
      <c r="S78" s="53">
        <f>IF(B78="","",COUNTIF('REFERRALS'!$B$5:$B$204,B78))</f>
        <v/>
      </c>
    </row>
    <row r="79">
      <c r="A79" s="46" t="inlineStr">
        <is>
          <t>C-075</t>
        </is>
      </c>
      <c r="B79" s="38" t="n"/>
      <c r="C79" s="38" t="n"/>
      <c r="D79" s="38" t="n"/>
      <c r="E79" s="38" t="n"/>
      <c r="F79" s="38" t="n"/>
      <c r="G79" s="38" t="n"/>
      <c r="H79" s="38" t="n"/>
      <c r="I79" s="47" t="n"/>
      <c r="J79" s="38" t="n"/>
      <c r="K79" s="52">
        <f>IF(B79="","",IF(_xlfn.MINIFS('JOBS'!$B$5:$B$1504,'JOBS'!$D$5:$D$1504,B79,'JOBS'!$O$5:$O$1504,"Completed")=0,"",_xlfn.MINIFS('JOBS'!$B$5:$B$1504,'JOBS'!$D$5:$D$1504,B79,'JOBS'!$O$5:$O$1504,"Completed")))</f>
        <v/>
      </c>
      <c r="L79" s="52">
        <f>IF(B79="","",IF(_xlfn.MAXIFS('JOBS'!$B$5:$B$1504,'JOBS'!$D$5:$D$1504,B79,'JOBS'!$O$5:$O$1504,"Completed")=0,"",_xlfn.MAXIFS('JOBS'!$B$5:$B$1504,'JOBS'!$D$5:$D$1504,B79,'JOBS'!$O$5:$O$1504,"Completed")))</f>
        <v/>
      </c>
      <c r="M79" s="53">
        <f>IF(B79="","",COUNTIFS('JOBS'!$D$5:$D$1504,B79,'JOBS'!$O$5:$O$1504,"Completed"))</f>
        <v/>
      </c>
      <c r="N79" s="54">
        <f>IF(B79="","",SUMIFS('JOBS'!$L$5:$L$1504,'JOBS'!$D$5:$D$1504,B79,'JOBS'!$O$5:$O$1504,"Completed"))</f>
        <v/>
      </c>
      <c r="O79" s="55">
        <f>IF(B79="","",SUMIFS('JOBS'!$U$5:$U$1504,'JOBS'!$D$5:$D$1504,B79))</f>
        <v/>
      </c>
      <c r="P79" s="49">
        <f>IF(B79="","",IF(COUNTIFS('RECURRING'!$B$5:$B$154,B79,'RECURRING'!$J$5:$J$154,"Active")&gt;0,"Yes","No"))</f>
        <v/>
      </c>
      <c r="Q79" s="50">
        <f>IF(L79="","",AsOf-L79)</f>
        <v/>
      </c>
      <c r="R79" s="49">
        <f>IF(B79="","",IF(H79="Do not service","—",IF(O79&gt;0.005,"Collect balance",IF(M79=0,"Book first job",IF(AND(P79="No",Q79&gt;=ReactDays),"Reactivate",IF(COUNTIF('REVIEWS'!$A$5:$A$504,B79)=0,"Ask for review",IF(AND(P79="No",M79&gt;=1),"Offer recurring plan","—")))))))</f>
        <v/>
      </c>
      <c r="S79" s="53">
        <f>IF(B79="","",COUNTIF('REFERRALS'!$B$5:$B$204,B79))</f>
        <v/>
      </c>
    </row>
    <row r="80">
      <c r="A80" s="46" t="inlineStr">
        <is>
          <t>C-076</t>
        </is>
      </c>
      <c r="B80" s="38" t="n"/>
      <c r="C80" s="38" t="n"/>
      <c r="D80" s="38" t="n"/>
      <c r="E80" s="38" t="n"/>
      <c r="F80" s="38" t="n"/>
      <c r="G80" s="38" t="n"/>
      <c r="H80" s="38" t="n"/>
      <c r="I80" s="47" t="n"/>
      <c r="J80" s="38" t="n"/>
      <c r="K80" s="52">
        <f>IF(B80="","",IF(_xlfn.MINIFS('JOBS'!$B$5:$B$1504,'JOBS'!$D$5:$D$1504,B80,'JOBS'!$O$5:$O$1504,"Completed")=0,"",_xlfn.MINIFS('JOBS'!$B$5:$B$1504,'JOBS'!$D$5:$D$1504,B80,'JOBS'!$O$5:$O$1504,"Completed")))</f>
        <v/>
      </c>
      <c r="L80" s="52">
        <f>IF(B80="","",IF(_xlfn.MAXIFS('JOBS'!$B$5:$B$1504,'JOBS'!$D$5:$D$1504,B80,'JOBS'!$O$5:$O$1504,"Completed")=0,"",_xlfn.MAXIFS('JOBS'!$B$5:$B$1504,'JOBS'!$D$5:$D$1504,B80,'JOBS'!$O$5:$O$1504,"Completed")))</f>
        <v/>
      </c>
      <c r="M80" s="53">
        <f>IF(B80="","",COUNTIFS('JOBS'!$D$5:$D$1504,B80,'JOBS'!$O$5:$O$1504,"Completed"))</f>
        <v/>
      </c>
      <c r="N80" s="54">
        <f>IF(B80="","",SUMIFS('JOBS'!$L$5:$L$1504,'JOBS'!$D$5:$D$1504,B80,'JOBS'!$O$5:$O$1504,"Completed"))</f>
        <v/>
      </c>
      <c r="O80" s="55">
        <f>IF(B80="","",SUMIFS('JOBS'!$U$5:$U$1504,'JOBS'!$D$5:$D$1504,B80))</f>
        <v/>
      </c>
      <c r="P80" s="49">
        <f>IF(B80="","",IF(COUNTIFS('RECURRING'!$B$5:$B$154,B80,'RECURRING'!$J$5:$J$154,"Active")&gt;0,"Yes","No"))</f>
        <v/>
      </c>
      <c r="Q80" s="50">
        <f>IF(L80="","",AsOf-L80)</f>
        <v/>
      </c>
      <c r="R80" s="49">
        <f>IF(B80="","",IF(H80="Do not service","—",IF(O80&gt;0.005,"Collect balance",IF(M80=0,"Book first job",IF(AND(P80="No",Q80&gt;=ReactDays),"Reactivate",IF(COUNTIF('REVIEWS'!$A$5:$A$504,B80)=0,"Ask for review",IF(AND(P80="No",M80&gt;=1),"Offer recurring plan","—")))))))</f>
        <v/>
      </c>
      <c r="S80" s="53">
        <f>IF(B80="","",COUNTIF('REFERRALS'!$B$5:$B$204,B80))</f>
        <v/>
      </c>
    </row>
    <row r="81">
      <c r="A81" s="46" t="inlineStr">
        <is>
          <t>C-077</t>
        </is>
      </c>
      <c r="B81" s="38" t="n"/>
      <c r="C81" s="38" t="n"/>
      <c r="D81" s="38" t="n"/>
      <c r="E81" s="38" t="n"/>
      <c r="F81" s="38" t="n"/>
      <c r="G81" s="38" t="n"/>
      <c r="H81" s="38" t="n"/>
      <c r="I81" s="47" t="n"/>
      <c r="J81" s="38" t="n"/>
      <c r="K81" s="52">
        <f>IF(B81="","",IF(_xlfn.MINIFS('JOBS'!$B$5:$B$1504,'JOBS'!$D$5:$D$1504,B81,'JOBS'!$O$5:$O$1504,"Completed")=0,"",_xlfn.MINIFS('JOBS'!$B$5:$B$1504,'JOBS'!$D$5:$D$1504,B81,'JOBS'!$O$5:$O$1504,"Completed")))</f>
        <v/>
      </c>
      <c r="L81" s="52">
        <f>IF(B81="","",IF(_xlfn.MAXIFS('JOBS'!$B$5:$B$1504,'JOBS'!$D$5:$D$1504,B81,'JOBS'!$O$5:$O$1504,"Completed")=0,"",_xlfn.MAXIFS('JOBS'!$B$5:$B$1504,'JOBS'!$D$5:$D$1504,B81,'JOBS'!$O$5:$O$1504,"Completed")))</f>
        <v/>
      </c>
      <c r="M81" s="53">
        <f>IF(B81="","",COUNTIFS('JOBS'!$D$5:$D$1504,B81,'JOBS'!$O$5:$O$1504,"Completed"))</f>
        <v/>
      </c>
      <c r="N81" s="54">
        <f>IF(B81="","",SUMIFS('JOBS'!$L$5:$L$1504,'JOBS'!$D$5:$D$1504,B81,'JOBS'!$O$5:$O$1504,"Completed"))</f>
        <v/>
      </c>
      <c r="O81" s="55">
        <f>IF(B81="","",SUMIFS('JOBS'!$U$5:$U$1504,'JOBS'!$D$5:$D$1504,B81))</f>
        <v/>
      </c>
      <c r="P81" s="49">
        <f>IF(B81="","",IF(COUNTIFS('RECURRING'!$B$5:$B$154,B81,'RECURRING'!$J$5:$J$154,"Active")&gt;0,"Yes","No"))</f>
        <v/>
      </c>
      <c r="Q81" s="50">
        <f>IF(L81="","",AsOf-L81)</f>
        <v/>
      </c>
      <c r="R81" s="49">
        <f>IF(B81="","",IF(H81="Do not service","—",IF(O81&gt;0.005,"Collect balance",IF(M81=0,"Book first job",IF(AND(P81="No",Q81&gt;=ReactDays),"Reactivate",IF(COUNTIF('REVIEWS'!$A$5:$A$504,B81)=0,"Ask for review",IF(AND(P81="No",M81&gt;=1),"Offer recurring plan","—")))))))</f>
        <v/>
      </c>
      <c r="S81" s="53">
        <f>IF(B81="","",COUNTIF('REFERRALS'!$B$5:$B$204,B81))</f>
        <v/>
      </c>
    </row>
    <row r="82">
      <c r="A82" s="46" t="inlineStr">
        <is>
          <t>C-078</t>
        </is>
      </c>
      <c r="B82" s="38" t="n"/>
      <c r="C82" s="38" t="n"/>
      <c r="D82" s="38" t="n"/>
      <c r="E82" s="38" t="n"/>
      <c r="F82" s="38" t="n"/>
      <c r="G82" s="38" t="n"/>
      <c r="H82" s="38" t="n"/>
      <c r="I82" s="47" t="n"/>
      <c r="J82" s="38" t="n"/>
      <c r="K82" s="52">
        <f>IF(B82="","",IF(_xlfn.MINIFS('JOBS'!$B$5:$B$1504,'JOBS'!$D$5:$D$1504,B82,'JOBS'!$O$5:$O$1504,"Completed")=0,"",_xlfn.MINIFS('JOBS'!$B$5:$B$1504,'JOBS'!$D$5:$D$1504,B82,'JOBS'!$O$5:$O$1504,"Completed")))</f>
        <v/>
      </c>
      <c r="L82" s="52">
        <f>IF(B82="","",IF(_xlfn.MAXIFS('JOBS'!$B$5:$B$1504,'JOBS'!$D$5:$D$1504,B82,'JOBS'!$O$5:$O$1504,"Completed")=0,"",_xlfn.MAXIFS('JOBS'!$B$5:$B$1504,'JOBS'!$D$5:$D$1504,B82,'JOBS'!$O$5:$O$1504,"Completed")))</f>
        <v/>
      </c>
      <c r="M82" s="53">
        <f>IF(B82="","",COUNTIFS('JOBS'!$D$5:$D$1504,B82,'JOBS'!$O$5:$O$1504,"Completed"))</f>
        <v/>
      </c>
      <c r="N82" s="54">
        <f>IF(B82="","",SUMIFS('JOBS'!$L$5:$L$1504,'JOBS'!$D$5:$D$1504,B82,'JOBS'!$O$5:$O$1504,"Completed"))</f>
        <v/>
      </c>
      <c r="O82" s="55">
        <f>IF(B82="","",SUMIFS('JOBS'!$U$5:$U$1504,'JOBS'!$D$5:$D$1504,B82))</f>
        <v/>
      </c>
      <c r="P82" s="49">
        <f>IF(B82="","",IF(COUNTIFS('RECURRING'!$B$5:$B$154,B82,'RECURRING'!$J$5:$J$154,"Active")&gt;0,"Yes","No"))</f>
        <v/>
      </c>
      <c r="Q82" s="50">
        <f>IF(L82="","",AsOf-L82)</f>
        <v/>
      </c>
      <c r="R82" s="49">
        <f>IF(B82="","",IF(H82="Do not service","—",IF(O82&gt;0.005,"Collect balance",IF(M82=0,"Book first job",IF(AND(P82="No",Q82&gt;=ReactDays),"Reactivate",IF(COUNTIF('REVIEWS'!$A$5:$A$504,B82)=0,"Ask for review",IF(AND(P82="No",M82&gt;=1),"Offer recurring plan","—")))))))</f>
        <v/>
      </c>
      <c r="S82" s="53">
        <f>IF(B82="","",COUNTIF('REFERRALS'!$B$5:$B$204,B82))</f>
        <v/>
      </c>
    </row>
    <row r="83">
      <c r="A83" s="46" t="inlineStr">
        <is>
          <t>C-079</t>
        </is>
      </c>
      <c r="B83" s="38" t="n"/>
      <c r="C83" s="38" t="n"/>
      <c r="D83" s="38" t="n"/>
      <c r="E83" s="38" t="n"/>
      <c r="F83" s="38" t="n"/>
      <c r="G83" s="38" t="n"/>
      <c r="H83" s="38" t="n"/>
      <c r="I83" s="47" t="n"/>
      <c r="J83" s="38" t="n"/>
      <c r="K83" s="52">
        <f>IF(B83="","",IF(_xlfn.MINIFS('JOBS'!$B$5:$B$1504,'JOBS'!$D$5:$D$1504,B83,'JOBS'!$O$5:$O$1504,"Completed")=0,"",_xlfn.MINIFS('JOBS'!$B$5:$B$1504,'JOBS'!$D$5:$D$1504,B83,'JOBS'!$O$5:$O$1504,"Completed")))</f>
        <v/>
      </c>
      <c r="L83" s="52">
        <f>IF(B83="","",IF(_xlfn.MAXIFS('JOBS'!$B$5:$B$1504,'JOBS'!$D$5:$D$1504,B83,'JOBS'!$O$5:$O$1504,"Completed")=0,"",_xlfn.MAXIFS('JOBS'!$B$5:$B$1504,'JOBS'!$D$5:$D$1504,B83,'JOBS'!$O$5:$O$1504,"Completed")))</f>
        <v/>
      </c>
      <c r="M83" s="53">
        <f>IF(B83="","",COUNTIFS('JOBS'!$D$5:$D$1504,B83,'JOBS'!$O$5:$O$1504,"Completed"))</f>
        <v/>
      </c>
      <c r="N83" s="54">
        <f>IF(B83="","",SUMIFS('JOBS'!$L$5:$L$1504,'JOBS'!$D$5:$D$1504,B83,'JOBS'!$O$5:$O$1504,"Completed"))</f>
        <v/>
      </c>
      <c r="O83" s="55">
        <f>IF(B83="","",SUMIFS('JOBS'!$U$5:$U$1504,'JOBS'!$D$5:$D$1504,B83))</f>
        <v/>
      </c>
      <c r="P83" s="49">
        <f>IF(B83="","",IF(COUNTIFS('RECURRING'!$B$5:$B$154,B83,'RECURRING'!$J$5:$J$154,"Active")&gt;0,"Yes","No"))</f>
        <v/>
      </c>
      <c r="Q83" s="50">
        <f>IF(L83="","",AsOf-L83)</f>
        <v/>
      </c>
      <c r="R83" s="49">
        <f>IF(B83="","",IF(H83="Do not service","—",IF(O83&gt;0.005,"Collect balance",IF(M83=0,"Book first job",IF(AND(P83="No",Q83&gt;=ReactDays),"Reactivate",IF(COUNTIF('REVIEWS'!$A$5:$A$504,B83)=0,"Ask for review",IF(AND(P83="No",M83&gt;=1),"Offer recurring plan","—")))))))</f>
        <v/>
      </c>
      <c r="S83" s="53">
        <f>IF(B83="","",COUNTIF('REFERRALS'!$B$5:$B$204,B83))</f>
        <v/>
      </c>
    </row>
    <row r="84">
      <c r="A84" s="46" t="inlineStr">
        <is>
          <t>C-080</t>
        </is>
      </c>
      <c r="B84" s="38" t="n"/>
      <c r="C84" s="38" t="n"/>
      <c r="D84" s="38" t="n"/>
      <c r="E84" s="38" t="n"/>
      <c r="F84" s="38" t="n"/>
      <c r="G84" s="38" t="n"/>
      <c r="H84" s="38" t="n"/>
      <c r="I84" s="47" t="n"/>
      <c r="J84" s="38" t="n"/>
      <c r="K84" s="52">
        <f>IF(B84="","",IF(_xlfn.MINIFS('JOBS'!$B$5:$B$1504,'JOBS'!$D$5:$D$1504,B84,'JOBS'!$O$5:$O$1504,"Completed")=0,"",_xlfn.MINIFS('JOBS'!$B$5:$B$1504,'JOBS'!$D$5:$D$1504,B84,'JOBS'!$O$5:$O$1504,"Completed")))</f>
        <v/>
      </c>
      <c r="L84" s="52">
        <f>IF(B84="","",IF(_xlfn.MAXIFS('JOBS'!$B$5:$B$1504,'JOBS'!$D$5:$D$1504,B84,'JOBS'!$O$5:$O$1504,"Completed")=0,"",_xlfn.MAXIFS('JOBS'!$B$5:$B$1504,'JOBS'!$D$5:$D$1504,B84,'JOBS'!$O$5:$O$1504,"Completed")))</f>
        <v/>
      </c>
      <c r="M84" s="53">
        <f>IF(B84="","",COUNTIFS('JOBS'!$D$5:$D$1504,B84,'JOBS'!$O$5:$O$1504,"Completed"))</f>
        <v/>
      </c>
      <c r="N84" s="54">
        <f>IF(B84="","",SUMIFS('JOBS'!$L$5:$L$1504,'JOBS'!$D$5:$D$1504,B84,'JOBS'!$O$5:$O$1504,"Completed"))</f>
        <v/>
      </c>
      <c r="O84" s="55">
        <f>IF(B84="","",SUMIFS('JOBS'!$U$5:$U$1504,'JOBS'!$D$5:$D$1504,B84))</f>
        <v/>
      </c>
      <c r="P84" s="49">
        <f>IF(B84="","",IF(COUNTIFS('RECURRING'!$B$5:$B$154,B84,'RECURRING'!$J$5:$J$154,"Active")&gt;0,"Yes","No"))</f>
        <v/>
      </c>
      <c r="Q84" s="50">
        <f>IF(L84="","",AsOf-L84)</f>
        <v/>
      </c>
      <c r="R84" s="49">
        <f>IF(B84="","",IF(H84="Do not service","—",IF(O84&gt;0.005,"Collect balance",IF(M84=0,"Book first job",IF(AND(P84="No",Q84&gt;=ReactDays),"Reactivate",IF(COUNTIF('REVIEWS'!$A$5:$A$504,B84)=0,"Ask for review",IF(AND(P84="No",M84&gt;=1),"Offer recurring plan","—")))))))</f>
        <v/>
      </c>
      <c r="S84" s="53">
        <f>IF(B84="","",COUNTIF('REFERRALS'!$B$5:$B$204,B84))</f>
        <v/>
      </c>
    </row>
    <row r="85">
      <c r="A85" s="46" t="inlineStr">
        <is>
          <t>C-081</t>
        </is>
      </c>
      <c r="B85" s="38" t="n"/>
      <c r="C85" s="38" t="n"/>
      <c r="D85" s="38" t="n"/>
      <c r="E85" s="38" t="n"/>
      <c r="F85" s="38" t="n"/>
      <c r="G85" s="38" t="n"/>
      <c r="H85" s="38" t="n"/>
      <c r="I85" s="47" t="n"/>
      <c r="J85" s="38" t="n"/>
      <c r="K85" s="52">
        <f>IF(B85="","",IF(_xlfn.MINIFS('JOBS'!$B$5:$B$1504,'JOBS'!$D$5:$D$1504,B85,'JOBS'!$O$5:$O$1504,"Completed")=0,"",_xlfn.MINIFS('JOBS'!$B$5:$B$1504,'JOBS'!$D$5:$D$1504,B85,'JOBS'!$O$5:$O$1504,"Completed")))</f>
        <v/>
      </c>
      <c r="L85" s="52">
        <f>IF(B85="","",IF(_xlfn.MAXIFS('JOBS'!$B$5:$B$1504,'JOBS'!$D$5:$D$1504,B85,'JOBS'!$O$5:$O$1504,"Completed")=0,"",_xlfn.MAXIFS('JOBS'!$B$5:$B$1504,'JOBS'!$D$5:$D$1504,B85,'JOBS'!$O$5:$O$1504,"Completed")))</f>
        <v/>
      </c>
      <c r="M85" s="53">
        <f>IF(B85="","",COUNTIFS('JOBS'!$D$5:$D$1504,B85,'JOBS'!$O$5:$O$1504,"Completed"))</f>
        <v/>
      </c>
      <c r="N85" s="54">
        <f>IF(B85="","",SUMIFS('JOBS'!$L$5:$L$1504,'JOBS'!$D$5:$D$1504,B85,'JOBS'!$O$5:$O$1504,"Completed"))</f>
        <v/>
      </c>
      <c r="O85" s="55">
        <f>IF(B85="","",SUMIFS('JOBS'!$U$5:$U$1504,'JOBS'!$D$5:$D$1504,B85))</f>
        <v/>
      </c>
      <c r="P85" s="49">
        <f>IF(B85="","",IF(COUNTIFS('RECURRING'!$B$5:$B$154,B85,'RECURRING'!$J$5:$J$154,"Active")&gt;0,"Yes","No"))</f>
        <v/>
      </c>
      <c r="Q85" s="50">
        <f>IF(L85="","",AsOf-L85)</f>
        <v/>
      </c>
      <c r="R85" s="49">
        <f>IF(B85="","",IF(H85="Do not service","—",IF(O85&gt;0.005,"Collect balance",IF(M85=0,"Book first job",IF(AND(P85="No",Q85&gt;=ReactDays),"Reactivate",IF(COUNTIF('REVIEWS'!$A$5:$A$504,B85)=0,"Ask for review",IF(AND(P85="No",M85&gt;=1),"Offer recurring plan","—")))))))</f>
        <v/>
      </c>
      <c r="S85" s="53">
        <f>IF(B85="","",COUNTIF('REFERRALS'!$B$5:$B$204,B85))</f>
        <v/>
      </c>
    </row>
    <row r="86">
      <c r="A86" s="46" t="inlineStr">
        <is>
          <t>C-082</t>
        </is>
      </c>
      <c r="B86" s="38" t="n"/>
      <c r="C86" s="38" t="n"/>
      <c r="D86" s="38" t="n"/>
      <c r="E86" s="38" t="n"/>
      <c r="F86" s="38" t="n"/>
      <c r="G86" s="38" t="n"/>
      <c r="H86" s="38" t="n"/>
      <c r="I86" s="47" t="n"/>
      <c r="J86" s="38" t="n"/>
      <c r="K86" s="52">
        <f>IF(B86="","",IF(_xlfn.MINIFS('JOBS'!$B$5:$B$1504,'JOBS'!$D$5:$D$1504,B86,'JOBS'!$O$5:$O$1504,"Completed")=0,"",_xlfn.MINIFS('JOBS'!$B$5:$B$1504,'JOBS'!$D$5:$D$1504,B86,'JOBS'!$O$5:$O$1504,"Completed")))</f>
        <v/>
      </c>
      <c r="L86" s="52">
        <f>IF(B86="","",IF(_xlfn.MAXIFS('JOBS'!$B$5:$B$1504,'JOBS'!$D$5:$D$1504,B86,'JOBS'!$O$5:$O$1504,"Completed")=0,"",_xlfn.MAXIFS('JOBS'!$B$5:$B$1504,'JOBS'!$D$5:$D$1504,B86,'JOBS'!$O$5:$O$1504,"Completed")))</f>
        <v/>
      </c>
      <c r="M86" s="53">
        <f>IF(B86="","",COUNTIFS('JOBS'!$D$5:$D$1504,B86,'JOBS'!$O$5:$O$1504,"Completed"))</f>
        <v/>
      </c>
      <c r="N86" s="54">
        <f>IF(B86="","",SUMIFS('JOBS'!$L$5:$L$1504,'JOBS'!$D$5:$D$1504,B86,'JOBS'!$O$5:$O$1504,"Completed"))</f>
        <v/>
      </c>
      <c r="O86" s="55">
        <f>IF(B86="","",SUMIFS('JOBS'!$U$5:$U$1504,'JOBS'!$D$5:$D$1504,B86))</f>
        <v/>
      </c>
      <c r="P86" s="49">
        <f>IF(B86="","",IF(COUNTIFS('RECURRING'!$B$5:$B$154,B86,'RECURRING'!$J$5:$J$154,"Active")&gt;0,"Yes","No"))</f>
        <v/>
      </c>
      <c r="Q86" s="50">
        <f>IF(L86="","",AsOf-L86)</f>
        <v/>
      </c>
      <c r="R86" s="49">
        <f>IF(B86="","",IF(H86="Do not service","—",IF(O86&gt;0.005,"Collect balance",IF(M86=0,"Book first job",IF(AND(P86="No",Q86&gt;=ReactDays),"Reactivate",IF(COUNTIF('REVIEWS'!$A$5:$A$504,B86)=0,"Ask for review",IF(AND(P86="No",M86&gt;=1),"Offer recurring plan","—")))))))</f>
        <v/>
      </c>
      <c r="S86" s="53">
        <f>IF(B86="","",COUNTIF('REFERRALS'!$B$5:$B$204,B86))</f>
        <v/>
      </c>
    </row>
    <row r="87">
      <c r="A87" s="46" t="inlineStr">
        <is>
          <t>C-083</t>
        </is>
      </c>
      <c r="B87" s="38" t="n"/>
      <c r="C87" s="38" t="n"/>
      <c r="D87" s="38" t="n"/>
      <c r="E87" s="38" t="n"/>
      <c r="F87" s="38" t="n"/>
      <c r="G87" s="38" t="n"/>
      <c r="H87" s="38" t="n"/>
      <c r="I87" s="47" t="n"/>
      <c r="J87" s="38" t="n"/>
      <c r="K87" s="52">
        <f>IF(B87="","",IF(_xlfn.MINIFS('JOBS'!$B$5:$B$1504,'JOBS'!$D$5:$D$1504,B87,'JOBS'!$O$5:$O$1504,"Completed")=0,"",_xlfn.MINIFS('JOBS'!$B$5:$B$1504,'JOBS'!$D$5:$D$1504,B87,'JOBS'!$O$5:$O$1504,"Completed")))</f>
        <v/>
      </c>
      <c r="L87" s="52">
        <f>IF(B87="","",IF(_xlfn.MAXIFS('JOBS'!$B$5:$B$1504,'JOBS'!$D$5:$D$1504,B87,'JOBS'!$O$5:$O$1504,"Completed")=0,"",_xlfn.MAXIFS('JOBS'!$B$5:$B$1504,'JOBS'!$D$5:$D$1504,B87,'JOBS'!$O$5:$O$1504,"Completed")))</f>
        <v/>
      </c>
      <c r="M87" s="53">
        <f>IF(B87="","",COUNTIFS('JOBS'!$D$5:$D$1504,B87,'JOBS'!$O$5:$O$1504,"Completed"))</f>
        <v/>
      </c>
      <c r="N87" s="54">
        <f>IF(B87="","",SUMIFS('JOBS'!$L$5:$L$1504,'JOBS'!$D$5:$D$1504,B87,'JOBS'!$O$5:$O$1504,"Completed"))</f>
        <v/>
      </c>
      <c r="O87" s="55">
        <f>IF(B87="","",SUMIFS('JOBS'!$U$5:$U$1504,'JOBS'!$D$5:$D$1504,B87))</f>
        <v/>
      </c>
      <c r="P87" s="49">
        <f>IF(B87="","",IF(COUNTIFS('RECURRING'!$B$5:$B$154,B87,'RECURRING'!$J$5:$J$154,"Active")&gt;0,"Yes","No"))</f>
        <v/>
      </c>
      <c r="Q87" s="50">
        <f>IF(L87="","",AsOf-L87)</f>
        <v/>
      </c>
      <c r="R87" s="49">
        <f>IF(B87="","",IF(H87="Do not service","—",IF(O87&gt;0.005,"Collect balance",IF(M87=0,"Book first job",IF(AND(P87="No",Q87&gt;=ReactDays),"Reactivate",IF(COUNTIF('REVIEWS'!$A$5:$A$504,B87)=0,"Ask for review",IF(AND(P87="No",M87&gt;=1),"Offer recurring plan","—")))))))</f>
        <v/>
      </c>
      <c r="S87" s="53">
        <f>IF(B87="","",COUNTIF('REFERRALS'!$B$5:$B$204,B87))</f>
        <v/>
      </c>
    </row>
    <row r="88">
      <c r="A88" s="46" t="inlineStr">
        <is>
          <t>C-084</t>
        </is>
      </c>
      <c r="B88" s="38" t="n"/>
      <c r="C88" s="38" t="n"/>
      <c r="D88" s="38" t="n"/>
      <c r="E88" s="38" t="n"/>
      <c r="F88" s="38" t="n"/>
      <c r="G88" s="38" t="n"/>
      <c r="H88" s="38" t="n"/>
      <c r="I88" s="47" t="n"/>
      <c r="J88" s="38" t="n"/>
      <c r="K88" s="52">
        <f>IF(B88="","",IF(_xlfn.MINIFS('JOBS'!$B$5:$B$1504,'JOBS'!$D$5:$D$1504,B88,'JOBS'!$O$5:$O$1504,"Completed")=0,"",_xlfn.MINIFS('JOBS'!$B$5:$B$1504,'JOBS'!$D$5:$D$1504,B88,'JOBS'!$O$5:$O$1504,"Completed")))</f>
        <v/>
      </c>
      <c r="L88" s="52">
        <f>IF(B88="","",IF(_xlfn.MAXIFS('JOBS'!$B$5:$B$1504,'JOBS'!$D$5:$D$1504,B88,'JOBS'!$O$5:$O$1504,"Completed")=0,"",_xlfn.MAXIFS('JOBS'!$B$5:$B$1504,'JOBS'!$D$5:$D$1504,B88,'JOBS'!$O$5:$O$1504,"Completed")))</f>
        <v/>
      </c>
      <c r="M88" s="53">
        <f>IF(B88="","",COUNTIFS('JOBS'!$D$5:$D$1504,B88,'JOBS'!$O$5:$O$1504,"Completed"))</f>
        <v/>
      </c>
      <c r="N88" s="54">
        <f>IF(B88="","",SUMIFS('JOBS'!$L$5:$L$1504,'JOBS'!$D$5:$D$1504,B88,'JOBS'!$O$5:$O$1504,"Completed"))</f>
        <v/>
      </c>
      <c r="O88" s="55">
        <f>IF(B88="","",SUMIFS('JOBS'!$U$5:$U$1504,'JOBS'!$D$5:$D$1504,B88))</f>
        <v/>
      </c>
      <c r="P88" s="49">
        <f>IF(B88="","",IF(COUNTIFS('RECURRING'!$B$5:$B$154,B88,'RECURRING'!$J$5:$J$154,"Active")&gt;0,"Yes","No"))</f>
        <v/>
      </c>
      <c r="Q88" s="50">
        <f>IF(L88="","",AsOf-L88)</f>
        <v/>
      </c>
      <c r="R88" s="49">
        <f>IF(B88="","",IF(H88="Do not service","—",IF(O88&gt;0.005,"Collect balance",IF(M88=0,"Book first job",IF(AND(P88="No",Q88&gt;=ReactDays),"Reactivate",IF(COUNTIF('REVIEWS'!$A$5:$A$504,B88)=0,"Ask for review",IF(AND(P88="No",M88&gt;=1),"Offer recurring plan","—")))))))</f>
        <v/>
      </c>
      <c r="S88" s="53">
        <f>IF(B88="","",COUNTIF('REFERRALS'!$B$5:$B$204,B88))</f>
        <v/>
      </c>
    </row>
    <row r="89">
      <c r="A89" s="46" t="inlineStr">
        <is>
          <t>C-085</t>
        </is>
      </c>
      <c r="B89" s="38" t="n"/>
      <c r="C89" s="38" t="n"/>
      <c r="D89" s="38" t="n"/>
      <c r="E89" s="38" t="n"/>
      <c r="F89" s="38" t="n"/>
      <c r="G89" s="38" t="n"/>
      <c r="H89" s="38" t="n"/>
      <c r="I89" s="47" t="n"/>
      <c r="J89" s="38" t="n"/>
      <c r="K89" s="52">
        <f>IF(B89="","",IF(_xlfn.MINIFS('JOBS'!$B$5:$B$1504,'JOBS'!$D$5:$D$1504,B89,'JOBS'!$O$5:$O$1504,"Completed")=0,"",_xlfn.MINIFS('JOBS'!$B$5:$B$1504,'JOBS'!$D$5:$D$1504,B89,'JOBS'!$O$5:$O$1504,"Completed")))</f>
        <v/>
      </c>
      <c r="L89" s="52">
        <f>IF(B89="","",IF(_xlfn.MAXIFS('JOBS'!$B$5:$B$1504,'JOBS'!$D$5:$D$1504,B89,'JOBS'!$O$5:$O$1504,"Completed")=0,"",_xlfn.MAXIFS('JOBS'!$B$5:$B$1504,'JOBS'!$D$5:$D$1504,B89,'JOBS'!$O$5:$O$1504,"Completed")))</f>
        <v/>
      </c>
      <c r="M89" s="53">
        <f>IF(B89="","",COUNTIFS('JOBS'!$D$5:$D$1504,B89,'JOBS'!$O$5:$O$1504,"Completed"))</f>
        <v/>
      </c>
      <c r="N89" s="54">
        <f>IF(B89="","",SUMIFS('JOBS'!$L$5:$L$1504,'JOBS'!$D$5:$D$1504,B89,'JOBS'!$O$5:$O$1504,"Completed"))</f>
        <v/>
      </c>
      <c r="O89" s="55">
        <f>IF(B89="","",SUMIFS('JOBS'!$U$5:$U$1504,'JOBS'!$D$5:$D$1504,B89))</f>
        <v/>
      </c>
      <c r="P89" s="49">
        <f>IF(B89="","",IF(COUNTIFS('RECURRING'!$B$5:$B$154,B89,'RECURRING'!$J$5:$J$154,"Active")&gt;0,"Yes","No"))</f>
        <v/>
      </c>
      <c r="Q89" s="50">
        <f>IF(L89="","",AsOf-L89)</f>
        <v/>
      </c>
      <c r="R89" s="49">
        <f>IF(B89="","",IF(H89="Do not service","—",IF(O89&gt;0.005,"Collect balance",IF(M89=0,"Book first job",IF(AND(P89="No",Q89&gt;=ReactDays),"Reactivate",IF(COUNTIF('REVIEWS'!$A$5:$A$504,B89)=0,"Ask for review",IF(AND(P89="No",M89&gt;=1),"Offer recurring plan","—")))))))</f>
        <v/>
      </c>
      <c r="S89" s="53">
        <f>IF(B89="","",COUNTIF('REFERRALS'!$B$5:$B$204,B89))</f>
        <v/>
      </c>
    </row>
    <row r="90">
      <c r="A90" s="46" t="inlineStr">
        <is>
          <t>C-086</t>
        </is>
      </c>
      <c r="B90" s="38" t="n"/>
      <c r="C90" s="38" t="n"/>
      <c r="D90" s="38" t="n"/>
      <c r="E90" s="38" t="n"/>
      <c r="F90" s="38" t="n"/>
      <c r="G90" s="38" t="n"/>
      <c r="H90" s="38" t="n"/>
      <c r="I90" s="47" t="n"/>
      <c r="J90" s="38" t="n"/>
      <c r="K90" s="52">
        <f>IF(B90="","",IF(_xlfn.MINIFS('JOBS'!$B$5:$B$1504,'JOBS'!$D$5:$D$1504,B90,'JOBS'!$O$5:$O$1504,"Completed")=0,"",_xlfn.MINIFS('JOBS'!$B$5:$B$1504,'JOBS'!$D$5:$D$1504,B90,'JOBS'!$O$5:$O$1504,"Completed")))</f>
        <v/>
      </c>
      <c r="L90" s="52">
        <f>IF(B90="","",IF(_xlfn.MAXIFS('JOBS'!$B$5:$B$1504,'JOBS'!$D$5:$D$1504,B90,'JOBS'!$O$5:$O$1504,"Completed")=0,"",_xlfn.MAXIFS('JOBS'!$B$5:$B$1504,'JOBS'!$D$5:$D$1504,B90,'JOBS'!$O$5:$O$1504,"Completed")))</f>
        <v/>
      </c>
      <c r="M90" s="53">
        <f>IF(B90="","",COUNTIFS('JOBS'!$D$5:$D$1504,B90,'JOBS'!$O$5:$O$1504,"Completed"))</f>
        <v/>
      </c>
      <c r="N90" s="54">
        <f>IF(B90="","",SUMIFS('JOBS'!$L$5:$L$1504,'JOBS'!$D$5:$D$1504,B90,'JOBS'!$O$5:$O$1504,"Completed"))</f>
        <v/>
      </c>
      <c r="O90" s="55">
        <f>IF(B90="","",SUMIFS('JOBS'!$U$5:$U$1504,'JOBS'!$D$5:$D$1504,B90))</f>
        <v/>
      </c>
      <c r="P90" s="49">
        <f>IF(B90="","",IF(COUNTIFS('RECURRING'!$B$5:$B$154,B90,'RECURRING'!$J$5:$J$154,"Active")&gt;0,"Yes","No"))</f>
        <v/>
      </c>
      <c r="Q90" s="50">
        <f>IF(L90="","",AsOf-L90)</f>
        <v/>
      </c>
      <c r="R90" s="49">
        <f>IF(B90="","",IF(H90="Do not service","—",IF(O90&gt;0.005,"Collect balance",IF(M90=0,"Book first job",IF(AND(P90="No",Q90&gt;=ReactDays),"Reactivate",IF(COUNTIF('REVIEWS'!$A$5:$A$504,B90)=0,"Ask for review",IF(AND(P90="No",M90&gt;=1),"Offer recurring plan","—")))))))</f>
        <v/>
      </c>
      <c r="S90" s="53">
        <f>IF(B90="","",COUNTIF('REFERRALS'!$B$5:$B$204,B90))</f>
        <v/>
      </c>
    </row>
    <row r="91">
      <c r="A91" s="46" t="inlineStr">
        <is>
          <t>C-087</t>
        </is>
      </c>
      <c r="B91" s="38" t="n"/>
      <c r="C91" s="38" t="n"/>
      <c r="D91" s="38" t="n"/>
      <c r="E91" s="38" t="n"/>
      <c r="F91" s="38" t="n"/>
      <c r="G91" s="38" t="n"/>
      <c r="H91" s="38" t="n"/>
      <c r="I91" s="47" t="n"/>
      <c r="J91" s="38" t="n"/>
      <c r="K91" s="52">
        <f>IF(B91="","",IF(_xlfn.MINIFS('JOBS'!$B$5:$B$1504,'JOBS'!$D$5:$D$1504,B91,'JOBS'!$O$5:$O$1504,"Completed")=0,"",_xlfn.MINIFS('JOBS'!$B$5:$B$1504,'JOBS'!$D$5:$D$1504,B91,'JOBS'!$O$5:$O$1504,"Completed")))</f>
        <v/>
      </c>
      <c r="L91" s="52">
        <f>IF(B91="","",IF(_xlfn.MAXIFS('JOBS'!$B$5:$B$1504,'JOBS'!$D$5:$D$1504,B91,'JOBS'!$O$5:$O$1504,"Completed")=0,"",_xlfn.MAXIFS('JOBS'!$B$5:$B$1504,'JOBS'!$D$5:$D$1504,B91,'JOBS'!$O$5:$O$1504,"Completed")))</f>
        <v/>
      </c>
      <c r="M91" s="53">
        <f>IF(B91="","",COUNTIFS('JOBS'!$D$5:$D$1504,B91,'JOBS'!$O$5:$O$1504,"Completed"))</f>
        <v/>
      </c>
      <c r="N91" s="54">
        <f>IF(B91="","",SUMIFS('JOBS'!$L$5:$L$1504,'JOBS'!$D$5:$D$1504,B91,'JOBS'!$O$5:$O$1504,"Completed"))</f>
        <v/>
      </c>
      <c r="O91" s="55">
        <f>IF(B91="","",SUMIFS('JOBS'!$U$5:$U$1504,'JOBS'!$D$5:$D$1504,B91))</f>
        <v/>
      </c>
      <c r="P91" s="49">
        <f>IF(B91="","",IF(COUNTIFS('RECURRING'!$B$5:$B$154,B91,'RECURRING'!$J$5:$J$154,"Active")&gt;0,"Yes","No"))</f>
        <v/>
      </c>
      <c r="Q91" s="50">
        <f>IF(L91="","",AsOf-L91)</f>
        <v/>
      </c>
      <c r="R91" s="49">
        <f>IF(B91="","",IF(H91="Do not service","—",IF(O91&gt;0.005,"Collect balance",IF(M91=0,"Book first job",IF(AND(P91="No",Q91&gt;=ReactDays),"Reactivate",IF(COUNTIF('REVIEWS'!$A$5:$A$504,B91)=0,"Ask for review",IF(AND(P91="No",M91&gt;=1),"Offer recurring plan","—")))))))</f>
        <v/>
      </c>
      <c r="S91" s="53">
        <f>IF(B91="","",COUNTIF('REFERRALS'!$B$5:$B$204,B91))</f>
        <v/>
      </c>
    </row>
    <row r="92">
      <c r="A92" s="46" t="inlineStr">
        <is>
          <t>C-088</t>
        </is>
      </c>
      <c r="B92" s="38" t="n"/>
      <c r="C92" s="38" t="n"/>
      <c r="D92" s="38" t="n"/>
      <c r="E92" s="38" t="n"/>
      <c r="F92" s="38" t="n"/>
      <c r="G92" s="38" t="n"/>
      <c r="H92" s="38" t="n"/>
      <c r="I92" s="47" t="n"/>
      <c r="J92" s="38" t="n"/>
      <c r="K92" s="52">
        <f>IF(B92="","",IF(_xlfn.MINIFS('JOBS'!$B$5:$B$1504,'JOBS'!$D$5:$D$1504,B92,'JOBS'!$O$5:$O$1504,"Completed")=0,"",_xlfn.MINIFS('JOBS'!$B$5:$B$1504,'JOBS'!$D$5:$D$1504,B92,'JOBS'!$O$5:$O$1504,"Completed")))</f>
        <v/>
      </c>
      <c r="L92" s="52">
        <f>IF(B92="","",IF(_xlfn.MAXIFS('JOBS'!$B$5:$B$1504,'JOBS'!$D$5:$D$1504,B92,'JOBS'!$O$5:$O$1504,"Completed")=0,"",_xlfn.MAXIFS('JOBS'!$B$5:$B$1504,'JOBS'!$D$5:$D$1504,B92,'JOBS'!$O$5:$O$1504,"Completed")))</f>
        <v/>
      </c>
      <c r="M92" s="53">
        <f>IF(B92="","",COUNTIFS('JOBS'!$D$5:$D$1504,B92,'JOBS'!$O$5:$O$1504,"Completed"))</f>
        <v/>
      </c>
      <c r="N92" s="54">
        <f>IF(B92="","",SUMIFS('JOBS'!$L$5:$L$1504,'JOBS'!$D$5:$D$1504,B92,'JOBS'!$O$5:$O$1504,"Completed"))</f>
        <v/>
      </c>
      <c r="O92" s="55">
        <f>IF(B92="","",SUMIFS('JOBS'!$U$5:$U$1504,'JOBS'!$D$5:$D$1504,B92))</f>
        <v/>
      </c>
      <c r="P92" s="49">
        <f>IF(B92="","",IF(COUNTIFS('RECURRING'!$B$5:$B$154,B92,'RECURRING'!$J$5:$J$154,"Active")&gt;0,"Yes","No"))</f>
        <v/>
      </c>
      <c r="Q92" s="50">
        <f>IF(L92="","",AsOf-L92)</f>
        <v/>
      </c>
      <c r="R92" s="49">
        <f>IF(B92="","",IF(H92="Do not service","—",IF(O92&gt;0.005,"Collect balance",IF(M92=0,"Book first job",IF(AND(P92="No",Q92&gt;=ReactDays),"Reactivate",IF(COUNTIF('REVIEWS'!$A$5:$A$504,B92)=0,"Ask for review",IF(AND(P92="No",M92&gt;=1),"Offer recurring plan","—")))))))</f>
        <v/>
      </c>
      <c r="S92" s="53">
        <f>IF(B92="","",COUNTIF('REFERRALS'!$B$5:$B$204,B92))</f>
        <v/>
      </c>
    </row>
    <row r="93">
      <c r="A93" s="46" t="inlineStr">
        <is>
          <t>C-089</t>
        </is>
      </c>
      <c r="B93" s="38" t="n"/>
      <c r="C93" s="38" t="n"/>
      <c r="D93" s="38" t="n"/>
      <c r="E93" s="38" t="n"/>
      <c r="F93" s="38" t="n"/>
      <c r="G93" s="38" t="n"/>
      <c r="H93" s="38" t="n"/>
      <c r="I93" s="47" t="n"/>
      <c r="J93" s="38" t="n"/>
      <c r="K93" s="52">
        <f>IF(B93="","",IF(_xlfn.MINIFS('JOBS'!$B$5:$B$1504,'JOBS'!$D$5:$D$1504,B93,'JOBS'!$O$5:$O$1504,"Completed")=0,"",_xlfn.MINIFS('JOBS'!$B$5:$B$1504,'JOBS'!$D$5:$D$1504,B93,'JOBS'!$O$5:$O$1504,"Completed")))</f>
        <v/>
      </c>
      <c r="L93" s="52">
        <f>IF(B93="","",IF(_xlfn.MAXIFS('JOBS'!$B$5:$B$1504,'JOBS'!$D$5:$D$1504,B93,'JOBS'!$O$5:$O$1504,"Completed")=0,"",_xlfn.MAXIFS('JOBS'!$B$5:$B$1504,'JOBS'!$D$5:$D$1504,B93,'JOBS'!$O$5:$O$1504,"Completed")))</f>
        <v/>
      </c>
      <c r="M93" s="53">
        <f>IF(B93="","",COUNTIFS('JOBS'!$D$5:$D$1504,B93,'JOBS'!$O$5:$O$1504,"Completed"))</f>
        <v/>
      </c>
      <c r="N93" s="54">
        <f>IF(B93="","",SUMIFS('JOBS'!$L$5:$L$1504,'JOBS'!$D$5:$D$1504,B93,'JOBS'!$O$5:$O$1504,"Completed"))</f>
        <v/>
      </c>
      <c r="O93" s="55">
        <f>IF(B93="","",SUMIFS('JOBS'!$U$5:$U$1504,'JOBS'!$D$5:$D$1504,B93))</f>
        <v/>
      </c>
      <c r="P93" s="49">
        <f>IF(B93="","",IF(COUNTIFS('RECURRING'!$B$5:$B$154,B93,'RECURRING'!$J$5:$J$154,"Active")&gt;0,"Yes","No"))</f>
        <v/>
      </c>
      <c r="Q93" s="50">
        <f>IF(L93="","",AsOf-L93)</f>
        <v/>
      </c>
      <c r="R93" s="49">
        <f>IF(B93="","",IF(H93="Do not service","—",IF(O93&gt;0.005,"Collect balance",IF(M93=0,"Book first job",IF(AND(P93="No",Q93&gt;=ReactDays),"Reactivate",IF(COUNTIF('REVIEWS'!$A$5:$A$504,B93)=0,"Ask for review",IF(AND(P93="No",M93&gt;=1),"Offer recurring plan","—")))))))</f>
        <v/>
      </c>
      <c r="S93" s="53">
        <f>IF(B93="","",COUNTIF('REFERRALS'!$B$5:$B$204,B93))</f>
        <v/>
      </c>
    </row>
    <row r="94">
      <c r="A94" s="46" t="inlineStr">
        <is>
          <t>C-090</t>
        </is>
      </c>
      <c r="B94" s="38" t="n"/>
      <c r="C94" s="38" t="n"/>
      <c r="D94" s="38" t="n"/>
      <c r="E94" s="38" t="n"/>
      <c r="F94" s="38" t="n"/>
      <c r="G94" s="38" t="n"/>
      <c r="H94" s="38" t="n"/>
      <c r="I94" s="47" t="n"/>
      <c r="J94" s="38" t="n"/>
      <c r="K94" s="52">
        <f>IF(B94="","",IF(_xlfn.MINIFS('JOBS'!$B$5:$B$1504,'JOBS'!$D$5:$D$1504,B94,'JOBS'!$O$5:$O$1504,"Completed")=0,"",_xlfn.MINIFS('JOBS'!$B$5:$B$1504,'JOBS'!$D$5:$D$1504,B94,'JOBS'!$O$5:$O$1504,"Completed")))</f>
        <v/>
      </c>
      <c r="L94" s="52">
        <f>IF(B94="","",IF(_xlfn.MAXIFS('JOBS'!$B$5:$B$1504,'JOBS'!$D$5:$D$1504,B94,'JOBS'!$O$5:$O$1504,"Completed")=0,"",_xlfn.MAXIFS('JOBS'!$B$5:$B$1504,'JOBS'!$D$5:$D$1504,B94,'JOBS'!$O$5:$O$1504,"Completed")))</f>
        <v/>
      </c>
      <c r="M94" s="53">
        <f>IF(B94="","",COUNTIFS('JOBS'!$D$5:$D$1504,B94,'JOBS'!$O$5:$O$1504,"Completed"))</f>
        <v/>
      </c>
      <c r="N94" s="54">
        <f>IF(B94="","",SUMIFS('JOBS'!$L$5:$L$1504,'JOBS'!$D$5:$D$1504,B94,'JOBS'!$O$5:$O$1504,"Completed"))</f>
        <v/>
      </c>
      <c r="O94" s="55">
        <f>IF(B94="","",SUMIFS('JOBS'!$U$5:$U$1504,'JOBS'!$D$5:$D$1504,B94))</f>
        <v/>
      </c>
      <c r="P94" s="49">
        <f>IF(B94="","",IF(COUNTIFS('RECURRING'!$B$5:$B$154,B94,'RECURRING'!$J$5:$J$154,"Active")&gt;0,"Yes","No"))</f>
        <v/>
      </c>
      <c r="Q94" s="50">
        <f>IF(L94="","",AsOf-L94)</f>
        <v/>
      </c>
      <c r="R94" s="49">
        <f>IF(B94="","",IF(H94="Do not service","—",IF(O94&gt;0.005,"Collect balance",IF(M94=0,"Book first job",IF(AND(P94="No",Q94&gt;=ReactDays),"Reactivate",IF(COUNTIF('REVIEWS'!$A$5:$A$504,B94)=0,"Ask for review",IF(AND(P94="No",M94&gt;=1),"Offer recurring plan","—")))))))</f>
        <v/>
      </c>
      <c r="S94" s="53">
        <f>IF(B94="","",COUNTIF('REFERRALS'!$B$5:$B$204,B94))</f>
        <v/>
      </c>
    </row>
    <row r="95">
      <c r="A95" s="46" t="inlineStr">
        <is>
          <t>C-091</t>
        </is>
      </c>
      <c r="B95" s="38" t="n"/>
      <c r="C95" s="38" t="n"/>
      <c r="D95" s="38" t="n"/>
      <c r="E95" s="38" t="n"/>
      <c r="F95" s="38" t="n"/>
      <c r="G95" s="38" t="n"/>
      <c r="H95" s="38" t="n"/>
      <c r="I95" s="47" t="n"/>
      <c r="J95" s="38" t="n"/>
      <c r="K95" s="52">
        <f>IF(B95="","",IF(_xlfn.MINIFS('JOBS'!$B$5:$B$1504,'JOBS'!$D$5:$D$1504,B95,'JOBS'!$O$5:$O$1504,"Completed")=0,"",_xlfn.MINIFS('JOBS'!$B$5:$B$1504,'JOBS'!$D$5:$D$1504,B95,'JOBS'!$O$5:$O$1504,"Completed")))</f>
        <v/>
      </c>
      <c r="L95" s="52">
        <f>IF(B95="","",IF(_xlfn.MAXIFS('JOBS'!$B$5:$B$1504,'JOBS'!$D$5:$D$1504,B95,'JOBS'!$O$5:$O$1504,"Completed")=0,"",_xlfn.MAXIFS('JOBS'!$B$5:$B$1504,'JOBS'!$D$5:$D$1504,B95,'JOBS'!$O$5:$O$1504,"Completed")))</f>
        <v/>
      </c>
      <c r="M95" s="53">
        <f>IF(B95="","",COUNTIFS('JOBS'!$D$5:$D$1504,B95,'JOBS'!$O$5:$O$1504,"Completed"))</f>
        <v/>
      </c>
      <c r="N95" s="54">
        <f>IF(B95="","",SUMIFS('JOBS'!$L$5:$L$1504,'JOBS'!$D$5:$D$1504,B95,'JOBS'!$O$5:$O$1504,"Completed"))</f>
        <v/>
      </c>
      <c r="O95" s="55">
        <f>IF(B95="","",SUMIFS('JOBS'!$U$5:$U$1504,'JOBS'!$D$5:$D$1504,B95))</f>
        <v/>
      </c>
      <c r="P95" s="49">
        <f>IF(B95="","",IF(COUNTIFS('RECURRING'!$B$5:$B$154,B95,'RECURRING'!$J$5:$J$154,"Active")&gt;0,"Yes","No"))</f>
        <v/>
      </c>
      <c r="Q95" s="50">
        <f>IF(L95="","",AsOf-L95)</f>
        <v/>
      </c>
      <c r="R95" s="49">
        <f>IF(B95="","",IF(H95="Do not service","—",IF(O95&gt;0.005,"Collect balance",IF(M95=0,"Book first job",IF(AND(P95="No",Q95&gt;=ReactDays),"Reactivate",IF(COUNTIF('REVIEWS'!$A$5:$A$504,B95)=0,"Ask for review",IF(AND(P95="No",M95&gt;=1),"Offer recurring plan","—")))))))</f>
        <v/>
      </c>
      <c r="S95" s="53">
        <f>IF(B95="","",COUNTIF('REFERRALS'!$B$5:$B$204,B95))</f>
        <v/>
      </c>
    </row>
    <row r="96">
      <c r="A96" s="46" t="inlineStr">
        <is>
          <t>C-092</t>
        </is>
      </c>
      <c r="B96" s="38" t="n"/>
      <c r="C96" s="38" t="n"/>
      <c r="D96" s="38" t="n"/>
      <c r="E96" s="38" t="n"/>
      <c r="F96" s="38" t="n"/>
      <c r="G96" s="38" t="n"/>
      <c r="H96" s="38" t="n"/>
      <c r="I96" s="47" t="n"/>
      <c r="J96" s="38" t="n"/>
      <c r="K96" s="52">
        <f>IF(B96="","",IF(_xlfn.MINIFS('JOBS'!$B$5:$B$1504,'JOBS'!$D$5:$D$1504,B96,'JOBS'!$O$5:$O$1504,"Completed")=0,"",_xlfn.MINIFS('JOBS'!$B$5:$B$1504,'JOBS'!$D$5:$D$1504,B96,'JOBS'!$O$5:$O$1504,"Completed")))</f>
        <v/>
      </c>
      <c r="L96" s="52">
        <f>IF(B96="","",IF(_xlfn.MAXIFS('JOBS'!$B$5:$B$1504,'JOBS'!$D$5:$D$1504,B96,'JOBS'!$O$5:$O$1504,"Completed")=0,"",_xlfn.MAXIFS('JOBS'!$B$5:$B$1504,'JOBS'!$D$5:$D$1504,B96,'JOBS'!$O$5:$O$1504,"Completed")))</f>
        <v/>
      </c>
      <c r="M96" s="53">
        <f>IF(B96="","",COUNTIFS('JOBS'!$D$5:$D$1504,B96,'JOBS'!$O$5:$O$1504,"Completed"))</f>
        <v/>
      </c>
      <c r="N96" s="54">
        <f>IF(B96="","",SUMIFS('JOBS'!$L$5:$L$1504,'JOBS'!$D$5:$D$1504,B96,'JOBS'!$O$5:$O$1504,"Completed"))</f>
        <v/>
      </c>
      <c r="O96" s="55">
        <f>IF(B96="","",SUMIFS('JOBS'!$U$5:$U$1504,'JOBS'!$D$5:$D$1504,B96))</f>
        <v/>
      </c>
      <c r="P96" s="49">
        <f>IF(B96="","",IF(COUNTIFS('RECURRING'!$B$5:$B$154,B96,'RECURRING'!$J$5:$J$154,"Active")&gt;0,"Yes","No"))</f>
        <v/>
      </c>
      <c r="Q96" s="50">
        <f>IF(L96="","",AsOf-L96)</f>
        <v/>
      </c>
      <c r="R96" s="49">
        <f>IF(B96="","",IF(H96="Do not service","—",IF(O96&gt;0.005,"Collect balance",IF(M96=0,"Book first job",IF(AND(P96="No",Q96&gt;=ReactDays),"Reactivate",IF(COUNTIF('REVIEWS'!$A$5:$A$504,B96)=0,"Ask for review",IF(AND(P96="No",M96&gt;=1),"Offer recurring plan","—")))))))</f>
        <v/>
      </c>
      <c r="S96" s="53">
        <f>IF(B96="","",COUNTIF('REFERRALS'!$B$5:$B$204,B96))</f>
        <v/>
      </c>
    </row>
    <row r="97">
      <c r="A97" s="46" t="inlineStr">
        <is>
          <t>C-093</t>
        </is>
      </c>
      <c r="B97" s="38" t="n"/>
      <c r="C97" s="38" t="n"/>
      <c r="D97" s="38" t="n"/>
      <c r="E97" s="38" t="n"/>
      <c r="F97" s="38" t="n"/>
      <c r="G97" s="38" t="n"/>
      <c r="H97" s="38" t="n"/>
      <c r="I97" s="47" t="n"/>
      <c r="J97" s="38" t="n"/>
      <c r="K97" s="52">
        <f>IF(B97="","",IF(_xlfn.MINIFS('JOBS'!$B$5:$B$1504,'JOBS'!$D$5:$D$1504,B97,'JOBS'!$O$5:$O$1504,"Completed")=0,"",_xlfn.MINIFS('JOBS'!$B$5:$B$1504,'JOBS'!$D$5:$D$1504,B97,'JOBS'!$O$5:$O$1504,"Completed")))</f>
        <v/>
      </c>
      <c r="L97" s="52">
        <f>IF(B97="","",IF(_xlfn.MAXIFS('JOBS'!$B$5:$B$1504,'JOBS'!$D$5:$D$1504,B97,'JOBS'!$O$5:$O$1504,"Completed")=0,"",_xlfn.MAXIFS('JOBS'!$B$5:$B$1504,'JOBS'!$D$5:$D$1504,B97,'JOBS'!$O$5:$O$1504,"Completed")))</f>
        <v/>
      </c>
      <c r="M97" s="53">
        <f>IF(B97="","",COUNTIFS('JOBS'!$D$5:$D$1504,B97,'JOBS'!$O$5:$O$1504,"Completed"))</f>
        <v/>
      </c>
      <c r="N97" s="54">
        <f>IF(B97="","",SUMIFS('JOBS'!$L$5:$L$1504,'JOBS'!$D$5:$D$1504,B97,'JOBS'!$O$5:$O$1504,"Completed"))</f>
        <v/>
      </c>
      <c r="O97" s="55">
        <f>IF(B97="","",SUMIFS('JOBS'!$U$5:$U$1504,'JOBS'!$D$5:$D$1504,B97))</f>
        <v/>
      </c>
      <c r="P97" s="49">
        <f>IF(B97="","",IF(COUNTIFS('RECURRING'!$B$5:$B$154,B97,'RECURRING'!$J$5:$J$154,"Active")&gt;0,"Yes","No"))</f>
        <v/>
      </c>
      <c r="Q97" s="50">
        <f>IF(L97="","",AsOf-L97)</f>
        <v/>
      </c>
      <c r="R97" s="49">
        <f>IF(B97="","",IF(H97="Do not service","—",IF(O97&gt;0.005,"Collect balance",IF(M97=0,"Book first job",IF(AND(P97="No",Q97&gt;=ReactDays),"Reactivate",IF(COUNTIF('REVIEWS'!$A$5:$A$504,B97)=0,"Ask for review",IF(AND(P97="No",M97&gt;=1),"Offer recurring plan","—")))))))</f>
        <v/>
      </c>
      <c r="S97" s="53">
        <f>IF(B97="","",COUNTIF('REFERRALS'!$B$5:$B$204,B97))</f>
        <v/>
      </c>
    </row>
    <row r="98">
      <c r="A98" s="46" t="inlineStr">
        <is>
          <t>C-094</t>
        </is>
      </c>
      <c r="B98" s="38" t="n"/>
      <c r="C98" s="38" t="n"/>
      <c r="D98" s="38" t="n"/>
      <c r="E98" s="38" t="n"/>
      <c r="F98" s="38" t="n"/>
      <c r="G98" s="38" t="n"/>
      <c r="H98" s="38" t="n"/>
      <c r="I98" s="47" t="n"/>
      <c r="J98" s="38" t="n"/>
      <c r="K98" s="52">
        <f>IF(B98="","",IF(_xlfn.MINIFS('JOBS'!$B$5:$B$1504,'JOBS'!$D$5:$D$1504,B98,'JOBS'!$O$5:$O$1504,"Completed")=0,"",_xlfn.MINIFS('JOBS'!$B$5:$B$1504,'JOBS'!$D$5:$D$1504,B98,'JOBS'!$O$5:$O$1504,"Completed")))</f>
        <v/>
      </c>
      <c r="L98" s="52">
        <f>IF(B98="","",IF(_xlfn.MAXIFS('JOBS'!$B$5:$B$1504,'JOBS'!$D$5:$D$1504,B98,'JOBS'!$O$5:$O$1504,"Completed")=0,"",_xlfn.MAXIFS('JOBS'!$B$5:$B$1504,'JOBS'!$D$5:$D$1504,B98,'JOBS'!$O$5:$O$1504,"Completed")))</f>
        <v/>
      </c>
      <c r="M98" s="53">
        <f>IF(B98="","",COUNTIFS('JOBS'!$D$5:$D$1504,B98,'JOBS'!$O$5:$O$1504,"Completed"))</f>
        <v/>
      </c>
      <c r="N98" s="54">
        <f>IF(B98="","",SUMIFS('JOBS'!$L$5:$L$1504,'JOBS'!$D$5:$D$1504,B98,'JOBS'!$O$5:$O$1504,"Completed"))</f>
        <v/>
      </c>
      <c r="O98" s="55">
        <f>IF(B98="","",SUMIFS('JOBS'!$U$5:$U$1504,'JOBS'!$D$5:$D$1504,B98))</f>
        <v/>
      </c>
      <c r="P98" s="49">
        <f>IF(B98="","",IF(COUNTIFS('RECURRING'!$B$5:$B$154,B98,'RECURRING'!$J$5:$J$154,"Active")&gt;0,"Yes","No"))</f>
        <v/>
      </c>
      <c r="Q98" s="50">
        <f>IF(L98="","",AsOf-L98)</f>
        <v/>
      </c>
      <c r="R98" s="49">
        <f>IF(B98="","",IF(H98="Do not service","—",IF(O98&gt;0.005,"Collect balance",IF(M98=0,"Book first job",IF(AND(P98="No",Q98&gt;=ReactDays),"Reactivate",IF(COUNTIF('REVIEWS'!$A$5:$A$504,B98)=0,"Ask for review",IF(AND(P98="No",M98&gt;=1),"Offer recurring plan","—")))))))</f>
        <v/>
      </c>
      <c r="S98" s="53">
        <f>IF(B98="","",COUNTIF('REFERRALS'!$B$5:$B$204,B98))</f>
        <v/>
      </c>
    </row>
    <row r="99">
      <c r="A99" s="46" t="inlineStr">
        <is>
          <t>C-095</t>
        </is>
      </c>
      <c r="B99" s="38" t="n"/>
      <c r="C99" s="38" t="n"/>
      <c r="D99" s="38" t="n"/>
      <c r="E99" s="38" t="n"/>
      <c r="F99" s="38" t="n"/>
      <c r="G99" s="38" t="n"/>
      <c r="H99" s="38" t="n"/>
      <c r="I99" s="47" t="n"/>
      <c r="J99" s="38" t="n"/>
      <c r="K99" s="52">
        <f>IF(B99="","",IF(_xlfn.MINIFS('JOBS'!$B$5:$B$1504,'JOBS'!$D$5:$D$1504,B99,'JOBS'!$O$5:$O$1504,"Completed")=0,"",_xlfn.MINIFS('JOBS'!$B$5:$B$1504,'JOBS'!$D$5:$D$1504,B99,'JOBS'!$O$5:$O$1504,"Completed")))</f>
        <v/>
      </c>
      <c r="L99" s="52">
        <f>IF(B99="","",IF(_xlfn.MAXIFS('JOBS'!$B$5:$B$1504,'JOBS'!$D$5:$D$1504,B99,'JOBS'!$O$5:$O$1504,"Completed")=0,"",_xlfn.MAXIFS('JOBS'!$B$5:$B$1504,'JOBS'!$D$5:$D$1504,B99,'JOBS'!$O$5:$O$1504,"Completed")))</f>
        <v/>
      </c>
      <c r="M99" s="53">
        <f>IF(B99="","",COUNTIFS('JOBS'!$D$5:$D$1504,B99,'JOBS'!$O$5:$O$1504,"Completed"))</f>
        <v/>
      </c>
      <c r="N99" s="54">
        <f>IF(B99="","",SUMIFS('JOBS'!$L$5:$L$1504,'JOBS'!$D$5:$D$1504,B99,'JOBS'!$O$5:$O$1504,"Completed"))</f>
        <v/>
      </c>
      <c r="O99" s="55">
        <f>IF(B99="","",SUMIFS('JOBS'!$U$5:$U$1504,'JOBS'!$D$5:$D$1504,B99))</f>
        <v/>
      </c>
      <c r="P99" s="49">
        <f>IF(B99="","",IF(COUNTIFS('RECURRING'!$B$5:$B$154,B99,'RECURRING'!$J$5:$J$154,"Active")&gt;0,"Yes","No"))</f>
        <v/>
      </c>
      <c r="Q99" s="50">
        <f>IF(L99="","",AsOf-L99)</f>
        <v/>
      </c>
      <c r="R99" s="49">
        <f>IF(B99="","",IF(H99="Do not service","—",IF(O99&gt;0.005,"Collect balance",IF(M99=0,"Book first job",IF(AND(P99="No",Q99&gt;=ReactDays),"Reactivate",IF(COUNTIF('REVIEWS'!$A$5:$A$504,B99)=0,"Ask for review",IF(AND(P99="No",M99&gt;=1),"Offer recurring plan","—")))))))</f>
        <v/>
      </c>
      <c r="S99" s="53">
        <f>IF(B99="","",COUNTIF('REFERRALS'!$B$5:$B$204,B99))</f>
        <v/>
      </c>
    </row>
    <row r="100">
      <c r="A100" s="46" t="inlineStr">
        <is>
          <t>C-096</t>
        </is>
      </c>
      <c r="B100" s="38" t="n"/>
      <c r="C100" s="38" t="n"/>
      <c r="D100" s="38" t="n"/>
      <c r="E100" s="38" t="n"/>
      <c r="F100" s="38" t="n"/>
      <c r="G100" s="38" t="n"/>
      <c r="H100" s="38" t="n"/>
      <c r="I100" s="47" t="n"/>
      <c r="J100" s="38" t="n"/>
      <c r="K100" s="52">
        <f>IF(B100="","",IF(_xlfn.MINIFS('JOBS'!$B$5:$B$1504,'JOBS'!$D$5:$D$1504,B100,'JOBS'!$O$5:$O$1504,"Completed")=0,"",_xlfn.MINIFS('JOBS'!$B$5:$B$1504,'JOBS'!$D$5:$D$1504,B100,'JOBS'!$O$5:$O$1504,"Completed")))</f>
        <v/>
      </c>
      <c r="L100" s="52">
        <f>IF(B100="","",IF(_xlfn.MAXIFS('JOBS'!$B$5:$B$1504,'JOBS'!$D$5:$D$1504,B100,'JOBS'!$O$5:$O$1504,"Completed")=0,"",_xlfn.MAXIFS('JOBS'!$B$5:$B$1504,'JOBS'!$D$5:$D$1504,B100,'JOBS'!$O$5:$O$1504,"Completed")))</f>
        <v/>
      </c>
      <c r="M100" s="53">
        <f>IF(B100="","",COUNTIFS('JOBS'!$D$5:$D$1504,B100,'JOBS'!$O$5:$O$1504,"Completed"))</f>
        <v/>
      </c>
      <c r="N100" s="54">
        <f>IF(B100="","",SUMIFS('JOBS'!$L$5:$L$1504,'JOBS'!$D$5:$D$1504,B100,'JOBS'!$O$5:$O$1504,"Completed"))</f>
        <v/>
      </c>
      <c r="O100" s="55">
        <f>IF(B100="","",SUMIFS('JOBS'!$U$5:$U$1504,'JOBS'!$D$5:$D$1504,B100))</f>
        <v/>
      </c>
      <c r="P100" s="49">
        <f>IF(B100="","",IF(COUNTIFS('RECURRING'!$B$5:$B$154,B100,'RECURRING'!$J$5:$J$154,"Active")&gt;0,"Yes","No"))</f>
        <v/>
      </c>
      <c r="Q100" s="50">
        <f>IF(L100="","",AsOf-L100)</f>
        <v/>
      </c>
      <c r="R100" s="49">
        <f>IF(B100="","",IF(H100="Do not service","—",IF(O100&gt;0.005,"Collect balance",IF(M100=0,"Book first job",IF(AND(P100="No",Q100&gt;=ReactDays),"Reactivate",IF(COUNTIF('REVIEWS'!$A$5:$A$504,B100)=0,"Ask for review",IF(AND(P100="No",M100&gt;=1),"Offer recurring plan","—")))))))</f>
        <v/>
      </c>
      <c r="S100" s="53">
        <f>IF(B100="","",COUNTIF('REFERRALS'!$B$5:$B$204,B100))</f>
        <v/>
      </c>
    </row>
    <row r="101">
      <c r="A101" s="46" t="inlineStr">
        <is>
          <t>C-097</t>
        </is>
      </c>
      <c r="B101" s="38" t="n"/>
      <c r="C101" s="38" t="n"/>
      <c r="D101" s="38" t="n"/>
      <c r="E101" s="38" t="n"/>
      <c r="F101" s="38" t="n"/>
      <c r="G101" s="38" t="n"/>
      <c r="H101" s="38" t="n"/>
      <c r="I101" s="47" t="n"/>
      <c r="J101" s="38" t="n"/>
      <c r="K101" s="52">
        <f>IF(B101="","",IF(_xlfn.MINIFS('JOBS'!$B$5:$B$1504,'JOBS'!$D$5:$D$1504,B101,'JOBS'!$O$5:$O$1504,"Completed")=0,"",_xlfn.MINIFS('JOBS'!$B$5:$B$1504,'JOBS'!$D$5:$D$1504,B101,'JOBS'!$O$5:$O$1504,"Completed")))</f>
        <v/>
      </c>
      <c r="L101" s="52">
        <f>IF(B101="","",IF(_xlfn.MAXIFS('JOBS'!$B$5:$B$1504,'JOBS'!$D$5:$D$1504,B101,'JOBS'!$O$5:$O$1504,"Completed")=0,"",_xlfn.MAXIFS('JOBS'!$B$5:$B$1504,'JOBS'!$D$5:$D$1504,B101,'JOBS'!$O$5:$O$1504,"Completed")))</f>
        <v/>
      </c>
      <c r="M101" s="53">
        <f>IF(B101="","",COUNTIFS('JOBS'!$D$5:$D$1504,B101,'JOBS'!$O$5:$O$1504,"Completed"))</f>
        <v/>
      </c>
      <c r="N101" s="54">
        <f>IF(B101="","",SUMIFS('JOBS'!$L$5:$L$1504,'JOBS'!$D$5:$D$1504,B101,'JOBS'!$O$5:$O$1504,"Completed"))</f>
        <v/>
      </c>
      <c r="O101" s="55">
        <f>IF(B101="","",SUMIFS('JOBS'!$U$5:$U$1504,'JOBS'!$D$5:$D$1504,B101))</f>
        <v/>
      </c>
      <c r="P101" s="49">
        <f>IF(B101="","",IF(COUNTIFS('RECURRING'!$B$5:$B$154,B101,'RECURRING'!$J$5:$J$154,"Active")&gt;0,"Yes","No"))</f>
        <v/>
      </c>
      <c r="Q101" s="50">
        <f>IF(L101="","",AsOf-L101)</f>
        <v/>
      </c>
      <c r="R101" s="49">
        <f>IF(B101="","",IF(H101="Do not service","—",IF(O101&gt;0.005,"Collect balance",IF(M101=0,"Book first job",IF(AND(P101="No",Q101&gt;=ReactDays),"Reactivate",IF(COUNTIF('REVIEWS'!$A$5:$A$504,B101)=0,"Ask for review",IF(AND(P101="No",M101&gt;=1),"Offer recurring plan","—")))))))</f>
        <v/>
      </c>
      <c r="S101" s="53">
        <f>IF(B101="","",COUNTIF('REFERRALS'!$B$5:$B$204,B101))</f>
        <v/>
      </c>
    </row>
    <row r="102">
      <c r="A102" s="46" t="inlineStr">
        <is>
          <t>C-098</t>
        </is>
      </c>
      <c r="B102" s="38" t="n"/>
      <c r="C102" s="38" t="n"/>
      <c r="D102" s="38" t="n"/>
      <c r="E102" s="38" t="n"/>
      <c r="F102" s="38" t="n"/>
      <c r="G102" s="38" t="n"/>
      <c r="H102" s="38" t="n"/>
      <c r="I102" s="47" t="n"/>
      <c r="J102" s="38" t="n"/>
      <c r="K102" s="52">
        <f>IF(B102="","",IF(_xlfn.MINIFS('JOBS'!$B$5:$B$1504,'JOBS'!$D$5:$D$1504,B102,'JOBS'!$O$5:$O$1504,"Completed")=0,"",_xlfn.MINIFS('JOBS'!$B$5:$B$1504,'JOBS'!$D$5:$D$1504,B102,'JOBS'!$O$5:$O$1504,"Completed")))</f>
        <v/>
      </c>
      <c r="L102" s="52">
        <f>IF(B102="","",IF(_xlfn.MAXIFS('JOBS'!$B$5:$B$1504,'JOBS'!$D$5:$D$1504,B102,'JOBS'!$O$5:$O$1504,"Completed")=0,"",_xlfn.MAXIFS('JOBS'!$B$5:$B$1504,'JOBS'!$D$5:$D$1504,B102,'JOBS'!$O$5:$O$1504,"Completed")))</f>
        <v/>
      </c>
      <c r="M102" s="53">
        <f>IF(B102="","",COUNTIFS('JOBS'!$D$5:$D$1504,B102,'JOBS'!$O$5:$O$1504,"Completed"))</f>
        <v/>
      </c>
      <c r="N102" s="54">
        <f>IF(B102="","",SUMIFS('JOBS'!$L$5:$L$1504,'JOBS'!$D$5:$D$1504,B102,'JOBS'!$O$5:$O$1504,"Completed"))</f>
        <v/>
      </c>
      <c r="O102" s="55">
        <f>IF(B102="","",SUMIFS('JOBS'!$U$5:$U$1504,'JOBS'!$D$5:$D$1504,B102))</f>
        <v/>
      </c>
      <c r="P102" s="49">
        <f>IF(B102="","",IF(COUNTIFS('RECURRING'!$B$5:$B$154,B102,'RECURRING'!$J$5:$J$154,"Active")&gt;0,"Yes","No"))</f>
        <v/>
      </c>
      <c r="Q102" s="50">
        <f>IF(L102="","",AsOf-L102)</f>
        <v/>
      </c>
      <c r="R102" s="49">
        <f>IF(B102="","",IF(H102="Do not service","—",IF(O102&gt;0.005,"Collect balance",IF(M102=0,"Book first job",IF(AND(P102="No",Q102&gt;=ReactDays),"Reactivate",IF(COUNTIF('REVIEWS'!$A$5:$A$504,B102)=0,"Ask for review",IF(AND(P102="No",M102&gt;=1),"Offer recurring plan","—")))))))</f>
        <v/>
      </c>
      <c r="S102" s="53">
        <f>IF(B102="","",COUNTIF('REFERRALS'!$B$5:$B$204,B102))</f>
        <v/>
      </c>
    </row>
    <row r="103">
      <c r="A103" s="46" t="inlineStr">
        <is>
          <t>C-099</t>
        </is>
      </c>
      <c r="B103" s="38" t="n"/>
      <c r="C103" s="38" t="n"/>
      <c r="D103" s="38" t="n"/>
      <c r="E103" s="38" t="n"/>
      <c r="F103" s="38" t="n"/>
      <c r="G103" s="38" t="n"/>
      <c r="H103" s="38" t="n"/>
      <c r="I103" s="47" t="n"/>
      <c r="J103" s="38" t="n"/>
      <c r="K103" s="52">
        <f>IF(B103="","",IF(_xlfn.MINIFS('JOBS'!$B$5:$B$1504,'JOBS'!$D$5:$D$1504,B103,'JOBS'!$O$5:$O$1504,"Completed")=0,"",_xlfn.MINIFS('JOBS'!$B$5:$B$1504,'JOBS'!$D$5:$D$1504,B103,'JOBS'!$O$5:$O$1504,"Completed")))</f>
        <v/>
      </c>
      <c r="L103" s="52">
        <f>IF(B103="","",IF(_xlfn.MAXIFS('JOBS'!$B$5:$B$1504,'JOBS'!$D$5:$D$1504,B103,'JOBS'!$O$5:$O$1504,"Completed")=0,"",_xlfn.MAXIFS('JOBS'!$B$5:$B$1504,'JOBS'!$D$5:$D$1504,B103,'JOBS'!$O$5:$O$1504,"Completed")))</f>
        <v/>
      </c>
      <c r="M103" s="53">
        <f>IF(B103="","",COUNTIFS('JOBS'!$D$5:$D$1504,B103,'JOBS'!$O$5:$O$1504,"Completed"))</f>
        <v/>
      </c>
      <c r="N103" s="54">
        <f>IF(B103="","",SUMIFS('JOBS'!$L$5:$L$1504,'JOBS'!$D$5:$D$1504,B103,'JOBS'!$O$5:$O$1504,"Completed"))</f>
        <v/>
      </c>
      <c r="O103" s="55">
        <f>IF(B103="","",SUMIFS('JOBS'!$U$5:$U$1504,'JOBS'!$D$5:$D$1504,B103))</f>
        <v/>
      </c>
      <c r="P103" s="49">
        <f>IF(B103="","",IF(COUNTIFS('RECURRING'!$B$5:$B$154,B103,'RECURRING'!$J$5:$J$154,"Active")&gt;0,"Yes","No"))</f>
        <v/>
      </c>
      <c r="Q103" s="50">
        <f>IF(L103="","",AsOf-L103)</f>
        <v/>
      </c>
      <c r="R103" s="49">
        <f>IF(B103="","",IF(H103="Do not service","—",IF(O103&gt;0.005,"Collect balance",IF(M103=0,"Book first job",IF(AND(P103="No",Q103&gt;=ReactDays),"Reactivate",IF(COUNTIF('REVIEWS'!$A$5:$A$504,B103)=0,"Ask for review",IF(AND(P103="No",M103&gt;=1),"Offer recurring plan","—")))))))</f>
        <v/>
      </c>
      <c r="S103" s="53">
        <f>IF(B103="","",COUNTIF('REFERRALS'!$B$5:$B$204,B103))</f>
        <v/>
      </c>
    </row>
    <row r="104">
      <c r="A104" s="46" t="inlineStr">
        <is>
          <t>C-100</t>
        </is>
      </c>
      <c r="B104" s="38" t="n"/>
      <c r="C104" s="38" t="n"/>
      <c r="D104" s="38" t="n"/>
      <c r="E104" s="38" t="n"/>
      <c r="F104" s="38" t="n"/>
      <c r="G104" s="38" t="n"/>
      <c r="H104" s="38" t="n"/>
      <c r="I104" s="47" t="n"/>
      <c r="J104" s="38" t="n"/>
      <c r="K104" s="52">
        <f>IF(B104="","",IF(_xlfn.MINIFS('JOBS'!$B$5:$B$1504,'JOBS'!$D$5:$D$1504,B104,'JOBS'!$O$5:$O$1504,"Completed")=0,"",_xlfn.MINIFS('JOBS'!$B$5:$B$1504,'JOBS'!$D$5:$D$1504,B104,'JOBS'!$O$5:$O$1504,"Completed")))</f>
        <v/>
      </c>
      <c r="L104" s="52">
        <f>IF(B104="","",IF(_xlfn.MAXIFS('JOBS'!$B$5:$B$1504,'JOBS'!$D$5:$D$1504,B104,'JOBS'!$O$5:$O$1504,"Completed")=0,"",_xlfn.MAXIFS('JOBS'!$B$5:$B$1504,'JOBS'!$D$5:$D$1504,B104,'JOBS'!$O$5:$O$1504,"Completed")))</f>
        <v/>
      </c>
      <c r="M104" s="53">
        <f>IF(B104="","",COUNTIFS('JOBS'!$D$5:$D$1504,B104,'JOBS'!$O$5:$O$1504,"Completed"))</f>
        <v/>
      </c>
      <c r="N104" s="54">
        <f>IF(B104="","",SUMIFS('JOBS'!$L$5:$L$1504,'JOBS'!$D$5:$D$1504,B104,'JOBS'!$O$5:$O$1504,"Completed"))</f>
        <v/>
      </c>
      <c r="O104" s="55">
        <f>IF(B104="","",SUMIFS('JOBS'!$U$5:$U$1504,'JOBS'!$D$5:$D$1504,B104))</f>
        <v/>
      </c>
      <c r="P104" s="49">
        <f>IF(B104="","",IF(COUNTIFS('RECURRING'!$B$5:$B$154,B104,'RECURRING'!$J$5:$J$154,"Active")&gt;0,"Yes","No"))</f>
        <v/>
      </c>
      <c r="Q104" s="50">
        <f>IF(L104="","",AsOf-L104)</f>
        <v/>
      </c>
      <c r="R104" s="49">
        <f>IF(B104="","",IF(H104="Do not service","—",IF(O104&gt;0.005,"Collect balance",IF(M104=0,"Book first job",IF(AND(P104="No",Q104&gt;=ReactDays),"Reactivate",IF(COUNTIF('REVIEWS'!$A$5:$A$504,B104)=0,"Ask for review",IF(AND(P104="No",M104&gt;=1),"Offer recurring plan","—")))))))</f>
        <v/>
      </c>
      <c r="S104" s="53">
        <f>IF(B104="","",COUNTIF('REFERRALS'!$B$5:$B$204,B104))</f>
        <v/>
      </c>
    </row>
    <row r="105">
      <c r="A105" s="46" t="inlineStr">
        <is>
          <t>C-101</t>
        </is>
      </c>
      <c r="B105" s="38" t="n"/>
      <c r="C105" s="38" t="n"/>
      <c r="D105" s="38" t="n"/>
      <c r="E105" s="38" t="n"/>
      <c r="F105" s="38" t="n"/>
      <c r="G105" s="38" t="n"/>
      <c r="H105" s="38" t="n"/>
      <c r="I105" s="47" t="n"/>
      <c r="J105" s="38" t="n"/>
      <c r="K105" s="52">
        <f>IF(B105="","",IF(_xlfn.MINIFS('JOBS'!$B$5:$B$1504,'JOBS'!$D$5:$D$1504,B105,'JOBS'!$O$5:$O$1504,"Completed")=0,"",_xlfn.MINIFS('JOBS'!$B$5:$B$1504,'JOBS'!$D$5:$D$1504,B105,'JOBS'!$O$5:$O$1504,"Completed")))</f>
        <v/>
      </c>
      <c r="L105" s="52">
        <f>IF(B105="","",IF(_xlfn.MAXIFS('JOBS'!$B$5:$B$1504,'JOBS'!$D$5:$D$1504,B105,'JOBS'!$O$5:$O$1504,"Completed")=0,"",_xlfn.MAXIFS('JOBS'!$B$5:$B$1504,'JOBS'!$D$5:$D$1504,B105,'JOBS'!$O$5:$O$1504,"Completed")))</f>
        <v/>
      </c>
      <c r="M105" s="53">
        <f>IF(B105="","",COUNTIFS('JOBS'!$D$5:$D$1504,B105,'JOBS'!$O$5:$O$1504,"Completed"))</f>
        <v/>
      </c>
      <c r="N105" s="54">
        <f>IF(B105="","",SUMIFS('JOBS'!$L$5:$L$1504,'JOBS'!$D$5:$D$1504,B105,'JOBS'!$O$5:$O$1504,"Completed"))</f>
        <v/>
      </c>
      <c r="O105" s="55">
        <f>IF(B105="","",SUMIFS('JOBS'!$U$5:$U$1504,'JOBS'!$D$5:$D$1504,B105))</f>
        <v/>
      </c>
      <c r="P105" s="49">
        <f>IF(B105="","",IF(COUNTIFS('RECURRING'!$B$5:$B$154,B105,'RECURRING'!$J$5:$J$154,"Active")&gt;0,"Yes","No"))</f>
        <v/>
      </c>
      <c r="Q105" s="50">
        <f>IF(L105="","",AsOf-L105)</f>
        <v/>
      </c>
      <c r="R105" s="49">
        <f>IF(B105="","",IF(H105="Do not service","—",IF(O105&gt;0.005,"Collect balance",IF(M105=0,"Book first job",IF(AND(P105="No",Q105&gt;=ReactDays),"Reactivate",IF(COUNTIF('REVIEWS'!$A$5:$A$504,B105)=0,"Ask for review",IF(AND(P105="No",M105&gt;=1),"Offer recurring plan","—")))))))</f>
        <v/>
      </c>
      <c r="S105" s="53">
        <f>IF(B105="","",COUNTIF('REFERRALS'!$B$5:$B$204,B105))</f>
        <v/>
      </c>
    </row>
    <row r="106">
      <c r="A106" s="46" t="inlineStr">
        <is>
          <t>C-102</t>
        </is>
      </c>
      <c r="B106" s="38" t="n"/>
      <c r="C106" s="38" t="n"/>
      <c r="D106" s="38" t="n"/>
      <c r="E106" s="38" t="n"/>
      <c r="F106" s="38" t="n"/>
      <c r="G106" s="38" t="n"/>
      <c r="H106" s="38" t="n"/>
      <c r="I106" s="47" t="n"/>
      <c r="J106" s="38" t="n"/>
      <c r="K106" s="52">
        <f>IF(B106="","",IF(_xlfn.MINIFS('JOBS'!$B$5:$B$1504,'JOBS'!$D$5:$D$1504,B106,'JOBS'!$O$5:$O$1504,"Completed")=0,"",_xlfn.MINIFS('JOBS'!$B$5:$B$1504,'JOBS'!$D$5:$D$1504,B106,'JOBS'!$O$5:$O$1504,"Completed")))</f>
        <v/>
      </c>
      <c r="L106" s="52">
        <f>IF(B106="","",IF(_xlfn.MAXIFS('JOBS'!$B$5:$B$1504,'JOBS'!$D$5:$D$1504,B106,'JOBS'!$O$5:$O$1504,"Completed")=0,"",_xlfn.MAXIFS('JOBS'!$B$5:$B$1504,'JOBS'!$D$5:$D$1504,B106,'JOBS'!$O$5:$O$1504,"Completed")))</f>
        <v/>
      </c>
      <c r="M106" s="53">
        <f>IF(B106="","",COUNTIFS('JOBS'!$D$5:$D$1504,B106,'JOBS'!$O$5:$O$1504,"Completed"))</f>
        <v/>
      </c>
      <c r="N106" s="54">
        <f>IF(B106="","",SUMIFS('JOBS'!$L$5:$L$1504,'JOBS'!$D$5:$D$1504,B106,'JOBS'!$O$5:$O$1504,"Completed"))</f>
        <v/>
      </c>
      <c r="O106" s="55">
        <f>IF(B106="","",SUMIFS('JOBS'!$U$5:$U$1504,'JOBS'!$D$5:$D$1504,B106))</f>
        <v/>
      </c>
      <c r="P106" s="49">
        <f>IF(B106="","",IF(COUNTIFS('RECURRING'!$B$5:$B$154,B106,'RECURRING'!$J$5:$J$154,"Active")&gt;0,"Yes","No"))</f>
        <v/>
      </c>
      <c r="Q106" s="50">
        <f>IF(L106="","",AsOf-L106)</f>
        <v/>
      </c>
      <c r="R106" s="49">
        <f>IF(B106="","",IF(H106="Do not service","—",IF(O106&gt;0.005,"Collect balance",IF(M106=0,"Book first job",IF(AND(P106="No",Q106&gt;=ReactDays),"Reactivate",IF(COUNTIF('REVIEWS'!$A$5:$A$504,B106)=0,"Ask for review",IF(AND(P106="No",M106&gt;=1),"Offer recurring plan","—")))))))</f>
        <v/>
      </c>
      <c r="S106" s="53">
        <f>IF(B106="","",COUNTIF('REFERRALS'!$B$5:$B$204,B106))</f>
        <v/>
      </c>
    </row>
    <row r="107">
      <c r="A107" s="46" t="inlineStr">
        <is>
          <t>C-103</t>
        </is>
      </c>
      <c r="B107" s="38" t="n"/>
      <c r="C107" s="38" t="n"/>
      <c r="D107" s="38" t="n"/>
      <c r="E107" s="38" t="n"/>
      <c r="F107" s="38" t="n"/>
      <c r="G107" s="38" t="n"/>
      <c r="H107" s="38" t="n"/>
      <c r="I107" s="47" t="n"/>
      <c r="J107" s="38" t="n"/>
      <c r="K107" s="52">
        <f>IF(B107="","",IF(_xlfn.MINIFS('JOBS'!$B$5:$B$1504,'JOBS'!$D$5:$D$1504,B107,'JOBS'!$O$5:$O$1504,"Completed")=0,"",_xlfn.MINIFS('JOBS'!$B$5:$B$1504,'JOBS'!$D$5:$D$1504,B107,'JOBS'!$O$5:$O$1504,"Completed")))</f>
        <v/>
      </c>
      <c r="L107" s="52">
        <f>IF(B107="","",IF(_xlfn.MAXIFS('JOBS'!$B$5:$B$1504,'JOBS'!$D$5:$D$1504,B107,'JOBS'!$O$5:$O$1504,"Completed")=0,"",_xlfn.MAXIFS('JOBS'!$B$5:$B$1504,'JOBS'!$D$5:$D$1504,B107,'JOBS'!$O$5:$O$1504,"Completed")))</f>
        <v/>
      </c>
      <c r="M107" s="53">
        <f>IF(B107="","",COUNTIFS('JOBS'!$D$5:$D$1504,B107,'JOBS'!$O$5:$O$1504,"Completed"))</f>
        <v/>
      </c>
      <c r="N107" s="54">
        <f>IF(B107="","",SUMIFS('JOBS'!$L$5:$L$1504,'JOBS'!$D$5:$D$1504,B107,'JOBS'!$O$5:$O$1504,"Completed"))</f>
        <v/>
      </c>
      <c r="O107" s="55">
        <f>IF(B107="","",SUMIFS('JOBS'!$U$5:$U$1504,'JOBS'!$D$5:$D$1504,B107))</f>
        <v/>
      </c>
      <c r="P107" s="49">
        <f>IF(B107="","",IF(COUNTIFS('RECURRING'!$B$5:$B$154,B107,'RECURRING'!$J$5:$J$154,"Active")&gt;0,"Yes","No"))</f>
        <v/>
      </c>
      <c r="Q107" s="50">
        <f>IF(L107="","",AsOf-L107)</f>
        <v/>
      </c>
      <c r="R107" s="49">
        <f>IF(B107="","",IF(H107="Do not service","—",IF(O107&gt;0.005,"Collect balance",IF(M107=0,"Book first job",IF(AND(P107="No",Q107&gt;=ReactDays),"Reactivate",IF(COUNTIF('REVIEWS'!$A$5:$A$504,B107)=0,"Ask for review",IF(AND(P107="No",M107&gt;=1),"Offer recurring plan","—")))))))</f>
        <v/>
      </c>
      <c r="S107" s="53">
        <f>IF(B107="","",COUNTIF('REFERRALS'!$B$5:$B$204,B107))</f>
        <v/>
      </c>
    </row>
    <row r="108">
      <c r="A108" s="46" t="inlineStr">
        <is>
          <t>C-104</t>
        </is>
      </c>
      <c r="B108" s="38" t="n"/>
      <c r="C108" s="38" t="n"/>
      <c r="D108" s="38" t="n"/>
      <c r="E108" s="38" t="n"/>
      <c r="F108" s="38" t="n"/>
      <c r="G108" s="38" t="n"/>
      <c r="H108" s="38" t="n"/>
      <c r="I108" s="47" t="n"/>
      <c r="J108" s="38" t="n"/>
      <c r="K108" s="52">
        <f>IF(B108="","",IF(_xlfn.MINIFS('JOBS'!$B$5:$B$1504,'JOBS'!$D$5:$D$1504,B108,'JOBS'!$O$5:$O$1504,"Completed")=0,"",_xlfn.MINIFS('JOBS'!$B$5:$B$1504,'JOBS'!$D$5:$D$1504,B108,'JOBS'!$O$5:$O$1504,"Completed")))</f>
        <v/>
      </c>
      <c r="L108" s="52">
        <f>IF(B108="","",IF(_xlfn.MAXIFS('JOBS'!$B$5:$B$1504,'JOBS'!$D$5:$D$1504,B108,'JOBS'!$O$5:$O$1504,"Completed")=0,"",_xlfn.MAXIFS('JOBS'!$B$5:$B$1504,'JOBS'!$D$5:$D$1504,B108,'JOBS'!$O$5:$O$1504,"Completed")))</f>
        <v/>
      </c>
      <c r="M108" s="53">
        <f>IF(B108="","",COUNTIFS('JOBS'!$D$5:$D$1504,B108,'JOBS'!$O$5:$O$1504,"Completed"))</f>
        <v/>
      </c>
      <c r="N108" s="54">
        <f>IF(B108="","",SUMIFS('JOBS'!$L$5:$L$1504,'JOBS'!$D$5:$D$1504,B108,'JOBS'!$O$5:$O$1504,"Completed"))</f>
        <v/>
      </c>
      <c r="O108" s="55">
        <f>IF(B108="","",SUMIFS('JOBS'!$U$5:$U$1504,'JOBS'!$D$5:$D$1504,B108))</f>
        <v/>
      </c>
      <c r="P108" s="49">
        <f>IF(B108="","",IF(COUNTIFS('RECURRING'!$B$5:$B$154,B108,'RECURRING'!$J$5:$J$154,"Active")&gt;0,"Yes","No"))</f>
        <v/>
      </c>
      <c r="Q108" s="50">
        <f>IF(L108="","",AsOf-L108)</f>
        <v/>
      </c>
      <c r="R108" s="49">
        <f>IF(B108="","",IF(H108="Do not service","—",IF(O108&gt;0.005,"Collect balance",IF(M108=0,"Book first job",IF(AND(P108="No",Q108&gt;=ReactDays),"Reactivate",IF(COUNTIF('REVIEWS'!$A$5:$A$504,B108)=0,"Ask for review",IF(AND(P108="No",M108&gt;=1),"Offer recurring plan","—")))))))</f>
        <v/>
      </c>
      <c r="S108" s="53">
        <f>IF(B108="","",COUNTIF('REFERRALS'!$B$5:$B$204,B108))</f>
        <v/>
      </c>
    </row>
    <row r="109">
      <c r="A109" s="46" t="inlineStr">
        <is>
          <t>C-105</t>
        </is>
      </c>
      <c r="B109" s="38" t="n"/>
      <c r="C109" s="38" t="n"/>
      <c r="D109" s="38" t="n"/>
      <c r="E109" s="38" t="n"/>
      <c r="F109" s="38" t="n"/>
      <c r="G109" s="38" t="n"/>
      <c r="H109" s="38" t="n"/>
      <c r="I109" s="47" t="n"/>
      <c r="J109" s="38" t="n"/>
      <c r="K109" s="52">
        <f>IF(B109="","",IF(_xlfn.MINIFS('JOBS'!$B$5:$B$1504,'JOBS'!$D$5:$D$1504,B109,'JOBS'!$O$5:$O$1504,"Completed")=0,"",_xlfn.MINIFS('JOBS'!$B$5:$B$1504,'JOBS'!$D$5:$D$1504,B109,'JOBS'!$O$5:$O$1504,"Completed")))</f>
        <v/>
      </c>
      <c r="L109" s="52">
        <f>IF(B109="","",IF(_xlfn.MAXIFS('JOBS'!$B$5:$B$1504,'JOBS'!$D$5:$D$1504,B109,'JOBS'!$O$5:$O$1504,"Completed")=0,"",_xlfn.MAXIFS('JOBS'!$B$5:$B$1504,'JOBS'!$D$5:$D$1504,B109,'JOBS'!$O$5:$O$1504,"Completed")))</f>
        <v/>
      </c>
      <c r="M109" s="53">
        <f>IF(B109="","",COUNTIFS('JOBS'!$D$5:$D$1504,B109,'JOBS'!$O$5:$O$1504,"Completed"))</f>
        <v/>
      </c>
      <c r="N109" s="54">
        <f>IF(B109="","",SUMIFS('JOBS'!$L$5:$L$1504,'JOBS'!$D$5:$D$1504,B109,'JOBS'!$O$5:$O$1504,"Completed"))</f>
        <v/>
      </c>
      <c r="O109" s="55">
        <f>IF(B109="","",SUMIFS('JOBS'!$U$5:$U$1504,'JOBS'!$D$5:$D$1504,B109))</f>
        <v/>
      </c>
      <c r="P109" s="49">
        <f>IF(B109="","",IF(COUNTIFS('RECURRING'!$B$5:$B$154,B109,'RECURRING'!$J$5:$J$154,"Active")&gt;0,"Yes","No"))</f>
        <v/>
      </c>
      <c r="Q109" s="50">
        <f>IF(L109="","",AsOf-L109)</f>
        <v/>
      </c>
      <c r="R109" s="49">
        <f>IF(B109="","",IF(H109="Do not service","—",IF(O109&gt;0.005,"Collect balance",IF(M109=0,"Book first job",IF(AND(P109="No",Q109&gt;=ReactDays),"Reactivate",IF(COUNTIF('REVIEWS'!$A$5:$A$504,B109)=0,"Ask for review",IF(AND(P109="No",M109&gt;=1),"Offer recurring plan","—")))))))</f>
        <v/>
      </c>
      <c r="S109" s="53">
        <f>IF(B109="","",COUNTIF('REFERRALS'!$B$5:$B$204,B109))</f>
        <v/>
      </c>
    </row>
    <row r="110">
      <c r="A110" s="46" t="inlineStr">
        <is>
          <t>C-106</t>
        </is>
      </c>
      <c r="B110" s="38" t="n"/>
      <c r="C110" s="38" t="n"/>
      <c r="D110" s="38" t="n"/>
      <c r="E110" s="38" t="n"/>
      <c r="F110" s="38" t="n"/>
      <c r="G110" s="38" t="n"/>
      <c r="H110" s="38" t="n"/>
      <c r="I110" s="47" t="n"/>
      <c r="J110" s="38" t="n"/>
      <c r="K110" s="52">
        <f>IF(B110="","",IF(_xlfn.MINIFS('JOBS'!$B$5:$B$1504,'JOBS'!$D$5:$D$1504,B110,'JOBS'!$O$5:$O$1504,"Completed")=0,"",_xlfn.MINIFS('JOBS'!$B$5:$B$1504,'JOBS'!$D$5:$D$1504,B110,'JOBS'!$O$5:$O$1504,"Completed")))</f>
        <v/>
      </c>
      <c r="L110" s="52">
        <f>IF(B110="","",IF(_xlfn.MAXIFS('JOBS'!$B$5:$B$1504,'JOBS'!$D$5:$D$1504,B110,'JOBS'!$O$5:$O$1504,"Completed")=0,"",_xlfn.MAXIFS('JOBS'!$B$5:$B$1504,'JOBS'!$D$5:$D$1504,B110,'JOBS'!$O$5:$O$1504,"Completed")))</f>
        <v/>
      </c>
      <c r="M110" s="53">
        <f>IF(B110="","",COUNTIFS('JOBS'!$D$5:$D$1504,B110,'JOBS'!$O$5:$O$1504,"Completed"))</f>
        <v/>
      </c>
      <c r="N110" s="54">
        <f>IF(B110="","",SUMIFS('JOBS'!$L$5:$L$1504,'JOBS'!$D$5:$D$1504,B110,'JOBS'!$O$5:$O$1504,"Completed"))</f>
        <v/>
      </c>
      <c r="O110" s="55">
        <f>IF(B110="","",SUMIFS('JOBS'!$U$5:$U$1504,'JOBS'!$D$5:$D$1504,B110))</f>
        <v/>
      </c>
      <c r="P110" s="49">
        <f>IF(B110="","",IF(COUNTIFS('RECURRING'!$B$5:$B$154,B110,'RECURRING'!$J$5:$J$154,"Active")&gt;0,"Yes","No"))</f>
        <v/>
      </c>
      <c r="Q110" s="50">
        <f>IF(L110="","",AsOf-L110)</f>
        <v/>
      </c>
      <c r="R110" s="49">
        <f>IF(B110="","",IF(H110="Do not service","—",IF(O110&gt;0.005,"Collect balance",IF(M110=0,"Book first job",IF(AND(P110="No",Q110&gt;=ReactDays),"Reactivate",IF(COUNTIF('REVIEWS'!$A$5:$A$504,B110)=0,"Ask for review",IF(AND(P110="No",M110&gt;=1),"Offer recurring plan","—")))))))</f>
        <v/>
      </c>
      <c r="S110" s="53">
        <f>IF(B110="","",COUNTIF('REFERRALS'!$B$5:$B$204,B110))</f>
        <v/>
      </c>
    </row>
    <row r="111">
      <c r="A111" s="46" t="inlineStr">
        <is>
          <t>C-107</t>
        </is>
      </c>
      <c r="B111" s="38" t="n"/>
      <c r="C111" s="38" t="n"/>
      <c r="D111" s="38" t="n"/>
      <c r="E111" s="38" t="n"/>
      <c r="F111" s="38" t="n"/>
      <c r="G111" s="38" t="n"/>
      <c r="H111" s="38" t="n"/>
      <c r="I111" s="47" t="n"/>
      <c r="J111" s="38" t="n"/>
      <c r="K111" s="52">
        <f>IF(B111="","",IF(_xlfn.MINIFS('JOBS'!$B$5:$B$1504,'JOBS'!$D$5:$D$1504,B111,'JOBS'!$O$5:$O$1504,"Completed")=0,"",_xlfn.MINIFS('JOBS'!$B$5:$B$1504,'JOBS'!$D$5:$D$1504,B111,'JOBS'!$O$5:$O$1504,"Completed")))</f>
        <v/>
      </c>
      <c r="L111" s="52">
        <f>IF(B111="","",IF(_xlfn.MAXIFS('JOBS'!$B$5:$B$1504,'JOBS'!$D$5:$D$1504,B111,'JOBS'!$O$5:$O$1504,"Completed")=0,"",_xlfn.MAXIFS('JOBS'!$B$5:$B$1504,'JOBS'!$D$5:$D$1504,B111,'JOBS'!$O$5:$O$1504,"Completed")))</f>
        <v/>
      </c>
      <c r="M111" s="53">
        <f>IF(B111="","",COUNTIFS('JOBS'!$D$5:$D$1504,B111,'JOBS'!$O$5:$O$1504,"Completed"))</f>
        <v/>
      </c>
      <c r="N111" s="54">
        <f>IF(B111="","",SUMIFS('JOBS'!$L$5:$L$1504,'JOBS'!$D$5:$D$1504,B111,'JOBS'!$O$5:$O$1504,"Completed"))</f>
        <v/>
      </c>
      <c r="O111" s="55">
        <f>IF(B111="","",SUMIFS('JOBS'!$U$5:$U$1504,'JOBS'!$D$5:$D$1504,B111))</f>
        <v/>
      </c>
      <c r="P111" s="49">
        <f>IF(B111="","",IF(COUNTIFS('RECURRING'!$B$5:$B$154,B111,'RECURRING'!$J$5:$J$154,"Active")&gt;0,"Yes","No"))</f>
        <v/>
      </c>
      <c r="Q111" s="50">
        <f>IF(L111="","",AsOf-L111)</f>
        <v/>
      </c>
      <c r="R111" s="49">
        <f>IF(B111="","",IF(H111="Do not service","—",IF(O111&gt;0.005,"Collect balance",IF(M111=0,"Book first job",IF(AND(P111="No",Q111&gt;=ReactDays),"Reactivate",IF(COUNTIF('REVIEWS'!$A$5:$A$504,B111)=0,"Ask for review",IF(AND(P111="No",M111&gt;=1),"Offer recurring plan","—")))))))</f>
        <v/>
      </c>
      <c r="S111" s="53">
        <f>IF(B111="","",COUNTIF('REFERRALS'!$B$5:$B$204,B111))</f>
        <v/>
      </c>
    </row>
    <row r="112">
      <c r="A112" s="46" t="inlineStr">
        <is>
          <t>C-108</t>
        </is>
      </c>
      <c r="B112" s="38" t="n"/>
      <c r="C112" s="38" t="n"/>
      <c r="D112" s="38" t="n"/>
      <c r="E112" s="38" t="n"/>
      <c r="F112" s="38" t="n"/>
      <c r="G112" s="38" t="n"/>
      <c r="H112" s="38" t="n"/>
      <c r="I112" s="47" t="n"/>
      <c r="J112" s="38" t="n"/>
      <c r="K112" s="52">
        <f>IF(B112="","",IF(_xlfn.MINIFS('JOBS'!$B$5:$B$1504,'JOBS'!$D$5:$D$1504,B112,'JOBS'!$O$5:$O$1504,"Completed")=0,"",_xlfn.MINIFS('JOBS'!$B$5:$B$1504,'JOBS'!$D$5:$D$1504,B112,'JOBS'!$O$5:$O$1504,"Completed")))</f>
        <v/>
      </c>
      <c r="L112" s="52">
        <f>IF(B112="","",IF(_xlfn.MAXIFS('JOBS'!$B$5:$B$1504,'JOBS'!$D$5:$D$1504,B112,'JOBS'!$O$5:$O$1504,"Completed")=0,"",_xlfn.MAXIFS('JOBS'!$B$5:$B$1504,'JOBS'!$D$5:$D$1504,B112,'JOBS'!$O$5:$O$1504,"Completed")))</f>
        <v/>
      </c>
      <c r="M112" s="53">
        <f>IF(B112="","",COUNTIFS('JOBS'!$D$5:$D$1504,B112,'JOBS'!$O$5:$O$1504,"Completed"))</f>
        <v/>
      </c>
      <c r="N112" s="54">
        <f>IF(B112="","",SUMIFS('JOBS'!$L$5:$L$1504,'JOBS'!$D$5:$D$1504,B112,'JOBS'!$O$5:$O$1504,"Completed"))</f>
        <v/>
      </c>
      <c r="O112" s="55">
        <f>IF(B112="","",SUMIFS('JOBS'!$U$5:$U$1504,'JOBS'!$D$5:$D$1504,B112))</f>
        <v/>
      </c>
      <c r="P112" s="49">
        <f>IF(B112="","",IF(COUNTIFS('RECURRING'!$B$5:$B$154,B112,'RECURRING'!$J$5:$J$154,"Active")&gt;0,"Yes","No"))</f>
        <v/>
      </c>
      <c r="Q112" s="50">
        <f>IF(L112="","",AsOf-L112)</f>
        <v/>
      </c>
      <c r="R112" s="49">
        <f>IF(B112="","",IF(H112="Do not service","—",IF(O112&gt;0.005,"Collect balance",IF(M112=0,"Book first job",IF(AND(P112="No",Q112&gt;=ReactDays),"Reactivate",IF(COUNTIF('REVIEWS'!$A$5:$A$504,B112)=0,"Ask for review",IF(AND(P112="No",M112&gt;=1),"Offer recurring plan","—")))))))</f>
        <v/>
      </c>
      <c r="S112" s="53">
        <f>IF(B112="","",COUNTIF('REFERRALS'!$B$5:$B$204,B112))</f>
        <v/>
      </c>
    </row>
    <row r="113">
      <c r="A113" s="46" t="inlineStr">
        <is>
          <t>C-109</t>
        </is>
      </c>
      <c r="B113" s="38" t="n"/>
      <c r="C113" s="38" t="n"/>
      <c r="D113" s="38" t="n"/>
      <c r="E113" s="38" t="n"/>
      <c r="F113" s="38" t="n"/>
      <c r="G113" s="38" t="n"/>
      <c r="H113" s="38" t="n"/>
      <c r="I113" s="47" t="n"/>
      <c r="J113" s="38" t="n"/>
      <c r="K113" s="52">
        <f>IF(B113="","",IF(_xlfn.MINIFS('JOBS'!$B$5:$B$1504,'JOBS'!$D$5:$D$1504,B113,'JOBS'!$O$5:$O$1504,"Completed")=0,"",_xlfn.MINIFS('JOBS'!$B$5:$B$1504,'JOBS'!$D$5:$D$1504,B113,'JOBS'!$O$5:$O$1504,"Completed")))</f>
        <v/>
      </c>
      <c r="L113" s="52">
        <f>IF(B113="","",IF(_xlfn.MAXIFS('JOBS'!$B$5:$B$1504,'JOBS'!$D$5:$D$1504,B113,'JOBS'!$O$5:$O$1504,"Completed")=0,"",_xlfn.MAXIFS('JOBS'!$B$5:$B$1504,'JOBS'!$D$5:$D$1504,B113,'JOBS'!$O$5:$O$1504,"Completed")))</f>
        <v/>
      </c>
      <c r="M113" s="53">
        <f>IF(B113="","",COUNTIFS('JOBS'!$D$5:$D$1504,B113,'JOBS'!$O$5:$O$1504,"Completed"))</f>
        <v/>
      </c>
      <c r="N113" s="54">
        <f>IF(B113="","",SUMIFS('JOBS'!$L$5:$L$1504,'JOBS'!$D$5:$D$1504,B113,'JOBS'!$O$5:$O$1504,"Completed"))</f>
        <v/>
      </c>
      <c r="O113" s="55">
        <f>IF(B113="","",SUMIFS('JOBS'!$U$5:$U$1504,'JOBS'!$D$5:$D$1504,B113))</f>
        <v/>
      </c>
      <c r="P113" s="49">
        <f>IF(B113="","",IF(COUNTIFS('RECURRING'!$B$5:$B$154,B113,'RECURRING'!$J$5:$J$154,"Active")&gt;0,"Yes","No"))</f>
        <v/>
      </c>
      <c r="Q113" s="50">
        <f>IF(L113="","",AsOf-L113)</f>
        <v/>
      </c>
      <c r="R113" s="49">
        <f>IF(B113="","",IF(H113="Do not service","—",IF(O113&gt;0.005,"Collect balance",IF(M113=0,"Book first job",IF(AND(P113="No",Q113&gt;=ReactDays),"Reactivate",IF(COUNTIF('REVIEWS'!$A$5:$A$504,B113)=0,"Ask for review",IF(AND(P113="No",M113&gt;=1),"Offer recurring plan","—")))))))</f>
        <v/>
      </c>
      <c r="S113" s="53">
        <f>IF(B113="","",COUNTIF('REFERRALS'!$B$5:$B$204,B113))</f>
        <v/>
      </c>
    </row>
    <row r="114">
      <c r="A114" s="46" t="inlineStr">
        <is>
          <t>C-110</t>
        </is>
      </c>
      <c r="B114" s="38" t="n"/>
      <c r="C114" s="38" t="n"/>
      <c r="D114" s="38" t="n"/>
      <c r="E114" s="38" t="n"/>
      <c r="F114" s="38" t="n"/>
      <c r="G114" s="38" t="n"/>
      <c r="H114" s="38" t="n"/>
      <c r="I114" s="47" t="n"/>
      <c r="J114" s="38" t="n"/>
      <c r="K114" s="52">
        <f>IF(B114="","",IF(_xlfn.MINIFS('JOBS'!$B$5:$B$1504,'JOBS'!$D$5:$D$1504,B114,'JOBS'!$O$5:$O$1504,"Completed")=0,"",_xlfn.MINIFS('JOBS'!$B$5:$B$1504,'JOBS'!$D$5:$D$1504,B114,'JOBS'!$O$5:$O$1504,"Completed")))</f>
        <v/>
      </c>
      <c r="L114" s="52">
        <f>IF(B114="","",IF(_xlfn.MAXIFS('JOBS'!$B$5:$B$1504,'JOBS'!$D$5:$D$1504,B114,'JOBS'!$O$5:$O$1504,"Completed")=0,"",_xlfn.MAXIFS('JOBS'!$B$5:$B$1504,'JOBS'!$D$5:$D$1504,B114,'JOBS'!$O$5:$O$1504,"Completed")))</f>
        <v/>
      </c>
      <c r="M114" s="53">
        <f>IF(B114="","",COUNTIFS('JOBS'!$D$5:$D$1504,B114,'JOBS'!$O$5:$O$1504,"Completed"))</f>
        <v/>
      </c>
      <c r="N114" s="54">
        <f>IF(B114="","",SUMIFS('JOBS'!$L$5:$L$1504,'JOBS'!$D$5:$D$1504,B114,'JOBS'!$O$5:$O$1504,"Completed"))</f>
        <v/>
      </c>
      <c r="O114" s="55">
        <f>IF(B114="","",SUMIFS('JOBS'!$U$5:$U$1504,'JOBS'!$D$5:$D$1504,B114))</f>
        <v/>
      </c>
      <c r="P114" s="49">
        <f>IF(B114="","",IF(COUNTIFS('RECURRING'!$B$5:$B$154,B114,'RECURRING'!$J$5:$J$154,"Active")&gt;0,"Yes","No"))</f>
        <v/>
      </c>
      <c r="Q114" s="50">
        <f>IF(L114="","",AsOf-L114)</f>
        <v/>
      </c>
      <c r="R114" s="49">
        <f>IF(B114="","",IF(H114="Do not service","—",IF(O114&gt;0.005,"Collect balance",IF(M114=0,"Book first job",IF(AND(P114="No",Q114&gt;=ReactDays),"Reactivate",IF(COUNTIF('REVIEWS'!$A$5:$A$504,B114)=0,"Ask for review",IF(AND(P114="No",M114&gt;=1),"Offer recurring plan","—")))))))</f>
        <v/>
      </c>
      <c r="S114" s="53">
        <f>IF(B114="","",COUNTIF('REFERRALS'!$B$5:$B$204,B114))</f>
        <v/>
      </c>
    </row>
    <row r="115">
      <c r="A115" s="46" t="inlineStr">
        <is>
          <t>C-111</t>
        </is>
      </c>
      <c r="B115" s="38" t="n"/>
      <c r="C115" s="38" t="n"/>
      <c r="D115" s="38" t="n"/>
      <c r="E115" s="38" t="n"/>
      <c r="F115" s="38" t="n"/>
      <c r="G115" s="38" t="n"/>
      <c r="H115" s="38" t="n"/>
      <c r="I115" s="47" t="n"/>
      <c r="J115" s="38" t="n"/>
      <c r="K115" s="52">
        <f>IF(B115="","",IF(_xlfn.MINIFS('JOBS'!$B$5:$B$1504,'JOBS'!$D$5:$D$1504,B115,'JOBS'!$O$5:$O$1504,"Completed")=0,"",_xlfn.MINIFS('JOBS'!$B$5:$B$1504,'JOBS'!$D$5:$D$1504,B115,'JOBS'!$O$5:$O$1504,"Completed")))</f>
        <v/>
      </c>
      <c r="L115" s="52">
        <f>IF(B115="","",IF(_xlfn.MAXIFS('JOBS'!$B$5:$B$1504,'JOBS'!$D$5:$D$1504,B115,'JOBS'!$O$5:$O$1504,"Completed")=0,"",_xlfn.MAXIFS('JOBS'!$B$5:$B$1504,'JOBS'!$D$5:$D$1504,B115,'JOBS'!$O$5:$O$1504,"Completed")))</f>
        <v/>
      </c>
      <c r="M115" s="53">
        <f>IF(B115="","",COUNTIFS('JOBS'!$D$5:$D$1504,B115,'JOBS'!$O$5:$O$1504,"Completed"))</f>
        <v/>
      </c>
      <c r="N115" s="54">
        <f>IF(B115="","",SUMIFS('JOBS'!$L$5:$L$1504,'JOBS'!$D$5:$D$1504,B115,'JOBS'!$O$5:$O$1504,"Completed"))</f>
        <v/>
      </c>
      <c r="O115" s="55">
        <f>IF(B115="","",SUMIFS('JOBS'!$U$5:$U$1504,'JOBS'!$D$5:$D$1504,B115))</f>
        <v/>
      </c>
      <c r="P115" s="49">
        <f>IF(B115="","",IF(COUNTIFS('RECURRING'!$B$5:$B$154,B115,'RECURRING'!$J$5:$J$154,"Active")&gt;0,"Yes","No"))</f>
        <v/>
      </c>
      <c r="Q115" s="50">
        <f>IF(L115="","",AsOf-L115)</f>
        <v/>
      </c>
      <c r="R115" s="49">
        <f>IF(B115="","",IF(H115="Do not service","—",IF(O115&gt;0.005,"Collect balance",IF(M115=0,"Book first job",IF(AND(P115="No",Q115&gt;=ReactDays),"Reactivate",IF(COUNTIF('REVIEWS'!$A$5:$A$504,B115)=0,"Ask for review",IF(AND(P115="No",M115&gt;=1),"Offer recurring plan","—")))))))</f>
        <v/>
      </c>
      <c r="S115" s="53">
        <f>IF(B115="","",COUNTIF('REFERRALS'!$B$5:$B$204,B115))</f>
        <v/>
      </c>
    </row>
    <row r="116">
      <c r="A116" s="46" t="inlineStr">
        <is>
          <t>C-112</t>
        </is>
      </c>
      <c r="B116" s="38" t="n"/>
      <c r="C116" s="38" t="n"/>
      <c r="D116" s="38" t="n"/>
      <c r="E116" s="38" t="n"/>
      <c r="F116" s="38" t="n"/>
      <c r="G116" s="38" t="n"/>
      <c r="H116" s="38" t="n"/>
      <c r="I116" s="47" t="n"/>
      <c r="J116" s="38" t="n"/>
      <c r="K116" s="52">
        <f>IF(B116="","",IF(_xlfn.MINIFS('JOBS'!$B$5:$B$1504,'JOBS'!$D$5:$D$1504,B116,'JOBS'!$O$5:$O$1504,"Completed")=0,"",_xlfn.MINIFS('JOBS'!$B$5:$B$1504,'JOBS'!$D$5:$D$1504,B116,'JOBS'!$O$5:$O$1504,"Completed")))</f>
        <v/>
      </c>
      <c r="L116" s="52">
        <f>IF(B116="","",IF(_xlfn.MAXIFS('JOBS'!$B$5:$B$1504,'JOBS'!$D$5:$D$1504,B116,'JOBS'!$O$5:$O$1504,"Completed")=0,"",_xlfn.MAXIFS('JOBS'!$B$5:$B$1504,'JOBS'!$D$5:$D$1504,B116,'JOBS'!$O$5:$O$1504,"Completed")))</f>
        <v/>
      </c>
      <c r="M116" s="53">
        <f>IF(B116="","",COUNTIFS('JOBS'!$D$5:$D$1504,B116,'JOBS'!$O$5:$O$1504,"Completed"))</f>
        <v/>
      </c>
      <c r="N116" s="54">
        <f>IF(B116="","",SUMIFS('JOBS'!$L$5:$L$1504,'JOBS'!$D$5:$D$1504,B116,'JOBS'!$O$5:$O$1504,"Completed"))</f>
        <v/>
      </c>
      <c r="O116" s="55">
        <f>IF(B116="","",SUMIFS('JOBS'!$U$5:$U$1504,'JOBS'!$D$5:$D$1504,B116))</f>
        <v/>
      </c>
      <c r="P116" s="49">
        <f>IF(B116="","",IF(COUNTIFS('RECURRING'!$B$5:$B$154,B116,'RECURRING'!$J$5:$J$154,"Active")&gt;0,"Yes","No"))</f>
        <v/>
      </c>
      <c r="Q116" s="50">
        <f>IF(L116="","",AsOf-L116)</f>
        <v/>
      </c>
      <c r="R116" s="49">
        <f>IF(B116="","",IF(H116="Do not service","—",IF(O116&gt;0.005,"Collect balance",IF(M116=0,"Book first job",IF(AND(P116="No",Q116&gt;=ReactDays),"Reactivate",IF(COUNTIF('REVIEWS'!$A$5:$A$504,B116)=0,"Ask for review",IF(AND(P116="No",M116&gt;=1),"Offer recurring plan","—")))))))</f>
        <v/>
      </c>
      <c r="S116" s="53">
        <f>IF(B116="","",COUNTIF('REFERRALS'!$B$5:$B$204,B116))</f>
        <v/>
      </c>
    </row>
    <row r="117">
      <c r="A117" s="46" t="inlineStr">
        <is>
          <t>C-113</t>
        </is>
      </c>
      <c r="B117" s="38" t="n"/>
      <c r="C117" s="38" t="n"/>
      <c r="D117" s="38" t="n"/>
      <c r="E117" s="38" t="n"/>
      <c r="F117" s="38" t="n"/>
      <c r="G117" s="38" t="n"/>
      <c r="H117" s="38" t="n"/>
      <c r="I117" s="47" t="n"/>
      <c r="J117" s="38" t="n"/>
      <c r="K117" s="52">
        <f>IF(B117="","",IF(_xlfn.MINIFS('JOBS'!$B$5:$B$1504,'JOBS'!$D$5:$D$1504,B117,'JOBS'!$O$5:$O$1504,"Completed")=0,"",_xlfn.MINIFS('JOBS'!$B$5:$B$1504,'JOBS'!$D$5:$D$1504,B117,'JOBS'!$O$5:$O$1504,"Completed")))</f>
        <v/>
      </c>
      <c r="L117" s="52">
        <f>IF(B117="","",IF(_xlfn.MAXIFS('JOBS'!$B$5:$B$1504,'JOBS'!$D$5:$D$1504,B117,'JOBS'!$O$5:$O$1504,"Completed")=0,"",_xlfn.MAXIFS('JOBS'!$B$5:$B$1504,'JOBS'!$D$5:$D$1504,B117,'JOBS'!$O$5:$O$1504,"Completed")))</f>
        <v/>
      </c>
      <c r="M117" s="53">
        <f>IF(B117="","",COUNTIFS('JOBS'!$D$5:$D$1504,B117,'JOBS'!$O$5:$O$1504,"Completed"))</f>
        <v/>
      </c>
      <c r="N117" s="54">
        <f>IF(B117="","",SUMIFS('JOBS'!$L$5:$L$1504,'JOBS'!$D$5:$D$1504,B117,'JOBS'!$O$5:$O$1504,"Completed"))</f>
        <v/>
      </c>
      <c r="O117" s="55">
        <f>IF(B117="","",SUMIFS('JOBS'!$U$5:$U$1504,'JOBS'!$D$5:$D$1504,B117))</f>
        <v/>
      </c>
      <c r="P117" s="49">
        <f>IF(B117="","",IF(COUNTIFS('RECURRING'!$B$5:$B$154,B117,'RECURRING'!$J$5:$J$154,"Active")&gt;0,"Yes","No"))</f>
        <v/>
      </c>
      <c r="Q117" s="50">
        <f>IF(L117="","",AsOf-L117)</f>
        <v/>
      </c>
      <c r="R117" s="49">
        <f>IF(B117="","",IF(H117="Do not service","—",IF(O117&gt;0.005,"Collect balance",IF(M117=0,"Book first job",IF(AND(P117="No",Q117&gt;=ReactDays),"Reactivate",IF(COUNTIF('REVIEWS'!$A$5:$A$504,B117)=0,"Ask for review",IF(AND(P117="No",M117&gt;=1),"Offer recurring plan","—")))))))</f>
        <v/>
      </c>
      <c r="S117" s="53">
        <f>IF(B117="","",COUNTIF('REFERRALS'!$B$5:$B$204,B117))</f>
        <v/>
      </c>
    </row>
    <row r="118">
      <c r="A118" s="46" t="inlineStr">
        <is>
          <t>C-114</t>
        </is>
      </c>
      <c r="B118" s="38" t="n"/>
      <c r="C118" s="38" t="n"/>
      <c r="D118" s="38" t="n"/>
      <c r="E118" s="38" t="n"/>
      <c r="F118" s="38" t="n"/>
      <c r="G118" s="38" t="n"/>
      <c r="H118" s="38" t="n"/>
      <c r="I118" s="47" t="n"/>
      <c r="J118" s="38" t="n"/>
      <c r="K118" s="52">
        <f>IF(B118="","",IF(_xlfn.MINIFS('JOBS'!$B$5:$B$1504,'JOBS'!$D$5:$D$1504,B118,'JOBS'!$O$5:$O$1504,"Completed")=0,"",_xlfn.MINIFS('JOBS'!$B$5:$B$1504,'JOBS'!$D$5:$D$1504,B118,'JOBS'!$O$5:$O$1504,"Completed")))</f>
        <v/>
      </c>
      <c r="L118" s="52">
        <f>IF(B118="","",IF(_xlfn.MAXIFS('JOBS'!$B$5:$B$1504,'JOBS'!$D$5:$D$1504,B118,'JOBS'!$O$5:$O$1504,"Completed")=0,"",_xlfn.MAXIFS('JOBS'!$B$5:$B$1504,'JOBS'!$D$5:$D$1504,B118,'JOBS'!$O$5:$O$1504,"Completed")))</f>
        <v/>
      </c>
      <c r="M118" s="53">
        <f>IF(B118="","",COUNTIFS('JOBS'!$D$5:$D$1504,B118,'JOBS'!$O$5:$O$1504,"Completed"))</f>
        <v/>
      </c>
      <c r="N118" s="54">
        <f>IF(B118="","",SUMIFS('JOBS'!$L$5:$L$1504,'JOBS'!$D$5:$D$1504,B118,'JOBS'!$O$5:$O$1504,"Completed"))</f>
        <v/>
      </c>
      <c r="O118" s="55">
        <f>IF(B118="","",SUMIFS('JOBS'!$U$5:$U$1504,'JOBS'!$D$5:$D$1504,B118))</f>
        <v/>
      </c>
      <c r="P118" s="49">
        <f>IF(B118="","",IF(COUNTIFS('RECURRING'!$B$5:$B$154,B118,'RECURRING'!$J$5:$J$154,"Active")&gt;0,"Yes","No"))</f>
        <v/>
      </c>
      <c r="Q118" s="50">
        <f>IF(L118="","",AsOf-L118)</f>
        <v/>
      </c>
      <c r="R118" s="49">
        <f>IF(B118="","",IF(H118="Do not service","—",IF(O118&gt;0.005,"Collect balance",IF(M118=0,"Book first job",IF(AND(P118="No",Q118&gt;=ReactDays),"Reactivate",IF(COUNTIF('REVIEWS'!$A$5:$A$504,B118)=0,"Ask for review",IF(AND(P118="No",M118&gt;=1),"Offer recurring plan","—")))))))</f>
        <v/>
      </c>
      <c r="S118" s="53">
        <f>IF(B118="","",COUNTIF('REFERRALS'!$B$5:$B$204,B118))</f>
        <v/>
      </c>
    </row>
    <row r="119">
      <c r="A119" s="46" t="inlineStr">
        <is>
          <t>C-115</t>
        </is>
      </c>
      <c r="B119" s="38" t="n"/>
      <c r="C119" s="38" t="n"/>
      <c r="D119" s="38" t="n"/>
      <c r="E119" s="38" t="n"/>
      <c r="F119" s="38" t="n"/>
      <c r="G119" s="38" t="n"/>
      <c r="H119" s="38" t="n"/>
      <c r="I119" s="47" t="n"/>
      <c r="J119" s="38" t="n"/>
      <c r="K119" s="52">
        <f>IF(B119="","",IF(_xlfn.MINIFS('JOBS'!$B$5:$B$1504,'JOBS'!$D$5:$D$1504,B119,'JOBS'!$O$5:$O$1504,"Completed")=0,"",_xlfn.MINIFS('JOBS'!$B$5:$B$1504,'JOBS'!$D$5:$D$1504,B119,'JOBS'!$O$5:$O$1504,"Completed")))</f>
        <v/>
      </c>
      <c r="L119" s="52">
        <f>IF(B119="","",IF(_xlfn.MAXIFS('JOBS'!$B$5:$B$1504,'JOBS'!$D$5:$D$1504,B119,'JOBS'!$O$5:$O$1504,"Completed")=0,"",_xlfn.MAXIFS('JOBS'!$B$5:$B$1504,'JOBS'!$D$5:$D$1504,B119,'JOBS'!$O$5:$O$1504,"Completed")))</f>
        <v/>
      </c>
      <c r="M119" s="53">
        <f>IF(B119="","",COUNTIFS('JOBS'!$D$5:$D$1504,B119,'JOBS'!$O$5:$O$1504,"Completed"))</f>
        <v/>
      </c>
      <c r="N119" s="54">
        <f>IF(B119="","",SUMIFS('JOBS'!$L$5:$L$1504,'JOBS'!$D$5:$D$1504,B119,'JOBS'!$O$5:$O$1504,"Completed"))</f>
        <v/>
      </c>
      <c r="O119" s="55">
        <f>IF(B119="","",SUMIFS('JOBS'!$U$5:$U$1504,'JOBS'!$D$5:$D$1504,B119))</f>
        <v/>
      </c>
      <c r="P119" s="49">
        <f>IF(B119="","",IF(COUNTIFS('RECURRING'!$B$5:$B$154,B119,'RECURRING'!$J$5:$J$154,"Active")&gt;0,"Yes","No"))</f>
        <v/>
      </c>
      <c r="Q119" s="50">
        <f>IF(L119="","",AsOf-L119)</f>
        <v/>
      </c>
      <c r="R119" s="49">
        <f>IF(B119="","",IF(H119="Do not service","—",IF(O119&gt;0.005,"Collect balance",IF(M119=0,"Book first job",IF(AND(P119="No",Q119&gt;=ReactDays),"Reactivate",IF(COUNTIF('REVIEWS'!$A$5:$A$504,B119)=0,"Ask for review",IF(AND(P119="No",M119&gt;=1),"Offer recurring plan","—")))))))</f>
        <v/>
      </c>
      <c r="S119" s="53">
        <f>IF(B119="","",COUNTIF('REFERRALS'!$B$5:$B$204,B119))</f>
        <v/>
      </c>
    </row>
    <row r="120">
      <c r="A120" s="46" t="inlineStr">
        <is>
          <t>C-116</t>
        </is>
      </c>
      <c r="B120" s="38" t="n"/>
      <c r="C120" s="38" t="n"/>
      <c r="D120" s="38" t="n"/>
      <c r="E120" s="38" t="n"/>
      <c r="F120" s="38" t="n"/>
      <c r="G120" s="38" t="n"/>
      <c r="H120" s="38" t="n"/>
      <c r="I120" s="47" t="n"/>
      <c r="J120" s="38" t="n"/>
      <c r="K120" s="52">
        <f>IF(B120="","",IF(_xlfn.MINIFS('JOBS'!$B$5:$B$1504,'JOBS'!$D$5:$D$1504,B120,'JOBS'!$O$5:$O$1504,"Completed")=0,"",_xlfn.MINIFS('JOBS'!$B$5:$B$1504,'JOBS'!$D$5:$D$1504,B120,'JOBS'!$O$5:$O$1504,"Completed")))</f>
        <v/>
      </c>
      <c r="L120" s="52">
        <f>IF(B120="","",IF(_xlfn.MAXIFS('JOBS'!$B$5:$B$1504,'JOBS'!$D$5:$D$1504,B120,'JOBS'!$O$5:$O$1504,"Completed")=0,"",_xlfn.MAXIFS('JOBS'!$B$5:$B$1504,'JOBS'!$D$5:$D$1504,B120,'JOBS'!$O$5:$O$1504,"Completed")))</f>
        <v/>
      </c>
      <c r="M120" s="53">
        <f>IF(B120="","",COUNTIFS('JOBS'!$D$5:$D$1504,B120,'JOBS'!$O$5:$O$1504,"Completed"))</f>
        <v/>
      </c>
      <c r="N120" s="54">
        <f>IF(B120="","",SUMIFS('JOBS'!$L$5:$L$1504,'JOBS'!$D$5:$D$1504,B120,'JOBS'!$O$5:$O$1504,"Completed"))</f>
        <v/>
      </c>
      <c r="O120" s="55">
        <f>IF(B120="","",SUMIFS('JOBS'!$U$5:$U$1504,'JOBS'!$D$5:$D$1504,B120))</f>
        <v/>
      </c>
      <c r="P120" s="49">
        <f>IF(B120="","",IF(COUNTIFS('RECURRING'!$B$5:$B$154,B120,'RECURRING'!$J$5:$J$154,"Active")&gt;0,"Yes","No"))</f>
        <v/>
      </c>
      <c r="Q120" s="50">
        <f>IF(L120="","",AsOf-L120)</f>
        <v/>
      </c>
      <c r="R120" s="49">
        <f>IF(B120="","",IF(H120="Do not service","—",IF(O120&gt;0.005,"Collect balance",IF(M120=0,"Book first job",IF(AND(P120="No",Q120&gt;=ReactDays),"Reactivate",IF(COUNTIF('REVIEWS'!$A$5:$A$504,B120)=0,"Ask for review",IF(AND(P120="No",M120&gt;=1),"Offer recurring plan","—")))))))</f>
        <v/>
      </c>
      <c r="S120" s="53">
        <f>IF(B120="","",COUNTIF('REFERRALS'!$B$5:$B$204,B120))</f>
        <v/>
      </c>
    </row>
    <row r="121">
      <c r="A121" s="46" t="inlineStr">
        <is>
          <t>C-117</t>
        </is>
      </c>
      <c r="B121" s="38" t="n"/>
      <c r="C121" s="38" t="n"/>
      <c r="D121" s="38" t="n"/>
      <c r="E121" s="38" t="n"/>
      <c r="F121" s="38" t="n"/>
      <c r="G121" s="38" t="n"/>
      <c r="H121" s="38" t="n"/>
      <c r="I121" s="47" t="n"/>
      <c r="J121" s="38" t="n"/>
      <c r="K121" s="52">
        <f>IF(B121="","",IF(_xlfn.MINIFS('JOBS'!$B$5:$B$1504,'JOBS'!$D$5:$D$1504,B121,'JOBS'!$O$5:$O$1504,"Completed")=0,"",_xlfn.MINIFS('JOBS'!$B$5:$B$1504,'JOBS'!$D$5:$D$1504,B121,'JOBS'!$O$5:$O$1504,"Completed")))</f>
        <v/>
      </c>
      <c r="L121" s="52">
        <f>IF(B121="","",IF(_xlfn.MAXIFS('JOBS'!$B$5:$B$1504,'JOBS'!$D$5:$D$1504,B121,'JOBS'!$O$5:$O$1504,"Completed")=0,"",_xlfn.MAXIFS('JOBS'!$B$5:$B$1504,'JOBS'!$D$5:$D$1504,B121,'JOBS'!$O$5:$O$1504,"Completed")))</f>
        <v/>
      </c>
      <c r="M121" s="53">
        <f>IF(B121="","",COUNTIFS('JOBS'!$D$5:$D$1504,B121,'JOBS'!$O$5:$O$1504,"Completed"))</f>
        <v/>
      </c>
      <c r="N121" s="54">
        <f>IF(B121="","",SUMIFS('JOBS'!$L$5:$L$1504,'JOBS'!$D$5:$D$1504,B121,'JOBS'!$O$5:$O$1504,"Completed"))</f>
        <v/>
      </c>
      <c r="O121" s="55">
        <f>IF(B121="","",SUMIFS('JOBS'!$U$5:$U$1504,'JOBS'!$D$5:$D$1504,B121))</f>
        <v/>
      </c>
      <c r="P121" s="49">
        <f>IF(B121="","",IF(COUNTIFS('RECURRING'!$B$5:$B$154,B121,'RECURRING'!$J$5:$J$154,"Active")&gt;0,"Yes","No"))</f>
        <v/>
      </c>
      <c r="Q121" s="50">
        <f>IF(L121="","",AsOf-L121)</f>
        <v/>
      </c>
      <c r="R121" s="49">
        <f>IF(B121="","",IF(H121="Do not service","—",IF(O121&gt;0.005,"Collect balance",IF(M121=0,"Book first job",IF(AND(P121="No",Q121&gt;=ReactDays),"Reactivate",IF(COUNTIF('REVIEWS'!$A$5:$A$504,B121)=0,"Ask for review",IF(AND(P121="No",M121&gt;=1),"Offer recurring plan","—")))))))</f>
        <v/>
      </c>
      <c r="S121" s="53">
        <f>IF(B121="","",COUNTIF('REFERRALS'!$B$5:$B$204,B121))</f>
        <v/>
      </c>
    </row>
    <row r="122">
      <c r="A122" s="46" t="inlineStr">
        <is>
          <t>C-118</t>
        </is>
      </c>
      <c r="B122" s="38" t="n"/>
      <c r="C122" s="38" t="n"/>
      <c r="D122" s="38" t="n"/>
      <c r="E122" s="38" t="n"/>
      <c r="F122" s="38" t="n"/>
      <c r="G122" s="38" t="n"/>
      <c r="H122" s="38" t="n"/>
      <c r="I122" s="47" t="n"/>
      <c r="J122" s="38" t="n"/>
      <c r="K122" s="52">
        <f>IF(B122="","",IF(_xlfn.MINIFS('JOBS'!$B$5:$B$1504,'JOBS'!$D$5:$D$1504,B122,'JOBS'!$O$5:$O$1504,"Completed")=0,"",_xlfn.MINIFS('JOBS'!$B$5:$B$1504,'JOBS'!$D$5:$D$1504,B122,'JOBS'!$O$5:$O$1504,"Completed")))</f>
        <v/>
      </c>
      <c r="L122" s="52">
        <f>IF(B122="","",IF(_xlfn.MAXIFS('JOBS'!$B$5:$B$1504,'JOBS'!$D$5:$D$1504,B122,'JOBS'!$O$5:$O$1504,"Completed")=0,"",_xlfn.MAXIFS('JOBS'!$B$5:$B$1504,'JOBS'!$D$5:$D$1504,B122,'JOBS'!$O$5:$O$1504,"Completed")))</f>
        <v/>
      </c>
      <c r="M122" s="53">
        <f>IF(B122="","",COUNTIFS('JOBS'!$D$5:$D$1504,B122,'JOBS'!$O$5:$O$1504,"Completed"))</f>
        <v/>
      </c>
      <c r="N122" s="54">
        <f>IF(B122="","",SUMIFS('JOBS'!$L$5:$L$1504,'JOBS'!$D$5:$D$1504,B122,'JOBS'!$O$5:$O$1504,"Completed"))</f>
        <v/>
      </c>
      <c r="O122" s="55">
        <f>IF(B122="","",SUMIFS('JOBS'!$U$5:$U$1504,'JOBS'!$D$5:$D$1504,B122))</f>
        <v/>
      </c>
      <c r="P122" s="49">
        <f>IF(B122="","",IF(COUNTIFS('RECURRING'!$B$5:$B$154,B122,'RECURRING'!$J$5:$J$154,"Active")&gt;0,"Yes","No"))</f>
        <v/>
      </c>
      <c r="Q122" s="50">
        <f>IF(L122="","",AsOf-L122)</f>
        <v/>
      </c>
      <c r="R122" s="49">
        <f>IF(B122="","",IF(H122="Do not service","—",IF(O122&gt;0.005,"Collect balance",IF(M122=0,"Book first job",IF(AND(P122="No",Q122&gt;=ReactDays),"Reactivate",IF(COUNTIF('REVIEWS'!$A$5:$A$504,B122)=0,"Ask for review",IF(AND(P122="No",M122&gt;=1),"Offer recurring plan","—")))))))</f>
        <v/>
      </c>
      <c r="S122" s="53">
        <f>IF(B122="","",COUNTIF('REFERRALS'!$B$5:$B$204,B122))</f>
        <v/>
      </c>
    </row>
    <row r="123">
      <c r="A123" s="46" t="inlineStr">
        <is>
          <t>C-119</t>
        </is>
      </c>
      <c r="B123" s="38" t="n"/>
      <c r="C123" s="38" t="n"/>
      <c r="D123" s="38" t="n"/>
      <c r="E123" s="38" t="n"/>
      <c r="F123" s="38" t="n"/>
      <c r="G123" s="38" t="n"/>
      <c r="H123" s="38" t="n"/>
      <c r="I123" s="47" t="n"/>
      <c r="J123" s="38" t="n"/>
      <c r="K123" s="52">
        <f>IF(B123="","",IF(_xlfn.MINIFS('JOBS'!$B$5:$B$1504,'JOBS'!$D$5:$D$1504,B123,'JOBS'!$O$5:$O$1504,"Completed")=0,"",_xlfn.MINIFS('JOBS'!$B$5:$B$1504,'JOBS'!$D$5:$D$1504,B123,'JOBS'!$O$5:$O$1504,"Completed")))</f>
        <v/>
      </c>
      <c r="L123" s="52">
        <f>IF(B123="","",IF(_xlfn.MAXIFS('JOBS'!$B$5:$B$1504,'JOBS'!$D$5:$D$1504,B123,'JOBS'!$O$5:$O$1504,"Completed")=0,"",_xlfn.MAXIFS('JOBS'!$B$5:$B$1504,'JOBS'!$D$5:$D$1504,B123,'JOBS'!$O$5:$O$1504,"Completed")))</f>
        <v/>
      </c>
      <c r="M123" s="53">
        <f>IF(B123="","",COUNTIFS('JOBS'!$D$5:$D$1504,B123,'JOBS'!$O$5:$O$1504,"Completed"))</f>
        <v/>
      </c>
      <c r="N123" s="54">
        <f>IF(B123="","",SUMIFS('JOBS'!$L$5:$L$1504,'JOBS'!$D$5:$D$1504,B123,'JOBS'!$O$5:$O$1504,"Completed"))</f>
        <v/>
      </c>
      <c r="O123" s="55">
        <f>IF(B123="","",SUMIFS('JOBS'!$U$5:$U$1504,'JOBS'!$D$5:$D$1504,B123))</f>
        <v/>
      </c>
      <c r="P123" s="49">
        <f>IF(B123="","",IF(COUNTIFS('RECURRING'!$B$5:$B$154,B123,'RECURRING'!$J$5:$J$154,"Active")&gt;0,"Yes","No"))</f>
        <v/>
      </c>
      <c r="Q123" s="50">
        <f>IF(L123="","",AsOf-L123)</f>
        <v/>
      </c>
      <c r="R123" s="49">
        <f>IF(B123="","",IF(H123="Do not service","—",IF(O123&gt;0.005,"Collect balance",IF(M123=0,"Book first job",IF(AND(P123="No",Q123&gt;=ReactDays),"Reactivate",IF(COUNTIF('REVIEWS'!$A$5:$A$504,B123)=0,"Ask for review",IF(AND(P123="No",M123&gt;=1),"Offer recurring plan","—")))))))</f>
        <v/>
      </c>
      <c r="S123" s="53">
        <f>IF(B123="","",COUNTIF('REFERRALS'!$B$5:$B$204,B123))</f>
        <v/>
      </c>
    </row>
    <row r="124">
      <c r="A124" s="46" t="inlineStr">
        <is>
          <t>C-120</t>
        </is>
      </c>
      <c r="B124" s="38" t="n"/>
      <c r="C124" s="38" t="n"/>
      <c r="D124" s="38" t="n"/>
      <c r="E124" s="38" t="n"/>
      <c r="F124" s="38" t="n"/>
      <c r="G124" s="38" t="n"/>
      <c r="H124" s="38" t="n"/>
      <c r="I124" s="47" t="n"/>
      <c r="J124" s="38" t="n"/>
      <c r="K124" s="52">
        <f>IF(B124="","",IF(_xlfn.MINIFS('JOBS'!$B$5:$B$1504,'JOBS'!$D$5:$D$1504,B124,'JOBS'!$O$5:$O$1504,"Completed")=0,"",_xlfn.MINIFS('JOBS'!$B$5:$B$1504,'JOBS'!$D$5:$D$1504,B124,'JOBS'!$O$5:$O$1504,"Completed")))</f>
        <v/>
      </c>
      <c r="L124" s="52">
        <f>IF(B124="","",IF(_xlfn.MAXIFS('JOBS'!$B$5:$B$1504,'JOBS'!$D$5:$D$1504,B124,'JOBS'!$O$5:$O$1504,"Completed")=0,"",_xlfn.MAXIFS('JOBS'!$B$5:$B$1504,'JOBS'!$D$5:$D$1504,B124,'JOBS'!$O$5:$O$1504,"Completed")))</f>
        <v/>
      </c>
      <c r="M124" s="53">
        <f>IF(B124="","",COUNTIFS('JOBS'!$D$5:$D$1504,B124,'JOBS'!$O$5:$O$1504,"Completed"))</f>
        <v/>
      </c>
      <c r="N124" s="54">
        <f>IF(B124="","",SUMIFS('JOBS'!$L$5:$L$1504,'JOBS'!$D$5:$D$1504,B124,'JOBS'!$O$5:$O$1504,"Completed"))</f>
        <v/>
      </c>
      <c r="O124" s="55">
        <f>IF(B124="","",SUMIFS('JOBS'!$U$5:$U$1504,'JOBS'!$D$5:$D$1504,B124))</f>
        <v/>
      </c>
      <c r="P124" s="49">
        <f>IF(B124="","",IF(COUNTIFS('RECURRING'!$B$5:$B$154,B124,'RECURRING'!$J$5:$J$154,"Active")&gt;0,"Yes","No"))</f>
        <v/>
      </c>
      <c r="Q124" s="50">
        <f>IF(L124="","",AsOf-L124)</f>
        <v/>
      </c>
      <c r="R124" s="49">
        <f>IF(B124="","",IF(H124="Do not service","—",IF(O124&gt;0.005,"Collect balance",IF(M124=0,"Book first job",IF(AND(P124="No",Q124&gt;=ReactDays),"Reactivate",IF(COUNTIF('REVIEWS'!$A$5:$A$504,B124)=0,"Ask for review",IF(AND(P124="No",M124&gt;=1),"Offer recurring plan","—")))))))</f>
        <v/>
      </c>
      <c r="S124" s="53">
        <f>IF(B124="","",COUNTIF('REFERRALS'!$B$5:$B$204,B124))</f>
        <v/>
      </c>
    </row>
    <row r="125">
      <c r="A125" s="46" t="inlineStr">
        <is>
          <t>C-121</t>
        </is>
      </c>
      <c r="B125" s="38" t="n"/>
      <c r="C125" s="38" t="n"/>
      <c r="D125" s="38" t="n"/>
      <c r="E125" s="38" t="n"/>
      <c r="F125" s="38" t="n"/>
      <c r="G125" s="38" t="n"/>
      <c r="H125" s="38" t="n"/>
      <c r="I125" s="47" t="n"/>
      <c r="J125" s="38" t="n"/>
      <c r="K125" s="52">
        <f>IF(B125="","",IF(_xlfn.MINIFS('JOBS'!$B$5:$B$1504,'JOBS'!$D$5:$D$1504,B125,'JOBS'!$O$5:$O$1504,"Completed")=0,"",_xlfn.MINIFS('JOBS'!$B$5:$B$1504,'JOBS'!$D$5:$D$1504,B125,'JOBS'!$O$5:$O$1504,"Completed")))</f>
        <v/>
      </c>
      <c r="L125" s="52">
        <f>IF(B125="","",IF(_xlfn.MAXIFS('JOBS'!$B$5:$B$1504,'JOBS'!$D$5:$D$1504,B125,'JOBS'!$O$5:$O$1504,"Completed")=0,"",_xlfn.MAXIFS('JOBS'!$B$5:$B$1504,'JOBS'!$D$5:$D$1504,B125,'JOBS'!$O$5:$O$1504,"Completed")))</f>
        <v/>
      </c>
      <c r="M125" s="53">
        <f>IF(B125="","",COUNTIFS('JOBS'!$D$5:$D$1504,B125,'JOBS'!$O$5:$O$1504,"Completed"))</f>
        <v/>
      </c>
      <c r="N125" s="54">
        <f>IF(B125="","",SUMIFS('JOBS'!$L$5:$L$1504,'JOBS'!$D$5:$D$1504,B125,'JOBS'!$O$5:$O$1504,"Completed"))</f>
        <v/>
      </c>
      <c r="O125" s="55">
        <f>IF(B125="","",SUMIFS('JOBS'!$U$5:$U$1504,'JOBS'!$D$5:$D$1504,B125))</f>
        <v/>
      </c>
      <c r="P125" s="49">
        <f>IF(B125="","",IF(COUNTIFS('RECURRING'!$B$5:$B$154,B125,'RECURRING'!$J$5:$J$154,"Active")&gt;0,"Yes","No"))</f>
        <v/>
      </c>
      <c r="Q125" s="50">
        <f>IF(L125="","",AsOf-L125)</f>
        <v/>
      </c>
      <c r="R125" s="49">
        <f>IF(B125="","",IF(H125="Do not service","—",IF(O125&gt;0.005,"Collect balance",IF(M125=0,"Book first job",IF(AND(P125="No",Q125&gt;=ReactDays),"Reactivate",IF(COUNTIF('REVIEWS'!$A$5:$A$504,B125)=0,"Ask for review",IF(AND(P125="No",M125&gt;=1),"Offer recurring plan","—")))))))</f>
        <v/>
      </c>
      <c r="S125" s="53">
        <f>IF(B125="","",COUNTIF('REFERRALS'!$B$5:$B$204,B125))</f>
        <v/>
      </c>
    </row>
    <row r="126">
      <c r="A126" s="46" t="inlineStr">
        <is>
          <t>C-122</t>
        </is>
      </c>
      <c r="B126" s="38" t="n"/>
      <c r="C126" s="38" t="n"/>
      <c r="D126" s="38" t="n"/>
      <c r="E126" s="38" t="n"/>
      <c r="F126" s="38" t="n"/>
      <c r="G126" s="38" t="n"/>
      <c r="H126" s="38" t="n"/>
      <c r="I126" s="47" t="n"/>
      <c r="J126" s="38" t="n"/>
      <c r="K126" s="52">
        <f>IF(B126="","",IF(_xlfn.MINIFS('JOBS'!$B$5:$B$1504,'JOBS'!$D$5:$D$1504,B126,'JOBS'!$O$5:$O$1504,"Completed")=0,"",_xlfn.MINIFS('JOBS'!$B$5:$B$1504,'JOBS'!$D$5:$D$1504,B126,'JOBS'!$O$5:$O$1504,"Completed")))</f>
        <v/>
      </c>
      <c r="L126" s="52">
        <f>IF(B126="","",IF(_xlfn.MAXIFS('JOBS'!$B$5:$B$1504,'JOBS'!$D$5:$D$1504,B126,'JOBS'!$O$5:$O$1504,"Completed")=0,"",_xlfn.MAXIFS('JOBS'!$B$5:$B$1504,'JOBS'!$D$5:$D$1504,B126,'JOBS'!$O$5:$O$1504,"Completed")))</f>
        <v/>
      </c>
      <c r="M126" s="53">
        <f>IF(B126="","",COUNTIFS('JOBS'!$D$5:$D$1504,B126,'JOBS'!$O$5:$O$1504,"Completed"))</f>
        <v/>
      </c>
      <c r="N126" s="54">
        <f>IF(B126="","",SUMIFS('JOBS'!$L$5:$L$1504,'JOBS'!$D$5:$D$1504,B126,'JOBS'!$O$5:$O$1504,"Completed"))</f>
        <v/>
      </c>
      <c r="O126" s="55">
        <f>IF(B126="","",SUMIFS('JOBS'!$U$5:$U$1504,'JOBS'!$D$5:$D$1504,B126))</f>
        <v/>
      </c>
      <c r="P126" s="49">
        <f>IF(B126="","",IF(COUNTIFS('RECURRING'!$B$5:$B$154,B126,'RECURRING'!$J$5:$J$154,"Active")&gt;0,"Yes","No"))</f>
        <v/>
      </c>
      <c r="Q126" s="50">
        <f>IF(L126="","",AsOf-L126)</f>
        <v/>
      </c>
      <c r="R126" s="49">
        <f>IF(B126="","",IF(H126="Do not service","—",IF(O126&gt;0.005,"Collect balance",IF(M126=0,"Book first job",IF(AND(P126="No",Q126&gt;=ReactDays),"Reactivate",IF(COUNTIF('REVIEWS'!$A$5:$A$504,B126)=0,"Ask for review",IF(AND(P126="No",M126&gt;=1),"Offer recurring plan","—")))))))</f>
        <v/>
      </c>
      <c r="S126" s="53">
        <f>IF(B126="","",COUNTIF('REFERRALS'!$B$5:$B$204,B126))</f>
        <v/>
      </c>
    </row>
    <row r="127">
      <c r="A127" s="46" t="inlineStr">
        <is>
          <t>C-123</t>
        </is>
      </c>
      <c r="B127" s="38" t="n"/>
      <c r="C127" s="38" t="n"/>
      <c r="D127" s="38" t="n"/>
      <c r="E127" s="38" t="n"/>
      <c r="F127" s="38" t="n"/>
      <c r="G127" s="38" t="n"/>
      <c r="H127" s="38" t="n"/>
      <c r="I127" s="47" t="n"/>
      <c r="J127" s="38" t="n"/>
      <c r="K127" s="52">
        <f>IF(B127="","",IF(_xlfn.MINIFS('JOBS'!$B$5:$B$1504,'JOBS'!$D$5:$D$1504,B127,'JOBS'!$O$5:$O$1504,"Completed")=0,"",_xlfn.MINIFS('JOBS'!$B$5:$B$1504,'JOBS'!$D$5:$D$1504,B127,'JOBS'!$O$5:$O$1504,"Completed")))</f>
        <v/>
      </c>
      <c r="L127" s="52">
        <f>IF(B127="","",IF(_xlfn.MAXIFS('JOBS'!$B$5:$B$1504,'JOBS'!$D$5:$D$1504,B127,'JOBS'!$O$5:$O$1504,"Completed")=0,"",_xlfn.MAXIFS('JOBS'!$B$5:$B$1504,'JOBS'!$D$5:$D$1504,B127,'JOBS'!$O$5:$O$1504,"Completed")))</f>
        <v/>
      </c>
      <c r="M127" s="53">
        <f>IF(B127="","",COUNTIFS('JOBS'!$D$5:$D$1504,B127,'JOBS'!$O$5:$O$1504,"Completed"))</f>
        <v/>
      </c>
      <c r="N127" s="54">
        <f>IF(B127="","",SUMIFS('JOBS'!$L$5:$L$1504,'JOBS'!$D$5:$D$1504,B127,'JOBS'!$O$5:$O$1504,"Completed"))</f>
        <v/>
      </c>
      <c r="O127" s="55">
        <f>IF(B127="","",SUMIFS('JOBS'!$U$5:$U$1504,'JOBS'!$D$5:$D$1504,B127))</f>
        <v/>
      </c>
      <c r="P127" s="49">
        <f>IF(B127="","",IF(COUNTIFS('RECURRING'!$B$5:$B$154,B127,'RECURRING'!$J$5:$J$154,"Active")&gt;0,"Yes","No"))</f>
        <v/>
      </c>
      <c r="Q127" s="50">
        <f>IF(L127="","",AsOf-L127)</f>
        <v/>
      </c>
      <c r="R127" s="49">
        <f>IF(B127="","",IF(H127="Do not service","—",IF(O127&gt;0.005,"Collect balance",IF(M127=0,"Book first job",IF(AND(P127="No",Q127&gt;=ReactDays),"Reactivate",IF(COUNTIF('REVIEWS'!$A$5:$A$504,B127)=0,"Ask for review",IF(AND(P127="No",M127&gt;=1),"Offer recurring plan","—")))))))</f>
        <v/>
      </c>
      <c r="S127" s="53">
        <f>IF(B127="","",COUNTIF('REFERRALS'!$B$5:$B$204,B127))</f>
        <v/>
      </c>
    </row>
    <row r="128">
      <c r="A128" s="46" t="inlineStr">
        <is>
          <t>C-124</t>
        </is>
      </c>
      <c r="B128" s="38" t="n"/>
      <c r="C128" s="38" t="n"/>
      <c r="D128" s="38" t="n"/>
      <c r="E128" s="38" t="n"/>
      <c r="F128" s="38" t="n"/>
      <c r="G128" s="38" t="n"/>
      <c r="H128" s="38" t="n"/>
      <c r="I128" s="47" t="n"/>
      <c r="J128" s="38" t="n"/>
      <c r="K128" s="52">
        <f>IF(B128="","",IF(_xlfn.MINIFS('JOBS'!$B$5:$B$1504,'JOBS'!$D$5:$D$1504,B128,'JOBS'!$O$5:$O$1504,"Completed")=0,"",_xlfn.MINIFS('JOBS'!$B$5:$B$1504,'JOBS'!$D$5:$D$1504,B128,'JOBS'!$O$5:$O$1504,"Completed")))</f>
        <v/>
      </c>
      <c r="L128" s="52">
        <f>IF(B128="","",IF(_xlfn.MAXIFS('JOBS'!$B$5:$B$1504,'JOBS'!$D$5:$D$1504,B128,'JOBS'!$O$5:$O$1504,"Completed")=0,"",_xlfn.MAXIFS('JOBS'!$B$5:$B$1504,'JOBS'!$D$5:$D$1504,B128,'JOBS'!$O$5:$O$1504,"Completed")))</f>
        <v/>
      </c>
      <c r="M128" s="53">
        <f>IF(B128="","",COUNTIFS('JOBS'!$D$5:$D$1504,B128,'JOBS'!$O$5:$O$1504,"Completed"))</f>
        <v/>
      </c>
      <c r="N128" s="54">
        <f>IF(B128="","",SUMIFS('JOBS'!$L$5:$L$1504,'JOBS'!$D$5:$D$1504,B128,'JOBS'!$O$5:$O$1504,"Completed"))</f>
        <v/>
      </c>
      <c r="O128" s="55">
        <f>IF(B128="","",SUMIFS('JOBS'!$U$5:$U$1504,'JOBS'!$D$5:$D$1504,B128))</f>
        <v/>
      </c>
      <c r="P128" s="49">
        <f>IF(B128="","",IF(COUNTIFS('RECURRING'!$B$5:$B$154,B128,'RECURRING'!$J$5:$J$154,"Active")&gt;0,"Yes","No"))</f>
        <v/>
      </c>
      <c r="Q128" s="50">
        <f>IF(L128="","",AsOf-L128)</f>
        <v/>
      </c>
      <c r="R128" s="49">
        <f>IF(B128="","",IF(H128="Do not service","—",IF(O128&gt;0.005,"Collect balance",IF(M128=0,"Book first job",IF(AND(P128="No",Q128&gt;=ReactDays),"Reactivate",IF(COUNTIF('REVIEWS'!$A$5:$A$504,B128)=0,"Ask for review",IF(AND(P128="No",M128&gt;=1),"Offer recurring plan","—")))))))</f>
        <v/>
      </c>
      <c r="S128" s="53">
        <f>IF(B128="","",COUNTIF('REFERRALS'!$B$5:$B$204,B128))</f>
        <v/>
      </c>
    </row>
    <row r="129">
      <c r="A129" s="46" t="inlineStr">
        <is>
          <t>C-125</t>
        </is>
      </c>
      <c r="B129" s="38" t="n"/>
      <c r="C129" s="38" t="n"/>
      <c r="D129" s="38" t="n"/>
      <c r="E129" s="38" t="n"/>
      <c r="F129" s="38" t="n"/>
      <c r="G129" s="38" t="n"/>
      <c r="H129" s="38" t="n"/>
      <c r="I129" s="47" t="n"/>
      <c r="J129" s="38" t="n"/>
      <c r="K129" s="52">
        <f>IF(B129="","",IF(_xlfn.MINIFS('JOBS'!$B$5:$B$1504,'JOBS'!$D$5:$D$1504,B129,'JOBS'!$O$5:$O$1504,"Completed")=0,"",_xlfn.MINIFS('JOBS'!$B$5:$B$1504,'JOBS'!$D$5:$D$1504,B129,'JOBS'!$O$5:$O$1504,"Completed")))</f>
        <v/>
      </c>
      <c r="L129" s="52">
        <f>IF(B129="","",IF(_xlfn.MAXIFS('JOBS'!$B$5:$B$1504,'JOBS'!$D$5:$D$1504,B129,'JOBS'!$O$5:$O$1504,"Completed")=0,"",_xlfn.MAXIFS('JOBS'!$B$5:$B$1504,'JOBS'!$D$5:$D$1504,B129,'JOBS'!$O$5:$O$1504,"Completed")))</f>
        <v/>
      </c>
      <c r="M129" s="53">
        <f>IF(B129="","",COUNTIFS('JOBS'!$D$5:$D$1504,B129,'JOBS'!$O$5:$O$1504,"Completed"))</f>
        <v/>
      </c>
      <c r="N129" s="54">
        <f>IF(B129="","",SUMIFS('JOBS'!$L$5:$L$1504,'JOBS'!$D$5:$D$1504,B129,'JOBS'!$O$5:$O$1504,"Completed"))</f>
        <v/>
      </c>
      <c r="O129" s="55">
        <f>IF(B129="","",SUMIFS('JOBS'!$U$5:$U$1504,'JOBS'!$D$5:$D$1504,B129))</f>
        <v/>
      </c>
      <c r="P129" s="49">
        <f>IF(B129="","",IF(COUNTIFS('RECURRING'!$B$5:$B$154,B129,'RECURRING'!$J$5:$J$154,"Active")&gt;0,"Yes","No"))</f>
        <v/>
      </c>
      <c r="Q129" s="50">
        <f>IF(L129="","",AsOf-L129)</f>
        <v/>
      </c>
      <c r="R129" s="49">
        <f>IF(B129="","",IF(H129="Do not service","—",IF(O129&gt;0.005,"Collect balance",IF(M129=0,"Book first job",IF(AND(P129="No",Q129&gt;=ReactDays),"Reactivate",IF(COUNTIF('REVIEWS'!$A$5:$A$504,B129)=0,"Ask for review",IF(AND(P129="No",M129&gt;=1),"Offer recurring plan","—")))))))</f>
        <v/>
      </c>
      <c r="S129" s="53">
        <f>IF(B129="","",COUNTIF('REFERRALS'!$B$5:$B$204,B129))</f>
        <v/>
      </c>
    </row>
    <row r="130">
      <c r="A130" s="46" t="inlineStr">
        <is>
          <t>C-126</t>
        </is>
      </c>
      <c r="B130" s="38" t="n"/>
      <c r="C130" s="38" t="n"/>
      <c r="D130" s="38" t="n"/>
      <c r="E130" s="38" t="n"/>
      <c r="F130" s="38" t="n"/>
      <c r="G130" s="38" t="n"/>
      <c r="H130" s="38" t="n"/>
      <c r="I130" s="47" t="n"/>
      <c r="J130" s="38" t="n"/>
      <c r="K130" s="52">
        <f>IF(B130="","",IF(_xlfn.MINIFS('JOBS'!$B$5:$B$1504,'JOBS'!$D$5:$D$1504,B130,'JOBS'!$O$5:$O$1504,"Completed")=0,"",_xlfn.MINIFS('JOBS'!$B$5:$B$1504,'JOBS'!$D$5:$D$1504,B130,'JOBS'!$O$5:$O$1504,"Completed")))</f>
        <v/>
      </c>
      <c r="L130" s="52">
        <f>IF(B130="","",IF(_xlfn.MAXIFS('JOBS'!$B$5:$B$1504,'JOBS'!$D$5:$D$1504,B130,'JOBS'!$O$5:$O$1504,"Completed")=0,"",_xlfn.MAXIFS('JOBS'!$B$5:$B$1504,'JOBS'!$D$5:$D$1504,B130,'JOBS'!$O$5:$O$1504,"Completed")))</f>
        <v/>
      </c>
      <c r="M130" s="53">
        <f>IF(B130="","",COUNTIFS('JOBS'!$D$5:$D$1504,B130,'JOBS'!$O$5:$O$1504,"Completed"))</f>
        <v/>
      </c>
      <c r="N130" s="54">
        <f>IF(B130="","",SUMIFS('JOBS'!$L$5:$L$1504,'JOBS'!$D$5:$D$1504,B130,'JOBS'!$O$5:$O$1504,"Completed"))</f>
        <v/>
      </c>
      <c r="O130" s="55">
        <f>IF(B130="","",SUMIFS('JOBS'!$U$5:$U$1504,'JOBS'!$D$5:$D$1504,B130))</f>
        <v/>
      </c>
      <c r="P130" s="49">
        <f>IF(B130="","",IF(COUNTIFS('RECURRING'!$B$5:$B$154,B130,'RECURRING'!$J$5:$J$154,"Active")&gt;0,"Yes","No"))</f>
        <v/>
      </c>
      <c r="Q130" s="50">
        <f>IF(L130="","",AsOf-L130)</f>
        <v/>
      </c>
      <c r="R130" s="49">
        <f>IF(B130="","",IF(H130="Do not service","—",IF(O130&gt;0.005,"Collect balance",IF(M130=0,"Book first job",IF(AND(P130="No",Q130&gt;=ReactDays),"Reactivate",IF(COUNTIF('REVIEWS'!$A$5:$A$504,B130)=0,"Ask for review",IF(AND(P130="No",M130&gt;=1),"Offer recurring plan","—")))))))</f>
        <v/>
      </c>
      <c r="S130" s="53">
        <f>IF(B130="","",COUNTIF('REFERRALS'!$B$5:$B$204,B130))</f>
        <v/>
      </c>
    </row>
    <row r="131">
      <c r="A131" s="46" t="inlineStr">
        <is>
          <t>C-127</t>
        </is>
      </c>
      <c r="B131" s="38" t="n"/>
      <c r="C131" s="38" t="n"/>
      <c r="D131" s="38" t="n"/>
      <c r="E131" s="38" t="n"/>
      <c r="F131" s="38" t="n"/>
      <c r="G131" s="38" t="n"/>
      <c r="H131" s="38" t="n"/>
      <c r="I131" s="47" t="n"/>
      <c r="J131" s="38" t="n"/>
      <c r="K131" s="52">
        <f>IF(B131="","",IF(_xlfn.MINIFS('JOBS'!$B$5:$B$1504,'JOBS'!$D$5:$D$1504,B131,'JOBS'!$O$5:$O$1504,"Completed")=0,"",_xlfn.MINIFS('JOBS'!$B$5:$B$1504,'JOBS'!$D$5:$D$1504,B131,'JOBS'!$O$5:$O$1504,"Completed")))</f>
        <v/>
      </c>
      <c r="L131" s="52">
        <f>IF(B131="","",IF(_xlfn.MAXIFS('JOBS'!$B$5:$B$1504,'JOBS'!$D$5:$D$1504,B131,'JOBS'!$O$5:$O$1504,"Completed")=0,"",_xlfn.MAXIFS('JOBS'!$B$5:$B$1504,'JOBS'!$D$5:$D$1504,B131,'JOBS'!$O$5:$O$1504,"Completed")))</f>
        <v/>
      </c>
      <c r="M131" s="53">
        <f>IF(B131="","",COUNTIFS('JOBS'!$D$5:$D$1504,B131,'JOBS'!$O$5:$O$1504,"Completed"))</f>
        <v/>
      </c>
      <c r="N131" s="54">
        <f>IF(B131="","",SUMIFS('JOBS'!$L$5:$L$1504,'JOBS'!$D$5:$D$1504,B131,'JOBS'!$O$5:$O$1504,"Completed"))</f>
        <v/>
      </c>
      <c r="O131" s="55">
        <f>IF(B131="","",SUMIFS('JOBS'!$U$5:$U$1504,'JOBS'!$D$5:$D$1504,B131))</f>
        <v/>
      </c>
      <c r="P131" s="49">
        <f>IF(B131="","",IF(COUNTIFS('RECURRING'!$B$5:$B$154,B131,'RECURRING'!$J$5:$J$154,"Active")&gt;0,"Yes","No"))</f>
        <v/>
      </c>
      <c r="Q131" s="50">
        <f>IF(L131="","",AsOf-L131)</f>
        <v/>
      </c>
      <c r="R131" s="49">
        <f>IF(B131="","",IF(H131="Do not service","—",IF(O131&gt;0.005,"Collect balance",IF(M131=0,"Book first job",IF(AND(P131="No",Q131&gt;=ReactDays),"Reactivate",IF(COUNTIF('REVIEWS'!$A$5:$A$504,B131)=0,"Ask for review",IF(AND(P131="No",M131&gt;=1),"Offer recurring plan","—")))))))</f>
        <v/>
      </c>
      <c r="S131" s="53">
        <f>IF(B131="","",COUNTIF('REFERRALS'!$B$5:$B$204,B131))</f>
        <v/>
      </c>
    </row>
    <row r="132">
      <c r="A132" s="46" t="inlineStr">
        <is>
          <t>C-128</t>
        </is>
      </c>
      <c r="B132" s="38" t="n"/>
      <c r="C132" s="38" t="n"/>
      <c r="D132" s="38" t="n"/>
      <c r="E132" s="38" t="n"/>
      <c r="F132" s="38" t="n"/>
      <c r="G132" s="38" t="n"/>
      <c r="H132" s="38" t="n"/>
      <c r="I132" s="47" t="n"/>
      <c r="J132" s="38" t="n"/>
      <c r="K132" s="52">
        <f>IF(B132="","",IF(_xlfn.MINIFS('JOBS'!$B$5:$B$1504,'JOBS'!$D$5:$D$1504,B132,'JOBS'!$O$5:$O$1504,"Completed")=0,"",_xlfn.MINIFS('JOBS'!$B$5:$B$1504,'JOBS'!$D$5:$D$1504,B132,'JOBS'!$O$5:$O$1504,"Completed")))</f>
        <v/>
      </c>
      <c r="L132" s="52">
        <f>IF(B132="","",IF(_xlfn.MAXIFS('JOBS'!$B$5:$B$1504,'JOBS'!$D$5:$D$1504,B132,'JOBS'!$O$5:$O$1504,"Completed")=0,"",_xlfn.MAXIFS('JOBS'!$B$5:$B$1504,'JOBS'!$D$5:$D$1504,B132,'JOBS'!$O$5:$O$1504,"Completed")))</f>
        <v/>
      </c>
      <c r="M132" s="53">
        <f>IF(B132="","",COUNTIFS('JOBS'!$D$5:$D$1504,B132,'JOBS'!$O$5:$O$1504,"Completed"))</f>
        <v/>
      </c>
      <c r="N132" s="54">
        <f>IF(B132="","",SUMIFS('JOBS'!$L$5:$L$1504,'JOBS'!$D$5:$D$1504,B132,'JOBS'!$O$5:$O$1504,"Completed"))</f>
        <v/>
      </c>
      <c r="O132" s="55">
        <f>IF(B132="","",SUMIFS('JOBS'!$U$5:$U$1504,'JOBS'!$D$5:$D$1504,B132))</f>
        <v/>
      </c>
      <c r="P132" s="49">
        <f>IF(B132="","",IF(COUNTIFS('RECURRING'!$B$5:$B$154,B132,'RECURRING'!$J$5:$J$154,"Active")&gt;0,"Yes","No"))</f>
        <v/>
      </c>
      <c r="Q132" s="50">
        <f>IF(L132="","",AsOf-L132)</f>
        <v/>
      </c>
      <c r="R132" s="49">
        <f>IF(B132="","",IF(H132="Do not service","—",IF(O132&gt;0.005,"Collect balance",IF(M132=0,"Book first job",IF(AND(P132="No",Q132&gt;=ReactDays),"Reactivate",IF(COUNTIF('REVIEWS'!$A$5:$A$504,B132)=0,"Ask for review",IF(AND(P132="No",M132&gt;=1),"Offer recurring plan","—")))))))</f>
        <v/>
      </c>
      <c r="S132" s="53">
        <f>IF(B132="","",COUNTIF('REFERRALS'!$B$5:$B$204,B132))</f>
        <v/>
      </c>
    </row>
    <row r="133">
      <c r="A133" s="46" t="inlineStr">
        <is>
          <t>C-129</t>
        </is>
      </c>
      <c r="B133" s="38" t="n"/>
      <c r="C133" s="38" t="n"/>
      <c r="D133" s="38" t="n"/>
      <c r="E133" s="38" t="n"/>
      <c r="F133" s="38" t="n"/>
      <c r="G133" s="38" t="n"/>
      <c r="H133" s="38" t="n"/>
      <c r="I133" s="47" t="n"/>
      <c r="J133" s="38" t="n"/>
      <c r="K133" s="52">
        <f>IF(B133="","",IF(_xlfn.MINIFS('JOBS'!$B$5:$B$1504,'JOBS'!$D$5:$D$1504,B133,'JOBS'!$O$5:$O$1504,"Completed")=0,"",_xlfn.MINIFS('JOBS'!$B$5:$B$1504,'JOBS'!$D$5:$D$1504,B133,'JOBS'!$O$5:$O$1504,"Completed")))</f>
        <v/>
      </c>
      <c r="L133" s="52">
        <f>IF(B133="","",IF(_xlfn.MAXIFS('JOBS'!$B$5:$B$1504,'JOBS'!$D$5:$D$1504,B133,'JOBS'!$O$5:$O$1504,"Completed")=0,"",_xlfn.MAXIFS('JOBS'!$B$5:$B$1504,'JOBS'!$D$5:$D$1504,B133,'JOBS'!$O$5:$O$1504,"Completed")))</f>
        <v/>
      </c>
      <c r="M133" s="53">
        <f>IF(B133="","",COUNTIFS('JOBS'!$D$5:$D$1504,B133,'JOBS'!$O$5:$O$1504,"Completed"))</f>
        <v/>
      </c>
      <c r="N133" s="54">
        <f>IF(B133="","",SUMIFS('JOBS'!$L$5:$L$1504,'JOBS'!$D$5:$D$1504,B133,'JOBS'!$O$5:$O$1504,"Completed"))</f>
        <v/>
      </c>
      <c r="O133" s="55">
        <f>IF(B133="","",SUMIFS('JOBS'!$U$5:$U$1504,'JOBS'!$D$5:$D$1504,B133))</f>
        <v/>
      </c>
      <c r="P133" s="49">
        <f>IF(B133="","",IF(COUNTIFS('RECURRING'!$B$5:$B$154,B133,'RECURRING'!$J$5:$J$154,"Active")&gt;0,"Yes","No"))</f>
        <v/>
      </c>
      <c r="Q133" s="50">
        <f>IF(L133="","",AsOf-L133)</f>
        <v/>
      </c>
      <c r="R133" s="49">
        <f>IF(B133="","",IF(H133="Do not service","—",IF(O133&gt;0.005,"Collect balance",IF(M133=0,"Book first job",IF(AND(P133="No",Q133&gt;=ReactDays),"Reactivate",IF(COUNTIF('REVIEWS'!$A$5:$A$504,B133)=0,"Ask for review",IF(AND(P133="No",M133&gt;=1),"Offer recurring plan","—")))))))</f>
        <v/>
      </c>
      <c r="S133" s="53">
        <f>IF(B133="","",COUNTIF('REFERRALS'!$B$5:$B$204,B133))</f>
        <v/>
      </c>
    </row>
    <row r="134">
      <c r="A134" s="46" t="inlineStr">
        <is>
          <t>C-130</t>
        </is>
      </c>
      <c r="B134" s="38" t="n"/>
      <c r="C134" s="38" t="n"/>
      <c r="D134" s="38" t="n"/>
      <c r="E134" s="38" t="n"/>
      <c r="F134" s="38" t="n"/>
      <c r="G134" s="38" t="n"/>
      <c r="H134" s="38" t="n"/>
      <c r="I134" s="47" t="n"/>
      <c r="J134" s="38" t="n"/>
      <c r="K134" s="52">
        <f>IF(B134="","",IF(_xlfn.MINIFS('JOBS'!$B$5:$B$1504,'JOBS'!$D$5:$D$1504,B134,'JOBS'!$O$5:$O$1504,"Completed")=0,"",_xlfn.MINIFS('JOBS'!$B$5:$B$1504,'JOBS'!$D$5:$D$1504,B134,'JOBS'!$O$5:$O$1504,"Completed")))</f>
        <v/>
      </c>
      <c r="L134" s="52">
        <f>IF(B134="","",IF(_xlfn.MAXIFS('JOBS'!$B$5:$B$1504,'JOBS'!$D$5:$D$1504,B134,'JOBS'!$O$5:$O$1504,"Completed")=0,"",_xlfn.MAXIFS('JOBS'!$B$5:$B$1504,'JOBS'!$D$5:$D$1504,B134,'JOBS'!$O$5:$O$1504,"Completed")))</f>
        <v/>
      </c>
      <c r="M134" s="53">
        <f>IF(B134="","",COUNTIFS('JOBS'!$D$5:$D$1504,B134,'JOBS'!$O$5:$O$1504,"Completed"))</f>
        <v/>
      </c>
      <c r="N134" s="54">
        <f>IF(B134="","",SUMIFS('JOBS'!$L$5:$L$1504,'JOBS'!$D$5:$D$1504,B134,'JOBS'!$O$5:$O$1504,"Completed"))</f>
        <v/>
      </c>
      <c r="O134" s="55">
        <f>IF(B134="","",SUMIFS('JOBS'!$U$5:$U$1504,'JOBS'!$D$5:$D$1504,B134))</f>
        <v/>
      </c>
      <c r="P134" s="49">
        <f>IF(B134="","",IF(COUNTIFS('RECURRING'!$B$5:$B$154,B134,'RECURRING'!$J$5:$J$154,"Active")&gt;0,"Yes","No"))</f>
        <v/>
      </c>
      <c r="Q134" s="50">
        <f>IF(L134="","",AsOf-L134)</f>
        <v/>
      </c>
      <c r="R134" s="49">
        <f>IF(B134="","",IF(H134="Do not service","—",IF(O134&gt;0.005,"Collect balance",IF(M134=0,"Book first job",IF(AND(P134="No",Q134&gt;=ReactDays),"Reactivate",IF(COUNTIF('REVIEWS'!$A$5:$A$504,B134)=0,"Ask for review",IF(AND(P134="No",M134&gt;=1),"Offer recurring plan","—")))))))</f>
        <v/>
      </c>
      <c r="S134" s="53">
        <f>IF(B134="","",COUNTIF('REFERRALS'!$B$5:$B$204,B134))</f>
        <v/>
      </c>
    </row>
    <row r="135">
      <c r="A135" s="46" t="inlineStr">
        <is>
          <t>C-131</t>
        </is>
      </c>
      <c r="B135" s="38" t="n"/>
      <c r="C135" s="38" t="n"/>
      <c r="D135" s="38" t="n"/>
      <c r="E135" s="38" t="n"/>
      <c r="F135" s="38" t="n"/>
      <c r="G135" s="38" t="n"/>
      <c r="H135" s="38" t="n"/>
      <c r="I135" s="47" t="n"/>
      <c r="J135" s="38" t="n"/>
      <c r="K135" s="52">
        <f>IF(B135="","",IF(_xlfn.MINIFS('JOBS'!$B$5:$B$1504,'JOBS'!$D$5:$D$1504,B135,'JOBS'!$O$5:$O$1504,"Completed")=0,"",_xlfn.MINIFS('JOBS'!$B$5:$B$1504,'JOBS'!$D$5:$D$1504,B135,'JOBS'!$O$5:$O$1504,"Completed")))</f>
        <v/>
      </c>
      <c r="L135" s="52">
        <f>IF(B135="","",IF(_xlfn.MAXIFS('JOBS'!$B$5:$B$1504,'JOBS'!$D$5:$D$1504,B135,'JOBS'!$O$5:$O$1504,"Completed")=0,"",_xlfn.MAXIFS('JOBS'!$B$5:$B$1504,'JOBS'!$D$5:$D$1504,B135,'JOBS'!$O$5:$O$1504,"Completed")))</f>
        <v/>
      </c>
      <c r="M135" s="53">
        <f>IF(B135="","",COUNTIFS('JOBS'!$D$5:$D$1504,B135,'JOBS'!$O$5:$O$1504,"Completed"))</f>
        <v/>
      </c>
      <c r="N135" s="54">
        <f>IF(B135="","",SUMIFS('JOBS'!$L$5:$L$1504,'JOBS'!$D$5:$D$1504,B135,'JOBS'!$O$5:$O$1504,"Completed"))</f>
        <v/>
      </c>
      <c r="O135" s="55">
        <f>IF(B135="","",SUMIFS('JOBS'!$U$5:$U$1504,'JOBS'!$D$5:$D$1504,B135))</f>
        <v/>
      </c>
      <c r="P135" s="49">
        <f>IF(B135="","",IF(COUNTIFS('RECURRING'!$B$5:$B$154,B135,'RECURRING'!$J$5:$J$154,"Active")&gt;0,"Yes","No"))</f>
        <v/>
      </c>
      <c r="Q135" s="50">
        <f>IF(L135="","",AsOf-L135)</f>
        <v/>
      </c>
      <c r="R135" s="49">
        <f>IF(B135="","",IF(H135="Do not service","—",IF(O135&gt;0.005,"Collect balance",IF(M135=0,"Book first job",IF(AND(P135="No",Q135&gt;=ReactDays),"Reactivate",IF(COUNTIF('REVIEWS'!$A$5:$A$504,B135)=0,"Ask for review",IF(AND(P135="No",M135&gt;=1),"Offer recurring plan","—")))))))</f>
        <v/>
      </c>
      <c r="S135" s="53">
        <f>IF(B135="","",COUNTIF('REFERRALS'!$B$5:$B$204,B135))</f>
        <v/>
      </c>
    </row>
    <row r="136">
      <c r="A136" s="46" t="inlineStr">
        <is>
          <t>C-132</t>
        </is>
      </c>
      <c r="B136" s="38" t="n"/>
      <c r="C136" s="38" t="n"/>
      <c r="D136" s="38" t="n"/>
      <c r="E136" s="38" t="n"/>
      <c r="F136" s="38" t="n"/>
      <c r="G136" s="38" t="n"/>
      <c r="H136" s="38" t="n"/>
      <c r="I136" s="47" t="n"/>
      <c r="J136" s="38" t="n"/>
      <c r="K136" s="52">
        <f>IF(B136="","",IF(_xlfn.MINIFS('JOBS'!$B$5:$B$1504,'JOBS'!$D$5:$D$1504,B136,'JOBS'!$O$5:$O$1504,"Completed")=0,"",_xlfn.MINIFS('JOBS'!$B$5:$B$1504,'JOBS'!$D$5:$D$1504,B136,'JOBS'!$O$5:$O$1504,"Completed")))</f>
        <v/>
      </c>
      <c r="L136" s="52">
        <f>IF(B136="","",IF(_xlfn.MAXIFS('JOBS'!$B$5:$B$1504,'JOBS'!$D$5:$D$1504,B136,'JOBS'!$O$5:$O$1504,"Completed")=0,"",_xlfn.MAXIFS('JOBS'!$B$5:$B$1504,'JOBS'!$D$5:$D$1504,B136,'JOBS'!$O$5:$O$1504,"Completed")))</f>
        <v/>
      </c>
      <c r="M136" s="53">
        <f>IF(B136="","",COUNTIFS('JOBS'!$D$5:$D$1504,B136,'JOBS'!$O$5:$O$1504,"Completed"))</f>
        <v/>
      </c>
      <c r="N136" s="54">
        <f>IF(B136="","",SUMIFS('JOBS'!$L$5:$L$1504,'JOBS'!$D$5:$D$1504,B136,'JOBS'!$O$5:$O$1504,"Completed"))</f>
        <v/>
      </c>
      <c r="O136" s="55">
        <f>IF(B136="","",SUMIFS('JOBS'!$U$5:$U$1504,'JOBS'!$D$5:$D$1504,B136))</f>
        <v/>
      </c>
      <c r="P136" s="49">
        <f>IF(B136="","",IF(COUNTIFS('RECURRING'!$B$5:$B$154,B136,'RECURRING'!$J$5:$J$154,"Active")&gt;0,"Yes","No"))</f>
        <v/>
      </c>
      <c r="Q136" s="50">
        <f>IF(L136="","",AsOf-L136)</f>
        <v/>
      </c>
      <c r="R136" s="49">
        <f>IF(B136="","",IF(H136="Do not service","—",IF(O136&gt;0.005,"Collect balance",IF(M136=0,"Book first job",IF(AND(P136="No",Q136&gt;=ReactDays),"Reactivate",IF(COUNTIF('REVIEWS'!$A$5:$A$504,B136)=0,"Ask for review",IF(AND(P136="No",M136&gt;=1),"Offer recurring plan","—")))))))</f>
        <v/>
      </c>
      <c r="S136" s="53">
        <f>IF(B136="","",COUNTIF('REFERRALS'!$B$5:$B$204,B136))</f>
        <v/>
      </c>
    </row>
    <row r="137">
      <c r="A137" s="46" t="inlineStr">
        <is>
          <t>C-133</t>
        </is>
      </c>
      <c r="B137" s="38" t="n"/>
      <c r="C137" s="38" t="n"/>
      <c r="D137" s="38" t="n"/>
      <c r="E137" s="38" t="n"/>
      <c r="F137" s="38" t="n"/>
      <c r="G137" s="38" t="n"/>
      <c r="H137" s="38" t="n"/>
      <c r="I137" s="47" t="n"/>
      <c r="J137" s="38" t="n"/>
      <c r="K137" s="52">
        <f>IF(B137="","",IF(_xlfn.MINIFS('JOBS'!$B$5:$B$1504,'JOBS'!$D$5:$D$1504,B137,'JOBS'!$O$5:$O$1504,"Completed")=0,"",_xlfn.MINIFS('JOBS'!$B$5:$B$1504,'JOBS'!$D$5:$D$1504,B137,'JOBS'!$O$5:$O$1504,"Completed")))</f>
        <v/>
      </c>
      <c r="L137" s="52">
        <f>IF(B137="","",IF(_xlfn.MAXIFS('JOBS'!$B$5:$B$1504,'JOBS'!$D$5:$D$1504,B137,'JOBS'!$O$5:$O$1504,"Completed")=0,"",_xlfn.MAXIFS('JOBS'!$B$5:$B$1504,'JOBS'!$D$5:$D$1504,B137,'JOBS'!$O$5:$O$1504,"Completed")))</f>
        <v/>
      </c>
      <c r="M137" s="53">
        <f>IF(B137="","",COUNTIFS('JOBS'!$D$5:$D$1504,B137,'JOBS'!$O$5:$O$1504,"Completed"))</f>
        <v/>
      </c>
      <c r="N137" s="54">
        <f>IF(B137="","",SUMIFS('JOBS'!$L$5:$L$1504,'JOBS'!$D$5:$D$1504,B137,'JOBS'!$O$5:$O$1504,"Completed"))</f>
        <v/>
      </c>
      <c r="O137" s="55">
        <f>IF(B137="","",SUMIFS('JOBS'!$U$5:$U$1504,'JOBS'!$D$5:$D$1504,B137))</f>
        <v/>
      </c>
      <c r="P137" s="49">
        <f>IF(B137="","",IF(COUNTIFS('RECURRING'!$B$5:$B$154,B137,'RECURRING'!$J$5:$J$154,"Active")&gt;0,"Yes","No"))</f>
        <v/>
      </c>
      <c r="Q137" s="50">
        <f>IF(L137="","",AsOf-L137)</f>
        <v/>
      </c>
      <c r="R137" s="49">
        <f>IF(B137="","",IF(H137="Do not service","—",IF(O137&gt;0.005,"Collect balance",IF(M137=0,"Book first job",IF(AND(P137="No",Q137&gt;=ReactDays),"Reactivate",IF(COUNTIF('REVIEWS'!$A$5:$A$504,B137)=0,"Ask for review",IF(AND(P137="No",M137&gt;=1),"Offer recurring plan","—")))))))</f>
        <v/>
      </c>
      <c r="S137" s="53">
        <f>IF(B137="","",COUNTIF('REFERRALS'!$B$5:$B$204,B137))</f>
        <v/>
      </c>
    </row>
    <row r="138">
      <c r="A138" s="46" t="inlineStr">
        <is>
          <t>C-134</t>
        </is>
      </c>
      <c r="B138" s="38" t="n"/>
      <c r="C138" s="38" t="n"/>
      <c r="D138" s="38" t="n"/>
      <c r="E138" s="38" t="n"/>
      <c r="F138" s="38" t="n"/>
      <c r="G138" s="38" t="n"/>
      <c r="H138" s="38" t="n"/>
      <c r="I138" s="47" t="n"/>
      <c r="J138" s="38" t="n"/>
      <c r="K138" s="52">
        <f>IF(B138="","",IF(_xlfn.MINIFS('JOBS'!$B$5:$B$1504,'JOBS'!$D$5:$D$1504,B138,'JOBS'!$O$5:$O$1504,"Completed")=0,"",_xlfn.MINIFS('JOBS'!$B$5:$B$1504,'JOBS'!$D$5:$D$1504,B138,'JOBS'!$O$5:$O$1504,"Completed")))</f>
        <v/>
      </c>
      <c r="L138" s="52">
        <f>IF(B138="","",IF(_xlfn.MAXIFS('JOBS'!$B$5:$B$1504,'JOBS'!$D$5:$D$1504,B138,'JOBS'!$O$5:$O$1504,"Completed")=0,"",_xlfn.MAXIFS('JOBS'!$B$5:$B$1504,'JOBS'!$D$5:$D$1504,B138,'JOBS'!$O$5:$O$1504,"Completed")))</f>
        <v/>
      </c>
      <c r="M138" s="53">
        <f>IF(B138="","",COUNTIFS('JOBS'!$D$5:$D$1504,B138,'JOBS'!$O$5:$O$1504,"Completed"))</f>
        <v/>
      </c>
      <c r="N138" s="54">
        <f>IF(B138="","",SUMIFS('JOBS'!$L$5:$L$1504,'JOBS'!$D$5:$D$1504,B138,'JOBS'!$O$5:$O$1504,"Completed"))</f>
        <v/>
      </c>
      <c r="O138" s="55">
        <f>IF(B138="","",SUMIFS('JOBS'!$U$5:$U$1504,'JOBS'!$D$5:$D$1504,B138))</f>
        <v/>
      </c>
      <c r="P138" s="49">
        <f>IF(B138="","",IF(COUNTIFS('RECURRING'!$B$5:$B$154,B138,'RECURRING'!$J$5:$J$154,"Active")&gt;0,"Yes","No"))</f>
        <v/>
      </c>
      <c r="Q138" s="50">
        <f>IF(L138="","",AsOf-L138)</f>
        <v/>
      </c>
      <c r="R138" s="49">
        <f>IF(B138="","",IF(H138="Do not service","—",IF(O138&gt;0.005,"Collect balance",IF(M138=0,"Book first job",IF(AND(P138="No",Q138&gt;=ReactDays),"Reactivate",IF(COUNTIF('REVIEWS'!$A$5:$A$504,B138)=0,"Ask for review",IF(AND(P138="No",M138&gt;=1),"Offer recurring plan","—")))))))</f>
        <v/>
      </c>
      <c r="S138" s="53">
        <f>IF(B138="","",COUNTIF('REFERRALS'!$B$5:$B$204,B138))</f>
        <v/>
      </c>
    </row>
    <row r="139">
      <c r="A139" s="46" t="inlineStr">
        <is>
          <t>C-135</t>
        </is>
      </c>
      <c r="B139" s="38" t="n"/>
      <c r="C139" s="38" t="n"/>
      <c r="D139" s="38" t="n"/>
      <c r="E139" s="38" t="n"/>
      <c r="F139" s="38" t="n"/>
      <c r="G139" s="38" t="n"/>
      <c r="H139" s="38" t="n"/>
      <c r="I139" s="47" t="n"/>
      <c r="J139" s="38" t="n"/>
      <c r="K139" s="52">
        <f>IF(B139="","",IF(_xlfn.MINIFS('JOBS'!$B$5:$B$1504,'JOBS'!$D$5:$D$1504,B139,'JOBS'!$O$5:$O$1504,"Completed")=0,"",_xlfn.MINIFS('JOBS'!$B$5:$B$1504,'JOBS'!$D$5:$D$1504,B139,'JOBS'!$O$5:$O$1504,"Completed")))</f>
        <v/>
      </c>
      <c r="L139" s="52">
        <f>IF(B139="","",IF(_xlfn.MAXIFS('JOBS'!$B$5:$B$1504,'JOBS'!$D$5:$D$1504,B139,'JOBS'!$O$5:$O$1504,"Completed")=0,"",_xlfn.MAXIFS('JOBS'!$B$5:$B$1504,'JOBS'!$D$5:$D$1504,B139,'JOBS'!$O$5:$O$1504,"Completed")))</f>
        <v/>
      </c>
      <c r="M139" s="53">
        <f>IF(B139="","",COUNTIFS('JOBS'!$D$5:$D$1504,B139,'JOBS'!$O$5:$O$1504,"Completed"))</f>
        <v/>
      </c>
      <c r="N139" s="54">
        <f>IF(B139="","",SUMIFS('JOBS'!$L$5:$L$1504,'JOBS'!$D$5:$D$1504,B139,'JOBS'!$O$5:$O$1504,"Completed"))</f>
        <v/>
      </c>
      <c r="O139" s="55">
        <f>IF(B139="","",SUMIFS('JOBS'!$U$5:$U$1504,'JOBS'!$D$5:$D$1504,B139))</f>
        <v/>
      </c>
      <c r="P139" s="49">
        <f>IF(B139="","",IF(COUNTIFS('RECURRING'!$B$5:$B$154,B139,'RECURRING'!$J$5:$J$154,"Active")&gt;0,"Yes","No"))</f>
        <v/>
      </c>
      <c r="Q139" s="50">
        <f>IF(L139="","",AsOf-L139)</f>
        <v/>
      </c>
      <c r="R139" s="49">
        <f>IF(B139="","",IF(H139="Do not service","—",IF(O139&gt;0.005,"Collect balance",IF(M139=0,"Book first job",IF(AND(P139="No",Q139&gt;=ReactDays),"Reactivate",IF(COUNTIF('REVIEWS'!$A$5:$A$504,B139)=0,"Ask for review",IF(AND(P139="No",M139&gt;=1),"Offer recurring plan","—")))))))</f>
        <v/>
      </c>
      <c r="S139" s="53">
        <f>IF(B139="","",COUNTIF('REFERRALS'!$B$5:$B$204,B139))</f>
        <v/>
      </c>
    </row>
    <row r="140">
      <c r="A140" s="46" t="inlineStr">
        <is>
          <t>C-136</t>
        </is>
      </c>
      <c r="B140" s="38" t="n"/>
      <c r="C140" s="38" t="n"/>
      <c r="D140" s="38" t="n"/>
      <c r="E140" s="38" t="n"/>
      <c r="F140" s="38" t="n"/>
      <c r="G140" s="38" t="n"/>
      <c r="H140" s="38" t="n"/>
      <c r="I140" s="47" t="n"/>
      <c r="J140" s="38" t="n"/>
      <c r="K140" s="52">
        <f>IF(B140="","",IF(_xlfn.MINIFS('JOBS'!$B$5:$B$1504,'JOBS'!$D$5:$D$1504,B140,'JOBS'!$O$5:$O$1504,"Completed")=0,"",_xlfn.MINIFS('JOBS'!$B$5:$B$1504,'JOBS'!$D$5:$D$1504,B140,'JOBS'!$O$5:$O$1504,"Completed")))</f>
        <v/>
      </c>
      <c r="L140" s="52">
        <f>IF(B140="","",IF(_xlfn.MAXIFS('JOBS'!$B$5:$B$1504,'JOBS'!$D$5:$D$1504,B140,'JOBS'!$O$5:$O$1504,"Completed")=0,"",_xlfn.MAXIFS('JOBS'!$B$5:$B$1504,'JOBS'!$D$5:$D$1504,B140,'JOBS'!$O$5:$O$1504,"Completed")))</f>
        <v/>
      </c>
      <c r="M140" s="53">
        <f>IF(B140="","",COUNTIFS('JOBS'!$D$5:$D$1504,B140,'JOBS'!$O$5:$O$1504,"Completed"))</f>
        <v/>
      </c>
      <c r="N140" s="54">
        <f>IF(B140="","",SUMIFS('JOBS'!$L$5:$L$1504,'JOBS'!$D$5:$D$1504,B140,'JOBS'!$O$5:$O$1504,"Completed"))</f>
        <v/>
      </c>
      <c r="O140" s="55">
        <f>IF(B140="","",SUMIFS('JOBS'!$U$5:$U$1504,'JOBS'!$D$5:$D$1504,B140))</f>
        <v/>
      </c>
      <c r="P140" s="49">
        <f>IF(B140="","",IF(COUNTIFS('RECURRING'!$B$5:$B$154,B140,'RECURRING'!$J$5:$J$154,"Active")&gt;0,"Yes","No"))</f>
        <v/>
      </c>
      <c r="Q140" s="50">
        <f>IF(L140="","",AsOf-L140)</f>
        <v/>
      </c>
      <c r="R140" s="49">
        <f>IF(B140="","",IF(H140="Do not service","—",IF(O140&gt;0.005,"Collect balance",IF(M140=0,"Book first job",IF(AND(P140="No",Q140&gt;=ReactDays),"Reactivate",IF(COUNTIF('REVIEWS'!$A$5:$A$504,B140)=0,"Ask for review",IF(AND(P140="No",M140&gt;=1),"Offer recurring plan","—")))))))</f>
        <v/>
      </c>
      <c r="S140" s="53">
        <f>IF(B140="","",COUNTIF('REFERRALS'!$B$5:$B$204,B140))</f>
        <v/>
      </c>
    </row>
    <row r="141">
      <c r="A141" s="46" t="inlineStr">
        <is>
          <t>C-137</t>
        </is>
      </c>
      <c r="B141" s="38" t="n"/>
      <c r="C141" s="38" t="n"/>
      <c r="D141" s="38" t="n"/>
      <c r="E141" s="38" t="n"/>
      <c r="F141" s="38" t="n"/>
      <c r="G141" s="38" t="n"/>
      <c r="H141" s="38" t="n"/>
      <c r="I141" s="47" t="n"/>
      <c r="J141" s="38" t="n"/>
      <c r="K141" s="52">
        <f>IF(B141="","",IF(_xlfn.MINIFS('JOBS'!$B$5:$B$1504,'JOBS'!$D$5:$D$1504,B141,'JOBS'!$O$5:$O$1504,"Completed")=0,"",_xlfn.MINIFS('JOBS'!$B$5:$B$1504,'JOBS'!$D$5:$D$1504,B141,'JOBS'!$O$5:$O$1504,"Completed")))</f>
        <v/>
      </c>
      <c r="L141" s="52">
        <f>IF(B141="","",IF(_xlfn.MAXIFS('JOBS'!$B$5:$B$1504,'JOBS'!$D$5:$D$1504,B141,'JOBS'!$O$5:$O$1504,"Completed")=0,"",_xlfn.MAXIFS('JOBS'!$B$5:$B$1504,'JOBS'!$D$5:$D$1504,B141,'JOBS'!$O$5:$O$1504,"Completed")))</f>
        <v/>
      </c>
      <c r="M141" s="53">
        <f>IF(B141="","",COUNTIFS('JOBS'!$D$5:$D$1504,B141,'JOBS'!$O$5:$O$1504,"Completed"))</f>
        <v/>
      </c>
      <c r="N141" s="54">
        <f>IF(B141="","",SUMIFS('JOBS'!$L$5:$L$1504,'JOBS'!$D$5:$D$1504,B141,'JOBS'!$O$5:$O$1504,"Completed"))</f>
        <v/>
      </c>
      <c r="O141" s="55">
        <f>IF(B141="","",SUMIFS('JOBS'!$U$5:$U$1504,'JOBS'!$D$5:$D$1504,B141))</f>
        <v/>
      </c>
      <c r="P141" s="49">
        <f>IF(B141="","",IF(COUNTIFS('RECURRING'!$B$5:$B$154,B141,'RECURRING'!$J$5:$J$154,"Active")&gt;0,"Yes","No"))</f>
        <v/>
      </c>
      <c r="Q141" s="50">
        <f>IF(L141="","",AsOf-L141)</f>
        <v/>
      </c>
      <c r="R141" s="49">
        <f>IF(B141="","",IF(H141="Do not service","—",IF(O141&gt;0.005,"Collect balance",IF(M141=0,"Book first job",IF(AND(P141="No",Q141&gt;=ReactDays),"Reactivate",IF(COUNTIF('REVIEWS'!$A$5:$A$504,B141)=0,"Ask for review",IF(AND(P141="No",M141&gt;=1),"Offer recurring plan","—")))))))</f>
        <v/>
      </c>
      <c r="S141" s="53">
        <f>IF(B141="","",COUNTIF('REFERRALS'!$B$5:$B$204,B141))</f>
        <v/>
      </c>
    </row>
    <row r="142">
      <c r="A142" s="46" t="inlineStr">
        <is>
          <t>C-138</t>
        </is>
      </c>
      <c r="B142" s="38" t="n"/>
      <c r="C142" s="38" t="n"/>
      <c r="D142" s="38" t="n"/>
      <c r="E142" s="38" t="n"/>
      <c r="F142" s="38" t="n"/>
      <c r="G142" s="38" t="n"/>
      <c r="H142" s="38" t="n"/>
      <c r="I142" s="47" t="n"/>
      <c r="J142" s="38" t="n"/>
      <c r="K142" s="52">
        <f>IF(B142="","",IF(_xlfn.MINIFS('JOBS'!$B$5:$B$1504,'JOBS'!$D$5:$D$1504,B142,'JOBS'!$O$5:$O$1504,"Completed")=0,"",_xlfn.MINIFS('JOBS'!$B$5:$B$1504,'JOBS'!$D$5:$D$1504,B142,'JOBS'!$O$5:$O$1504,"Completed")))</f>
        <v/>
      </c>
      <c r="L142" s="52">
        <f>IF(B142="","",IF(_xlfn.MAXIFS('JOBS'!$B$5:$B$1504,'JOBS'!$D$5:$D$1504,B142,'JOBS'!$O$5:$O$1504,"Completed")=0,"",_xlfn.MAXIFS('JOBS'!$B$5:$B$1504,'JOBS'!$D$5:$D$1504,B142,'JOBS'!$O$5:$O$1504,"Completed")))</f>
        <v/>
      </c>
      <c r="M142" s="53">
        <f>IF(B142="","",COUNTIFS('JOBS'!$D$5:$D$1504,B142,'JOBS'!$O$5:$O$1504,"Completed"))</f>
        <v/>
      </c>
      <c r="N142" s="54">
        <f>IF(B142="","",SUMIFS('JOBS'!$L$5:$L$1504,'JOBS'!$D$5:$D$1504,B142,'JOBS'!$O$5:$O$1504,"Completed"))</f>
        <v/>
      </c>
      <c r="O142" s="55">
        <f>IF(B142="","",SUMIFS('JOBS'!$U$5:$U$1504,'JOBS'!$D$5:$D$1504,B142))</f>
        <v/>
      </c>
      <c r="P142" s="49">
        <f>IF(B142="","",IF(COUNTIFS('RECURRING'!$B$5:$B$154,B142,'RECURRING'!$J$5:$J$154,"Active")&gt;0,"Yes","No"))</f>
        <v/>
      </c>
      <c r="Q142" s="50">
        <f>IF(L142="","",AsOf-L142)</f>
        <v/>
      </c>
      <c r="R142" s="49">
        <f>IF(B142="","",IF(H142="Do not service","—",IF(O142&gt;0.005,"Collect balance",IF(M142=0,"Book first job",IF(AND(P142="No",Q142&gt;=ReactDays),"Reactivate",IF(COUNTIF('REVIEWS'!$A$5:$A$504,B142)=0,"Ask for review",IF(AND(P142="No",M142&gt;=1),"Offer recurring plan","—")))))))</f>
        <v/>
      </c>
      <c r="S142" s="53">
        <f>IF(B142="","",COUNTIF('REFERRALS'!$B$5:$B$204,B142))</f>
        <v/>
      </c>
    </row>
    <row r="143">
      <c r="A143" s="46" t="inlineStr">
        <is>
          <t>C-139</t>
        </is>
      </c>
      <c r="B143" s="38" t="n"/>
      <c r="C143" s="38" t="n"/>
      <c r="D143" s="38" t="n"/>
      <c r="E143" s="38" t="n"/>
      <c r="F143" s="38" t="n"/>
      <c r="G143" s="38" t="n"/>
      <c r="H143" s="38" t="n"/>
      <c r="I143" s="47" t="n"/>
      <c r="J143" s="38" t="n"/>
      <c r="K143" s="52">
        <f>IF(B143="","",IF(_xlfn.MINIFS('JOBS'!$B$5:$B$1504,'JOBS'!$D$5:$D$1504,B143,'JOBS'!$O$5:$O$1504,"Completed")=0,"",_xlfn.MINIFS('JOBS'!$B$5:$B$1504,'JOBS'!$D$5:$D$1504,B143,'JOBS'!$O$5:$O$1504,"Completed")))</f>
        <v/>
      </c>
      <c r="L143" s="52">
        <f>IF(B143="","",IF(_xlfn.MAXIFS('JOBS'!$B$5:$B$1504,'JOBS'!$D$5:$D$1504,B143,'JOBS'!$O$5:$O$1504,"Completed")=0,"",_xlfn.MAXIFS('JOBS'!$B$5:$B$1504,'JOBS'!$D$5:$D$1504,B143,'JOBS'!$O$5:$O$1504,"Completed")))</f>
        <v/>
      </c>
      <c r="M143" s="53">
        <f>IF(B143="","",COUNTIFS('JOBS'!$D$5:$D$1504,B143,'JOBS'!$O$5:$O$1504,"Completed"))</f>
        <v/>
      </c>
      <c r="N143" s="54">
        <f>IF(B143="","",SUMIFS('JOBS'!$L$5:$L$1504,'JOBS'!$D$5:$D$1504,B143,'JOBS'!$O$5:$O$1504,"Completed"))</f>
        <v/>
      </c>
      <c r="O143" s="55">
        <f>IF(B143="","",SUMIFS('JOBS'!$U$5:$U$1504,'JOBS'!$D$5:$D$1504,B143))</f>
        <v/>
      </c>
      <c r="P143" s="49">
        <f>IF(B143="","",IF(COUNTIFS('RECURRING'!$B$5:$B$154,B143,'RECURRING'!$J$5:$J$154,"Active")&gt;0,"Yes","No"))</f>
        <v/>
      </c>
      <c r="Q143" s="50">
        <f>IF(L143="","",AsOf-L143)</f>
        <v/>
      </c>
      <c r="R143" s="49">
        <f>IF(B143="","",IF(H143="Do not service","—",IF(O143&gt;0.005,"Collect balance",IF(M143=0,"Book first job",IF(AND(P143="No",Q143&gt;=ReactDays),"Reactivate",IF(COUNTIF('REVIEWS'!$A$5:$A$504,B143)=0,"Ask for review",IF(AND(P143="No",M143&gt;=1),"Offer recurring plan","—")))))))</f>
        <v/>
      </c>
      <c r="S143" s="53">
        <f>IF(B143="","",COUNTIF('REFERRALS'!$B$5:$B$204,B143))</f>
        <v/>
      </c>
    </row>
    <row r="144">
      <c r="A144" s="46" t="inlineStr">
        <is>
          <t>C-140</t>
        </is>
      </c>
      <c r="B144" s="38" t="n"/>
      <c r="C144" s="38" t="n"/>
      <c r="D144" s="38" t="n"/>
      <c r="E144" s="38" t="n"/>
      <c r="F144" s="38" t="n"/>
      <c r="G144" s="38" t="n"/>
      <c r="H144" s="38" t="n"/>
      <c r="I144" s="47" t="n"/>
      <c r="J144" s="38" t="n"/>
      <c r="K144" s="52">
        <f>IF(B144="","",IF(_xlfn.MINIFS('JOBS'!$B$5:$B$1504,'JOBS'!$D$5:$D$1504,B144,'JOBS'!$O$5:$O$1504,"Completed")=0,"",_xlfn.MINIFS('JOBS'!$B$5:$B$1504,'JOBS'!$D$5:$D$1504,B144,'JOBS'!$O$5:$O$1504,"Completed")))</f>
        <v/>
      </c>
      <c r="L144" s="52">
        <f>IF(B144="","",IF(_xlfn.MAXIFS('JOBS'!$B$5:$B$1504,'JOBS'!$D$5:$D$1504,B144,'JOBS'!$O$5:$O$1504,"Completed")=0,"",_xlfn.MAXIFS('JOBS'!$B$5:$B$1504,'JOBS'!$D$5:$D$1504,B144,'JOBS'!$O$5:$O$1504,"Completed")))</f>
        <v/>
      </c>
      <c r="M144" s="53">
        <f>IF(B144="","",COUNTIFS('JOBS'!$D$5:$D$1504,B144,'JOBS'!$O$5:$O$1504,"Completed"))</f>
        <v/>
      </c>
      <c r="N144" s="54">
        <f>IF(B144="","",SUMIFS('JOBS'!$L$5:$L$1504,'JOBS'!$D$5:$D$1504,B144,'JOBS'!$O$5:$O$1504,"Completed"))</f>
        <v/>
      </c>
      <c r="O144" s="55">
        <f>IF(B144="","",SUMIFS('JOBS'!$U$5:$U$1504,'JOBS'!$D$5:$D$1504,B144))</f>
        <v/>
      </c>
      <c r="P144" s="49">
        <f>IF(B144="","",IF(COUNTIFS('RECURRING'!$B$5:$B$154,B144,'RECURRING'!$J$5:$J$154,"Active")&gt;0,"Yes","No"))</f>
        <v/>
      </c>
      <c r="Q144" s="50">
        <f>IF(L144="","",AsOf-L144)</f>
        <v/>
      </c>
      <c r="R144" s="49">
        <f>IF(B144="","",IF(H144="Do not service","—",IF(O144&gt;0.005,"Collect balance",IF(M144=0,"Book first job",IF(AND(P144="No",Q144&gt;=ReactDays),"Reactivate",IF(COUNTIF('REVIEWS'!$A$5:$A$504,B144)=0,"Ask for review",IF(AND(P144="No",M144&gt;=1),"Offer recurring plan","—")))))))</f>
        <v/>
      </c>
      <c r="S144" s="53">
        <f>IF(B144="","",COUNTIF('REFERRALS'!$B$5:$B$204,B144))</f>
        <v/>
      </c>
    </row>
    <row r="145">
      <c r="A145" s="46" t="inlineStr">
        <is>
          <t>C-141</t>
        </is>
      </c>
      <c r="B145" s="38" t="n"/>
      <c r="C145" s="38" t="n"/>
      <c r="D145" s="38" t="n"/>
      <c r="E145" s="38" t="n"/>
      <c r="F145" s="38" t="n"/>
      <c r="G145" s="38" t="n"/>
      <c r="H145" s="38" t="n"/>
      <c r="I145" s="47" t="n"/>
      <c r="J145" s="38" t="n"/>
      <c r="K145" s="52">
        <f>IF(B145="","",IF(_xlfn.MINIFS('JOBS'!$B$5:$B$1504,'JOBS'!$D$5:$D$1504,B145,'JOBS'!$O$5:$O$1504,"Completed")=0,"",_xlfn.MINIFS('JOBS'!$B$5:$B$1504,'JOBS'!$D$5:$D$1504,B145,'JOBS'!$O$5:$O$1504,"Completed")))</f>
        <v/>
      </c>
      <c r="L145" s="52">
        <f>IF(B145="","",IF(_xlfn.MAXIFS('JOBS'!$B$5:$B$1504,'JOBS'!$D$5:$D$1504,B145,'JOBS'!$O$5:$O$1504,"Completed")=0,"",_xlfn.MAXIFS('JOBS'!$B$5:$B$1504,'JOBS'!$D$5:$D$1504,B145,'JOBS'!$O$5:$O$1504,"Completed")))</f>
        <v/>
      </c>
      <c r="M145" s="53">
        <f>IF(B145="","",COUNTIFS('JOBS'!$D$5:$D$1504,B145,'JOBS'!$O$5:$O$1504,"Completed"))</f>
        <v/>
      </c>
      <c r="N145" s="54">
        <f>IF(B145="","",SUMIFS('JOBS'!$L$5:$L$1504,'JOBS'!$D$5:$D$1504,B145,'JOBS'!$O$5:$O$1504,"Completed"))</f>
        <v/>
      </c>
      <c r="O145" s="55">
        <f>IF(B145="","",SUMIFS('JOBS'!$U$5:$U$1504,'JOBS'!$D$5:$D$1504,B145))</f>
        <v/>
      </c>
      <c r="P145" s="49">
        <f>IF(B145="","",IF(COUNTIFS('RECURRING'!$B$5:$B$154,B145,'RECURRING'!$J$5:$J$154,"Active")&gt;0,"Yes","No"))</f>
        <v/>
      </c>
      <c r="Q145" s="50">
        <f>IF(L145="","",AsOf-L145)</f>
        <v/>
      </c>
      <c r="R145" s="49">
        <f>IF(B145="","",IF(H145="Do not service","—",IF(O145&gt;0.005,"Collect balance",IF(M145=0,"Book first job",IF(AND(P145="No",Q145&gt;=ReactDays),"Reactivate",IF(COUNTIF('REVIEWS'!$A$5:$A$504,B145)=0,"Ask for review",IF(AND(P145="No",M145&gt;=1),"Offer recurring plan","—")))))))</f>
        <v/>
      </c>
      <c r="S145" s="53">
        <f>IF(B145="","",COUNTIF('REFERRALS'!$B$5:$B$204,B145))</f>
        <v/>
      </c>
    </row>
    <row r="146">
      <c r="A146" s="46" t="inlineStr">
        <is>
          <t>C-142</t>
        </is>
      </c>
      <c r="B146" s="38" t="n"/>
      <c r="C146" s="38" t="n"/>
      <c r="D146" s="38" t="n"/>
      <c r="E146" s="38" t="n"/>
      <c r="F146" s="38" t="n"/>
      <c r="G146" s="38" t="n"/>
      <c r="H146" s="38" t="n"/>
      <c r="I146" s="47" t="n"/>
      <c r="J146" s="38" t="n"/>
      <c r="K146" s="52">
        <f>IF(B146="","",IF(_xlfn.MINIFS('JOBS'!$B$5:$B$1504,'JOBS'!$D$5:$D$1504,B146,'JOBS'!$O$5:$O$1504,"Completed")=0,"",_xlfn.MINIFS('JOBS'!$B$5:$B$1504,'JOBS'!$D$5:$D$1504,B146,'JOBS'!$O$5:$O$1504,"Completed")))</f>
        <v/>
      </c>
      <c r="L146" s="52">
        <f>IF(B146="","",IF(_xlfn.MAXIFS('JOBS'!$B$5:$B$1504,'JOBS'!$D$5:$D$1504,B146,'JOBS'!$O$5:$O$1504,"Completed")=0,"",_xlfn.MAXIFS('JOBS'!$B$5:$B$1504,'JOBS'!$D$5:$D$1504,B146,'JOBS'!$O$5:$O$1504,"Completed")))</f>
        <v/>
      </c>
      <c r="M146" s="53">
        <f>IF(B146="","",COUNTIFS('JOBS'!$D$5:$D$1504,B146,'JOBS'!$O$5:$O$1504,"Completed"))</f>
        <v/>
      </c>
      <c r="N146" s="54">
        <f>IF(B146="","",SUMIFS('JOBS'!$L$5:$L$1504,'JOBS'!$D$5:$D$1504,B146,'JOBS'!$O$5:$O$1504,"Completed"))</f>
        <v/>
      </c>
      <c r="O146" s="55">
        <f>IF(B146="","",SUMIFS('JOBS'!$U$5:$U$1504,'JOBS'!$D$5:$D$1504,B146))</f>
        <v/>
      </c>
      <c r="P146" s="49">
        <f>IF(B146="","",IF(COUNTIFS('RECURRING'!$B$5:$B$154,B146,'RECURRING'!$J$5:$J$154,"Active")&gt;0,"Yes","No"))</f>
        <v/>
      </c>
      <c r="Q146" s="50">
        <f>IF(L146="","",AsOf-L146)</f>
        <v/>
      </c>
      <c r="R146" s="49">
        <f>IF(B146="","",IF(H146="Do not service","—",IF(O146&gt;0.005,"Collect balance",IF(M146=0,"Book first job",IF(AND(P146="No",Q146&gt;=ReactDays),"Reactivate",IF(COUNTIF('REVIEWS'!$A$5:$A$504,B146)=0,"Ask for review",IF(AND(P146="No",M146&gt;=1),"Offer recurring plan","—")))))))</f>
        <v/>
      </c>
      <c r="S146" s="53">
        <f>IF(B146="","",COUNTIF('REFERRALS'!$B$5:$B$204,B146))</f>
        <v/>
      </c>
    </row>
    <row r="147">
      <c r="A147" s="46" t="inlineStr">
        <is>
          <t>C-143</t>
        </is>
      </c>
      <c r="B147" s="38" t="n"/>
      <c r="C147" s="38" t="n"/>
      <c r="D147" s="38" t="n"/>
      <c r="E147" s="38" t="n"/>
      <c r="F147" s="38" t="n"/>
      <c r="G147" s="38" t="n"/>
      <c r="H147" s="38" t="n"/>
      <c r="I147" s="47" t="n"/>
      <c r="J147" s="38" t="n"/>
      <c r="K147" s="52">
        <f>IF(B147="","",IF(_xlfn.MINIFS('JOBS'!$B$5:$B$1504,'JOBS'!$D$5:$D$1504,B147,'JOBS'!$O$5:$O$1504,"Completed")=0,"",_xlfn.MINIFS('JOBS'!$B$5:$B$1504,'JOBS'!$D$5:$D$1504,B147,'JOBS'!$O$5:$O$1504,"Completed")))</f>
        <v/>
      </c>
      <c r="L147" s="52">
        <f>IF(B147="","",IF(_xlfn.MAXIFS('JOBS'!$B$5:$B$1504,'JOBS'!$D$5:$D$1504,B147,'JOBS'!$O$5:$O$1504,"Completed")=0,"",_xlfn.MAXIFS('JOBS'!$B$5:$B$1504,'JOBS'!$D$5:$D$1504,B147,'JOBS'!$O$5:$O$1504,"Completed")))</f>
        <v/>
      </c>
      <c r="M147" s="53">
        <f>IF(B147="","",COUNTIFS('JOBS'!$D$5:$D$1504,B147,'JOBS'!$O$5:$O$1504,"Completed"))</f>
        <v/>
      </c>
      <c r="N147" s="54">
        <f>IF(B147="","",SUMIFS('JOBS'!$L$5:$L$1504,'JOBS'!$D$5:$D$1504,B147,'JOBS'!$O$5:$O$1504,"Completed"))</f>
        <v/>
      </c>
      <c r="O147" s="55">
        <f>IF(B147="","",SUMIFS('JOBS'!$U$5:$U$1504,'JOBS'!$D$5:$D$1504,B147))</f>
        <v/>
      </c>
      <c r="P147" s="49">
        <f>IF(B147="","",IF(COUNTIFS('RECURRING'!$B$5:$B$154,B147,'RECURRING'!$J$5:$J$154,"Active")&gt;0,"Yes","No"))</f>
        <v/>
      </c>
      <c r="Q147" s="50">
        <f>IF(L147="","",AsOf-L147)</f>
        <v/>
      </c>
      <c r="R147" s="49">
        <f>IF(B147="","",IF(H147="Do not service","—",IF(O147&gt;0.005,"Collect balance",IF(M147=0,"Book first job",IF(AND(P147="No",Q147&gt;=ReactDays),"Reactivate",IF(COUNTIF('REVIEWS'!$A$5:$A$504,B147)=0,"Ask for review",IF(AND(P147="No",M147&gt;=1),"Offer recurring plan","—")))))))</f>
        <v/>
      </c>
      <c r="S147" s="53">
        <f>IF(B147="","",COUNTIF('REFERRALS'!$B$5:$B$204,B147))</f>
        <v/>
      </c>
    </row>
    <row r="148">
      <c r="A148" s="46" t="inlineStr">
        <is>
          <t>C-144</t>
        </is>
      </c>
      <c r="B148" s="38" t="n"/>
      <c r="C148" s="38" t="n"/>
      <c r="D148" s="38" t="n"/>
      <c r="E148" s="38" t="n"/>
      <c r="F148" s="38" t="n"/>
      <c r="G148" s="38" t="n"/>
      <c r="H148" s="38" t="n"/>
      <c r="I148" s="47" t="n"/>
      <c r="J148" s="38" t="n"/>
      <c r="K148" s="52">
        <f>IF(B148="","",IF(_xlfn.MINIFS('JOBS'!$B$5:$B$1504,'JOBS'!$D$5:$D$1504,B148,'JOBS'!$O$5:$O$1504,"Completed")=0,"",_xlfn.MINIFS('JOBS'!$B$5:$B$1504,'JOBS'!$D$5:$D$1504,B148,'JOBS'!$O$5:$O$1504,"Completed")))</f>
        <v/>
      </c>
      <c r="L148" s="52">
        <f>IF(B148="","",IF(_xlfn.MAXIFS('JOBS'!$B$5:$B$1504,'JOBS'!$D$5:$D$1504,B148,'JOBS'!$O$5:$O$1504,"Completed")=0,"",_xlfn.MAXIFS('JOBS'!$B$5:$B$1504,'JOBS'!$D$5:$D$1504,B148,'JOBS'!$O$5:$O$1504,"Completed")))</f>
        <v/>
      </c>
      <c r="M148" s="53">
        <f>IF(B148="","",COUNTIFS('JOBS'!$D$5:$D$1504,B148,'JOBS'!$O$5:$O$1504,"Completed"))</f>
        <v/>
      </c>
      <c r="N148" s="54">
        <f>IF(B148="","",SUMIFS('JOBS'!$L$5:$L$1504,'JOBS'!$D$5:$D$1504,B148,'JOBS'!$O$5:$O$1504,"Completed"))</f>
        <v/>
      </c>
      <c r="O148" s="55">
        <f>IF(B148="","",SUMIFS('JOBS'!$U$5:$U$1504,'JOBS'!$D$5:$D$1504,B148))</f>
        <v/>
      </c>
      <c r="P148" s="49">
        <f>IF(B148="","",IF(COUNTIFS('RECURRING'!$B$5:$B$154,B148,'RECURRING'!$J$5:$J$154,"Active")&gt;0,"Yes","No"))</f>
        <v/>
      </c>
      <c r="Q148" s="50">
        <f>IF(L148="","",AsOf-L148)</f>
        <v/>
      </c>
      <c r="R148" s="49">
        <f>IF(B148="","",IF(H148="Do not service","—",IF(O148&gt;0.005,"Collect balance",IF(M148=0,"Book first job",IF(AND(P148="No",Q148&gt;=ReactDays),"Reactivate",IF(COUNTIF('REVIEWS'!$A$5:$A$504,B148)=0,"Ask for review",IF(AND(P148="No",M148&gt;=1),"Offer recurring plan","—")))))))</f>
        <v/>
      </c>
      <c r="S148" s="53">
        <f>IF(B148="","",COUNTIF('REFERRALS'!$B$5:$B$204,B148))</f>
        <v/>
      </c>
    </row>
    <row r="149">
      <c r="A149" s="46" t="inlineStr">
        <is>
          <t>C-145</t>
        </is>
      </c>
      <c r="B149" s="38" t="n"/>
      <c r="C149" s="38" t="n"/>
      <c r="D149" s="38" t="n"/>
      <c r="E149" s="38" t="n"/>
      <c r="F149" s="38" t="n"/>
      <c r="G149" s="38" t="n"/>
      <c r="H149" s="38" t="n"/>
      <c r="I149" s="47" t="n"/>
      <c r="J149" s="38" t="n"/>
      <c r="K149" s="52">
        <f>IF(B149="","",IF(_xlfn.MINIFS('JOBS'!$B$5:$B$1504,'JOBS'!$D$5:$D$1504,B149,'JOBS'!$O$5:$O$1504,"Completed")=0,"",_xlfn.MINIFS('JOBS'!$B$5:$B$1504,'JOBS'!$D$5:$D$1504,B149,'JOBS'!$O$5:$O$1504,"Completed")))</f>
        <v/>
      </c>
      <c r="L149" s="52">
        <f>IF(B149="","",IF(_xlfn.MAXIFS('JOBS'!$B$5:$B$1504,'JOBS'!$D$5:$D$1504,B149,'JOBS'!$O$5:$O$1504,"Completed")=0,"",_xlfn.MAXIFS('JOBS'!$B$5:$B$1504,'JOBS'!$D$5:$D$1504,B149,'JOBS'!$O$5:$O$1504,"Completed")))</f>
        <v/>
      </c>
      <c r="M149" s="53">
        <f>IF(B149="","",COUNTIFS('JOBS'!$D$5:$D$1504,B149,'JOBS'!$O$5:$O$1504,"Completed"))</f>
        <v/>
      </c>
      <c r="N149" s="54">
        <f>IF(B149="","",SUMIFS('JOBS'!$L$5:$L$1504,'JOBS'!$D$5:$D$1504,B149,'JOBS'!$O$5:$O$1504,"Completed"))</f>
        <v/>
      </c>
      <c r="O149" s="55">
        <f>IF(B149="","",SUMIFS('JOBS'!$U$5:$U$1504,'JOBS'!$D$5:$D$1504,B149))</f>
        <v/>
      </c>
      <c r="P149" s="49">
        <f>IF(B149="","",IF(COUNTIFS('RECURRING'!$B$5:$B$154,B149,'RECURRING'!$J$5:$J$154,"Active")&gt;0,"Yes","No"))</f>
        <v/>
      </c>
      <c r="Q149" s="50">
        <f>IF(L149="","",AsOf-L149)</f>
        <v/>
      </c>
      <c r="R149" s="49">
        <f>IF(B149="","",IF(H149="Do not service","—",IF(O149&gt;0.005,"Collect balance",IF(M149=0,"Book first job",IF(AND(P149="No",Q149&gt;=ReactDays),"Reactivate",IF(COUNTIF('REVIEWS'!$A$5:$A$504,B149)=0,"Ask for review",IF(AND(P149="No",M149&gt;=1),"Offer recurring plan","—")))))))</f>
        <v/>
      </c>
      <c r="S149" s="53">
        <f>IF(B149="","",COUNTIF('REFERRALS'!$B$5:$B$204,B149))</f>
        <v/>
      </c>
    </row>
    <row r="150">
      <c r="A150" s="46" t="inlineStr">
        <is>
          <t>C-146</t>
        </is>
      </c>
      <c r="B150" s="38" t="n"/>
      <c r="C150" s="38" t="n"/>
      <c r="D150" s="38" t="n"/>
      <c r="E150" s="38" t="n"/>
      <c r="F150" s="38" t="n"/>
      <c r="G150" s="38" t="n"/>
      <c r="H150" s="38" t="n"/>
      <c r="I150" s="47" t="n"/>
      <c r="J150" s="38" t="n"/>
      <c r="K150" s="52">
        <f>IF(B150="","",IF(_xlfn.MINIFS('JOBS'!$B$5:$B$1504,'JOBS'!$D$5:$D$1504,B150,'JOBS'!$O$5:$O$1504,"Completed")=0,"",_xlfn.MINIFS('JOBS'!$B$5:$B$1504,'JOBS'!$D$5:$D$1504,B150,'JOBS'!$O$5:$O$1504,"Completed")))</f>
        <v/>
      </c>
      <c r="L150" s="52">
        <f>IF(B150="","",IF(_xlfn.MAXIFS('JOBS'!$B$5:$B$1504,'JOBS'!$D$5:$D$1504,B150,'JOBS'!$O$5:$O$1504,"Completed")=0,"",_xlfn.MAXIFS('JOBS'!$B$5:$B$1504,'JOBS'!$D$5:$D$1504,B150,'JOBS'!$O$5:$O$1504,"Completed")))</f>
        <v/>
      </c>
      <c r="M150" s="53">
        <f>IF(B150="","",COUNTIFS('JOBS'!$D$5:$D$1504,B150,'JOBS'!$O$5:$O$1504,"Completed"))</f>
        <v/>
      </c>
      <c r="N150" s="54">
        <f>IF(B150="","",SUMIFS('JOBS'!$L$5:$L$1504,'JOBS'!$D$5:$D$1504,B150,'JOBS'!$O$5:$O$1504,"Completed"))</f>
        <v/>
      </c>
      <c r="O150" s="55">
        <f>IF(B150="","",SUMIFS('JOBS'!$U$5:$U$1504,'JOBS'!$D$5:$D$1504,B150))</f>
        <v/>
      </c>
      <c r="P150" s="49">
        <f>IF(B150="","",IF(COUNTIFS('RECURRING'!$B$5:$B$154,B150,'RECURRING'!$J$5:$J$154,"Active")&gt;0,"Yes","No"))</f>
        <v/>
      </c>
      <c r="Q150" s="50">
        <f>IF(L150="","",AsOf-L150)</f>
        <v/>
      </c>
      <c r="R150" s="49">
        <f>IF(B150="","",IF(H150="Do not service","—",IF(O150&gt;0.005,"Collect balance",IF(M150=0,"Book first job",IF(AND(P150="No",Q150&gt;=ReactDays),"Reactivate",IF(COUNTIF('REVIEWS'!$A$5:$A$504,B150)=0,"Ask for review",IF(AND(P150="No",M150&gt;=1),"Offer recurring plan","—")))))))</f>
        <v/>
      </c>
      <c r="S150" s="53">
        <f>IF(B150="","",COUNTIF('REFERRALS'!$B$5:$B$204,B150))</f>
        <v/>
      </c>
    </row>
    <row r="151">
      <c r="A151" s="46" t="inlineStr">
        <is>
          <t>C-147</t>
        </is>
      </c>
      <c r="B151" s="38" t="n"/>
      <c r="C151" s="38" t="n"/>
      <c r="D151" s="38" t="n"/>
      <c r="E151" s="38" t="n"/>
      <c r="F151" s="38" t="n"/>
      <c r="G151" s="38" t="n"/>
      <c r="H151" s="38" t="n"/>
      <c r="I151" s="47" t="n"/>
      <c r="J151" s="38" t="n"/>
      <c r="K151" s="52">
        <f>IF(B151="","",IF(_xlfn.MINIFS('JOBS'!$B$5:$B$1504,'JOBS'!$D$5:$D$1504,B151,'JOBS'!$O$5:$O$1504,"Completed")=0,"",_xlfn.MINIFS('JOBS'!$B$5:$B$1504,'JOBS'!$D$5:$D$1504,B151,'JOBS'!$O$5:$O$1504,"Completed")))</f>
        <v/>
      </c>
      <c r="L151" s="52">
        <f>IF(B151="","",IF(_xlfn.MAXIFS('JOBS'!$B$5:$B$1504,'JOBS'!$D$5:$D$1504,B151,'JOBS'!$O$5:$O$1504,"Completed")=0,"",_xlfn.MAXIFS('JOBS'!$B$5:$B$1504,'JOBS'!$D$5:$D$1504,B151,'JOBS'!$O$5:$O$1504,"Completed")))</f>
        <v/>
      </c>
      <c r="M151" s="53">
        <f>IF(B151="","",COUNTIFS('JOBS'!$D$5:$D$1504,B151,'JOBS'!$O$5:$O$1504,"Completed"))</f>
        <v/>
      </c>
      <c r="N151" s="54">
        <f>IF(B151="","",SUMIFS('JOBS'!$L$5:$L$1504,'JOBS'!$D$5:$D$1504,B151,'JOBS'!$O$5:$O$1504,"Completed"))</f>
        <v/>
      </c>
      <c r="O151" s="55">
        <f>IF(B151="","",SUMIFS('JOBS'!$U$5:$U$1504,'JOBS'!$D$5:$D$1504,B151))</f>
        <v/>
      </c>
      <c r="P151" s="49">
        <f>IF(B151="","",IF(COUNTIFS('RECURRING'!$B$5:$B$154,B151,'RECURRING'!$J$5:$J$154,"Active")&gt;0,"Yes","No"))</f>
        <v/>
      </c>
      <c r="Q151" s="50">
        <f>IF(L151="","",AsOf-L151)</f>
        <v/>
      </c>
      <c r="R151" s="49">
        <f>IF(B151="","",IF(H151="Do not service","—",IF(O151&gt;0.005,"Collect balance",IF(M151=0,"Book first job",IF(AND(P151="No",Q151&gt;=ReactDays),"Reactivate",IF(COUNTIF('REVIEWS'!$A$5:$A$504,B151)=0,"Ask for review",IF(AND(P151="No",M151&gt;=1),"Offer recurring plan","—")))))))</f>
        <v/>
      </c>
      <c r="S151" s="53">
        <f>IF(B151="","",COUNTIF('REFERRALS'!$B$5:$B$204,B151))</f>
        <v/>
      </c>
    </row>
    <row r="152">
      <c r="A152" s="46" t="inlineStr">
        <is>
          <t>C-148</t>
        </is>
      </c>
      <c r="B152" s="38" t="n"/>
      <c r="C152" s="38" t="n"/>
      <c r="D152" s="38" t="n"/>
      <c r="E152" s="38" t="n"/>
      <c r="F152" s="38" t="n"/>
      <c r="G152" s="38" t="n"/>
      <c r="H152" s="38" t="n"/>
      <c r="I152" s="47" t="n"/>
      <c r="J152" s="38" t="n"/>
      <c r="K152" s="52">
        <f>IF(B152="","",IF(_xlfn.MINIFS('JOBS'!$B$5:$B$1504,'JOBS'!$D$5:$D$1504,B152,'JOBS'!$O$5:$O$1504,"Completed")=0,"",_xlfn.MINIFS('JOBS'!$B$5:$B$1504,'JOBS'!$D$5:$D$1504,B152,'JOBS'!$O$5:$O$1504,"Completed")))</f>
        <v/>
      </c>
      <c r="L152" s="52">
        <f>IF(B152="","",IF(_xlfn.MAXIFS('JOBS'!$B$5:$B$1504,'JOBS'!$D$5:$D$1504,B152,'JOBS'!$O$5:$O$1504,"Completed")=0,"",_xlfn.MAXIFS('JOBS'!$B$5:$B$1504,'JOBS'!$D$5:$D$1504,B152,'JOBS'!$O$5:$O$1504,"Completed")))</f>
        <v/>
      </c>
      <c r="M152" s="53">
        <f>IF(B152="","",COUNTIFS('JOBS'!$D$5:$D$1504,B152,'JOBS'!$O$5:$O$1504,"Completed"))</f>
        <v/>
      </c>
      <c r="N152" s="54">
        <f>IF(B152="","",SUMIFS('JOBS'!$L$5:$L$1504,'JOBS'!$D$5:$D$1504,B152,'JOBS'!$O$5:$O$1504,"Completed"))</f>
        <v/>
      </c>
      <c r="O152" s="55">
        <f>IF(B152="","",SUMIFS('JOBS'!$U$5:$U$1504,'JOBS'!$D$5:$D$1504,B152))</f>
        <v/>
      </c>
      <c r="P152" s="49">
        <f>IF(B152="","",IF(COUNTIFS('RECURRING'!$B$5:$B$154,B152,'RECURRING'!$J$5:$J$154,"Active")&gt;0,"Yes","No"))</f>
        <v/>
      </c>
      <c r="Q152" s="50">
        <f>IF(L152="","",AsOf-L152)</f>
        <v/>
      </c>
      <c r="R152" s="49">
        <f>IF(B152="","",IF(H152="Do not service","—",IF(O152&gt;0.005,"Collect balance",IF(M152=0,"Book first job",IF(AND(P152="No",Q152&gt;=ReactDays),"Reactivate",IF(COUNTIF('REVIEWS'!$A$5:$A$504,B152)=0,"Ask for review",IF(AND(P152="No",M152&gt;=1),"Offer recurring plan","—")))))))</f>
        <v/>
      </c>
      <c r="S152" s="53">
        <f>IF(B152="","",COUNTIF('REFERRALS'!$B$5:$B$204,B152))</f>
        <v/>
      </c>
    </row>
    <row r="153">
      <c r="A153" s="46" t="inlineStr">
        <is>
          <t>C-149</t>
        </is>
      </c>
      <c r="B153" s="38" t="n"/>
      <c r="C153" s="38" t="n"/>
      <c r="D153" s="38" t="n"/>
      <c r="E153" s="38" t="n"/>
      <c r="F153" s="38" t="n"/>
      <c r="G153" s="38" t="n"/>
      <c r="H153" s="38" t="n"/>
      <c r="I153" s="47" t="n"/>
      <c r="J153" s="38" t="n"/>
      <c r="K153" s="52">
        <f>IF(B153="","",IF(_xlfn.MINIFS('JOBS'!$B$5:$B$1504,'JOBS'!$D$5:$D$1504,B153,'JOBS'!$O$5:$O$1504,"Completed")=0,"",_xlfn.MINIFS('JOBS'!$B$5:$B$1504,'JOBS'!$D$5:$D$1504,B153,'JOBS'!$O$5:$O$1504,"Completed")))</f>
        <v/>
      </c>
      <c r="L153" s="52">
        <f>IF(B153="","",IF(_xlfn.MAXIFS('JOBS'!$B$5:$B$1504,'JOBS'!$D$5:$D$1504,B153,'JOBS'!$O$5:$O$1504,"Completed")=0,"",_xlfn.MAXIFS('JOBS'!$B$5:$B$1504,'JOBS'!$D$5:$D$1504,B153,'JOBS'!$O$5:$O$1504,"Completed")))</f>
        <v/>
      </c>
      <c r="M153" s="53">
        <f>IF(B153="","",COUNTIFS('JOBS'!$D$5:$D$1504,B153,'JOBS'!$O$5:$O$1504,"Completed"))</f>
        <v/>
      </c>
      <c r="N153" s="54">
        <f>IF(B153="","",SUMIFS('JOBS'!$L$5:$L$1504,'JOBS'!$D$5:$D$1504,B153,'JOBS'!$O$5:$O$1504,"Completed"))</f>
        <v/>
      </c>
      <c r="O153" s="55">
        <f>IF(B153="","",SUMIFS('JOBS'!$U$5:$U$1504,'JOBS'!$D$5:$D$1504,B153))</f>
        <v/>
      </c>
      <c r="P153" s="49">
        <f>IF(B153="","",IF(COUNTIFS('RECURRING'!$B$5:$B$154,B153,'RECURRING'!$J$5:$J$154,"Active")&gt;0,"Yes","No"))</f>
        <v/>
      </c>
      <c r="Q153" s="50">
        <f>IF(L153="","",AsOf-L153)</f>
        <v/>
      </c>
      <c r="R153" s="49">
        <f>IF(B153="","",IF(H153="Do not service","—",IF(O153&gt;0.005,"Collect balance",IF(M153=0,"Book first job",IF(AND(P153="No",Q153&gt;=ReactDays),"Reactivate",IF(COUNTIF('REVIEWS'!$A$5:$A$504,B153)=0,"Ask for review",IF(AND(P153="No",M153&gt;=1),"Offer recurring plan","—")))))))</f>
        <v/>
      </c>
      <c r="S153" s="53">
        <f>IF(B153="","",COUNTIF('REFERRALS'!$B$5:$B$204,B153))</f>
        <v/>
      </c>
    </row>
    <row r="154">
      <c r="A154" s="46" t="inlineStr">
        <is>
          <t>C-150</t>
        </is>
      </c>
      <c r="B154" s="38" t="n"/>
      <c r="C154" s="38" t="n"/>
      <c r="D154" s="38" t="n"/>
      <c r="E154" s="38" t="n"/>
      <c r="F154" s="38" t="n"/>
      <c r="G154" s="38" t="n"/>
      <c r="H154" s="38" t="n"/>
      <c r="I154" s="47" t="n"/>
      <c r="J154" s="38" t="n"/>
      <c r="K154" s="52">
        <f>IF(B154="","",IF(_xlfn.MINIFS('JOBS'!$B$5:$B$1504,'JOBS'!$D$5:$D$1504,B154,'JOBS'!$O$5:$O$1504,"Completed")=0,"",_xlfn.MINIFS('JOBS'!$B$5:$B$1504,'JOBS'!$D$5:$D$1504,B154,'JOBS'!$O$5:$O$1504,"Completed")))</f>
        <v/>
      </c>
      <c r="L154" s="52">
        <f>IF(B154="","",IF(_xlfn.MAXIFS('JOBS'!$B$5:$B$1504,'JOBS'!$D$5:$D$1504,B154,'JOBS'!$O$5:$O$1504,"Completed")=0,"",_xlfn.MAXIFS('JOBS'!$B$5:$B$1504,'JOBS'!$D$5:$D$1504,B154,'JOBS'!$O$5:$O$1504,"Completed")))</f>
        <v/>
      </c>
      <c r="M154" s="53">
        <f>IF(B154="","",COUNTIFS('JOBS'!$D$5:$D$1504,B154,'JOBS'!$O$5:$O$1504,"Completed"))</f>
        <v/>
      </c>
      <c r="N154" s="54">
        <f>IF(B154="","",SUMIFS('JOBS'!$L$5:$L$1504,'JOBS'!$D$5:$D$1504,B154,'JOBS'!$O$5:$O$1504,"Completed"))</f>
        <v/>
      </c>
      <c r="O154" s="55">
        <f>IF(B154="","",SUMIFS('JOBS'!$U$5:$U$1504,'JOBS'!$D$5:$D$1504,B154))</f>
        <v/>
      </c>
      <c r="P154" s="49">
        <f>IF(B154="","",IF(COUNTIFS('RECURRING'!$B$5:$B$154,B154,'RECURRING'!$J$5:$J$154,"Active")&gt;0,"Yes","No"))</f>
        <v/>
      </c>
      <c r="Q154" s="50">
        <f>IF(L154="","",AsOf-L154)</f>
        <v/>
      </c>
      <c r="R154" s="49">
        <f>IF(B154="","",IF(H154="Do not service","—",IF(O154&gt;0.005,"Collect balance",IF(M154=0,"Book first job",IF(AND(P154="No",Q154&gt;=ReactDays),"Reactivate",IF(COUNTIF('REVIEWS'!$A$5:$A$504,B154)=0,"Ask for review",IF(AND(P154="No",M154&gt;=1),"Offer recurring plan","—")))))))</f>
        <v/>
      </c>
      <c r="S154" s="53">
        <f>IF(B154="","",COUNTIF('REFERRALS'!$B$5:$B$204,B154))</f>
        <v/>
      </c>
    </row>
    <row r="155">
      <c r="A155" s="46" t="inlineStr">
        <is>
          <t>C-151</t>
        </is>
      </c>
      <c r="B155" s="38" t="n"/>
      <c r="C155" s="38" t="n"/>
      <c r="D155" s="38" t="n"/>
      <c r="E155" s="38" t="n"/>
      <c r="F155" s="38" t="n"/>
      <c r="G155" s="38" t="n"/>
      <c r="H155" s="38" t="n"/>
      <c r="I155" s="47" t="n"/>
      <c r="J155" s="38" t="n"/>
      <c r="K155" s="52">
        <f>IF(B155="","",IF(_xlfn.MINIFS('JOBS'!$B$5:$B$1504,'JOBS'!$D$5:$D$1504,B155,'JOBS'!$O$5:$O$1504,"Completed")=0,"",_xlfn.MINIFS('JOBS'!$B$5:$B$1504,'JOBS'!$D$5:$D$1504,B155,'JOBS'!$O$5:$O$1504,"Completed")))</f>
        <v/>
      </c>
      <c r="L155" s="52">
        <f>IF(B155="","",IF(_xlfn.MAXIFS('JOBS'!$B$5:$B$1504,'JOBS'!$D$5:$D$1504,B155,'JOBS'!$O$5:$O$1504,"Completed")=0,"",_xlfn.MAXIFS('JOBS'!$B$5:$B$1504,'JOBS'!$D$5:$D$1504,B155,'JOBS'!$O$5:$O$1504,"Completed")))</f>
        <v/>
      </c>
      <c r="M155" s="53">
        <f>IF(B155="","",COUNTIFS('JOBS'!$D$5:$D$1504,B155,'JOBS'!$O$5:$O$1504,"Completed"))</f>
        <v/>
      </c>
      <c r="N155" s="54">
        <f>IF(B155="","",SUMIFS('JOBS'!$L$5:$L$1504,'JOBS'!$D$5:$D$1504,B155,'JOBS'!$O$5:$O$1504,"Completed"))</f>
        <v/>
      </c>
      <c r="O155" s="55">
        <f>IF(B155="","",SUMIFS('JOBS'!$U$5:$U$1504,'JOBS'!$D$5:$D$1504,B155))</f>
        <v/>
      </c>
      <c r="P155" s="49">
        <f>IF(B155="","",IF(COUNTIFS('RECURRING'!$B$5:$B$154,B155,'RECURRING'!$J$5:$J$154,"Active")&gt;0,"Yes","No"))</f>
        <v/>
      </c>
      <c r="Q155" s="50">
        <f>IF(L155="","",AsOf-L155)</f>
        <v/>
      </c>
      <c r="R155" s="49">
        <f>IF(B155="","",IF(H155="Do not service","—",IF(O155&gt;0.005,"Collect balance",IF(M155=0,"Book first job",IF(AND(P155="No",Q155&gt;=ReactDays),"Reactivate",IF(COUNTIF('REVIEWS'!$A$5:$A$504,B155)=0,"Ask for review",IF(AND(P155="No",M155&gt;=1),"Offer recurring plan","—")))))))</f>
        <v/>
      </c>
      <c r="S155" s="53">
        <f>IF(B155="","",COUNTIF('REFERRALS'!$B$5:$B$204,B155))</f>
        <v/>
      </c>
    </row>
    <row r="156">
      <c r="A156" s="46" t="inlineStr">
        <is>
          <t>C-152</t>
        </is>
      </c>
      <c r="B156" s="38" t="n"/>
      <c r="C156" s="38" t="n"/>
      <c r="D156" s="38" t="n"/>
      <c r="E156" s="38" t="n"/>
      <c r="F156" s="38" t="n"/>
      <c r="G156" s="38" t="n"/>
      <c r="H156" s="38" t="n"/>
      <c r="I156" s="47" t="n"/>
      <c r="J156" s="38" t="n"/>
      <c r="K156" s="52">
        <f>IF(B156="","",IF(_xlfn.MINIFS('JOBS'!$B$5:$B$1504,'JOBS'!$D$5:$D$1504,B156,'JOBS'!$O$5:$O$1504,"Completed")=0,"",_xlfn.MINIFS('JOBS'!$B$5:$B$1504,'JOBS'!$D$5:$D$1504,B156,'JOBS'!$O$5:$O$1504,"Completed")))</f>
        <v/>
      </c>
      <c r="L156" s="52">
        <f>IF(B156="","",IF(_xlfn.MAXIFS('JOBS'!$B$5:$B$1504,'JOBS'!$D$5:$D$1504,B156,'JOBS'!$O$5:$O$1504,"Completed")=0,"",_xlfn.MAXIFS('JOBS'!$B$5:$B$1504,'JOBS'!$D$5:$D$1504,B156,'JOBS'!$O$5:$O$1504,"Completed")))</f>
        <v/>
      </c>
      <c r="M156" s="53">
        <f>IF(B156="","",COUNTIFS('JOBS'!$D$5:$D$1504,B156,'JOBS'!$O$5:$O$1504,"Completed"))</f>
        <v/>
      </c>
      <c r="N156" s="54">
        <f>IF(B156="","",SUMIFS('JOBS'!$L$5:$L$1504,'JOBS'!$D$5:$D$1504,B156,'JOBS'!$O$5:$O$1504,"Completed"))</f>
        <v/>
      </c>
      <c r="O156" s="55">
        <f>IF(B156="","",SUMIFS('JOBS'!$U$5:$U$1504,'JOBS'!$D$5:$D$1504,B156))</f>
        <v/>
      </c>
      <c r="P156" s="49">
        <f>IF(B156="","",IF(COUNTIFS('RECURRING'!$B$5:$B$154,B156,'RECURRING'!$J$5:$J$154,"Active")&gt;0,"Yes","No"))</f>
        <v/>
      </c>
      <c r="Q156" s="50">
        <f>IF(L156="","",AsOf-L156)</f>
        <v/>
      </c>
      <c r="R156" s="49">
        <f>IF(B156="","",IF(H156="Do not service","—",IF(O156&gt;0.005,"Collect balance",IF(M156=0,"Book first job",IF(AND(P156="No",Q156&gt;=ReactDays),"Reactivate",IF(COUNTIF('REVIEWS'!$A$5:$A$504,B156)=0,"Ask for review",IF(AND(P156="No",M156&gt;=1),"Offer recurring plan","—")))))))</f>
        <v/>
      </c>
      <c r="S156" s="53">
        <f>IF(B156="","",COUNTIF('REFERRALS'!$B$5:$B$204,B156))</f>
        <v/>
      </c>
    </row>
    <row r="157">
      <c r="A157" s="46" t="inlineStr">
        <is>
          <t>C-153</t>
        </is>
      </c>
      <c r="B157" s="38" t="n"/>
      <c r="C157" s="38" t="n"/>
      <c r="D157" s="38" t="n"/>
      <c r="E157" s="38" t="n"/>
      <c r="F157" s="38" t="n"/>
      <c r="G157" s="38" t="n"/>
      <c r="H157" s="38" t="n"/>
      <c r="I157" s="47" t="n"/>
      <c r="J157" s="38" t="n"/>
      <c r="K157" s="52">
        <f>IF(B157="","",IF(_xlfn.MINIFS('JOBS'!$B$5:$B$1504,'JOBS'!$D$5:$D$1504,B157,'JOBS'!$O$5:$O$1504,"Completed")=0,"",_xlfn.MINIFS('JOBS'!$B$5:$B$1504,'JOBS'!$D$5:$D$1504,B157,'JOBS'!$O$5:$O$1504,"Completed")))</f>
        <v/>
      </c>
      <c r="L157" s="52">
        <f>IF(B157="","",IF(_xlfn.MAXIFS('JOBS'!$B$5:$B$1504,'JOBS'!$D$5:$D$1504,B157,'JOBS'!$O$5:$O$1504,"Completed")=0,"",_xlfn.MAXIFS('JOBS'!$B$5:$B$1504,'JOBS'!$D$5:$D$1504,B157,'JOBS'!$O$5:$O$1504,"Completed")))</f>
        <v/>
      </c>
      <c r="M157" s="53">
        <f>IF(B157="","",COUNTIFS('JOBS'!$D$5:$D$1504,B157,'JOBS'!$O$5:$O$1504,"Completed"))</f>
        <v/>
      </c>
      <c r="N157" s="54">
        <f>IF(B157="","",SUMIFS('JOBS'!$L$5:$L$1504,'JOBS'!$D$5:$D$1504,B157,'JOBS'!$O$5:$O$1504,"Completed"))</f>
        <v/>
      </c>
      <c r="O157" s="55">
        <f>IF(B157="","",SUMIFS('JOBS'!$U$5:$U$1504,'JOBS'!$D$5:$D$1504,B157))</f>
        <v/>
      </c>
      <c r="P157" s="49">
        <f>IF(B157="","",IF(COUNTIFS('RECURRING'!$B$5:$B$154,B157,'RECURRING'!$J$5:$J$154,"Active")&gt;0,"Yes","No"))</f>
        <v/>
      </c>
      <c r="Q157" s="50">
        <f>IF(L157="","",AsOf-L157)</f>
        <v/>
      </c>
      <c r="R157" s="49">
        <f>IF(B157="","",IF(H157="Do not service","—",IF(O157&gt;0.005,"Collect balance",IF(M157=0,"Book first job",IF(AND(P157="No",Q157&gt;=ReactDays),"Reactivate",IF(COUNTIF('REVIEWS'!$A$5:$A$504,B157)=0,"Ask for review",IF(AND(P157="No",M157&gt;=1),"Offer recurring plan","—")))))))</f>
        <v/>
      </c>
      <c r="S157" s="53">
        <f>IF(B157="","",COUNTIF('REFERRALS'!$B$5:$B$204,B157))</f>
        <v/>
      </c>
    </row>
    <row r="158">
      <c r="A158" s="46" t="inlineStr">
        <is>
          <t>C-154</t>
        </is>
      </c>
      <c r="B158" s="38" t="n"/>
      <c r="C158" s="38" t="n"/>
      <c r="D158" s="38" t="n"/>
      <c r="E158" s="38" t="n"/>
      <c r="F158" s="38" t="n"/>
      <c r="G158" s="38" t="n"/>
      <c r="H158" s="38" t="n"/>
      <c r="I158" s="47" t="n"/>
      <c r="J158" s="38" t="n"/>
      <c r="K158" s="52">
        <f>IF(B158="","",IF(_xlfn.MINIFS('JOBS'!$B$5:$B$1504,'JOBS'!$D$5:$D$1504,B158,'JOBS'!$O$5:$O$1504,"Completed")=0,"",_xlfn.MINIFS('JOBS'!$B$5:$B$1504,'JOBS'!$D$5:$D$1504,B158,'JOBS'!$O$5:$O$1504,"Completed")))</f>
        <v/>
      </c>
      <c r="L158" s="52">
        <f>IF(B158="","",IF(_xlfn.MAXIFS('JOBS'!$B$5:$B$1504,'JOBS'!$D$5:$D$1504,B158,'JOBS'!$O$5:$O$1504,"Completed")=0,"",_xlfn.MAXIFS('JOBS'!$B$5:$B$1504,'JOBS'!$D$5:$D$1504,B158,'JOBS'!$O$5:$O$1504,"Completed")))</f>
        <v/>
      </c>
      <c r="M158" s="53">
        <f>IF(B158="","",COUNTIFS('JOBS'!$D$5:$D$1504,B158,'JOBS'!$O$5:$O$1504,"Completed"))</f>
        <v/>
      </c>
      <c r="N158" s="54">
        <f>IF(B158="","",SUMIFS('JOBS'!$L$5:$L$1504,'JOBS'!$D$5:$D$1504,B158,'JOBS'!$O$5:$O$1504,"Completed"))</f>
        <v/>
      </c>
      <c r="O158" s="55">
        <f>IF(B158="","",SUMIFS('JOBS'!$U$5:$U$1504,'JOBS'!$D$5:$D$1504,B158))</f>
        <v/>
      </c>
      <c r="P158" s="49">
        <f>IF(B158="","",IF(COUNTIFS('RECURRING'!$B$5:$B$154,B158,'RECURRING'!$J$5:$J$154,"Active")&gt;0,"Yes","No"))</f>
        <v/>
      </c>
      <c r="Q158" s="50">
        <f>IF(L158="","",AsOf-L158)</f>
        <v/>
      </c>
      <c r="R158" s="49">
        <f>IF(B158="","",IF(H158="Do not service","—",IF(O158&gt;0.005,"Collect balance",IF(M158=0,"Book first job",IF(AND(P158="No",Q158&gt;=ReactDays),"Reactivate",IF(COUNTIF('REVIEWS'!$A$5:$A$504,B158)=0,"Ask for review",IF(AND(P158="No",M158&gt;=1),"Offer recurring plan","—")))))))</f>
        <v/>
      </c>
      <c r="S158" s="53">
        <f>IF(B158="","",COUNTIF('REFERRALS'!$B$5:$B$204,B158))</f>
        <v/>
      </c>
    </row>
    <row r="159">
      <c r="A159" s="46" t="inlineStr">
        <is>
          <t>C-155</t>
        </is>
      </c>
      <c r="B159" s="38" t="n"/>
      <c r="C159" s="38" t="n"/>
      <c r="D159" s="38" t="n"/>
      <c r="E159" s="38" t="n"/>
      <c r="F159" s="38" t="n"/>
      <c r="G159" s="38" t="n"/>
      <c r="H159" s="38" t="n"/>
      <c r="I159" s="47" t="n"/>
      <c r="J159" s="38" t="n"/>
      <c r="K159" s="52">
        <f>IF(B159="","",IF(_xlfn.MINIFS('JOBS'!$B$5:$B$1504,'JOBS'!$D$5:$D$1504,B159,'JOBS'!$O$5:$O$1504,"Completed")=0,"",_xlfn.MINIFS('JOBS'!$B$5:$B$1504,'JOBS'!$D$5:$D$1504,B159,'JOBS'!$O$5:$O$1504,"Completed")))</f>
        <v/>
      </c>
      <c r="L159" s="52">
        <f>IF(B159="","",IF(_xlfn.MAXIFS('JOBS'!$B$5:$B$1504,'JOBS'!$D$5:$D$1504,B159,'JOBS'!$O$5:$O$1504,"Completed")=0,"",_xlfn.MAXIFS('JOBS'!$B$5:$B$1504,'JOBS'!$D$5:$D$1504,B159,'JOBS'!$O$5:$O$1504,"Completed")))</f>
        <v/>
      </c>
      <c r="M159" s="53">
        <f>IF(B159="","",COUNTIFS('JOBS'!$D$5:$D$1504,B159,'JOBS'!$O$5:$O$1504,"Completed"))</f>
        <v/>
      </c>
      <c r="N159" s="54">
        <f>IF(B159="","",SUMIFS('JOBS'!$L$5:$L$1504,'JOBS'!$D$5:$D$1504,B159,'JOBS'!$O$5:$O$1504,"Completed"))</f>
        <v/>
      </c>
      <c r="O159" s="55">
        <f>IF(B159="","",SUMIFS('JOBS'!$U$5:$U$1504,'JOBS'!$D$5:$D$1504,B159))</f>
        <v/>
      </c>
      <c r="P159" s="49">
        <f>IF(B159="","",IF(COUNTIFS('RECURRING'!$B$5:$B$154,B159,'RECURRING'!$J$5:$J$154,"Active")&gt;0,"Yes","No"))</f>
        <v/>
      </c>
      <c r="Q159" s="50">
        <f>IF(L159="","",AsOf-L159)</f>
        <v/>
      </c>
      <c r="R159" s="49">
        <f>IF(B159="","",IF(H159="Do not service","—",IF(O159&gt;0.005,"Collect balance",IF(M159=0,"Book first job",IF(AND(P159="No",Q159&gt;=ReactDays),"Reactivate",IF(COUNTIF('REVIEWS'!$A$5:$A$504,B159)=0,"Ask for review",IF(AND(P159="No",M159&gt;=1),"Offer recurring plan","—")))))))</f>
        <v/>
      </c>
      <c r="S159" s="53">
        <f>IF(B159="","",COUNTIF('REFERRALS'!$B$5:$B$204,B159))</f>
        <v/>
      </c>
    </row>
    <row r="160">
      <c r="A160" s="46" t="inlineStr">
        <is>
          <t>C-156</t>
        </is>
      </c>
      <c r="B160" s="38" t="n"/>
      <c r="C160" s="38" t="n"/>
      <c r="D160" s="38" t="n"/>
      <c r="E160" s="38" t="n"/>
      <c r="F160" s="38" t="n"/>
      <c r="G160" s="38" t="n"/>
      <c r="H160" s="38" t="n"/>
      <c r="I160" s="47" t="n"/>
      <c r="J160" s="38" t="n"/>
      <c r="K160" s="52">
        <f>IF(B160="","",IF(_xlfn.MINIFS('JOBS'!$B$5:$B$1504,'JOBS'!$D$5:$D$1504,B160,'JOBS'!$O$5:$O$1504,"Completed")=0,"",_xlfn.MINIFS('JOBS'!$B$5:$B$1504,'JOBS'!$D$5:$D$1504,B160,'JOBS'!$O$5:$O$1504,"Completed")))</f>
        <v/>
      </c>
      <c r="L160" s="52">
        <f>IF(B160="","",IF(_xlfn.MAXIFS('JOBS'!$B$5:$B$1504,'JOBS'!$D$5:$D$1504,B160,'JOBS'!$O$5:$O$1504,"Completed")=0,"",_xlfn.MAXIFS('JOBS'!$B$5:$B$1504,'JOBS'!$D$5:$D$1504,B160,'JOBS'!$O$5:$O$1504,"Completed")))</f>
        <v/>
      </c>
      <c r="M160" s="53">
        <f>IF(B160="","",COUNTIFS('JOBS'!$D$5:$D$1504,B160,'JOBS'!$O$5:$O$1504,"Completed"))</f>
        <v/>
      </c>
      <c r="N160" s="54">
        <f>IF(B160="","",SUMIFS('JOBS'!$L$5:$L$1504,'JOBS'!$D$5:$D$1504,B160,'JOBS'!$O$5:$O$1504,"Completed"))</f>
        <v/>
      </c>
      <c r="O160" s="55">
        <f>IF(B160="","",SUMIFS('JOBS'!$U$5:$U$1504,'JOBS'!$D$5:$D$1504,B160))</f>
        <v/>
      </c>
      <c r="P160" s="49">
        <f>IF(B160="","",IF(COUNTIFS('RECURRING'!$B$5:$B$154,B160,'RECURRING'!$J$5:$J$154,"Active")&gt;0,"Yes","No"))</f>
        <v/>
      </c>
      <c r="Q160" s="50">
        <f>IF(L160="","",AsOf-L160)</f>
        <v/>
      </c>
      <c r="R160" s="49">
        <f>IF(B160="","",IF(H160="Do not service","—",IF(O160&gt;0.005,"Collect balance",IF(M160=0,"Book first job",IF(AND(P160="No",Q160&gt;=ReactDays),"Reactivate",IF(COUNTIF('REVIEWS'!$A$5:$A$504,B160)=0,"Ask for review",IF(AND(P160="No",M160&gt;=1),"Offer recurring plan","—")))))))</f>
        <v/>
      </c>
      <c r="S160" s="53">
        <f>IF(B160="","",COUNTIF('REFERRALS'!$B$5:$B$204,B160))</f>
        <v/>
      </c>
    </row>
    <row r="161">
      <c r="A161" s="46" t="inlineStr">
        <is>
          <t>C-157</t>
        </is>
      </c>
      <c r="B161" s="38" t="n"/>
      <c r="C161" s="38" t="n"/>
      <c r="D161" s="38" t="n"/>
      <c r="E161" s="38" t="n"/>
      <c r="F161" s="38" t="n"/>
      <c r="G161" s="38" t="n"/>
      <c r="H161" s="38" t="n"/>
      <c r="I161" s="47" t="n"/>
      <c r="J161" s="38" t="n"/>
      <c r="K161" s="52">
        <f>IF(B161="","",IF(_xlfn.MINIFS('JOBS'!$B$5:$B$1504,'JOBS'!$D$5:$D$1504,B161,'JOBS'!$O$5:$O$1504,"Completed")=0,"",_xlfn.MINIFS('JOBS'!$B$5:$B$1504,'JOBS'!$D$5:$D$1504,B161,'JOBS'!$O$5:$O$1504,"Completed")))</f>
        <v/>
      </c>
      <c r="L161" s="52">
        <f>IF(B161="","",IF(_xlfn.MAXIFS('JOBS'!$B$5:$B$1504,'JOBS'!$D$5:$D$1504,B161,'JOBS'!$O$5:$O$1504,"Completed")=0,"",_xlfn.MAXIFS('JOBS'!$B$5:$B$1504,'JOBS'!$D$5:$D$1504,B161,'JOBS'!$O$5:$O$1504,"Completed")))</f>
        <v/>
      </c>
      <c r="M161" s="53">
        <f>IF(B161="","",COUNTIFS('JOBS'!$D$5:$D$1504,B161,'JOBS'!$O$5:$O$1504,"Completed"))</f>
        <v/>
      </c>
      <c r="N161" s="54">
        <f>IF(B161="","",SUMIFS('JOBS'!$L$5:$L$1504,'JOBS'!$D$5:$D$1504,B161,'JOBS'!$O$5:$O$1504,"Completed"))</f>
        <v/>
      </c>
      <c r="O161" s="55">
        <f>IF(B161="","",SUMIFS('JOBS'!$U$5:$U$1504,'JOBS'!$D$5:$D$1504,B161))</f>
        <v/>
      </c>
      <c r="P161" s="49">
        <f>IF(B161="","",IF(COUNTIFS('RECURRING'!$B$5:$B$154,B161,'RECURRING'!$J$5:$J$154,"Active")&gt;0,"Yes","No"))</f>
        <v/>
      </c>
      <c r="Q161" s="50">
        <f>IF(L161="","",AsOf-L161)</f>
        <v/>
      </c>
      <c r="R161" s="49">
        <f>IF(B161="","",IF(H161="Do not service","—",IF(O161&gt;0.005,"Collect balance",IF(M161=0,"Book first job",IF(AND(P161="No",Q161&gt;=ReactDays),"Reactivate",IF(COUNTIF('REVIEWS'!$A$5:$A$504,B161)=0,"Ask for review",IF(AND(P161="No",M161&gt;=1),"Offer recurring plan","—")))))))</f>
        <v/>
      </c>
      <c r="S161" s="53">
        <f>IF(B161="","",COUNTIF('REFERRALS'!$B$5:$B$204,B161))</f>
        <v/>
      </c>
    </row>
    <row r="162">
      <c r="A162" s="46" t="inlineStr">
        <is>
          <t>C-158</t>
        </is>
      </c>
      <c r="B162" s="38" t="n"/>
      <c r="C162" s="38" t="n"/>
      <c r="D162" s="38" t="n"/>
      <c r="E162" s="38" t="n"/>
      <c r="F162" s="38" t="n"/>
      <c r="G162" s="38" t="n"/>
      <c r="H162" s="38" t="n"/>
      <c r="I162" s="47" t="n"/>
      <c r="J162" s="38" t="n"/>
      <c r="K162" s="52">
        <f>IF(B162="","",IF(_xlfn.MINIFS('JOBS'!$B$5:$B$1504,'JOBS'!$D$5:$D$1504,B162,'JOBS'!$O$5:$O$1504,"Completed")=0,"",_xlfn.MINIFS('JOBS'!$B$5:$B$1504,'JOBS'!$D$5:$D$1504,B162,'JOBS'!$O$5:$O$1504,"Completed")))</f>
        <v/>
      </c>
      <c r="L162" s="52">
        <f>IF(B162="","",IF(_xlfn.MAXIFS('JOBS'!$B$5:$B$1504,'JOBS'!$D$5:$D$1504,B162,'JOBS'!$O$5:$O$1504,"Completed")=0,"",_xlfn.MAXIFS('JOBS'!$B$5:$B$1504,'JOBS'!$D$5:$D$1504,B162,'JOBS'!$O$5:$O$1504,"Completed")))</f>
        <v/>
      </c>
      <c r="M162" s="53">
        <f>IF(B162="","",COUNTIFS('JOBS'!$D$5:$D$1504,B162,'JOBS'!$O$5:$O$1504,"Completed"))</f>
        <v/>
      </c>
      <c r="N162" s="54">
        <f>IF(B162="","",SUMIFS('JOBS'!$L$5:$L$1504,'JOBS'!$D$5:$D$1504,B162,'JOBS'!$O$5:$O$1504,"Completed"))</f>
        <v/>
      </c>
      <c r="O162" s="55">
        <f>IF(B162="","",SUMIFS('JOBS'!$U$5:$U$1504,'JOBS'!$D$5:$D$1504,B162))</f>
        <v/>
      </c>
      <c r="P162" s="49">
        <f>IF(B162="","",IF(COUNTIFS('RECURRING'!$B$5:$B$154,B162,'RECURRING'!$J$5:$J$154,"Active")&gt;0,"Yes","No"))</f>
        <v/>
      </c>
      <c r="Q162" s="50">
        <f>IF(L162="","",AsOf-L162)</f>
        <v/>
      </c>
      <c r="R162" s="49">
        <f>IF(B162="","",IF(H162="Do not service","—",IF(O162&gt;0.005,"Collect balance",IF(M162=0,"Book first job",IF(AND(P162="No",Q162&gt;=ReactDays),"Reactivate",IF(COUNTIF('REVIEWS'!$A$5:$A$504,B162)=0,"Ask for review",IF(AND(P162="No",M162&gt;=1),"Offer recurring plan","—")))))))</f>
        <v/>
      </c>
      <c r="S162" s="53">
        <f>IF(B162="","",COUNTIF('REFERRALS'!$B$5:$B$204,B162))</f>
        <v/>
      </c>
    </row>
    <row r="163">
      <c r="A163" s="46" t="inlineStr">
        <is>
          <t>C-159</t>
        </is>
      </c>
      <c r="B163" s="38" t="n"/>
      <c r="C163" s="38" t="n"/>
      <c r="D163" s="38" t="n"/>
      <c r="E163" s="38" t="n"/>
      <c r="F163" s="38" t="n"/>
      <c r="G163" s="38" t="n"/>
      <c r="H163" s="38" t="n"/>
      <c r="I163" s="47" t="n"/>
      <c r="J163" s="38" t="n"/>
      <c r="K163" s="52">
        <f>IF(B163="","",IF(_xlfn.MINIFS('JOBS'!$B$5:$B$1504,'JOBS'!$D$5:$D$1504,B163,'JOBS'!$O$5:$O$1504,"Completed")=0,"",_xlfn.MINIFS('JOBS'!$B$5:$B$1504,'JOBS'!$D$5:$D$1504,B163,'JOBS'!$O$5:$O$1504,"Completed")))</f>
        <v/>
      </c>
      <c r="L163" s="52">
        <f>IF(B163="","",IF(_xlfn.MAXIFS('JOBS'!$B$5:$B$1504,'JOBS'!$D$5:$D$1504,B163,'JOBS'!$O$5:$O$1504,"Completed")=0,"",_xlfn.MAXIFS('JOBS'!$B$5:$B$1504,'JOBS'!$D$5:$D$1504,B163,'JOBS'!$O$5:$O$1504,"Completed")))</f>
        <v/>
      </c>
      <c r="M163" s="53">
        <f>IF(B163="","",COUNTIFS('JOBS'!$D$5:$D$1504,B163,'JOBS'!$O$5:$O$1504,"Completed"))</f>
        <v/>
      </c>
      <c r="N163" s="54">
        <f>IF(B163="","",SUMIFS('JOBS'!$L$5:$L$1504,'JOBS'!$D$5:$D$1504,B163,'JOBS'!$O$5:$O$1504,"Completed"))</f>
        <v/>
      </c>
      <c r="O163" s="55">
        <f>IF(B163="","",SUMIFS('JOBS'!$U$5:$U$1504,'JOBS'!$D$5:$D$1504,B163))</f>
        <v/>
      </c>
      <c r="P163" s="49">
        <f>IF(B163="","",IF(COUNTIFS('RECURRING'!$B$5:$B$154,B163,'RECURRING'!$J$5:$J$154,"Active")&gt;0,"Yes","No"))</f>
        <v/>
      </c>
      <c r="Q163" s="50">
        <f>IF(L163="","",AsOf-L163)</f>
        <v/>
      </c>
      <c r="R163" s="49">
        <f>IF(B163="","",IF(H163="Do not service","—",IF(O163&gt;0.005,"Collect balance",IF(M163=0,"Book first job",IF(AND(P163="No",Q163&gt;=ReactDays),"Reactivate",IF(COUNTIF('REVIEWS'!$A$5:$A$504,B163)=0,"Ask for review",IF(AND(P163="No",M163&gt;=1),"Offer recurring plan","—")))))))</f>
        <v/>
      </c>
      <c r="S163" s="53">
        <f>IF(B163="","",COUNTIF('REFERRALS'!$B$5:$B$204,B163))</f>
        <v/>
      </c>
    </row>
    <row r="164">
      <c r="A164" s="46" t="inlineStr">
        <is>
          <t>C-160</t>
        </is>
      </c>
      <c r="B164" s="38" t="n"/>
      <c r="C164" s="38" t="n"/>
      <c r="D164" s="38" t="n"/>
      <c r="E164" s="38" t="n"/>
      <c r="F164" s="38" t="n"/>
      <c r="G164" s="38" t="n"/>
      <c r="H164" s="38" t="n"/>
      <c r="I164" s="47" t="n"/>
      <c r="J164" s="38" t="n"/>
      <c r="K164" s="52">
        <f>IF(B164="","",IF(_xlfn.MINIFS('JOBS'!$B$5:$B$1504,'JOBS'!$D$5:$D$1504,B164,'JOBS'!$O$5:$O$1504,"Completed")=0,"",_xlfn.MINIFS('JOBS'!$B$5:$B$1504,'JOBS'!$D$5:$D$1504,B164,'JOBS'!$O$5:$O$1504,"Completed")))</f>
        <v/>
      </c>
      <c r="L164" s="52">
        <f>IF(B164="","",IF(_xlfn.MAXIFS('JOBS'!$B$5:$B$1504,'JOBS'!$D$5:$D$1504,B164,'JOBS'!$O$5:$O$1504,"Completed")=0,"",_xlfn.MAXIFS('JOBS'!$B$5:$B$1504,'JOBS'!$D$5:$D$1504,B164,'JOBS'!$O$5:$O$1504,"Completed")))</f>
        <v/>
      </c>
      <c r="M164" s="53">
        <f>IF(B164="","",COUNTIFS('JOBS'!$D$5:$D$1504,B164,'JOBS'!$O$5:$O$1504,"Completed"))</f>
        <v/>
      </c>
      <c r="N164" s="54">
        <f>IF(B164="","",SUMIFS('JOBS'!$L$5:$L$1504,'JOBS'!$D$5:$D$1504,B164,'JOBS'!$O$5:$O$1504,"Completed"))</f>
        <v/>
      </c>
      <c r="O164" s="55">
        <f>IF(B164="","",SUMIFS('JOBS'!$U$5:$U$1504,'JOBS'!$D$5:$D$1504,B164))</f>
        <v/>
      </c>
      <c r="P164" s="49">
        <f>IF(B164="","",IF(COUNTIFS('RECURRING'!$B$5:$B$154,B164,'RECURRING'!$J$5:$J$154,"Active")&gt;0,"Yes","No"))</f>
        <v/>
      </c>
      <c r="Q164" s="50">
        <f>IF(L164="","",AsOf-L164)</f>
        <v/>
      </c>
      <c r="R164" s="49">
        <f>IF(B164="","",IF(H164="Do not service","—",IF(O164&gt;0.005,"Collect balance",IF(M164=0,"Book first job",IF(AND(P164="No",Q164&gt;=ReactDays),"Reactivate",IF(COUNTIF('REVIEWS'!$A$5:$A$504,B164)=0,"Ask for review",IF(AND(P164="No",M164&gt;=1),"Offer recurring plan","—")))))))</f>
        <v/>
      </c>
      <c r="S164" s="53">
        <f>IF(B164="","",COUNTIF('REFERRALS'!$B$5:$B$204,B164))</f>
        <v/>
      </c>
    </row>
    <row r="165">
      <c r="A165" s="46" t="inlineStr">
        <is>
          <t>C-161</t>
        </is>
      </c>
      <c r="B165" s="38" t="n"/>
      <c r="C165" s="38" t="n"/>
      <c r="D165" s="38" t="n"/>
      <c r="E165" s="38" t="n"/>
      <c r="F165" s="38" t="n"/>
      <c r="G165" s="38" t="n"/>
      <c r="H165" s="38" t="n"/>
      <c r="I165" s="47" t="n"/>
      <c r="J165" s="38" t="n"/>
      <c r="K165" s="52">
        <f>IF(B165="","",IF(_xlfn.MINIFS('JOBS'!$B$5:$B$1504,'JOBS'!$D$5:$D$1504,B165,'JOBS'!$O$5:$O$1504,"Completed")=0,"",_xlfn.MINIFS('JOBS'!$B$5:$B$1504,'JOBS'!$D$5:$D$1504,B165,'JOBS'!$O$5:$O$1504,"Completed")))</f>
        <v/>
      </c>
      <c r="L165" s="52">
        <f>IF(B165="","",IF(_xlfn.MAXIFS('JOBS'!$B$5:$B$1504,'JOBS'!$D$5:$D$1504,B165,'JOBS'!$O$5:$O$1504,"Completed")=0,"",_xlfn.MAXIFS('JOBS'!$B$5:$B$1504,'JOBS'!$D$5:$D$1504,B165,'JOBS'!$O$5:$O$1504,"Completed")))</f>
        <v/>
      </c>
      <c r="M165" s="53">
        <f>IF(B165="","",COUNTIFS('JOBS'!$D$5:$D$1504,B165,'JOBS'!$O$5:$O$1504,"Completed"))</f>
        <v/>
      </c>
      <c r="N165" s="54">
        <f>IF(B165="","",SUMIFS('JOBS'!$L$5:$L$1504,'JOBS'!$D$5:$D$1504,B165,'JOBS'!$O$5:$O$1504,"Completed"))</f>
        <v/>
      </c>
      <c r="O165" s="55">
        <f>IF(B165="","",SUMIFS('JOBS'!$U$5:$U$1504,'JOBS'!$D$5:$D$1504,B165))</f>
        <v/>
      </c>
      <c r="P165" s="49">
        <f>IF(B165="","",IF(COUNTIFS('RECURRING'!$B$5:$B$154,B165,'RECURRING'!$J$5:$J$154,"Active")&gt;0,"Yes","No"))</f>
        <v/>
      </c>
      <c r="Q165" s="50">
        <f>IF(L165="","",AsOf-L165)</f>
        <v/>
      </c>
      <c r="R165" s="49">
        <f>IF(B165="","",IF(H165="Do not service","—",IF(O165&gt;0.005,"Collect balance",IF(M165=0,"Book first job",IF(AND(P165="No",Q165&gt;=ReactDays),"Reactivate",IF(COUNTIF('REVIEWS'!$A$5:$A$504,B165)=0,"Ask for review",IF(AND(P165="No",M165&gt;=1),"Offer recurring plan","—")))))))</f>
        <v/>
      </c>
      <c r="S165" s="53">
        <f>IF(B165="","",COUNTIF('REFERRALS'!$B$5:$B$204,B165))</f>
        <v/>
      </c>
    </row>
    <row r="166">
      <c r="A166" s="46" t="inlineStr">
        <is>
          <t>C-162</t>
        </is>
      </c>
      <c r="B166" s="38" t="n"/>
      <c r="C166" s="38" t="n"/>
      <c r="D166" s="38" t="n"/>
      <c r="E166" s="38" t="n"/>
      <c r="F166" s="38" t="n"/>
      <c r="G166" s="38" t="n"/>
      <c r="H166" s="38" t="n"/>
      <c r="I166" s="47" t="n"/>
      <c r="J166" s="38" t="n"/>
      <c r="K166" s="52">
        <f>IF(B166="","",IF(_xlfn.MINIFS('JOBS'!$B$5:$B$1504,'JOBS'!$D$5:$D$1504,B166,'JOBS'!$O$5:$O$1504,"Completed")=0,"",_xlfn.MINIFS('JOBS'!$B$5:$B$1504,'JOBS'!$D$5:$D$1504,B166,'JOBS'!$O$5:$O$1504,"Completed")))</f>
        <v/>
      </c>
      <c r="L166" s="52">
        <f>IF(B166="","",IF(_xlfn.MAXIFS('JOBS'!$B$5:$B$1504,'JOBS'!$D$5:$D$1504,B166,'JOBS'!$O$5:$O$1504,"Completed")=0,"",_xlfn.MAXIFS('JOBS'!$B$5:$B$1504,'JOBS'!$D$5:$D$1504,B166,'JOBS'!$O$5:$O$1504,"Completed")))</f>
        <v/>
      </c>
      <c r="M166" s="53">
        <f>IF(B166="","",COUNTIFS('JOBS'!$D$5:$D$1504,B166,'JOBS'!$O$5:$O$1504,"Completed"))</f>
        <v/>
      </c>
      <c r="N166" s="54">
        <f>IF(B166="","",SUMIFS('JOBS'!$L$5:$L$1504,'JOBS'!$D$5:$D$1504,B166,'JOBS'!$O$5:$O$1504,"Completed"))</f>
        <v/>
      </c>
      <c r="O166" s="55">
        <f>IF(B166="","",SUMIFS('JOBS'!$U$5:$U$1504,'JOBS'!$D$5:$D$1504,B166))</f>
        <v/>
      </c>
      <c r="P166" s="49">
        <f>IF(B166="","",IF(COUNTIFS('RECURRING'!$B$5:$B$154,B166,'RECURRING'!$J$5:$J$154,"Active")&gt;0,"Yes","No"))</f>
        <v/>
      </c>
      <c r="Q166" s="50">
        <f>IF(L166="","",AsOf-L166)</f>
        <v/>
      </c>
      <c r="R166" s="49">
        <f>IF(B166="","",IF(H166="Do not service","—",IF(O166&gt;0.005,"Collect balance",IF(M166=0,"Book first job",IF(AND(P166="No",Q166&gt;=ReactDays),"Reactivate",IF(COUNTIF('REVIEWS'!$A$5:$A$504,B166)=0,"Ask for review",IF(AND(P166="No",M166&gt;=1),"Offer recurring plan","—")))))))</f>
        <v/>
      </c>
      <c r="S166" s="53">
        <f>IF(B166="","",COUNTIF('REFERRALS'!$B$5:$B$204,B166))</f>
        <v/>
      </c>
    </row>
    <row r="167">
      <c r="A167" s="46" t="inlineStr">
        <is>
          <t>C-163</t>
        </is>
      </c>
      <c r="B167" s="38" t="n"/>
      <c r="C167" s="38" t="n"/>
      <c r="D167" s="38" t="n"/>
      <c r="E167" s="38" t="n"/>
      <c r="F167" s="38" t="n"/>
      <c r="G167" s="38" t="n"/>
      <c r="H167" s="38" t="n"/>
      <c r="I167" s="47" t="n"/>
      <c r="J167" s="38" t="n"/>
      <c r="K167" s="52">
        <f>IF(B167="","",IF(_xlfn.MINIFS('JOBS'!$B$5:$B$1504,'JOBS'!$D$5:$D$1504,B167,'JOBS'!$O$5:$O$1504,"Completed")=0,"",_xlfn.MINIFS('JOBS'!$B$5:$B$1504,'JOBS'!$D$5:$D$1504,B167,'JOBS'!$O$5:$O$1504,"Completed")))</f>
        <v/>
      </c>
      <c r="L167" s="52">
        <f>IF(B167="","",IF(_xlfn.MAXIFS('JOBS'!$B$5:$B$1504,'JOBS'!$D$5:$D$1504,B167,'JOBS'!$O$5:$O$1504,"Completed")=0,"",_xlfn.MAXIFS('JOBS'!$B$5:$B$1504,'JOBS'!$D$5:$D$1504,B167,'JOBS'!$O$5:$O$1504,"Completed")))</f>
        <v/>
      </c>
      <c r="M167" s="53">
        <f>IF(B167="","",COUNTIFS('JOBS'!$D$5:$D$1504,B167,'JOBS'!$O$5:$O$1504,"Completed"))</f>
        <v/>
      </c>
      <c r="N167" s="54">
        <f>IF(B167="","",SUMIFS('JOBS'!$L$5:$L$1504,'JOBS'!$D$5:$D$1504,B167,'JOBS'!$O$5:$O$1504,"Completed"))</f>
        <v/>
      </c>
      <c r="O167" s="55">
        <f>IF(B167="","",SUMIFS('JOBS'!$U$5:$U$1504,'JOBS'!$D$5:$D$1504,B167))</f>
        <v/>
      </c>
      <c r="P167" s="49">
        <f>IF(B167="","",IF(COUNTIFS('RECURRING'!$B$5:$B$154,B167,'RECURRING'!$J$5:$J$154,"Active")&gt;0,"Yes","No"))</f>
        <v/>
      </c>
      <c r="Q167" s="50">
        <f>IF(L167="","",AsOf-L167)</f>
        <v/>
      </c>
      <c r="R167" s="49">
        <f>IF(B167="","",IF(H167="Do not service","—",IF(O167&gt;0.005,"Collect balance",IF(M167=0,"Book first job",IF(AND(P167="No",Q167&gt;=ReactDays),"Reactivate",IF(COUNTIF('REVIEWS'!$A$5:$A$504,B167)=0,"Ask for review",IF(AND(P167="No",M167&gt;=1),"Offer recurring plan","—")))))))</f>
        <v/>
      </c>
      <c r="S167" s="53">
        <f>IF(B167="","",COUNTIF('REFERRALS'!$B$5:$B$204,B167))</f>
        <v/>
      </c>
    </row>
    <row r="168">
      <c r="A168" s="46" t="inlineStr">
        <is>
          <t>C-164</t>
        </is>
      </c>
      <c r="B168" s="38" t="n"/>
      <c r="C168" s="38" t="n"/>
      <c r="D168" s="38" t="n"/>
      <c r="E168" s="38" t="n"/>
      <c r="F168" s="38" t="n"/>
      <c r="G168" s="38" t="n"/>
      <c r="H168" s="38" t="n"/>
      <c r="I168" s="47" t="n"/>
      <c r="J168" s="38" t="n"/>
      <c r="K168" s="52">
        <f>IF(B168="","",IF(_xlfn.MINIFS('JOBS'!$B$5:$B$1504,'JOBS'!$D$5:$D$1504,B168,'JOBS'!$O$5:$O$1504,"Completed")=0,"",_xlfn.MINIFS('JOBS'!$B$5:$B$1504,'JOBS'!$D$5:$D$1504,B168,'JOBS'!$O$5:$O$1504,"Completed")))</f>
        <v/>
      </c>
      <c r="L168" s="52">
        <f>IF(B168="","",IF(_xlfn.MAXIFS('JOBS'!$B$5:$B$1504,'JOBS'!$D$5:$D$1504,B168,'JOBS'!$O$5:$O$1504,"Completed")=0,"",_xlfn.MAXIFS('JOBS'!$B$5:$B$1504,'JOBS'!$D$5:$D$1504,B168,'JOBS'!$O$5:$O$1504,"Completed")))</f>
        <v/>
      </c>
      <c r="M168" s="53">
        <f>IF(B168="","",COUNTIFS('JOBS'!$D$5:$D$1504,B168,'JOBS'!$O$5:$O$1504,"Completed"))</f>
        <v/>
      </c>
      <c r="N168" s="54">
        <f>IF(B168="","",SUMIFS('JOBS'!$L$5:$L$1504,'JOBS'!$D$5:$D$1504,B168,'JOBS'!$O$5:$O$1504,"Completed"))</f>
        <v/>
      </c>
      <c r="O168" s="55">
        <f>IF(B168="","",SUMIFS('JOBS'!$U$5:$U$1504,'JOBS'!$D$5:$D$1504,B168))</f>
        <v/>
      </c>
      <c r="P168" s="49">
        <f>IF(B168="","",IF(COUNTIFS('RECURRING'!$B$5:$B$154,B168,'RECURRING'!$J$5:$J$154,"Active")&gt;0,"Yes","No"))</f>
        <v/>
      </c>
      <c r="Q168" s="50">
        <f>IF(L168="","",AsOf-L168)</f>
        <v/>
      </c>
      <c r="R168" s="49">
        <f>IF(B168="","",IF(H168="Do not service","—",IF(O168&gt;0.005,"Collect balance",IF(M168=0,"Book first job",IF(AND(P168="No",Q168&gt;=ReactDays),"Reactivate",IF(COUNTIF('REVIEWS'!$A$5:$A$504,B168)=0,"Ask for review",IF(AND(P168="No",M168&gt;=1),"Offer recurring plan","—")))))))</f>
        <v/>
      </c>
      <c r="S168" s="53">
        <f>IF(B168="","",COUNTIF('REFERRALS'!$B$5:$B$204,B168))</f>
        <v/>
      </c>
    </row>
    <row r="169">
      <c r="A169" s="46" t="inlineStr">
        <is>
          <t>C-165</t>
        </is>
      </c>
      <c r="B169" s="38" t="n"/>
      <c r="C169" s="38" t="n"/>
      <c r="D169" s="38" t="n"/>
      <c r="E169" s="38" t="n"/>
      <c r="F169" s="38" t="n"/>
      <c r="G169" s="38" t="n"/>
      <c r="H169" s="38" t="n"/>
      <c r="I169" s="47" t="n"/>
      <c r="J169" s="38" t="n"/>
      <c r="K169" s="52">
        <f>IF(B169="","",IF(_xlfn.MINIFS('JOBS'!$B$5:$B$1504,'JOBS'!$D$5:$D$1504,B169,'JOBS'!$O$5:$O$1504,"Completed")=0,"",_xlfn.MINIFS('JOBS'!$B$5:$B$1504,'JOBS'!$D$5:$D$1504,B169,'JOBS'!$O$5:$O$1504,"Completed")))</f>
        <v/>
      </c>
      <c r="L169" s="52">
        <f>IF(B169="","",IF(_xlfn.MAXIFS('JOBS'!$B$5:$B$1504,'JOBS'!$D$5:$D$1504,B169,'JOBS'!$O$5:$O$1504,"Completed")=0,"",_xlfn.MAXIFS('JOBS'!$B$5:$B$1504,'JOBS'!$D$5:$D$1504,B169,'JOBS'!$O$5:$O$1504,"Completed")))</f>
        <v/>
      </c>
      <c r="M169" s="53">
        <f>IF(B169="","",COUNTIFS('JOBS'!$D$5:$D$1504,B169,'JOBS'!$O$5:$O$1504,"Completed"))</f>
        <v/>
      </c>
      <c r="N169" s="54">
        <f>IF(B169="","",SUMIFS('JOBS'!$L$5:$L$1504,'JOBS'!$D$5:$D$1504,B169,'JOBS'!$O$5:$O$1504,"Completed"))</f>
        <v/>
      </c>
      <c r="O169" s="55">
        <f>IF(B169="","",SUMIFS('JOBS'!$U$5:$U$1504,'JOBS'!$D$5:$D$1504,B169))</f>
        <v/>
      </c>
      <c r="P169" s="49">
        <f>IF(B169="","",IF(COUNTIFS('RECURRING'!$B$5:$B$154,B169,'RECURRING'!$J$5:$J$154,"Active")&gt;0,"Yes","No"))</f>
        <v/>
      </c>
      <c r="Q169" s="50">
        <f>IF(L169="","",AsOf-L169)</f>
        <v/>
      </c>
      <c r="R169" s="49">
        <f>IF(B169="","",IF(H169="Do not service","—",IF(O169&gt;0.005,"Collect balance",IF(M169=0,"Book first job",IF(AND(P169="No",Q169&gt;=ReactDays),"Reactivate",IF(COUNTIF('REVIEWS'!$A$5:$A$504,B169)=0,"Ask for review",IF(AND(P169="No",M169&gt;=1),"Offer recurring plan","—")))))))</f>
        <v/>
      </c>
      <c r="S169" s="53">
        <f>IF(B169="","",COUNTIF('REFERRALS'!$B$5:$B$204,B169))</f>
        <v/>
      </c>
    </row>
    <row r="170">
      <c r="A170" s="46" t="inlineStr">
        <is>
          <t>C-166</t>
        </is>
      </c>
      <c r="B170" s="38" t="n"/>
      <c r="C170" s="38" t="n"/>
      <c r="D170" s="38" t="n"/>
      <c r="E170" s="38" t="n"/>
      <c r="F170" s="38" t="n"/>
      <c r="G170" s="38" t="n"/>
      <c r="H170" s="38" t="n"/>
      <c r="I170" s="47" t="n"/>
      <c r="J170" s="38" t="n"/>
      <c r="K170" s="52">
        <f>IF(B170="","",IF(_xlfn.MINIFS('JOBS'!$B$5:$B$1504,'JOBS'!$D$5:$D$1504,B170,'JOBS'!$O$5:$O$1504,"Completed")=0,"",_xlfn.MINIFS('JOBS'!$B$5:$B$1504,'JOBS'!$D$5:$D$1504,B170,'JOBS'!$O$5:$O$1504,"Completed")))</f>
        <v/>
      </c>
      <c r="L170" s="52">
        <f>IF(B170="","",IF(_xlfn.MAXIFS('JOBS'!$B$5:$B$1504,'JOBS'!$D$5:$D$1504,B170,'JOBS'!$O$5:$O$1504,"Completed")=0,"",_xlfn.MAXIFS('JOBS'!$B$5:$B$1504,'JOBS'!$D$5:$D$1504,B170,'JOBS'!$O$5:$O$1504,"Completed")))</f>
        <v/>
      </c>
      <c r="M170" s="53">
        <f>IF(B170="","",COUNTIFS('JOBS'!$D$5:$D$1504,B170,'JOBS'!$O$5:$O$1504,"Completed"))</f>
        <v/>
      </c>
      <c r="N170" s="54">
        <f>IF(B170="","",SUMIFS('JOBS'!$L$5:$L$1504,'JOBS'!$D$5:$D$1504,B170,'JOBS'!$O$5:$O$1504,"Completed"))</f>
        <v/>
      </c>
      <c r="O170" s="55">
        <f>IF(B170="","",SUMIFS('JOBS'!$U$5:$U$1504,'JOBS'!$D$5:$D$1504,B170))</f>
        <v/>
      </c>
      <c r="P170" s="49">
        <f>IF(B170="","",IF(COUNTIFS('RECURRING'!$B$5:$B$154,B170,'RECURRING'!$J$5:$J$154,"Active")&gt;0,"Yes","No"))</f>
        <v/>
      </c>
      <c r="Q170" s="50">
        <f>IF(L170="","",AsOf-L170)</f>
        <v/>
      </c>
      <c r="R170" s="49">
        <f>IF(B170="","",IF(H170="Do not service","—",IF(O170&gt;0.005,"Collect balance",IF(M170=0,"Book first job",IF(AND(P170="No",Q170&gt;=ReactDays),"Reactivate",IF(COUNTIF('REVIEWS'!$A$5:$A$504,B170)=0,"Ask for review",IF(AND(P170="No",M170&gt;=1),"Offer recurring plan","—")))))))</f>
        <v/>
      </c>
      <c r="S170" s="53">
        <f>IF(B170="","",COUNTIF('REFERRALS'!$B$5:$B$204,B170))</f>
        <v/>
      </c>
    </row>
    <row r="171">
      <c r="A171" s="46" t="inlineStr">
        <is>
          <t>C-167</t>
        </is>
      </c>
      <c r="B171" s="38" t="n"/>
      <c r="C171" s="38" t="n"/>
      <c r="D171" s="38" t="n"/>
      <c r="E171" s="38" t="n"/>
      <c r="F171" s="38" t="n"/>
      <c r="G171" s="38" t="n"/>
      <c r="H171" s="38" t="n"/>
      <c r="I171" s="47" t="n"/>
      <c r="J171" s="38" t="n"/>
      <c r="K171" s="52">
        <f>IF(B171="","",IF(_xlfn.MINIFS('JOBS'!$B$5:$B$1504,'JOBS'!$D$5:$D$1504,B171,'JOBS'!$O$5:$O$1504,"Completed")=0,"",_xlfn.MINIFS('JOBS'!$B$5:$B$1504,'JOBS'!$D$5:$D$1504,B171,'JOBS'!$O$5:$O$1504,"Completed")))</f>
        <v/>
      </c>
      <c r="L171" s="52">
        <f>IF(B171="","",IF(_xlfn.MAXIFS('JOBS'!$B$5:$B$1504,'JOBS'!$D$5:$D$1504,B171,'JOBS'!$O$5:$O$1504,"Completed")=0,"",_xlfn.MAXIFS('JOBS'!$B$5:$B$1504,'JOBS'!$D$5:$D$1504,B171,'JOBS'!$O$5:$O$1504,"Completed")))</f>
        <v/>
      </c>
      <c r="M171" s="53">
        <f>IF(B171="","",COUNTIFS('JOBS'!$D$5:$D$1504,B171,'JOBS'!$O$5:$O$1504,"Completed"))</f>
        <v/>
      </c>
      <c r="N171" s="54">
        <f>IF(B171="","",SUMIFS('JOBS'!$L$5:$L$1504,'JOBS'!$D$5:$D$1504,B171,'JOBS'!$O$5:$O$1504,"Completed"))</f>
        <v/>
      </c>
      <c r="O171" s="55">
        <f>IF(B171="","",SUMIFS('JOBS'!$U$5:$U$1504,'JOBS'!$D$5:$D$1504,B171))</f>
        <v/>
      </c>
      <c r="P171" s="49">
        <f>IF(B171="","",IF(COUNTIFS('RECURRING'!$B$5:$B$154,B171,'RECURRING'!$J$5:$J$154,"Active")&gt;0,"Yes","No"))</f>
        <v/>
      </c>
      <c r="Q171" s="50">
        <f>IF(L171="","",AsOf-L171)</f>
        <v/>
      </c>
      <c r="R171" s="49">
        <f>IF(B171="","",IF(H171="Do not service","—",IF(O171&gt;0.005,"Collect balance",IF(M171=0,"Book first job",IF(AND(P171="No",Q171&gt;=ReactDays),"Reactivate",IF(COUNTIF('REVIEWS'!$A$5:$A$504,B171)=0,"Ask for review",IF(AND(P171="No",M171&gt;=1),"Offer recurring plan","—")))))))</f>
        <v/>
      </c>
      <c r="S171" s="53">
        <f>IF(B171="","",COUNTIF('REFERRALS'!$B$5:$B$204,B171))</f>
        <v/>
      </c>
    </row>
    <row r="172">
      <c r="A172" s="46" t="inlineStr">
        <is>
          <t>C-168</t>
        </is>
      </c>
      <c r="B172" s="38" t="n"/>
      <c r="C172" s="38" t="n"/>
      <c r="D172" s="38" t="n"/>
      <c r="E172" s="38" t="n"/>
      <c r="F172" s="38" t="n"/>
      <c r="G172" s="38" t="n"/>
      <c r="H172" s="38" t="n"/>
      <c r="I172" s="47" t="n"/>
      <c r="J172" s="38" t="n"/>
      <c r="K172" s="52">
        <f>IF(B172="","",IF(_xlfn.MINIFS('JOBS'!$B$5:$B$1504,'JOBS'!$D$5:$D$1504,B172,'JOBS'!$O$5:$O$1504,"Completed")=0,"",_xlfn.MINIFS('JOBS'!$B$5:$B$1504,'JOBS'!$D$5:$D$1504,B172,'JOBS'!$O$5:$O$1504,"Completed")))</f>
        <v/>
      </c>
      <c r="L172" s="52">
        <f>IF(B172="","",IF(_xlfn.MAXIFS('JOBS'!$B$5:$B$1504,'JOBS'!$D$5:$D$1504,B172,'JOBS'!$O$5:$O$1504,"Completed")=0,"",_xlfn.MAXIFS('JOBS'!$B$5:$B$1504,'JOBS'!$D$5:$D$1504,B172,'JOBS'!$O$5:$O$1504,"Completed")))</f>
        <v/>
      </c>
      <c r="M172" s="53">
        <f>IF(B172="","",COUNTIFS('JOBS'!$D$5:$D$1504,B172,'JOBS'!$O$5:$O$1504,"Completed"))</f>
        <v/>
      </c>
      <c r="N172" s="54">
        <f>IF(B172="","",SUMIFS('JOBS'!$L$5:$L$1504,'JOBS'!$D$5:$D$1504,B172,'JOBS'!$O$5:$O$1504,"Completed"))</f>
        <v/>
      </c>
      <c r="O172" s="55">
        <f>IF(B172="","",SUMIFS('JOBS'!$U$5:$U$1504,'JOBS'!$D$5:$D$1504,B172))</f>
        <v/>
      </c>
      <c r="P172" s="49">
        <f>IF(B172="","",IF(COUNTIFS('RECURRING'!$B$5:$B$154,B172,'RECURRING'!$J$5:$J$154,"Active")&gt;0,"Yes","No"))</f>
        <v/>
      </c>
      <c r="Q172" s="50">
        <f>IF(L172="","",AsOf-L172)</f>
        <v/>
      </c>
      <c r="R172" s="49">
        <f>IF(B172="","",IF(H172="Do not service","—",IF(O172&gt;0.005,"Collect balance",IF(M172=0,"Book first job",IF(AND(P172="No",Q172&gt;=ReactDays),"Reactivate",IF(COUNTIF('REVIEWS'!$A$5:$A$504,B172)=0,"Ask for review",IF(AND(P172="No",M172&gt;=1),"Offer recurring plan","—")))))))</f>
        <v/>
      </c>
      <c r="S172" s="53">
        <f>IF(B172="","",COUNTIF('REFERRALS'!$B$5:$B$204,B172))</f>
        <v/>
      </c>
    </row>
    <row r="173">
      <c r="A173" s="46" t="inlineStr">
        <is>
          <t>C-169</t>
        </is>
      </c>
      <c r="B173" s="38" t="n"/>
      <c r="C173" s="38" t="n"/>
      <c r="D173" s="38" t="n"/>
      <c r="E173" s="38" t="n"/>
      <c r="F173" s="38" t="n"/>
      <c r="G173" s="38" t="n"/>
      <c r="H173" s="38" t="n"/>
      <c r="I173" s="47" t="n"/>
      <c r="J173" s="38" t="n"/>
      <c r="K173" s="52">
        <f>IF(B173="","",IF(_xlfn.MINIFS('JOBS'!$B$5:$B$1504,'JOBS'!$D$5:$D$1504,B173,'JOBS'!$O$5:$O$1504,"Completed")=0,"",_xlfn.MINIFS('JOBS'!$B$5:$B$1504,'JOBS'!$D$5:$D$1504,B173,'JOBS'!$O$5:$O$1504,"Completed")))</f>
        <v/>
      </c>
      <c r="L173" s="52">
        <f>IF(B173="","",IF(_xlfn.MAXIFS('JOBS'!$B$5:$B$1504,'JOBS'!$D$5:$D$1504,B173,'JOBS'!$O$5:$O$1504,"Completed")=0,"",_xlfn.MAXIFS('JOBS'!$B$5:$B$1504,'JOBS'!$D$5:$D$1504,B173,'JOBS'!$O$5:$O$1504,"Completed")))</f>
        <v/>
      </c>
      <c r="M173" s="53">
        <f>IF(B173="","",COUNTIFS('JOBS'!$D$5:$D$1504,B173,'JOBS'!$O$5:$O$1504,"Completed"))</f>
        <v/>
      </c>
      <c r="N173" s="54">
        <f>IF(B173="","",SUMIFS('JOBS'!$L$5:$L$1504,'JOBS'!$D$5:$D$1504,B173,'JOBS'!$O$5:$O$1504,"Completed"))</f>
        <v/>
      </c>
      <c r="O173" s="55">
        <f>IF(B173="","",SUMIFS('JOBS'!$U$5:$U$1504,'JOBS'!$D$5:$D$1504,B173))</f>
        <v/>
      </c>
      <c r="P173" s="49">
        <f>IF(B173="","",IF(COUNTIFS('RECURRING'!$B$5:$B$154,B173,'RECURRING'!$J$5:$J$154,"Active")&gt;0,"Yes","No"))</f>
        <v/>
      </c>
      <c r="Q173" s="50">
        <f>IF(L173="","",AsOf-L173)</f>
        <v/>
      </c>
      <c r="R173" s="49">
        <f>IF(B173="","",IF(H173="Do not service","—",IF(O173&gt;0.005,"Collect balance",IF(M173=0,"Book first job",IF(AND(P173="No",Q173&gt;=ReactDays),"Reactivate",IF(COUNTIF('REVIEWS'!$A$5:$A$504,B173)=0,"Ask for review",IF(AND(P173="No",M173&gt;=1),"Offer recurring plan","—")))))))</f>
        <v/>
      </c>
      <c r="S173" s="53">
        <f>IF(B173="","",COUNTIF('REFERRALS'!$B$5:$B$204,B173))</f>
        <v/>
      </c>
    </row>
    <row r="174">
      <c r="A174" s="46" t="inlineStr">
        <is>
          <t>C-170</t>
        </is>
      </c>
      <c r="B174" s="38" t="n"/>
      <c r="C174" s="38" t="n"/>
      <c r="D174" s="38" t="n"/>
      <c r="E174" s="38" t="n"/>
      <c r="F174" s="38" t="n"/>
      <c r="G174" s="38" t="n"/>
      <c r="H174" s="38" t="n"/>
      <c r="I174" s="47" t="n"/>
      <c r="J174" s="38" t="n"/>
      <c r="K174" s="52">
        <f>IF(B174="","",IF(_xlfn.MINIFS('JOBS'!$B$5:$B$1504,'JOBS'!$D$5:$D$1504,B174,'JOBS'!$O$5:$O$1504,"Completed")=0,"",_xlfn.MINIFS('JOBS'!$B$5:$B$1504,'JOBS'!$D$5:$D$1504,B174,'JOBS'!$O$5:$O$1504,"Completed")))</f>
        <v/>
      </c>
      <c r="L174" s="52">
        <f>IF(B174="","",IF(_xlfn.MAXIFS('JOBS'!$B$5:$B$1504,'JOBS'!$D$5:$D$1504,B174,'JOBS'!$O$5:$O$1504,"Completed")=0,"",_xlfn.MAXIFS('JOBS'!$B$5:$B$1504,'JOBS'!$D$5:$D$1504,B174,'JOBS'!$O$5:$O$1504,"Completed")))</f>
        <v/>
      </c>
      <c r="M174" s="53">
        <f>IF(B174="","",COUNTIFS('JOBS'!$D$5:$D$1504,B174,'JOBS'!$O$5:$O$1504,"Completed"))</f>
        <v/>
      </c>
      <c r="N174" s="54">
        <f>IF(B174="","",SUMIFS('JOBS'!$L$5:$L$1504,'JOBS'!$D$5:$D$1504,B174,'JOBS'!$O$5:$O$1504,"Completed"))</f>
        <v/>
      </c>
      <c r="O174" s="55">
        <f>IF(B174="","",SUMIFS('JOBS'!$U$5:$U$1504,'JOBS'!$D$5:$D$1504,B174))</f>
        <v/>
      </c>
      <c r="P174" s="49">
        <f>IF(B174="","",IF(COUNTIFS('RECURRING'!$B$5:$B$154,B174,'RECURRING'!$J$5:$J$154,"Active")&gt;0,"Yes","No"))</f>
        <v/>
      </c>
      <c r="Q174" s="50">
        <f>IF(L174="","",AsOf-L174)</f>
        <v/>
      </c>
      <c r="R174" s="49">
        <f>IF(B174="","",IF(H174="Do not service","—",IF(O174&gt;0.005,"Collect balance",IF(M174=0,"Book first job",IF(AND(P174="No",Q174&gt;=ReactDays),"Reactivate",IF(COUNTIF('REVIEWS'!$A$5:$A$504,B174)=0,"Ask for review",IF(AND(P174="No",M174&gt;=1),"Offer recurring plan","—")))))))</f>
        <v/>
      </c>
      <c r="S174" s="53">
        <f>IF(B174="","",COUNTIF('REFERRALS'!$B$5:$B$204,B174))</f>
        <v/>
      </c>
    </row>
    <row r="175">
      <c r="A175" s="46" t="inlineStr">
        <is>
          <t>C-171</t>
        </is>
      </c>
      <c r="B175" s="38" t="n"/>
      <c r="C175" s="38" t="n"/>
      <c r="D175" s="38" t="n"/>
      <c r="E175" s="38" t="n"/>
      <c r="F175" s="38" t="n"/>
      <c r="G175" s="38" t="n"/>
      <c r="H175" s="38" t="n"/>
      <c r="I175" s="47" t="n"/>
      <c r="J175" s="38" t="n"/>
      <c r="K175" s="52">
        <f>IF(B175="","",IF(_xlfn.MINIFS('JOBS'!$B$5:$B$1504,'JOBS'!$D$5:$D$1504,B175,'JOBS'!$O$5:$O$1504,"Completed")=0,"",_xlfn.MINIFS('JOBS'!$B$5:$B$1504,'JOBS'!$D$5:$D$1504,B175,'JOBS'!$O$5:$O$1504,"Completed")))</f>
        <v/>
      </c>
      <c r="L175" s="52">
        <f>IF(B175="","",IF(_xlfn.MAXIFS('JOBS'!$B$5:$B$1504,'JOBS'!$D$5:$D$1504,B175,'JOBS'!$O$5:$O$1504,"Completed")=0,"",_xlfn.MAXIFS('JOBS'!$B$5:$B$1504,'JOBS'!$D$5:$D$1504,B175,'JOBS'!$O$5:$O$1504,"Completed")))</f>
        <v/>
      </c>
      <c r="M175" s="53">
        <f>IF(B175="","",COUNTIFS('JOBS'!$D$5:$D$1504,B175,'JOBS'!$O$5:$O$1504,"Completed"))</f>
        <v/>
      </c>
      <c r="N175" s="54">
        <f>IF(B175="","",SUMIFS('JOBS'!$L$5:$L$1504,'JOBS'!$D$5:$D$1504,B175,'JOBS'!$O$5:$O$1504,"Completed"))</f>
        <v/>
      </c>
      <c r="O175" s="55">
        <f>IF(B175="","",SUMIFS('JOBS'!$U$5:$U$1504,'JOBS'!$D$5:$D$1504,B175))</f>
        <v/>
      </c>
      <c r="P175" s="49">
        <f>IF(B175="","",IF(COUNTIFS('RECURRING'!$B$5:$B$154,B175,'RECURRING'!$J$5:$J$154,"Active")&gt;0,"Yes","No"))</f>
        <v/>
      </c>
      <c r="Q175" s="50">
        <f>IF(L175="","",AsOf-L175)</f>
        <v/>
      </c>
      <c r="R175" s="49">
        <f>IF(B175="","",IF(H175="Do not service","—",IF(O175&gt;0.005,"Collect balance",IF(M175=0,"Book first job",IF(AND(P175="No",Q175&gt;=ReactDays),"Reactivate",IF(COUNTIF('REVIEWS'!$A$5:$A$504,B175)=0,"Ask for review",IF(AND(P175="No",M175&gt;=1),"Offer recurring plan","—")))))))</f>
        <v/>
      </c>
      <c r="S175" s="53">
        <f>IF(B175="","",COUNTIF('REFERRALS'!$B$5:$B$204,B175))</f>
        <v/>
      </c>
    </row>
    <row r="176">
      <c r="A176" s="46" t="inlineStr">
        <is>
          <t>C-172</t>
        </is>
      </c>
      <c r="B176" s="38" t="n"/>
      <c r="C176" s="38" t="n"/>
      <c r="D176" s="38" t="n"/>
      <c r="E176" s="38" t="n"/>
      <c r="F176" s="38" t="n"/>
      <c r="G176" s="38" t="n"/>
      <c r="H176" s="38" t="n"/>
      <c r="I176" s="47" t="n"/>
      <c r="J176" s="38" t="n"/>
      <c r="K176" s="52">
        <f>IF(B176="","",IF(_xlfn.MINIFS('JOBS'!$B$5:$B$1504,'JOBS'!$D$5:$D$1504,B176,'JOBS'!$O$5:$O$1504,"Completed")=0,"",_xlfn.MINIFS('JOBS'!$B$5:$B$1504,'JOBS'!$D$5:$D$1504,B176,'JOBS'!$O$5:$O$1504,"Completed")))</f>
        <v/>
      </c>
      <c r="L176" s="52">
        <f>IF(B176="","",IF(_xlfn.MAXIFS('JOBS'!$B$5:$B$1504,'JOBS'!$D$5:$D$1504,B176,'JOBS'!$O$5:$O$1504,"Completed")=0,"",_xlfn.MAXIFS('JOBS'!$B$5:$B$1504,'JOBS'!$D$5:$D$1504,B176,'JOBS'!$O$5:$O$1504,"Completed")))</f>
        <v/>
      </c>
      <c r="M176" s="53">
        <f>IF(B176="","",COUNTIFS('JOBS'!$D$5:$D$1504,B176,'JOBS'!$O$5:$O$1504,"Completed"))</f>
        <v/>
      </c>
      <c r="N176" s="54">
        <f>IF(B176="","",SUMIFS('JOBS'!$L$5:$L$1504,'JOBS'!$D$5:$D$1504,B176,'JOBS'!$O$5:$O$1504,"Completed"))</f>
        <v/>
      </c>
      <c r="O176" s="55">
        <f>IF(B176="","",SUMIFS('JOBS'!$U$5:$U$1504,'JOBS'!$D$5:$D$1504,B176))</f>
        <v/>
      </c>
      <c r="P176" s="49">
        <f>IF(B176="","",IF(COUNTIFS('RECURRING'!$B$5:$B$154,B176,'RECURRING'!$J$5:$J$154,"Active")&gt;0,"Yes","No"))</f>
        <v/>
      </c>
      <c r="Q176" s="50">
        <f>IF(L176="","",AsOf-L176)</f>
        <v/>
      </c>
      <c r="R176" s="49">
        <f>IF(B176="","",IF(H176="Do not service","—",IF(O176&gt;0.005,"Collect balance",IF(M176=0,"Book first job",IF(AND(P176="No",Q176&gt;=ReactDays),"Reactivate",IF(COUNTIF('REVIEWS'!$A$5:$A$504,B176)=0,"Ask for review",IF(AND(P176="No",M176&gt;=1),"Offer recurring plan","—")))))))</f>
        <v/>
      </c>
      <c r="S176" s="53">
        <f>IF(B176="","",COUNTIF('REFERRALS'!$B$5:$B$204,B176))</f>
        <v/>
      </c>
    </row>
    <row r="177">
      <c r="A177" s="46" t="inlineStr">
        <is>
          <t>C-173</t>
        </is>
      </c>
      <c r="B177" s="38" t="n"/>
      <c r="C177" s="38" t="n"/>
      <c r="D177" s="38" t="n"/>
      <c r="E177" s="38" t="n"/>
      <c r="F177" s="38" t="n"/>
      <c r="G177" s="38" t="n"/>
      <c r="H177" s="38" t="n"/>
      <c r="I177" s="47" t="n"/>
      <c r="J177" s="38" t="n"/>
      <c r="K177" s="52">
        <f>IF(B177="","",IF(_xlfn.MINIFS('JOBS'!$B$5:$B$1504,'JOBS'!$D$5:$D$1504,B177,'JOBS'!$O$5:$O$1504,"Completed")=0,"",_xlfn.MINIFS('JOBS'!$B$5:$B$1504,'JOBS'!$D$5:$D$1504,B177,'JOBS'!$O$5:$O$1504,"Completed")))</f>
        <v/>
      </c>
      <c r="L177" s="52">
        <f>IF(B177="","",IF(_xlfn.MAXIFS('JOBS'!$B$5:$B$1504,'JOBS'!$D$5:$D$1504,B177,'JOBS'!$O$5:$O$1504,"Completed")=0,"",_xlfn.MAXIFS('JOBS'!$B$5:$B$1504,'JOBS'!$D$5:$D$1504,B177,'JOBS'!$O$5:$O$1504,"Completed")))</f>
        <v/>
      </c>
      <c r="M177" s="53">
        <f>IF(B177="","",COUNTIFS('JOBS'!$D$5:$D$1504,B177,'JOBS'!$O$5:$O$1504,"Completed"))</f>
        <v/>
      </c>
      <c r="N177" s="54">
        <f>IF(B177="","",SUMIFS('JOBS'!$L$5:$L$1504,'JOBS'!$D$5:$D$1504,B177,'JOBS'!$O$5:$O$1504,"Completed"))</f>
        <v/>
      </c>
      <c r="O177" s="55">
        <f>IF(B177="","",SUMIFS('JOBS'!$U$5:$U$1504,'JOBS'!$D$5:$D$1504,B177))</f>
        <v/>
      </c>
      <c r="P177" s="49">
        <f>IF(B177="","",IF(COUNTIFS('RECURRING'!$B$5:$B$154,B177,'RECURRING'!$J$5:$J$154,"Active")&gt;0,"Yes","No"))</f>
        <v/>
      </c>
      <c r="Q177" s="50">
        <f>IF(L177="","",AsOf-L177)</f>
        <v/>
      </c>
      <c r="R177" s="49">
        <f>IF(B177="","",IF(H177="Do not service","—",IF(O177&gt;0.005,"Collect balance",IF(M177=0,"Book first job",IF(AND(P177="No",Q177&gt;=ReactDays),"Reactivate",IF(COUNTIF('REVIEWS'!$A$5:$A$504,B177)=0,"Ask for review",IF(AND(P177="No",M177&gt;=1),"Offer recurring plan","—")))))))</f>
        <v/>
      </c>
      <c r="S177" s="53">
        <f>IF(B177="","",COUNTIF('REFERRALS'!$B$5:$B$204,B177))</f>
        <v/>
      </c>
    </row>
    <row r="178">
      <c r="A178" s="46" t="inlineStr">
        <is>
          <t>C-174</t>
        </is>
      </c>
      <c r="B178" s="38" t="n"/>
      <c r="C178" s="38" t="n"/>
      <c r="D178" s="38" t="n"/>
      <c r="E178" s="38" t="n"/>
      <c r="F178" s="38" t="n"/>
      <c r="G178" s="38" t="n"/>
      <c r="H178" s="38" t="n"/>
      <c r="I178" s="47" t="n"/>
      <c r="J178" s="38" t="n"/>
      <c r="K178" s="52">
        <f>IF(B178="","",IF(_xlfn.MINIFS('JOBS'!$B$5:$B$1504,'JOBS'!$D$5:$D$1504,B178,'JOBS'!$O$5:$O$1504,"Completed")=0,"",_xlfn.MINIFS('JOBS'!$B$5:$B$1504,'JOBS'!$D$5:$D$1504,B178,'JOBS'!$O$5:$O$1504,"Completed")))</f>
        <v/>
      </c>
      <c r="L178" s="52">
        <f>IF(B178="","",IF(_xlfn.MAXIFS('JOBS'!$B$5:$B$1504,'JOBS'!$D$5:$D$1504,B178,'JOBS'!$O$5:$O$1504,"Completed")=0,"",_xlfn.MAXIFS('JOBS'!$B$5:$B$1504,'JOBS'!$D$5:$D$1504,B178,'JOBS'!$O$5:$O$1504,"Completed")))</f>
        <v/>
      </c>
      <c r="M178" s="53">
        <f>IF(B178="","",COUNTIFS('JOBS'!$D$5:$D$1504,B178,'JOBS'!$O$5:$O$1504,"Completed"))</f>
        <v/>
      </c>
      <c r="N178" s="54">
        <f>IF(B178="","",SUMIFS('JOBS'!$L$5:$L$1504,'JOBS'!$D$5:$D$1504,B178,'JOBS'!$O$5:$O$1504,"Completed"))</f>
        <v/>
      </c>
      <c r="O178" s="55">
        <f>IF(B178="","",SUMIFS('JOBS'!$U$5:$U$1504,'JOBS'!$D$5:$D$1504,B178))</f>
        <v/>
      </c>
      <c r="P178" s="49">
        <f>IF(B178="","",IF(COUNTIFS('RECURRING'!$B$5:$B$154,B178,'RECURRING'!$J$5:$J$154,"Active")&gt;0,"Yes","No"))</f>
        <v/>
      </c>
      <c r="Q178" s="50">
        <f>IF(L178="","",AsOf-L178)</f>
        <v/>
      </c>
      <c r="R178" s="49">
        <f>IF(B178="","",IF(H178="Do not service","—",IF(O178&gt;0.005,"Collect balance",IF(M178=0,"Book first job",IF(AND(P178="No",Q178&gt;=ReactDays),"Reactivate",IF(COUNTIF('REVIEWS'!$A$5:$A$504,B178)=0,"Ask for review",IF(AND(P178="No",M178&gt;=1),"Offer recurring plan","—")))))))</f>
        <v/>
      </c>
      <c r="S178" s="53">
        <f>IF(B178="","",COUNTIF('REFERRALS'!$B$5:$B$204,B178))</f>
        <v/>
      </c>
    </row>
    <row r="179">
      <c r="A179" s="46" t="inlineStr">
        <is>
          <t>C-175</t>
        </is>
      </c>
      <c r="B179" s="38" t="n"/>
      <c r="C179" s="38" t="n"/>
      <c r="D179" s="38" t="n"/>
      <c r="E179" s="38" t="n"/>
      <c r="F179" s="38" t="n"/>
      <c r="G179" s="38" t="n"/>
      <c r="H179" s="38" t="n"/>
      <c r="I179" s="47" t="n"/>
      <c r="J179" s="38" t="n"/>
      <c r="K179" s="52">
        <f>IF(B179="","",IF(_xlfn.MINIFS('JOBS'!$B$5:$B$1504,'JOBS'!$D$5:$D$1504,B179,'JOBS'!$O$5:$O$1504,"Completed")=0,"",_xlfn.MINIFS('JOBS'!$B$5:$B$1504,'JOBS'!$D$5:$D$1504,B179,'JOBS'!$O$5:$O$1504,"Completed")))</f>
        <v/>
      </c>
      <c r="L179" s="52">
        <f>IF(B179="","",IF(_xlfn.MAXIFS('JOBS'!$B$5:$B$1504,'JOBS'!$D$5:$D$1504,B179,'JOBS'!$O$5:$O$1504,"Completed")=0,"",_xlfn.MAXIFS('JOBS'!$B$5:$B$1504,'JOBS'!$D$5:$D$1504,B179,'JOBS'!$O$5:$O$1504,"Completed")))</f>
        <v/>
      </c>
      <c r="M179" s="53">
        <f>IF(B179="","",COUNTIFS('JOBS'!$D$5:$D$1504,B179,'JOBS'!$O$5:$O$1504,"Completed"))</f>
        <v/>
      </c>
      <c r="N179" s="54">
        <f>IF(B179="","",SUMIFS('JOBS'!$L$5:$L$1504,'JOBS'!$D$5:$D$1504,B179,'JOBS'!$O$5:$O$1504,"Completed"))</f>
        <v/>
      </c>
      <c r="O179" s="55">
        <f>IF(B179="","",SUMIFS('JOBS'!$U$5:$U$1504,'JOBS'!$D$5:$D$1504,B179))</f>
        <v/>
      </c>
      <c r="P179" s="49">
        <f>IF(B179="","",IF(COUNTIFS('RECURRING'!$B$5:$B$154,B179,'RECURRING'!$J$5:$J$154,"Active")&gt;0,"Yes","No"))</f>
        <v/>
      </c>
      <c r="Q179" s="50">
        <f>IF(L179="","",AsOf-L179)</f>
        <v/>
      </c>
      <c r="R179" s="49">
        <f>IF(B179="","",IF(H179="Do not service","—",IF(O179&gt;0.005,"Collect balance",IF(M179=0,"Book first job",IF(AND(P179="No",Q179&gt;=ReactDays),"Reactivate",IF(COUNTIF('REVIEWS'!$A$5:$A$504,B179)=0,"Ask for review",IF(AND(P179="No",M179&gt;=1),"Offer recurring plan","—")))))))</f>
        <v/>
      </c>
      <c r="S179" s="53">
        <f>IF(B179="","",COUNTIF('REFERRALS'!$B$5:$B$204,B179))</f>
        <v/>
      </c>
    </row>
    <row r="180">
      <c r="A180" s="46" t="inlineStr">
        <is>
          <t>C-176</t>
        </is>
      </c>
      <c r="B180" s="38" t="n"/>
      <c r="C180" s="38" t="n"/>
      <c r="D180" s="38" t="n"/>
      <c r="E180" s="38" t="n"/>
      <c r="F180" s="38" t="n"/>
      <c r="G180" s="38" t="n"/>
      <c r="H180" s="38" t="n"/>
      <c r="I180" s="47" t="n"/>
      <c r="J180" s="38" t="n"/>
      <c r="K180" s="52">
        <f>IF(B180="","",IF(_xlfn.MINIFS('JOBS'!$B$5:$B$1504,'JOBS'!$D$5:$D$1504,B180,'JOBS'!$O$5:$O$1504,"Completed")=0,"",_xlfn.MINIFS('JOBS'!$B$5:$B$1504,'JOBS'!$D$5:$D$1504,B180,'JOBS'!$O$5:$O$1504,"Completed")))</f>
        <v/>
      </c>
      <c r="L180" s="52">
        <f>IF(B180="","",IF(_xlfn.MAXIFS('JOBS'!$B$5:$B$1504,'JOBS'!$D$5:$D$1504,B180,'JOBS'!$O$5:$O$1504,"Completed")=0,"",_xlfn.MAXIFS('JOBS'!$B$5:$B$1504,'JOBS'!$D$5:$D$1504,B180,'JOBS'!$O$5:$O$1504,"Completed")))</f>
        <v/>
      </c>
      <c r="M180" s="53">
        <f>IF(B180="","",COUNTIFS('JOBS'!$D$5:$D$1504,B180,'JOBS'!$O$5:$O$1504,"Completed"))</f>
        <v/>
      </c>
      <c r="N180" s="54">
        <f>IF(B180="","",SUMIFS('JOBS'!$L$5:$L$1504,'JOBS'!$D$5:$D$1504,B180,'JOBS'!$O$5:$O$1504,"Completed"))</f>
        <v/>
      </c>
      <c r="O180" s="55">
        <f>IF(B180="","",SUMIFS('JOBS'!$U$5:$U$1504,'JOBS'!$D$5:$D$1504,B180))</f>
        <v/>
      </c>
      <c r="P180" s="49">
        <f>IF(B180="","",IF(COUNTIFS('RECURRING'!$B$5:$B$154,B180,'RECURRING'!$J$5:$J$154,"Active")&gt;0,"Yes","No"))</f>
        <v/>
      </c>
      <c r="Q180" s="50">
        <f>IF(L180="","",AsOf-L180)</f>
        <v/>
      </c>
      <c r="R180" s="49">
        <f>IF(B180="","",IF(H180="Do not service","—",IF(O180&gt;0.005,"Collect balance",IF(M180=0,"Book first job",IF(AND(P180="No",Q180&gt;=ReactDays),"Reactivate",IF(COUNTIF('REVIEWS'!$A$5:$A$504,B180)=0,"Ask for review",IF(AND(P180="No",M180&gt;=1),"Offer recurring plan","—")))))))</f>
        <v/>
      </c>
      <c r="S180" s="53">
        <f>IF(B180="","",COUNTIF('REFERRALS'!$B$5:$B$204,B180))</f>
        <v/>
      </c>
    </row>
    <row r="181">
      <c r="A181" s="46" t="inlineStr">
        <is>
          <t>C-177</t>
        </is>
      </c>
      <c r="B181" s="38" t="n"/>
      <c r="C181" s="38" t="n"/>
      <c r="D181" s="38" t="n"/>
      <c r="E181" s="38" t="n"/>
      <c r="F181" s="38" t="n"/>
      <c r="G181" s="38" t="n"/>
      <c r="H181" s="38" t="n"/>
      <c r="I181" s="47" t="n"/>
      <c r="J181" s="38" t="n"/>
      <c r="K181" s="52">
        <f>IF(B181="","",IF(_xlfn.MINIFS('JOBS'!$B$5:$B$1504,'JOBS'!$D$5:$D$1504,B181,'JOBS'!$O$5:$O$1504,"Completed")=0,"",_xlfn.MINIFS('JOBS'!$B$5:$B$1504,'JOBS'!$D$5:$D$1504,B181,'JOBS'!$O$5:$O$1504,"Completed")))</f>
        <v/>
      </c>
      <c r="L181" s="52">
        <f>IF(B181="","",IF(_xlfn.MAXIFS('JOBS'!$B$5:$B$1504,'JOBS'!$D$5:$D$1504,B181,'JOBS'!$O$5:$O$1504,"Completed")=0,"",_xlfn.MAXIFS('JOBS'!$B$5:$B$1504,'JOBS'!$D$5:$D$1504,B181,'JOBS'!$O$5:$O$1504,"Completed")))</f>
        <v/>
      </c>
      <c r="M181" s="53">
        <f>IF(B181="","",COUNTIFS('JOBS'!$D$5:$D$1504,B181,'JOBS'!$O$5:$O$1504,"Completed"))</f>
        <v/>
      </c>
      <c r="N181" s="54">
        <f>IF(B181="","",SUMIFS('JOBS'!$L$5:$L$1504,'JOBS'!$D$5:$D$1504,B181,'JOBS'!$O$5:$O$1504,"Completed"))</f>
        <v/>
      </c>
      <c r="O181" s="55">
        <f>IF(B181="","",SUMIFS('JOBS'!$U$5:$U$1504,'JOBS'!$D$5:$D$1504,B181))</f>
        <v/>
      </c>
      <c r="P181" s="49">
        <f>IF(B181="","",IF(COUNTIFS('RECURRING'!$B$5:$B$154,B181,'RECURRING'!$J$5:$J$154,"Active")&gt;0,"Yes","No"))</f>
        <v/>
      </c>
      <c r="Q181" s="50">
        <f>IF(L181="","",AsOf-L181)</f>
        <v/>
      </c>
      <c r="R181" s="49">
        <f>IF(B181="","",IF(H181="Do not service","—",IF(O181&gt;0.005,"Collect balance",IF(M181=0,"Book first job",IF(AND(P181="No",Q181&gt;=ReactDays),"Reactivate",IF(COUNTIF('REVIEWS'!$A$5:$A$504,B181)=0,"Ask for review",IF(AND(P181="No",M181&gt;=1),"Offer recurring plan","—")))))))</f>
        <v/>
      </c>
      <c r="S181" s="53">
        <f>IF(B181="","",COUNTIF('REFERRALS'!$B$5:$B$204,B181))</f>
        <v/>
      </c>
    </row>
    <row r="182">
      <c r="A182" s="46" t="inlineStr">
        <is>
          <t>C-178</t>
        </is>
      </c>
      <c r="B182" s="38" t="n"/>
      <c r="C182" s="38" t="n"/>
      <c r="D182" s="38" t="n"/>
      <c r="E182" s="38" t="n"/>
      <c r="F182" s="38" t="n"/>
      <c r="G182" s="38" t="n"/>
      <c r="H182" s="38" t="n"/>
      <c r="I182" s="47" t="n"/>
      <c r="J182" s="38" t="n"/>
      <c r="K182" s="52">
        <f>IF(B182="","",IF(_xlfn.MINIFS('JOBS'!$B$5:$B$1504,'JOBS'!$D$5:$D$1504,B182,'JOBS'!$O$5:$O$1504,"Completed")=0,"",_xlfn.MINIFS('JOBS'!$B$5:$B$1504,'JOBS'!$D$5:$D$1504,B182,'JOBS'!$O$5:$O$1504,"Completed")))</f>
        <v/>
      </c>
      <c r="L182" s="52">
        <f>IF(B182="","",IF(_xlfn.MAXIFS('JOBS'!$B$5:$B$1504,'JOBS'!$D$5:$D$1504,B182,'JOBS'!$O$5:$O$1504,"Completed")=0,"",_xlfn.MAXIFS('JOBS'!$B$5:$B$1504,'JOBS'!$D$5:$D$1504,B182,'JOBS'!$O$5:$O$1504,"Completed")))</f>
        <v/>
      </c>
      <c r="M182" s="53">
        <f>IF(B182="","",COUNTIFS('JOBS'!$D$5:$D$1504,B182,'JOBS'!$O$5:$O$1504,"Completed"))</f>
        <v/>
      </c>
      <c r="N182" s="54">
        <f>IF(B182="","",SUMIFS('JOBS'!$L$5:$L$1504,'JOBS'!$D$5:$D$1504,B182,'JOBS'!$O$5:$O$1504,"Completed"))</f>
        <v/>
      </c>
      <c r="O182" s="55">
        <f>IF(B182="","",SUMIFS('JOBS'!$U$5:$U$1504,'JOBS'!$D$5:$D$1504,B182))</f>
        <v/>
      </c>
      <c r="P182" s="49">
        <f>IF(B182="","",IF(COUNTIFS('RECURRING'!$B$5:$B$154,B182,'RECURRING'!$J$5:$J$154,"Active")&gt;0,"Yes","No"))</f>
        <v/>
      </c>
      <c r="Q182" s="50">
        <f>IF(L182="","",AsOf-L182)</f>
        <v/>
      </c>
      <c r="R182" s="49">
        <f>IF(B182="","",IF(H182="Do not service","—",IF(O182&gt;0.005,"Collect balance",IF(M182=0,"Book first job",IF(AND(P182="No",Q182&gt;=ReactDays),"Reactivate",IF(COUNTIF('REVIEWS'!$A$5:$A$504,B182)=0,"Ask for review",IF(AND(P182="No",M182&gt;=1),"Offer recurring plan","—")))))))</f>
        <v/>
      </c>
      <c r="S182" s="53">
        <f>IF(B182="","",COUNTIF('REFERRALS'!$B$5:$B$204,B182))</f>
        <v/>
      </c>
    </row>
    <row r="183">
      <c r="A183" s="46" t="inlineStr">
        <is>
          <t>C-179</t>
        </is>
      </c>
      <c r="B183" s="38" t="n"/>
      <c r="C183" s="38" t="n"/>
      <c r="D183" s="38" t="n"/>
      <c r="E183" s="38" t="n"/>
      <c r="F183" s="38" t="n"/>
      <c r="G183" s="38" t="n"/>
      <c r="H183" s="38" t="n"/>
      <c r="I183" s="47" t="n"/>
      <c r="J183" s="38" t="n"/>
      <c r="K183" s="52">
        <f>IF(B183="","",IF(_xlfn.MINIFS('JOBS'!$B$5:$B$1504,'JOBS'!$D$5:$D$1504,B183,'JOBS'!$O$5:$O$1504,"Completed")=0,"",_xlfn.MINIFS('JOBS'!$B$5:$B$1504,'JOBS'!$D$5:$D$1504,B183,'JOBS'!$O$5:$O$1504,"Completed")))</f>
        <v/>
      </c>
      <c r="L183" s="52">
        <f>IF(B183="","",IF(_xlfn.MAXIFS('JOBS'!$B$5:$B$1504,'JOBS'!$D$5:$D$1504,B183,'JOBS'!$O$5:$O$1504,"Completed")=0,"",_xlfn.MAXIFS('JOBS'!$B$5:$B$1504,'JOBS'!$D$5:$D$1504,B183,'JOBS'!$O$5:$O$1504,"Completed")))</f>
        <v/>
      </c>
      <c r="M183" s="53">
        <f>IF(B183="","",COUNTIFS('JOBS'!$D$5:$D$1504,B183,'JOBS'!$O$5:$O$1504,"Completed"))</f>
        <v/>
      </c>
      <c r="N183" s="54">
        <f>IF(B183="","",SUMIFS('JOBS'!$L$5:$L$1504,'JOBS'!$D$5:$D$1504,B183,'JOBS'!$O$5:$O$1504,"Completed"))</f>
        <v/>
      </c>
      <c r="O183" s="55">
        <f>IF(B183="","",SUMIFS('JOBS'!$U$5:$U$1504,'JOBS'!$D$5:$D$1504,B183))</f>
        <v/>
      </c>
      <c r="P183" s="49">
        <f>IF(B183="","",IF(COUNTIFS('RECURRING'!$B$5:$B$154,B183,'RECURRING'!$J$5:$J$154,"Active")&gt;0,"Yes","No"))</f>
        <v/>
      </c>
      <c r="Q183" s="50">
        <f>IF(L183="","",AsOf-L183)</f>
        <v/>
      </c>
      <c r="R183" s="49">
        <f>IF(B183="","",IF(H183="Do not service","—",IF(O183&gt;0.005,"Collect balance",IF(M183=0,"Book first job",IF(AND(P183="No",Q183&gt;=ReactDays),"Reactivate",IF(COUNTIF('REVIEWS'!$A$5:$A$504,B183)=0,"Ask for review",IF(AND(P183="No",M183&gt;=1),"Offer recurring plan","—")))))))</f>
        <v/>
      </c>
      <c r="S183" s="53">
        <f>IF(B183="","",COUNTIF('REFERRALS'!$B$5:$B$204,B183))</f>
        <v/>
      </c>
    </row>
    <row r="184">
      <c r="A184" s="46" t="inlineStr">
        <is>
          <t>C-180</t>
        </is>
      </c>
      <c r="B184" s="38" t="n"/>
      <c r="C184" s="38" t="n"/>
      <c r="D184" s="38" t="n"/>
      <c r="E184" s="38" t="n"/>
      <c r="F184" s="38" t="n"/>
      <c r="G184" s="38" t="n"/>
      <c r="H184" s="38" t="n"/>
      <c r="I184" s="47" t="n"/>
      <c r="J184" s="38" t="n"/>
      <c r="K184" s="52">
        <f>IF(B184="","",IF(_xlfn.MINIFS('JOBS'!$B$5:$B$1504,'JOBS'!$D$5:$D$1504,B184,'JOBS'!$O$5:$O$1504,"Completed")=0,"",_xlfn.MINIFS('JOBS'!$B$5:$B$1504,'JOBS'!$D$5:$D$1504,B184,'JOBS'!$O$5:$O$1504,"Completed")))</f>
        <v/>
      </c>
      <c r="L184" s="52">
        <f>IF(B184="","",IF(_xlfn.MAXIFS('JOBS'!$B$5:$B$1504,'JOBS'!$D$5:$D$1504,B184,'JOBS'!$O$5:$O$1504,"Completed")=0,"",_xlfn.MAXIFS('JOBS'!$B$5:$B$1504,'JOBS'!$D$5:$D$1504,B184,'JOBS'!$O$5:$O$1504,"Completed")))</f>
        <v/>
      </c>
      <c r="M184" s="53">
        <f>IF(B184="","",COUNTIFS('JOBS'!$D$5:$D$1504,B184,'JOBS'!$O$5:$O$1504,"Completed"))</f>
        <v/>
      </c>
      <c r="N184" s="54">
        <f>IF(B184="","",SUMIFS('JOBS'!$L$5:$L$1504,'JOBS'!$D$5:$D$1504,B184,'JOBS'!$O$5:$O$1504,"Completed"))</f>
        <v/>
      </c>
      <c r="O184" s="55">
        <f>IF(B184="","",SUMIFS('JOBS'!$U$5:$U$1504,'JOBS'!$D$5:$D$1504,B184))</f>
        <v/>
      </c>
      <c r="P184" s="49">
        <f>IF(B184="","",IF(COUNTIFS('RECURRING'!$B$5:$B$154,B184,'RECURRING'!$J$5:$J$154,"Active")&gt;0,"Yes","No"))</f>
        <v/>
      </c>
      <c r="Q184" s="50">
        <f>IF(L184="","",AsOf-L184)</f>
        <v/>
      </c>
      <c r="R184" s="49">
        <f>IF(B184="","",IF(H184="Do not service","—",IF(O184&gt;0.005,"Collect balance",IF(M184=0,"Book first job",IF(AND(P184="No",Q184&gt;=ReactDays),"Reactivate",IF(COUNTIF('REVIEWS'!$A$5:$A$504,B184)=0,"Ask for review",IF(AND(P184="No",M184&gt;=1),"Offer recurring plan","—")))))))</f>
        <v/>
      </c>
      <c r="S184" s="53">
        <f>IF(B184="","",COUNTIF('REFERRALS'!$B$5:$B$204,B184))</f>
        <v/>
      </c>
    </row>
    <row r="185">
      <c r="A185" s="46" t="inlineStr">
        <is>
          <t>C-181</t>
        </is>
      </c>
      <c r="B185" s="38" t="n"/>
      <c r="C185" s="38" t="n"/>
      <c r="D185" s="38" t="n"/>
      <c r="E185" s="38" t="n"/>
      <c r="F185" s="38" t="n"/>
      <c r="G185" s="38" t="n"/>
      <c r="H185" s="38" t="n"/>
      <c r="I185" s="47" t="n"/>
      <c r="J185" s="38" t="n"/>
      <c r="K185" s="52">
        <f>IF(B185="","",IF(_xlfn.MINIFS('JOBS'!$B$5:$B$1504,'JOBS'!$D$5:$D$1504,B185,'JOBS'!$O$5:$O$1504,"Completed")=0,"",_xlfn.MINIFS('JOBS'!$B$5:$B$1504,'JOBS'!$D$5:$D$1504,B185,'JOBS'!$O$5:$O$1504,"Completed")))</f>
        <v/>
      </c>
      <c r="L185" s="52">
        <f>IF(B185="","",IF(_xlfn.MAXIFS('JOBS'!$B$5:$B$1504,'JOBS'!$D$5:$D$1504,B185,'JOBS'!$O$5:$O$1504,"Completed")=0,"",_xlfn.MAXIFS('JOBS'!$B$5:$B$1504,'JOBS'!$D$5:$D$1504,B185,'JOBS'!$O$5:$O$1504,"Completed")))</f>
        <v/>
      </c>
      <c r="M185" s="53">
        <f>IF(B185="","",COUNTIFS('JOBS'!$D$5:$D$1504,B185,'JOBS'!$O$5:$O$1504,"Completed"))</f>
        <v/>
      </c>
      <c r="N185" s="54">
        <f>IF(B185="","",SUMIFS('JOBS'!$L$5:$L$1504,'JOBS'!$D$5:$D$1504,B185,'JOBS'!$O$5:$O$1504,"Completed"))</f>
        <v/>
      </c>
      <c r="O185" s="55">
        <f>IF(B185="","",SUMIFS('JOBS'!$U$5:$U$1504,'JOBS'!$D$5:$D$1504,B185))</f>
        <v/>
      </c>
      <c r="P185" s="49">
        <f>IF(B185="","",IF(COUNTIFS('RECURRING'!$B$5:$B$154,B185,'RECURRING'!$J$5:$J$154,"Active")&gt;0,"Yes","No"))</f>
        <v/>
      </c>
      <c r="Q185" s="50">
        <f>IF(L185="","",AsOf-L185)</f>
        <v/>
      </c>
      <c r="R185" s="49">
        <f>IF(B185="","",IF(H185="Do not service","—",IF(O185&gt;0.005,"Collect balance",IF(M185=0,"Book first job",IF(AND(P185="No",Q185&gt;=ReactDays),"Reactivate",IF(COUNTIF('REVIEWS'!$A$5:$A$504,B185)=0,"Ask for review",IF(AND(P185="No",M185&gt;=1),"Offer recurring plan","—")))))))</f>
        <v/>
      </c>
      <c r="S185" s="53">
        <f>IF(B185="","",COUNTIF('REFERRALS'!$B$5:$B$204,B185))</f>
        <v/>
      </c>
    </row>
    <row r="186">
      <c r="A186" s="46" t="inlineStr">
        <is>
          <t>C-182</t>
        </is>
      </c>
      <c r="B186" s="38" t="n"/>
      <c r="C186" s="38" t="n"/>
      <c r="D186" s="38" t="n"/>
      <c r="E186" s="38" t="n"/>
      <c r="F186" s="38" t="n"/>
      <c r="G186" s="38" t="n"/>
      <c r="H186" s="38" t="n"/>
      <c r="I186" s="47" t="n"/>
      <c r="J186" s="38" t="n"/>
      <c r="K186" s="52">
        <f>IF(B186="","",IF(_xlfn.MINIFS('JOBS'!$B$5:$B$1504,'JOBS'!$D$5:$D$1504,B186,'JOBS'!$O$5:$O$1504,"Completed")=0,"",_xlfn.MINIFS('JOBS'!$B$5:$B$1504,'JOBS'!$D$5:$D$1504,B186,'JOBS'!$O$5:$O$1504,"Completed")))</f>
        <v/>
      </c>
      <c r="L186" s="52">
        <f>IF(B186="","",IF(_xlfn.MAXIFS('JOBS'!$B$5:$B$1504,'JOBS'!$D$5:$D$1504,B186,'JOBS'!$O$5:$O$1504,"Completed")=0,"",_xlfn.MAXIFS('JOBS'!$B$5:$B$1504,'JOBS'!$D$5:$D$1504,B186,'JOBS'!$O$5:$O$1504,"Completed")))</f>
        <v/>
      </c>
      <c r="M186" s="53">
        <f>IF(B186="","",COUNTIFS('JOBS'!$D$5:$D$1504,B186,'JOBS'!$O$5:$O$1504,"Completed"))</f>
        <v/>
      </c>
      <c r="N186" s="54">
        <f>IF(B186="","",SUMIFS('JOBS'!$L$5:$L$1504,'JOBS'!$D$5:$D$1504,B186,'JOBS'!$O$5:$O$1504,"Completed"))</f>
        <v/>
      </c>
      <c r="O186" s="55">
        <f>IF(B186="","",SUMIFS('JOBS'!$U$5:$U$1504,'JOBS'!$D$5:$D$1504,B186))</f>
        <v/>
      </c>
      <c r="P186" s="49">
        <f>IF(B186="","",IF(COUNTIFS('RECURRING'!$B$5:$B$154,B186,'RECURRING'!$J$5:$J$154,"Active")&gt;0,"Yes","No"))</f>
        <v/>
      </c>
      <c r="Q186" s="50">
        <f>IF(L186="","",AsOf-L186)</f>
        <v/>
      </c>
      <c r="R186" s="49">
        <f>IF(B186="","",IF(H186="Do not service","—",IF(O186&gt;0.005,"Collect balance",IF(M186=0,"Book first job",IF(AND(P186="No",Q186&gt;=ReactDays),"Reactivate",IF(COUNTIF('REVIEWS'!$A$5:$A$504,B186)=0,"Ask for review",IF(AND(P186="No",M186&gt;=1),"Offer recurring plan","—")))))))</f>
        <v/>
      </c>
      <c r="S186" s="53">
        <f>IF(B186="","",COUNTIF('REFERRALS'!$B$5:$B$204,B186))</f>
        <v/>
      </c>
    </row>
    <row r="187">
      <c r="A187" s="46" t="inlineStr">
        <is>
          <t>C-183</t>
        </is>
      </c>
      <c r="B187" s="38" t="n"/>
      <c r="C187" s="38" t="n"/>
      <c r="D187" s="38" t="n"/>
      <c r="E187" s="38" t="n"/>
      <c r="F187" s="38" t="n"/>
      <c r="G187" s="38" t="n"/>
      <c r="H187" s="38" t="n"/>
      <c r="I187" s="47" t="n"/>
      <c r="J187" s="38" t="n"/>
      <c r="K187" s="52">
        <f>IF(B187="","",IF(_xlfn.MINIFS('JOBS'!$B$5:$B$1504,'JOBS'!$D$5:$D$1504,B187,'JOBS'!$O$5:$O$1504,"Completed")=0,"",_xlfn.MINIFS('JOBS'!$B$5:$B$1504,'JOBS'!$D$5:$D$1504,B187,'JOBS'!$O$5:$O$1504,"Completed")))</f>
        <v/>
      </c>
      <c r="L187" s="52">
        <f>IF(B187="","",IF(_xlfn.MAXIFS('JOBS'!$B$5:$B$1504,'JOBS'!$D$5:$D$1504,B187,'JOBS'!$O$5:$O$1504,"Completed")=0,"",_xlfn.MAXIFS('JOBS'!$B$5:$B$1504,'JOBS'!$D$5:$D$1504,B187,'JOBS'!$O$5:$O$1504,"Completed")))</f>
        <v/>
      </c>
      <c r="M187" s="53">
        <f>IF(B187="","",COUNTIFS('JOBS'!$D$5:$D$1504,B187,'JOBS'!$O$5:$O$1504,"Completed"))</f>
        <v/>
      </c>
      <c r="N187" s="54">
        <f>IF(B187="","",SUMIFS('JOBS'!$L$5:$L$1504,'JOBS'!$D$5:$D$1504,B187,'JOBS'!$O$5:$O$1504,"Completed"))</f>
        <v/>
      </c>
      <c r="O187" s="55">
        <f>IF(B187="","",SUMIFS('JOBS'!$U$5:$U$1504,'JOBS'!$D$5:$D$1504,B187))</f>
        <v/>
      </c>
      <c r="P187" s="49">
        <f>IF(B187="","",IF(COUNTIFS('RECURRING'!$B$5:$B$154,B187,'RECURRING'!$J$5:$J$154,"Active")&gt;0,"Yes","No"))</f>
        <v/>
      </c>
      <c r="Q187" s="50">
        <f>IF(L187="","",AsOf-L187)</f>
        <v/>
      </c>
      <c r="R187" s="49">
        <f>IF(B187="","",IF(H187="Do not service","—",IF(O187&gt;0.005,"Collect balance",IF(M187=0,"Book first job",IF(AND(P187="No",Q187&gt;=ReactDays),"Reactivate",IF(COUNTIF('REVIEWS'!$A$5:$A$504,B187)=0,"Ask for review",IF(AND(P187="No",M187&gt;=1),"Offer recurring plan","—")))))))</f>
        <v/>
      </c>
      <c r="S187" s="53">
        <f>IF(B187="","",COUNTIF('REFERRALS'!$B$5:$B$204,B187))</f>
        <v/>
      </c>
    </row>
    <row r="188">
      <c r="A188" s="46" t="inlineStr">
        <is>
          <t>C-184</t>
        </is>
      </c>
      <c r="B188" s="38" t="n"/>
      <c r="C188" s="38" t="n"/>
      <c r="D188" s="38" t="n"/>
      <c r="E188" s="38" t="n"/>
      <c r="F188" s="38" t="n"/>
      <c r="G188" s="38" t="n"/>
      <c r="H188" s="38" t="n"/>
      <c r="I188" s="47" t="n"/>
      <c r="J188" s="38" t="n"/>
      <c r="K188" s="52">
        <f>IF(B188="","",IF(_xlfn.MINIFS('JOBS'!$B$5:$B$1504,'JOBS'!$D$5:$D$1504,B188,'JOBS'!$O$5:$O$1504,"Completed")=0,"",_xlfn.MINIFS('JOBS'!$B$5:$B$1504,'JOBS'!$D$5:$D$1504,B188,'JOBS'!$O$5:$O$1504,"Completed")))</f>
        <v/>
      </c>
      <c r="L188" s="52">
        <f>IF(B188="","",IF(_xlfn.MAXIFS('JOBS'!$B$5:$B$1504,'JOBS'!$D$5:$D$1504,B188,'JOBS'!$O$5:$O$1504,"Completed")=0,"",_xlfn.MAXIFS('JOBS'!$B$5:$B$1504,'JOBS'!$D$5:$D$1504,B188,'JOBS'!$O$5:$O$1504,"Completed")))</f>
        <v/>
      </c>
      <c r="M188" s="53">
        <f>IF(B188="","",COUNTIFS('JOBS'!$D$5:$D$1504,B188,'JOBS'!$O$5:$O$1504,"Completed"))</f>
        <v/>
      </c>
      <c r="N188" s="54">
        <f>IF(B188="","",SUMIFS('JOBS'!$L$5:$L$1504,'JOBS'!$D$5:$D$1504,B188,'JOBS'!$O$5:$O$1504,"Completed"))</f>
        <v/>
      </c>
      <c r="O188" s="55">
        <f>IF(B188="","",SUMIFS('JOBS'!$U$5:$U$1504,'JOBS'!$D$5:$D$1504,B188))</f>
        <v/>
      </c>
      <c r="P188" s="49">
        <f>IF(B188="","",IF(COUNTIFS('RECURRING'!$B$5:$B$154,B188,'RECURRING'!$J$5:$J$154,"Active")&gt;0,"Yes","No"))</f>
        <v/>
      </c>
      <c r="Q188" s="50">
        <f>IF(L188="","",AsOf-L188)</f>
        <v/>
      </c>
      <c r="R188" s="49">
        <f>IF(B188="","",IF(H188="Do not service","—",IF(O188&gt;0.005,"Collect balance",IF(M188=0,"Book first job",IF(AND(P188="No",Q188&gt;=ReactDays),"Reactivate",IF(COUNTIF('REVIEWS'!$A$5:$A$504,B188)=0,"Ask for review",IF(AND(P188="No",M188&gt;=1),"Offer recurring plan","—")))))))</f>
        <v/>
      </c>
      <c r="S188" s="53">
        <f>IF(B188="","",COUNTIF('REFERRALS'!$B$5:$B$204,B188))</f>
        <v/>
      </c>
    </row>
    <row r="189">
      <c r="A189" s="46" t="inlineStr">
        <is>
          <t>C-185</t>
        </is>
      </c>
      <c r="B189" s="38" t="n"/>
      <c r="C189" s="38" t="n"/>
      <c r="D189" s="38" t="n"/>
      <c r="E189" s="38" t="n"/>
      <c r="F189" s="38" t="n"/>
      <c r="G189" s="38" t="n"/>
      <c r="H189" s="38" t="n"/>
      <c r="I189" s="47" t="n"/>
      <c r="J189" s="38" t="n"/>
      <c r="K189" s="52">
        <f>IF(B189="","",IF(_xlfn.MINIFS('JOBS'!$B$5:$B$1504,'JOBS'!$D$5:$D$1504,B189,'JOBS'!$O$5:$O$1504,"Completed")=0,"",_xlfn.MINIFS('JOBS'!$B$5:$B$1504,'JOBS'!$D$5:$D$1504,B189,'JOBS'!$O$5:$O$1504,"Completed")))</f>
        <v/>
      </c>
      <c r="L189" s="52">
        <f>IF(B189="","",IF(_xlfn.MAXIFS('JOBS'!$B$5:$B$1504,'JOBS'!$D$5:$D$1504,B189,'JOBS'!$O$5:$O$1504,"Completed")=0,"",_xlfn.MAXIFS('JOBS'!$B$5:$B$1504,'JOBS'!$D$5:$D$1504,B189,'JOBS'!$O$5:$O$1504,"Completed")))</f>
        <v/>
      </c>
      <c r="M189" s="53">
        <f>IF(B189="","",COUNTIFS('JOBS'!$D$5:$D$1504,B189,'JOBS'!$O$5:$O$1504,"Completed"))</f>
        <v/>
      </c>
      <c r="N189" s="54">
        <f>IF(B189="","",SUMIFS('JOBS'!$L$5:$L$1504,'JOBS'!$D$5:$D$1504,B189,'JOBS'!$O$5:$O$1504,"Completed"))</f>
        <v/>
      </c>
      <c r="O189" s="55">
        <f>IF(B189="","",SUMIFS('JOBS'!$U$5:$U$1504,'JOBS'!$D$5:$D$1504,B189))</f>
        <v/>
      </c>
      <c r="P189" s="49">
        <f>IF(B189="","",IF(COUNTIFS('RECURRING'!$B$5:$B$154,B189,'RECURRING'!$J$5:$J$154,"Active")&gt;0,"Yes","No"))</f>
        <v/>
      </c>
      <c r="Q189" s="50">
        <f>IF(L189="","",AsOf-L189)</f>
        <v/>
      </c>
      <c r="R189" s="49">
        <f>IF(B189="","",IF(H189="Do not service","—",IF(O189&gt;0.005,"Collect balance",IF(M189=0,"Book first job",IF(AND(P189="No",Q189&gt;=ReactDays),"Reactivate",IF(COUNTIF('REVIEWS'!$A$5:$A$504,B189)=0,"Ask for review",IF(AND(P189="No",M189&gt;=1),"Offer recurring plan","—")))))))</f>
        <v/>
      </c>
      <c r="S189" s="53">
        <f>IF(B189="","",COUNTIF('REFERRALS'!$B$5:$B$204,B189))</f>
        <v/>
      </c>
    </row>
    <row r="190">
      <c r="A190" s="46" t="inlineStr">
        <is>
          <t>C-186</t>
        </is>
      </c>
      <c r="B190" s="38" t="n"/>
      <c r="C190" s="38" t="n"/>
      <c r="D190" s="38" t="n"/>
      <c r="E190" s="38" t="n"/>
      <c r="F190" s="38" t="n"/>
      <c r="G190" s="38" t="n"/>
      <c r="H190" s="38" t="n"/>
      <c r="I190" s="47" t="n"/>
      <c r="J190" s="38" t="n"/>
      <c r="K190" s="52">
        <f>IF(B190="","",IF(_xlfn.MINIFS('JOBS'!$B$5:$B$1504,'JOBS'!$D$5:$D$1504,B190,'JOBS'!$O$5:$O$1504,"Completed")=0,"",_xlfn.MINIFS('JOBS'!$B$5:$B$1504,'JOBS'!$D$5:$D$1504,B190,'JOBS'!$O$5:$O$1504,"Completed")))</f>
        <v/>
      </c>
      <c r="L190" s="52">
        <f>IF(B190="","",IF(_xlfn.MAXIFS('JOBS'!$B$5:$B$1504,'JOBS'!$D$5:$D$1504,B190,'JOBS'!$O$5:$O$1504,"Completed")=0,"",_xlfn.MAXIFS('JOBS'!$B$5:$B$1504,'JOBS'!$D$5:$D$1504,B190,'JOBS'!$O$5:$O$1504,"Completed")))</f>
        <v/>
      </c>
      <c r="M190" s="53">
        <f>IF(B190="","",COUNTIFS('JOBS'!$D$5:$D$1504,B190,'JOBS'!$O$5:$O$1504,"Completed"))</f>
        <v/>
      </c>
      <c r="N190" s="54">
        <f>IF(B190="","",SUMIFS('JOBS'!$L$5:$L$1504,'JOBS'!$D$5:$D$1504,B190,'JOBS'!$O$5:$O$1504,"Completed"))</f>
        <v/>
      </c>
      <c r="O190" s="55">
        <f>IF(B190="","",SUMIFS('JOBS'!$U$5:$U$1504,'JOBS'!$D$5:$D$1504,B190))</f>
        <v/>
      </c>
      <c r="P190" s="49">
        <f>IF(B190="","",IF(COUNTIFS('RECURRING'!$B$5:$B$154,B190,'RECURRING'!$J$5:$J$154,"Active")&gt;0,"Yes","No"))</f>
        <v/>
      </c>
      <c r="Q190" s="50">
        <f>IF(L190="","",AsOf-L190)</f>
        <v/>
      </c>
      <c r="R190" s="49">
        <f>IF(B190="","",IF(H190="Do not service","—",IF(O190&gt;0.005,"Collect balance",IF(M190=0,"Book first job",IF(AND(P190="No",Q190&gt;=ReactDays),"Reactivate",IF(COUNTIF('REVIEWS'!$A$5:$A$504,B190)=0,"Ask for review",IF(AND(P190="No",M190&gt;=1),"Offer recurring plan","—")))))))</f>
        <v/>
      </c>
      <c r="S190" s="53">
        <f>IF(B190="","",COUNTIF('REFERRALS'!$B$5:$B$204,B190))</f>
        <v/>
      </c>
    </row>
    <row r="191">
      <c r="A191" s="46" t="inlineStr">
        <is>
          <t>C-187</t>
        </is>
      </c>
      <c r="B191" s="38" t="n"/>
      <c r="C191" s="38" t="n"/>
      <c r="D191" s="38" t="n"/>
      <c r="E191" s="38" t="n"/>
      <c r="F191" s="38" t="n"/>
      <c r="G191" s="38" t="n"/>
      <c r="H191" s="38" t="n"/>
      <c r="I191" s="47" t="n"/>
      <c r="J191" s="38" t="n"/>
      <c r="K191" s="52">
        <f>IF(B191="","",IF(_xlfn.MINIFS('JOBS'!$B$5:$B$1504,'JOBS'!$D$5:$D$1504,B191,'JOBS'!$O$5:$O$1504,"Completed")=0,"",_xlfn.MINIFS('JOBS'!$B$5:$B$1504,'JOBS'!$D$5:$D$1504,B191,'JOBS'!$O$5:$O$1504,"Completed")))</f>
        <v/>
      </c>
      <c r="L191" s="52">
        <f>IF(B191="","",IF(_xlfn.MAXIFS('JOBS'!$B$5:$B$1504,'JOBS'!$D$5:$D$1504,B191,'JOBS'!$O$5:$O$1504,"Completed")=0,"",_xlfn.MAXIFS('JOBS'!$B$5:$B$1504,'JOBS'!$D$5:$D$1504,B191,'JOBS'!$O$5:$O$1504,"Completed")))</f>
        <v/>
      </c>
      <c r="M191" s="53">
        <f>IF(B191="","",COUNTIFS('JOBS'!$D$5:$D$1504,B191,'JOBS'!$O$5:$O$1504,"Completed"))</f>
        <v/>
      </c>
      <c r="N191" s="54">
        <f>IF(B191="","",SUMIFS('JOBS'!$L$5:$L$1504,'JOBS'!$D$5:$D$1504,B191,'JOBS'!$O$5:$O$1504,"Completed"))</f>
        <v/>
      </c>
      <c r="O191" s="55">
        <f>IF(B191="","",SUMIFS('JOBS'!$U$5:$U$1504,'JOBS'!$D$5:$D$1504,B191))</f>
        <v/>
      </c>
      <c r="P191" s="49">
        <f>IF(B191="","",IF(COUNTIFS('RECURRING'!$B$5:$B$154,B191,'RECURRING'!$J$5:$J$154,"Active")&gt;0,"Yes","No"))</f>
        <v/>
      </c>
      <c r="Q191" s="50">
        <f>IF(L191="","",AsOf-L191)</f>
        <v/>
      </c>
      <c r="R191" s="49">
        <f>IF(B191="","",IF(H191="Do not service","—",IF(O191&gt;0.005,"Collect balance",IF(M191=0,"Book first job",IF(AND(P191="No",Q191&gt;=ReactDays),"Reactivate",IF(COUNTIF('REVIEWS'!$A$5:$A$504,B191)=0,"Ask for review",IF(AND(P191="No",M191&gt;=1),"Offer recurring plan","—")))))))</f>
        <v/>
      </c>
      <c r="S191" s="53">
        <f>IF(B191="","",COUNTIF('REFERRALS'!$B$5:$B$204,B191))</f>
        <v/>
      </c>
    </row>
    <row r="192">
      <c r="A192" s="46" t="inlineStr">
        <is>
          <t>C-188</t>
        </is>
      </c>
      <c r="B192" s="38" t="n"/>
      <c r="C192" s="38" t="n"/>
      <c r="D192" s="38" t="n"/>
      <c r="E192" s="38" t="n"/>
      <c r="F192" s="38" t="n"/>
      <c r="G192" s="38" t="n"/>
      <c r="H192" s="38" t="n"/>
      <c r="I192" s="47" t="n"/>
      <c r="J192" s="38" t="n"/>
      <c r="K192" s="52">
        <f>IF(B192="","",IF(_xlfn.MINIFS('JOBS'!$B$5:$B$1504,'JOBS'!$D$5:$D$1504,B192,'JOBS'!$O$5:$O$1504,"Completed")=0,"",_xlfn.MINIFS('JOBS'!$B$5:$B$1504,'JOBS'!$D$5:$D$1504,B192,'JOBS'!$O$5:$O$1504,"Completed")))</f>
        <v/>
      </c>
      <c r="L192" s="52">
        <f>IF(B192="","",IF(_xlfn.MAXIFS('JOBS'!$B$5:$B$1504,'JOBS'!$D$5:$D$1504,B192,'JOBS'!$O$5:$O$1504,"Completed")=0,"",_xlfn.MAXIFS('JOBS'!$B$5:$B$1504,'JOBS'!$D$5:$D$1504,B192,'JOBS'!$O$5:$O$1504,"Completed")))</f>
        <v/>
      </c>
      <c r="M192" s="53">
        <f>IF(B192="","",COUNTIFS('JOBS'!$D$5:$D$1504,B192,'JOBS'!$O$5:$O$1504,"Completed"))</f>
        <v/>
      </c>
      <c r="N192" s="54">
        <f>IF(B192="","",SUMIFS('JOBS'!$L$5:$L$1504,'JOBS'!$D$5:$D$1504,B192,'JOBS'!$O$5:$O$1504,"Completed"))</f>
        <v/>
      </c>
      <c r="O192" s="55">
        <f>IF(B192="","",SUMIFS('JOBS'!$U$5:$U$1504,'JOBS'!$D$5:$D$1504,B192))</f>
        <v/>
      </c>
      <c r="P192" s="49">
        <f>IF(B192="","",IF(COUNTIFS('RECURRING'!$B$5:$B$154,B192,'RECURRING'!$J$5:$J$154,"Active")&gt;0,"Yes","No"))</f>
        <v/>
      </c>
      <c r="Q192" s="50">
        <f>IF(L192="","",AsOf-L192)</f>
        <v/>
      </c>
      <c r="R192" s="49">
        <f>IF(B192="","",IF(H192="Do not service","—",IF(O192&gt;0.005,"Collect balance",IF(M192=0,"Book first job",IF(AND(P192="No",Q192&gt;=ReactDays),"Reactivate",IF(COUNTIF('REVIEWS'!$A$5:$A$504,B192)=0,"Ask for review",IF(AND(P192="No",M192&gt;=1),"Offer recurring plan","—")))))))</f>
        <v/>
      </c>
      <c r="S192" s="53">
        <f>IF(B192="","",COUNTIF('REFERRALS'!$B$5:$B$204,B192))</f>
        <v/>
      </c>
    </row>
    <row r="193">
      <c r="A193" s="46" t="inlineStr">
        <is>
          <t>C-189</t>
        </is>
      </c>
      <c r="B193" s="38" t="n"/>
      <c r="C193" s="38" t="n"/>
      <c r="D193" s="38" t="n"/>
      <c r="E193" s="38" t="n"/>
      <c r="F193" s="38" t="n"/>
      <c r="G193" s="38" t="n"/>
      <c r="H193" s="38" t="n"/>
      <c r="I193" s="47" t="n"/>
      <c r="J193" s="38" t="n"/>
      <c r="K193" s="52">
        <f>IF(B193="","",IF(_xlfn.MINIFS('JOBS'!$B$5:$B$1504,'JOBS'!$D$5:$D$1504,B193,'JOBS'!$O$5:$O$1504,"Completed")=0,"",_xlfn.MINIFS('JOBS'!$B$5:$B$1504,'JOBS'!$D$5:$D$1504,B193,'JOBS'!$O$5:$O$1504,"Completed")))</f>
        <v/>
      </c>
      <c r="L193" s="52">
        <f>IF(B193="","",IF(_xlfn.MAXIFS('JOBS'!$B$5:$B$1504,'JOBS'!$D$5:$D$1504,B193,'JOBS'!$O$5:$O$1504,"Completed")=0,"",_xlfn.MAXIFS('JOBS'!$B$5:$B$1504,'JOBS'!$D$5:$D$1504,B193,'JOBS'!$O$5:$O$1504,"Completed")))</f>
        <v/>
      </c>
      <c r="M193" s="53">
        <f>IF(B193="","",COUNTIFS('JOBS'!$D$5:$D$1504,B193,'JOBS'!$O$5:$O$1504,"Completed"))</f>
        <v/>
      </c>
      <c r="N193" s="54">
        <f>IF(B193="","",SUMIFS('JOBS'!$L$5:$L$1504,'JOBS'!$D$5:$D$1504,B193,'JOBS'!$O$5:$O$1504,"Completed"))</f>
        <v/>
      </c>
      <c r="O193" s="55">
        <f>IF(B193="","",SUMIFS('JOBS'!$U$5:$U$1504,'JOBS'!$D$5:$D$1504,B193))</f>
        <v/>
      </c>
      <c r="P193" s="49">
        <f>IF(B193="","",IF(COUNTIFS('RECURRING'!$B$5:$B$154,B193,'RECURRING'!$J$5:$J$154,"Active")&gt;0,"Yes","No"))</f>
        <v/>
      </c>
      <c r="Q193" s="50">
        <f>IF(L193="","",AsOf-L193)</f>
        <v/>
      </c>
      <c r="R193" s="49">
        <f>IF(B193="","",IF(H193="Do not service","—",IF(O193&gt;0.005,"Collect balance",IF(M193=0,"Book first job",IF(AND(P193="No",Q193&gt;=ReactDays),"Reactivate",IF(COUNTIF('REVIEWS'!$A$5:$A$504,B193)=0,"Ask for review",IF(AND(P193="No",M193&gt;=1),"Offer recurring plan","—")))))))</f>
        <v/>
      </c>
      <c r="S193" s="53">
        <f>IF(B193="","",COUNTIF('REFERRALS'!$B$5:$B$204,B193))</f>
        <v/>
      </c>
    </row>
    <row r="194">
      <c r="A194" s="46" t="inlineStr">
        <is>
          <t>C-190</t>
        </is>
      </c>
      <c r="B194" s="38" t="n"/>
      <c r="C194" s="38" t="n"/>
      <c r="D194" s="38" t="n"/>
      <c r="E194" s="38" t="n"/>
      <c r="F194" s="38" t="n"/>
      <c r="G194" s="38" t="n"/>
      <c r="H194" s="38" t="n"/>
      <c r="I194" s="47" t="n"/>
      <c r="J194" s="38" t="n"/>
      <c r="K194" s="52">
        <f>IF(B194="","",IF(_xlfn.MINIFS('JOBS'!$B$5:$B$1504,'JOBS'!$D$5:$D$1504,B194,'JOBS'!$O$5:$O$1504,"Completed")=0,"",_xlfn.MINIFS('JOBS'!$B$5:$B$1504,'JOBS'!$D$5:$D$1504,B194,'JOBS'!$O$5:$O$1504,"Completed")))</f>
        <v/>
      </c>
      <c r="L194" s="52">
        <f>IF(B194="","",IF(_xlfn.MAXIFS('JOBS'!$B$5:$B$1504,'JOBS'!$D$5:$D$1504,B194,'JOBS'!$O$5:$O$1504,"Completed")=0,"",_xlfn.MAXIFS('JOBS'!$B$5:$B$1504,'JOBS'!$D$5:$D$1504,B194,'JOBS'!$O$5:$O$1504,"Completed")))</f>
        <v/>
      </c>
      <c r="M194" s="53">
        <f>IF(B194="","",COUNTIFS('JOBS'!$D$5:$D$1504,B194,'JOBS'!$O$5:$O$1504,"Completed"))</f>
        <v/>
      </c>
      <c r="N194" s="54">
        <f>IF(B194="","",SUMIFS('JOBS'!$L$5:$L$1504,'JOBS'!$D$5:$D$1504,B194,'JOBS'!$O$5:$O$1504,"Completed"))</f>
        <v/>
      </c>
      <c r="O194" s="55">
        <f>IF(B194="","",SUMIFS('JOBS'!$U$5:$U$1504,'JOBS'!$D$5:$D$1504,B194))</f>
        <v/>
      </c>
      <c r="P194" s="49">
        <f>IF(B194="","",IF(COUNTIFS('RECURRING'!$B$5:$B$154,B194,'RECURRING'!$J$5:$J$154,"Active")&gt;0,"Yes","No"))</f>
        <v/>
      </c>
      <c r="Q194" s="50">
        <f>IF(L194="","",AsOf-L194)</f>
        <v/>
      </c>
      <c r="R194" s="49">
        <f>IF(B194="","",IF(H194="Do not service","—",IF(O194&gt;0.005,"Collect balance",IF(M194=0,"Book first job",IF(AND(P194="No",Q194&gt;=ReactDays),"Reactivate",IF(COUNTIF('REVIEWS'!$A$5:$A$504,B194)=0,"Ask for review",IF(AND(P194="No",M194&gt;=1),"Offer recurring plan","—")))))))</f>
        <v/>
      </c>
      <c r="S194" s="53">
        <f>IF(B194="","",COUNTIF('REFERRALS'!$B$5:$B$204,B194))</f>
        <v/>
      </c>
    </row>
    <row r="195">
      <c r="A195" s="46" t="inlineStr">
        <is>
          <t>C-191</t>
        </is>
      </c>
      <c r="B195" s="38" t="n"/>
      <c r="C195" s="38" t="n"/>
      <c r="D195" s="38" t="n"/>
      <c r="E195" s="38" t="n"/>
      <c r="F195" s="38" t="n"/>
      <c r="G195" s="38" t="n"/>
      <c r="H195" s="38" t="n"/>
      <c r="I195" s="47" t="n"/>
      <c r="J195" s="38" t="n"/>
      <c r="K195" s="52">
        <f>IF(B195="","",IF(_xlfn.MINIFS('JOBS'!$B$5:$B$1504,'JOBS'!$D$5:$D$1504,B195,'JOBS'!$O$5:$O$1504,"Completed")=0,"",_xlfn.MINIFS('JOBS'!$B$5:$B$1504,'JOBS'!$D$5:$D$1504,B195,'JOBS'!$O$5:$O$1504,"Completed")))</f>
        <v/>
      </c>
      <c r="L195" s="52">
        <f>IF(B195="","",IF(_xlfn.MAXIFS('JOBS'!$B$5:$B$1504,'JOBS'!$D$5:$D$1504,B195,'JOBS'!$O$5:$O$1504,"Completed")=0,"",_xlfn.MAXIFS('JOBS'!$B$5:$B$1504,'JOBS'!$D$5:$D$1504,B195,'JOBS'!$O$5:$O$1504,"Completed")))</f>
        <v/>
      </c>
      <c r="M195" s="53">
        <f>IF(B195="","",COUNTIFS('JOBS'!$D$5:$D$1504,B195,'JOBS'!$O$5:$O$1504,"Completed"))</f>
        <v/>
      </c>
      <c r="N195" s="54">
        <f>IF(B195="","",SUMIFS('JOBS'!$L$5:$L$1504,'JOBS'!$D$5:$D$1504,B195,'JOBS'!$O$5:$O$1504,"Completed"))</f>
        <v/>
      </c>
      <c r="O195" s="55">
        <f>IF(B195="","",SUMIFS('JOBS'!$U$5:$U$1504,'JOBS'!$D$5:$D$1504,B195))</f>
        <v/>
      </c>
      <c r="P195" s="49">
        <f>IF(B195="","",IF(COUNTIFS('RECURRING'!$B$5:$B$154,B195,'RECURRING'!$J$5:$J$154,"Active")&gt;0,"Yes","No"))</f>
        <v/>
      </c>
      <c r="Q195" s="50">
        <f>IF(L195="","",AsOf-L195)</f>
        <v/>
      </c>
      <c r="R195" s="49">
        <f>IF(B195="","",IF(H195="Do not service","—",IF(O195&gt;0.005,"Collect balance",IF(M195=0,"Book first job",IF(AND(P195="No",Q195&gt;=ReactDays),"Reactivate",IF(COUNTIF('REVIEWS'!$A$5:$A$504,B195)=0,"Ask for review",IF(AND(P195="No",M195&gt;=1),"Offer recurring plan","—")))))))</f>
        <v/>
      </c>
      <c r="S195" s="53">
        <f>IF(B195="","",COUNTIF('REFERRALS'!$B$5:$B$204,B195))</f>
        <v/>
      </c>
    </row>
    <row r="196">
      <c r="A196" s="46" t="inlineStr">
        <is>
          <t>C-192</t>
        </is>
      </c>
      <c r="B196" s="38" t="n"/>
      <c r="C196" s="38" t="n"/>
      <c r="D196" s="38" t="n"/>
      <c r="E196" s="38" t="n"/>
      <c r="F196" s="38" t="n"/>
      <c r="G196" s="38" t="n"/>
      <c r="H196" s="38" t="n"/>
      <c r="I196" s="47" t="n"/>
      <c r="J196" s="38" t="n"/>
      <c r="K196" s="52">
        <f>IF(B196="","",IF(_xlfn.MINIFS('JOBS'!$B$5:$B$1504,'JOBS'!$D$5:$D$1504,B196,'JOBS'!$O$5:$O$1504,"Completed")=0,"",_xlfn.MINIFS('JOBS'!$B$5:$B$1504,'JOBS'!$D$5:$D$1504,B196,'JOBS'!$O$5:$O$1504,"Completed")))</f>
        <v/>
      </c>
      <c r="L196" s="52">
        <f>IF(B196="","",IF(_xlfn.MAXIFS('JOBS'!$B$5:$B$1504,'JOBS'!$D$5:$D$1504,B196,'JOBS'!$O$5:$O$1504,"Completed")=0,"",_xlfn.MAXIFS('JOBS'!$B$5:$B$1504,'JOBS'!$D$5:$D$1504,B196,'JOBS'!$O$5:$O$1504,"Completed")))</f>
        <v/>
      </c>
      <c r="M196" s="53">
        <f>IF(B196="","",COUNTIFS('JOBS'!$D$5:$D$1504,B196,'JOBS'!$O$5:$O$1504,"Completed"))</f>
        <v/>
      </c>
      <c r="N196" s="54">
        <f>IF(B196="","",SUMIFS('JOBS'!$L$5:$L$1504,'JOBS'!$D$5:$D$1504,B196,'JOBS'!$O$5:$O$1504,"Completed"))</f>
        <v/>
      </c>
      <c r="O196" s="55">
        <f>IF(B196="","",SUMIFS('JOBS'!$U$5:$U$1504,'JOBS'!$D$5:$D$1504,B196))</f>
        <v/>
      </c>
      <c r="P196" s="49">
        <f>IF(B196="","",IF(COUNTIFS('RECURRING'!$B$5:$B$154,B196,'RECURRING'!$J$5:$J$154,"Active")&gt;0,"Yes","No"))</f>
        <v/>
      </c>
      <c r="Q196" s="50">
        <f>IF(L196="","",AsOf-L196)</f>
        <v/>
      </c>
      <c r="R196" s="49">
        <f>IF(B196="","",IF(H196="Do not service","—",IF(O196&gt;0.005,"Collect balance",IF(M196=0,"Book first job",IF(AND(P196="No",Q196&gt;=ReactDays),"Reactivate",IF(COUNTIF('REVIEWS'!$A$5:$A$504,B196)=0,"Ask for review",IF(AND(P196="No",M196&gt;=1),"Offer recurring plan","—")))))))</f>
        <v/>
      </c>
      <c r="S196" s="53">
        <f>IF(B196="","",COUNTIF('REFERRALS'!$B$5:$B$204,B196))</f>
        <v/>
      </c>
    </row>
    <row r="197">
      <c r="A197" s="46" t="inlineStr">
        <is>
          <t>C-193</t>
        </is>
      </c>
      <c r="B197" s="38" t="n"/>
      <c r="C197" s="38" t="n"/>
      <c r="D197" s="38" t="n"/>
      <c r="E197" s="38" t="n"/>
      <c r="F197" s="38" t="n"/>
      <c r="G197" s="38" t="n"/>
      <c r="H197" s="38" t="n"/>
      <c r="I197" s="47" t="n"/>
      <c r="J197" s="38" t="n"/>
      <c r="K197" s="52">
        <f>IF(B197="","",IF(_xlfn.MINIFS('JOBS'!$B$5:$B$1504,'JOBS'!$D$5:$D$1504,B197,'JOBS'!$O$5:$O$1504,"Completed")=0,"",_xlfn.MINIFS('JOBS'!$B$5:$B$1504,'JOBS'!$D$5:$D$1504,B197,'JOBS'!$O$5:$O$1504,"Completed")))</f>
        <v/>
      </c>
      <c r="L197" s="52">
        <f>IF(B197="","",IF(_xlfn.MAXIFS('JOBS'!$B$5:$B$1504,'JOBS'!$D$5:$D$1504,B197,'JOBS'!$O$5:$O$1504,"Completed")=0,"",_xlfn.MAXIFS('JOBS'!$B$5:$B$1504,'JOBS'!$D$5:$D$1504,B197,'JOBS'!$O$5:$O$1504,"Completed")))</f>
        <v/>
      </c>
      <c r="M197" s="53">
        <f>IF(B197="","",COUNTIFS('JOBS'!$D$5:$D$1504,B197,'JOBS'!$O$5:$O$1504,"Completed"))</f>
        <v/>
      </c>
      <c r="N197" s="54">
        <f>IF(B197="","",SUMIFS('JOBS'!$L$5:$L$1504,'JOBS'!$D$5:$D$1504,B197,'JOBS'!$O$5:$O$1504,"Completed"))</f>
        <v/>
      </c>
      <c r="O197" s="55">
        <f>IF(B197="","",SUMIFS('JOBS'!$U$5:$U$1504,'JOBS'!$D$5:$D$1504,B197))</f>
        <v/>
      </c>
      <c r="P197" s="49">
        <f>IF(B197="","",IF(COUNTIFS('RECURRING'!$B$5:$B$154,B197,'RECURRING'!$J$5:$J$154,"Active")&gt;0,"Yes","No"))</f>
        <v/>
      </c>
      <c r="Q197" s="50">
        <f>IF(L197="","",AsOf-L197)</f>
        <v/>
      </c>
      <c r="R197" s="49">
        <f>IF(B197="","",IF(H197="Do not service","—",IF(O197&gt;0.005,"Collect balance",IF(M197=0,"Book first job",IF(AND(P197="No",Q197&gt;=ReactDays),"Reactivate",IF(COUNTIF('REVIEWS'!$A$5:$A$504,B197)=0,"Ask for review",IF(AND(P197="No",M197&gt;=1),"Offer recurring plan","—")))))))</f>
        <v/>
      </c>
      <c r="S197" s="53">
        <f>IF(B197="","",COUNTIF('REFERRALS'!$B$5:$B$204,B197))</f>
        <v/>
      </c>
    </row>
    <row r="198">
      <c r="A198" s="46" t="inlineStr">
        <is>
          <t>C-194</t>
        </is>
      </c>
      <c r="B198" s="38" t="n"/>
      <c r="C198" s="38" t="n"/>
      <c r="D198" s="38" t="n"/>
      <c r="E198" s="38" t="n"/>
      <c r="F198" s="38" t="n"/>
      <c r="G198" s="38" t="n"/>
      <c r="H198" s="38" t="n"/>
      <c r="I198" s="47" t="n"/>
      <c r="J198" s="38" t="n"/>
      <c r="K198" s="52">
        <f>IF(B198="","",IF(_xlfn.MINIFS('JOBS'!$B$5:$B$1504,'JOBS'!$D$5:$D$1504,B198,'JOBS'!$O$5:$O$1504,"Completed")=0,"",_xlfn.MINIFS('JOBS'!$B$5:$B$1504,'JOBS'!$D$5:$D$1504,B198,'JOBS'!$O$5:$O$1504,"Completed")))</f>
        <v/>
      </c>
      <c r="L198" s="52">
        <f>IF(B198="","",IF(_xlfn.MAXIFS('JOBS'!$B$5:$B$1504,'JOBS'!$D$5:$D$1504,B198,'JOBS'!$O$5:$O$1504,"Completed")=0,"",_xlfn.MAXIFS('JOBS'!$B$5:$B$1504,'JOBS'!$D$5:$D$1504,B198,'JOBS'!$O$5:$O$1504,"Completed")))</f>
        <v/>
      </c>
      <c r="M198" s="53">
        <f>IF(B198="","",COUNTIFS('JOBS'!$D$5:$D$1504,B198,'JOBS'!$O$5:$O$1504,"Completed"))</f>
        <v/>
      </c>
      <c r="N198" s="54">
        <f>IF(B198="","",SUMIFS('JOBS'!$L$5:$L$1504,'JOBS'!$D$5:$D$1504,B198,'JOBS'!$O$5:$O$1504,"Completed"))</f>
        <v/>
      </c>
      <c r="O198" s="55">
        <f>IF(B198="","",SUMIFS('JOBS'!$U$5:$U$1504,'JOBS'!$D$5:$D$1504,B198))</f>
        <v/>
      </c>
      <c r="P198" s="49">
        <f>IF(B198="","",IF(COUNTIFS('RECURRING'!$B$5:$B$154,B198,'RECURRING'!$J$5:$J$154,"Active")&gt;0,"Yes","No"))</f>
        <v/>
      </c>
      <c r="Q198" s="50">
        <f>IF(L198="","",AsOf-L198)</f>
        <v/>
      </c>
      <c r="R198" s="49">
        <f>IF(B198="","",IF(H198="Do not service","—",IF(O198&gt;0.005,"Collect balance",IF(M198=0,"Book first job",IF(AND(P198="No",Q198&gt;=ReactDays),"Reactivate",IF(COUNTIF('REVIEWS'!$A$5:$A$504,B198)=0,"Ask for review",IF(AND(P198="No",M198&gt;=1),"Offer recurring plan","—")))))))</f>
        <v/>
      </c>
      <c r="S198" s="53">
        <f>IF(B198="","",COUNTIF('REFERRALS'!$B$5:$B$204,B198))</f>
        <v/>
      </c>
    </row>
    <row r="199">
      <c r="A199" s="46" t="inlineStr">
        <is>
          <t>C-195</t>
        </is>
      </c>
      <c r="B199" s="38" t="n"/>
      <c r="C199" s="38" t="n"/>
      <c r="D199" s="38" t="n"/>
      <c r="E199" s="38" t="n"/>
      <c r="F199" s="38" t="n"/>
      <c r="G199" s="38" t="n"/>
      <c r="H199" s="38" t="n"/>
      <c r="I199" s="47" t="n"/>
      <c r="J199" s="38" t="n"/>
      <c r="K199" s="52">
        <f>IF(B199="","",IF(_xlfn.MINIFS('JOBS'!$B$5:$B$1504,'JOBS'!$D$5:$D$1504,B199,'JOBS'!$O$5:$O$1504,"Completed")=0,"",_xlfn.MINIFS('JOBS'!$B$5:$B$1504,'JOBS'!$D$5:$D$1504,B199,'JOBS'!$O$5:$O$1504,"Completed")))</f>
        <v/>
      </c>
      <c r="L199" s="52">
        <f>IF(B199="","",IF(_xlfn.MAXIFS('JOBS'!$B$5:$B$1504,'JOBS'!$D$5:$D$1504,B199,'JOBS'!$O$5:$O$1504,"Completed")=0,"",_xlfn.MAXIFS('JOBS'!$B$5:$B$1504,'JOBS'!$D$5:$D$1504,B199,'JOBS'!$O$5:$O$1504,"Completed")))</f>
        <v/>
      </c>
      <c r="M199" s="53">
        <f>IF(B199="","",COUNTIFS('JOBS'!$D$5:$D$1504,B199,'JOBS'!$O$5:$O$1504,"Completed"))</f>
        <v/>
      </c>
      <c r="N199" s="54">
        <f>IF(B199="","",SUMIFS('JOBS'!$L$5:$L$1504,'JOBS'!$D$5:$D$1504,B199,'JOBS'!$O$5:$O$1504,"Completed"))</f>
        <v/>
      </c>
      <c r="O199" s="55">
        <f>IF(B199="","",SUMIFS('JOBS'!$U$5:$U$1504,'JOBS'!$D$5:$D$1504,B199))</f>
        <v/>
      </c>
      <c r="P199" s="49">
        <f>IF(B199="","",IF(COUNTIFS('RECURRING'!$B$5:$B$154,B199,'RECURRING'!$J$5:$J$154,"Active")&gt;0,"Yes","No"))</f>
        <v/>
      </c>
      <c r="Q199" s="50">
        <f>IF(L199="","",AsOf-L199)</f>
        <v/>
      </c>
      <c r="R199" s="49">
        <f>IF(B199="","",IF(H199="Do not service","—",IF(O199&gt;0.005,"Collect balance",IF(M199=0,"Book first job",IF(AND(P199="No",Q199&gt;=ReactDays),"Reactivate",IF(COUNTIF('REVIEWS'!$A$5:$A$504,B199)=0,"Ask for review",IF(AND(P199="No",M199&gt;=1),"Offer recurring plan","—")))))))</f>
        <v/>
      </c>
      <c r="S199" s="53">
        <f>IF(B199="","",COUNTIF('REFERRALS'!$B$5:$B$204,B199))</f>
        <v/>
      </c>
    </row>
    <row r="200">
      <c r="A200" s="46" t="inlineStr">
        <is>
          <t>C-196</t>
        </is>
      </c>
      <c r="B200" s="38" t="n"/>
      <c r="C200" s="38" t="n"/>
      <c r="D200" s="38" t="n"/>
      <c r="E200" s="38" t="n"/>
      <c r="F200" s="38" t="n"/>
      <c r="G200" s="38" t="n"/>
      <c r="H200" s="38" t="n"/>
      <c r="I200" s="47" t="n"/>
      <c r="J200" s="38" t="n"/>
      <c r="K200" s="52">
        <f>IF(B200="","",IF(_xlfn.MINIFS('JOBS'!$B$5:$B$1504,'JOBS'!$D$5:$D$1504,B200,'JOBS'!$O$5:$O$1504,"Completed")=0,"",_xlfn.MINIFS('JOBS'!$B$5:$B$1504,'JOBS'!$D$5:$D$1504,B200,'JOBS'!$O$5:$O$1504,"Completed")))</f>
        <v/>
      </c>
      <c r="L200" s="52">
        <f>IF(B200="","",IF(_xlfn.MAXIFS('JOBS'!$B$5:$B$1504,'JOBS'!$D$5:$D$1504,B200,'JOBS'!$O$5:$O$1504,"Completed")=0,"",_xlfn.MAXIFS('JOBS'!$B$5:$B$1504,'JOBS'!$D$5:$D$1504,B200,'JOBS'!$O$5:$O$1504,"Completed")))</f>
        <v/>
      </c>
      <c r="M200" s="53">
        <f>IF(B200="","",COUNTIFS('JOBS'!$D$5:$D$1504,B200,'JOBS'!$O$5:$O$1504,"Completed"))</f>
        <v/>
      </c>
      <c r="N200" s="54">
        <f>IF(B200="","",SUMIFS('JOBS'!$L$5:$L$1504,'JOBS'!$D$5:$D$1504,B200,'JOBS'!$O$5:$O$1504,"Completed"))</f>
        <v/>
      </c>
      <c r="O200" s="55">
        <f>IF(B200="","",SUMIFS('JOBS'!$U$5:$U$1504,'JOBS'!$D$5:$D$1504,B200))</f>
        <v/>
      </c>
      <c r="P200" s="49">
        <f>IF(B200="","",IF(COUNTIFS('RECURRING'!$B$5:$B$154,B200,'RECURRING'!$J$5:$J$154,"Active")&gt;0,"Yes","No"))</f>
        <v/>
      </c>
      <c r="Q200" s="50">
        <f>IF(L200="","",AsOf-L200)</f>
        <v/>
      </c>
      <c r="R200" s="49">
        <f>IF(B200="","",IF(H200="Do not service","—",IF(O200&gt;0.005,"Collect balance",IF(M200=0,"Book first job",IF(AND(P200="No",Q200&gt;=ReactDays),"Reactivate",IF(COUNTIF('REVIEWS'!$A$5:$A$504,B200)=0,"Ask for review",IF(AND(P200="No",M200&gt;=1),"Offer recurring plan","—")))))))</f>
        <v/>
      </c>
      <c r="S200" s="53">
        <f>IF(B200="","",COUNTIF('REFERRALS'!$B$5:$B$204,B200))</f>
        <v/>
      </c>
    </row>
    <row r="201">
      <c r="A201" s="46" t="inlineStr">
        <is>
          <t>C-197</t>
        </is>
      </c>
      <c r="B201" s="38" t="n"/>
      <c r="C201" s="38" t="n"/>
      <c r="D201" s="38" t="n"/>
      <c r="E201" s="38" t="n"/>
      <c r="F201" s="38" t="n"/>
      <c r="G201" s="38" t="n"/>
      <c r="H201" s="38" t="n"/>
      <c r="I201" s="47" t="n"/>
      <c r="J201" s="38" t="n"/>
      <c r="K201" s="52">
        <f>IF(B201="","",IF(_xlfn.MINIFS('JOBS'!$B$5:$B$1504,'JOBS'!$D$5:$D$1504,B201,'JOBS'!$O$5:$O$1504,"Completed")=0,"",_xlfn.MINIFS('JOBS'!$B$5:$B$1504,'JOBS'!$D$5:$D$1504,B201,'JOBS'!$O$5:$O$1504,"Completed")))</f>
        <v/>
      </c>
      <c r="L201" s="52">
        <f>IF(B201="","",IF(_xlfn.MAXIFS('JOBS'!$B$5:$B$1504,'JOBS'!$D$5:$D$1504,B201,'JOBS'!$O$5:$O$1504,"Completed")=0,"",_xlfn.MAXIFS('JOBS'!$B$5:$B$1504,'JOBS'!$D$5:$D$1504,B201,'JOBS'!$O$5:$O$1504,"Completed")))</f>
        <v/>
      </c>
      <c r="M201" s="53">
        <f>IF(B201="","",COUNTIFS('JOBS'!$D$5:$D$1504,B201,'JOBS'!$O$5:$O$1504,"Completed"))</f>
        <v/>
      </c>
      <c r="N201" s="54">
        <f>IF(B201="","",SUMIFS('JOBS'!$L$5:$L$1504,'JOBS'!$D$5:$D$1504,B201,'JOBS'!$O$5:$O$1504,"Completed"))</f>
        <v/>
      </c>
      <c r="O201" s="55">
        <f>IF(B201="","",SUMIFS('JOBS'!$U$5:$U$1504,'JOBS'!$D$5:$D$1504,B201))</f>
        <v/>
      </c>
      <c r="P201" s="49">
        <f>IF(B201="","",IF(COUNTIFS('RECURRING'!$B$5:$B$154,B201,'RECURRING'!$J$5:$J$154,"Active")&gt;0,"Yes","No"))</f>
        <v/>
      </c>
      <c r="Q201" s="50">
        <f>IF(L201="","",AsOf-L201)</f>
        <v/>
      </c>
      <c r="R201" s="49">
        <f>IF(B201="","",IF(H201="Do not service","—",IF(O201&gt;0.005,"Collect balance",IF(M201=0,"Book first job",IF(AND(P201="No",Q201&gt;=ReactDays),"Reactivate",IF(COUNTIF('REVIEWS'!$A$5:$A$504,B201)=0,"Ask for review",IF(AND(P201="No",M201&gt;=1),"Offer recurring plan","—")))))))</f>
        <v/>
      </c>
      <c r="S201" s="53">
        <f>IF(B201="","",COUNTIF('REFERRALS'!$B$5:$B$204,B201))</f>
        <v/>
      </c>
    </row>
    <row r="202">
      <c r="A202" s="46" t="inlineStr">
        <is>
          <t>C-198</t>
        </is>
      </c>
      <c r="B202" s="38" t="n"/>
      <c r="C202" s="38" t="n"/>
      <c r="D202" s="38" t="n"/>
      <c r="E202" s="38" t="n"/>
      <c r="F202" s="38" t="n"/>
      <c r="G202" s="38" t="n"/>
      <c r="H202" s="38" t="n"/>
      <c r="I202" s="47" t="n"/>
      <c r="J202" s="38" t="n"/>
      <c r="K202" s="52">
        <f>IF(B202="","",IF(_xlfn.MINIFS('JOBS'!$B$5:$B$1504,'JOBS'!$D$5:$D$1504,B202,'JOBS'!$O$5:$O$1504,"Completed")=0,"",_xlfn.MINIFS('JOBS'!$B$5:$B$1504,'JOBS'!$D$5:$D$1504,B202,'JOBS'!$O$5:$O$1504,"Completed")))</f>
        <v/>
      </c>
      <c r="L202" s="52">
        <f>IF(B202="","",IF(_xlfn.MAXIFS('JOBS'!$B$5:$B$1504,'JOBS'!$D$5:$D$1504,B202,'JOBS'!$O$5:$O$1504,"Completed")=0,"",_xlfn.MAXIFS('JOBS'!$B$5:$B$1504,'JOBS'!$D$5:$D$1504,B202,'JOBS'!$O$5:$O$1504,"Completed")))</f>
        <v/>
      </c>
      <c r="M202" s="53">
        <f>IF(B202="","",COUNTIFS('JOBS'!$D$5:$D$1504,B202,'JOBS'!$O$5:$O$1504,"Completed"))</f>
        <v/>
      </c>
      <c r="N202" s="54">
        <f>IF(B202="","",SUMIFS('JOBS'!$L$5:$L$1504,'JOBS'!$D$5:$D$1504,B202,'JOBS'!$O$5:$O$1504,"Completed"))</f>
        <v/>
      </c>
      <c r="O202" s="55">
        <f>IF(B202="","",SUMIFS('JOBS'!$U$5:$U$1504,'JOBS'!$D$5:$D$1504,B202))</f>
        <v/>
      </c>
      <c r="P202" s="49">
        <f>IF(B202="","",IF(COUNTIFS('RECURRING'!$B$5:$B$154,B202,'RECURRING'!$J$5:$J$154,"Active")&gt;0,"Yes","No"))</f>
        <v/>
      </c>
      <c r="Q202" s="50">
        <f>IF(L202="","",AsOf-L202)</f>
        <v/>
      </c>
      <c r="R202" s="49">
        <f>IF(B202="","",IF(H202="Do not service","—",IF(O202&gt;0.005,"Collect balance",IF(M202=0,"Book first job",IF(AND(P202="No",Q202&gt;=ReactDays),"Reactivate",IF(COUNTIF('REVIEWS'!$A$5:$A$504,B202)=0,"Ask for review",IF(AND(P202="No",M202&gt;=1),"Offer recurring plan","—")))))))</f>
        <v/>
      </c>
      <c r="S202" s="53">
        <f>IF(B202="","",COUNTIF('REFERRALS'!$B$5:$B$204,B202))</f>
        <v/>
      </c>
    </row>
    <row r="203">
      <c r="A203" s="46" t="inlineStr">
        <is>
          <t>C-199</t>
        </is>
      </c>
      <c r="B203" s="38" t="n"/>
      <c r="C203" s="38" t="n"/>
      <c r="D203" s="38" t="n"/>
      <c r="E203" s="38" t="n"/>
      <c r="F203" s="38" t="n"/>
      <c r="G203" s="38" t="n"/>
      <c r="H203" s="38" t="n"/>
      <c r="I203" s="47" t="n"/>
      <c r="J203" s="38" t="n"/>
      <c r="K203" s="52">
        <f>IF(B203="","",IF(_xlfn.MINIFS('JOBS'!$B$5:$B$1504,'JOBS'!$D$5:$D$1504,B203,'JOBS'!$O$5:$O$1504,"Completed")=0,"",_xlfn.MINIFS('JOBS'!$B$5:$B$1504,'JOBS'!$D$5:$D$1504,B203,'JOBS'!$O$5:$O$1504,"Completed")))</f>
        <v/>
      </c>
      <c r="L203" s="52">
        <f>IF(B203="","",IF(_xlfn.MAXIFS('JOBS'!$B$5:$B$1504,'JOBS'!$D$5:$D$1504,B203,'JOBS'!$O$5:$O$1504,"Completed")=0,"",_xlfn.MAXIFS('JOBS'!$B$5:$B$1504,'JOBS'!$D$5:$D$1504,B203,'JOBS'!$O$5:$O$1504,"Completed")))</f>
        <v/>
      </c>
      <c r="M203" s="53">
        <f>IF(B203="","",COUNTIFS('JOBS'!$D$5:$D$1504,B203,'JOBS'!$O$5:$O$1504,"Completed"))</f>
        <v/>
      </c>
      <c r="N203" s="54">
        <f>IF(B203="","",SUMIFS('JOBS'!$L$5:$L$1504,'JOBS'!$D$5:$D$1504,B203,'JOBS'!$O$5:$O$1504,"Completed"))</f>
        <v/>
      </c>
      <c r="O203" s="55">
        <f>IF(B203="","",SUMIFS('JOBS'!$U$5:$U$1504,'JOBS'!$D$5:$D$1504,B203))</f>
        <v/>
      </c>
      <c r="P203" s="49">
        <f>IF(B203="","",IF(COUNTIFS('RECURRING'!$B$5:$B$154,B203,'RECURRING'!$J$5:$J$154,"Active")&gt;0,"Yes","No"))</f>
        <v/>
      </c>
      <c r="Q203" s="50">
        <f>IF(L203="","",AsOf-L203)</f>
        <v/>
      </c>
      <c r="R203" s="49">
        <f>IF(B203="","",IF(H203="Do not service","—",IF(O203&gt;0.005,"Collect balance",IF(M203=0,"Book first job",IF(AND(P203="No",Q203&gt;=ReactDays),"Reactivate",IF(COUNTIF('REVIEWS'!$A$5:$A$504,B203)=0,"Ask for review",IF(AND(P203="No",M203&gt;=1),"Offer recurring plan","—")))))))</f>
        <v/>
      </c>
      <c r="S203" s="53">
        <f>IF(B203="","",COUNTIF('REFERRALS'!$B$5:$B$204,B203))</f>
        <v/>
      </c>
    </row>
    <row r="204">
      <c r="A204" s="46" t="inlineStr">
        <is>
          <t>C-200</t>
        </is>
      </c>
      <c r="B204" s="38" t="n"/>
      <c r="C204" s="38" t="n"/>
      <c r="D204" s="38" t="n"/>
      <c r="E204" s="38" t="n"/>
      <c r="F204" s="38" t="n"/>
      <c r="G204" s="38" t="n"/>
      <c r="H204" s="38" t="n"/>
      <c r="I204" s="47" t="n"/>
      <c r="J204" s="38" t="n"/>
      <c r="K204" s="52">
        <f>IF(B204="","",IF(_xlfn.MINIFS('JOBS'!$B$5:$B$1504,'JOBS'!$D$5:$D$1504,B204,'JOBS'!$O$5:$O$1504,"Completed")=0,"",_xlfn.MINIFS('JOBS'!$B$5:$B$1504,'JOBS'!$D$5:$D$1504,B204,'JOBS'!$O$5:$O$1504,"Completed")))</f>
        <v/>
      </c>
      <c r="L204" s="52">
        <f>IF(B204="","",IF(_xlfn.MAXIFS('JOBS'!$B$5:$B$1504,'JOBS'!$D$5:$D$1504,B204,'JOBS'!$O$5:$O$1504,"Completed")=0,"",_xlfn.MAXIFS('JOBS'!$B$5:$B$1504,'JOBS'!$D$5:$D$1504,B204,'JOBS'!$O$5:$O$1504,"Completed")))</f>
        <v/>
      </c>
      <c r="M204" s="53">
        <f>IF(B204="","",COUNTIFS('JOBS'!$D$5:$D$1504,B204,'JOBS'!$O$5:$O$1504,"Completed"))</f>
        <v/>
      </c>
      <c r="N204" s="54">
        <f>IF(B204="","",SUMIFS('JOBS'!$L$5:$L$1504,'JOBS'!$D$5:$D$1504,B204,'JOBS'!$O$5:$O$1504,"Completed"))</f>
        <v/>
      </c>
      <c r="O204" s="55">
        <f>IF(B204="","",SUMIFS('JOBS'!$U$5:$U$1504,'JOBS'!$D$5:$D$1504,B204))</f>
        <v/>
      </c>
      <c r="P204" s="49">
        <f>IF(B204="","",IF(COUNTIFS('RECURRING'!$B$5:$B$154,B204,'RECURRING'!$J$5:$J$154,"Active")&gt;0,"Yes","No"))</f>
        <v/>
      </c>
      <c r="Q204" s="50">
        <f>IF(L204="","",AsOf-L204)</f>
        <v/>
      </c>
      <c r="R204" s="49">
        <f>IF(B204="","",IF(H204="Do not service","—",IF(O204&gt;0.005,"Collect balance",IF(M204=0,"Book first job",IF(AND(P204="No",Q204&gt;=ReactDays),"Reactivate",IF(COUNTIF('REVIEWS'!$A$5:$A$504,B204)=0,"Ask for review",IF(AND(P204="No",M204&gt;=1),"Offer recurring plan","—")))))))</f>
        <v/>
      </c>
      <c r="S204" s="53">
        <f>IF(B204="","",COUNTIF('REFERRALS'!$B$5:$B$204,B204))</f>
        <v/>
      </c>
    </row>
    <row r="205">
      <c r="A205" s="46" t="inlineStr">
        <is>
          <t>C-201</t>
        </is>
      </c>
      <c r="B205" s="38" t="n"/>
      <c r="C205" s="38" t="n"/>
      <c r="D205" s="38" t="n"/>
      <c r="E205" s="38" t="n"/>
      <c r="F205" s="38" t="n"/>
      <c r="G205" s="38" t="n"/>
      <c r="H205" s="38" t="n"/>
      <c r="I205" s="47" t="n"/>
      <c r="J205" s="38" t="n"/>
      <c r="K205" s="52">
        <f>IF(B205="","",IF(_xlfn.MINIFS('JOBS'!$B$5:$B$1504,'JOBS'!$D$5:$D$1504,B205,'JOBS'!$O$5:$O$1504,"Completed")=0,"",_xlfn.MINIFS('JOBS'!$B$5:$B$1504,'JOBS'!$D$5:$D$1504,B205,'JOBS'!$O$5:$O$1504,"Completed")))</f>
        <v/>
      </c>
      <c r="L205" s="52">
        <f>IF(B205="","",IF(_xlfn.MAXIFS('JOBS'!$B$5:$B$1504,'JOBS'!$D$5:$D$1504,B205,'JOBS'!$O$5:$O$1504,"Completed")=0,"",_xlfn.MAXIFS('JOBS'!$B$5:$B$1504,'JOBS'!$D$5:$D$1504,B205,'JOBS'!$O$5:$O$1504,"Completed")))</f>
        <v/>
      </c>
      <c r="M205" s="53">
        <f>IF(B205="","",COUNTIFS('JOBS'!$D$5:$D$1504,B205,'JOBS'!$O$5:$O$1504,"Completed"))</f>
        <v/>
      </c>
      <c r="N205" s="54">
        <f>IF(B205="","",SUMIFS('JOBS'!$L$5:$L$1504,'JOBS'!$D$5:$D$1504,B205,'JOBS'!$O$5:$O$1504,"Completed"))</f>
        <v/>
      </c>
      <c r="O205" s="55">
        <f>IF(B205="","",SUMIFS('JOBS'!$U$5:$U$1504,'JOBS'!$D$5:$D$1504,B205))</f>
        <v/>
      </c>
      <c r="P205" s="49">
        <f>IF(B205="","",IF(COUNTIFS('RECURRING'!$B$5:$B$154,B205,'RECURRING'!$J$5:$J$154,"Active")&gt;0,"Yes","No"))</f>
        <v/>
      </c>
      <c r="Q205" s="50">
        <f>IF(L205="","",AsOf-L205)</f>
        <v/>
      </c>
      <c r="R205" s="49">
        <f>IF(B205="","",IF(H205="Do not service","—",IF(O205&gt;0.005,"Collect balance",IF(M205=0,"Book first job",IF(AND(P205="No",Q205&gt;=ReactDays),"Reactivate",IF(COUNTIF('REVIEWS'!$A$5:$A$504,B205)=0,"Ask for review",IF(AND(P205="No",M205&gt;=1),"Offer recurring plan","—")))))))</f>
        <v/>
      </c>
      <c r="S205" s="53">
        <f>IF(B205="","",COUNTIF('REFERRALS'!$B$5:$B$204,B205))</f>
        <v/>
      </c>
    </row>
    <row r="206">
      <c r="A206" s="46" t="inlineStr">
        <is>
          <t>C-202</t>
        </is>
      </c>
      <c r="B206" s="38" t="n"/>
      <c r="C206" s="38" t="n"/>
      <c r="D206" s="38" t="n"/>
      <c r="E206" s="38" t="n"/>
      <c r="F206" s="38" t="n"/>
      <c r="G206" s="38" t="n"/>
      <c r="H206" s="38" t="n"/>
      <c r="I206" s="47" t="n"/>
      <c r="J206" s="38" t="n"/>
      <c r="K206" s="52">
        <f>IF(B206="","",IF(_xlfn.MINIFS('JOBS'!$B$5:$B$1504,'JOBS'!$D$5:$D$1504,B206,'JOBS'!$O$5:$O$1504,"Completed")=0,"",_xlfn.MINIFS('JOBS'!$B$5:$B$1504,'JOBS'!$D$5:$D$1504,B206,'JOBS'!$O$5:$O$1504,"Completed")))</f>
        <v/>
      </c>
      <c r="L206" s="52">
        <f>IF(B206="","",IF(_xlfn.MAXIFS('JOBS'!$B$5:$B$1504,'JOBS'!$D$5:$D$1504,B206,'JOBS'!$O$5:$O$1504,"Completed")=0,"",_xlfn.MAXIFS('JOBS'!$B$5:$B$1504,'JOBS'!$D$5:$D$1504,B206,'JOBS'!$O$5:$O$1504,"Completed")))</f>
        <v/>
      </c>
      <c r="M206" s="53">
        <f>IF(B206="","",COUNTIFS('JOBS'!$D$5:$D$1504,B206,'JOBS'!$O$5:$O$1504,"Completed"))</f>
        <v/>
      </c>
      <c r="N206" s="54">
        <f>IF(B206="","",SUMIFS('JOBS'!$L$5:$L$1504,'JOBS'!$D$5:$D$1504,B206,'JOBS'!$O$5:$O$1504,"Completed"))</f>
        <v/>
      </c>
      <c r="O206" s="55">
        <f>IF(B206="","",SUMIFS('JOBS'!$U$5:$U$1504,'JOBS'!$D$5:$D$1504,B206))</f>
        <v/>
      </c>
      <c r="P206" s="49">
        <f>IF(B206="","",IF(COUNTIFS('RECURRING'!$B$5:$B$154,B206,'RECURRING'!$J$5:$J$154,"Active")&gt;0,"Yes","No"))</f>
        <v/>
      </c>
      <c r="Q206" s="50">
        <f>IF(L206="","",AsOf-L206)</f>
        <v/>
      </c>
      <c r="R206" s="49">
        <f>IF(B206="","",IF(H206="Do not service","—",IF(O206&gt;0.005,"Collect balance",IF(M206=0,"Book first job",IF(AND(P206="No",Q206&gt;=ReactDays),"Reactivate",IF(COUNTIF('REVIEWS'!$A$5:$A$504,B206)=0,"Ask for review",IF(AND(P206="No",M206&gt;=1),"Offer recurring plan","—")))))))</f>
        <v/>
      </c>
      <c r="S206" s="53">
        <f>IF(B206="","",COUNTIF('REFERRALS'!$B$5:$B$204,B206))</f>
        <v/>
      </c>
    </row>
    <row r="207">
      <c r="A207" s="46" t="inlineStr">
        <is>
          <t>C-203</t>
        </is>
      </c>
      <c r="B207" s="38" t="n"/>
      <c r="C207" s="38" t="n"/>
      <c r="D207" s="38" t="n"/>
      <c r="E207" s="38" t="n"/>
      <c r="F207" s="38" t="n"/>
      <c r="G207" s="38" t="n"/>
      <c r="H207" s="38" t="n"/>
      <c r="I207" s="47" t="n"/>
      <c r="J207" s="38" t="n"/>
      <c r="K207" s="52">
        <f>IF(B207="","",IF(_xlfn.MINIFS('JOBS'!$B$5:$B$1504,'JOBS'!$D$5:$D$1504,B207,'JOBS'!$O$5:$O$1504,"Completed")=0,"",_xlfn.MINIFS('JOBS'!$B$5:$B$1504,'JOBS'!$D$5:$D$1504,B207,'JOBS'!$O$5:$O$1504,"Completed")))</f>
        <v/>
      </c>
      <c r="L207" s="52">
        <f>IF(B207="","",IF(_xlfn.MAXIFS('JOBS'!$B$5:$B$1504,'JOBS'!$D$5:$D$1504,B207,'JOBS'!$O$5:$O$1504,"Completed")=0,"",_xlfn.MAXIFS('JOBS'!$B$5:$B$1504,'JOBS'!$D$5:$D$1504,B207,'JOBS'!$O$5:$O$1504,"Completed")))</f>
        <v/>
      </c>
      <c r="M207" s="53">
        <f>IF(B207="","",COUNTIFS('JOBS'!$D$5:$D$1504,B207,'JOBS'!$O$5:$O$1504,"Completed"))</f>
        <v/>
      </c>
      <c r="N207" s="54">
        <f>IF(B207="","",SUMIFS('JOBS'!$L$5:$L$1504,'JOBS'!$D$5:$D$1504,B207,'JOBS'!$O$5:$O$1504,"Completed"))</f>
        <v/>
      </c>
      <c r="O207" s="55">
        <f>IF(B207="","",SUMIFS('JOBS'!$U$5:$U$1504,'JOBS'!$D$5:$D$1504,B207))</f>
        <v/>
      </c>
      <c r="P207" s="49">
        <f>IF(B207="","",IF(COUNTIFS('RECURRING'!$B$5:$B$154,B207,'RECURRING'!$J$5:$J$154,"Active")&gt;0,"Yes","No"))</f>
        <v/>
      </c>
      <c r="Q207" s="50">
        <f>IF(L207="","",AsOf-L207)</f>
        <v/>
      </c>
      <c r="R207" s="49">
        <f>IF(B207="","",IF(H207="Do not service","—",IF(O207&gt;0.005,"Collect balance",IF(M207=0,"Book first job",IF(AND(P207="No",Q207&gt;=ReactDays),"Reactivate",IF(COUNTIF('REVIEWS'!$A$5:$A$504,B207)=0,"Ask for review",IF(AND(P207="No",M207&gt;=1),"Offer recurring plan","—")))))))</f>
        <v/>
      </c>
      <c r="S207" s="53">
        <f>IF(B207="","",COUNTIF('REFERRALS'!$B$5:$B$204,B207))</f>
        <v/>
      </c>
    </row>
    <row r="208">
      <c r="A208" s="46" t="inlineStr">
        <is>
          <t>C-204</t>
        </is>
      </c>
      <c r="B208" s="38" t="n"/>
      <c r="C208" s="38" t="n"/>
      <c r="D208" s="38" t="n"/>
      <c r="E208" s="38" t="n"/>
      <c r="F208" s="38" t="n"/>
      <c r="G208" s="38" t="n"/>
      <c r="H208" s="38" t="n"/>
      <c r="I208" s="47" t="n"/>
      <c r="J208" s="38" t="n"/>
      <c r="K208" s="52">
        <f>IF(B208="","",IF(_xlfn.MINIFS('JOBS'!$B$5:$B$1504,'JOBS'!$D$5:$D$1504,B208,'JOBS'!$O$5:$O$1504,"Completed")=0,"",_xlfn.MINIFS('JOBS'!$B$5:$B$1504,'JOBS'!$D$5:$D$1504,B208,'JOBS'!$O$5:$O$1504,"Completed")))</f>
        <v/>
      </c>
      <c r="L208" s="52">
        <f>IF(B208="","",IF(_xlfn.MAXIFS('JOBS'!$B$5:$B$1504,'JOBS'!$D$5:$D$1504,B208,'JOBS'!$O$5:$O$1504,"Completed")=0,"",_xlfn.MAXIFS('JOBS'!$B$5:$B$1504,'JOBS'!$D$5:$D$1504,B208,'JOBS'!$O$5:$O$1504,"Completed")))</f>
        <v/>
      </c>
      <c r="M208" s="53">
        <f>IF(B208="","",COUNTIFS('JOBS'!$D$5:$D$1504,B208,'JOBS'!$O$5:$O$1504,"Completed"))</f>
        <v/>
      </c>
      <c r="N208" s="54">
        <f>IF(B208="","",SUMIFS('JOBS'!$L$5:$L$1504,'JOBS'!$D$5:$D$1504,B208,'JOBS'!$O$5:$O$1504,"Completed"))</f>
        <v/>
      </c>
      <c r="O208" s="55">
        <f>IF(B208="","",SUMIFS('JOBS'!$U$5:$U$1504,'JOBS'!$D$5:$D$1504,B208))</f>
        <v/>
      </c>
      <c r="P208" s="49">
        <f>IF(B208="","",IF(COUNTIFS('RECURRING'!$B$5:$B$154,B208,'RECURRING'!$J$5:$J$154,"Active")&gt;0,"Yes","No"))</f>
        <v/>
      </c>
      <c r="Q208" s="50">
        <f>IF(L208="","",AsOf-L208)</f>
        <v/>
      </c>
      <c r="R208" s="49">
        <f>IF(B208="","",IF(H208="Do not service","—",IF(O208&gt;0.005,"Collect balance",IF(M208=0,"Book first job",IF(AND(P208="No",Q208&gt;=ReactDays),"Reactivate",IF(COUNTIF('REVIEWS'!$A$5:$A$504,B208)=0,"Ask for review",IF(AND(P208="No",M208&gt;=1),"Offer recurring plan","—")))))))</f>
        <v/>
      </c>
      <c r="S208" s="53">
        <f>IF(B208="","",COUNTIF('REFERRALS'!$B$5:$B$204,B208))</f>
        <v/>
      </c>
    </row>
    <row r="209">
      <c r="A209" s="46" t="inlineStr">
        <is>
          <t>C-205</t>
        </is>
      </c>
      <c r="B209" s="38" t="n"/>
      <c r="C209" s="38" t="n"/>
      <c r="D209" s="38" t="n"/>
      <c r="E209" s="38" t="n"/>
      <c r="F209" s="38" t="n"/>
      <c r="G209" s="38" t="n"/>
      <c r="H209" s="38" t="n"/>
      <c r="I209" s="47" t="n"/>
      <c r="J209" s="38" t="n"/>
      <c r="K209" s="52">
        <f>IF(B209="","",IF(_xlfn.MINIFS('JOBS'!$B$5:$B$1504,'JOBS'!$D$5:$D$1504,B209,'JOBS'!$O$5:$O$1504,"Completed")=0,"",_xlfn.MINIFS('JOBS'!$B$5:$B$1504,'JOBS'!$D$5:$D$1504,B209,'JOBS'!$O$5:$O$1504,"Completed")))</f>
        <v/>
      </c>
      <c r="L209" s="52">
        <f>IF(B209="","",IF(_xlfn.MAXIFS('JOBS'!$B$5:$B$1504,'JOBS'!$D$5:$D$1504,B209,'JOBS'!$O$5:$O$1504,"Completed")=0,"",_xlfn.MAXIFS('JOBS'!$B$5:$B$1504,'JOBS'!$D$5:$D$1504,B209,'JOBS'!$O$5:$O$1504,"Completed")))</f>
        <v/>
      </c>
      <c r="M209" s="53">
        <f>IF(B209="","",COUNTIFS('JOBS'!$D$5:$D$1504,B209,'JOBS'!$O$5:$O$1504,"Completed"))</f>
        <v/>
      </c>
      <c r="N209" s="54">
        <f>IF(B209="","",SUMIFS('JOBS'!$L$5:$L$1504,'JOBS'!$D$5:$D$1504,B209,'JOBS'!$O$5:$O$1504,"Completed"))</f>
        <v/>
      </c>
      <c r="O209" s="55">
        <f>IF(B209="","",SUMIFS('JOBS'!$U$5:$U$1504,'JOBS'!$D$5:$D$1504,B209))</f>
        <v/>
      </c>
      <c r="P209" s="49">
        <f>IF(B209="","",IF(COUNTIFS('RECURRING'!$B$5:$B$154,B209,'RECURRING'!$J$5:$J$154,"Active")&gt;0,"Yes","No"))</f>
        <v/>
      </c>
      <c r="Q209" s="50">
        <f>IF(L209="","",AsOf-L209)</f>
        <v/>
      </c>
      <c r="R209" s="49">
        <f>IF(B209="","",IF(H209="Do not service","—",IF(O209&gt;0.005,"Collect balance",IF(M209=0,"Book first job",IF(AND(P209="No",Q209&gt;=ReactDays),"Reactivate",IF(COUNTIF('REVIEWS'!$A$5:$A$504,B209)=0,"Ask for review",IF(AND(P209="No",M209&gt;=1),"Offer recurring plan","—")))))))</f>
        <v/>
      </c>
      <c r="S209" s="53">
        <f>IF(B209="","",COUNTIF('REFERRALS'!$B$5:$B$204,B209))</f>
        <v/>
      </c>
    </row>
    <row r="210">
      <c r="A210" s="46" t="inlineStr">
        <is>
          <t>C-206</t>
        </is>
      </c>
      <c r="B210" s="38" t="n"/>
      <c r="C210" s="38" t="n"/>
      <c r="D210" s="38" t="n"/>
      <c r="E210" s="38" t="n"/>
      <c r="F210" s="38" t="n"/>
      <c r="G210" s="38" t="n"/>
      <c r="H210" s="38" t="n"/>
      <c r="I210" s="47" t="n"/>
      <c r="J210" s="38" t="n"/>
      <c r="K210" s="52">
        <f>IF(B210="","",IF(_xlfn.MINIFS('JOBS'!$B$5:$B$1504,'JOBS'!$D$5:$D$1504,B210,'JOBS'!$O$5:$O$1504,"Completed")=0,"",_xlfn.MINIFS('JOBS'!$B$5:$B$1504,'JOBS'!$D$5:$D$1504,B210,'JOBS'!$O$5:$O$1504,"Completed")))</f>
        <v/>
      </c>
      <c r="L210" s="52">
        <f>IF(B210="","",IF(_xlfn.MAXIFS('JOBS'!$B$5:$B$1504,'JOBS'!$D$5:$D$1504,B210,'JOBS'!$O$5:$O$1504,"Completed")=0,"",_xlfn.MAXIFS('JOBS'!$B$5:$B$1504,'JOBS'!$D$5:$D$1504,B210,'JOBS'!$O$5:$O$1504,"Completed")))</f>
        <v/>
      </c>
      <c r="M210" s="53">
        <f>IF(B210="","",COUNTIFS('JOBS'!$D$5:$D$1504,B210,'JOBS'!$O$5:$O$1504,"Completed"))</f>
        <v/>
      </c>
      <c r="N210" s="54">
        <f>IF(B210="","",SUMIFS('JOBS'!$L$5:$L$1504,'JOBS'!$D$5:$D$1504,B210,'JOBS'!$O$5:$O$1504,"Completed"))</f>
        <v/>
      </c>
      <c r="O210" s="55">
        <f>IF(B210="","",SUMIFS('JOBS'!$U$5:$U$1504,'JOBS'!$D$5:$D$1504,B210))</f>
        <v/>
      </c>
      <c r="P210" s="49">
        <f>IF(B210="","",IF(COUNTIFS('RECURRING'!$B$5:$B$154,B210,'RECURRING'!$J$5:$J$154,"Active")&gt;0,"Yes","No"))</f>
        <v/>
      </c>
      <c r="Q210" s="50">
        <f>IF(L210="","",AsOf-L210)</f>
        <v/>
      </c>
      <c r="R210" s="49">
        <f>IF(B210="","",IF(H210="Do not service","—",IF(O210&gt;0.005,"Collect balance",IF(M210=0,"Book first job",IF(AND(P210="No",Q210&gt;=ReactDays),"Reactivate",IF(COUNTIF('REVIEWS'!$A$5:$A$504,B210)=0,"Ask for review",IF(AND(P210="No",M210&gt;=1),"Offer recurring plan","—")))))))</f>
        <v/>
      </c>
      <c r="S210" s="53">
        <f>IF(B210="","",COUNTIF('REFERRALS'!$B$5:$B$204,B210))</f>
        <v/>
      </c>
    </row>
    <row r="211">
      <c r="A211" s="46" t="inlineStr">
        <is>
          <t>C-207</t>
        </is>
      </c>
      <c r="B211" s="38" t="n"/>
      <c r="C211" s="38" t="n"/>
      <c r="D211" s="38" t="n"/>
      <c r="E211" s="38" t="n"/>
      <c r="F211" s="38" t="n"/>
      <c r="G211" s="38" t="n"/>
      <c r="H211" s="38" t="n"/>
      <c r="I211" s="47" t="n"/>
      <c r="J211" s="38" t="n"/>
      <c r="K211" s="52">
        <f>IF(B211="","",IF(_xlfn.MINIFS('JOBS'!$B$5:$B$1504,'JOBS'!$D$5:$D$1504,B211,'JOBS'!$O$5:$O$1504,"Completed")=0,"",_xlfn.MINIFS('JOBS'!$B$5:$B$1504,'JOBS'!$D$5:$D$1504,B211,'JOBS'!$O$5:$O$1504,"Completed")))</f>
        <v/>
      </c>
      <c r="L211" s="52">
        <f>IF(B211="","",IF(_xlfn.MAXIFS('JOBS'!$B$5:$B$1504,'JOBS'!$D$5:$D$1504,B211,'JOBS'!$O$5:$O$1504,"Completed")=0,"",_xlfn.MAXIFS('JOBS'!$B$5:$B$1504,'JOBS'!$D$5:$D$1504,B211,'JOBS'!$O$5:$O$1504,"Completed")))</f>
        <v/>
      </c>
      <c r="M211" s="53">
        <f>IF(B211="","",COUNTIFS('JOBS'!$D$5:$D$1504,B211,'JOBS'!$O$5:$O$1504,"Completed"))</f>
        <v/>
      </c>
      <c r="N211" s="54">
        <f>IF(B211="","",SUMIFS('JOBS'!$L$5:$L$1504,'JOBS'!$D$5:$D$1504,B211,'JOBS'!$O$5:$O$1504,"Completed"))</f>
        <v/>
      </c>
      <c r="O211" s="55">
        <f>IF(B211="","",SUMIFS('JOBS'!$U$5:$U$1504,'JOBS'!$D$5:$D$1504,B211))</f>
        <v/>
      </c>
      <c r="P211" s="49">
        <f>IF(B211="","",IF(COUNTIFS('RECURRING'!$B$5:$B$154,B211,'RECURRING'!$J$5:$J$154,"Active")&gt;0,"Yes","No"))</f>
        <v/>
      </c>
      <c r="Q211" s="50">
        <f>IF(L211="","",AsOf-L211)</f>
        <v/>
      </c>
      <c r="R211" s="49">
        <f>IF(B211="","",IF(H211="Do not service","—",IF(O211&gt;0.005,"Collect balance",IF(M211=0,"Book first job",IF(AND(P211="No",Q211&gt;=ReactDays),"Reactivate",IF(COUNTIF('REVIEWS'!$A$5:$A$504,B211)=0,"Ask for review",IF(AND(P211="No",M211&gt;=1),"Offer recurring plan","—")))))))</f>
        <v/>
      </c>
      <c r="S211" s="53">
        <f>IF(B211="","",COUNTIF('REFERRALS'!$B$5:$B$204,B211))</f>
        <v/>
      </c>
    </row>
    <row r="212">
      <c r="A212" s="46" t="inlineStr">
        <is>
          <t>C-208</t>
        </is>
      </c>
      <c r="B212" s="38" t="n"/>
      <c r="C212" s="38" t="n"/>
      <c r="D212" s="38" t="n"/>
      <c r="E212" s="38" t="n"/>
      <c r="F212" s="38" t="n"/>
      <c r="G212" s="38" t="n"/>
      <c r="H212" s="38" t="n"/>
      <c r="I212" s="47" t="n"/>
      <c r="J212" s="38" t="n"/>
      <c r="K212" s="52">
        <f>IF(B212="","",IF(_xlfn.MINIFS('JOBS'!$B$5:$B$1504,'JOBS'!$D$5:$D$1504,B212,'JOBS'!$O$5:$O$1504,"Completed")=0,"",_xlfn.MINIFS('JOBS'!$B$5:$B$1504,'JOBS'!$D$5:$D$1504,B212,'JOBS'!$O$5:$O$1504,"Completed")))</f>
        <v/>
      </c>
      <c r="L212" s="52">
        <f>IF(B212="","",IF(_xlfn.MAXIFS('JOBS'!$B$5:$B$1504,'JOBS'!$D$5:$D$1504,B212,'JOBS'!$O$5:$O$1504,"Completed")=0,"",_xlfn.MAXIFS('JOBS'!$B$5:$B$1504,'JOBS'!$D$5:$D$1504,B212,'JOBS'!$O$5:$O$1504,"Completed")))</f>
        <v/>
      </c>
      <c r="M212" s="53">
        <f>IF(B212="","",COUNTIFS('JOBS'!$D$5:$D$1504,B212,'JOBS'!$O$5:$O$1504,"Completed"))</f>
        <v/>
      </c>
      <c r="N212" s="54">
        <f>IF(B212="","",SUMIFS('JOBS'!$L$5:$L$1504,'JOBS'!$D$5:$D$1504,B212,'JOBS'!$O$5:$O$1504,"Completed"))</f>
        <v/>
      </c>
      <c r="O212" s="55">
        <f>IF(B212="","",SUMIFS('JOBS'!$U$5:$U$1504,'JOBS'!$D$5:$D$1504,B212))</f>
        <v/>
      </c>
      <c r="P212" s="49">
        <f>IF(B212="","",IF(COUNTIFS('RECURRING'!$B$5:$B$154,B212,'RECURRING'!$J$5:$J$154,"Active")&gt;0,"Yes","No"))</f>
        <v/>
      </c>
      <c r="Q212" s="50">
        <f>IF(L212="","",AsOf-L212)</f>
        <v/>
      </c>
      <c r="R212" s="49">
        <f>IF(B212="","",IF(H212="Do not service","—",IF(O212&gt;0.005,"Collect balance",IF(M212=0,"Book first job",IF(AND(P212="No",Q212&gt;=ReactDays),"Reactivate",IF(COUNTIF('REVIEWS'!$A$5:$A$504,B212)=0,"Ask for review",IF(AND(P212="No",M212&gt;=1),"Offer recurring plan","—")))))))</f>
        <v/>
      </c>
      <c r="S212" s="53">
        <f>IF(B212="","",COUNTIF('REFERRALS'!$B$5:$B$204,B212))</f>
        <v/>
      </c>
    </row>
    <row r="213">
      <c r="A213" s="46" t="inlineStr">
        <is>
          <t>C-209</t>
        </is>
      </c>
      <c r="B213" s="38" t="n"/>
      <c r="C213" s="38" t="n"/>
      <c r="D213" s="38" t="n"/>
      <c r="E213" s="38" t="n"/>
      <c r="F213" s="38" t="n"/>
      <c r="G213" s="38" t="n"/>
      <c r="H213" s="38" t="n"/>
      <c r="I213" s="47" t="n"/>
      <c r="J213" s="38" t="n"/>
      <c r="K213" s="52">
        <f>IF(B213="","",IF(_xlfn.MINIFS('JOBS'!$B$5:$B$1504,'JOBS'!$D$5:$D$1504,B213,'JOBS'!$O$5:$O$1504,"Completed")=0,"",_xlfn.MINIFS('JOBS'!$B$5:$B$1504,'JOBS'!$D$5:$D$1504,B213,'JOBS'!$O$5:$O$1504,"Completed")))</f>
        <v/>
      </c>
      <c r="L213" s="52">
        <f>IF(B213="","",IF(_xlfn.MAXIFS('JOBS'!$B$5:$B$1504,'JOBS'!$D$5:$D$1504,B213,'JOBS'!$O$5:$O$1504,"Completed")=0,"",_xlfn.MAXIFS('JOBS'!$B$5:$B$1504,'JOBS'!$D$5:$D$1504,B213,'JOBS'!$O$5:$O$1504,"Completed")))</f>
        <v/>
      </c>
      <c r="M213" s="53">
        <f>IF(B213="","",COUNTIFS('JOBS'!$D$5:$D$1504,B213,'JOBS'!$O$5:$O$1504,"Completed"))</f>
        <v/>
      </c>
      <c r="N213" s="54">
        <f>IF(B213="","",SUMIFS('JOBS'!$L$5:$L$1504,'JOBS'!$D$5:$D$1504,B213,'JOBS'!$O$5:$O$1504,"Completed"))</f>
        <v/>
      </c>
      <c r="O213" s="55">
        <f>IF(B213="","",SUMIFS('JOBS'!$U$5:$U$1504,'JOBS'!$D$5:$D$1504,B213))</f>
        <v/>
      </c>
      <c r="P213" s="49">
        <f>IF(B213="","",IF(COUNTIFS('RECURRING'!$B$5:$B$154,B213,'RECURRING'!$J$5:$J$154,"Active")&gt;0,"Yes","No"))</f>
        <v/>
      </c>
      <c r="Q213" s="50">
        <f>IF(L213="","",AsOf-L213)</f>
        <v/>
      </c>
      <c r="R213" s="49">
        <f>IF(B213="","",IF(H213="Do not service","—",IF(O213&gt;0.005,"Collect balance",IF(M213=0,"Book first job",IF(AND(P213="No",Q213&gt;=ReactDays),"Reactivate",IF(COUNTIF('REVIEWS'!$A$5:$A$504,B213)=0,"Ask for review",IF(AND(P213="No",M213&gt;=1),"Offer recurring plan","—")))))))</f>
        <v/>
      </c>
      <c r="S213" s="53">
        <f>IF(B213="","",COUNTIF('REFERRALS'!$B$5:$B$204,B213))</f>
        <v/>
      </c>
    </row>
    <row r="214">
      <c r="A214" s="46" t="inlineStr">
        <is>
          <t>C-210</t>
        </is>
      </c>
      <c r="B214" s="38" t="n"/>
      <c r="C214" s="38" t="n"/>
      <c r="D214" s="38" t="n"/>
      <c r="E214" s="38" t="n"/>
      <c r="F214" s="38" t="n"/>
      <c r="G214" s="38" t="n"/>
      <c r="H214" s="38" t="n"/>
      <c r="I214" s="47" t="n"/>
      <c r="J214" s="38" t="n"/>
      <c r="K214" s="52">
        <f>IF(B214="","",IF(_xlfn.MINIFS('JOBS'!$B$5:$B$1504,'JOBS'!$D$5:$D$1504,B214,'JOBS'!$O$5:$O$1504,"Completed")=0,"",_xlfn.MINIFS('JOBS'!$B$5:$B$1504,'JOBS'!$D$5:$D$1504,B214,'JOBS'!$O$5:$O$1504,"Completed")))</f>
        <v/>
      </c>
      <c r="L214" s="52">
        <f>IF(B214="","",IF(_xlfn.MAXIFS('JOBS'!$B$5:$B$1504,'JOBS'!$D$5:$D$1504,B214,'JOBS'!$O$5:$O$1504,"Completed")=0,"",_xlfn.MAXIFS('JOBS'!$B$5:$B$1504,'JOBS'!$D$5:$D$1504,B214,'JOBS'!$O$5:$O$1504,"Completed")))</f>
        <v/>
      </c>
      <c r="M214" s="53">
        <f>IF(B214="","",COUNTIFS('JOBS'!$D$5:$D$1504,B214,'JOBS'!$O$5:$O$1504,"Completed"))</f>
        <v/>
      </c>
      <c r="N214" s="54">
        <f>IF(B214="","",SUMIFS('JOBS'!$L$5:$L$1504,'JOBS'!$D$5:$D$1504,B214,'JOBS'!$O$5:$O$1504,"Completed"))</f>
        <v/>
      </c>
      <c r="O214" s="55">
        <f>IF(B214="","",SUMIFS('JOBS'!$U$5:$U$1504,'JOBS'!$D$5:$D$1504,B214))</f>
        <v/>
      </c>
      <c r="P214" s="49">
        <f>IF(B214="","",IF(COUNTIFS('RECURRING'!$B$5:$B$154,B214,'RECURRING'!$J$5:$J$154,"Active")&gt;0,"Yes","No"))</f>
        <v/>
      </c>
      <c r="Q214" s="50">
        <f>IF(L214="","",AsOf-L214)</f>
        <v/>
      </c>
      <c r="R214" s="49">
        <f>IF(B214="","",IF(H214="Do not service","—",IF(O214&gt;0.005,"Collect balance",IF(M214=0,"Book first job",IF(AND(P214="No",Q214&gt;=ReactDays),"Reactivate",IF(COUNTIF('REVIEWS'!$A$5:$A$504,B214)=0,"Ask for review",IF(AND(P214="No",M214&gt;=1),"Offer recurring plan","—")))))))</f>
        <v/>
      </c>
      <c r="S214" s="53">
        <f>IF(B214="","",COUNTIF('REFERRALS'!$B$5:$B$204,B214))</f>
        <v/>
      </c>
    </row>
    <row r="215">
      <c r="A215" s="46" t="inlineStr">
        <is>
          <t>C-211</t>
        </is>
      </c>
      <c r="B215" s="38" t="n"/>
      <c r="C215" s="38" t="n"/>
      <c r="D215" s="38" t="n"/>
      <c r="E215" s="38" t="n"/>
      <c r="F215" s="38" t="n"/>
      <c r="G215" s="38" t="n"/>
      <c r="H215" s="38" t="n"/>
      <c r="I215" s="47" t="n"/>
      <c r="J215" s="38" t="n"/>
      <c r="K215" s="52">
        <f>IF(B215="","",IF(_xlfn.MINIFS('JOBS'!$B$5:$B$1504,'JOBS'!$D$5:$D$1504,B215,'JOBS'!$O$5:$O$1504,"Completed")=0,"",_xlfn.MINIFS('JOBS'!$B$5:$B$1504,'JOBS'!$D$5:$D$1504,B215,'JOBS'!$O$5:$O$1504,"Completed")))</f>
        <v/>
      </c>
      <c r="L215" s="52">
        <f>IF(B215="","",IF(_xlfn.MAXIFS('JOBS'!$B$5:$B$1504,'JOBS'!$D$5:$D$1504,B215,'JOBS'!$O$5:$O$1504,"Completed")=0,"",_xlfn.MAXIFS('JOBS'!$B$5:$B$1504,'JOBS'!$D$5:$D$1504,B215,'JOBS'!$O$5:$O$1504,"Completed")))</f>
        <v/>
      </c>
      <c r="M215" s="53">
        <f>IF(B215="","",COUNTIFS('JOBS'!$D$5:$D$1504,B215,'JOBS'!$O$5:$O$1504,"Completed"))</f>
        <v/>
      </c>
      <c r="N215" s="54">
        <f>IF(B215="","",SUMIFS('JOBS'!$L$5:$L$1504,'JOBS'!$D$5:$D$1504,B215,'JOBS'!$O$5:$O$1504,"Completed"))</f>
        <v/>
      </c>
      <c r="O215" s="55">
        <f>IF(B215="","",SUMIFS('JOBS'!$U$5:$U$1504,'JOBS'!$D$5:$D$1504,B215))</f>
        <v/>
      </c>
      <c r="P215" s="49">
        <f>IF(B215="","",IF(COUNTIFS('RECURRING'!$B$5:$B$154,B215,'RECURRING'!$J$5:$J$154,"Active")&gt;0,"Yes","No"))</f>
        <v/>
      </c>
      <c r="Q215" s="50">
        <f>IF(L215="","",AsOf-L215)</f>
        <v/>
      </c>
      <c r="R215" s="49">
        <f>IF(B215="","",IF(H215="Do not service","—",IF(O215&gt;0.005,"Collect balance",IF(M215=0,"Book first job",IF(AND(P215="No",Q215&gt;=ReactDays),"Reactivate",IF(COUNTIF('REVIEWS'!$A$5:$A$504,B215)=0,"Ask for review",IF(AND(P215="No",M215&gt;=1),"Offer recurring plan","—")))))))</f>
        <v/>
      </c>
      <c r="S215" s="53">
        <f>IF(B215="","",COUNTIF('REFERRALS'!$B$5:$B$204,B215))</f>
        <v/>
      </c>
    </row>
    <row r="216">
      <c r="A216" s="46" t="inlineStr">
        <is>
          <t>C-212</t>
        </is>
      </c>
      <c r="B216" s="38" t="n"/>
      <c r="C216" s="38" t="n"/>
      <c r="D216" s="38" t="n"/>
      <c r="E216" s="38" t="n"/>
      <c r="F216" s="38" t="n"/>
      <c r="G216" s="38" t="n"/>
      <c r="H216" s="38" t="n"/>
      <c r="I216" s="47" t="n"/>
      <c r="J216" s="38" t="n"/>
      <c r="K216" s="52">
        <f>IF(B216="","",IF(_xlfn.MINIFS('JOBS'!$B$5:$B$1504,'JOBS'!$D$5:$D$1504,B216,'JOBS'!$O$5:$O$1504,"Completed")=0,"",_xlfn.MINIFS('JOBS'!$B$5:$B$1504,'JOBS'!$D$5:$D$1504,B216,'JOBS'!$O$5:$O$1504,"Completed")))</f>
        <v/>
      </c>
      <c r="L216" s="52">
        <f>IF(B216="","",IF(_xlfn.MAXIFS('JOBS'!$B$5:$B$1504,'JOBS'!$D$5:$D$1504,B216,'JOBS'!$O$5:$O$1504,"Completed")=0,"",_xlfn.MAXIFS('JOBS'!$B$5:$B$1504,'JOBS'!$D$5:$D$1504,B216,'JOBS'!$O$5:$O$1504,"Completed")))</f>
        <v/>
      </c>
      <c r="M216" s="53">
        <f>IF(B216="","",COUNTIFS('JOBS'!$D$5:$D$1504,B216,'JOBS'!$O$5:$O$1504,"Completed"))</f>
        <v/>
      </c>
      <c r="N216" s="54">
        <f>IF(B216="","",SUMIFS('JOBS'!$L$5:$L$1504,'JOBS'!$D$5:$D$1504,B216,'JOBS'!$O$5:$O$1504,"Completed"))</f>
        <v/>
      </c>
      <c r="O216" s="55">
        <f>IF(B216="","",SUMIFS('JOBS'!$U$5:$U$1504,'JOBS'!$D$5:$D$1504,B216))</f>
        <v/>
      </c>
      <c r="P216" s="49">
        <f>IF(B216="","",IF(COUNTIFS('RECURRING'!$B$5:$B$154,B216,'RECURRING'!$J$5:$J$154,"Active")&gt;0,"Yes","No"))</f>
        <v/>
      </c>
      <c r="Q216" s="50">
        <f>IF(L216="","",AsOf-L216)</f>
        <v/>
      </c>
      <c r="R216" s="49">
        <f>IF(B216="","",IF(H216="Do not service","—",IF(O216&gt;0.005,"Collect balance",IF(M216=0,"Book first job",IF(AND(P216="No",Q216&gt;=ReactDays),"Reactivate",IF(COUNTIF('REVIEWS'!$A$5:$A$504,B216)=0,"Ask for review",IF(AND(P216="No",M216&gt;=1),"Offer recurring plan","—")))))))</f>
        <v/>
      </c>
      <c r="S216" s="53">
        <f>IF(B216="","",COUNTIF('REFERRALS'!$B$5:$B$204,B216))</f>
        <v/>
      </c>
    </row>
    <row r="217">
      <c r="A217" s="46" t="inlineStr">
        <is>
          <t>C-213</t>
        </is>
      </c>
      <c r="B217" s="38" t="n"/>
      <c r="C217" s="38" t="n"/>
      <c r="D217" s="38" t="n"/>
      <c r="E217" s="38" t="n"/>
      <c r="F217" s="38" t="n"/>
      <c r="G217" s="38" t="n"/>
      <c r="H217" s="38" t="n"/>
      <c r="I217" s="47" t="n"/>
      <c r="J217" s="38" t="n"/>
      <c r="K217" s="52">
        <f>IF(B217="","",IF(_xlfn.MINIFS('JOBS'!$B$5:$B$1504,'JOBS'!$D$5:$D$1504,B217,'JOBS'!$O$5:$O$1504,"Completed")=0,"",_xlfn.MINIFS('JOBS'!$B$5:$B$1504,'JOBS'!$D$5:$D$1504,B217,'JOBS'!$O$5:$O$1504,"Completed")))</f>
        <v/>
      </c>
      <c r="L217" s="52">
        <f>IF(B217="","",IF(_xlfn.MAXIFS('JOBS'!$B$5:$B$1504,'JOBS'!$D$5:$D$1504,B217,'JOBS'!$O$5:$O$1504,"Completed")=0,"",_xlfn.MAXIFS('JOBS'!$B$5:$B$1504,'JOBS'!$D$5:$D$1504,B217,'JOBS'!$O$5:$O$1504,"Completed")))</f>
        <v/>
      </c>
      <c r="M217" s="53">
        <f>IF(B217="","",COUNTIFS('JOBS'!$D$5:$D$1504,B217,'JOBS'!$O$5:$O$1504,"Completed"))</f>
        <v/>
      </c>
      <c r="N217" s="54">
        <f>IF(B217="","",SUMIFS('JOBS'!$L$5:$L$1504,'JOBS'!$D$5:$D$1504,B217,'JOBS'!$O$5:$O$1504,"Completed"))</f>
        <v/>
      </c>
      <c r="O217" s="55">
        <f>IF(B217="","",SUMIFS('JOBS'!$U$5:$U$1504,'JOBS'!$D$5:$D$1504,B217))</f>
        <v/>
      </c>
      <c r="P217" s="49">
        <f>IF(B217="","",IF(COUNTIFS('RECURRING'!$B$5:$B$154,B217,'RECURRING'!$J$5:$J$154,"Active")&gt;0,"Yes","No"))</f>
        <v/>
      </c>
      <c r="Q217" s="50">
        <f>IF(L217="","",AsOf-L217)</f>
        <v/>
      </c>
      <c r="R217" s="49">
        <f>IF(B217="","",IF(H217="Do not service","—",IF(O217&gt;0.005,"Collect balance",IF(M217=0,"Book first job",IF(AND(P217="No",Q217&gt;=ReactDays),"Reactivate",IF(COUNTIF('REVIEWS'!$A$5:$A$504,B217)=0,"Ask for review",IF(AND(P217="No",M217&gt;=1),"Offer recurring plan","—")))))))</f>
        <v/>
      </c>
      <c r="S217" s="53">
        <f>IF(B217="","",COUNTIF('REFERRALS'!$B$5:$B$204,B217))</f>
        <v/>
      </c>
    </row>
    <row r="218">
      <c r="A218" s="46" t="inlineStr">
        <is>
          <t>C-214</t>
        </is>
      </c>
      <c r="B218" s="38" t="n"/>
      <c r="C218" s="38" t="n"/>
      <c r="D218" s="38" t="n"/>
      <c r="E218" s="38" t="n"/>
      <c r="F218" s="38" t="n"/>
      <c r="G218" s="38" t="n"/>
      <c r="H218" s="38" t="n"/>
      <c r="I218" s="47" t="n"/>
      <c r="J218" s="38" t="n"/>
      <c r="K218" s="52">
        <f>IF(B218="","",IF(_xlfn.MINIFS('JOBS'!$B$5:$B$1504,'JOBS'!$D$5:$D$1504,B218,'JOBS'!$O$5:$O$1504,"Completed")=0,"",_xlfn.MINIFS('JOBS'!$B$5:$B$1504,'JOBS'!$D$5:$D$1504,B218,'JOBS'!$O$5:$O$1504,"Completed")))</f>
        <v/>
      </c>
      <c r="L218" s="52">
        <f>IF(B218="","",IF(_xlfn.MAXIFS('JOBS'!$B$5:$B$1504,'JOBS'!$D$5:$D$1504,B218,'JOBS'!$O$5:$O$1504,"Completed")=0,"",_xlfn.MAXIFS('JOBS'!$B$5:$B$1504,'JOBS'!$D$5:$D$1504,B218,'JOBS'!$O$5:$O$1504,"Completed")))</f>
        <v/>
      </c>
      <c r="M218" s="53">
        <f>IF(B218="","",COUNTIFS('JOBS'!$D$5:$D$1504,B218,'JOBS'!$O$5:$O$1504,"Completed"))</f>
        <v/>
      </c>
      <c r="N218" s="54">
        <f>IF(B218="","",SUMIFS('JOBS'!$L$5:$L$1504,'JOBS'!$D$5:$D$1504,B218,'JOBS'!$O$5:$O$1504,"Completed"))</f>
        <v/>
      </c>
      <c r="O218" s="55">
        <f>IF(B218="","",SUMIFS('JOBS'!$U$5:$U$1504,'JOBS'!$D$5:$D$1504,B218))</f>
        <v/>
      </c>
      <c r="P218" s="49">
        <f>IF(B218="","",IF(COUNTIFS('RECURRING'!$B$5:$B$154,B218,'RECURRING'!$J$5:$J$154,"Active")&gt;0,"Yes","No"))</f>
        <v/>
      </c>
      <c r="Q218" s="50">
        <f>IF(L218="","",AsOf-L218)</f>
        <v/>
      </c>
      <c r="R218" s="49">
        <f>IF(B218="","",IF(H218="Do not service","—",IF(O218&gt;0.005,"Collect balance",IF(M218=0,"Book first job",IF(AND(P218="No",Q218&gt;=ReactDays),"Reactivate",IF(COUNTIF('REVIEWS'!$A$5:$A$504,B218)=0,"Ask for review",IF(AND(P218="No",M218&gt;=1),"Offer recurring plan","—")))))))</f>
        <v/>
      </c>
      <c r="S218" s="53">
        <f>IF(B218="","",COUNTIF('REFERRALS'!$B$5:$B$204,B218))</f>
        <v/>
      </c>
    </row>
    <row r="219">
      <c r="A219" s="46" t="inlineStr">
        <is>
          <t>C-215</t>
        </is>
      </c>
      <c r="B219" s="38" t="n"/>
      <c r="C219" s="38" t="n"/>
      <c r="D219" s="38" t="n"/>
      <c r="E219" s="38" t="n"/>
      <c r="F219" s="38" t="n"/>
      <c r="G219" s="38" t="n"/>
      <c r="H219" s="38" t="n"/>
      <c r="I219" s="47" t="n"/>
      <c r="J219" s="38" t="n"/>
      <c r="K219" s="52">
        <f>IF(B219="","",IF(_xlfn.MINIFS('JOBS'!$B$5:$B$1504,'JOBS'!$D$5:$D$1504,B219,'JOBS'!$O$5:$O$1504,"Completed")=0,"",_xlfn.MINIFS('JOBS'!$B$5:$B$1504,'JOBS'!$D$5:$D$1504,B219,'JOBS'!$O$5:$O$1504,"Completed")))</f>
        <v/>
      </c>
      <c r="L219" s="52">
        <f>IF(B219="","",IF(_xlfn.MAXIFS('JOBS'!$B$5:$B$1504,'JOBS'!$D$5:$D$1504,B219,'JOBS'!$O$5:$O$1504,"Completed")=0,"",_xlfn.MAXIFS('JOBS'!$B$5:$B$1504,'JOBS'!$D$5:$D$1504,B219,'JOBS'!$O$5:$O$1504,"Completed")))</f>
        <v/>
      </c>
      <c r="M219" s="53">
        <f>IF(B219="","",COUNTIFS('JOBS'!$D$5:$D$1504,B219,'JOBS'!$O$5:$O$1504,"Completed"))</f>
        <v/>
      </c>
      <c r="N219" s="54">
        <f>IF(B219="","",SUMIFS('JOBS'!$L$5:$L$1504,'JOBS'!$D$5:$D$1504,B219,'JOBS'!$O$5:$O$1504,"Completed"))</f>
        <v/>
      </c>
      <c r="O219" s="55">
        <f>IF(B219="","",SUMIFS('JOBS'!$U$5:$U$1504,'JOBS'!$D$5:$D$1504,B219))</f>
        <v/>
      </c>
      <c r="P219" s="49">
        <f>IF(B219="","",IF(COUNTIFS('RECURRING'!$B$5:$B$154,B219,'RECURRING'!$J$5:$J$154,"Active")&gt;0,"Yes","No"))</f>
        <v/>
      </c>
      <c r="Q219" s="50">
        <f>IF(L219="","",AsOf-L219)</f>
        <v/>
      </c>
      <c r="R219" s="49">
        <f>IF(B219="","",IF(H219="Do not service","—",IF(O219&gt;0.005,"Collect balance",IF(M219=0,"Book first job",IF(AND(P219="No",Q219&gt;=ReactDays),"Reactivate",IF(COUNTIF('REVIEWS'!$A$5:$A$504,B219)=0,"Ask for review",IF(AND(P219="No",M219&gt;=1),"Offer recurring plan","—")))))))</f>
        <v/>
      </c>
      <c r="S219" s="53">
        <f>IF(B219="","",COUNTIF('REFERRALS'!$B$5:$B$204,B219))</f>
        <v/>
      </c>
    </row>
    <row r="220">
      <c r="A220" s="46" t="inlineStr">
        <is>
          <t>C-216</t>
        </is>
      </c>
      <c r="B220" s="38" t="n"/>
      <c r="C220" s="38" t="n"/>
      <c r="D220" s="38" t="n"/>
      <c r="E220" s="38" t="n"/>
      <c r="F220" s="38" t="n"/>
      <c r="G220" s="38" t="n"/>
      <c r="H220" s="38" t="n"/>
      <c r="I220" s="47" t="n"/>
      <c r="J220" s="38" t="n"/>
      <c r="K220" s="52">
        <f>IF(B220="","",IF(_xlfn.MINIFS('JOBS'!$B$5:$B$1504,'JOBS'!$D$5:$D$1504,B220,'JOBS'!$O$5:$O$1504,"Completed")=0,"",_xlfn.MINIFS('JOBS'!$B$5:$B$1504,'JOBS'!$D$5:$D$1504,B220,'JOBS'!$O$5:$O$1504,"Completed")))</f>
        <v/>
      </c>
      <c r="L220" s="52">
        <f>IF(B220="","",IF(_xlfn.MAXIFS('JOBS'!$B$5:$B$1504,'JOBS'!$D$5:$D$1504,B220,'JOBS'!$O$5:$O$1504,"Completed")=0,"",_xlfn.MAXIFS('JOBS'!$B$5:$B$1504,'JOBS'!$D$5:$D$1504,B220,'JOBS'!$O$5:$O$1504,"Completed")))</f>
        <v/>
      </c>
      <c r="M220" s="53">
        <f>IF(B220="","",COUNTIFS('JOBS'!$D$5:$D$1504,B220,'JOBS'!$O$5:$O$1504,"Completed"))</f>
        <v/>
      </c>
      <c r="N220" s="54">
        <f>IF(B220="","",SUMIFS('JOBS'!$L$5:$L$1504,'JOBS'!$D$5:$D$1504,B220,'JOBS'!$O$5:$O$1504,"Completed"))</f>
        <v/>
      </c>
      <c r="O220" s="55">
        <f>IF(B220="","",SUMIFS('JOBS'!$U$5:$U$1504,'JOBS'!$D$5:$D$1504,B220))</f>
        <v/>
      </c>
      <c r="P220" s="49">
        <f>IF(B220="","",IF(COUNTIFS('RECURRING'!$B$5:$B$154,B220,'RECURRING'!$J$5:$J$154,"Active")&gt;0,"Yes","No"))</f>
        <v/>
      </c>
      <c r="Q220" s="50">
        <f>IF(L220="","",AsOf-L220)</f>
        <v/>
      </c>
      <c r="R220" s="49">
        <f>IF(B220="","",IF(H220="Do not service","—",IF(O220&gt;0.005,"Collect balance",IF(M220=0,"Book first job",IF(AND(P220="No",Q220&gt;=ReactDays),"Reactivate",IF(COUNTIF('REVIEWS'!$A$5:$A$504,B220)=0,"Ask for review",IF(AND(P220="No",M220&gt;=1),"Offer recurring plan","—")))))))</f>
        <v/>
      </c>
      <c r="S220" s="53">
        <f>IF(B220="","",COUNTIF('REFERRALS'!$B$5:$B$204,B220))</f>
        <v/>
      </c>
    </row>
    <row r="221">
      <c r="A221" s="46" t="inlineStr">
        <is>
          <t>C-217</t>
        </is>
      </c>
      <c r="B221" s="38" t="n"/>
      <c r="C221" s="38" t="n"/>
      <c r="D221" s="38" t="n"/>
      <c r="E221" s="38" t="n"/>
      <c r="F221" s="38" t="n"/>
      <c r="G221" s="38" t="n"/>
      <c r="H221" s="38" t="n"/>
      <c r="I221" s="47" t="n"/>
      <c r="J221" s="38" t="n"/>
      <c r="K221" s="52">
        <f>IF(B221="","",IF(_xlfn.MINIFS('JOBS'!$B$5:$B$1504,'JOBS'!$D$5:$D$1504,B221,'JOBS'!$O$5:$O$1504,"Completed")=0,"",_xlfn.MINIFS('JOBS'!$B$5:$B$1504,'JOBS'!$D$5:$D$1504,B221,'JOBS'!$O$5:$O$1504,"Completed")))</f>
        <v/>
      </c>
      <c r="L221" s="52">
        <f>IF(B221="","",IF(_xlfn.MAXIFS('JOBS'!$B$5:$B$1504,'JOBS'!$D$5:$D$1504,B221,'JOBS'!$O$5:$O$1504,"Completed")=0,"",_xlfn.MAXIFS('JOBS'!$B$5:$B$1504,'JOBS'!$D$5:$D$1504,B221,'JOBS'!$O$5:$O$1504,"Completed")))</f>
        <v/>
      </c>
      <c r="M221" s="53">
        <f>IF(B221="","",COUNTIFS('JOBS'!$D$5:$D$1504,B221,'JOBS'!$O$5:$O$1504,"Completed"))</f>
        <v/>
      </c>
      <c r="N221" s="54">
        <f>IF(B221="","",SUMIFS('JOBS'!$L$5:$L$1504,'JOBS'!$D$5:$D$1504,B221,'JOBS'!$O$5:$O$1504,"Completed"))</f>
        <v/>
      </c>
      <c r="O221" s="55">
        <f>IF(B221="","",SUMIFS('JOBS'!$U$5:$U$1504,'JOBS'!$D$5:$D$1504,B221))</f>
        <v/>
      </c>
      <c r="P221" s="49">
        <f>IF(B221="","",IF(COUNTIFS('RECURRING'!$B$5:$B$154,B221,'RECURRING'!$J$5:$J$154,"Active")&gt;0,"Yes","No"))</f>
        <v/>
      </c>
      <c r="Q221" s="50">
        <f>IF(L221="","",AsOf-L221)</f>
        <v/>
      </c>
      <c r="R221" s="49">
        <f>IF(B221="","",IF(H221="Do not service","—",IF(O221&gt;0.005,"Collect balance",IF(M221=0,"Book first job",IF(AND(P221="No",Q221&gt;=ReactDays),"Reactivate",IF(COUNTIF('REVIEWS'!$A$5:$A$504,B221)=0,"Ask for review",IF(AND(P221="No",M221&gt;=1),"Offer recurring plan","—")))))))</f>
        <v/>
      </c>
      <c r="S221" s="53">
        <f>IF(B221="","",COUNTIF('REFERRALS'!$B$5:$B$204,B221))</f>
        <v/>
      </c>
    </row>
    <row r="222">
      <c r="A222" s="46" t="inlineStr">
        <is>
          <t>C-218</t>
        </is>
      </c>
      <c r="B222" s="38" t="n"/>
      <c r="C222" s="38" t="n"/>
      <c r="D222" s="38" t="n"/>
      <c r="E222" s="38" t="n"/>
      <c r="F222" s="38" t="n"/>
      <c r="G222" s="38" t="n"/>
      <c r="H222" s="38" t="n"/>
      <c r="I222" s="47" t="n"/>
      <c r="J222" s="38" t="n"/>
      <c r="K222" s="52">
        <f>IF(B222="","",IF(_xlfn.MINIFS('JOBS'!$B$5:$B$1504,'JOBS'!$D$5:$D$1504,B222,'JOBS'!$O$5:$O$1504,"Completed")=0,"",_xlfn.MINIFS('JOBS'!$B$5:$B$1504,'JOBS'!$D$5:$D$1504,B222,'JOBS'!$O$5:$O$1504,"Completed")))</f>
        <v/>
      </c>
      <c r="L222" s="52">
        <f>IF(B222="","",IF(_xlfn.MAXIFS('JOBS'!$B$5:$B$1504,'JOBS'!$D$5:$D$1504,B222,'JOBS'!$O$5:$O$1504,"Completed")=0,"",_xlfn.MAXIFS('JOBS'!$B$5:$B$1504,'JOBS'!$D$5:$D$1504,B222,'JOBS'!$O$5:$O$1504,"Completed")))</f>
        <v/>
      </c>
      <c r="M222" s="53">
        <f>IF(B222="","",COUNTIFS('JOBS'!$D$5:$D$1504,B222,'JOBS'!$O$5:$O$1504,"Completed"))</f>
        <v/>
      </c>
      <c r="N222" s="54">
        <f>IF(B222="","",SUMIFS('JOBS'!$L$5:$L$1504,'JOBS'!$D$5:$D$1504,B222,'JOBS'!$O$5:$O$1504,"Completed"))</f>
        <v/>
      </c>
      <c r="O222" s="55">
        <f>IF(B222="","",SUMIFS('JOBS'!$U$5:$U$1504,'JOBS'!$D$5:$D$1504,B222))</f>
        <v/>
      </c>
      <c r="P222" s="49">
        <f>IF(B222="","",IF(COUNTIFS('RECURRING'!$B$5:$B$154,B222,'RECURRING'!$J$5:$J$154,"Active")&gt;0,"Yes","No"))</f>
        <v/>
      </c>
      <c r="Q222" s="50">
        <f>IF(L222="","",AsOf-L222)</f>
        <v/>
      </c>
      <c r="R222" s="49">
        <f>IF(B222="","",IF(H222="Do not service","—",IF(O222&gt;0.005,"Collect balance",IF(M222=0,"Book first job",IF(AND(P222="No",Q222&gt;=ReactDays),"Reactivate",IF(COUNTIF('REVIEWS'!$A$5:$A$504,B222)=0,"Ask for review",IF(AND(P222="No",M222&gt;=1),"Offer recurring plan","—")))))))</f>
        <v/>
      </c>
      <c r="S222" s="53">
        <f>IF(B222="","",COUNTIF('REFERRALS'!$B$5:$B$204,B222))</f>
        <v/>
      </c>
    </row>
    <row r="223">
      <c r="A223" s="46" t="inlineStr">
        <is>
          <t>C-219</t>
        </is>
      </c>
      <c r="B223" s="38" t="n"/>
      <c r="C223" s="38" t="n"/>
      <c r="D223" s="38" t="n"/>
      <c r="E223" s="38" t="n"/>
      <c r="F223" s="38" t="n"/>
      <c r="G223" s="38" t="n"/>
      <c r="H223" s="38" t="n"/>
      <c r="I223" s="47" t="n"/>
      <c r="J223" s="38" t="n"/>
      <c r="K223" s="52">
        <f>IF(B223="","",IF(_xlfn.MINIFS('JOBS'!$B$5:$B$1504,'JOBS'!$D$5:$D$1504,B223,'JOBS'!$O$5:$O$1504,"Completed")=0,"",_xlfn.MINIFS('JOBS'!$B$5:$B$1504,'JOBS'!$D$5:$D$1504,B223,'JOBS'!$O$5:$O$1504,"Completed")))</f>
        <v/>
      </c>
      <c r="L223" s="52">
        <f>IF(B223="","",IF(_xlfn.MAXIFS('JOBS'!$B$5:$B$1504,'JOBS'!$D$5:$D$1504,B223,'JOBS'!$O$5:$O$1504,"Completed")=0,"",_xlfn.MAXIFS('JOBS'!$B$5:$B$1504,'JOBS'!$D$5:$D$1504,B223,'JOBS'!$O$5:$O$1504,"Completed")))</f>
        <v/>
      </c>
      <c r="M223" s="53">
        <f>IF(B223="","",COUNTIFS('JOBS'!$D$5:$D$1504,B223,'JOBS'!$O$5:$O$1504,"Completed"))</f>
        <v/>
      </c>
      <c r="N223" s="54">
        <f>IF(B223="","",SUMIFS('JOBS'!$L$5:$L$1504,'JOBS'!$D$5:$D$1504,B223,'JOBS'!$O$5:$O$1504,"Completed"))</f>
        <v/>
      </c>
      <c r="O223" s="55">
        <f>IF(B223="","",SUMIFS('JOBS'!$U$5:$U$1504,'JOBS'!$D$5:$D$1504,B223))</f>
        <v/>
      </c>
      <c r="P223" s="49">
        <f>IF(B223="","",IF(COUNTIFS('RECURRING'!$B$5:$B$154,B223,'RECURRING'!$J$5:$J$154,"Active")&gt;0,"Yes","No"))</f>
        <v/>
      </c>
      <c r="Q223" s="50">
        <f>IF(L223="","",AsOf-L223)</f>
        <v/>
      </c>
      <c r="R223" s="49">
        <f>IF(B223="","",IF(H223="Do not service","—",IF(O223&gt;0.005,"Collect balance",IF(M223=0,"Book first job",IF(AND(P223="No",Q223&gt;=ReactDays),"Reactivate",IF(COUNTIF('REVIEWS'!$A$5:$A$504,B223)=0,"Ask for review",IF(AND(P223="No",M223&gt;=1),"Offer recurring plan","—")))))))</f>
        <v/>
      </c>
      <c r="S223" s="53">
        <f>IF(B223="","",COUNTIF('REFERRALS'!$B$5:$B$204,B223))</f>
        <v/>
      </c>
    </row>
    <row r="224">
      <c r="A224" s="46" t="inlineStr">
        <is>
          <t>C-220</t>
        </is>
      </c>
      <c r="B224" s="38" t="n"/>
      <c r="C224" s="38" t="n"/>
      <c r="D224" s="38" t="n"/>
      <c r="E224" s="38" t="n"/>
      <c r="F224" s="38" t="n"/>
      <c r="G224" s="38" t="n"/>
      <c r="H224" s="38" t="n"/>
      <c r="I224" s="47" t="n"/>
      <c r="J224" s="38" t="n"/>
      <c r="K224" s="52">
        <f>IF(B224="","",IF(_xlfn.MINIFS('JOBS'!$B$5:$B$1504,'JOBS'!$D$5:$D$1504,B224,'JOBS'!$O$5:$O$1504,"Completed")=0,"",_xlfn.MINIFS('JOBS'!$B$5:$B$1504,'JOBS'!$D$5:$D$1504,B224,'JOBS'!$O$5:$O$1504,"Completed")))</f>
        <v/>
      </c>
      <c r="L224" s="52">
        <f>IF(B224="","",IF(_xlfn.MAXIFS('JOBS'!$B$5:$B$1504,'JOBS'!$D$5:$D$1504,B224,'JOBS'!$O$5:$O$1504,"Completed")=0,"",_xlfn.MAXIFS('JOBS'!$B$5:$B$1504,'JOBS'!$D$5:$D$1504,B224,'JOBS'!$O$5:$O$1504,"Completed")))</f>
        <v/>
      </c>
      <c r="M224" s="53">
        <f>IF(B224="","",COUNTIFS('JOBS'!$D$5:$D$1504,B224,'JOBS'!$O$5:$O$1504,"Completed"))</f>
        <v/>
      </c>
      <c r="N224" s="54">
        <f>IF(B224="","",SUMIFS('JOBS'!$L$5:$L$1504,'JOBS'!$D$5:$D$1504,B224,'JOBS'!$O$5:$O$1504,"Completed"))</f>
        <v/>
      </c>
      <c r="O224" s="55">
        <f>IF(B224="","",SUMIFS('JOBS'!$U$5:$U$1504,'JOBS'!$D$5:$D$1504,B224))</f>
        <v/>
      </c>
      <c r="P224" s="49">
        <f>IF(B224="","",IF(COUNTIFS('RECURRING'!$B$5:$B$154,B224,'RECURRING'!$J$5:$J$154,"Active")&gt;0,"Yes","No"))</f>
        <v/>
      </c>
      <c r="Q224" s="50">
        <f>IF(L224="","",AsOf-L224)</f>
        <v/>
      </c>
      <c r="R224" s="49">
        <f>IF(B224="","",IF(H224="Do not service","—",IF(O224&gt;0.005,"Collect balance",IF(M224=0,"Book first job",IF(AND(P224="No",Q224&gt;=ReactDays),"Reactivate",IF(COUNTIF('REVIEWS'!$A$5:$A$504,B224)=0,"Ask for review",IF(AND(P224="No",M224&gt;=1),"Offer recurring plan","—")))))))</f>
        <v/>
      </c>
      <c r="S224" s="53">
        <f>IF(B224="","",COUNTIF('REFERRALS'!$B$5:$B$204,B224))</f>
        <v/>
      </c>
    </row>
    <row r="225">
      <c r="A225" s="46" t="inlineStr">
        <is>
          <t>C-221</t>
        </is>
      </c>
      <c r="B225" s="38" t="n"/>
      <c r="C225" s="38" t="n"/>
      <c r="D225" s="38" t="n"/>
      <c r="E225" s="38" t="n"/>
      <c r="F225" s="38" t="n"/>
      <c r="G225" s="38" t="n"/>
      <c r="H225" s="38" t="n"/>
      <c r="I225" s="47" t="n"/>
      <c r="J225" s="38" t="n"/>
      <c r="K225" s="52">
        <f>IF(B225="","",IF(_xlfn.MINIFS('JOBS'!$B$5:$B$1504,'JOBS'!$D$5:$D$1504,B225,'JOBS'!$O$5:$O$1504,"Completed")=0,"",_xlfn.MINIFS('JOBS'!$B$5:$B$1504,'JOBS'!$D$5:$D$1504,B225,'JOBS'!$O$5:$O$1504,"Completed")))</f>
        <v/>
      </c>
      <c r="L225" s="52">
        <f>IF(B225="","",IF(_xlfn.MAXIFS('JOBS'!$B$5:$B$1504,'JOBS'!$D$5:$D$1504,B225,'JOBS'!$O$5:$O$1504,"Completed")=0,"",_xlfn.MAXIFS('JOBS'!$B$5:$B$1504,'JOBS'!$D$5:$D$1504,B225,'JOBS'!$O$5:$O$1504,"Completed")))</f>
        <v/>
      </c>
      <c r="M225" s="53">
        <f>IF(B225="","",COUNTIFS('JOBS'!$D$5:$D$1504,B225,'JOBS'!$O$5:$O$1504,"Completed"))</f>
        <v/>
      </c>
      <c r="N225" s="54">
        <f>IF(B225="","",SUMIFS('JOBS'!$L$5:$L$1504,'JOBS'!$D$5:$D$1504,B225,'JOBS'!$O$5:$O$1504,"Completed"))</f>
        <v/>
      </c>
      <c r="O225" s="55">
        <f>IF(B225="","",SUMIFS('JOBS'!$U$5:$U$1504,'JOBS'!$D$5:$D$1504,B225))</f>
        <v/>
      </c>
      <c r="P225" s="49">
        <f>IF(B225="","",IF(COUNTIFS('RECURRING'!$B$5:$B$154,B225,'RECURRING'!$J$5:$J$154,"Active")&gt;0,"Yes","No"))</f>
        <v/>
      </c>
      <c r="Q225" s="50">
        <f>IF(L225="","",AsOf-L225)</f>
        <v/>
      </c>
      <c r="R225" s="49">
        <f>IF(B225="","",IF(H225="Do not service","—",IF(O225&gt;0.005,"Collect balance",IF(M225=0,"Book first job",IF(AND(P225="No",Q225&gt;=ReactDays),"Reactivate",IF(COUNTIF('REVIEWS'!$A$5:$A$504,B225)=0,"Ask for review",IF(AND(P225="No",M225&gt;=1),"Offer recurring plan","—")))))))</f>
        <v/>
      </c>
      <c r="S225" s="53">
        <f>IF(B225="","",COUNTIF('REFERRALS'!$B$5:$B$204,B225))</f>
        <v/>
      </c>
    </row>
    <row r="226">
      <c r="A226" s="46" t="inlineStr">
        <is>
          <t>C-222</t>
        </is>
      </c>
      <c r="B226" s="38" t="n"/>
      <c r="C226" s="38" t="n"/>
      <c r="D226" s="38" t="n"/>
      <c r="E226" s="38" t="n"/>
      <c r="F226" s="38" t="n"/>
      <c r="G226" s="38" t="n"/>
      <c r="H226" s="38" t="n"/>
      <c r="I226" s="47" t="n"/>
      <c r="J226" s="38" t="n"/>
      <c r="K226" s="52">
        <f>IF(B226="","",IF(_xlfn.MINIFS('JOBS'!$B$5:$B$1504,'JOBS'!$D$5:$D$1504,B226,'JOBS'!$O$5:$O$1504,"Completed")=0,"",_xlfn.MINIFS('JOBS'!$B$5:$B$1504,'JOBS'!$D$5:$D$1504,B226,'JOBS'!$O$5:$O$1504,"Completed")))</f>
        <v/>
      </c>
      <c r="L226" s="52">
        <f>IF(B226="","",IF(_xlfn.MAXIFS('JOBS'!$B$5:$B$1504,'JOBS'!$D$5:$D$1504,B226,'JOBS'!$O$5:$O$1504,"Completed")=0,"",_xlfn.MAXIFS('JOBS'!$B$5:$B$1504,'JOBS'!$D$5:$D$1504,B226,'JOBS'!$O$5:$O$1504,"Completed")))</f>
        <v/>
      </c>
      <c r="M226" s="53">
        <f>IF(B226="","",COUNTIFS('JOBS'!$D$5:$D$1504,B226,'JOBS'!$O$5:$O$1504,"Completed"))</f>
        <v/>
      </c>
      <c r="N226" s="54">
        <f>IF(B226="","",SUMIFS('JOBS'!$L$5:$L$1504,'JOBS'!$D$5:$D$1504,B226,'JOBS'!$O$5:$O$1504,"Completed"))</f>
        <v/>
      </c>
      <c r="O226" s="55">
        <f>IF(B226="","",SUMIFS('JOBS'!$U$5:$U$1504,'JOBS'!$D$5:$D$1504,B226))</f>
        <v/>
      </c>
      <c r="P226" s="49">
        <f>IF(B226="","",IF(COUNTIFS('RECURRING'!$B$5:$B$154,B226,'RECURRING'!$J$5:$J$154,"Active")&gt;0,"Yes","No"))</f>
        <v/>
      </c>
      <c r="Q226" s="50">
        <f>IF(L226="","",AsOf-L226)</f>
        <v/>
      </c>
      <c r="R226" s="49">
        <f>IF(B226="","",IF(H226="Do not service","—",IF(O226&gt;0.005,"Collect balance",IF(M226=0,"Book first job",IF(AND(P226="No",Q226&gt;=ReactDays),"Reactivate",IF(COUNTIF('REVIEWS'!$A$5:$A$504,B226)=0,"Ask for review",IF(AND(P226="No",M226&gt;=1),"Offer recurring plan","—")))))))</f>
        <v/>
      </c>
      <c r="S226" s="53">
        <f>IF(B226="","",COUNTIF('REFERRALS'!$B$5:$B$204,B226))</f>
        <v/>
      </c>
    </row>
    <row r="227">
      <c r="A227" s="46" t="inlineStr">
        <is>
          <t>C-223</t>
        </is>
      </c>
      <c r="B227" s="38" t="n"/>
      <c r="C227" s="38" t="n"/>
      <c r="D227" s="38" t="n"/>
      <c r="E227" s="38" t="n"/>
      <c r="F227" s="38" t="n"/>
      <c r="G227" s="38" t="n"/>
      <c r="H227" s="38" t="n"/>
      <c r="I227" s="47" t="n"/>
      <c r="J227" s="38" t="n"/>
      <c r="K227" s="52">
        <f>IF(B227="","",IF(_xlfn.MINIFS('JOBS'!$B$5:$B$1504,'JOBS'!$D$5:$D$1504,B227,'JOBS'!$O$5:$O$1504,"Completed")=0,"",_xlfn.MINIFS('JOBS'!$B$5:$B$1504,'JOBS'!$D$5:$D$1504,B227,'JOBS'!$O$5:$O$1504,"Completed")))</f>
        <v/>
      </c>
      <c r="L227" s="52">
        <f>IF(B227="","",IF(_xlfn.MAXIFS('JOBS'!$B$5:$B$1504,'JOBS'!$D$5:$D$1504,B227,'JOBS'!$O$5:$O$1504,"Completed")=0,"",_xlfn.MAXIFS('JOBS'!$B$5:$B$1504,'JOBS'!$D$5:$D$1504,B227,'JOBS'!$O$5:$O$1504,"Completed")))</f>
        <v/>
      </c>
      <c r="M227" s="53">
        <f>IF(B227="","",COUNTIFS('JOBS'!$D$5:$D$1504,B227,'JOBS'!$O$5:$O$1504,"Completed"))</f>
        <v/>
      </c>
      <c r="N227" s="54">
        <f>IF(B227="","",SUMIFS('JOBS'!$L$5:$L$1504,'JOBS'!$D$5:$D$1504,B227,'JOBS'!$O$5:$O$1504,"Completed"))</f>
        <v/>
      </c>
      <c r="O227" s="55">
        <f>IF(B227="","",SUMIFS('JOBS'!$U$5:$U$1504,'JOBS'!$D$5:$D$1504,B227))</f>
        <v/>
      </c>
      <c r="P227" s="49">
        <f>IF(B227="","",IF(COUNTIFS('RECURRING'!$B$5:$B$154,B227,'RECURRING'!$J$5:$J$154,"Active")&gt;0,"Yes","No"))</f>
        <v/>
      </c>
      <c r="Q227" s="50">
        <f>IF(L227="","",AsOf-L227)</f>
        <v/>
      </c>
      <c r="R227" s="49">
        <f>IF(B227="","",IF(H227="Do not service","—",IF(O227&gt;0.005,"Collect balance",IF(M227=0,"Book first job",IF(AND(P227="No",Q227&gt;=ReactDays),"Reactivate",IF(COUNTIF('REVIEWS'!$A$5:$A$504,B227)=0,"Ask for review",IF(AND(P227="No",M227&gt;=1),"Offer recurring plan","—")))))))</f>
        <v/>
      </c>
      <c r="S227" s="53">
        <f>IF(B227="","",COUNTIF('REFERRALS'!$B$5:$B$204,B227))</f>
        <v/>
      </c>
    </row>
    <row r="228">
      <c r="A228" s="46" t="inlineStr">
        <is>
          <t>C-224</t>
        </is>
      </c>
      <c r="B228" s="38" t="n"/>
      <c r="C228" s="38" t="n"/>
      <c r="D228" s="38" t="n"/>
      <c r="E228" s="38" t="n"/>
      <c r="F228" s="38" t="n"/>
      <c r="G228" s="38" t="n"/>
      <c r="H228" s="38" t="n"/>
      <c r="I228" s="47" t="n"/>
      <c r="J228" s="38" t="n"/>
      <c r="K228" s="52">
        <f>IF(B228="","",IF(_xlfn.MINIFS('JOBS'!$B$5:$B$1504,'JOBS'!$D$5:$D$1504,B228,'JOBS'!$O$5:$O$1504,"Completed")=0,"",_xlfn.MINIFS('JOBS'!$B$5:$B$1504,'JOBS'!$D$5:$D$1504,B228,'JOBS'!$O$5:$O$1504,"Completed")))</f>
        <v/>
      </c>
      <c r="L228" s="52">
        <f>IF(B228="","",IF(_xlfn.MAXIFS('JOBS'!$B$5:$B$1504,'JOBS'!$D$5:$D$1504,B228,'JOBS'!$O$5:$O$1504,"Completed")=0,"",_xlfn.MAXIFS('JOBS'!$B$5:$B$1504,'JOBS'!$D$5:$D$1504,B228,'JOBS'!$O$5:$O$1504,"Completed")))</f>
        <v/>
      </c>
      <c r="M228" s="53">
        <f>IF(B228="","",COUNTIFS('JOBS'!$D$5:$D$1504,B228,'JOBS'!$O$5:$O$1504,"Completed"))</f>
        <v/>
      </c>
      <c r="N228" s="54">
        <f>IF(B228="","",SUMIFS('JOBS'!$L$5:$L$1504,'JOBS'!$D$5:$D$1504,B228,'JOBS'!$O$5:$O$1504,"Completed"))</f>
        <v/>
      </c>
      <c r="O228" s="55">
        <f>IF(B228="","",SUMIFS('JOBS'!$U$5:$U$1504,'JOBS'!$D$5:$D$1504,B228))</f>
        <v/>
      </c>
      <c r="P228" s="49">
        <f>IF(B228="","",IF(COUNTIFS('RECURRING'!$B$5:$B$154,B228,'RECURRING'!$J$5:$J$154,"Active")&gt;0,"Yes","No"))</f>
        <v/>
      </c>
      <c r="Q228" s="50">
        <f>IF(L228="","",AsOf-L228)</f>
        <v/>
      </c>
      <c r="R228" s="49">
        <f>IF(B228="","",IF(H228="Do not service","—",IF(O228&gt;0.005,"Collect balance",IF(M228=0,"Book first job",IF(AND(P228="No",Q228&gt;=ReactDays),"Reactivate",IF(COUNTIF('REVIEWS'!$A$5:$A$504,B228)=0,"Ask for review",IF(AND(P228="No",M228&gt;=1),"Offer recurring plan","—")))))))</f>
        <v/>
      </c>
      <c r="S228" s="53">
        <f>IF(B228="","",COUNTIF('REFERRALS'!$B$5:$B$204,B228))</f>
        <v/>
      </c>
    </row>
    <row r="229">
      <c r="A229" s="46" t="inlineStr">
        <is>
          <t>C-225</t>
        </is>
      </c>
      <c r="B229" s="38" t="n"/>
      <c r="C229" s="38" t="n"/>
      <c r="D229" s="38" t="n"/>
      <c r="E229" s="38" t="n"/>
      <c r="F229" s="38" t="n"/>
      <c r="G229" s="38" t="n"/>
      <c r="H229" s="38" t="n"/>
      <c r="I229" s="47" t="n"/>
      <c r="J229" s="38" t="n"/>
      <c r="K229" s="52">
        <f>IF(B229="","",IF(_xlfn.MINIFS('JOBS'!$B$5:$B$1504,'JOBS'!$D$5:$D$1504,B229,'JOBS'!$O$5:$O$1504,"Completed")=0,"",_xlfn.MINIFS('JOBS'!$B$5:$B$1504,'JOBS'!$D$5:$D$1504,B229,'JOBS'!$O$5:$O$1504,"Completed")))</f>
        <v/>
      </c>
      <c r="L229" s="52">
        <f>IF(B229="","",IF(_xlfn.MAXIFS('JOBS'!$B$5:$B$1504,'JOBS'!$D$5:$D$1504,B229,'JOBS'!$O$5:$O$1504,"Completed")=0,"",_xlfn.MAXIFS('JOBS'!$B$5:$B$1504,'JOBS'!$D$5:$D$1504,B229,'JOBS'!$O$5:$O$1504,"Completed")))</f>
        <v/>
      </c>
      <c r="M229" s="53">
        <f>IF(B229="","",COUNTIFS('JOBS'!$D$5:$D$1504,B229,'JOBS'!$O$5:$O$1504,"Completed"))</f>
        <v/>
      </c>
      <c r="N229" s="54">
        <f>IF(B229="","",SUMIFS('JOBS'!$L$5:$L$1504,'JOBS'!$D$5:$D$1504,B229,'JOBS'!$O$5:$O$1504,"Completed"))</f>
        <v/>
      </c>
      <c r="O229" s="55">
        <f>IF(B229="","",SUMIFS('JOBS'!$U$5:$U$1504,'JOBS'!$D$5:$D$1504,B229))</f>
        <v/>
      </c>
      <c r="P229" s="49">
        <f>IF(B229="","",IF(COUNTIFS('RECURRING'!$B$5:$B$154,B229,'RECURRING'!$J$5:$J$154,"Active")&gt;0,"Yes","No"))</f>
        <v/>
      </c>
      <c r="Q229" s="50">
        <f>IF(L229="","",AsOf-L229)</f>
        <v/>
      </c>
      <c r="R229" s="49">
        <f>IF(B229="","",IF(H229="Do not service","—",IF(O229&gt;0.005,"Collect balance",IF(M229=0,"Book first job",IF(AND(P229="No",Q229&gt;=ReactDays),"Reactivate",IF(COUNTIF('REVIEWS'!$A$5:$A$504,B229)=0,"Ask for review",IF(AND(P229="No",M229&gt;=1),"Offer recurring plan","—")))))))</f>
        <v/>
      </c>
      <c r="S229" s="53">
        <f>IF(B229="","",COUNTIF('REFERRALS'!$B$5:$B$204,B229))</f>
        <v/>
      </c>
    </row>
    <row r="230">
      <c r="A230" s="46" t="inlineStr">
        <is>
          <t>C-226</t>
        </is>
      </c>
      <c r="B230" s="38" t="n"/>
      <c r="C230" s="38" t="n"/>
      <c r="D230" s="38" t="n"/>
      <c r="E230" s="38" t="n"/>
      <c r="F230" s="38" t="n"/>
      <c r="G230" s="38" t="n"/>
      <c r="H230" s="38" t="n"/>
      <c r="I230" s="47" t="n"/>
      <c r="J230" s="38" t="n"/>
      <c r="K230" s="52">
        <f>IF(B230="","",IF(_xlfn.MINIFS('JOBS'!$B$5:$B$1504,'JOBS'!$D$5:$D$1504,B230,'JOBS'!$O$5:$O$1504,"Completed")=0,"",_xlfn.MINIFS('JOBS'!$B$5:$B$1504,'JOBS'!$D$5:$D$1504,B230,'JOBS'!$O$5:$O$1504,"Completed")))</f>
        <v/>
      </c>
      <c r="L230" s="52">
        <f>IF(B230="","",IF(_xlfn.MAXIFS('JOBS'!$B$5:$B$1504,'JOBS'!$D$5:$D$1504,B230,'JOBS'!$O$5:$O$1504,"Completed")=0,"",_xlfn.MAXIFS('JOBS'!$B$5:$B$1504,'JOBS'!$D$5:$D$1504,B230,'JOBS'!$O$5:$O$1504,"Completed")))</f>
        <v/>
      </c>
      <c r="M230" s="53">
        <f>IF(B230="","",COUNTIFS('JOBS'!$D$5:$D$1504,B230,'JOBS'!$O$5:$O$1504,"Completed"))</f>
        <v/>
      </c>
      <c r="N230" s="54">
        <f>IF(B230="","",SUMIFS('JOBS'!$L$5:$L$1504,'JOBS'!$D$5:$D$1504,B230,'JOBS'!$O$5:$O$1504,"Completed"))</f>
        <v/>
      </c>
      <c r="O230" s="55">
        <f>IF(B230="","",SUMIFS('JOBS'!$U$5:$U$1504,'JOBS'!$D$5:$D$1504,B230))</f>
        <v/>
      </c>
      <c r="P230" s="49">
        <f>IF(B230="","",IF(COUNTIFS('RECURRING'!$B$5:$B$154,B230,'RECURRING'!$J$5:$J$154,"Active")&gt;0,"Yes","No"))</f>
        <v/>
      </c>
      <c r="Q230" s="50">
        <f>IF(L230="","",AsOf-L230)</f>
        <v/>
      </c>
      <c r="R230" s="49">
        <f>IF(B230="","",IF(H230="Do not service","—",IF(O230&gt;0.005,"Collect balance",IF(M230=0,"Book first job",IF(AND(P230="No",Q230&gt;=ReactDays),"Reactivate",IF(COUNTIF('REVIEWS'!$A$5:$A$504,B230)=0,"Ask for review",IF(AND(P230="No",M230&gt;=1),"Offer recurring plan","—")))))))</f>
        <v/>
      </c>
      <c r="S230" s="53">
        <f>IF(B230="","",COUNTIF('REFERRALS'!$B$5:$B$204,B230))</f>
        <v/>
      </c>
    </row>
    <row r="231">
      <c r="A231" s="46" t="inlineStr">
        <is>
          <t>C-227</t>
        </is>
      </c>
      <c r="B231" s="38" t="n"/>
      <c r="C231" s="38" t="n"/>
      <c r="D231" s="38" t="n"/>
      <c r="E231" s="38" t="n"/>
      <c r="F231" s="38" t="n"/>
      <c r="G231" s="38" t="n"/>
      <c r="H231" s="38" t="n"/>
      <c r="I231" s="47" t="n"/>
      <c r="J231" s="38" t="n"/>
      <c r="K231" s="52">
        <f>IF(B231="","",IF(_xlfn.MINIFS('JOBS'!$B$5:$B$1504,'JOBS'!$D$5:$D$1504,B231,'JOBS'!$O$5:$O$1504,"Completed")=0,"",_xlfn.MINIFS('JOBS'!$B$5:$B$1504,'JOBS'!$D$5:$D$1504,B231,'JOBS'!$O$5:$O$1504,"Completed")))</f>
        <v/>
      </c>
      <c r="L231" s="52">
        <f>IF(B231="","",IF(_xlfn.MAXIFS('JOBS'!$B$5:$B$1504,'JOBS'!$D$5:$D$1504,B231,'JOBS'!$O$5:$O$1504,"Completed")=0,"",_xlfn.MAXIFS('JOBS'!$B$5:$B$1504,'JOBS'!$D$5:$D$1504,B231,'JOBS'!$O$5:$O$1504,"Completed")))</f>
        <v/>
      </c>
      <c r="M231" s="53">
        <f>IF(B231="","",COUNTIFS('JOBS'!$D$5:$D$1504,B231,'JOBS'!$O$5:$O$1504,"Completed"))</f>
        <v/>
      </c>
      <c r="N231" s="54">
        <f>IF(B231="","",SUMIFS('JOBS'!$L$5:$L$1504,'JOBS'!$D$5:$D$1504,B231,'JOBS'!$O$5:$O$1504,"Completed"))</f>
        <v/>
      </c>
      <c r="O231" s="55">
        <f>IF(B231="","",SUMIFS('JOBS'!$U$5:$U$1504,'JOBS'!$D$5:$D$1504,B231))</f>
        <v/>
      </c>
      <c r="P231" s="49">
        <f>IF(B231="","",IF(COUNTIFS('RECURRING'!$B$5:$B$154,B231,'RECURRING'!$J$5:$J$154,"Active")&gt;0,"Yes","No"))</f>
        <v/>
      </c>
      <c r="Q231" s="50">
        <f>IF(L231="","",AsOf-L231)</f>
        <v/>
      </c>
      <c r="R231" s="49">
        <f>IF(B231="","",IF(H231="Do not service","—",IF(O231&gt;0.005,"Collect balance",IF(M231=0,"Book first job",IF(AND(P231="No",Q231&gt;=ReactDays),"Reactivate",IF(COUNTIF('REVIEWS'!$A$5:$A$504,B231)=0,"Ask for review",IF(AND(P231="No",M231&gt;=1),"Offer recurring plan","—")))))))</f>
        <v/>
      </c>
      <c r="S231" s="53">
        <f>IF(B231="","",COUNTIF('REFERRALS'!$B$5:$B$204,B231))</f>
        <v/>
      </c>
    </row>
    <row r="232">
      <c r="A232" s="46" t="inlineStr">
        <is>
          <t>C-228</t>
        </is>
      </c>
      <c r="B232" s="38" t="n"/>
      <c r="C232" s="38" t="n"/>
      <c r="D232" s="38" t="n"/>
      <c r="E232" s="38" t="n"/>
      <c r="F232" s="38" t="n"/>
      <c r="G232" s="38" t="n"/>
      <c r="H232" s="38" t="n"/>
      <c r="I232" s="47" t="n"/>
      <c r="J232" s="38" t="n"/>
      <c r="K232" s="52">
        <f>IF(B232="","",IF(_xlfn.MINIFS('JOBS'!$B$5:$B$1504,'JOBS'!$D$5:$D$1504,B232,'JOBS'!$O$5:$O$1504,"Completed")=0,"",_xlfn.MINIFS('JOBS'!$B$5:$B$1504,'JOBS'!$D$5:$D$1504,B232,'JOBS'!$O$5:$O$1504,"Completed")))</f>
        <v/>
      </c>
      <c r="L232" s="52">
        <f>IF(B232="","",IF(_xlfn.MAXIFS('JOBS'!$B$5:$B$1504,'JOBS'!$D$5:$D$1504,B232,'JOBS'!$O$5:$O$1504,"Completed")=0,"",_xlfn.MAXIFS('JOBS'!$B$5:$B$1504,'JOBS'!$D$5:$D$1504,B232,'JOBS'!$O$5:$O$1504,"Completed")))</f>
        <v/>
      </c>
      <c r="M232" s="53">
        <f>IF(B232="","",COUNTIFS('JOBS'!$D$5:$D$1504,B232,'JOBS'!$O$5:$O$1504,"Completed"))</f>
        <v/>
      </c>
      <c r="N232" s="54">
        <f>IF(B232="","",SUMIFS('JOBS'!$L$5:$L$1504,'JOBS'!$D$5:$D$1504,B232,'JOBS'!$O$5:$O$1504,"Completed"))</f>
        <v/>
      </c>
      <c r="O232" s="55">
        <f>IF(B232="","",SUMIFS('JOBS'!$U$5:$U$1504,'JOBS'!$D$5:$D$1504,B232))</f>
        <v/>
      </c>
      <c r="P232" s="49">
        <f>IF(B232="","",IF(COUNTIFS('RECURRING'!$B$5:$B$154,B232,'RECURRING'!$J$5:$J$154,"Active")&gt;0,"Yes","No"))</f>
        <v/>
      </c>
      <c r="Q232" s="50">
        <f>IF(L232="","",AsOf-L232)</f>
        <v/>
      </c>
      <c r="R232" s="49">
        <f>IF(B232="","",IF(H232="Do not service","—",IF(O232&gt;0.005,"Collect balance",IF(M232=0,"Book first job",IF(AND(P232="No",Q232&gt;=ReactDays),"Reactivate",IF(COUNTIF('REVIEWS'!$A$5:$A$504,B232)=0,"Ask for review",IF(AND(P232="No",M232&gt;=1),"Offer recurring plan","—")))))))</f>
        <v/>
      </c>
      <c r="S232" s="53">
        <f>IF(B232="","",COUNTIF('REFERRALS'!$B$5:$B$204,B232))</f>
        <v/>
      </c>
    </row>
    <row r="233">
      <c r="A233" s="46" t="inlineStr">
        <is>
          <t>C-229</t>
        </is>
      </c>
      <c r="B233" s="38" t="n"/>
      <c r="C233" s="38" t="n"/>
      <c r="D233" s="38" t="n"/>
      <c r="E233" s="38" t="n"/>
      <c r="F233" s="38" t="n"/>
      <c r="G233" s="38" t="n"/>
      <c r="H233" s="38" t="n"/>
      <c r="I233" s="47" t="n"/>
      <c r="J233" s="38" t="n"/>
      <c r="K233" s="52">
        <f>IF(B233="","",IF(_xlfn.MINIFS('JOBS'!$B$5:$B$1504,'JOBS'!$D$5:$D$1504,B233,'JOBS'!$O$5:$O$1504,"Completed")=0,"",_xlfn.MINIFS('JOBS'!$B$5:$B$1504,'JOBS'!$D$5:$D$1504,B233,'JOBS'!$O$5:$O$1504,"Completed")))</f>
        <v/>
      </c>
      <c r="L233" s="52">
        <f>IF(B233="","",IF(_xlfn.MAXIFS('JOBS'!$B$5:$B$1504,'JOBS'!$D$5:$D$1504,B233,'JOBS'!$O$5:$O$1504,"Completed")=0,"",_xlfn.MAXIFS('JOBS'!$B$5:$B$1504,'JOBS'!$D$5:$D$1504,B233,'JOBS'!$O$5:$O$1504,"Completed")))</f>
        <v/>
      </c>
      <c r="M233" s="53">
        <f>IF(B233="","",COUNTIFS('JOBS'!$D$5:$D$1504,B233,'JOBS'!$O$5:$O$1504,"Completed"))</f>
        <v/>
      </c>
      <c r="N233" s="54">
        <f>IF(B233="","",SUMIFS('JOBS'!$L$5:$L$1504,'JOBS'!$D$5:$D$1504,B233,'JOBS'!$O$5:$O$1504,"Completed"))</f>
        <v/>
      </c>
      <c r="O233" s="55">
        <f>IF(B233="","",SUMIFS('JOBS'!$U$5:$U$1504,'JOBS'!$D$5:$D$1504,B233))</f>
        <v/>
      </c>
      <c r="P233" s="49">
        <f>IF(B233="","",IF(COUNTIFS('RECURRING'!$B$5:$B$154,B233,'RECURRING'!$J$5:$J$154,"Active")&gt;0,"Yes","No"))</f>
        <v/>
      </c>
      <c r="Q233" s="50">
        <f>IF(L233="","",AsOf-L233)</f>
        <v/>
      </c>
      <c r="R233" s="49">
        <f>IF(B233="","",IF(H233="Do not service","—",IF(O233&gt;0.005,"Collect balance",IF(M233=0,"Book first job",IF(AND(P233="No",Q233&gt;=ReactDays),"Reactivate",IF(COUNTIF('REVIEWS'!$A$5:$A$504,B233)=0,"Ask for review",IF(AND(P233="No",M233&gt;=1),"Offer recurring plan","—")))))))</f>
        <v/>
      </c>
      <c r="S233" s="53">
        <f>IF(B233="","",COUNTIF('REFERRALS'!$B$5:$B$204,B233))</f>
        <v/>
      </c>
    </row>
    <row r="234">
      <c r="A234" s="46" t="inlineStr">
        <is>
          <t>C-230</t>
        </is>
      </c>
      <c r="B234" s="38" t="n"/>
      <c r="C234" s="38" t="n"/>
      <c r="D234" s="38" t="n"/>
      <c r="E234" s="38" t="n"/>
      <c r="F234" s="38" t="n"/>
      <c r="G234" s="38" t="n"/>
      <c r="H234" s="38" t="n"/>
      <c r="I234" s="47" t="n"/>
      <c r="J234" s="38" t="n"/>
      <c r="K234" s="52">
        <f>IF(B234="","",IF(_xlfn.MINIFS('JOBS'!$B$5:$B$1504,'JOBS'!$D$5:$D$1504,B234,'JOBS'!$O$5:$O$1504,"Completed")=0,"",_xlfn.MINIFS('JOBS'!$B$5:$B$1504,'JOBS'!$D$5:$D$1504,B234,'JOBS'!$O$5:$O$1504,"Completed")))</f>
        <v/>
      </c>
      <c r="L234" s="52">
        <f>IF(B234="","",IF(_xlfn.MAXIFS('JOBS'!$B$5:$B$1504,'JOBS'!$D$5:$D$1504,B234,'JOBS'!$O$5:$O$1504,"Completed")=0,"",_xlfn.MAXIFS('JOBS'!$B$5:$B$1504,'JOBS'!$D$5:$D$1504,B234,'JOBS'!$O$5:$O$1504,"Completed")))</f>
        <v/>
      </c>
      <c r="M234" s="53">
        <f>IF(B234="","",COUNTIFS('JOBS'!$D$5:$D$1504,B234,'JOBS'!$O$5:$O$1504,"Completed"))</f>
        <v/>
      </c>
      <c r="N234" s="54">
        <f>IF(B234="","",SUMIFS('JOBS'!$L$5:$L$1504,'JOBS'!$D$5:$D$1504,B234,'JOBS'!$O$5:$O$1504,"Completed"))</f>
        <v/>
      </c>
      <c r="O234" s="55">
        <f>IF(B234="","",SUMIFS('JOBS'!$U$5:$U$1504,'JOBS'!$D$5:$D$1504,B234))</f>
        <v/>
      </c>
      <c r="P234" s="49">
        <f>IF(B234="","",IF(COUNTIFS('RECURRING'!$B$5:$B$154,B234,'RECURRING'!$J$5:$J$154,"Active")&gt;0,"Yes","No"))</f>
        <v/>
      </c>
      <c r="Q234" s="50">
        <f>IF(L234="","",AsOf-L234)</f>
        <v/>
      </c>
      <c r="R234" s="49">
        <f>IF(B234="","",IF(H234="Do not service","—",IF(O234&gt;0.005,"Collect balance",IF(M234=0,"Book first job",IF(AND(P234="No",Q234&gt;=ReactDays),"Reactivate",IF(COUNTIF('REVIEWS'!$A$5:$A$504,B234)=0,"Ask for review",IF(AND(P234="No",M234&gt;=1),"Offer recurring plan","—")))))))</f>
        <v/>
      </c>
      <c r="S234" s="53">
        <f>IF(B234="","",COUNTIF('REFERRALS'!$B$5:$B$204,B234))</f>
        <v/>
      </c>
    </row>
    <row r="235">
      <c r="A235" s="46" t="inlineStr">
        <is>
          <t>C-231</t>
        </is>
      </c>
      <c r="B235" s="38" t="n"/>
      <c r="C235" s="38" t="n"/>
      <c r="D235" s="38" t="n"/>
      <c r="E235" s="38" t="n"/>
      <c r="F235" s="38" t="n"/>
      <c r="G235" s="38" t="n"/>
      <c r="H235" s="38" t="n"/>
      <c r="I235" s="47" t="n"/>
      <c r="J235" s="38" t="n"/>
      <c r="K235" s="52">
        <f>IF(B235="","",IF(_xlfn.MINIFS('JOBS'!$B$5:$B$1504,'JOBS'!$D$5:$D$1504,B235,'JOBS'!$O$5:$O$1504,"Completed")=0,"",_xlfn.MINIFS('JOBS'!$B$5:$B$1504,'JOBS'!$D$5:$D$1504,B235,'JOBS'!$O$5:$O$1504,"Completed")))</f>
        <v/>
      </c>
      <c r="L235" s="52">
        <f>IF(B235="","",IF(_xlfn.MAXIFS('JOBS'!$B$5:$B$1504,'JOBS'!$D$5:$D$1504,B235,'JOBS'!$O$5:$O$1504,"Completed")=0,"",_xlfn.MAXIFS('JOBS'!$B$5:$B$1504,'JOBS'!$D$5:$D$1504,B235,'JOBS'!$O$5:$O$1504,"Completed")))</f>
        <v/>
      </c>
      <c r="M235" s="53">
        <f>IF(B235="","",COUNTIFS('JOBS'!$D$5:$D$1504,B235,'JOBS'!$O$5:$O$1504,"Completed"))</f>
        <v/>
      </c>
      <c r="N235" s="54">
        <f>IF(B235="","",SUMIFS('JOBS'!$L$5:$L$1504,'JOBS'!$D$5:$D$1504,B235,'JOBS'!$O$5:$O$1504,"Completed"))</f>
        <v/>
      </c>
      <c r="O235" s="55">
        <f>IF(B235="","",SUMIFS('JOBS'!$U$5:$U$1504,'JOBS'!$D$5:$D$1504,B235))</f>
        <v/>
      </c>
      <c r="P235" s="49">
        <f>IF(B235="","",IF(COUNTIFS('RECURRING'!$B$5:$B$154,B235,'RECURRING'!$J$5:$J$154,"Active")&gt;0,"Yes","No"))</f>
        <v/>
      </c>
      <c r="Q235" s="50">
        <f>IF(L235="","",AsOf-L235)</f>
        <v/>
      </c>
      <c r="R235" s="49">
        <f>IF(B235="","",IF(H235="Do not service","—",IF(O235&gt;0.005,"Collect balance",IF(M235=0,"Book first job",IF(AND(P235="No",Q235&gt;=ReactDays),"Reactivate",IF(COUNTIF('REVIEWS'!$A$5:$A$504,B235)=0,"Ask for review",IF(AND(P235="No",M235&gt;=1),"Offer recurring plan","—")))))))</f>
        <v/>
      </c>
      <c r="S235" s="53">
        <f>IF(B235="","",COUNTIF('REFERRALS'!$B$5:$B$204,B235))</f>
        <v/>
      </c>
    </row>
    <row r="236">
      <c r="A236" s="46" t="inlineStr">
        <is>
          <t>C-232</t>
        </is>
      </c>
      <c r="B236" s="38" t="n"/>
      <c r="C236" s="38" t="n"/>
      <c r="D236" s="38" t="n"/>
      <c r="E236" s="38" t="n"/>
      <c r="F236" s="38" t="n"/>
      <c r="G236" s="38" t="n"/>
      <c r="H236" s="38" t="n"/>
      <c r="I236" s="47" t="n"/>
      <c r="J236" s="38" t="n"/>
      <c r="K236" s="52">
        <f>IF(B236="","",IF(_xlfn.MINIFS('JOBS'!$B$5:$B$1504,'JOBS'!$D$5:$D$1504,B236,'JOBS'!$O$5:$O$1504,"Completed")=0,"",_xlfn.MINIFS('JOBS'!$B$5:$B$1504,'JOBS'!$D$5:$D$1504,B236,'JOBS'!$O$5:$O$1504,"Completed")))</f>
        <v/>
      </c>
      <c r="L236" s="52">
        <f>IF(B236="","",IF(_xlfn.MAXIFS('JOBS'!$B$5:$B$1504,'JOBS'!$D$5:$D$1504,B236,'JOBS'!$O$5:$O$1504,"Completed")=0,"",_xlfn.MAXIFS('JOBS'!$B$5:$B$1504,'JOBS'!$D$5:$D$1504,B236,'JOBS'!$O$5:$O$1504,"Completed")))</f>
        <v/>
      </c>
      <c r="M236" s="53">
        <f>IF(B236="","",COUNTIFS('JOBS'!$D$5:$D$1504,B236,'JOBS'!$O$5:$O$1504,"Completed"))</f>
        <v/>
      </c>
      <c r="N236" s="54">
        <f>IF(B236="","",SUMIFS('JOBS'!$L$5:$L$1504,'JOBS'!$D$5:$D$1504,B236,'JOBS'!$O$5:$O$1504,"Completed"))</f>
        <v/>
      </c>
      <c r="O236" s="55">
        <f>IF(B236="","",SUMIFS('JOBS'!$U$5:$U$1504,'JOBS'!$D$5:$D$1504,B236))</f>
        <v/>
      </c>
      <c r="P236" s="49">
        <f>IF(B236="","",IF(COUNTIFS('RECURRING'!$B$5:$B$154,B236,'RECURRING'!$J$5:$J$154,"Active")&gt;0,"Yes","No"))</f>
        <v/>
      </c>
      <c r="Q236" s="50">
        <f>IF(L236="","",AsOf-L236)</f>
        <v/>
      </c>
      <c r="R236" s="49">
        <f>IF(B236="","",IF(H236="Do not service","—",IF(O236&gt;0.005,"Collect balance",IF(M236=0,"Book first job",IF(AND(P236="No",Q236&gt;=ReactDays),"Reactivate",IF(COUNTIF('REVIEWS'!$A$5:$A$504,B236)=0,"Ask for review",IF(AND(P236="No",M236&gt;=1),"Offer recurring plan","—")))))))</f>
        <v/>
      </c>
      <c r="S236" s="53">
        <f>IF(B236="","",COUNTIF('REFERRALS'!$B$5:$B$204,B236))</f>
        <v/>
      </c>
    </row>
    <row r="237">
      <c r="A237" s="46" t="inlineStr">
        <is>
          <t>C-233</t>
        </is>
      </c>
      <c r="B237" s="38" t="n"/>
      <c r="C237" s="38" t="n"/>
      <c r="D237" s="38" t="n"/>
      <c r="E237" s="38" t="n"/>
      <c r="F237" s="38" t="n"/>
      <c r="G237" s="38" t="n"/>
      <c r="H237" s="38" t="n"/>
      <c r="I237" s="47" t="n"/>
      <c r="J237" s="38" t="n"/>
      <c r="K237" s="52">
        <f>IF(B237="","",IF(_xlfn.MINIFS('JOBS'!$B$5:$B$1504,'JOBS'!$D$5:$D$1504,B237,'JOBS'!$O$5:$O$1504,"Completed")=0,"",_xlfn.MINIFS('JOBS'!$B$5:$B$1504,'JOBS'!$D$5:$D$1504,B237,'JOBS'!$O$5:$O$1504,"Completed")))</f>
        <v/>
      </c>
      <c r="L237" s="52">
        <f>IF(B237="","",IF(_xlfn.MAXIFS('JOBS'!$B$5:$B$1504,'JOBS'!$D$5:$D$1504,B237,'JOBS'!$O$5:$O$1504,"Completed")=0,"",_xlfn.MAXIFS('JOBS'!$B$5:$B$1504,'JOBS'!$D$5:$D$1504,B237,'JOBS'!$O$5:$O$1504,"Completed")))</f>
        <v/>
      </c>
      <c r="M237" s="53">
        <f>IF(B237="","",COUNTIFS('JOBS'!$D$5:$D$1504,B237,'JOBS'!$O$5:$O$1504,"Completed"))</f>
        <v/>
      </c>
      <c r="N237" s="54">
        <f>IF(B237="","",SUMIFS('JOBS'!$L$5:$L$1504,'JOBS'!$D$5:$D$1504,B237,'JOBS'!$O$5:$O$1504,"Completed"))</f>
        <v/>
      </c>
      <c r="O237" s="55">
        <f>IF(B237="","",SUMIFS('JOBS'!$U$5:$U$1504,'JOBS'!$D$5:$D$1504,B237))</f>
        <v/>
      </c>
      <c r="P237" s="49">
        <f>IF(B237="","",IF(COUNTIFS('RECURRING'!$B$5:$B$154,B237,'RECURRING'!$J$5:$J$154,"Active")&gt;0,"Yes","No"))</f>
        <v/>
      </c>
      <c r="Q237" s="50">
        <f>IF(L237="","",AsOf-L237)</f>
        <v/>
      </c>
      <c r="R237" s="49">
        <f>IF(B237="","",IF(H237="Do not service","—",IF(O237&gt;0.005,"Collect balance",IF(M237=0,"Book first job",IF(AND(P237="No",Q237&gt;=ReactDays),"Reactivate",IF(COUNTIF('REVIEWS'!$A$5:$A$504,B237)=0,"Ask for review",IF(AND(P237="No",M237&gt;=1),"Offer recurring plan","—")))))))</f>
        <v/>
      </c>
      <c r="S237" s="53">
        <f>IF(B237="","",COUNTIF('REFERRALS'!$B$5:$B$204,B237))</f>
        <v/>
      </c>
    </row>
    <row r="238">
      <c r="A238" s="46" t="inlineStr">
        <is>
          <t>C-234</t>
        </is>
      </c>
      <c r="B238" s="38" t="n"/>
      <c r="C238" s="38" t="n"/>
      <c r="D238" s="38" t="n"/>
      <c r="E238" s="38" t="n"/>
      <c r="F238" s="38" t="n"/>
      <c r="G238" s="38" t="n"/>
      <c r="H238" s="38" t="n"/>
      <c r="I238" s="47" t="n"/>
      <c r="J238" s="38" t="n"/>
      <c r="K238" s="52">
        <f>IF(B238="","",IF(_xlfn.MINIFS('JOBS'!$B$5:$B$1504,'JOBS'!$D$5:$D$1504,B238,'JOBS'!$O$5:$O$1504,"Completed")=0,"",_xlfn.MINIFS('JOBS'!$B$5:$B$1504,'JOBS'!$D$5:$D$1504,B238,'JOBS'!$O$5:$O$1504,"Completed")))</f>
        <v/>
      </c>
      <c r="L238" s="52">
        <f>IF(B238="","",IF(_xlfn.MAXIFS('JOBS'!$B$5:$B$1504,'JOBS'!$D$5:$D$1504,B238,'JOBS'!$O$5:$O$1504,"Completed")=0,"",_xlfn.MAXIFS('JOBS'!$B$5:$B$1504,'JOBS'!$D$5:$D$1504,B238,'JOBS'!$O$5:$O$1504,"Completed")))</f>
        <v/>
      </c>
      <c r="M238" s="53">
        <f>IF(B238="","",COUNTIFS('JOBS'!$D$5:$D$1504,B238,'JOBS'!$O$5:$O$1504,"Completed"))</f>
        <v/>
      </c>
      <c r="N238" s="54">
        <f>IF(B238="","",SUMIFS('JOBS'!$L$5:$L$1504,'JOBS'!$D$5:$D$1504,B238,'JOBS'!$O$5:$O$1504,"Completed"))</f>
        <v/>
      </c>
      <c r="O238" s="55">
        <f>IF(B238="","",SUMIFS('JOBS'!$U$5:$U$1504,'JOBS'!$D$5:$D$1504,B238))</f>
        <v/>
      </c>
      <c r="P238" s="49">
        <f>IF(B238="","",IF(COUNTIFS('RECURRING'!$B$5:$B$154,B238,'RECURRING'!$J$5:$J$154,"Active")&gt;0,"Yes","No"))</f>
        <v/>
      </c>
      <c r="Q238" s="50">
        <f>IF(L238="","",AsOf-L238)</f>
        <v/>
      </c>
      <c r="R238" s="49">
        <f>IF(B238="","",IF(H238="Do not service","—",IF(O238&gt;0.005,"Collect balance",IF(M238=0,"Book first job",IF(AND(P238="No",Q238&gt;=ReactDays),"Reactivate",IF(COUNTIF('REVIEWS'!$A$5:$A$504,B238)=0,"Ask for review",IF(AND(P238="No",M238&gt;=1),"Offer recurring plan","—")))))))</f>
        <v/>
      </c>
      <c r="S238" s="53">
        <f>IF(B238="","",COUNTIF('REFERRALS'!$B$5:$B$204,B238))</f>
        <v/>
      </c>
    </row>
    <row r="239">
      <c r="A239" s="46" t="inlineStr">
        <is>
          <t>C-235</t>
        </is>
      </c>
      <c r="B239" s="38" t="n"/>
      <c r="C239" s="38" t="n"/>
      <c r="D239" s="38" t="n"/>
      <c r="E239" s="38" t="n"/>
      <c r="F239" s="38" t="n"/>
      <c r="G239" s="38" t="n"/>
      <c r="H239" s="38" t="n"/>
      <c r="I239" s="47" t="n"/>
      <c r="J239" s="38" t="n"/>
      <c r="K239" s="52">
        <f>IF(B239="","",IF(_xlfn.MINIFS('JOBS'!$B$5:$B$1504,'JOBS'!$D$5:$D$1504,B239,'JOBS'!$O$5:$O$1504,"Completed")=0,"",_xlfn.MINIFS('JOBS'!$B$5:$B$1504,'JOBS'!$D$5:$D$1504,B239,'JOBS'!$O$5:$O$1504,"Completed")))</f>
        <v/>
      </c>
      <c r="L239" s="52">
        <f>IF(B239="","",IF(_xlfn.MAXIFS('JOBS'!$B$5:$B$1504,'JOBS'!$D$5:$D$1504,B239,'JOBS'!$O$5:$O$1504,"Completed")=0,"",_xlfn.MAXIFS('JOBS'!$B$5:$B$1504,'JOBS'!$D$5:$D$1504,B239,'JOBS'!$O$5:$O$1504,"Completed")))</f>
        <v/>
      </c>
      <c r="M239" s="53">
        <f>IF(B239="","",COUNTIFS('JOBS'!$D$5:$D$1504,B239,'JOBS'!$O$5:$O$1504,"Completed"))</f>
        <v/>
      </c>
      <c r="N239" s="54">
        <f>IF(B239="","",SUMIFS('JOBS'!$L$5:$L$1504,'JOBS'!$D$5:$D$1504,B239,'JOBS'!$O$5:$O$1504,"Completed"))</f>
        <v/>
      </c>
      <c r="O239" s="55">
        <f>IF(B239="","",SUMIFS('JOBS'!$U$5:$U$1504,'JOBS'!$D$5:$D$1504,B239))</f>
        <v/>
      </c>
      <c r="P239" s="49">
        <f>IF(B239="","",IF(COUNTIFS('RECURRING'!$B$5:$B$154,B239,'RECURRING'!$J$5:$J$154,"Active")&gt;0,"Yes","No"))</f>
        <v/>
      </c>
      <c r="Q239" s="50">
        <f>IF(L239="","",AsOf-L239)</f>
        <v/>
      </c>
      <c r="R239" s="49">
        <f>IF(B239="","",IF(H239="Do not service","—",IF(O239&gt;0.005,"Collect balance",IF(M239=0,"Book first job",IF(AND(P239="No",Q239&gt;=ReactDays),"Reactivate",IF(COUNTIF('REVIEWS'!$A$5:$A$504,B239)=0,"Ask for review",IF(AND(P239="No",M239&gt;=1),"Offer recurring plan","—")))))))</f>
        <v/>
      </c>
      <c r="S239" s="53">
        <f>IF(B239="","",COUNTIF('REFERRALS'!$B$5:$B$204,B239))</f>
        <v/>
      </c>
    </row>
    <row r="240">
      <c r="A240" s="46" t="inlineStr">
        <is>
          <t>C-236</t>
        </is>
      </c>
      <c r="B240" s="38" t="n"/>
      <c r="C240" s="38" t="n"/>
      <c r="D240" s="38" t="n"/>
      <c r="E240" s="38" t="n"/>
      <c r="F240" s="38" t="n"/>
      <c r="G240" s="38" t="n"/>
      <c r="H240" s="38" t="n"/>
      <c r="I240" s="47" t="n"/>
      <c r="J240" s="38" t="n"/>
      <c r="K240" s="52">
        <f>IF(B240="","",IF(_xlfn.MINIFS('JOBS'!$B$5:$B$1504,'JOBS'!$D$5:$D$1504,B240,'JOBS'!$O$5:$O$1504,"Completed")=0,"",_xlfn.MINIFS('JOBS'!$B$5:$B$1504,'JOBS'!$D$5:$D$1504,B240,'JOBS'!$O$5:$O$1504,"Completed")))</f>
        <v/>
      </c>
      <c r="L240" s="52">
        <f>IF(B240="","",IF(_xlfn.MAXIFS('JOBS'!$B$5:$B$1504,'JOBS'!$D$5:$D$1504,B240,'JOBS'!$O$5:$O$1504,"Completed")=0,"",_xlfn.MAXIFS('JOBS'!$B$5:$B$1504,'JOBS'!$D$5:$D$1504,B240,'JOBS'!$O$5:$O$1504,"Completed")))</f>
        <v/>
      </c>
      <c r="M240" s="53">
        <f>IF(B240="","",COUNTIFS('JOBS'!$D$5:$D$1504,B240,'JOBS'!$O$5:$O$1504,"Completed"))</f>
        <v/>
      </c>
      <c r="N240" s="54">
        <f>IF(B240="","",SUMIFS('JOBS'!$L$5:$L$1504,'JOBS'!$D$5:$D$1504,B240,'JOBS'!$O$5:$O$1504,"Completed"))</f>
        <v/>
      </c>
      <c r="O240" s="55">
        <f>IF(B240="","",SUMIFS('JOBS'!$U$5:$U$1504,'JOBS'!$D$5:$D$1504,B240))</f>
        <v/>
      </c>
      <c r="P240" s="49">
        <f>IF(B240="","",IF(COUNTIFS('RECURRING'!$B$5:$B$154,B240,'RECURRING'!$J$5:$J$154,"Active")&gt;0,"Yes","No"))</f>
        <v/>
      </c>
      <c r="Q240" s="50">
        <f>IF(L240="","",AsOf-L240)</f>
        <v/>
      </c>
      <c r="R240" s="49">
        <f>IF(B240="","",IF(H240="Do not service","—",IF(O240&gt;0.005,"Collect balance",IF(M240=0,"Book first job",IF(AND(P240="No",Q240&gt;=ReactDays),"Reactivate",IF(COUNTIF('REVIEWS'!$A$5:$A$504,B240)=0,"Ask for review",IF(AND(P240="No",M240&gt;=1),"Offer recurring plan","—")))))))</f>
        <v/>
      </c>
      <c r="S240" s="53">
        <f>IF(B240="","",COUNTIF('REFERRALS'!$B$5:$B$204,B240))</f>
        <v/>
      </c>
    </row>
    <row r="241">
      <c r="A241" s="46" t="inlineStr">
        <is>
          <t>C-237</t>
        </is>
      </c>
      <c r="B241" s="38" t="n"/>
      <c r="C241" s="38" t="n"/>
      <c r="D241" s="38" t="n"/>
      <c r="E241" s="38" t="n"/>
      <c r="F241" s="38" t="n"/>
      <c r="G241" s="38" t="n"/>
      <c r="H241" s="38" t="n"/>
      <c r="I241" s="47" t="n"/>
      <c r="J241" s="38" t="n"/>
      <c r="K241" s="52">
        <f>IF(B241="","",IF(_xlfn.MINIFS('JOBS'!$B$5:$B$1504,'JOBS'!$D$5:$D$1504,B241,'JOBS'!$O$5:$O$1504,"Completed")=0,"",_xlfn.MINIFS('JOBS'!$B$5:$B$1504,'JOBS'!$D$5:$D$1504,B241,'JOBS'!$O$5:$O$1504,"Completed")))</f>
        <v/>
      </c>
      <c r="L241" s="52">
        <f>IF(B241="","",IF(_xlfn.MAXIFS('JOBS'!$B$5:$B$1504,'JOBS'!$D$5:$D$1504,B241,'JOBS'!$O$5:$O$1504,"Completed")=0,"",_xlfn.MAXIFS('JOBS'!$B$5:$B$1504,'JOBS'!$D$5:$D$1504,B241,'JOBS'!$O$5:$O$1504,"Completed")))</f>
        <v/>
      </c>
      <c r="M241" s="53">
        <f>IF(B241="","",COUNTIFS('JOBS'!$D$5:$D$1504,B241,'JOBS'!$O$5:$O$1504,"Completed"))</f>
        <v/>
      </c>
      <c r="N241" s="54">
        <f>IF(B241="","",SUMIFS('JOBS'!$L$5:$L$1504,'JOBS'!$D$5:$D$1504,B241,'JOBS'!$O$5:$O$1504,"Completed"))</f>
        <v/>
      </c>
      <c r="O241" s="55">
        <f>IF(B241="","",SUMIFS('JOBS'!$U$5:$U$1504,'JOBS'!$D$5:$D$1504,B241))</f>
        <v/>
      </c>
      <c r="P241" s="49">
        <f>IF(B241="","",IF(COUNTIFS('RECURRING'!$B$5:$B$154,B241,'RECURRING'!$J$5:$J$154,"Active")&gt;0,"Yes","No"))</f>
        <v/>
      </c>
      <c r="Q241" s="50">
        <f>IF(L241="","",AsOf-L241)</f>
        <v/>
      </c>
      <c r="R241" s="49">
        <f>IF(B241="","",IF(H241="Do not service","—",IF(O241&gt;0.005,"Collect balance",IF(M241=0,"Book first job",IF(AND(P241="No",Q241&gt;=ReactDays),"Reactivate",IF(COUNTIF('REVIEWS'!$A$5:$A$504,B241)=0,"Ask for review",IF(AND(P241="No",M241&gt;=1),"Offer recurring plan","—")))))))</f>
        <v/>
      </c>
      <c r="S241" s="53">
        <f>IF(B241="","",COUNTIF('REFERRALS'!$B$5:$B$204,B241))</f>
        <v/>
      </c>
    </row>
    <row r="242">
      <c r="A242" s="46" t="inlineStr">
        <is>
          <t>C-238</t>
        </is>
      </c>
      <c r="B242" s="38" t="n"/>
      <c r="C242" s="38" t="n"/>
      <c r="D242" s="38" t="n"/>
      <c r="E242" s="38" t="n"/>
      <c r="F242" s="38" t="n"/>
      <c r="G242" s="38" t="n"/>
      <c r="H242" s="38" t="n"/>
      <c r="I242" s="47" t="n"/>
      <c r="J242" s="38" t="n"/>
      <c r="K242" s="52">
        <f>IF(B242="","",IF(_xlfn.MINIFS('JOBS'!$B$5:$B$1504,'JOBS'!$D$5:$D$1504,B242,'JOBS'!$O$5:$O$1504,"Completed")=0,"",_xlfn.MINIFS('JOBS'!$B$5:$B$1504,'JOBS'!$D$5:$D$1504,B242,'JOBS'!$O$5:$O$1504,"Completed")))</f>
        <v/>
      </c>
      <c r="L242" s="52">
        <f>IF(B242="","",IF(_xlfn.MAXIFS('JOBS'!$B$5:$B$1504,'JOBS'!$D$5:$D$1504,B242,'JOBS'!$O$5:$O$1504,"Completed")=0,"",_xlfn.MAXIFS('JOBS'!$B$5:$B$1504,'JOBS'!$D$5:$D$1504,B242,'JOBS'!$O$5:$O$1504,"Completed")))</f>
        <v/>
      </c>
      <c r="M242" s="53">
        <f>IF(B242="","",COUNTIFS('JOBS'!$D$5:$D$1504,B242,'JOBS'!$O$5:$O$1504,"Completed"))</f>
        <v/>
      </c>
      <c r="N242" s="54">
        <f>IF(B242="","",SUMIFS('JOBS'!$L$5:$L$1504,'JOBS'!$D$5:$D$1504,B242,'JOBS'!$O$5:$O$1504,"Completed"))</f>
        <v/>
      </c>
      <c r="O242" s="55">
        <f>IF(B242="","",SUMIFS('JOBS'!$U$5:$U$1504,'JOBS'!$D$5:$D$1504,B242))</f>
        <v/>
      </c>
      <c r="P242" s="49">
        <f>IF(B242="","",IF(COUNTIFS('RECURRING'!$B$5:$B$154,B242,'RECURRING'!$J$5:$J$154,"Active")&gt;0,"Yes","No"))</f>
        <v/>
      </c>
      <c r="Q242" s="50">
        <f>IF(L242="","",AsOf-L242)</f>
        <v/>
      </c>
      <c r="R242" s="49">
        <f>IF(B242="","",IF(H242="Do not service","—",IF(O242&gt;0.005,"Collect balance",IF(M242=0,"Book first job",IF(AND(P242="No",Q242&gt;=ReactDays),"Reactivate",IF(COUNTIF('REVIEWS'!$A$5:$A$504,B242)=0,"Ask for review",IF(AND(P242="No",M242&gt;=1),"Offer recurring plan","—")))))))</f>
        <v/>
      </c>
      <c r="S242" s="53">
        <f>IF(B242="","",COUNTIF('REFERRALS'!$B$5:$B$204,B242))</f>
        <v/>
      </c>
    </row>
    <row r="243">
      <c r="A243" s="46" t="inlineStr">
        <is>
          <t>C-239</t>
        </is>
      </c>
      <c r="B243" s="38" t="n"/>
      <c r="C243" s="38" t="n"/>
      <c r="D243" s="38" t="n"/>
      <c r="E243" s="38" t="n"/>
      <c r="F243" s="38" t="n"/>
      <c r="G243" s="38" t="n"/>
      <c r="H243" s="38" t="n"/>
      <c r="I243" s="47" t="n"/>
      <c r="J243" s="38" t="n"/>
      <c r="K243" s="52">
        <f>IF(B243="","",IF(_xlfn.MINIFS('JOBS'!$B$5:$B$1504,'JOBS'!$D$5:$D$1504,B243,'JOBS'!$O$5:$O$1504,"Completed")=0,"",_xlfn.MINIFS('JOBS'!$B$5:$B$1504,'JOBS'!$D$5:$D$1504,B243,'JOBS'!$O$5:$O$1504,"Completed")))</f>
        <v/>
      </c>
      <c r="L243" s="52">
        <f>IF(B243="","",IF(_xlfn.MAXIFS('JOBS'!$B$5:$B$1504,'JOBS'!$D$5:$D$1504,B243,'JOBS'!$O$5:$O$1504,"Completed")=0,"",_xlfn.MAXIFS('JOBS'!$B$5:$B$1504,'JOBS'!$D$5:$D$1504,B243,'JOBS'!$O$5:$O$1504,"Completed")))</f>
        <v/>
      </c>
      <c r="M243" s="53">
        <f>IF(B243="","",COUNTIFS('JOBS'!$D$5:$D$1504,B243,'JOBS'!$O$5:$O$1504,"Completed"))</f>
        <v/>
      </c>
      <c r="N243" s="54">
        <f>IF(B243="","",SUMIFS('JOBS'!$L$5:$L$1504,'JOBS'!$D$5:$D$1504,B243,'JOBS'!$O$5:$O$1504,"Completed"))</f>
        <v/>
      </c>
      <c r="O243" s="55">
        <f>IF(B243="","",SUMIFS('JOBS'!$U$5:$U$1504,'JOBS'!$D$5:$D$1504,B243))</f>
        <v/>
      </c>
      <c r="P243" s="49">
        <f>IF(B243="","",IF(COUNTIFS('RECURRING'!$B$5:$B$154,B243,'RECURRING'!$J$5:$J$154,"Active")&gt;0,"Yes","No"))</f>
        <v/>
      </c>
      <c r="Q243" s="50">
        <f>IF(L243="","",AsOf-L243)</f>
        <v/>
      </c>
      <c r="R243" s="49">
        <f>IF(B243="","",IF(H243="Do not service","—",IF(O243&gt;0.005,"Collect balance",IF(M243=0,"Book first job",IF(AND(P243="No",Q243&gt;=ReactDays),"Reactivate",IF(COUNTIF('REVIEWS'!$A$5:$A$504,B243)=0,"Ask for review",IF(AND(P243="No",M243&gt;=1),"Offer recurring plan","—")))))))</f>
        <v/>
      </c>
      <c r="S243" s="53">
        <f>IF(B243="","",COUNTIF('REFERRALS'!$B$5:$B$204,B243))</f>
        <v/>
      </c>
    </row>
    <row r="244">
      <c r="A244" s="46" t="inlineStr">
        <is>
          <t>C-240</t>
        </is>
      </c>
      <c r="B244" s="38" t="n"/>
      <c r="C244" s="38" t="n"/>
      <c r="D244" s="38" t="n"/>
      <c r="E244" s="38" t="n"/>
      <c r="F244" s="38" t="n"/>
      <c r="G244" s="38" t="n"/>
      <c r="H244" s="38" t="n"/>
      <c r="I244" s="47" t="n"/>
      <c r="J244" s="38" t="n"/>
      <c r="K244" s="52">
        <f>IF(B244="","",IF(_xlfn.MINIFS('JOBS'!$B$5:$B$1504,'JOBS'!$D$5:$D$1504,B244,'JOBS'!$O$5:$O$1504,"Completed")=0,"",_xlfn.MINIFS('JOBS'!$B$5:$B$1504,'JOBS'!$D$5:$D$1504,B244,'JOBS'!$O$5:$O$1504,"Completed")))</f>
        <v/>
      </c>
      <c r="L244" s="52">
        <f>IF(B244="","",IF(_xlfn.MAXIFS('JOBS'!$B$5:$B$1504,'JOBS'!$D$5:$D$1504,B244,'JOBS'!$O$5:$O$1504,"Completed")=0,"",_xlfn.MAXIFS('JOBS'!$B$5:$B$1504,'JOBS'!$D$5:$D$1504,B244,'JOBS'!$O$5:$O$1504,"Completed")))</f>
        <v/>
      </c>
      <c r="M244" s="53">
        <f>IF(B244="","",COUNTIFS('JOBS'!$D$5:$D$1504,B244,'JOBS'!$O$5:$O$1504,"Completed"))</f>
        <v/>
      </c>
      <c r="N244" s="54">
        <f>IF(B244="","",SUMIFS('JOBS'!$L$5:$L$1504,'JOBS'!$D$5:$D$1504,B244,'JOBS'!$O$5:$O$1504,"Completed"))</f>
        <v/>
      </c>
      <c r="O244" s="55">
        <f>IF(B244="","",SUMIFS('JOBS'!$U$5:$U$1504,'JOBS'!$D$5:$D$1504,B244))</f>
        <v/>
      </c>
      <c r="P244" s="49">
        <f>IF(B244="","",IF(COUNTIFS('RECURRING'!$B$5:$B$154,B244,'RECURRING'!$J$5:$J$154,"Active")&gt;0,"Yes","No"))</f>
        <v/>
      </c>
      <c r="Q244" s="50">
        <f>IF(L244="","",AsOf-L244)</f>
        <v/>
      </c>
      <c r="R244" s="49">
        <f>IF(B244="","",IF(H244="Do not service","—",IF(O244&gt;0.005,"Collect balance",IF(M244=0,"Book first job",IF(AND(P244="No",Q244&gt;=ReactDays),"Reactivate",IF(COUNTIF('REVIEWS'!$A$5:$A$504,B244)=0,"Ask for review",IF(AND(P244="No",M244&gt;=1),"Offer recurring plan","—")))))))</f>
        <v/>
      </c>
      <c r="S244" s="53">
        <f>IF(B244="","",COUNTIF('REFERRALS'!$B$5:$B$204,B244))</f>
        <v/>
      </c>
    </row>
    <row r="245">
      <c r="A245" s="46" t="inlineStr">
        <is>
          <t>C-241</t>
        </is>
      </c>
      <c r="B245" s="38" t="n"/>
      <c r="C245" s="38" t="n"/>
      <c r="D245" s="38" t="n"/>
      <c r="E245" s="38" t="n"/>
      <c r="F245" s="38" t="n"/>
      <c r="G245" s="38" t="n"/>
      <c r="H245" s="38" t="n"/>
      <c r="I245" s="47" t="n"/>
      <c r="J245" s="38" t="n"/>
      <c r="K245" s="52">
        <f>IF(B245="","",IF(_xlfn.MINIFS('JOBS'!$B$5:$B$1504,'JOBS'!$D$5:$D$1504,B245,'JOBS'!$O$5:$O$1504,"Completed")=0,"",_xlfn.MINIFS('JOBS'!$B$5:$B$1504,'JOBS'!$D$5:$D$1504,B245,'JOBS'!$O$5:$O$1504,"Completed")))</f>
        <v/>
      </c>
      <c r="L245" s="52">
        <f>IF(B245="","",IF(_xlfn.MAXIFS('JOBS'!$B$5:$B$1504,'JOBS'!$D$5:$D$1504,B245,'JOBS'!$O$5:$O$1504,"Completed")=0,"",_xlfn.MAXIFS('JOBS'!$B$5:$B$1504,'JOBS'!$D$5:$D$1504,B245,'JOBS'!$O$5:$O$1504,"Completed")))</f>
        <v/>
      </c>
      <c r="M245" s="53">
        <f>IF(B245="","",COUNTIFS('JOBS'!$D$5:$D$1504,B245,'JOBS'!$O$5:$O$1504,"Completed"))</f>
        <v/>
      </c>
      <c r="N245" s="54">
        <f>IF(B245="","",SUMIFS('JOBS'!$L$5:$L$1504,'JOBS'!$D$5:$D$1504,B245,'JOBS'!$O$5:$O$1504,"Completed"))</f>
        <v/>
      </c>
      <c r="O245" s="55">
        <f>IF(B245="","",SUMIFS('JOBS'!$U$5:$U$1504,'JOBS'!$D$5:$D$1504,B245))</f>
        <v/>
      </c>
      <c r="P245" s="49">
        <f>IF(B245="","",IF(COUNTIFS('RECURRING'!$B$5:$B$154,B245,'RECURRING'!$J$5:$J$154,"Active")&gt;0,"Yes","No"))</f>
        <v/>
      </c>
      <c r="Q245" s="50">
        <f>IF(L245="","",AsOf-L245)</f>
        <v/>
      </c>
      <c r="R245" s="49">
        <f>IF(B245="","",IF(H245="Do not service","—",IF(O245&gt;0.005,"Collect balance",IF(M245=0,"Book first job",IF(AND(P245="No",Q245&gt;=ReactDays),"Reactivate",IF(COUNTIF('REVIEWS'!$A$5:$A$504,B245)=0,"Ask for review",IF(AND(P245="No",M245&gt;=1),"Offer recurring plan","—")))))))</f>
        <v/>
      </c>
      <c r="S245" s="53">
        <f>IF(B245="","",COUNTIF('REFERRALS'!$B$5:$B$204,B245))</f>
        <v/>
      </c>
    </row>
    <row r="246">
      <c r="A246" s="46" t="inlineStr">
        <is>
          <t>C-242</t>
        </is>
      </c>
      <c r="B246" s="38" t="n"/>
      <c r="C246" s="38" t="n"/>
      <c r="D246" s="38" t="n"/>
      <c r="E246" s="38" t="n"/>
      <c r="F246" s="38" t="n"/>
      <c r="G246" s="38" t="n"/>
      <c r="H246" s="38" t="n"/>
      <c r="I246" s="47" t="n"/>
      <c r="J246" s="38" t="n"/>
      <c r="K246" s="52">
        <f>IF(B246="","",IF(_xlfn.MINIFS('JOBS'!$B$5:$B$1504,'JOBS'!$D$5:$D$1504,B246,'JOBS'!$O$5:$O$1504,"Completed")=0,"",_xlfn.MINIFS('JOBS'!$B$5:$B$1504,'JOBS'!$D$5:$D$1504,B246,'JOBS'!$O$5:$O$1504,"Completed")))</f>
        <v/>
      </c>
      <c r="L246" s="52">
        <f>IF(B246="","",IF(_xlfn.MAXIFS('JOBS'!$B$5:$B$1504,'JOBS'!$D$5:$D$1504,B246,'JOBS'!$O$5:$O$1504,"Completed")=0,"",_xlfn.MAXIFS('JOBS'!$B$5:$B$1504,'JOBS'!$D$5:$D$1504,B246,'JOBS'!$O$5:$O$1504,"Completed")))</f>
        <v/>
      </c>
      <c r="M246" s="53">
        <f>IF(B246="","",COUNTIFS('JOBS'!$D$5:$D$1504,B246,'JOBS'!$O$5:$O$1504,"Completed"))</f>
        <v/>
      </c>
      <c r="N246" s="54">
        <f>IF(B246="","",SUMIFS('JOBS'!$L$5:$L$1504,'JOBS'!$D$5:$D$1504,B246,'JOBS'!$O$5:$O$1504,"Completed"))</f>
        <v/>
      </c>
      <c r="O246" s="55">
        <f>IF(B246="","",SUMIFS('JOBS'!$U$5:$U$1504,'JOBS'!$D$5:$D$1504,B246))</f>
        <v/>
      </c>
      <c r="P246" s="49">
        <f>IF(B246="","",IF(COUNTIFS('RECURRING'!$B$5:$B$154,B246,'RECURRING'!$J$5:$J$154,"Active")&gt;0,"Yes","No"))</f>
        <v/>
      </c>
      <c r="Q246" s="50">
        <f>IF(L246="","",AsOf-L246)</f>
        <v/>
      </c>
      <c r="R246" s="49">
        <f>IF(B246="","",IF(H246="Do not service","—",IF(O246&gt;0.005,"Collect balance",IF(M246=0,"Book first job",IF(AND(P246="No",Q246&gt;=ReactDays),"Reactivate",IF(COUNTIF('REVIEWS'!$A$5:$A$504,B246)=0,"Ask for review",IF(AND(P246="No",M246&gt;=1),"Offer recurring plan","—")))))))</f>
        <v/>
      </c>
      <c r="S246" s="53">
        <f>IF(B246="","",COUNTIF('REFERRALS'!$B$5:$B$204,B246))</f>
        <v/>
      </c>
    </row>
    <row r="247">
      <c r="A247" s="46" t="inlineStr">
        <is>
          <t>C-243</t>
        </is>
      </c>
      <c r="B247" s="38" t="n"/>
      <c r="C247" s="38" t="n"/>
      <c r="D247" s="38" t="n"/>
      <c r="E247" s="38" t="n"/>
      <c r="F247" s="38" t="n"/>
      <c r="G247" s="38" t="n"/>
      <c r="H247" s="38" t="n"/>
      <c r="I247" s="47" t="n"/>
      <c r="J247" s="38" t="n"/>
      <c r="K247" s="52">
        <f>IF(B247="","",IF(_xlfn.MINIFS('JOBS'!$B$5:$B$1504,'JOBS'!$D$5:$D$1504,B247,'JOBS'!$O$5:$O$1504,"Completed")=0,"",_xlfn.MINIFS('JOBS'!$B$5:$B$1504,'JOBS'!$D$5:$D$1504,B247,'JOBS'!$O$5:$O$1504,"Completed")))</f>
        <v/>
      </c>
      <c r="L247" s="52">
        <f>IF(B247="","",IF(_xlfn.MAXIFS('JOBS'!$B$5:$B$1504,'JOBS'!$D$5:$D$1504,B247,'JOBS'!$O$5:$O$1504,"Completed")=0,"",_xlfn.MAXIFS('JOBS'!$B$5:$B$1504,'JOBS'!$D$5:$D$1504,B247,'JOBS'!$O$5:$O$1504,"Completed")))</f>
        <v/>
      </c>
      <c r="M247" s="53">
        <f>IF(B247="","",COUNTIFS('JOBS'!$D$5:$D$1504,B247,'JOBS'!$O$5:$O$1504,"Completed"))</f>
        <v/>
      </c>
      <c r="N247" s="54">
        <f>IF(B247="","",SUMIFS('JOBS'!$L$5:$L$1504,'JOBS'!$D$5:$D$1504,B247,'JOBS'!$O$5:$O$1504,"Completed"))</f>
        <v/>
      </c>
      <c r="O247" s="55">
        <f>IF(B247="","",SUMIFS('JOBS'!$U$5:$U$1504,'JOBS'!$D$5:$D$1504,B247))</f>
        <v/>
      </c>
      <c r="P247" s="49">
        <f>IF(B247="","",IF(COUNTIFS('RECURRING'!$B$5:$B$154,B247,'RECURRING'!$J$5:$J$154,"Active")&gt;0,"Yes","No"))</f>
        <v/>
      </c>
      <c r="Q247" s="50">
        <f>IF(L247="","",AsOf-L247)</f>
        <v/>
      </c>
      <c r="R247" s="49">
        <f>IF(B247="","",IF(H247="Do not service","—",IF(O247&gt;0.005,"Collect balance",IF(M247=0,"Book first job",IF(AND(P247="No",Q247&gt;=ReactDays),"Reactivate",IF(COUNTIF('REVIEWS'!$A$5:$A$504,B247)=0,"Ask for review",IF(AND(P247="No",M247&gt;=1),"Offer recurring plan","—")))))))</f>
        <v/>
      </c>
      <c r="S247" s="53">
        <f>IF(B247="","",COUNTIF('REFERRALS'!$B$5:$B$204,B247))</f>
        <v/>
      </c>
    </row>
    <row r="248">
      <c r="A248" s="46" t="inlineStr">
        <is>
          <t>C-244</t>
        </is>
      </c>
      <c r="B248" s="38" t="n"/>
      <c r="C248" s="38" t="n"/>
      <c r="D248" s="38" t="n"/>
      <c r="E248" s="38" t="n"/>
      <c r="F248" s="38" t="n"/>
      <c r="G248" s="38" t="n"/>
      <c r="H248" s="38" t="n"/>
      <c r="I248" s="47" t="n"/>
      <c r="J248" s="38" t="n"/>
      <c r="K248" s="52">
        <f>IF(B248="","",IF(_xlfn.MINIFS('JOBS'!$B$5:$B$1504,'JOBS'!$D$5:$D$1504,B248,'JOBS'!$O$5:$O$1504,"Completed")=0,"",_xlfn.MINIFS('JOBS'!$B$5:$B$1504,'JOBS'!$D$5:$D$1504,B248,'JOBS'!$O$5:$O$1504,"Completed")))</f>
        <v/>
      </c>
      <c r="L248" s="52">
        <f>IF(B248="","",IF(_xlfn.MAXIFS('JOBS'!$B$5:$B$1504,'JOBS'!$D$5:$D$1504,B248,'JOBS'!$O$5:$O$1504,"Completed")=0,"",_xlfn.MAXIFS('JOBS'!$B$5:$B$1504,'JOBS'!$D$5:$D$1504,B248,'JOBS'!$O$5:$O$1504,"Completed")))</f>
        <v/>
      </c>
      <c r="M248" s="53">
        <f>IF(B248="","",COUNTIFS('JOBS'!$D$5:$D$1504,B248,'JOBS'!$O$5:$O$1504,"Completed"))</f>
        <v/>
      </c>
      <c r="N248" s="54">
        <f>IF(B248="","",SUMIFS('JOBS'!$L$5:$L$1504,'JOBS'!$D$5:$D$1504,B248,'JOBS'!$O$5:$O$1504,"Completed"))</f>
        <v/>
      </c>
      <c r="O248" s="55">
        <f>IF(B248="","",SUMIFS('JOBS'!$U$5:$U$1504,'JOBS'!$D$5:$D$1504,B248))</f>
        <v/>
      </c>
      <c r="P248" s="49">
        <f>IF(B248="","",IF(COUNTIFS('RECURRING'!$B$5:$B$154,B248,'RECURRING'!$J$5:$J$154,"Active")&gt;0,"Yes","No"))</f>
        <v/>
      </c>
      <c r="Q248" s="50">
        <f>IF(L248="","",AsOf-L248)</f>
        <v/>
      </c>
      <c r="R248" s="49">
        <f>IF(B248="","",IF(H248="Do not service","—",IF(O248&gt;0.005,"Collect balance",IF(M248=0,"Book first job",IF(AND(P248="No",Q248&gt;=ReactDays),"Reactivate",IF(COUNTIF('REVIEWS'!$A$5:$A$504,B248)=0,"Ask for review",IF(AND(P248="No",M248&gt;=1),"Offer recurring plan","—")))))))</f>
        <v/>
      </c>
      <c r="S248" s="53">
        <f>IF(B248="","",COUNTIF('REFERRALS'!$B$5:$B$204,B248))</f>
        <v/>
      </c>
    </row>
    <row r="249">
      <c r="A249" s="46" t="inlineStr">
        <is>
          <t>C-245</t>
        </is>
      </c>
      <c r="B249" s="38" t="n"/>
      <c r="C249" s="38" t="n"/>
      <c r="D249" s="38" t="n"/>
      <c r="E249" s="38" t="n"/>
      <c r="F249" s="38" t="n"/>
      <c r="G249" s="38" t="n"/>
      <c r="H249" s="38" t="n"/>
      <c r="I249" s="47" t="n"/>
      <c r="J249" s="38" t="n"/>
      <c r="K249" s="52">
        <f>IF(B249="","",IF(_xlfn.MINIFS('JOBS'!$B$5:$B$1504,'JOBS'!$D$5:$D$1504,B249,'JOBS'!$O$5:$O$1504,"Completed")=0,"",_xlfn.MINIFS('JOBS'!$B$5:$B$1504,'JOBS'!$D$5:$D$1504,B249,'JOBS'!$O$5:$O$1504,"Completed")))</f>
        <v/>
      </c>
      <c r="L249" s="52">
        <f>IF(B249="","",IF(_xlfn.MAXIFS('JOBS'!$B$5:$B$1504,'JOBS'!$D$5:$D$1504,B249,'JOBS'!$O$5:$O$1504,"Completed")=0,"",_xlfn.MAXIFS('JOBS'!$B$5:$B$1504,'JOBS'!$D$5:$D$1504,B249,'JOBS'!$O$5:$O$1504,"Completed")))</f>
        <v/>
      </c>
      <c r="M249" s="53">
        <f>IF(B249="","",COUNTIFS('JOBS'!$D$5:$D$1504,B249,'JOBS'!$O$5:$O$1504,"Completed"))</f>
        <v/>
      </c>
      <c r="N249" s="54">
        <f>IF(B249="","",SUMIFS('JOBS'!$L$5:$L$1504,'JOBS'!$D$5:$D$1504,B249,'JOBS'!$O$5:$O$1504,"Completed"))</f>
        <v/>
      </c>
      <c r="O249" s="55">
        <f>IF(B249="","",SUMIFS('JOBS'!$U$5:$U$1504,'JOBS'!$D$5:$D$1504,B249))</f>
        <v/>
      </c>
      <c r="P249" s="49">
        <f>IF(B249="","",IF(COUNTIFS('RECURRING'!$B$5:$B$154,B249,'RECURRING'!$J$5:$J$154,"Active")&gt;0,"Yes","No"))</f>
        <v/>
      </c>
      <c r="Q249" s="50">
        <f>IF(L249="","",AsOf-L249)</f>
        <v/>
      </c>
      <c r="R249" s="49">
        <f>IF(B249="","",IF(H249="Do not service","—",IF(O249&gt;0.005,"Collect balance",IF(M249=0,"Book first job",IF(AND(P249="No",Q249&gt;=ReactDays),"Reactivate",IF(COUNTIF('REVIEWS'!$A$5:$A$504,B249)=0,"Ask for review",IF(AND(P249="No",M249&gt;=1),"Offer recurring plan","—")))))))</f>
        <v/>
      </c>
      <c r="S249" s="53">
        <f>IF(B249="","",COUNTIF('REFERRALS'!$B$5:$B$204,B249))</f>
        <v/>
      </c>
    </row>
    <row r="250">
      <c r="A250" s="46" t="inlineStr">
        <is>
          <t>C-246</t>
        </is>
      </c>
      <c r="B250" s="38" t="n"/>
      <c r="C250" s="38" t="n"/>
      <c r="D250" s="38" t="n"/>
      <c r="E250" s="38" t="n"/>
      <c r="F250" s="38" t="n"/>
      <c r="G250" s="38" t="n"/>
      <c r="H250" s="38" t="n"/>
      <c r="I250" s="47" t="n"/>
      <c r="J250" s="38" t="n"/>
      <c r="K250" s="52">
        <f>IF(B250="","",IF(_xlfn.MINIFS('JOBS'!$B$5:$B$1504,'JOBS'!$D$5:$D$1504,B250,'JOBS'!$O$5:$O$1504,"Completed")=0,"",_xlfn.MINIFS('JOBS'!$B$5:$B$1504,'JOBS'!$D$5:$D$1504,B250,'JOBS'!$O$5:$O$1504,"Completed")))</f>
        <v/>
      </c>
      <c r="L250" s="52">
        <f>IF(B250="","",IF(_xlfn.MAXIFS('JOBS'!$B$5:$B$1504,'JOBS'!$D$5:$D$1504,B250,'JOBS'!$O$5:$O$1504,"Completed")=0,"",_xlfn.MAXIFS('JOBS'!$B$5:$B$1504,'JOBS'!$D$5:$D$1504,B250,'JOBS'!$O$5:$O$1504,"Completed")))</f>
        <v/>
      </c>
      <c r="M250" s="53">
        <f>IF(B250="","",COUNTIFS('JOBS'!$D$5:$D$1504,B250,'JOBS'!$O$5:$O$1504,"Completed"))</f>
        <v/>
      </c>
      <c r="N250" s="54">
        <f>IF(B250="","",SUMIFS('JOBS'!$L$5:$L$1504,'JOBS'!$D$5:$D$1504,B250,'JOBS'!$O$5:$O$1504,"Completed"))</f>
        <v/>
      </c>
      <c r="O250" s="55">
        <f>IF(B250="","",SUMIFS('JOBS'!$U$5:$U$1504,'JOBS'!$D$5:$D$1504,B250))</f>
        <v/>
      </c>
      <c r="P250" s="49">
        <f>IF(B250="","",IF(COUNTIFS('RECURRING'!$B$5:$B$154,B250,'RECURRING'!$J$5:$J$154,"Active")&gt;0,"Yes","No"))</f>
        <v/>
      </c>
      <c r="Q250" s="50">
        <f>IF(L250="","",AsOf-L250)</f>
        <v/>
      </c>
      <c r="R250" s="49">
        <f>IF(B250="","",IF(H250="Do not service","—",IF(O250&gt;0.005,"Collect balance",IF(M250=0,"Book first job",IF(AND(P250="No",Q250&gt;=ReactDays),"Reactivate",IF(COUNTIF('REVIEWS'!$A$5:$A$504,B250)=0,"Ask for review",IF(AND(P250="No",M250&gt;=1),"Offer recurring plan","—")))))))</f>
        <v/>
      </c>
      <c r="S250" s="53">
        <f>IF(B250="","",COUNTIF('REFERRALS'!$B$5:$B$204,B250))</f>
        <v/>
      </c>
    </row>
    <row r="251">
      <c r="A251" s="46" t="inlineStr">
        <is>
          <t>C-247</t>
        </is>
      </c>
      <c r="B251" s="38" t="n"/>
      <c r="C251" s="38" t="n"/>
      <c r="D251" s="38" t="n"/>
      <c r="E251" s="38" t="n"/>
      <c r="F251" s="38" t="n"/>
      <c r="G251" s="38" t="n"/>
      <c r="H251" s="38" t="n"/>
      <c r="I251" s="47" t="n"/>
      <c r="J251" s="38" t="n"/>
      <c r="K251" s="52">
        <f>IF(B251="","",IF(_xlfn.MINIFS('JOBS'!$B$5:$B$1504,'JOBS'!$D$5:$D$1504,B251,'JOBS'!$O$5:$O$1504,"Completed")=0,"",_xlfn.MINIFS('JOBS'!$B$5:$B$1504,'JOBS'!$D$5:$D$1504,B251,'JOBS'!$O$5:$O$1504,"Completed")))</f>
        <v/>
      </c>
      <c r="L251" s="52">
        <f>IF(B251="","",IF(_xlfn.MAXIFS('JOBS'!$B$5:$B$1504,'JOBS'!$D$5:$D$1504,B251,'JOBS'!$O$5:$O$1504,"Completed")=0,"",_xlfn.MAXIFS('JOBS'!$B$5:$B$1504,'JOBS'!$D$5:$D$1504,B251,'JOBS'!$O$5:$O$1504,"Completed")))</f>
        <v/>
      </c>
      <c r="M251" s="53">
        <f>IF(B251="","",COUNTIFS('JOBS'!$D$5:$D$1504,B251,'JOBS'!$O$5:$O$1504,"Completed"))</f>
        <v/>
      </c>
      <c r="N251" s="54">
        <f>IF(B251="","",SUMIFS('JOBS'!$L$5:$L$1504,'JOBS'!$D$5:$D$1504,B251,'JOBS'!$O$5:$O$1504,"Completed"))</f>
        <v/>
      </c>
      <c r="O251" s="55">
        <f>IF(B251="","",SUMIFS('JOBS'!$U$5:$U$1504,'JOBS'!$D$5:$D$1504,B251))</f>
        <v/>
      </c>
      <c r="P251" s="49">
        <f>IF(B251="","",IF(COUNTIFS('RECURRING'!$B$5:$B$154,B251,'RECURRING'!$J$5:$J$154,"Active")&gt;0,"Yes","No"))</f>
        <v/>
      </c>
      <c r="Q251" s="50">
        <f>IF(L251="","",AsOf-L251)</f>
        <v/>
      </c>
      <c r="R251" s="49">
        <f>IF(B251="","",IF(H251="Do not service","—",IF(O251&gt;0.005,"Collect balance",IF(M251=0,"Book first job",IF(AND(P251="No",Q251&gt;=ReactDays),"Reactivate",IF(COUNTIF('REVIEWS'!$A$5:$A$504,B251)=0,"Ask for review",IF(AND(P251="No",M251&gt;=1),"Offer recurring plan","—")))))))</f>
        <v/>
      </c>
      <c r="S251" s="53">
        <f>IF(B251="","",COUNTIF('REFERRALS'!$B$5:$B$204,B251))</f>
        <v/>
      </c>
    </row>
    <row r="252">
      <c r="A252" s="46" t="inlineStr">
        <is>
          <t>C-248</t>
        </is>
      </c>
      <c r="B252" s="38" t="n"/>
      <c r="C252" s="38" t="n"/>
      <c r="D252" s="38" t="n"/>
      <c r="E252" s="38" t="n"/>
      <c r="F252" s="38" t="n"/>
      <c r="G252" s="38" t="n"/>
      <c r="H252" s="38" t="n"/>
      <c r="I252" s="47" t="n"/>
      <c r="J252" s="38" t="n"/>
      <c r="K252" s="52">
        <f>IF(B252="","",IF(_xlfn.MINIFS('JOBS'!$B$5:$B$1504,'JOBS'!$D$5:$D$1504,B252,'JOBS'!$O$5:$O$1504,"Completed")=0,"",_xlfn.MINIFS('JOBS'!$B$5:$B$1504,'JOBS'!$D$5:$D$1504,B252,'JOBS'!$O$5:$O$1504,"Completed")))</f>
        <v/>
      </c>
      <c r="L252" s="52">
        <f>IF(B252="","",IF(_xlfn.MAXIFS('JOBS'!$B$5:$B$1504,'JOBS'!$D$5:$D$1504,B252,'JOBS'!$O$5:$O$1504,"Completed")=0,"",_xlfn.MAXIFS('JOBS'!$B$5:$B$1504,'JOBS'!$D$5:$D$1504,B252,'JOBS'!$O$5:$O$1504,"Completed")))</f>
        <v/>
      </c>
      <c r="M252" s="53">
        <f>IF(B252="","",COUNTIFS('JOBS'!$D$5:$D$1504,B252,'JOBS'!$O$5:$O$1504,"Completed"))</f>
        <v/>
      </c>
      <c r="N252" s="54">
        <f>IF(B252="","",SUMIFS('JOBS'!$L$5:$L$1504,'JOBS'!$D$5:$D$1504,B252,'JOBS'!$O$5:$O$1504,"Completed"))</f>
        <v/>
      </c>
      <c r="O252" s="55">
        <f>IF(B252="","",SUMIFS('JOBS'!$U$5:$U$1504,'JOBS'!$D$5:$D$1504,B252))</f>
        <v/>
      </c>
      <c r="P252" s="49">
        <f>IF(B252="","",IF(COUNTIFS('RECURRING'!$B$5:$B$154,B252,'RECURRING'!$J$5:$J$154,"Active")&gt;0,"Yes","No"))</f>
        <v/>
      </c>
      <c r="Q252" s="50">
        <f>IF(L252="","",AsOf-L252)</f>
        <v/>
      </c>
      <c r="R252" s="49">
        <f>IF(B252="","",IF(H252="Do not service","—",IF(O252&gt;0.005,"Collect balance",IF(M252=0,"Book first job",IF(AND(P252="No",Q252&gt;=ReactDays),"Reactivate",IF(COUNTIF('REVIEWS'!$A$5:$A$504,B252)=0,"Ask for review",IF(AND(P252="No",M252&gt;=1),"Offer recurring plan","—")))))))</f>
        <v/>
      </c>
      <c r="S252" s="53">
        <f>IF(B252="","",COUNTIF('REFERRALS'!$B$5:$B$204,B252))</f>
        <v/>
      </c>
    </row>
    <row r="253">
      <c r="A253" s="46" t="inlineStr">
        <is>
          <t>C-249</t>
        </is>
      </c>
      <c r="B253" s="38" t="n"/>
      <c r="C253" s="38" t="n"/>
      <c r="D253" s="38" t="n"/>
      <c r="E253" s="38" t="n"/>
      <c r="F253" s="38" t="n"/>
      <c r="G253" s="38" t="n"/>
      <c r="H253" s="38" t="n"/>
      <c r="I253" s="47" t="n"/>
      <c r="J253" s="38" t="n"/>
      <c r="K253" s="52">
        <f>IF(B253="","",IF(_xlfn.MINIFS('JOBS'!$B$5:$B$1504,'JOBS'!$D$5:$D$1504,B253,'JOBS'!$O$5:$O$1504,"Completed")=0,"",_xlfn.MINIFS('JOBS'!$B$5:$B$1504,'JOBS'!$D$5:$D$1504,B253,'JOBS'!$O$5:$O$1504,"Completed")))</f>
        <v/>
      </c>
      <c r="L253" s="52">
        <f>IF(B253="","",IF(_xlfn.MAXIFS('JOBS'!$B$5:$B$1504,'JOBS'!$D$5:$D$1504,B253,'JOBS'!$O$5:$O$1504,"Completed")=0,"",_xlfn.MAXIFS('JOBS'!$B$5:$B$1504,'JOBS'!$D$5:$D$1504,B253,'JOBS'!$O$5:$O$1504,"Completed")))</f>
        <v/>
      </c>
      <c r="M253" s="53">
        <f>IF(B253="","",COUNTIFS('JOBS'!$D$5:$D$1504,B253,'JOBS'!$O$5:$O$1504,"Completed"))</f>
        <v/>
      </c>
      <c r="N253" s="54">
        <f>IF(B253="","",SUMIFS('JOBS'!$L$5:$L$1504,'JOBS'!$D$5:$D$1504,B253,'JOBS'!$O$5:$O$1504,"Completed"))</f>
        <v/>
      </c>
      <c r="O253" s="55">
        <f>IF(B253="","",SUMIFS('JOBS'!$U$5:$U$1504,'JOBS'!$D$5:$D$1504,B253))</f>
        <v/>
      </c>
      <c r="P253" s="49">
        <f>IF(B253="","",IF(COUNTIFS('RECURRING'!$B$5:$B$154,B253,'RECURRING'!$J$5:$J$154,"Active")&gt;0,"Yes","No"))</f>
        <v/>
      </c>
      <c r="Q253" s="50">
        <f>IF(L253="","",AsOf-L253)</f>
        <v/>
      </c>
      <c r="R253" s="49">
        <f>IF(B253="","",IF(H253="Do not service","—",IF(O253&gt;0.005,"Collect balance",IF(M253=0,"Book first job",IF(AND(P253="No",Q253&gt;=ReactDays),"Reactivate",IF(COUNTIF('REVIEWS'!$A$5:$A$504,B253)=0,"Ask for review",IF(AND(P253="No",M253&gt;=1),"Offer recurring plan","—")))))))</f>
        <v/>
      </c>
      <c r="S253" s="53">
        <f>IF(B253="","",COUNTIF('REFERRALS'!$B$5:$B$204,B253))</f>
        <v/>
      </c>
    </row>
    <row r="254">
      <c r="A254" s="46" t="inlineStr">
        <is>
          <t>C-250</t>
        </is>
      </c>
      <c r="B254" s="38" t="n"/>
      <c r="C254" s="38" t="n"/>
      <c r="D254" s="38" t="n"/>
      <c r="E254" s="38" t="n"/>
      <c r="F254" s="38" t="n"/>
      <c r="G254" s="38" t="n"/>
      <c r="H254" s="38" t="n"/>
      <c r="I254" s="47" t="n"/>
      <c r="J254" s="38" t="n"/>
      <c r="K254" s="52">
        <f>IF(B254="","",IF(_xlfn.MINIFS('JOBS'!$B$5:$B$1504,'JOBS'!$D$5:$D$1504,B254,'JOBS'!$O$5:$O$1504,"Completed")=0,"",_xlfn.MINIFS('JOBS'!$B$5:$B$1504,'JOBS'!$D$5:$D$1504,B254,'JOBS'!$O$5:$O$1504,"Completed")))</f>
        <v/>
      </c>
      <c r="L254" s="52">
        <f>IF(B254="","",IF(_xlfn.MAXIFS('JOBS'!$B$5:$B$1504,'JOBS'!$D$5:$D$1504,B254,'JOBS'!$O$5:$O$1504,"Completed")=0,"",_xlfn.MAXIFS('JOBS'!$B$5:$B$1504,'JOBS'!$D$5:$D$1504,B254,'JOBS'!$O$5:$O$1504,"Completed")))</f>
        <v/>
      </c>
      <c r="M254" s="53">
        <f>IF(B254="","",COUNTIFS('JOBS'!$D$5:$D$1504,B254,'JOBS'!$O$5:$O$1504,"Completed"))</f>
        <v/>
      </c>
      <c r="N254" s="54">
        <f>IF(B254="","",SUMIFS('JOBS'!$L$5:$L$1504,'JOBS'!$D$5:$D$1504,B254,'JOBS'!$O$5:$O$1504,"Completed"))</f>
        <v/>
      </c>
      <c r="O254" s="55">
        <f>IF(B254="","",SUMIFS('JOBS'!$U$5:$U$1504,'JOBS'!$D$5:$D$1504,B254))</f>
        <v/>
      </c>
      <c r="P254" s="49">
        <f>IF(B254="","",IF(COUNTIFS('RECURRING'!$B$5:$B$154,B254,'RECURRING'!$J$5:$J$154,"Active")&gt;0,"Yes","No"))</f>
        <v/>
      </c>
      <c r="Q254" s="50">
        <f>IF(L254="","",AsOf-L254)</f>
        <v/>
      </c>
      <c r="R254" s="49">
        <f>IF(B254="","",IF(H254="Do not service","—",IF(O254&gt;0.005,"Collect balance",IF(M254=0,"Book first job",IF(AND(P254="No",Q254&gt;=ReactDays),"Reactivate",IF(COUNTIF('REVIEWS'!$A$5:$A$504,B254)=0,"Ask for review",IF(AND(P254="No",M254&gt;=1),"Offer recurring plan","—")))))))</f>
        <v/>
      </c>
      <c r="S254" s="53">
        <f>IF(B254="","",COUNTIF('REFERRALS'!$B$5:$B$204,B254))</f>
        <v/>
      </c>
    </row>
    <row r="255">
      <c r="A255" s="46" t="inlineStr">
        <is>
          <t>C-251</t>
        </is>
      </c>
      <c r="B255" s="38" t="n"/>
      <c r="C255" s="38" t="n"/>
      <c r="D255" s="38" t="n"/>
      <c r="E255" s="38" t="n"/>
      <c r="F255" s="38" t="n"/>
      <c r="G255" s="38" t="n"/>
      <c r="H255" s="38" t="n"/>
      <c r="I255" s="47" t="n"/>
      <c r="J255" s="38" t="n"/>
      <c r="K255" s="52">
        <f>IF(B255="","",IF(_xlfn.MINIFS('JOBS'!$B$5:$B$1504,'JOBS'!$D$5:$D$1504,B255,'JOBS'!$O$5:$O$1504,"Completed")=0,"",_xlfn.MINIFS('JOBS'!$B$5:$B$1504,'JOBS'!$D$5:$D$1504,B255,'JOBS'!$O$5:$O$1504,"Completed")))</f>
        <v/>
      </c>
      <c r="L255" s="52">
        <f>IF(B255="","",IF(_xlfn.MAXIFS('JOBS'!$B$5:$B$1504,'JOBS'!$D$5:$D$1504,B255,'JOBS'!$O$5:$O$1504,"Completed")=0,"",_xlfn.MAXIFS('JOBS'!$B$5:$B$1504,'JOBS'!$D$5:$D$1504,B255,'JOBS'!$O$5:$O$1504,"Completed")))</f>
        <v/>
      </c>
      <c r="M255" s="53">
        <f>IF(B255="","",COUNTIFS('JOBS'!$D$5:$D$1504,B255,'JOBS'!$O$5:$O$1504,"Completed"))</f>
        <v/>
      </c>
      <c r="N255" s="54">
        <f>IF(B255="","",SUMIFS('JOBS'!$L$5:$L$1504,'JOBS'!$D$5:$D$1504,B255,'JOBS'!$O$5:$O$1504,"Completed"))</f>
        <v/>
      </c>
      <c r="O255" s="55">
        <f>IF(B255="","",SUMIFS('JOBS'!$U$5:$U$1504,'JOBS'!$D$5:$D$1504,B255))</f>
        <v/>
      </c>
      <c r="P255" s="49">
        <f>IF(B255="","",IF(COUNTIFS('RECURRING'!$B$5:$B$154,B255,'RECURRING'!$J$5:$J$154,"Active")&gt;0,"Yes","No"))</f>
        <v/>
      </c>
      <c r="Q255" s="50">
        <f>IF(L255="","",AsOf-L255)</f>
        <v/>
      </c>
      <c r="R255" s="49">
        <f>IF(B255="","",IF(H255="Do not service","—",IF(O255&gt;0.005,"Collect balance",IF(M255=0,"Book first job",IF(AND(P255="No",Q255&gt;=ReactDays),"Reactivate",IF(COUNTIF('REVIEWS'!$A$5:$A$504,B255)=0,"Ask for review",IF(AND(P255="No",M255&gt;=1),"Offer recurring plan","—")))))))</f>
        <v/>
      </c>
      <c r="S255" s="53">
        <f>IF(B255="","",COUNTIF('REFERRALS'!$B$5:$B$204,B255))</f>
        <v/>
      </c>
    </row>
    <row r="256">
      <c r="A256" s="46" t="inlineStr">
        <is>
          <t>C-252</t>
        </is>
      </c>
      <c r="B256" s="38" t="n"/>
      <c r="C256" s="38" t="n"/>
      <c r="D256" s="38" t="n"/>
      <c r="E256" s="38" t="n"/>
      <c r="F256" s="38" t="n"/>
      <c r="G256" s="38" t="n"/>
      <c r="H256" s="38" t="n"/>
      <c r="I256" s="47" t="n"/>
      <c r="J256" s="38" t="n"/>
      <c r="K256" s="52">
        <f>IF(B256="","",IF(_xlfn.MINIFS('JOBS'!$B$5:$B$1504,'JOBS'!$D$5:$D$1504,B256,'JOBS'!$O$5:$O$1504,"Completed")=0,"",_xlfn.MINIFS('JOBS'!$B$5:$B$1504,'JOBS'!$D$5:$D$1504,B256,'JOBS'!$O$5:$O$1504,"Completed")))</f>
        <v/>
      </c>
      <c r="L256" s="52">
        <f>IF(B256="","",IF(_xlfn.MAXIFS('JOBS'!$B$5:$B$1504,'JOBS'!$D$5:$D$1504,B256,'JOBS'!$O$5:$O$1504,"Completed")=0,"",_xlfn.MAXIFS('JOBS'!$B$5:$B$1504,'JOBS'!$D$5:$D$1504,B256,'JOBS'!$O$5:$O$1504,"Completed")))</f>
        <v/>
      </c>
      <c r="M256" s="53">
        <f>IF(B256="","",COUNTIFS('JOBS'!$D$5:$D$1504,B256,'JOBS'!$O$5:$O$1504,"Completed"))</f>
        <v/>
      </c>
      <c r="N256" s="54">
        <f>IF(B256="","",SUMIFS('JOBS'!$L$5:$L$1504,'JOBS'!$D$5:$D$1504,B256,'JOBS'!$O$5:$O$1504,"Completed"))</f>
        <v/>
      </c>
      <c r="O256" s="55">
        <f>IF(B256="","",SUMIFS('JOBS'!$U$5:$U$1504,'JOBS'!$D$5:$D$1504,B256))</f>
        <v/>
      </c>
      <c r="P256" s="49">
        <f>IF(B256="","",IF(COUNTIFS('RECURRING'!$B$5:$B$154,B256,'RECURRING'!$J$5:$J$154,"Active")&gt;0,"Yes","No"))</f>
        <v/>
      </c>
      <c r="Q256" s="50">
        <f>IF(L256="","",AsOf-L256)</f>
        <v/>
      </c>
      <c r="R256" s="49">
        <f>IF(B256="","",IF(H256="Do not service","—",IF(O256&gt;0.005,"Collect balance",IF(M256=0,"Book first job",IF(AND(P256="No",Q256&gt;=ReactDays),"Reactivate",IF(COUNTIF('REVIEWS'!$A$5:$A$504,B256)=0,"Ask for review",IF(AND(P256="No",M256&gt;=1),"Offer recurring plan","—")))))))</f>
        <v/>
      </c>
      <c r="S256" s="53">
        <f>IF(B256="","",COUNTIF('REFERRALS'!$B$5:$B$204,B256))</f>
        <v/>
      </c>
    </row>
    <row r="257">
      <c r="A257" s="46" t="inlineStr">
        <is>
          <t>C-253</t>
        </is>
      </c>
      <c r="B257" s="38" t="n"/>
      <c r="C257" s="38" t="n"/>
      <c r="D257" s="38" t="n"/>
      <c r="E257" s="38" t="n"/>
      <c r="F257" s="38" t="n"/>
      <c r="G257" s="38" t="n"/>
      <c r="H257" s="38" t="n"/>
      <c r="I257" s="47" t="n"/>
      <c r="J257" s="38" t="n"/>
      <c r="K257" s="52">
        <f>IF(B257="","",IF(_xlfn.MINIFS('JOBS'!$B$5:$B$1504,'JOBS'!$D$5:$D$1504,B257,'JOBS'!$O$5:$O$1504,"Completed")=0,"",_xlfn.MINIFS('JOBS'!$B$5:$B$1504,'JOBS'!$D$5:$D$1504,B257,'JOBS'!$O$5:$O$1504,"Completed")))</f>
        <v/>
      </c>
      <c r="L257" s="52">
        <f>IF(B257="","",IF(_xlfn.MAXIFS('JOBS'!$B$5:$B$1504,'JOBS'!$D$5:$D$1504,B257,'JOBS'!$O$5:$O$1504,"Completed")=0,"",_xlfn.MAXIFS('JOBS'!$B$5:$B$1504,'JOBS'!$D$5:$D$1504,B257,'JOBS'!$O$5:$O$1504,"Completed")))</f>
        <v/>
      </c>
      <c r="M257" s="53">
        <f>IF(B257="","",COUNTIFS('JOBS'!$D$5:$D$1504,B257,'JOBS'!$O$5:$O$1504,"Completed"))</f>
        <v/>
      </c>
      <c r="N257" s="54">
        <f>IF(B257="","",SUMIFS('JOBS'!$L$5:$L$1504,'JOBS'!$D$5:$D$1504,B257,'JOBS'!$O$5:$O$1504,"Completed"))</f>
        <v/>
      </c>
      <c r="O257" s="55">
        <f>IF(B257="","",SUMIFS('JOBS'!$U$5:$U$1504,'JOBS'!$D$5:$D$1504,B257))</f>
        <v/>
      </c>
      <c r="P257" s="49">
        <f>IF(B257="","",IF(COUNTIFS('RECURRING'!$B$5:$B$154,B257,'RECURRING'!$J$5:$J$154,"Active")&gt;0,"Yes","No"))</f>
        <v/>
      </c>
      <c r="Q257" s="50">
        <f>IF(L257="","",AsOf-L257)</f>
        <v/>
      </c>
      <c r="R257" s="49">
        <f>IF(B257="","",IF(H257="Do not service","—",IF(O257&gt;0.005,"Collect balance",IF(M257=0,"Book first job",IF(AND(P257="No",Q257&gt;=ReactDays),"Reactivate",IF(COUNTIF('REVIEWS'!$A$5:$A$504,B257)=0,"Ask for review",IF(AND(P257="No",M257&gt;=1),"Offer recurring plan","—")))))))</f>
        <v/>
      </c>
      <c r="S257" s="53">
        <f>IF(B257="","",COUNTIF('REFERRALS'!$B$5:$B$204,B257))</f>
        <v/>
      </c>
    </row>
    <row r="258">
      <c r="A258" s="46" t="inlineStr">
        <is>
          <t>C-254</t>
        </is>
      </c>
      <c r="B258" s="38" t="n"/>
      <c r="C258" s="38" t="n"/>
      <c r="D258" s="38" t="n"/>
      <c r="E258" s="38" t="n"/>
      <c r="F258" s="38" t="n"/>
      <c r="G258" s="38" t="n"/>
      <c r="H258" s="38" t="n"/>
      <c r="I258" s="47" t="n"/>
      <c r="J258" s="38" t="n"/>
      <c r="K258" s="52">
        <f>IF(B258="","",IF(_xlfn.MINIFS('JOBS'!$B$5:$B$1504,'JOBS'!$D$5:$D$1504,B258,'JOBS'!$O$5:$O$1504,"Completed")=0,"",_xlfn.MINIFS('JOBS'!$B$5:$B$1504,'JOBS'!$D$5:$D$1504,B258,'JOBS'!$O$5:$O$1504,"Completed")))</f>
        <v/>
      </c>
      <c r="L258" s="52">
        <f>IF(B258="","",IF(_xlfn.MAXIFS('JOBS'!$B$5:$B$1504,'JOBS'!$D$5:$D$1504,B258,'JOBS'!$O$5:$O$1504,"Completed")=0,"",_xlfn.MAXIFS('JOBS'!$B$5:$B$1504,'JOBS'!$D$5:$D$1504,B258,'JOBS'!$O$5:$O$1504,"Completed")))</f>
        <v/>
      </c>
      <c r="M258" s="53">
        <f>IF(B258="","",COUNTIFS('JOBS'!$D$5:$D$1504,B258,'JOBS'!$O$5:$O$1504,"Completed"))</f>
        <v/>
      </c>
      <c r="N258" s="54">
        <f>IF(B258="","",SUMIFS('JOBS'!$L$5:$L$1504,'JOBS'!$D$5:$D$1504,B258,'JOBS'!$O$5:$O$1504,"Completed"))</f>
        <v/>
      </c>
      <c r="O258" s="55">
        <f>IF(B258="","",SUMIFS('JOBS'!$U$5:$U$1504,'JOBS'!$D$5:$D$1504,B258))</f>
        <v/>
      </c>
      <c r="P258" s="49">
        <f>IF(B258="","",IF(COUNTIFS('RECURRING'!$B$5:$B$154,B258,'RECURRING'!$J$5:$J$154,"Active")&gt;0,"Yes","No"))</f>
        <v/>
      </c>
      <c r="Q258" s="50">
        <f>IF(L258="","",AsOf-L258)</f>
        <v/>
      </c>
      <c r="R258" s="49">
        <f>IF(B258="","",IF(H258="Do not service","—",IF(O258&gt;0.005,"Collect balance",IF(M258=0,"Book first job",IF(AND(P258="No",Q258&gt;=ReactDays),"Reactivate",IF(COUNTIF('REVIEWS'!$A$5:$A$504,B258)=0,"Ask for review",IF(AND(P258="No",M258&gt;=1),"Offer recurring plan","—")))))))</f>
        <v/>
      </c>
      <c r="S258" s="53">
        <f>IF(B258="","",COUNTIF('REFERRALS'!$B$5:$B$204,B258))</f>
        <v/>
      </c>
    </row>
    <row r="259">
      <c r="A259" s="46" t="inlineStr">
        <is>
          <t>C-255</t>
        </is>
      </c>
      <c r="B259" s="38" t="n"/>
      <c r="C259" s="38" t="n"/>
      <c r="D259" s="38" t="n"/>
      <c r="E259" s="38" t="n"/>
      <c r="F259" s="38" t="n"/>
      <c r="G259" s="38" t="n"/>
      <c r="H259" s="38" t="n"/>
      <c r="I259" s="47" t="n"/>
      <c r="J259" s="38" t="n"/>
      <c r="K259" s="52">
        <f>IF(B259="","",IF(_xlfn.MINIFS('JOBS'!$B$5:$B$1504,'JOBS'!$D$5:$D$1504,B259,'JOBS'!$O$5:$O$1504,"Completed")=0,"",_xlfn.MINIFS('JOBS'!$B$5:$B$1504,'JOBS'!$D$5:$D$1504,B259,'JOBS'!$O$5:$O$1504,"Completed")))</f>
        <v/>
      </c>
      <c r="L259" s="52">
        <f>IF(B259="","",IF(_xlfn.MAXIFS('JOBS'!$B$5:$B$1504,'JOBS'!$D$5:$D$1504,B259,'JOBS'!$O$5:$O$1504,"Completed")=0,"",_xlfn.MAXIFS('JOBS'!$B$5:$B$1504,'JOBS'!$D$5:$D$1504,B259,'JOBS'!$O$5:$O$1504,"Completed")))</f>
        <v/>
      </c>
      <c r="M259" s="53">
        <f>IF(B259="","",COUNTIFS('JOBS'!$D$5:$D$1504,B259,'JOBS'!$O$5:$O$1504,"Completed"))</f>
        <v/>
      </c>
      <c r="N259" s="54">
        <f>IF(B259="","",SUMIFS('JOBS'!$L$5:$L$1504,'JOBS'!$D$5:$D$1504,B259,'JOBS'!$O$5:$O$1504,"Completed"))</f>
        <v/>
      </c>
      <c r="O259" s="55">
        <f>IF(B259="","",SUMIFS('JOBS'!$U$5:$U$1504,'JOBS'!$D$5:$D$1504,B259))</f>
        <v/>
      </c>
      <c r="P259" s="49">
        <f>IF(B259="","",IF(COUNTIFS('RECURRING'!$B$5:$B$154,B259,'RECURRING'!$J$5:$J$154,"Active")&gt;0,"Yes","No"))</f>
        <v/>
      </c>
      <c r="Q259" s="50">
        <f>IF(L259="","",AsOf-L259)</f>
        <v/>
      </c>
      <c r="R259" s="49">
        <f>IF(B259="","",IF(H259="Do not service","—",IF(O259&gt;0.005,"Collect balance",IF(M259=0,"Book first job",IF(AND(P259="No",Q259&gt;=ReactDays),"Reactivate",IF(COUNTIF('REVIEWS'!$A$5:$A$504,B259)=0,"Ask for review",IF(AND(P259="No",M259&gt;=1),"Offer recurring plan","—")))))))</f>
        <v/>
      </c>
      <c r="S259" s="53">
        <f>IF(B259="","",COUNTIF('REFERRALS'!$B$5:$B$204,B259))</f>
        <v/>
      </c>
    </row>
    <row r="260">
      <c r="A260" s="46" t="inlineStr">
        <is>
          <t>C-256</t>
        </is>
      </c>
      <c r="B260" s="38" t="n"/>
      <c r="C260" s="38" t="n"/>
      <c r="D260" s="38" t="n"/>
      <c r="E260" s="38" t="n"/>
      <c r="F260" s="38" t="n"/>
      <c r="G260" s="38" t="n"/>
      <c r="H260" s="38" t="n"/>
      <c r="I260" s="47" t="n"/>
      <c r="J260" s="38" t="n"/>
      <c r="K260" s="52">
        <f>IF(B260="","",IF(_xlfn.MINIFS('JOBS'!$B$5:$B$1504,'JOBS'!$D$5:$D$1504,B260,'JOBS'!$O$5:$O$1504,"Completed")=0,"",_xlfn.MINIFS('JOBS'!$B$5:$B$1504,'JOBS'!$D$5:$D$1504,B260,'JOBS'!$O$5:$O$1504,"Completed")))</f>
        <v/>
      </c>
      <c r="L260" s="52">
        <f>IF(B260="","",IF(_xlfn.MAXIFS('JOBS'!$B$5:$B$1504,'JOBS'!$D$5:$D$1504,B260,'JOBS'!$O$5:$O$1504,"Completed")=0,"",_xlfn.MAXIFS('JOBS'!$B$5:$B$1504,'JOBS'!$D$5:$D$1504,B260,'JOBS'!$O$5:$O$1504,"Completed")))</f>
        <v/>
      </c>
      <c r="M260" s="53">
        <f>IF(B260="","",COUNTIFS('JOBS'!$D$5:$D$1504,B260,'JOBS'!$O$5:$O$1504,"Completed"))</f>
        <v/>
      </c>
      <c r="N260" s="54">
        <f>IF(B260="","",SUMIFS('JOBS'!$L$5:$L$1504,'JOBS'!$D$5:$D$1504,B260,'JOBS'!$O$5:$O$1504,"Completed"))</f>
        <v/>
      </c>
      <c r="O260" s="55">
        <f>IF(B260="","",SUMIFS('JOBS'!$U$5:$U$1504,'JOBS'!$D$5:$D$1504,B260))</f>
        <v/>
      </c>
      <c r="P260" s="49">
        <f>IF(B260="","",IF(COUNTIFS('RECURRING'!$B$5:$B$154,B260,'RECURRING'!$J$5:$J$154,"Active")&gt;0,"Yes","No"))</f>
        <v/>
      </c>
      <c r="Q260" s="50">
        <f>IF(L260="","",AsOf-L260)</f>
        <v/>
      </c>
      <c r="R260" s="49">
        <f>IF(B260="","",IF(H260="Do not service","—",IF(O260&gt;0.005,"Collect balance",IF(M260=0,"Book first job",IF(AND(P260="No",Q260&gt;=ReactDays),"Reactivate",IF(COUNTIF('REVIEWS'!$A$5:$A$504,B260)=0,"Ask for review",IF(AND(P260="No",M260&gt;=1),"Offer recurring plan","—")))))))</f>
        <v/>
      </c>
      <c r="S260" s="53">
        <f>IF(B260="","",COUNTIF('REFERRALS'!$B$5:$B$204,B260))</f>
        <v/>
      </c>
    </row>
    <row r="261">
      <c r="A261" s="46" t="inlineStr">
        <is>
          <t>C-257</t>
        </is>
      </c>
      <c r="B261" s="38" t="n"/>
      <c r="C261" s="38" t="n"/>
      <c r="D261" s="38" t="n"/>
      <c r="E261" s="38" t="n"/>
      <c r="F261" s="38" t="n"/>
      <c r="G261" s="38" t="n"/>
      <c r="H261" s="38" t="n"/>
      <c r="I261" s="47" t="n"/>
      <c r="J261" s="38" t="n"/>
      <c r="K261" s="52">
        <f>IF(B261="","",IF(_xlfn.MINIFS('JOBS'!$B$5:$B$1504,'JOBS'!$D$5:$D$1504,B261,'JOBS'!$O$5:$O$1504,"Completed")=0,"",_xlfn.MINIFS('JOBS'!$B$5:$B$1504,'JOBS'!$D$5:$D$1504,B261,'JOBS'!$O$5:$O$1504,"Completed")))</f>
        <v/>
      </c>
      <c r="L261" s="52">
        <f>IF(B261="","",IF(_xlfn.MAXIFS('JOBS'!$B$5:$B$1504,'JOBS'!$D$5:$D$1504,B261,'JOBS'!$O$5:$O$1504,"Completed")=0,"",_xlfn.MAXIFS('JOBS'!$B$5:$B$1504,'JOBS'!$D$5:$D$1504,B261,'JOBS'!$O$5:$O$1504,"Completed")))</f>
        <v/>
      </c>
      <c r="M261" s="53">
        <f>IF(B261="","",COUNTIFS('JOBS'!$D$5:$D$1504,B261,'JOBS'!$O$5:$O$1504,"Completed"))</f>
        <v/>
      </c>
      <c r="N261" s="54">
        <f>IF(B261="","",SUMIFS('JOBS'!$L$5:$L$1504,'JOBS'!$D$5:$D$1504,B261,'JOBS'!$O$5:$O$1504,"Completed"))</f>
        <v/>
      </c>
      <c r="O261" s="55">
        <f>IF(B261="","",SUMIFS('JOBS'!$U$5:$U$1504,'JOBS'!$D$5:$D$1504,B261))</f>
        <v/>
      </c>
      <c r="P261" s="49">
        <f>IF(B261="","",IF(COUNTIFS('RECURRING'!$B$5:$B$154,B261,'RECURRING'!$J$5:$J$154,"Active")&gt;0,"Yes","No"))</f>
        <v/>
      </c>
      <c r="Q261" s="50">
        <f>IF(L261="","",AsOf-L261)</f>
        <v/>
      </c>
      <c r="R261" s="49">
        <f>IF(B261="","",IF(H261="Do not service","—",IF(O261&gt;0.005,"Collect balance",IF(M261=0,"Book first job",IF(AND(P261="No",Q261&gt;=ReactDays),"Reactivate",IF(COUNTIF('REVIEWS'!$A$5:$A$504,B261)=0,"Ask for review",IF(AND(P261="No",M261&gt;=1),"Offer recurring plan","—")))))))</f>
        <v/>
      </c>
      <c r="S261" s="53">
        <f>IF(B261="","",COUNTIF('REFERRALS'!$B$5:$B$204,B261))</f>
        <v/>
      </c>
    </row>
    <row r="262">
      <c r="A262" s="46" t="inlineStr">
        <is>
          <t>C-258</t>
        </is>
      </c>
      <c r="B262" s="38" t="n"/>
      <c r="C262" s="38" t="n"/>
      <c r="D262" s="38" t="n"/>
      <c r="E262" s="38" t="n"/>
      <c r="F262" s="38" t="n"/>
      <c r="G262" s="38" t="n"/>
      <c r="H262" s="38" t="n"/>
      <c r="I262" s="47" t="n"/>
      <c r="J262" s="38" t="n"/>
      <c r="K262" s="52">
        <f>IF(B262="","",IF(_xlfn.MINIFS('JOBS'!$B$5:$B$1504,'JOBS'!$D$5:$D$1504,B262,'JOBS'!$O$5:$O$1504,"Completed")=0,"",_xlfn.MINIFS('JOBS'!$B$5:$B$1504,'JOBS'!$D$5:$D$1504,B262,'JOBS'!$O$5:$O$1504,"Completed")))</f>
        <v/>
      </c>
      <c r="L262" s="52">
        <f>IF(B262="","",IF(_xlfn.MAXIFS('JOBS'!$B$5:$B$1504,'JOBS'!$D$5:$D$1504,B262,'JOBS'!$O$5:$O$1504,"Completed")=0,"",_xlfn.MAXIFS('JOBS'!$B$5:$B$1504,'JOBS'!$D$5:$D$1504,B262,'JOBS'!$O$5:$O$1504,"Completed")))</f>
        <v/>
      </c>
      <c r="M262" s="53">
        <f>IF(B262="","",COUNTIFS('JOBS'!$D$5:$D$1504,B262,'JOBS'!$O$5:$O$1504,"Completed"))</f>
        <v/>
      </c>
      <c r="N262" s="54">
        <f>IF(B262="","",SUMIFS('JOBS'!$L$5:$L$1504,'JOBS'!$D$5:$D$1504,B262,'JOBS'!$O$5:$O$1504,"Completed"))</f>
        <v/>
      </c>
      <c r="O262" s="55">
        <f>IF(B262="","",SUMIFS('JOBS'!$U$5:$U$1504,'JOBS'!$D$5:$D$1504,B262))</f>
        <v/>
      </c>
      <c r="P262" s="49">
        <f>IF(B262="","",IF(COUNTIFS('RECURRING'!$B$5:$B$154,B262,'RECURRING'!$J$5:$J$154,"Active")&gt;0,"Yes","No"))</f>
        <v/>
      </c>
      <c r="Q262" s="50">
        <f>IF(L262="","",AsOf-L262)</f>
        <v/>
      </c>
      <c r="R262" s="49">
        <f>IF(B262="","",IF(H262="Do not service","—",IF(O262&gt;0.005,"Collect balance",IF(M262=0,"Book first job",IF(AND(P262="No",Q262&gt;=ReactDays),"Reactivate",IF(COUNTIF('REVIEWS'!$A$5:$A$504,B262)=0,"Ask for review",IF(AND(P262="No",M262&gt;=1),"Offer recurring plan","—")))))))</f>
        <v/>
      </c>
      <c r="S262" s="53">
        <f>IF(B262="","",COUNTIF('REFERRALS'!$B$5:$B$204,B262))</f>
        <v/>
      </c>
    </row>
    <row r="263">
      <c r="A263" s="46" t="inlineStr">
        <is>
          <t>C-259</t>
        </is>
      </c>
      <c r="B263" s="38" t="n"/>
      <c r="C263" s="38" t="n"/>
      <c r="D263" s="38" t="n"/>
      <c r="E263" s="38" t="n"/>
      <c r="F263" s="38" t="n"/>
      <c r="G263" s="38" t="n"/>
      <c r="H263" s="38" t="n"/>
      <c r="I263" s="47" t="n"/>
      <c r="J263" s="38" t="n"/>
      <c r="K263" s="52">
        <f>IF(B263="","",IF(_xlfn.MINIFS('JOBS'!$B$5:$B$1504,'JOBS'!$D$5:$D$1504,B263,'JOBS'!$O$5:$O$1504,"Completed")=0,"",_xlfn.MINIFS('JOBS'!$B$5:$B$1504,'JOBS'!$D$5:$D$1504,B263,'JOBS'!$O$5:$O$1504,"Completed")))</f>
        <v/>
      </c>
      <c r="L263" s="52">
        <f>IF(B263="","",IF(_xlfn.MAXIFS('JOBS'!$B$5:$B$1504,'JOBS'!$D$5:$D$1504,B263,'JOBS'!$O$5:$O$1504,"Completed")=0,"",_xlfn.MAXIFS('JOBS'!$B$5:$B$1504,'JOBS'!$D$5:$D$1504,B263,'JOBS'!$O$5:$O$1504,"Completed")))</f>
        <v/>
      </c>
      <c r="M263" s="53">
        <f>IF(B263="","",COUNTIFS('JOBS'!$D$5:$D$1504,B263,'JOBS'!$O$5:$O$1504,"Completed"))</f>
        <v/>
      </c>
      <c r="N263" s="54">
        <f>IF(B263="","",SUMIFS('JOBS'!$L$5:$L$1504,'JOBS'!$D$5:$D$1504,B263,'JOBS'!$O$5:$O$1504,"Completed"))</f>
        <v/>
      </c>
      <c r="O263" s="55">
        <f>IF(B263="","",SUMIFS('JOBS'!$U$5:$U$1504,'JOBS'!$D$5:$D$1504,B263))</f>
        <v/>
      </c>
      <c r="P263" s="49">
        <f>IF(B263="","",IF(COUNTIFS('RECURRING'!$B$5:$B$154,B263,'RECURRING'!$J$5:$J$154,"Active")&gt;0,"Yes","No"))</f>
        <v/>
      </c>
      <c r="Q263" s="50">
        <f>IF(L263="","",AsOf-L263)</f>
        <v/>
      </c>
      <c r="R263" s="49">
        <f>IF(B263="","",IF(H263="Do not service","—",IF(O263&gt;0.005,"Collect balance",IF(M263=0,"Book first job",IF(AND(P263="No",Q263&gt;=ReactDays),"Reactivate",IF(COUNTIF('REVIEWS'!$A$5:$A$504,B263)=0,"Ask for review",IF(AND(P263="No",M263&gt;=1),"Offer recurring plan","—")))))))</f>
        <v/>
      </c>
      <c r="S263" s="53">
        <f>IF(B263="","",COUNTIF('REFERRALS'!$B$5:$B$204,B263))</f>
        <v/>
      </c>
    </row>
    <row r="264">
      <c r="A264" s="46" t="inlineStr">
        <is>
          <t>C-260</t>
        </is>
      </c>
      <c r="B264" s="38" t="n"/>
      <c r="C264" s="38" t="n"/>
      <c r="D264" s="38" t="n"/>
      <c r="E264" s="38" t="n"/>
      <c r="F264" s="38" t="n"/>
      <c r="G264" s="38" t="n"/>
      <c r="H264" s="38" t="n"/>
      <c r="I264" s="47" t="n"/>
      <c r="J264" s="38" t="n"/>
      <c r="K264" s="52">
        <f>IF(B264="","",IF(_xlfn.MINIFS('JOBS'!$B$5:$B$1504,'JOBS'!$D$5:$D$1504,B264,'JOBS'!$O$5:$O$1504,"Completed")=0,"",_xlfn.MINIFS('JOBS'!$B$5:$B$1504,'JOBS'!$D$5:$D$1504,B264,'JOBS'!$O$5:$O$1504,"Completed")))</f>
        <v/>
      </c>
      <c r="L264" s="52">
        <f>IF(B264="","",IF(_xlfn.MAXIFS('JOBS'!$B$5:$B$1504,'JOBS'!$D$5:$D$1504,B264,'JOBS'!$O$5:$O$1504,"Completed")=0,"",_xlfn.MAXIFS('JOBS'!$B$5:$B$1504,'JOBS'!$D$5:$D$1504,B264,'JOBS'!$O$5:$O$1504,"Completed")))</f>
        <v/>
      </c>
      <c r="M264" s="53">
        <f>IF(B264="","",COUNTIFS('JOBS'!$D$5:$D$1504,B264,'JOBS'!$O$5:$O$1504,"Completed"))</f>
        <v/>
      </c>
      <c r="N264" s="54">
        <f>IF(B264="","",SUMIFS('JOBS'!$L$5:$L$1504,'JOBS'!$D$5:$D$1504,B264,'JOBS'!$O$5:$O$1504,"Completed"))</f>
        <v/>
      </c>
      <c r="O264" s="55">
        <f>IF(B264="","",SUMIFS('JOBS'!$U$5:$U$1504,'JOBS'!$D$5:$D$1504,B264))</f>
        <v/>
      </c>
      <c r="P264" s="49">
        <f>IF(B264="","",IF(COUNTIFS('RECURRING'!$B$5:$B$154,B264,'RECURRING'!$J$5:$J$154,"Active")&gt;0,"Yes","No"))</f>
        <v/>
      </c>
      <c r="Q264" s="50">
        <f>IF(L264="","",AsOf-L264)</f>
        <v/>
      </c>
      <c r="R264" s="49">
        <f>IF(B264="","",IF(H264="Do not service","—",IF(O264&gt;0.005,"Collect balance",IF(M264=0,"Book first job",IF(AND(P264="No",Q264&gt;=ReactDays),"Reactivate",IF(COUNTIF('REVIEWS'!$A$5:$A$504,B264)=0,"Ask for review",IF(AND(P264="No",M264&gt;=1),"Offer recurring plan","—")))))))</f>
        <v/>
      </c>
      <c r="S264" s="53">
        <f>IF(B264="","",COUNTIF('REFERRALS'!$B$5:$B$204,B264))</f>
        <v/>
      </c>
    </row>
    <row r="265">
      <c r="A265" s="46" t="inlineStr">
        <is>
          <t>C-261</t>
        </is>
      </c>
      <c r="B265" s="38" t="n"/>
      <c r="C265" s="38" t="n"/>
      <c r="D265" s="38" t="n"/>
      <c r="E265" s="38" t="n"/>
      <c r="F265" s="38" t="n"/>
      <c r="G265" s="38" t="n"/>
      <c r="H265" s="38" t="n"/>
      <c r="I265" s="47" t="n"/>
      <c r="J265" s="38" t="n"/>
      <c r="K265" s="52">
        <f>IF(B265="","",IF(_xlfn.MINIFS('JOBS'!$B$5:$B$1504,'JOBS'!$D$5:$D$1504,B265,'JOBS'!$O$5:$O$1504,"Completed")=0,"",_xlfn.MINIFS('JOBS'!$B$5:$B$1504,'JOBS'!$D$5:$D$1504,B265,'JOBS'!$O$5:$O$1504,"Completed")))</f>
        <v/>
      </c>
      <c r="L265" s="52">
        <f>IF(B265="","",IF(_xlfn.MAXIFS('JOBS'!$B$5:$B$1504,'JOBS'!$D$5:$D$1504,B265,'JOBS'!$O$5:$O$1504,"Completed")=0,"",_xlfn.MAXIFS('JOBS'!$B$5:$B$1504,'JOBS'!$D$5:$D$1504,B265,'JOBS'!$O$5:$O$1504,"Completed")))</f>
        <v/>
      </c>
      <c r="M265" s="53">
        <f>IF(B265="","",COUNTIFS('JOBS'!$D$5:$D$1504,B265,'JOBS'!$O$5:$O$1504,"Completed"))</f>
        <v/>
      </c>
      <c r="N265" s="54">
        <f>IF(B265="","",SUMIFS('JOBS'!$L$5:$L$1504,'JOBS'!$D$5:$D$1504,B265,'JOBS'!$O$5:$O$1504,"Completed"))</f>
        <v/>
      </c>
      <c r="O265" s="55">
        <f>IF(B265="","",SUMIFS('JOBS'!$U$5:$U$1504,'JOBS'!$D$5:$D$1504,B265))</f>
        <v/>
      </c>
      <c r="P265" s="49">
        <f>IF(B265="","",IF(COUNTIFS('RECURRING'!$B$5:$B$154,B265,'RECURRING'!$J$5:$J$154,"Active")&gt;0,"Yes","No"))</f>
        <v/>
      </c>
      <c r="Q265" s="50">
        <f>IF(L265="","",AsOf-L265)</f>
        <v/>
      </c>
      <c r="R265" s="49">
        <f>IF(B265="","",IF(H265="Do not service","—",IF(O265&gt;0.005,"Collect balance",IF(M265=0,"Book first job",IF(AND(P265="No",Q265&gt;=ReactDays),"Reactivate",IF(COUNTIF('REVIEWS'!$A$5:$A$504,B265)=0,"Ask for review",IF(AND(P265="No",M265&gt;=1),"Offer recurring plan","—")))))))</f>
        <v/>
      </c>
      <c r="S265" s="53">
        <f>IF(B265="","",COUNTIF('REFERRALS'!$B$5:$B$204,B265))</f>
        <v/>
      </c>
    </row>
    <row r="266">
      <c r="A266" s="46" t="inlineStr">
        <is>
          <t>C-262</t>
        </is>
      </c>
      <c r="B266" s="38" t="n"/>
      <c r="C266" s="38" t="n"/>
      <c r="D266" s="38" t="n"/>
      <c r="E266" s="38" t="n"/>
      <c r="F266" s="38" t="n"/>
      <c r="G266" s="38" t="n"/>
      <c r="H266" s="38" t="n"/>
      <c r="I266" s="47" t="n"/>
      <c r="J266" s="38" t="n"/>
      <c r="K266" s="52">
        <f>IF(B266="","",IF(_xlfn.MINIFS('JOBS'!$B$5:$B$1504,'JOBS'!$D$5:$D$1504,B266,'JOBS'!$O$5:$O$1504,"Completed")=0,"",_xlfn.MINIFS('JOBS'!$B$5:$B$1504,'JOBS'!$D$5:$D$1504,B266,'JOBS'!$O$5:$O$1504,"Completed")))</f>
        <v/>
      </c>
      <c r="L266" s="52">
        <f>IF(B266="","",IF(_xlfn.MAXIFS('JOBS'!$B$5:$B$1504,'JOBS'!$D$5:$D$1504,B266,'JOBS'!$O$5:$O$1504,"Completed")=0,"",_xlfn.MAXIFS('JOBS'!$B$5:$B$1504,'JOBS'!$D$5:$D$1504,B266,'JOBS'!$O$5:$O$1504,"Completed")))</f>
        <v/>
      </c>
      <c r="M266" s="53">
        <f>IF(B266="","",COUNTIFS('JOBS'!$D$5:$D$1504,B266,'JOBS'!$O$5:$O$1504,"Completed"))</f>
        <v/>
      </c>
      <c r="N266" s="54">
        <f>IF(B266="","",SUMIFS('JOBS'!$L$5:$L$1504,'JOBS'!$D$5:$D$1504,B266,'JOBS'!$O$5:$O$1504,"Completed"))</f>
        <v/>
      </c>
      <c r="O266" s="55">
        <f>IF(B266="","",SUMIFS('JOBS'!$U$5:$U$1504,'JOBS'!$D$5:$D$1504,B266))</f>
        <v/>
      </c>
      <c r="P266" s="49">
        <f>IF(B266="","",IF(COUNTIFS('RECURRING'!$B$5:$B$154,B266,'RECURRING'!$J$5:$J$154,"Active")&gt;0,"Yes","No"))</f>
        <v/>
      </c>
      <c r="Q266" s="50">
        <f>IF(L266="","",AsOf-L266)</f>
        <v/>
      </c>
      <c r="R266" s="49">
        <f>IF(B266="","",IF(H266="Do not service","—",IF(O266&gt;0.005,"Collect balance",IF(M266=0,"Book first job",IF(AND(P266="No",Q266&gt;=ReactDays),"Reactivate",IF(COUNTIF('REVIEWS'!$A$5:$A$504,B266)=0,"Ask for review",IF(AND(P266="No",M266&gt;=1),"Offer recurring plan","—")))))))</f>
        <v/>
      </c>
      <c r="S266" s="53">
        <f>IF(B266="","",COUNTIF('REFERRALS'!$B$5:$B$204,B266))</f>
        <v/>
      </c>
    </row>
    <row r="267">
      <c r="A267" s="46" t="inlineStr">
        <is>
          <t>C-263</t>
        </is>
      </c>
      <c r="B267" s="38" t="n"/>
      <c r="C267" s="38" t="n"/>
      <c r="D267" s="38" t="n"/>
      <c r="E267" s="38" t="n"/>
      <c r="F267" s="38" t="n"/>
      <c r="G267" s="38" t="n"/>
      <c r="H267" s="38" t="n"/>
      <c r="I267" s="47" t="n"/>
      <c r="J267" s="38" t="n"/>
      <c r="K267" s="52">
        <f>IF(B267="","",IF(_xlfn.MINIFS('JOBS'!$B$5:$B$1504,'JOBS'!$D$5:$D$1504,B267,'JOBS'!$O$5:$O$1504,"Completed")=0,"",_xlfn.MINIFS('JOBS'!$B$5:$B$1504,'JOBS'!$D$5:$D$1504,B267,'JOBS'!$O$5:$O$1504,"Completed")))</f>
        <v/>
      </c>
      <c r="L267" s="52">
        <f>IF(B267="","",IF(_xlfn.MAXIFS('JOBS'!$B$5:$B$1504,'JOBS'!$D$5:$D$1504,B267,'JOBS'!$O$5:$O$1504,"Completed")=0,"",_xlfn.MAXIFS('JOBS'!$B$5:$B$1504,'JOBS'!$D$5:$D$1504,B267,'JOBS'!$O$5:$O$1504,"Completed")))</f>
        <v/>
      </c>
      <c r="M267" s="53">
        <f>IF(B267="","",COUNTIFS('JOBS'!$D$5:$D$1504,B267,'JOBS'!$O$5:$O$1504,"Completed"))</f>
        <v/>
      </c>
      <c r="N267" s="54">
        <f>IF(B267="","",SUMIFS('JOBS'!$L$5:$L$1504,'JOBS'!$D$5:$D$1504,B267,'JOBS'!$O$5:$O$1504,"Completed"))</f>
        <v/>
      </c>
      <c r="O267" s="55">
        <f>IF(B267="","",SUMIFS('JOBS'!$U$5:$U$1504,'JOBS'!$D$5:$D$1504,B267))</f>
        <v/>
      </c>
      <c r="P267" s="49">
        <f>IF(B267="","",IF(COUNTIFS('RECURRING'!$B$5:$B$154,B267,'RECURRING'!$J$5:$J$154,"Active")&gt;0,"Yes","No"))</f>
        <v/>
      </c>
      <c r="Q267" s="50">
        <f>IF(L267="","",AsOf-L267)</f>
        <v/>
      </c>
      <c r="R267" s="49">
        <f>IF(B267="","",IF(H267="Do not service","—",IF(O267&gt;0.005,"Collect balance",IF(M267=0,"Book first job",IF(AND(P267="No",Q267&gt;=ReactDays),"Reactivate",IF(COUNTIF('REVIEWS'!$A$5:$A$504,B267)=0,"Ask for review",IF(AND(P267="No",M267&gt;=1),"Offer recurring plan","—")))))))</f>
        <v/>
      </c>
      <c r="S267" s="53">
        <f>IF(B267="","",COUNTIF('REFERRALS'!$B$5:$B$204,B267))</f>
        <v/>
      </c>
    </row>
    <row r="268">
      <c r="A268" s="46" t="inlineStr">
        <is>
          <t>C-264</t>
        </is>
      </c>
      <c r="B268" s="38" t="n"/>
      <c r="C268" s="38" t="n"/>
      <c r="D268" s="38" t="n"/>
      <c r="E268" s="38" t="n"/>
      <c r="F268" s="38" t="n"/>
      <c r="G268" s="38" t="n"/>
      <c r="H268" s="38" t="n"/>
      <c r="I268" s="47" t="n"/>
      <c r="J268" s="38" t="n"/>
      <c r="K268" s="52">
        <f>IF(B268="","",IF(_xlfn.MINIFS('JOBS'!$B$5:$B$1504,'JOBS'!$D$5:$D$1504,B268,'JOBS'!$O$5:$O$1504,"Completed")=0,"",_xlfn.MINIFS('JOBS'!$B$5:$B$1504,'JOBS'!$D$5:$D$1504,B268,'JOBS'!$O$5:$O$1504,"Completed")))</f>
        <v/>
      </c>
      <c r="L268" s="52">
        <f>IF(B268="","",IF(_xlfn.MAXIFS('JOBS'!$B$5:$B$1504,'JOBS'!$D$5:$D$1504,B268,'JOBS'!$O$5:$O$1504,"Completed")=0,"",_xlfn.MAXIFS('JOBS'!$B$5:$B$1504,'JOBS'!$D$5:$D$1504,B268,'JOBS'!$O$5:$O$1504,"Completed")))</f>
        <v/>
      </c>
      <c r="M268" s="53">
        <f>IF(B268="","",COUNTIFS('JOBS'!$D$5:$D$1504,B268,'JOBS'!$O$5:$O$1504,"Completed"))</f>
        <v/>
      </c>
      <c r="N268" s="54">
        <f>IF(B268="","",SUMIFS('JOBS'!$L$5:$L$1504,'JOBS'!$D$5:$D$1504,B268,'JOBS'!$O$5:$O$1504,"Completed"))</f>
        <v/>
      </c>
      <c r="O268" s="55">
        <f>IF(B268="","",SUMIFS('JOBS'!$U$5:$U$1504,'JOBS'!$D$5:$D$1504,B268))</f>
        <v/>
      </c>
      <c r="P268" s="49">
        <f>IF(B268="","",IF(COUNTIFS('RECURRING'!$B$5:$B$154,B268,'RECURRING'!$J$5:$J$154,"Active")&gt;0,"Yes","No"))</f>
        <v/>
      </c>
      <c r="Q268" s="50">
        <f>IF(L268="","",AsOf-L268)</f>
        <v/>
      </c>
      <c r="R268" s="49">
        <f>IF(B268="","",IF(H268="Do not service","—",IF(O268&gt;0.005,"Collect balance",IF(M268=0,"Book first job",IF(AND(P268="No",Q268&gt;=ReactDays),"Reactivate",IF(COUNTIF('REVIEWS'!$A$5:$A$504,B268)=0,"Ask for review",IF(AND(P268="No",M268&gt;=1),"Offer recurring plan","—")))))))</f>
        <v/>
      </c>
      <c r="S268" s="53">
        <f>IF(B268="","",COUNTIF('REFERRALS'!$B$5:$B$204,B268))</f>
        <v/>
      </c>
    </row>
    <row r="269">
      <c r="A269" s="46" t="inlineStr">
        <is>
          <t>C-265</t>
        </is>
      </c>
      <c r="B269" s="38" t="n"/>
      <c r="C269" s="38" t="n"/>
      <c r="D269" s="38" t="n"/>
      <c r="E269" s="38" t="n"/>
      <c r="F269" s="38" t="n"/>
      <c r="G269" s="38" t="n"/>
      <c r="H269" s="38" t="n"/>
      <c r="I269" s="47" t="n"/>
      <c r="J269" s="38" t="n"/>
      <c r="K269" s="52">
        <f>IF(B269="","",IF(_xlfn.MINIFS('JOBS'!$B$5:$B$1504,'JOBS'!$D$5:$D$1504,B269,'JOBS'!$O$5:$O$1504,"Completed")=0,"",_xlfn.MINIFS('JOBS'!$B$5:$B$1504,'JOBS'!$D$5:$D$1504,B269,'JOBS'!$O$5:$O$1504,"Completed")))</f>
        <v/>
      </c>
      <c r="L269" s="52">
        <f>IF(B269="","",IF(_xlfn.MAXIFS('JOBS'!$B$5:$B$1504,'JOBS'!$D$5:$D$1504,B269,'JOBS'!$O$5:$O$1504,"Completed")=0,"",_xlfn.MAXIFS('JOBS'!$B$5:$B$1504,'JOBS'!$D$5:$D$1504,B269,'JOBS'!$O$5:$O$1504,"Completed")))</f>
        <v/>
      </c>
      <c r="M269" s="53">
        <f>IF(B269="","",COUNTIFS('JOBS'!$D$5:$D$1504,B269,'JOBS'!$O$5:$O$1504,"Completed"))</f>
        <v/>
      </c>
      <c r="N269" s="54">
        <f>IF(B269="","",SUMIFS('JOBS'!$L$5:$L$1504,'JOBS'!$D$5:$D$1504,B269,'JOBS'!$O$5:$O$1504,"Completed"))</f>
        <v/>
      </c>
      <c r="O269" s="55">
        <f>IF(B269="","",SUMIFS('JOBS'!$U$5:$U$1504,'JOBS'!$D$5:$D$1504,B269))</f>
        <v/>
      </c>
      <c r="P269" s="49">
        <f>IF(B269="","",IF(COUNTIFS('RECURRING'!$B$5:$B$154,B269,'RECURRING'!$J$5:$J$154,"Active")&gt;0,"Yes","No"))</f>
        <v/>
      </c>
      <c r="Q269" s="50">
        <f>IF(L269="","",AsOf-L269)</f>
        <v/>
      </c>
      <c r="R269" s="49">
        <f>IF(B269="","",IF(H269="Do not service","—",IF(O269&gt;0.005,"Collect balance",IF(M269=0,"Book first job",IF(AND(P269="No",Q269&gt;=ReactDays),"Reactivate",IF(COUNTIF('REVIEWS'!$A$5:$A$504,B269)=0,"Ask for review",IF(AND(P269="No",M269&gt;=1),"Offer recurring plan","—")))))))</f>
        <v/>
      </c>
      <c r="S269" s="53">
        <f>IF(B269="","",COUNTIF('REFERRALS'!$B$5:$B$204,B269))</f>
        <v/>
      </c>
    </row>
    <row r="270">
      <c r="A270" s="46" t="inlineStr">
        <is>
          <t>C-266</t>
        </is>
      </c>
      <c r="B270" s="38" t="n"/>
      <c r="C270" s="38" t="n"/>
      <c r="D270" s="38" t="n"/>
      <c r="E270" s="38" t="n"/>
      <c r="F270" s="38" t="n"/>
      <c r="G270" s="38" t="n"/>
      <c r="H270" s="38" t="n"/>
      <c r="I270" s="47" t="n"/>
      <c r="J270" s="38" t="n"/>
      <c r="K270" s="52">
        <f>IF(B270="","",IF(_xlfn.MINIFS('JOBS'!$B$5:$B$1504,'JOBS'!$D$5:$D$1504,B270,'JOBS'!$O$5:$O$1504,"Completed")=0,"",_xlfn.MINIFS('JOBS'!$B$5:$B$1504,'JOBS'!$D$5:$D$1504,B270,'JOBS'!$O$5:$O$1504,"Completed")))</f>
        <v/>
      </c>
      <c r="L270" s="52">
        <f>IF(B270="","",IF(_xlfn.MAXIFS('JOBS'!$B$5:$B$1504,'JOBS'!$D$5:$D$1504,B270,'JOBS'!$O$5:$O$1504,"Completed")=0,"",_xlfn.MAXIFS('JOBS'!$B$5:$B$1504,'JOBS'!$D$5:$D$1504,B270,'JOBS'!$O$5:$O$1504,"Completed")))</f>
        <v/>
      </c>
      <c r="M270" s="53">
        <f>IF(B270="","",COUNTIFS('JOBS'!$D$5:$D$1504,B270,'JOBS'!$O$5:$O$1504,"Completed"))</f>
        <v/>
      </c>
      <c r="N270" s="54">
        <f>IF(B270="","",SUMIFS('JOBS'!$L$5:$L$1504,'JOBS'!$D$5:$D$1504,B270,'JOBS'!$O$5:$O$1504,"Completed"))</f>
        <v/>
      </c>
      <c r="O270" s="55">
        <f>IF(B270="","",SUMIFS('JOBS'!$U$5:$U$1504,'JOBS'!$D$5:$D$1504,B270))</f>
        <v/>
      </c>
      <c r="P270" s="49">
        <f>IF(B270="","",IF(COUNTIFS('RECURRING'!$B$5:$B$154,B270,'RECURRING'!$J$5:$J$154,"Active")&gt;0,"Yes","No"))</f>
        <v/>
      </c>
      <c r="Q270" s="50">
        <f>IF(L270="","",AsOf-L270)</f>
        <v/>
      </c>
      <c r="R270" s="49">
        <f>IF(B270="","",IF(H270="Do not service","—",IF(O270&gt;0.005,"Collect balance",IF(M270=0,"Book first job",IF(AND(P270="No",Q270&gt;=ReactDays),"Reactivate",IF(COUNTIF('REVIEWS'!$A$5:$A$504,B270)=0,"Ask for review",IF(AND(P270="No",M270&gt;=1),"Offer recurring plan","—")))))))</f>
        <v/>
      </c>
      <c r="S270" s="53">
        <f>IF(B270="","",COUNTIF('REFERRALS'!$B$5:$B$204,B270))</f>
        <v/>
      </c>
    </row>
    <row r="271">
      <c r="A271" s="46" t="inlineStr">
        <is>
          <t>C-267</t>
        </is>
      </c>
      <c r="B271" s="38" t="n"/>
      <c r="C271" s="38" t="n"/>
      <c r="D271" s="38" t="n"/>
      <c r="E271" s="38" t="n"/>
      <c r="F271" s="38" t="n"/>
      <c r="G271" s="38" t="n"/>
      <c r="H271" s="38" t="n"/>
      <c r="I271" s="47" t="n"/>
      <c r="J271" s="38" t="n"/>
      <c r="K271" s="52">
        <f>IF(B271="","",IF(_xlfn.MINIFS('JOBS'!$B$5:$B$1504,'JOBS'!$D$5:$D$1504,B271,'JOBS'!$O$5:$O$1504,"Completed")=0,"",_xlfn.MINIFS('JOBS'!$B$5:$B$1504,'JOBS'!$D$5:$D$1504,B271,'JOBS'!$O$5:$O$1504,"Completed")))</f>
        <v/>
      </c>
      <c r="L271" s="52">
        <f>IF(B271="","",IF(_xlfn.MAXIFS('JOBS'!$B$5:$B$1504,'JOBS'!$D$5:$D$1504,B271,'JOBS'!$O$5:$O$1504,"Completed")=0,"",_xlfn.MAXIFS('JOBS'!$B$5:$B$1504,'JOBS'!$D$5:$D$1504,B271,'JOBS'!$O$5:$O$1504,"Completed")))</f>
        <v/>
      </c>
      <c r="M271" s="53">
        <f>IF(B271="","",COUNTIFS('JOBS'!$D$5:$D$1504,B271,'JOBS'!$O$5:$O$1504,"Completed"))</f>
        <v/>
      </c>
      <c r="N271" s="54">
        <f>IF(B271="","",SUMIFS('JOBS'!$L$5:$L$1504,'JOBS'!$D$5:$D$1504,B271,'JOBS'!$O$5:$O$1504,"Completed"))</f>
        <v/>
      </c>
      <c r="O271" s="55">
        <f>IF(B271="","",SUMIFS('JOBS'!$U$5:$U$1504,'JOBS'!$D$5:$D$1504,B271))</f>
        <v/>
      </c>
      <c r="P271" s="49">
        <f>IF(B271="","",IF(COUNTIFS('RECURRING'!$B$5:$B$154,B271,'RECURRING'!$J$5:$J$154,"Active")&gt;0,"Yes","No"))</f>
        <v/>
      </c>
      <c r="Q271" s="50">
        <f>IF(L271="","",AsOf-L271)</f>
        <v/>
      </c>
      <c r="R271" s="49">
        <f>IF(B271="","",IF(H271="Do not service","—",IF(O271&gt;0.005,"Collect balance",IF(M271=0,"Book first job",IF(AND(P271="No",Q271&gt;=ReactDays),"Reactivate",IF(COUNTIF('REVIEWS'!$A$5:$A$504,B271)=0,"Ask for review",IF(AND(P271="No",M271&gt;=1),"Offer recurring plan","—")))))))</f>
        <v/>
      </c>
      <c r="S271" s="53">
        <f>IF(B271="","",COUNTIF('REFERRALS'!$B$5:$B$204,B271))</f>
        <v/>
      </c>
    </row>
    <row r="272">
      <c r="A272" s="46" t="inlineStr">
        <is>
          <t>C-268</t>
        </is>
      </c>
      <c r="B272" s="38" t="n"/>
      <c r="C272" s="38" t="n"/>
      <c r="D272" s="38" t="n"/>
      <c r="E272" s="38" t="n"/>
      <c r="F272" s="38" t="n"/>
      <c r="G272" s="38" t="n"/>
      <c r="H272" s="38" t="n"/>
      <c r="I272" s="47" t="n"/>
      <c r="J272" s="38" t="n"/>
      <c r="K272" s="52">
        <f>IF(B272="","",IF(_xlfn.MINIFS('JOBS'!$B$5:$B$1504,'JOBS'!$D$5:$D$1504,B272,'JOBS'!$O$5:$O$1504,"Completed")=0,"",_xlfn.MINIFS('JOBS'!$B$5:$B$1504,'JOBS'!$D$5:$D$1504,B272,'JOBS'!$O$5:$O$1504,"Completed")))</f>
        <v/>
      </c>
      <c r="L272" s="52">
        <f>IF(B272="","",IF(_xlfn.MAXIFS('JOBS'!$B$5:$B$1504,'JOBS'!$D$5:$D$1504,B272,'JOBS'!$O$5:$O$1504,"Completed")=0,"",_xlfn.MAXIFS('JOBS'!$B$5:$B$1504,'JOBS'!$D$5:$D$1504,B272,'JOBS'!$O$5:$O$1504,"Completed")))</f>
        <v/>
      </c>
      <c r="M272" s="53">
        <f>IF(B272="","",COUNTIFS('JOBS'!$D$5:$D$1504,B272,'JOBS'!$O$5:$O$1504,"Completed"))</f>
        <v/>
      </c>
      <c r="N272" s="54">
        <f>IF(B272="","",SUMIFS('JOBS'!$L$5:$L$1504,'JOBS'!$D$5:$D$1504,B272,'JOBS'!$O$5:$O$1504,"Completed"))</f>
        <v/>
      </c>
      <c r="O272" s="55">
        <f>IF(B272="","",SUMIFS('JOBS'!$U$5:$U$1504,'JOBS'!$D$5:$D$1504,B272))</f>
        <v/>
      </c>
      <c r="P272" s="49">
        <f>IF(B272="","",IF(COUNTIFS('RECURRING'!$B$5:$B$154,B272,'RECURRING'!$J$5:$J$154,"Active")&gt;0,"Yes","No"))</f>
        <v/>
      </c>
      <c r="Q272" s="50">
        <f>IF(L272="","",AsOf-L272)</f>
        <v/>
      </c>
      <c r="R272" s="49">
        <f>IF(B272="","",IF(H272="Do not service","—",IF(O272&gt;0.005,"Collect balance",IF(M272=0,"Book first job",IF(AND(P272="No",Q272&gt;=ReactDays),"Reactivate",IF(COUNTIF('REVIEWS'!$A$5:$A$504,B272)=0,"Ask for review",IF(AND(P272="No",M272&gt;=1),"Offer recurring plan","—")))))))</f>
        <v/>
      </c>
      <c r="S272" s="53">
        <f>IF(B272="","",COUNTIF('REFERRALS'!$B$5:$B$204,B272))</f>
        <v/>
      </c>
    </row>
    <row r="273">
      <c r="A273" s="46" t="inlineStr">
        <is>
          <t>C-269</t>
        </is>
      </c>
      <c r="B273" s="38" t="n"/>
      <c r="C273" s="38" t="n"/>
      <c r="D273" s="38" t="n"/>
      <c r="E273" s="38" t="n"/>
      <c r="F273" s="38" t="n"/>
      <c r="G273" s="38" t="n"/>
      <c r="H273" s="38" t="n"/>
      <c r="I273" s="47" t="n"/>
      <c r="J273" s="38" t="n"/>
      <c r="K273" s="52">
        <f>IF(B273="","",IF(_xlfn.MINIFS('JOBS'!$B$5:$B$1504,'JOBS'!$D$5:$D$1504,B273,'JOBS'!$O$5:$O$1504,"Completed")=0,"",_xlfn.MINIFS('JOBS'!$B$5:$B$1504,'JOBS'!$D$5:$D$1504,B273,'JOBS'!$O$5:$O$1504,"Completed")))</f>
        <v/>
      </c>
      <c r="L273" s="52">
        <f>IF(B273="","",IF(_xlfn.MAXIFS('JOBS'!$B$5:$B$1504,'JOBS'!$D$5:$D$1504,B273,'JOBS'!$O$5:$O$1504,"Completed")=0,"",_xlfn.MAXIFS('JOBS'!$B$5:$B$1504,'JOBS'!$D$5:$D$1504,B273,'JOBS'!$O$5:$O$1504,"Completed")))</f>
        <v/>
      </c>
      <c r="M273" s="53">
        <f>IF(B273="","",COUNTIFS('JOBS'!$D$5:$D$1504,B273,'JOBS'!$O$5:$O$1504,"Completed"))</f>
        <v/>
      </c>
      <c r="N273" s="54">
        <f>IF(B273="","",SUMIFS('JOBS'!$L$5:$L$1504,'JOBS'!$D$5:$D$1504,B273,'JOBS'!$O$5:$O$1504,"Completed"))</f>
        <v/>
      </c>
      <c r="O273" s="55">
        <f>IF(B273="","",SUMIFS('JOBS'!$U$5:$U$1504,'JOBS'!$D$5:$D$1504,B273))</f>
        <v/>
      </c>
      <c r="P273" s="49">
        <f>IF(B273="","",IF(COUNTIFS('RECURRING'!$B$5:$B$154,B273,'RECURRING'!$J$5:$J$154,"Active")&gt;0,"Yes","No"))</f>
        <v/>
      </c>
      <c r="Q273" s="50">
        <f>IF(L273="","",AsOf-L273)</f>
        <v/>
      </c>
      <c r="R273" s="49">
        <f>IF(B273="","",IF(H273="Do not service","—",IF(O273&gt;0.005,"Collect balance",IF(M273=0,"Book first job",IF(AND(P273="No",Q273&gt;=ReactDays),"Reactivate",IF(COUNTIF('REVIEWS'!$A$5:$A$504,B273)=0,"Ask for review",IF(AND(P273="No",M273&gt;=1),"Offer recurring plan","—")))))))</f>
        <v/>
      </c>
      <c r="S273" s="53">
        <f>IF(B273="","",COUNTIF('REFERRALS'!$B$5:$B$204,B273))</f>
        <v/>
      </c>
    </row>
    <row r="274">
      <c r="A274" s="46" t="inlineStr">
        <is>
          <t>C-270</t>
        </is>
      </c>
      <c r="B274" s="38" t="n"/>
      <c r="C274" s="38" t="n"/>
      <c r="D274" s="38" t="n"/>
      <c r="E274" s="38" t="n"/>
      <c r="F274" s="38" t="n"/>
      <c r="G274" s="38" t="n"/>
      <c r="H274" s="38" t="n"/>
      <c r="I274" s="47" t="n"/>
      <c r="J274" s="38" t="n"/>
      <c r="K274" s="52">
        <f>IF(B274="","",IF(_xlfn.MINIFS('JOBS'!$B$5:$B$1504,'JOBS'!$D$5:$D$1504,B274,'JOBS'!$O$5:$O$1504,"Completed")=0,"",_xlfn.MINIFS('JOBS'!$B$5:$B$1504,'JOBS'!$D$5:$D$1504,B274,'JOBS'!$O$5:$O$1504,"Completed")))</f>
        <v/>
      </c>
      <c r="L274" s="52">
        <f>IF(B274="","",IF(_xlfn.MAXIFS('JOBS'!$B$5:$B$1504,'JOBS'!$D$5:$D$1504,B274,'JOBS'!$O$5:$O$1504,"Completed")=0,"",_xlfn.MAXIFS('JOBS'!$B$5:$B$1504,'JOBS'!$D$5:$D$1504,B274,'JOBS'!$O$5:$O$1504,"Completed")))</f>
        <v/>
      </c>
      <c r="M274" s="53">
        <f>IF(B274="","",COUNTIFS('JOBS'!$D$5:$D$1504,B274,'JOBS'!$O$5:$O$1504,"Completed"))</f>
        <v/>
      </c>
      <c r="N274" s="54">
        <f>IF(B274="","",SUMIFS('JOBS'!$L$5:$L$1504,'JOBS'!$D$5:$D$1504,B274,'JOBS'!$O$5:$O$1504,"Completed"))</f>
        <v/>
      </c>
      <c r="O274" s="55">
        <f>IF(B274="","",SUMIFS('JOBS'!$U$5:$U$1504,'JOBS'!$D$5:$D$1504,B274))</f>
        <v/>
      </c>
      <c r="P274" s="49">
        <f>IF(B274="","",IF(COUNTIFS('RECURRING'!$B$5:$B$154,B274,'RECURRING'!$J$5:$J$154,"Active")&gt;0,"Yes","No"))</f>
        <v/>
      </c>
      <c r="Q274" s="50">
        <f>IF(L274="","",AsOf-L274)</f>
        <v/>
      </c>
      <c r="R274" s="49">
        <f>IF(B274="","",IF(H274="Do not service","—",IF(O274&gt;0.005,"Collect balance",IF(M274=0,"Book first job",IF(AND(P274="No",Q274&gt;=ReactDays),"Reactivate",IF(COUNTIF('REVIEWS'!$A$5:$A$504,B274)=0,"Ask for review",IF(AND(P274="No",M274&gt;=1),"Offer recurring plan","—")))))))</f>
        <v/>
      </c>
      <c r="S274" s="53">
        <f>IF(B274="","",COUNTIF('REFERRALS'!$B$5:$B$204,B274))</f>
        <v/>
      </c>
    </row>
    <row r="275">
      <c r="A275" s="46" t="inlineStr">
        <is>
          <t>C-271</t>
        </is>
      </c>
      <c r="B275" s="38" t="n"/>
      <c r="C275" s="38" t="n"/>
      <c r="D275" s="38" t="n"/>
      <c r="E275" s="38" t="n"/>
      <c r="F275" s="38" t="n"/>
      <c r="G275" s="38" t="n"/>
      <c r="H275" s="38" t="n"/>
      <c r="I275" s="47" t="n"/>
      <c r="J275" s="38" t="n"/>
      <c r="K275" s="52">
        <f>IF(B275="","",IF(_xlfn.MINIFS('JOBS'!$B$5:$B$1504,'JOBS'!$D$5:$D$1504,B275,'JOBS'!$O$5:$O$1504,"Completed")=0,"",_xlfn.MINIFS('JOBS'!$B$5:$B$1504,'JOBS'!$D$5:$D$1504,B275,'JOBS'!$O$5:$O$1504,"Completed")))</f>
        <v/>
      </c>
      <c r="L275" s="52">
        <f>IF(B275="","",IF(_xlfn.MAXIFS('JOBS'!$B$5:$B$1504,'JOBS'!$D$5:$D$1504,B275,'JOBS'!$O$5:$O$1504,"Completed")=0,"",_xlfn.MAXIFS('JOBS'!$B$5:$B$1504,'JOBS'!$D$5:$D$1504,B275,'JOBS'!$O$5:$O$1504,"Completed")))</f>
        <v/>
      </c>
      <c r="M275" s="53">
        <f>IF(B275="","",COUNTIFS('JOBS'!$D$5:$D$1504,B275,'JOBS'!$O$5:$O$1504,"Completed"))</f>
        <v/>
      </c>
      <c r="N275" s="54">
        <f>IF(B275="","",SUMIFS('JOBS'!$L$5:$L$1504,'JOBS'!$D$5:$D$1504,B275,'JOBS'!$O$5:$O$1504,"Completed"))</f>
        <v/>
      </c>
      <c r="O275" s="55">
        <f>IF(B275="","",SUMIFS('JOBS'!$U$5:$U$1504,'JOBS'!$D$5:$D$1504,B275))</f>
        <v/>
      </c>
      <c r="P275" s="49">
        <f>IF(B275="","",IF(COUNTIFS('RECURRING'!$B$5:$B$154,B275,'RECURRING'!$J$5:$J$154,"Active")&gt;0,"Yes","No"))</f>
        <v/>
      </c>
      <c r="Q275" s="50">
        <f>IF(L275="","",AsOf-L275)</f>
        <v/>
      </c>
      <c r="R275" s="49">
        <f>IF(B275="","",IF(H275="Do not service","—",IF(O275&gt;0.005,"Collect balance",IF(M275=0,"Book first job",IF(AND(P275="No",Q275&gt;=ReactDays),"Reactivate",IF(COUNTIF('REVIEWS'!$A$5:$A$504,B275)=0,"Ask for review",IF(AND(P275="No",M275&gt;=1),"Offer recurring plan","—")))))))</f>
        <v/>
      </c>
      <c r="S275" s="53">
        <f>IF(B275="","",COUNTIF('REFERRALS'!$B$5:$B$204,B275))</f>
        <v/>
      </c>
    </row>
    <row r="276">
      <c r="A276" s="46" t="inlineStr">
        <is>
          <t>C-272</t>
        </is>
      </c>
      <c r="B276" s="38" t="n"/>
      <c r="C276" s="38" t="n"/>
      <c r="D276" s="38" t="n"/>
      <c r="E276" s="38" t="n"/>
      <c r="F276" s="38" t="n"/>
      <c r="G276" s="38" t="n"/>
      <c r="H276" s="38" t="n"/>
      <c r="I276" s="47" t="n"/>
      <c r="J276" s="38" t="n"/>
      <c r="K276" s="52">
        <f>IF(B276="","",IF(_xlfn.MINIFS('JOBS'!$B$5:$B$1504,'JOBS'!$D$5:$D$1504,B276,'JOBS'!$O$5:$O$1504,"Completed")=0,"",_xlfn.MINIFS('JOBS'!$B$5:$B$1504,'JOBS'!$D$5:$D$1504,B276,'JOBS'!$O$5:$O$1504,"Completed")))</f>
        <v/>
      </c>
      <c r="L276" s="52">
        <f>IF(B276="","",IF(_xlfn.MAXIFS('JOBS'!$B$5:$B$1504,'JOBS'!$D$5:$D$1504,B276,'JOBS'!$O$5:$O$1504,"Completed")=0,"",_xlfn.MAXIFS('JOBS'!$B$5:$B$1504,'JOBS'!$D$5:$D$1504,B276,'JOBS'!$O$5:$O$1504,"Completed")))</f>
        <v/>
      </c>
      <c r="M276" s="53">
        <f>IF(B276="","",COUNTIFS('JOBS'!$D$5:$D$1504,B276,'JOBS'!$O$5:$O$1504,"Completed"))</f>
        <v/>
      </c>
      <c r="N276" s="54">
        <f>IF(B276="","",SUMIFS('JOBS'!$L$5:$L$1504,'JOBS'!$D$5:$D$1504,B276,'JOBS'!$O$5:$O$1504,"Completed"))</f>
        <v/>
      </c>
      <c r="O276" s="55">
        <f>IF(B276="","",SUMIFS('JOBS'!$U$5:$U$1504,'JOBS'!$D$5:$D$1504,B276))</f>
        <v/>
      </c>
      <c r="P276" s="49">
        <f>IF(B276="","",IF(COUNTIFS('RECURRING'!$B$5:$B$154,B276,'RECURRING'!$J$5:$J$154,"Active")&gt;0,"Yes","No"))</f>
        <v/>
      </c>
      <c r="Q276" s="50">
        <f>IF(L276="","",AsOf-L276)</f>
        <v/>
      </c>
      <c r="R276" s="49">
        <f>IF(B276="","",IF(H276="Do not service","—",IF(O276&gt;0.005,"Collect balance",IF(M276=0,"Book first job",IF(AND(P276="No",Q276&gt;=ReactDays),"Reactivate",IF(COUNTIF('REVIEWS'!$A$5:$A$504,B276)=0,"Ask for review",IF(AND(P276="No",M276&gt;=1),"Offer recurring plan","—")))))))</f>
        <v/>
      </c>
      <c r="S276" s="53">
        <f>IF(B276="","",COUNTIF('REFERRALS'!$B$5:$B$204,B276))</f>
        <v/>
      </c>
    </row>
    <row r="277">
      <c r="A277" s="46" t="inlineStr">
        <is>
          <t>C-273</t>
        </is>
      </c>
      <c r="B277" s="38" t="n"/>
      <c r="C277" s="38" t="n"/>
      <c r="D277" s="38" t="n"/>
      <c r="E277" s="38" t="n"/>
      <c r="F277" s="38" t="n"/>
      <c r="G277" s="38" t="n"/>
      <c r="H277" s="38" t="n"/>
      <c r="I277" s="47" t="n"/>
      <c r="J277" s="38" t="n"/>
      <c r="K277" s="52">
        <f>IF(B277="","",IF(_xlfn.MINIFS('JOBS'!$B$5:$B$1504,'JOBS'!$D$5:$D$1504,B277,'JOBS'!$O$5:$O$1504,"Completed")=0,"",_xlfn.MINIFS('JOBS'!$B$5:$B$1504,'JOBS'!$D$5:$D$1504,B277,'JOBS'!$O$5:$O$1504,"Completed")))</f>
        <v/>
      </c>
      <c r="L277" s="52">
        <f>IF(B277="","",IF(_xlfn.MAXIFS('JOBS'!$B$5:$B$1504,'JOBS'!$D$5:$D$1504,B277,'JOBS'!$O$5:$O$1504,"Completed")=0,"",_xlfn.MAXIFS('JOBS'!$B$5:$B$1504,'JOBS'!$D$5:$D$1504,B277,'JOBS'!$O$5:$O$1504,"Completed")))</f>
        <v/>
      </c>
      <c r="M277" s="53">
        <f>IF(B277="","",COUNTIFS('JOBS'!$D$5:$D$1504,B277,'JOBS'!$O$5:$O$1504,"Completed"))</f>
        <v/>
      </c>
      <c r="N277" s="54">
        <f>IF(B277="","",SUMIFS('JOBS'!$L$5:$L$1504,'JOBS'!$D$5:$D$1504,B277,'JOBS'!$O$5:$O$1504,"Completed"))</f>
        <v/>
      </c>
      <c r="O277" s="55">
        <f>IF(B277="","",SUMIFS('JOBS'!$U$5:$U$1504,'JOBS'!$D$5:$D$1504,B277))</f>
        <v/>
      </c>
      <c r="P277" s="49">
        <f>IF(B277="","",IF(COUNTIFS('RECURRING'!$B$5:$B$154,B277,'RECURRING'!$J$5:$J$154,"Active")&gt;0,"Yes","No"))</f>
        <v/>
      </c>
      <c r="Q277" s="50">
        <f>IF(L277="","",AsOf-L277)</f>
        <v/>
      </c>
      <c r="R277" s="49">
        <f>IF(B277="","",IF(H277="Do not service","—",IF(O277&gt;0.005,"Collect balance",IF(M277=0,"Book first job",IF(AND(P277="No",Q277&gt;=ReactDays),"Reactivate",IF(COUNTIF('REVIEWS'!$A$5:$A$504,B277)=0,"Ask for review",IF(AND(P277="No",M277&gt;=1),"Offer recurring plan","—")))))))</f>
        <v/>
      </c>
      <c r="S277" s="53">
        <f>IF(B277="","",COUNTIF('REFERRALS'!$B$5:$B$204,B277))</f>
        <v/>
      </c>
    </row>
    <row r="278">
      <c r="A278" s="46" t="inlineStr">
        <is>
          <t>C-274</t>
        </is>
      </c>
      <c r="B278" s="38" t="n"/>
      <c r="C278" s="38" t="n"/>
      <c r="D278" s="38" t="n"/>
      <c r="E278" s="38" t="n"/>
      <c r="F278" s="38" t="n"/>
      <c r="G278" s="38" t="n"/>
      <c r="H278" s="38" t="n"/>
      <c r="I278" s="47" t="n"/>
      <c r="J278" s="38" t="n"/>
      <c r="K278" s="52">
        <f>IF(B278="","",IF(_xlfn.MINIFS('JOBS'!$B$5:$B$1504,'JOBS'!$D$5:$D$1504,B278,'JOBS'!$O$5:$O$1504,"Completed")=0,"",_xlfn.MINIFS('JOBS'!$B$5:$B$1504,'JOBS'!$D$5:$D$1504,B278,'JOBS'!$O$5:$O$1504,"Completed")))</f>
        <v/>
      </c>
      <c r="L278" s="52">
        <f>IF(B278="","",IF(_xlfn.MAXIFS('JOBS'!$B$5:$B$1504,'JOBS'!$D$5:$D$1504,B278,'JOBS'!$O$5:$O$1504,"Completed")=0,"",_xlfn.MAXIFS('JOBS'!$B$5:$B$1504,'JOBS'!$D$5:$D$1504,B278,'JOBS'!$O$5:$O$1504,"Completed")))</f>
        <v/>
      </c>
      <c r="M278" s="53">
        <f>IF(B278="","",COUNTIFS('JOBS'!$D$5:$D$1504,B278,'JOBS'!$O$5:$O$1504,"Completed"))</f>
        <v/>
      </c>
      <c r="N278" s="54">
        <f>IF(B278="","",SUMIFS('JOBS'!$L$5:$L$1504,'JOBS'!$D$5:$D$1504,B278,'JOBS'!$O$5:$O$1504,"Completed"))</f>
        <v/>
      </c>
      <c r="O278" s="55">
        <f>IF(B278="","",SUMIFS('JOBS'!$U$5:$U$1504,'JOBS'!$D$5:$D$1504,B278))</f>
        <v/>
      </c>
      <c r="P278" s="49">
        <f>IF(B278="","",IF(COUNTIFS('RECURRING'!$B$5:$B$154,B278,'RECURRING'!$J$5:$J$154,"Active")&gt;0,"Yes","No"))</f>
        <v/>
      </c>
      <c r="Q278" s="50">
        <f>IF(L278="","",AsOf-L278)</f>
        <v/>
      </c>
      <c r="R278" s="49">
        <f>IF(B278="","",IF(H278="Do not service","—",IF(O278&gt;0.005,"Collect balance",IF(M278=0,"Book first job",IF(AND(P278="No",Q278&gt;=ReactDays),"Reactivate",IF(COUNTIF('REVIEWS'!$A$5:$A$504,B278)=0,"Ask for review",IF(AND(P278="No",M278&gt;=1),"Offer recurring plan","—")))))))</f>
        <v/>
      </c>
      <c r="S278" s="53">
        <f>IF(B278="","",COUNTIF('REFERRALS'!$B$5:$B$204,B278))</f>
        <v/>
      </c>
    </row>
    <row r="279">
      <c r="A279" s="46" t="inlineStr">
        <is>
          <t>C-275</t>
        </is>
      </c>
      <c r="B279" s="38" t="n"/>
      <c r="C279" s="38" t="n"/>
      <c r="D279" s="38" t="n"/>
      <c r="E279" s="38" t="n"/>
      <c r="F279" s="38" t="n"/>
      <c r="G279" s="38" t="n"/>
      <c r="H279" s="38" t="n"/>
      <c r="I279" s="47" t="n"/>
      <c r="J279" s="38" t="n"/>
      <c r="K279" s="52">
        <f>IF(B279="","",IF(_xlfn.MINIFS('JOBS'!$B$5:$B$1504,'JOBS'!$D$5:$D$1504,B279,'JOBS'!$O$5:$O$1504,"Completed")=0,"",_xlfn.MINIFS('JOBS'!$B$5:$B$1504,'JOBS'!$D$5:$D$1504,B279,'JOBS'!$O$5:$O$1504,"Completed")))</f>
        <v/>
      </c>
      <c r="L279" s="52">
        <f>IF(B279="","",IF(_xlfn.MAXIFS('JOBS'!$B$5:$B$1504,'JOBS'!$D$5:$D$1504,B279,'JOBS'!$O$5:$O$1504,"Completed")=0,"",_xlfn.MAXIFS('JOBS'!$B$5:$B$1504,'JOBS'!$D$5:$D$1504,B279,'JOBS'!$O$5:$O$1504,"Completed")))</f>
        <v/>
      </c>
      <c r="M279" s="53">
        <f>IF(B279="","",COUNTIFS('JOBS'!$D$5:$D$1504,B279,'JOBS'!$O$5:$O$1504,"Completed"))</f>
        <v/>
      </c>
      <c r="N279" s="54">
        <f>IF(B279="","",SUMIFS('JOBS'!$L$5:$L$1504,'JOBS'!$D$5:$D$1504,B279,'JOBS'!$O$5:$O$1504,"Completed"))</f>
        <v/>
      </c>
      <c r="O279" s="55">
        <f>IF(B279="","",SUMIFS('JOBS'!$U$5:$U$1504,'JOBS'!$D$5:$D$1504,B279))</f>
        <v/>
      </c>
      <c r="P279" s="49">
        <f>IF(B279="","",IF(COUNTIFS('RECURRING'!$B$5:$B$154,B279,'RECURRING'!$J$5:$J$154,"Active")&gt;0,"Yes","No"))</f>
        <v/>
      </c>
      <c r="Q279" s="50">
        <f>IF(L279="","",AsOf-L279)</f>
        <v/>
      </c>
      <c r="R279" s="49">
        <f>IF(B279="","",IF(H279="Do not service","—",IF(O279&gt;0.005,"Collect balance",IF(M279=0,"Book first job",IF(AND(P279="No",Q279&gt;=ReactDays),"Reactivate",IF(COUNTIF('REVIEWS'!$A$5:$A$504,B279)=0,"Ask for review",IF(AND(P279="No",M279&gt;=1),"Offer recurring plan","—")))))))</f>
        <v/>
      </c>
      <c r="S279" s="53">
        <f>IF(B279="","",COUNTIF('REFERRALS'!$B$5:$B$204,B279))</f>
        <v/>
      </c>
    </row>
    <row r="280">
      <c r="A280" s="46" t="inlineStr">
        <is>
          <t>C-276</t>
        </is>
      </c>
      <c r="B280" s="38" t="n"/>
      <c r="C280" s="38" t="n"/>
      <c r="D280" s="38" t="n"/>
      <c r="E280" s="38" t="n"/>
      <c r="F280" s="38" t="n"/>
      <c r="G280" s="38" t="n"/>
      <c r="H280" s="38" t="n"/>
      <c r="I280" s="47" t="n"/>
      <c r="J280" s="38" t="n"/>
      <c r="K280" s="52">
        <f>IF(B280="","",IF(_xlfn.MINIFS('JOBS'!$B$5:$B$1504,'JOBS'!$D$5:$D$1504,B280,'JOBS'!$O$5:$O$1504,"Completed")=0,"",_xlfn.MINIFS('JOBS'!$B$5:$B$1504,'JOBS'!$D$5:$D$1504,B280,'JOBS'!$O$5:$O$1504,"Completed")))</f>
        <v/>
      </c>
      <c r="L280" s="52">
        <f>IF(B280="","",IF(_xlfn.MAXIFS('JOBS'!$B$5:$B$1504,'JOBS'!$D$5:$D$1504,B280,'JOBS'!$O$5:$O$1504,"Completed")=0,"",_xlfn.MAXIFS('JOBS'!$B$5:$B$1504,'JOBS'!$D$5:$D$1504,B280,'JOBS'!$O$5:$O$1504,"Completed")))</f>
        <v/>
      </c>
      <c r="M280" s="53">
        <f>IF(B280="","",COUNTIFS('JOBS'!$D$5:$D$1504,B280,'JOBS'!$O$5:$O$1504,"Completed"))</f>
        <v/>
      </c>
      <c r="N280" s="54">
        <f>IF(B280="","",SUMIFS('JOBS'!$L$5:$L$1504,'JOBS'!$D$5:$D$1504,B280,'JOBS'!$O$5:$O$1504,"Completed"))</f>
        <v/>
      </c>
      <c r="O280" s="55">
        <f>IF(B280="","",SUMIFS('JOBS'!$U$5:$U$1504,'JOBS'!$D$5:$D$1504,B280))</f>
        <v/>
      </c>
      <c r="P280" s="49">
        <f>IF(B280="","",IF(COUNTIFS('RECURRING'!$B$5:$B$154,B280,'RECURRING'!$J$5:$J$154,"Active")&gt;0,"Yes","No"))</f>
        <v/>
      </c>
      <c r="Q280" s="50">
        <f>IF(L280="","",AsOf-L280)</f>
        <v/>
      </c>
      <c r="R280" s="49">
        <f>IF(B280="","",IF(H280="Do not service","—",IF(O280&gt;0.005,"Collect balance",IF(M280=0,"Book first job",IF(AND(P280="No",Q280&gt;=ReactDays),"Reactivate",IF(COUNTIF('REVIEWS'!$A$5:$A$504,B280)=0,"Ask for review",IF(AND(P280="No",M280&gt;=1),"Offer recurring plan","—")))))))</f>
        <v/>
      </c>
      <c r="S280" s="53">
        <f>IF(B280="","",COUNTIF('REFERRALS'!$B$5:$B$204,B280))</f>
        <v/>
      </c>
    </row>
    <row r="281">
      <c r="A281" s="46" t="inlineStr">
        <is>
          <t>C-277</t>
        </is>
      </c>
      <c r="B281" s="38" t="n"/>
      <c r="C281" s="38" t="n"/>
      <c r="D281" s="38" t="n"/>
      <c r="E281" s="38" t="n"/>
      <c r="F281" s="38" t="n"/>
      <c r="G281" s="38" t="n"/>
      <c r="H281" s="38" t="n"/>
      <c r="I281" s="47" t="n"/>
      <c r="J281" s="38" t="n"/>
      <c r="K281" s="52">
        <f>IF(B281="","",IF(_xlfn.MINIFS('JOBS'!$B$5:$B$1504,'JOBS'!$D$5:$D$1504,B281,'JOBS'!$O$5:$O$1504,"Completed")=0,"",_xlfn.MINIFS('JOBS'!$B$5:$B$1504,'JOBS'!$D$5:$D$1504,B281,'JOBS'!$O$5:$O$1504,"Completed")))</f>
        <v/>
      </c>
      <c r="L281" s="52">
        <f>IF(B281="","",IF(_xlfn.MAXIFS('JOBS'!$B$5:$B$1504,'JOBS'!$D$5:$D$1504,B281,'JOBS'!$O$5:$O$1504,"Completed")=0,"",_xlfn.MAXIFS('JOBS'!$B$5:$B$1504,'JOBS'!$D$5:$D$1504,B281,'JOBS'!$O$5:$O$1504,"Completed")))</f>
        <v/>
      </c>
      <c r="M281" s="53">
        <f>IF(B281="","",COUNTIFS('JOBS'!$D$5:$D$1504,B281,'JOBS'!$O$5:$O$1504,"Completed"))</f>
        <v/>
      </c>
      <c r="N281" s="54">
        <f>IF(B281="","",SUMIFS('JOBS'!$L$5:$L$1504,'JOBS'!$D$5:$D$1504,B281,'JOBS'!$O$5:$O$1504,"Completed"))</f>
        <v/>
      </c>
      <c r="O281" s="55">
        <f>IF(B281="","",SUMIFS('JOBS'!$U$5:$U$1504,'JOBS'!$D$5:$D$1504,B281))</f>
        <v/>
      </c>
      <c r="P281" s="49">
        <f>IF(B281="","",IF(COUNTIFS('RECURRING'!$B$5:$B$154,B281,'RECURRING'!$J$5:$J$154,"Active")&gt;0,"Yes","No"))</f>
        <v/>
      </c>
      <c r="Q281" s="50">
        <f>IF(L281="","",AsOf-L281)</f>
        <v/>
      </c>
      <c r="R281" s="49">
        <f>IF(B281="","",IF(H281="Do not service","—",IF(O281&gt;0.005,"Collect balance",IF(M281=0,"Book first job",IF(AND(P281="No",Q281&gt;=ReactDays),"Reactivate",IF(COUNTIF('REVIEWS'!$A$5:$A$504,B281)=0,"Ask for review",IF(AND(P281="No",M281&gt;=1),"Offer recurring plan","—")))))))</f>
        <v/>
      </c>
      <c r="S281" s="53">
        <f>IF(B281="","",COUNTIF('REFERRALS'!$B$5:$B$204,B281))</f>
        <v/>
      </c>
    </row>
    <row r="282">
      <c r="A282" s="46" t="inlineStr">
        <is>
          <t>C-278</t>
        </is>
      </c>
      <c r="B282" s="38" t="n"/>
      <c r="C282" s="38" t="n"/>
      <c r="D282" s="38" t="n"/>
      <c r="E282" s="38" t="n"/>
      <c r="F282" s="38" t="n"/>
      <c r="G282" s="38" t="n"/>
      <c r="H282" s="38" t="n"/>
      <c r="I282" s="47" t="n"/>
      <c r="J282" s="38" t="n"/>
      <c r="K282" s="52">
        <f>IF(B282="","",IF(_xlfn.MINIFS('JOBS'!$B$5:$B$1504,'JOBS'!$D$5:$D$1504,B282,'JOBS'!$O$5:$O$1504,"Completed")=0,"",_xlfn.MINIFS('JOBS'!$B$5:$B$1504,'JOBS'!$D$5:$D$1504,B282,'JOBS'!$O$5:$O$1504,"Completed")))</f>
        <v/>
      </c>
      <c r="L282" s="52">
        <f>IF(B282="","",IF(_xlfn.MAXIFS('JOBS'!$B$5:$B$1504,'JOBS'!$D$5:$D$1504,B282,'JOBS'!$O$5:$O$1504,"Completed")=0,"",_xlfn.MAXIFS('JOBS'!$B$5:$B$1504,'JOBS'!$D$5:$D$1504,B282,'JOBS'!$O$5:$O$1504,"Completed")))</f>
        <v/>
      </c>
      <c r="M282" s="53">
        <f>IF(B282="","",COUNTIFS('JOBS'!$D$5:$D$1504,B282,'JOBS'!$O$5:$O$1504,"Completed"))</f>
        <v/>
      </c>
      <c r="N282" s="54">
        <f>IF(B282="","",SUMIFS('JOBS'!$L$5:$L$1504,'JOBS'!$D$5:$D$1504,B282,'JOBS'!$O$5:$O$1504,"Completed"))</f>
        <v/>
      </c>
      <c r="O282" s="55">
        <f>IF(B282="","",SUMIFS('JOBS'!$U$5:$U$1504,'JOBS'!$D$5:$D$1504,B282))</f>
        <v/>
      </c>
      <c r="P282" s="49">
        <f>IF(B282="","",IF(COUNTIFS('RECURRING'!$B$5:$B$154,B282,'RECURRING'!$J$5:$J$154,"Active")&gt;0,"Yes","No"))</f>
        <v/>
      </c>
      <c r="Q282" s="50">
        <f>IF(L282="","",AsOf-L282)</f>
        <v/>
      </c>
      <c r="R282" s="49">
        <f>IF(B282="","",IF(H282="Do not service","—",IF(O282&gt;0.005,"Collect balance",IF(M282=0,"Book first job",IF(AND(P282="No",Q282&gt;=ReactDays),"Reactivate",IF(COUNTIF('REVIEWS'!$A$5:$A$504,B282)=0,"Ask for review",IF(AND(P282="No",M282&gt;=1),"Offer recurring plan","—")))))))</f>
        <v/>
      </c>
      <c r="S282" s="53">
        <f>IF(B282="","",COUNTIF('REFERRALS'!$B$5:$B$204,B282))</f>
        <v/>
      </c>
    </row>
    <row r="283">
      <c r="A283" s="46" t="inlineStr">
        <is>
          <t>C-279</t>
        </is>
      </c>
      <c r="B283" s="38" t="n"/>
      <c r="C283" s="38" t="n"/>
      <c r="D283" s="38" t="n"/>
      <c r="E283" s="38" t="n"/>
      <c r="F283" s="38" t="n"/>
      <c r="G283" s="38" t="n"/>
      <c r="H283" s="38" t="n"/>
      <c r="I283" s="47" t="n"/>
      <c r="J283" s="38" t="n"/>
      <c r="K283" s="52">
        <f>IF(B283="","",IF(_xlfn.MINIFS('JOBS'!$B$5:$B$1504,'JOBS'!$D$5:$D$1504,B283,'JOBS'!$O$5:$O$1504,"Completed")=0,"",_xlfn.MINIFS('JOBS'!$B$5:$B$1504,'JOBS'!$D$5:$D$1504,B283,'JOBS'!$O$5:$O$1504,"Completed")))</f>
        <v/>
      </c>
      <c r="L283" s="52">
        <f>IF(B283="","",IF(_xlfn.MAXIFS('JOBS'!$B$5:$B$1504,'JOBS'!$D$5:$D$1504,B283,'JOBS'!$O$5:$O$1504,"Completed")=0,"",_xlfn.MAXIFS('JOBS'!$B$5:$B$1504,'JOBS'!$D$5:$D$1504,B283,'JOBS'!$O$5:$O$1504,"Completed")))</f>
        <v/>
      </c>
      <c r="M283" s="53">
        <f>IF(B283="","",COUNTIFS('JOBS'!$D$5:$D$1504,B283,'JOBS'!$O$5:$O$1504,"Completed"))</f>
        <v/>
      </c>
      <c r="N283" s="54">
        <f>IF(B283="","",SUMIFS('JOBS'!$L$5:$L$1504,'JOBS'!$D$5:$D$1504,B283,'JOBS'!$O$5:$O$1504,"Completed"))</f>
        <v/>
      </c>
      <c r="O283" s="55">
        <f>IF(B283="","",SUMIFS('JOBS'!$U$5:$U$1504,'JOBS'!$D$5:$D$1504,B283))</f>
        <v/>
      </c>
      <c r="P283" s="49">
        <f>IF(B283="","",IF(COUNTIFS('RECURRING'!$B$5:$B$154,B283,'RECURRING'!$J$5:$J$154,"Active")&gt;0,"Yes","No"))</f>
        <v/>
      </c>
      <c r="Q283" s="50">
        <f>IF(L283="","",AsOf-L283)</f>
        <v/>
      </c>
      <c r="R283" s="49">
        <f>IF(B283="","",IF(H283="Do not service","—",IF(O283&gt;0.005,"Collect balance",IF(M283=0,"Book first job",IF(AND(P283="No",Q283&gt;=ReactDays),"Reactivate",IF(COUNTIF('REVIEWS'!$A$5:$A$504,B283)=0,"Ask for review",IF(AND(P283="No",M283&gt;=1),"Offer recurring plan","—")))))))</f>
        <v/>
      </c>
      <c r="S283" s="53">
        <f>IF(B283="","",COUNTIF('REFERRALS'!$B$5:$B$204,B283))</f>
        <v/>
      </c>
    </row>
    <row r="284">
      <c r="A284" s="46" t="inlineStr">
        <is>
          <t>C-280</t>
        </is>
      </c>
      <c r="B284" s="38" t="n"/>
      <c r="C284" s="38" t="n"/>
      <c r="D284" s="38" t="n"/>
      <c r="E284" s="38" t="n"/>
      <c r="F284" s="38" t="n"/>
      <c r="G284" s="38" t="n"/>
      <c r="H284" s="38" t="n"/>
      <c r="I284" s="47" t="n"/>
      <c r="J284" s="38" t="n"/>
      <c r="K284" s="52">
        <f>IF(B284="","",IF(_xlfn.MINIFS('JOBS'!$B$5:$B$1504,'JOBS'!$D$5:$D$1504,B284,'JOBS'!$O$5:$O$1504,"Completed")=0,"",_xlfn.MINIFS('JOBS'!$B$5:$B$1504,'JOBS'!$D$5:$D$1504,B284,'JOBS'!$O$5:$O$1504,"Completed")))</f>
        <v/>
      </c>
      <c r="L284" s="52">
        <f>IF(B284="","",IF(_xlfn.MAXIFS('JOBS'!$B$5:$B$1504,'JOBS'!$D$5:$D$1504,B284,'JOBS'!$O$5:$O$1504,"Completed")=0,"",_xlfn.MAXIFS('JOBS'!$B$5:$B$1504,'JOBS'!$D$5:$D$1504,B284,'JOBS'!$O$5:$O$1504,"Completed")))</f>
        <v/>
      </c>
      <c r="M284" s="53">
        <f>IF(B284="","",COUNTIFS('JOBS'!$D$5:$D$1504,B284,'JOBS'!$O$5:$O$1504,"Completed"))</f>
        <v/>
      </c>
      <c r="N284" s="54">
        <f>IF(B284="","",SUMIFS('JOBS'!$L$5:$L$1504,'JOBS'!$D$5:$D$1504,B284,'JOBS'!$O$5:$O$1504,"Completed"))</f>
        <v/>
      </c>
      <c r="O284" s="55">
        <f>IF(B284="","",SUMIFS('JOBS'!$U$5:$U$1504,'JOBS'!$D$5:$D$1504,B284))</f>
        <v/>
      </c>
      <c r="P284" s="49">
        <f>IF(B284="","",IF(COUNTIFS('RECURRING'!$B$5:$B$154,B284,'RECURRING'!$J$5:$J$154,"Active")&gt;0,"Yes","No"))</f>
        <v/>
      </c>
      <c r="Q284" s="50">
        <f>IF(L284="","",AsOf-L284)</f>
        <v/>
      </c>
      <c r="R284" s="49">
        <f>IF(B284="","",IF(H284="Do not service","—",IF(O284&gt;0.005,"Collect balance",IF(M284=0,"Book first job",IF(AND(P284="No",Q284&gt;=ReactDays),"Reactivate",IF(COUNTIF('REVIEWS'!$A$5:$A$504,B284)=0,"Ask for review",IF(AND(P284="No",M284&gt;=1),"Offer recurring plan","—")))))))</f>
        <v/>
      </c>
      <c r="S284" s="53">
        <f>IF(B284="","",COUNTIF('REFERRALS'!$B$5:$B$204,B284))</f>
        <v/>
      </c>
    </row>
    <row r="285">
      <c r="A285" s="46" t="inlineStr">
        <is>
          <t>C-281</t>
        </is>
      </c>
      <c r="B285" s="38" t="n"/>
      <c r="C285" s="38" t="n"/>
      <c r="D285" s="38" t="n"/>
      <c r="E285" s="38" t="n"/>
      <c r="F285" s="38" t="n"/>
      <c r="G285" s="38" t="n"/>
      <c r="H285" s="38" t="n"/>
      <c r="I285" s="47" t="n"/>
      <c r="J285" s="38" t="n"/>
      <c r="K285" s="52">
        <f>IF(B285="","",IF(_xlfn.MINIFS('JOBS'!$B$5:$B$1504,'JOBS'!$D$5:$D$1504,B285,'JOBS'!$O$5:$O$1504,"Completed")=0,"",_xlfn.MINIFS('JOBS'!$B$5:$B$1504,'JOBS'!$D$5:$D$1504,B285,'JOBS'!$O$5:$O$1504,"Completed")))</f>
        <v/>
      </c>
      <c r="L285" s="52">
        <f>IF(B285="","",IF(_xlfn.MAXIFS('JOBS'!$B$5:$B$1504,'JOBS'!$D$5:$D$1504,B285,'JOBS'!$O$5:$O$1504,"Completed")=0,"",_xlfn.MAXIFS('JOBS'!$B$5:$B$1504,'JOBS'!$D$5:$D$1504,B285,'JOBS'!$O$5:$O$1504,"Completed")))</f>
        <v/>
      </c>
      <c r="M285" s="53">
        <f>IF(B285="","",COUNTIFS('JOBS'!$D$5:$D$1504,B285,'JOBS'!$O$5:$O$1504,"Completed"))</f>
        <v/>
      </c>
      <c r="N285" s="54">
        <f>IF(B285="","",SUMIFS('JOBS'!$L$5:$L$1504,'JOBS'!$D$5:$D$1504,B285,'JOBS'!$O$5:$O$1504,"Completed"))</f>
        <v/>
      </c>
      <c r="O285" s="55">
        <f>IF(B285="","",SUMIFS('JOBS'!$U$5:$U$1504,'JOBS'!$D$5:$D$1504,B285))</f>
        <v/>
      </c>
      <c r="P285" s="49">
        <f>IF(B285="","",IF(COUNTIFS('RECURRING'!$B$5:$B$154,B285,'RECURRING'!$J$5:$J$154,"Active")&gt;0,"Yes","No"))</f>
        <v/>
      </c>
      <c r="Q285" s="50">
        <f>IF(L285="","",AsOf-L285)</f>
        <v/>
      </c>
      <c r="R285" s="49">
        <f>IF(B285="","",IF(H285="Do not service","—",IF(O285&gt;0.005,"Collect balance",IF(M285=0,"Book first job",IF(AND(P285="No",Q285&gt;=ReactDays),"Reactivate",IF(COUNTIF('REVIEWS'!$A$5:$A$504,B285)=0,"Ask for review",IF(AND(P285="No",M285&gt;=1),"Offer recurring plan","—")))))))</f>
        <v/>
      </c>
      <c r="S285" s="53">
        <f>IF(B285="","",COUNTIF('REFERRALS'!$B$5:$B$204,B285))</f>
        <v/>
      </c>
    </row>
    <row r="286">
      <c r="A286" s="46" t="inlineStr">
        <is>
          <t>C-282</t>
        </is>
      </c>
      <c r="B286" s="38" t="n"/>
      <c r="C286" s="38" t="n"/>
      <c r="D286" s="38" t="n"/>
      <c r="E286" s="38" t="n"/>
      <c r="F286" s="38" t="n"/>
      <c r="G286" s="38" t="n"/>
      <c r="H286" s="38" t="n"/>
      <c r="I286" s="47" t="n"/>
      <c r="J286" s="38" t="n"/>
      <c r="K286" s="52">
        <f>IF(B286="","",IF(_xlfn.MINIFS('JOBS'!$B$5:$B$1504,'JOBS'!$D$5:$D$1504,B286,'JOBS'!$O$5:$O$1504,"Completed")=0,"",_xlfn.MINIFS('JOBS'!$B$5:$B$1504,'JOBS'!$D$5:$D$1504,B286,'JOBS'!$O$5:$O$1504,"Completed")))</f>
        <v/>
      </c>
      <c r="L286" s="52">
        <f>IF(B286="","",IF(_xlfn.MAXIFS('JOBS'!$B$5:$B$1504,'JOBS'!$D$5:$D$1504,B286,'JOBS'!$O$5:$O$1504,"Completed")=0,"",_xlfn.MAXIFS('JOBS'!$B$5:$B$1504,'JOBS'!$D$5:$D$1504,B286,'JOBS'!$O$5:$O$1504,"Completed")))</f>
        <v/>
      </c>
      <c r="M286" s="53">
        <f>IF(B286="","",COUNTIFS('JOBS'!$D$5:$D$1504,B286,'JOBS'!$O$5:$O$1504,"Completed"))</f>
        <v/>
      </c>
      <c r="N286" s="54">
        <f>IF(B286="","",SUMIFS('JOBS'!$L$5:$L$1504,'JOBS'!$D$5:$D$1504,B286,'JOBS'!$O$5:$O$1504,"Completed"))</f>
        <v/>
      </c>
      <c r="O286" s="55">
        <f>IF(B286="","",SUMIFS('JOBS'!$U$5:$U$1504,'JOBS'!$D$5:$D$1504,B286))</f>
        <v/>
      </c>
      <c r="P286" s="49">
        <f>IF(B286="","",IF(COUNTIFS('RECURRING'!$B$5:$B$154,B286,'RECURRING'!$J$5:$J$154,"Active")&gt;0,"Yes","No"))</f>
        <v/>
      </c>
      <c r="Q286" s="50">
        <f>IF(L286="","",AsOf-L286)</f>
        <v/>
      </c>
      <c r="R286" s="49">
        <f>IF(B286="","",IF(H286="Do not service","—",IF(O286&gt;0.005,"Collect balance",IF(M286=0,"Book first job",IF(AND(P286="No",Q286&gt;=ReactDays),"Reactivate",IF(COUNTIF('REVIEWS'!$A$5:$A$504,B286)=0,"Ask for review",IF(AND(P286="No",M286&gt;=1),"Offer recurring plan","—")))))))</f>
        <v/>
      </c>
      <c r="S286" s="53">
        <f>IF(B286="","",COUNTIF('REFERRALS'!$B$5:$B$204,B286))</f>
        <v/>
      </c>
    </row>
    <row r="287">
      <c r="A287" s="46" t="inlineStr">
        <is>
          <t>C-283</t>
        </is>
      </c>
      <c r="B287" s="38" t="n"/>
      <c r="C287" s="38" t="n"/>
      <c r="D287" s="38" t="n"/>
      <c r="E287" s="38" t="n"/>
      <c r="F287" s="38" t="n"/>
      <c r="G287" s="38" t="n"/>
      <c r="H287" s="38" t="n"/>
      <c r="I287" s="47" t="n"/>
      <c r="J287" s="38" t="n"/>
      <c r="K287" s="52">
        <f>IF(B287="","",IF(_xlfn.MINIFS('JOBS'!$B$5:$B$1504,'JOBS'!$D$5:$D$1504,B287,'JOBS'!$O$5:$O$1504,"Completed")=0,"",_xlfn.MINIFS('JOBS'!$B$5:$B$1504,'JOBS'!$D$5:$D$1504,B287,'JOBS'!$O$5:$O$1504,"Completed")))</f>
        <v/>
      </c>
      <c r="L287" s="52">
        <f>IF(B287="","",IF(_xlfn.MAXIFS('JOBS'!$B$5:$B$1504,'JOBS'!$D$5:$D$1504,B287,'JOBS'!$O$5:$O$1504,"Completed")=0,"",_xlfn.MAXIFS('JOBS'!$B$5:$B$1504,'JOBS'!$D$5:$D$1504,B287,'JOBS'!$O$5:$O$1504,"Completed")))</f>
        <v/>
      </c>
      <c r="M287" s="53">
        <f>IF(B287="","",COUNTIFS('JOBS'!$D$5:$D$1504,B287,'JOBS'!$O$5:$O$1504,"Completed"))</f>
        <v/>
      </c>
      <c r="N287" s="54">
        <f>IF(B287="","",SUMIFS('JOBS'!$L$5:$L$1504,'JOBS'!$D$5:$D$1504,B287,'JOBS'!$O$5:$O$1504,"Completed"))</f>
        <v/>
      </c>
      <c r="O287" s="55">
        <f>IF(B287="","",SUMIFS('JOBS'!$U$5:$U$1504,'JOBS'!$D$5:$D$1504,B287))</f>
        <v/>
      </c>
      <c r="P287" s="49">
        <f>IF(B287="","",IF(COUNTIFS('RECURRING'!$B$5:$B$154,B287,'RECURRING'!$J$5:$J$154,"Active")&gt;0,"Yes","No"))</f>
        <v/>
      </c>
      <c r="Q287" s="50">
        <f>IF(L287="","",AsOf-L287)</f>
        <v/>
      </c>
      <c r="R287" s="49">
        <f>IF(B287="","",IF(H287="Do not service","—",IF(O287&gt;0.005,"Collect balance",IF(M287=0,"Book first job",IF(AND(P287="No",Q287&gt;=ReactDays),"Reactivate",IF(COUNTIF('REVIEWS'!$A$5:$A$504,B287)=0,"Ask for review",IF(AND(P287="No",M287&gt;=1),"Offer recurring plan","—")))))))</f>
        <v/>
      </c>
      <c r="S287" s="53">
        <f>IF(B287="","",COUNTIF('REFERRALS'!$B$5:$B$204,B287))</f>
        <v/>
      </c>
    </row>
    <row r="288">
      <c r="A288" s="46" t="inlineStr">
        <is>
          <t>C-284</t>
        </is>
      </c>
      <c r="B288" s="38" t="n"/>
      <c r="C288" s="38" t="n"/>
      <c r="D288" s="38" t="n"/>
      <c r="E288" s="38" t="n"/>
      <c r="F288" s="38" t="n"/>
      <c r="G288" s="38" t="n"/>
      <c r="H288" s="38" t="n"/>
      <c r="I288" s="47" t="n"/>
      <c r="J288" s="38" t="n"/>
      <c r="K288" s="52">
        <f>IF(B288="","",IF(_xlfn.MINIFS('JOBS'!$B$5:$B$1504,'JOBS'!$D$5:$D$1504,B288,'JOBS'!$O$5:$O$1504,"Completed")=0,"",_xlfn.MINIFS('JOBS'!$B$5:$B$1504,'JOBS'!$D$5:$D$1504,B288,'JOBS'!$O$5:$O$1504,"Completed")))</f>
        <v/>
      </c>
      <c r="L288" s="52">
        <f>IF(B288="","",IF(_xlfn.MAXIFS('JOBS'!$B$5:$B$1504,'JOBS'!$D$5:$D$1504,B288,'JOBS'!$O$5:$O$1504,"Completed")=0,"",_xlfn.MAXIFS('JOBS'!$B$5:$B$1504,'JOBS'!$D$5:$D$1504,B288,'JOBS'!$O$5:$O$1504,"Completed")))</f>
        <v/>
      </c>
      <c r="M288" s="53">
        <f>IF(B288="","",COUNTIFS('JOBS'!$D$5:$D$1504,B288,'JOBS'!$O$5:$O$1504,"Completed"))</f>
        <v/>
      </c>
      <c r="N288" s="54">
        <f>IF(B288="","",SUMIFS('JOBS'!$L$5:$L$1504,'JOBS'!$D$5:$D$1504,B288,'JOBS'!$O$5:$O$1504,"Completed"))</f>
        <v/>
      </c>
      <c r="O288" s="55">
        <f>IF(B288="","",SUMIFS('JOBS'!$U$5:$U$1504,'JOBS'!$D$5:$D$1504,B288))</f>
        <v/>
      </c>
      <c r="P288" s="49">
        <f>IF(B288="","",IF(COUNTIFS('RECURRING'!$B$5:$B$154,B288,'RECURRING'!$J$5:$J$154,"Active")&gt;0,"Yes","No"))</f>
        <v/>
      </c>
      <c r="Q288" s="50">
        <f>IF(L288="","",AsOf-L288)</f>
        <v/>
      </c>
      <c r="R288" s="49">
        <f>IF(B288="","",IF(H288="Do not service","—",IF(O288&gt;0.005,"Collect balance",IF(M288=0,"Book first job",IF(AND(P288="No",Q288&gt;=ReactDays),"Reactivate",IF(COUNTIF('REVIEWS'!$A$5:$A$504,B288)=0,"Ask for review",IF(AND(P288="No",M288&gt;=1),"Offer recurring plan","—")))))))</f>
        <v/>
      </c>
      <c r="S288" s="53">
        <f>IF(B288="","",COUNTIF('REFERRALS'!$B$5:$B$204,B288))</f>
        <v/>
      </c>
    </row>
    <row r="289">
      <c r="A289" s="46" t="inlineStr">
        <is>
          <t>C-285</t>
        </is>
      </c>
      <c r="B289" s="38" t="n"/>
      <c r="C289" s="38" t="n"/>
      <c r="D289" s="38" t="n"/>
      <c r="E289" s="38" t="n"/>
      <c r="F289" s="38" t="n"/>
      <c r="G289" s="38" t="n"/>
      <c r="H289" s="38" t="n"/>
      <c r="I289" s="47" t="n"/>
      <c r="J289" s="38" t="n"/>
      <c r="K289" s="52">
        <f>IF(B289="","",IF(_xlfn.MINIFS('JOBS'!$B$5:$B$1504,'JOBS'!$D$5:$D$1504,B289,'JOBS'!$O$5:$O$1504,"Completed")=0,"",_xlfn.MINIFS('JOBS'!$B$5:$B$1504,'JOBS'!$D$5:$D$1504,B289,'JOBS'!$O$5:$O$1504,"Completed")))</f>
        <v/>
      </c>
      <c r="L289" s="52">
        <f>IF(B289="","",IF(_xlfn.MAXIFS('JOBS'!$B$5:$B$1504,'JOBS'!$D$5:$D$1504,B289,'JOBS'!$O$5:$O$1504,"Completed")=0,"",_xlfn.MAXIFS('JOBS'!$B$5:$B$1504,'JOBS'!$D$5:$D$1504,B289,'JOBS'!$O$5:$O$1504,"Completed")))</f>
        <v/>
      </c>
      <c r="M289" s="53">
        <f>IF(B289="","",COUNTIFS('JOBS'!$D$5:$D$1504,B289,'JOBS'!$O$5:$O$1504,"Completed"))</f>
        <v/>
      </c>
      <c r="N289" s="54">
        <f>IF(B289="","",SUMIFS('JOBS'!$L$5:$L$1504,'JOBS'!$D$5:$D$1504,B289,'JOBS'!$O$5:$O$1504,"Completed"))</f>
        <v/>
      </c>
      <c r="O289" s="55">
        <f>IF(B289="","",SUMIFS('JOBS'!$U$5:$U$1504,'JOBS'!$D$5:$D$1504,B289))</f>
        <v/>
      </c>
      <c r="P289" s="49">
        <f>IF(B289="","",IF(COUNTIFS('RECURRING'!$B$5:$B$154,B289,'RECURRING'!$J$5:$J$154,"Active")&gt;0,"Yes","No"))</f>
        <v/>
      </c>
      <c r="Q289" s="50">
        <f>IF(L289="","",AsOf-L289)</f>
        <v/>
      </c>
      <c r="R289" s="49">
        <f>IF(B289="","",IF(H289="Do not service","—",IF(O289&gt;0.005,"Collect balance",IF(M289=0,"Book first job",IF(AND(P289="No",Q289&gt;=ReactDays),"Reactivate",IF(COUNTIF('REVIEWS'!$A$5:$A$504,B289)=0,"Ask for review",IF(AND(P289="No",M289&gt;=1),"Offer recurring plan","—")))))))</f>
        <v/>
      </c>
      <c r="S289" s="53">
        <f>IF(B289="","",COUNTIF('REFERRALS'!$B$5:$B$204,B289))</f>
        <v/>
      </c>
    </row>
    <row r="290">
      <c r="A290" s="46" t="inlineStr">
        <is>
          <t>C-286</t>
        </is>
      </c>
      <c r="B290" s="38" t="n"/>
      <c r="C290" s="38" t="n"/>
      <c r="D290" s="38" t="n"/>
      <c r="E290" s="38" t="n"/>
      <c r="F290" s="38" t="n"/>
      <c r="G290" s="38" t="n"/>
      <c r="H290" s="38" t="n"/>
      <c r="I290" s="47" t="n"/>
      <c r="J290" s="38" t="n"/>
      <c r="K290" s="52">
        <f>IF(B290="","",IF(_xlfn.MINIFS('JOBS'!$B$5:$B$1504,'JOBS'!$D$5:$D$1504,B290,'JOBS'!$O$5:$O$1504,"Completed")=0,"",_xlfn.MINIFS('JOBS'!$B$5:$B$1504,'JOBS'!$D$5:$D$1504,B290,'JOBS'!$O$5:$O$1504,"Completed")))</f>
        <v/>
      </c>
      <c r="L290" s="52">
        <f>IF(B290="","",IF(_xlfn.MAXIFS('JOBS'!$B$5:$B$1504,'JOBS'!$D$5:$D$1504,B290,'JOBS'!$O$5:$O$1504,"Completed")=0,"",_xlfn.MAXIFS('JOBS'!$B$5:$B$1504,'JOBS'!$D$5:$D$1504,B290,'JOBS'!$O$5:$O$1504,"Completed")))</f>
        <v/>
      </c>
      <c r="M290" s="53">
        <f>IF(B290="","",COUNTIFS('JOBS'!$D$5:$D$1504,B290,'JOBS'!$O$5:$O$1504,"Completed"))</f>
        <v/>
      </c>
      <c r="N290" s="54">
        <f>IF(B290="","",SUMIFS('JOBS'!$L$5:$L$1504,'JOBS'!$D$5:$D$1504,B290,'JOBS'!$O$5:$O$1504,"Completed"))</f>
        <v/>
      </c>
      <c r="O290" s="55">
        <f>IF(B290="","",SUMIFS('JOBS'!$U$5:$U$1504,'JOBS'!$D$5:$D$1504,B290))</f>
        <v/>
      </c>
      <c r="P290" s="49">
        <f>IF(B290="","",IF(COUNTIFS('RECURRING'!$B$5:$B$154,B290,'RECURRING'!$J$5:$J$154,"Active")&gt;0,"Yes","No"))</f>
        <v/>
      </c>
      <c r="Q290" s="50">
        <f>IF(L290="","",AsOf-L290)</f>
        <v/>
      </c>
      <c r="R290" s="49">
        <f>IF(B290="","",IF(H290="Do not service","—",IF(O290&gt;0.005,"Collect balance",IF(M290=0,"Book first job",IF(AND(P290="No",Q290&gt;=ReactDays),"Reactivate",IF(COUNTIF('REVIEWS'!$A$5:$A$504,B290)=0,"Ask for review",IF(AND(P290="No",M290&gt;=1),"Offer recurring plan","—")))))))</f>
        <v/>
      </c>
      <c r="S290" s="53">
        <f>IF(B290="","",COUNTIF('REFERRALS'!$B$5:$B$204,B290))</f>
        <v/>
      </c>
    </row>
    <row r="291">
      <c r="A291" s="46" t="inlineStr">
        <is>
          <t>C-287</t>
        </is>
      </c>
      <c r="B291" s="38" t="n"/>
      <c r="C291" s="38" t="n"/>
      <c r="D291" s="38" t="n"/>
      <c r="E291" s="38" t="n"/>
      <c r="F291" s="38" t="n"/>
      <c r="G291" s="38" t="n"/>
      <c r="H291" s="38" t="n"/>
      <c r="I291" s="47" t="n"/>
      <c r="J291" s="38" t="n"/>
      <c r="K291" s="52">
        <f>IF(B291="","",IF(_xlfn.MINIFS('JOBS'!$B$5:$B$1504,'JOBS'!$D$5:$D$1504,B291,'JOBS'!$O$5:$O$1504,"Completed")=0,"",_xlfn.MINIFS('JOBS'!$B$5:$B$1504,'JOBS'!$D$5:$D$1504,B291,'JOBS'!$O$5:$O$1504,"Completed")))</f>
        <v/>
      </c>
      <c r="L291" s="52">
        <f>IF(B291="","",IF(_xlfn.MAXIFS('JOBS'!$B$5:$B$1504,'JOBS'!$D$5:$D$1504,B291,'JOBS'!$O$5:$O$1504,"Completed")=0,"",_xlfn.MAXIFS('JOBS'!$B$5:$B$1504,'JOBS'!$D$5:$D$1504,B291,'JOBS'!$O$5:$O$1504,"Completed")))</f>
        <v/>
      </c>
      <c r="M291" s="53">
        <f>IF(B291="","",COUNTIFS('JOBS'!$D$5:$D$1504,B291,'JOBS'!$O$5:$O$1504,"Completed"))</f>
        <v/>
      </c>
      <c r="N291" s="54">
        <f>IF(B291="","",SUMIFS('JOBS'!$L$5:$L$1504,'JOBS'!$D$5:$D$1504,B291,'JOBS'!$O$5:$O$1504,"Completed"))</f>
        <v/>
      </c>
      <c r="O291" s="55">
        <f>IF(B291="","",SUMIFS('JOBS'!$U$5:$U$1504,'JOBS'!$D$5:$D$1504,B291))</f>
        <v/>
      </c>
      <c r="P291" s="49">
        <f>IF(B291="","",IF(COUNTIFS('RECURRING'!$B$5:$B$154,B291,'RECURRING'!$J$5:$J$154,"Active")&gt;0,"Yes","No"))</f>
        <v/>
      </c>
      <c r="Q291" s="50">
        <f>IF(L291="","",AsOf-L291)</f>
        <v/>
      </c>
      <c r="R291" s="49">
        <f>IF(B291="","",IF(H291="Do not service","—",IF(O291&gt;0.005,"Collect balance",IF(M291=0,"Book first job",IF(AND(P291="No",Q291&gt;=ReactDays),"Reactivate",IF(COUNTIF('REVIEWS'!$A$5:$A$504,B291)=0,"Ask for review",IF(AND(P291="No",M291&gt;=1),"Offer recurring plan","—")))))))</f>
        <v/>
      </c>
      <c r="S291" s="53">
        <f>IF(B291="","",COUNTIF('REFERRALS'!$B$5:$B$204,B291))</f>
        <v/>
      </c>
    </row>
    <row r="292">
      <c r="A292" s="46" t="inlineStr">
        <is>
          <t>C-288</t>
        </is>
      </c>
      <c r="B292" s="38" t="n"/>
      <c r="C292" s="38" t="n"/>
      <c r="D292" s="38" t="n"/>
      <c r="E292" s="38" t="n"/>
      <c r="F292" s="38" t="n"/>
      <c r="G292" s="38" t="n"/>
      <c r="H292" s="38" t="n"/>
      <c r="I292" s="47" t="n"/>
      <c r="J292" s="38" t="n"/>
      <c r="K292" s="52">
        <f>IF(B292="","",IF(_xlfn.MINIFS('JOBS'!$B$5:$B$1504,'JOBS'!$D$5:$D$1504,B292,'JOBS'!$O$5:$O$1504,"Completed")=0,"",_xlfn.MINIFS('JOBS'!$B$5:$B$1504,'JOBS'!$D$5:$D$1504,B292,'JOBS'!$O$5:$O$1504,"Completed")))</f>
        <v/>
      </c>
      <c r="L292" s="52">
        <f>IF(B292="","",IF(_xlfn.MAXIFS('JOBS'!$B$5:$B$1504,'JOBS'!$D$5:$D$1504,B292,'JOBS'!$O$5:$O$1504,"Completed")=0,"",_xlfn.MAXIFS('JOBS'!$B$5:$B$1504,'JOBS'!$D$5:$D$1504,B292,'JOBS'!$O$5:$O$1504,"Completed")))</f>
        <v/>
      </c>
      <c r="M292" s="53">
        <f>IF(B292="","",COUNTIFS('JOBS'!$D$5:$D$1504,B292,'JOBS'!$O$5:$O$1504,"Completed"))</f>
        <v/>
      </c>
      <c r="N292" s="54">
        <f>IF(B292="","",SUMIFS('JOBS'!$L$5:$L$1504,'JOBS'!$D$5:$D$1504,B292,'JOBS'!$O$5:$O$1504,"Completed"))</f>
        <v/>
      </c>
      <c r="O292" s="55">
        <f>IF(B292="","",SUMIFS('JOBS'!$U$5:$U$1504,'JOBS'!$D$5:$D$1504,B292))</f>
        <v/>
      </c>
      <c r="P292" s="49">
        <f>IF(B292="","",IF(COUNTIFS('RECURRING'!$B$5:$B$154,B292,'RECURRING'!$J$5:$J$154,"Active")&gt;0,"Yes","No"))</f>
        <v/>
      </c>
      <c r="Q292" s="50">
        <f>IF(L292="","",AsOf-L292)</f>
        <v/>
      </c>
      <c r="R292" s="49">
        <f>IF(B292="","",IF(H292="Do not service","—",IF(O292&gt;0.005,"Collect balance",IF(M292=0,"Book first job",IF(AND(P292="No",Q292&gt;=ReactDays),"Reactivate",IF(COUNTIF('REVIEWS'!$A$5:$A$504,B292)=0,"Ask for review",IF(AND(P292="No",M292&gt;=1),"Offer recurring plan","—")))))))</f>
        <v/>
      </c>
      <c r="S292" s="53">
        <f>IF(B292="","",COUNTIF('REFERRALS'!$B$5:$B$204,B292))</f>
        <v/>
      </c>
    </row>
    <row r="293">
      <c r="A293" s="46" t="inlineStr">
        <is>
          <t>C-289</t>
        </is>
      </c>
      <c r="B293" s="38" t="n"/>
      <c r="C293" s="38" t="n"/>
      <c r="D293" s="38" t="n"/>
      <c r="E293" s="38" t="n"/>
      <c r="F293" s="38" t="n"/>
      <c r="G293" s="38" t="n"/>
      <c r="H293" s="38" t="n"/>
      <c r="I293" s="47" t="n"/>
      <c r="J293" s="38" t="n"/>
      <c r="K293" s="52">
        <f>IF(B293="","",IF(_xlfn.MINIFS('JOBS'!$B$5:$B$1504,'JOBS'!$D$5:$D$1504,B293,'JOBS'!$O$5:$O$1504,"Completed")=0,"",_xlfn.MINIFS('JOBS'!$B$5:$B$1504,'JOBS'!$D$5:$D$1504,B293,'JOBS'!$O$5:$O$1504,"Completed")))</f>
        <v/>
      </c>
      <c r="L293" s="52">
        <f>IF(B293="","",IF(_xlfn.MAXIFS('JOBS'!$B$5:$B$1504,'JOBS'!$D$5:$D$1504,B293,'JOBS'!$O$5:$O$1504,"Completed")=0,"",_xlfn.MAXIFS('JOBS'!$B$5:$B$1504,'JOBS'!$D$5:$D$1504,B293,'JOBS'!$O$5:$O$1504,"Completed")))</f>
        <v/>
      </c>
      <c r="M293" s="53">
        <f>IF(B293="","",COUNTIFS('JOBS'!$D$5:$D$1504,B293,'JOBS'!$O$5:$O$1504,"Completed"))</f>
        <v/>
      </c>
      <c r="N293" s="54">
        <f>IF(B293="","",SUMIFS('JOBS'!$L$5:$L$1504,'JOBS'!$D$5:$D$1504,B293,'JOBS'!$O$5:$O$1504,"Completed"))</f>
        <v/>
      </c>
      <c r="O293" s="55">
        <f>IF(B293="","",SUMIFS('JOBS'!$U$5:$U$1504,'JOBS'!$D$5:$D$1504,B293))</f>
        <v/>
      </c>
      <c r="P293" s="49">
        <f>IF(B293="","",IF(COUNTIFS('RECURRING'!$B$5:$B$154,B293,'RECURRING'!$J$5:$J$154,"Active")&gt;0,"Yes","No"))</f>
        <v/>
      </c>
      <c r="Q293" s="50">
        <f>IF(L293="","",AsOf-L293)</f>
        <v/>
      </c>
      <c r="R293" s="49">
        <f>IF(B293="","",IF(H293="Do not service","—",IF(O293&gt;0.005,"Collect balance",IF(M293=0,"Book first job",IF(AND(P293="No",Q293&gt;=ReactDays),"Reactivate",IF(COUNTIF('REVIEWS'!$A$5:$A$504,B293)=0,"Ask for review",IF(AND(P293="No",M293&gt;=1),"Offer recurring plan","—")))))))</f>
        <v/>
      </c>
      <c r="S293" s="53">
        <f>IF(B293="","",COUNTIF('REFERRALS'!$B$5:$B$204,B293))</f>
        <v/>
      </c>
    </row>
    <row r="294">
      <c r="A294" s="46" t="inlineStr">
        <is>
          <t>C-290</t>
        </is>
      </c>
      <c r="B294" s="38" t="n"/>
      <c r="C294" s="38" t="n"/>
      <c r="D294" s="38" t="n"/>
      <c r="E294" s="38" t="n"/>
      <c r="F294" s="38" t="n"/>
      <c r="G294" s="38" t="n"/>
      <c r="H294" s="38" t="n"/>
      <c r="I294" s="47" t="n"/>
      <c r="J294" s="38" t="n"/>
      <c r="K294" s="52">
        <f>IF(B294="","",IF(_xlfn.MINIFS('JOBS'!$B$5:$B$1504,'JOBS'!$D$5:$D$1504,B294,'JOBS'!$O$5:$O$1504,"Completed")=0,"",_xlfn.MINIFS('JOBS'!$B$5:$B$1504,'JOBS'!$D$5:$D$1504,B294,'JOBS'!$O$5:$O$1504,"Completed")))</f>
        <v/>
      </c>
      <c r="L294" s="52">
        <f>IF(B294="","",IF(_xlfn.MAXIFS('JOBS'!$B$5:$B$1504,'JOBS'!$D$5:$D$1504,B294,'JOBS'!$O$5:$O$1504,"Completed")=0,"",_xlfn.MAXIFS('JOBS'!$B$5:$B$1504,'JOBS'!$D$5:$D$1504,B294,'JOBS'!$O$5:$O$1504,"Completed")))</f>
        <v/>
      </c>
      <c r="M294" s="53">
        <f>IF(B294="","",COUNTIFS('JOBS'!$D$5:$D$1504,B294,'JOBS'!$O$5:$O$1504,"Completed"))</f>
        <v/>
      </c>
      <c r="N294" s="54">
        <f>IF(B294="","",SUMIFS('JOBS'!$L$5:$L$1504,'JOBS'!$D$5:$D$1504,B294,'JOBS'!$O$5:$O$1504,"Completed"))</f>
        <v/>
      </c>
      <c r="O294" s="55">
        <f>IF(B294="","",SUMIFS('JOBS'!$U$5:$U$1504,'JOBS'!$D$5:$D$1504,B294))</f>
        <v/>
      </c>
      <c r="P294" s="49">
        <f>IF(B294="","",IF(COUNTIFS('RECURRING'!$B$5:$B$154,B294,'RECURRING'!$J$5:$J$154,"Active")&gt;0,"Yes","No"))</f>
        <v/>
      </c>
      <c r="Q294" s="50">
        <f>IF(L294="","",AsOf-L294)</f>
        <v/>
      </c>
      <c r="R294" s="49">
        <f>IF(B294="","",IF(H294="Do not service","—",IF(O294&gt;0.005,"Collect balance",IF(M294=0,"Book first job",IF(AND(P294="No",Q294&gt;=ReactDays),"Reactivate",IF(COUNTIF('REVIEWS'!$A$5:$A$504,B294)=0,"Ask for review",IF(AND(P294="No",M294&gt;=1),"Offer recurring plan","—")))))))</f>
        <v/>
      </c>
      <c r="S294" s="53">
        <f>IF(B294="","",COUNTIF('REFERRALS'!$B$5:$B$204,B294))</f>
        <v/>
      </c>
    </row>
    <row r="295">
      <c r="A295" s="46" t="inlineStr">
        <is>
          <t>C-291</t>
        </is>
      </c>
      <c r="B295" s="38" t="n"/>
      <c r="C295" s="38" t="n"/>
      <c r="D295" s="38" t="n"/>
      <c r="E295" s="38" t="n"/>
      <c r="F295" s="38" t="n"/>
      <c r="G295" s="38" t="n"/>
      <c r="H295" s="38" t="n"/>
      <c r="I295" s="47" t="n"/>
      <c r="J295" s="38" t="n"/>
      <c r="K295" s="52">
        <f>IF(B295="","",IF(_xlfn.MINIFS('JOBS'!$B$5:$B$1504,'JOBS'!$D$5:$D$1504,B295,'JOBS'!$O$5:$O$1504,"Completed")=0,"",_xlfn.MINIFS('JOBS'!$B$5:$B$1504,'JOBS'!$D$5:$D$1504,B295,'JOBS'!$O$5:$O$1504,"Completed")))</f>
        <v/>
      </c>
      <c r="L295" s="52">
        <f>IF(B295="","",IF(_xlfn.MAXIFS('JOBS'!$B$5:$B$1504,'JOBS'!$D$5:$D$1504,B295,'JOBS'!$O$5:$O$1504,"Completed")=0,"",_xlfn.MAXIFS('JOBS'!$B$5:$B$1504,'JOBS'!$D$5:$D$1504,B295,'JOBS'!$O$5:$O$1504,"Completed")))</f>
        <v/>
      </c>
      <c r="M295" s="53">
        <f>IF(B295="","",COUNTIFS('JOBS'!$D$5:$D$1504,B295,'JOBS'!$O$5:$O$1504,"Completed"))</f>
        <v/>
      </c>
      <c r="N295" s="54">
        <f>IF(B295="","",SUMIFS('JOBS'!$L$5:$L$1504,'JOBS'!$D$5:$D$1504,B295,'JOBS'!$O$5:$O$1504,"Completed"))</f>
        <v/>
      </c>
      <c r="O295" s="55">
        <f>IF(B295="","",SUMIFS('JOBS'!$U$5:$U$1504,'JOBS'!$D$5:$D$1504,B295))</f>
        <v/>
      </c>
      <c r="P295" s="49">
        <f>IF(B295="","",IF(COUNTIFS('RECURRING'!$B$5:$B$154,B295,'RECURRING'!$J$5:$J$154,"Active")&gt;0,"Yes","No"))</f>
        <v/>
      </c>
      <c r="Q295" s="50">
        <f>IF(L295="","",AsOf-L295)</f>
        <v/>
      </c>
      <c r="R295" s="49">
        <f>IF(B295="","",IF(H295="Do not service","—",IF(O295&gt;0.005,"Collect balance",IF(M295=0,"Book first job",IF(AND(P295="No",Q295&gt;=ReactDays),"Reactivate",IF(COUNTIF('REVIEWS'!$A$5:$A$504,B295)=0,"Ask for review",IF(AND(P295="No",M295&gt;=1),"Offer recurring plan","—")))))))</f>
        <v/>
      </c>
      <c r="S295" s="53">
        <f>IF(B295="","",COUNTIF('REFERRALS'!$B$5:$B$204,B295))</f>
        <v/>
      </c>
    </row>
    <row r="296">
      <c r="A296" s="46" t="inlineStr">
        <is>
          <t>C-292</t>
        </is>
      </c>
      <c r="B296" s="38" t="n"/>
      <c r="C296" s="38" t="n"/>
      <c r="D296" s="38" t="n"/>
      <c r="E296" s="38" t="n"/>
      <c r="F296" s="38" t="n"/>
      <c r="G296" s="38" t="n"/>
      <c r="H296" s="38" t="n"/>
      <c r="I296" s="47" t="n"/>
      <c r="J296" s="38" t="n"/>
      <c r="K296" s="52">
        <f>IF(B296="","",IF(_xlfn.MINIFS('JOBS'!$B$5:$B$1504,'JOBS'!$D$5:$D$1504,B296,'JOBS'!$O$5:$O$1504,"Completed")=0,"",_xlfn.MINIFS('JOBS'!$B$5:$B$1504,'JOBS'!$D$5:$D$1504,B296,'JOBS'!$O$5:$O$1504,"Completed")))</f>
        <v/>
      </c>
      <c r="L296" s="52">
        <f>IF(B296="","",IF(_xlfn.MAXIFS('JOBS'!$B$5:$B$1504,'JOBS'!$D$5:$D$1504,B296,'JOBS'!$O$5:$O$1504,"Completed")=0,"",_xlfn.MAXIFS('JOBS'!$B$5:$B$1504,'JOBS'!$D$5:$D$1504,B296,'JOBS'!$O$5:$O$1504,"Completed")))</f>
        <v/>
      </c>
      <c r="M296" s="53">
        <f>IF(B296="","",COUNTIFS('JOBS'!$D$5:$D$1504,B296,'JOBS'!$O$5:$O$1504,"Completed"))</f>
        <v/>
      </c>
      <c r="N296" s="54">
        <f>IF(B296="","",SUMIFS('JOBS'!$L$5:$L$1504,'JOBS'!$D$5:$D$1504,B296,'JOBS'!$O$5:$O$1504,"Completed"))</f>
        <v/>
      </c>
      <c r="O296" s="55">
        <f>IF(B296="","",SUMIFS('JOBS'!$U$5:$U$1504,'JOBS'!$D$5:$D$1504,B296))</f>
        <v/>
      </c>
      <c r="P296" s="49">
        <f>IF(B296="","",IF(COUNTIFS('RECURRING'!$B$5:$B$154,B296,'RECURRING'!$J$5:$J$154,"Active")&gt;0,"Yes","No"))</f>
        <v/>
      </c>
      <c r="Q296" s="50">
        <f>IF(L296="","",AsOf-L296)</f>
        <v/>
      </c>
      <c r="R296" s="49">
        <f>IF(B296="","",IF(H296="Do not service","—",IF(O296&gt;0.005,"Collect balance",IF(M296=0,"Book first job",IF(AND(P296="No",Q296&gt;=ReactDays),"Reactivate",IF(COUNTIF('REVIEWS'!$A$5:$A$504,B296)=0,"Ask for review",IF(AND(P296="No",M296&gt;=1),"Offer recurring plan","—")))))))</f>
        <v/>
      </c>
      <c r="S296" s="53">
        <f>IF(B296="","",COUNTIF('REFERRALS'!$B$5:$B$204,B296))</f>
        <v/>
      </c>
    </row>
    <row r="297">
      <c r="A297" s="46" t="inlineStr">
        <is>
          <t>C-293</t>
        </is>
      </c>
      <c r="B297" s="38" t="n"/>
      <c r="C297" s="38" t="n"/>
      <c r="D297" s="38" t="n"/>
      <c r="E297" s="38" t="n"/>
      <c r="F297" s="38" t="n"/>
      <c r="G297" s="38" t="n"/>
      <c r="H297" s="38" t="n"/>
      <c r="I297" s="47" t="n"/>
      <c r="J297" s="38" t="n"/>
      <c r="K297" s="52">
        <f>IF(B297="","",IF(_xlfn.MINIFS('JOBS'!$B$5:$B$1504,'JOBS'!$D$5:$D$1504,B297,'JOBS'!$O$5:$O$1504,"Completed")=0,"",_xlfn.MINIFS('JOBS'!$B$5:$B$1504,'JOBS'!$D$5:$D$1504,B297,'JOBS'!$O$5:$O$1504,"Completed")))</f>
        <v/>
      </c>
      <c r="L297" s="52">
        <f>IF(B297="","",IF(_xlfn.MAXIFS('JOBS'!$B$5:$B$1504,'JOBS'!$D$5:$D$1504,B297,'JOBS'!$O$5:$O$1504,"Completed")=0,"",_xlfn.MAXIFS('JOBS'!$B$5:$B$1504,'JOBS'!$D$5:$D$1504,B297,'JOBS'!$O$5:$O$1504,"Completed")))</f>
        <v/>
      </c>
      <c r="M297" s="53">
        <f>IF(B297="","",COUNTIFS('JOBS'!$D$5:$D$1504,B297,'JOBS'!$O$5:$O$1504,"Completed"))</f>
        <v/>
      </c>
      <c r="N297" s="54">
        <f>IF(B297="","",SUMIFS('JOBS'!$L$5:$L$1504,'JOBS'!$D$5:$D$1504,B297,'JOBS'!$O$5:$O$1504,"Completed"))</f>
        <v/>
      </c>
      <c r="O297" s="55">
        <f>IF(B297="","",SUMIFS('JOBS'!$U$5:$U$1504,'JOBS'!$D$5:$D$1504,B297))</f>
        <v/>
      </c>
      <c r="P297" s="49">
        <f>IF(B297="","",IF(COUNTIFS('RECURRING'!$B$5:$B$154,B297,'RECURRING'!$J$5:$J$154,"Active")&gt;0,"Yes","No"))</f>
        <v/>
      </c>
      <c r="Q297" s="50">
        <f>IF(L297="","",AsOf-L297)</f>
        <v/>
      </c>
      <c r="R297" s="49">
        <f>IF(B297="","",IF(H297="Do not service","—",IF(O297&gt;0.005,"Collect balance",IF(M297=0,"Book first job",IF(AND(P297="No",Q297&gt;=ReactDays),"Reactivate",IF(COUNTIF('REVIEWS'!$A$5:$A$504,B297)=0,"Ask for review",IF(AND(P297="No",M297&gt;=1),"Offer recurring plan","—")))))))</f>
        <v/>
      </c>
      <c r="S297" s="53">
        <f>IF(B297="","",COUNTIF('REFERRALS'!$B$5:$B$204,B297))</f>
        <v/>
      </c>
    </row>
    <row r="298">
      <c r="A298" s="46" t="inlineStr">
        <is>
          <t>C-294</t>
        </is>
      </c>
      <c r="B298" s="38" t="n"/>
      <c r="C298" s="38" t="n"/>
      <c r="D298" s="38" t="n"/>
      <c r="E298" s="38" t="n"/>
      <c r="F298" s="38" t="n"/>
      <c r="G298" s="38" t="n"/>
      <c r="H298" s="38" t="n"/>
      <c r="I298" s="47" t="n"/>
      <c r="J298" s="38" t="n"/>
      <c r="K298" s="52">
        <f>IF(B298="","",IF(_xlfn.MINIFS('JOBS'!$B$5:$B$1504,'JOBS'!$D$5:$D$1504,B298,'JOBS'!$O$5:$O$1504,"Completed")=0,"",_xlfn.MINIFS('JOBS'!$B$5:$B$1504,'JOBS'!$D$5:$D$1504,B298,'JOBS'!$O$5:$O$1504,"Completed")))</f>
        <v/>
      </c>
      <c r="L298" s="52">
        <f>IF(B298="","",IF(_xlfn.MAXIFS('JOBS'!$B$5:$B$1504,'JOBS'!$D$5:$D$1504,B298,'JOBS'!$O$5:$O$1504,"Completed")=0,"",_xlfn.MAXIFS('JOBS'!$B$5:$B$1504,'JOBS'!$D$5:$D$1504,B298,'JOBS'!$O$5:$O$1504,"Completed")))</f>
        <v/>
      </c>
      <c r="M298" s="53">
        <f>IF(B298="","",COUNTIFS('JOBS'!$D$5:$D$1504,B298,'JOBS'!$O$5:$O$1504,"Completed"))</f>
        <v/>
      </c>
      <c r="N298" s="54">
        <f>IF(B298="","",SUMIFS('JOBS'!$L$5:$L$1504,'JOBS'!$D$5:$D$1504,B298,'JOBS'!$O$5:$O$1504,"Completed"))</f>
        <v/>
      </c>
      <c r="O298" s="55">
        <f>IF(B298="","",SUMIFS('JOBS'!$U$5:$U$1504,'JOBS'!$D$5:$D$1504,B298))</f>
        <v/>
      </c>
      <c r="P298" s="49">
        <f>IF(B298="","",IF(COUNTIFS('RECURRING'!$B$5:$B$154,B298,'RECURRING'!$J$5:$J$154,"Active")&gt;0,"Yes","No"))</f>
        <v/>
      </c>
      <c r="Q298" s="50">
        <f>IF(L298="","",AsOf-L298)</f>
        <v/>
      </c>
      <c r="R298" s="49">
        <f>IF(B298="","",IF(H298="Do not service","—",IF(O298&gt;0.005,"Collect balance",IF(M298=0,"Book first job",IF(AND(P298="No",Q298&gt;=ReactDays),"Reactivate",IF(COUNTIF('REVIEWS'!$A$5:$A$504,B298)=0,"Ask for review",IF(AND(P298="No",M298&gt;=1),"Offer recurring plan","—")))))))</f>
        <v/>
      </c>
      <c r="S298" s="53">
        <f>IF(B298="","",COUNTIF('REFERRALS'!$B$5:$B$204,B298))</f>
        <v/>
      </c>
    </row>
    <row r="299">
      <c r="A299" s="46" t="inlineStr">
        <is>
          <t>C-295</t>
        </is>
      </c>
      <c r="B299" s="38" t="n"/>
      <c r="C299" s="38" t="n"/>
      <c r="D299" s="38" t="n"/>
      <c r="E299" s="38" t="n"/>
      <c r="F299" s="38" t="n"/>
      <c r="G299" s="38" t="n"/>
      <c r="H299" s="38" t="n"/>
      <c r="I299" s="47" t="n"/>
      <c r="J299" s="38" t="n"/>
      <c r="K299" s="52">
        <f>IF(B299="","",IF(_xlfn.MINIFS('JOBS'!$B$5:$B$1504,'JOBS'!$D$5:$D$1504,B299,'JOBS'!$O$5:$O$1504,"Completed")=0,"",_xlfn.MINIFS('JOBS'!$B$5:$B$1504,'JOBS'!$D$5:$D$1504,B299,'JOBS'!$O$5:$O$1504,"Completed")))</f>
        <v/>
      </c>
      <c r="L299" s="52">
        <f>IF(B299="","",IF(_xlfn.MAXIFS('JOBS'!$B$5:$B$1504,'JOBS'!$D$5:$D$1504,B299,'JOBS'!$O$5:$O$1504,"Completed")=0,"",_xlfn.MAXIFS('JOBS'!$B$5:$B$1504,'JOBS'!$D$5:$D$1504,B299,'JOBS'!$O$5:$O$1504,"Completed")))</f>
        <v/>
      </c>
      <c r="M299" s="53">
        <f>IF(B299="","",COUNTIFS('JOBS'!$D$5:$D$1504,B299,'JOBS'!$O$5:$O$1504,"Completed"))</f>
        <v/>
      </c>
      <c r="N299" s="54">
        <f>IF(B299="","",SUMIFS('JOBS'!$L$5:$L$1504,'JOBS'!$D$5:$D$1504,B299,'JOBS'!$O$5:$O$1504,"Completed"))</f>
        <v/>
      </c>
      <c r="O299" s="55">
        <f>IF(B299="","",SUMIFS('JOBS'!$U$5:$U$1504,'JOBS'!$D$5:$D$1504,B299))</f>
        <v/>
      </c>
      <c r="P299" s="49">
        <f>IF(B299="","",IF(COUNTIFS('RECURRING'!$B$5:$B$154,B299,'RECURRING'!$J$5:$J$154,"Active")&gt;0,"Yes","No"))</f>
        <v/>
      </c>
      <c r="Q299" s="50">
        <f>IF(L299="","",AsOf-L299)</f>
        <v/>
      </c>
      <c r="R299" s="49">
        <f>IF(B299="","",IF(H299="Do not service","—",IF(O299&gt;0.005,"Collect balance",IF(M299=0,"Book first job",IF(AND(P299="No",Q299&gt;=ReactDays),"Reactivate",IF(COUNTIF('REVIEWS'!$A$5:$A$504,B299)=0,"Ask for review",IF(AND(P299="No",M299&gt;=1),"Offer recurring plan","—")))))))</f>
        <v/>
      </c>
      <c r="S299" s="53">
        <f>IF(B299="","",COUNTIF('REFERRALS'!$B$5:$B$204,B299))</f>
        <v/>
      </c>
    </row>
    <row r="300">
      <c r="A300" s="46" t="inlineStr">
        <is>
          <t>C-296</t>
        </is>
      </c>
      <c r="B300" s="38" t="n"/>
      <c r="C300" s="38" t="n"/>
      <c r="D300" s="38" t="n"/>
      <c r="E300" s="38" t="n"/>
      <c r="F300" s="38" t="n"/>
      <c r="G300" s="38" t="n"/>
      <c r="H300" s="38" t="n"/>
      <c r="I300" s="47" t="n"/>
      <c r="J300" s="38" t="n"/>
      <c r="K300" s="52">
        <f>IF(B300="","",IF(_xlfn.MINIFS('JOBS'!$B$5:$B$1504,'JOBS'!$D$5:$D$1504,B300,'JOBS'!$O$5:$O$1504,"Completed")=0,"",_xlfn.MINIFS('JOBS'!$B$5:$B$1504,'JOBS'!$D$5:$D$1504,B300,'JOBS'!$O$5:$O$1504,"Completed")))</f>
        <v/>
      </c>
      <c r="L300" s="52">
        <f>IF(B300="","",IF(_xlfn.MAXIFS('JOBS'!$B$5:$B$1504,'JOBS'!$D$5:$D$1504,B300,'JOBS'!$O$5:$O$1504,"Completed")=0,"",_xlfn.MAXIFS('JOBS'!$B$5:$B$1504,'JOBS'!$D$5:$D$1504,B300,'JOBS'!$O$5:$O$1504,"Completed")))</f>
        <v/>
      </c>
      <c r="M300" s="53">
        <f>IF(B300="","",COUNTIFS('JOBS'!$D$5:$D$1504,B300,'JOBS'!$O$5:$O$1504,"Completed"))</f>
        <v/>
      </c>
      <c r="N300" s="54">
        <f>IF(B300="","",SUMIFS('JOBS'!$L$5:$L$1504,'JOBS'!$D$5:$D$1504,B300,'JOBS'!$O$5:$O$1504,"Completed"))</f>
        <v/>
      </c>
      <c r="O300" s="55">
        <f>IF(B300="","",SUMIFS('JOBS'!$U$5:$U$1504,'JOBS'!$D$5:$D$1504,B300))</f>
        <v/>
      </c>
      <c r="P300" s="49">
        <f>IF(B300="","",IF(COUNTIFS('RECURRING'!$B$5:$B$154,B300,'RECURRING'!$J$5:$J$154,"Active")&gt;0,"Yes","No"))</f>
        <v/>
      </c>
      <c r="Q300" s="50">
        <f>IF(L300="","",AsOf-L300)</f>
        <v/>
      </c>
      <c r="R300" s="49">
        <f>IF(B300="","",IF(H300="Do not service","—",IF(O300&gt;0.005,"Collect balance",IF(M300=0,"Book first job",IF(AND(P300="No",Q300&gt;=ReactDays),"Reactivate",IF(COUNTIF('REVIEWS'!$A$5:$A$504,B300)=0,"Ask for review",IF(AND(P300="No",M300&gt;=1),"Offer recurring plan","—")))))))</f>
        <v/>
      </c>
      <c r="S300" s="53">
        <f>IF(B300="","",COUNTIF('REFERRALS'!$B$5:$B$204,B300))</f>
        <v/>
      </c>
    </row>
    <row r="301">
      <c r="A301" s="46" t="inlineStr">
        <is>
          <t>C-297</t>
        </is>
      </c>
      <c r="B301" s="38" t="n"/>
      <c r="C301" s="38" t="n"/>
      <c r="D301" s="38" t="n"/>
      <c r="E301" s="38" t="n"/>
      <c r="F301" s="38" t="n"/>
      <c r="G301" s="38" t="n"/>
      <c r="H301" s="38" t="n"/>
      <c r="I301" s="47" t="n"/>
      <c r="J301" s="38" t="n"/>
      <c r="K301" s="52">
        <f>IF(B301="","",IF(_xlfn.MINIFS('JOBS'!$B$5:$B$1504,'JOBS'!$D$5:$D$1504,B301,'JOBS'!$O$5:$O$1504,"Completed")=0,"",_xlfn.MINIFS('JOBS'!$B$5:$B$1504,'JOBS'!$D$5:$D$1504,B301,'JOBS'!$O$5:$O$1504,"Completed")))</f>
        <v/>
      </c>
      <c r="L301" s="52">
        <f>IF(B301="","",IF(_xlfn.MAXIFS('JOBS'!$B$5:$B$1504,'JOBS'!$D$5:$D$1504,B301,'JOBS'!$O$5:$O$1504,"Completed")=0,"",_xlfn.MAXIFS('JOBS'!$B$5:$B$1504,'JOBS'!$D$5:$D$1504,B301,'JOBS'!$O$5:$O$1504,"Completed")))</f>
        <v/>
      </c>
      <c r="M301" s="53">
        <f>IF(B301="","",COUNTIFS('JOBS'!$D$5:$D$1504,B301,'JOBS'!$O$5:$O$1504,"Completed"))</f>
        <v/>
      </c>
      <c r="N301" s="54">
        <f>IF(B301="","",SUMIFS('JOBS'!$L$5:$L$1504,'JOBS'!$D$5:$D$1504,B301,'JOBS'!$O$5:$O$1504,"Completed"))</f>
        <v/>
      </c>
      <c r="O301" s="55">
        <f>IF(B301="","",SUMIFS('JOBS'!$U$5:$U$1504,'JOBS'!$D$5:$D$1504,B301))</f>
        <v/>
      </c>
      <c r="P301" s="49">
        <f>IF(B301="","",IF(COUNTIFS('RECURRING'!$B$5:$B$154,B301,'RECURRING'!$J$5:$J$154,"Active")&gt;0,"Yes","No"))</f>
        <v/>
      </c>
      <c r="Q301" s="50">
        <f>IF(L301="","",AsOf-L301)</f>
        <v/>
      </c>
      <c r="R301" s="49">
        <f>IF(B301="","",IF(H301="Do not service","—",IF(O301&gt;0.005,"Collect balance",IF(M301=0,"Book first job",IF(AND(P301="No",Q301&gt;=ReactDays),"Reactivate",IF(COUNTIF('REVIEWS'!$A$5:$A$504,B301)=0,"Ask for review",IF(AND(P301="No",M301&gt;=1),"Offer recurring plan","—")))))))</f>
        <v/>
      </c>
      <c r="S301" s="53">
        <f>IF(B301="","",COUNTIF('REFERRALS'!$B$5:$B$204,B301))</f>
        <v/>
      </c>
    </row>
    <row r="302">
      <c r="A302" s="46" t="inlineStr">
        <is>
          <t>C-298</t>
        </is>
      </c>
      <c r="B302" s="38" t="n"/>
      <c r="C302" s="38" t="n"/>
      <c r="D302" s="38" t="n"/>
      <c r="E302" s="38" t="n"/>
      <c r="F302" s="38" t="n"/>
      <c r="G302" s="38" t="n"/>
      <c r="H302" s="38" t="n"/>
      <c r="I302" s="47" t="n"/>
      <c r="J302" s="38" t="n"/>
      <c r="K302" s="52">
        <f>IF(B302="","",IF(_xlfn.MINIFS('JOBS'!$B$5:$B$1504,'JOBS'!$D$5:$D$1504,B302,'JOBS'!$O$5:$O$1504,"Completed")=0,"",_xlfn.MINIFS('JOBS'!$B$5:$B$1504,'JOBS'!$D$5:$D$1504,B302,'JOBS'!$O$5:$O$1504,"Completed")))</f>
        <v/>
      </c>
      <c r="L302" s="52">
        <f>IF(B302="","",IF(_xlfn.MAXIFS('JOBS'!$B$5:$B$1504,'JOBS'!$D$5:$D$1504,B302,'JOBS'!$O$5:$O$1504,"Completed")=0,"",_xlfn.MAXIFS('JOBS'!$B$5:$B$1504,'JOBS'!$D$5:$D$1504,B302,'JOBS'!$O$5:$O$1504,"Completed")))</f>
        <v/>
      </c>
      <c r="M302" s="53">
        <f>IF(B302="","",COUNTIFS('JOBS'!$D$5:$D$1504,B302,'JOBS'!$O$5:$O$1504,"Completed"))</f>
        <v/>
      </c>
      <c r="N302" s="54">
        <f>IF(B302="","",SUMIFS('JOBS'!$L$5:$L$1504,'JOBS'!$D$5:$D$1504,B302,'JOBS'!$O$5:$O$1504,"Completed"))</f>
        <v/>
      </c>
      <c r="O302" s="55">
        <f>IF(B302="","",SUMIFS('JOBS'!$U$5:$U$1504,'JOBS'!$D$5:$D$1504,B302))</f>
        <v/>
      </c>
      <c r="P302" s="49">
        <f>IF(B302="","",IF(COUNTIFS('RECURRING'!$B$5:$B$154,B302,'RECURRING'!$J$5:$J$154,"Active")&gt;0,"Yes","No"))</f>
        <v/>
      </c>
      <c r="Q302" s="50">
        <f>IF(L302="","",AsOf-L302)</f>
        <v/>
      </c>
      <c r="R302" s="49">
        <f>IF(B302="","",IF(H302="Do not service","—",IF(O302&gt;0.005,"Collect balance",IF(M302=0,"Book first job",IF(AND(P302="No",Q302&gt;=ReactDays),"Reactivate",IF(COUNTIF('REVIEWS'!$A$5:$A$504,B302)=0,"Ask for review",IF(AND(P302="No",M302&gt;=1),"Offer recurring plan","—")))))))</f>
        <v/>
      </c>
      <c r="S302" s="53">
        <f>IF(B302="","",COUNTIF('REFERRALS'!$B$5:$B$204,B302))</f>
        <v/>
      </c>
    </row>
    <row r="303">
      <c r="A303" s="46" t="inlineStr">
        <is>
          <t>C-299</t>
        </is>
      </c>
      <c r="B303" s="38" t="n"/>
      <c r="C303" s="38" t="n"/>
      <c r="D303" s="38" t="n"/>
      <c r="E303" s="38" t="n"/>
      <c r="F303" s="38" t="n"/>
      <c r="G303" s="38" t="n"/>
      <c r="H303" s="38" t="n"/>
      <c r="I303" s="47" t="n"/>
      <c r="J303" s="38" t="n"/>
      <c r="K303" s="52">
        <f>IF(B303="","",IF(_xlfn.MINIFS('JOBS'!$B$5:$B$1504,'JOBS'!$D$5:$D$1504,B303,'JOBS'!$O$5:$O$1504,"Completed")=0,"",_xlfn.MINIFS('JOBS'!$B$5:$B$1504,'JOBS'!$D$5:$D$1504,B303,'JOBS'!$O$5:$O$1504,"Completed")))</f>
        <v/>
      </c>
      <c r="L303" s="52">
        <f>IF(B303="","",IF(_xlfn.MAXIFS('JOBS'!$B$5:$B$1504,'JOBS'!$D$5:$D$1504,B303,'JOBS'!$O$5:$O$1504,"Completed")=0,"",_xlfn.MAXIFS('JOBS'!$B$5:$B$1504,'JOBS'!$D$5:$D$1504,B303,'JOBS'!$O$5:$O$1504,"Completed")))</f>
        <v/>
      </c>
      <c r="M303" s="53">
        <f>IF(B303="","",COUNTIFS('JOBS'!$D$5:$D$1504,B303,'JOBS'!$O$5:$O$1504,"Completed"))</f>
        <v/>
      </c>
      <c r="N303" s="54">
        <f>IF(B303="","",SUMIFS('JOBS'!$L$5:$L$1504,'JOBS'!$D$5:$D$1504,B303,'JOBS'!$O$5:$O$1504,"Completed"))</f>
        <v/>
      </c>
      <c r="O303" s="55">
        <f>IF(B303="","",SUMIFS('JOBS'!$U$5:$U$1504,'JOBS'!$D$5:$D$1504,B303))</f>
        <v/>
      </c>
      <c r="P303" s="49">
        <f>IF(B303="","",IF(COUNTIFS('RECURRING'!$B$5:$B$154,B303,'RECURRING'!$J$5:$J$154,"Active")&gt;0,"Yes","No"))</f>
        <v/>
      </c>
      <c r="Q303" s="50">
        <f>IF(L303="","",AsOf-L303)</f>
        <v/>
      </c>
      <c r="R303" s="49">
        <f>IF(B303="","",IF(H303="Do not service","—",IF(O303&gt;0.005,"Collect balance",IF(M303=0,"Book first job",IF(AND(P303="No",Q303&gt;=ReactDays),"Reactivate",IF(COUNTIF('REVIEWS'!$A$5:$A$504,B303)=0,"Ask for review",IF(AND(P303="No",M303&gt;=1),"Offer recurring plan","—")))))))</f>
        <v/>
      </c>
      <c r="S303" s="53">
        <f>IF(B303="","",COUNTIF('REFERRALS'!$B$5:$B$204,B303))</f>
        <v/>
      </c>
    </row>
    <row r="304">
      <c r="A304" s="46" t="inlineStr">
        <is>
          <t>C-300</t>
        </is>
      </c>
      <c r="B304" s="38" t="n"/>
      <c r="C304" s="38" t="n"/>
      <c r="D304" s="38" t="n"/>
      <c r="E304" s="38" t="n"/>
      <c r="F304" s="38" t="n"/>
      <c r="G304" s="38" t="n"/>
      <c r="H304" s="38" t="n"/>
      <c r="I304" s="47" t="n"/>
      <c r="J304" s="38" t="n"/>
      <c r="K304" s="52">
        <f>IF(B304="","",IF(_xlfn.MINIFS('JOBS'!$B$5:$B$1504,'JOBS'!$D$5:$D$1504,B304,'JOBS'!$O$5:$O$1504,"Completed")=0,"",_xlfn.MINIFS('JOBS'!$B$5:$B$1504,'JOBS'!$D$5:$D$1504,B304,'JOBS'!$O$5:$O$1504,"Completed")))</f>
        <v/>
      </c>
      <c r="L304" s="52">
        <f>IF(B304="","",IF(_xlfn.MAXIFS('JOBS'!$B$5:$B$1504,'JOBS'!$D$5:$D$1504,B304,'JOBS'!$O$5:$O$1504,"Completed")=0,"",_xlfn.MAXIFS('JOBS'!$B$5:$B$1504,'JOBS'!$D$5:$D$1504,B304,'JOBS'!$O$5:$O$1504,"Completed")))</f>
        <v/>
      </c>
      <c r="M304" s="53">
        <f>IF(B304="","",COUNTIFS('JOBS'!$D$5:$D$1504,B304,'JOBS'!$O$5:$O$1504,"Completed"))</f>
        <v/>
      </c>
      <c r="N304" s="54">
        <f>IF(B304="","",SUMIFS('JOBS'!$L$5:$L$1504,'JOBS'!$D$5:$D$1504,B304,'JOBS'!$O$5:$O$1504,"Completed"))</f>
        <v/>
      </c>
      <c r="O304" s="55">
        <f>IF(B304="","",SUMIFS('JOBS'!$U$5:$U$1504,'JOBS'!$D$5:$D$1504,B304))</f>
        <v/>
      </c>
      <c r="P304" s="49">
        <f>IF(B304="","",IF(COUNTIFS('RECURRING'!$B$5:$B$154,B304,'RECURRING'!$J$5:$J$154,"Active")&gt;0,"Yes","No"))</f>
        <v/>
      </c>
      <c r="Q304" s="50">
        <f>IF(L304="","",AsOf-L304)</f>
        <v/>
      </c>
      <c r="R304" s="49">
        <f>IF(B304="","",IF(H304="Do not service","—",IF(O304&gt;0.005,"Collect balance",IF(M304=0,"Book first job",IF(AND(P304="No",Q304&gt;=ReactDays),"Reactivate",IF(COUNTIF('REVIEWS'!$A$5:$A$504,B304)=0,"Ask for review",IF(AND(P304="No",M304&gt;=1),"Offer recurring plan","—")))))))</f>
        <v/>
      </c>
      <c r="S304" s="53">
        <f>IF(B304="","",COUNTIF('REFERRALS'!$B$5:$B$204,B304))</f>
        <v/>
      </c>
    </row>
    <row r="305">
      <c r="A305" s="46" t="inlineStr">
        <is>
          <t>C-301</t>
        </is>
      </c>
      <c r="B305" s="38" t="n"/>
      <c r="C305" s="38" t="n"/>
      <c r="D305" s="38" t="n"/>
      <c r="E305" s="38" t="n"/>
      <c r="F305" s="38" t="n"/>
      <c r="G305" s="38" t="n"/>
      <c r="H305" s="38" t="n"/>
      <c r="I305" s="47" t="n"/>
      <c r="J305" s="38" t="n"/>
      <c r="K305" s="52">
        <f>IF(B305="","",IF(_xlfn.MINIFS('JOBS'!$B$5:$B$1504,'JOBS'!$D$5:$D$1504,B305,'JOBS'!$O$5:$O$1504,"Completed")=0,"",_xlfn.MINIFS('JOBS'!$B$5:$B$1504,'JOBS'!$D$5:$D$1504,B305,'JOBS'!$O$5:$O$1504,"Completed")))</f>
        <v/>
      </c>
      <c r="L305" s="52">
        <f>IF(B305="","",IF(_xlfn.MAXIFS('JOBS'!$B$5:$B$1504,'JOBS'!$D$5:$D$1504,B305,'JOBS'!$O$5:$O$1504,"Completed")=0,"",_xlfn.MAXIFS('JOBS'!$B$5:$B$1504,'JOBS'!$D$5:$D$1504,B305,'JOBS'!$O$5:$O$1504,"Completed")))</f>
        <v/>
      </c>
      <c r="M305" s="53">
        <f>IF(B305="","",COUNTIFS('JOBS'!$D$5:$D$1504,B305,'JOBS'!$O$5:$O$1504,"Completed"))</f>
        <v/>
      </c>
      <c r="N305" s="54">
        <f>IF(B305="","",SUMIFS('JOBS'!$L$5:$L$1504,'JOBS'!$D$5:$D$1504,B305,'JOBS'!$O$5:$O$1504,"Completed"))</f>
        <v/>
      </c>
      <c r="O305" s="55">
        <f>IF(B305="","",SUMIFS('JOBS'!$U$5:$U$1504,'JOBS'!$D$5:$D$1504,B305))</f>
        <v/>
      </c>
      <c r="P305" s="49">
        <f>IF(B305="","",IF(COUNTIFS('RECURRING'!$B$5:$B$154,B305,'RECURRING'!$J$5:$J$154,"Active")&gt;0,"Yes","No"))</f>
        <v/>
      </c>
      <c r="Q305" s="50">
        <f>IF(L305="","",AsOf-L305)</f>
        <v/>
      </c>
      <c r="R305" s="49">
        <f>IF(B305="","",IF(H305="Do not service","—",IF(O305&gt;0.005,"Collect balance",IF(M305=0,"Book first job",IF(AND(P305="No",Q305&gt;=ReactDays),"Reactivate",IF(COUNTIF('REVIEWS'!$A$5:$A$504,B305)=0,"Ask for review",IF(AND(P305="No",M305&gt;=1),"Offer recurring plan","—")))))))</f>
        <v/>
      </c>
      <c r="S305" s="53">
        <f>IF(B305="","",COUNTIF('REFERRALS'!$B$5:$B$204,B305))</f>
        <v/>
      </c>
    </row>
    <row r="306">
      <c r="A306" s="46" t="inlineStr">
        <is>
          <t>C-302</t>
        </is>
      </c>
      <c r="B306" s="38" t="n"/>
      <c r="C306" s="38" t="n"/>
      <c r="D306" s="38" t="n"/>
      <c r="E306" s="38" t="n"/>
      <c r="F306" s="38" t="n"/>
      <c r="G306" s="38" t="n"/>
      <c r="H306" s="38" t="n"/>
      <c r="I306" s="47" t="n"/>
      <c r="J306" s="38" t="n"/>
      <c r="K306" s="52">
        <f>IF(B306="","",IF(_xlfn.MINIFS('JOBS'!$B$5:$B$1504,'JOBS'!$D$5:$D$1504,B306,'JOBS'!$O$5:$O$1504,"Completed")=0,"",_xlfn.MINIFS('JOBS'!$B$5:$B$1504,'JOBS'!$D$5:$D$1504,B306,'JOBS'!$O$5:$O$1504,"Completed")))</f>
        <v/>
      </c>
      <c r="L306" s="52">
        <f>IF(B306="","",IF(_xlfn.MAXIFS('JOBS'!$B$5:$B$1504,'JOBS'!$D$5:$D$1504,B306,'JOBS'!$O$5:$O$1504,"Completed")=0,"",_xlfn.MAXIFS('JOBS'!$B$5:$B$1504,'JOBS'!$D$5:$D$1504,B306,'JOBS'!$O$5:$O$1504,"Completed")))</f>
        <v/>
      </c>
      <c r="M306" s="53">
        <f>IF(B306="","",COUNTIFS('JOBS'!$D$5:$D$1504,B306,'JOBS'!$O$5:$O$1504,"Completed"))</f>
        <v/>
      </c>
      <c r="N306" s="54">
        <f>IF(B306="","",SUMIFS('JOBS'!$L$5:$L$1504,'JOBS'!$D$5:$D$1504,B306,'JOBS'!$O$5:$O$1504,"Completed"))</f>
        <v/>
      </c>
      <c r="O306" s="55">
        <f>IF(B306="","",SUMIFS('JOBS'!$U$5:$U$1504,'JOBS'!$D$5:$D$1504,B306))</f>
        <v/>
      </c>
      <c r="P306" s="49">
        <f>IF(B306="","",IF(COUNTIFS('RECURRING'!$B$5:$B$154,B306,'RECURRING'!$J$5:$J$154,"Active")&gt;0,"Yes","No"))</f>
        <v/>
      </c>
      <c r="Q306" s="50">
        <f>IF(L306="","",AsOf-L306)</f>
        <v/>
      </c>
      <c r="R306" s="49">
        <f>IF(B306="","",IF(H306="Do not service","—",IF(O306&gt;0.005,"Collect balance",IF(M306=0,"Book first job",IF(AND(P306="No",Q306&gt;=ReactDays),"Reactivate",IF(COUNTIF('REVIEWS'!$A$5:$A$504,B306)=0,"Ask for review",IF(AND(P306="No",M306&gt;=1),"Offer recurring plan","—")))))))</f>
        <v/>
      </c>
      <c r="S306" s="53">
        <f>IF(B306="","",COUNTIF('REFERRALS'!$B$5:$B$204,B306))</f>
        <v/>
      </c>
    </row>
    <row r="307">
      <c r="A307" s="46" t="inlineStr">
        <is>
          <t>C-303</t>
        </is>
      </c>
      <c r="B307" s="38" t="n"/>
      <c r="C307" s="38" t="n"/>
      <c r="D307" s="38" t="n"/>
      <c r="E307" s="38" t="n"/>
      <c r="F307" s="38" t="n"/>
      <c r="G307" s="38" t="n"/>
      <c r="H307" s="38" t="n"/>
      <c r="I307" s="47" t="n"/>
      <c r="J307" s="38" t="n"/>
      <c r="K307" s="52">
        <f>IF(B307="","",IF(_xlfn.MINIFS('JOBS'!$B$5:$B$1504,'JOBS'!$D$5:$D$1504,B307,'JOBS'!$O$5:$O$1504,"Completed")=0,"",_xlfn.MINIFS('JOBS'!$B$5:$B$1504,'JOBS'!$D$5:$D$1504,B307,'JOBS'!$O$5:$O$1504,"Completed")))</f>
        <v/>
      </c>
      <c r="L307" s="52">
        <f>IF(B307="","",IF(_xlfn.MAXIFS('JOBS'!$B$5:$B$1504,'JOBS'!$D$5:$D$1504,B307,'JOBS'!$O$5:$O$1504,"Completed")=0,"",_xlfn.MAXIFS('JOBS'!$B$5:$B$1504,'JOBS'!$D$5:$D$1504,B307,'JOBS'!$O$5:$O$1504,"Completed")))</f>
        <v/>
      </c>
      <c r="M307" s="53">
        <f>IF(B307="","",COUNTIFS('JOBS'!$D$5:$D$1504,B307,'JOBS'!$O$5:$O$1504,"Completed"))</f>
        <v/>
      </c>
      <c r="N307" s="54">
        <f>IF(B307="","",SUMIFS('JOBS'!$L$5:$L$1504,'JOBS'!$D$5:$D$1504,B307,'JOBS'!$O$5:$O$1504,"Completed"))</f>
        <v/>
      </c>
      <c r="O307" s="55">
        <f>IF(B307="","",SUMIFS('JOBS'!$U$5:$U$1504,'JOBS'!$D$5:$D$1504,B307))</f>
        <v/>
      </c>
      <c r="P307" s="49">
        <f>IF(B307="","",IF(COUNTIFS('RECURRING'!$B$5:$B$154,B307,'RECURRING'!$J$5:$J$154,"Active")&gt;0,"Yes","No"))</f>
        <v/>
      </c>
      <c r="Q307" s="50">
        <f>IF(L307="","",AsOf-L307)</f>
        <v/>
      </c>
      <c r="R307" s="49">
        <f>IF(B307="","",IF(H307="Do not service","—",IF(O307&gt;0.005,"Collect balance",IF(M307=0,"Book first job",IF(AND(P307="No",Q307&gt;=ReactDays),"Reactivate",IF(COUNTIF('REVIEWS'!$A$5:$A$504,B307)=0,"Ask for review",IF(AND(P307="No",M307&gt;=1),"Offer recurring plan","—")))))))</f>
        <v/>
      </c>
      <c r="S307" s="53">
        <f>IF(B307="","",COUNTIF('REFERRALS'!$B$5:$B$204,B307))</f>
        <v/>
      </c>
    </row>
    <row r="308">
      <c r="A308" s="46" t="inlineStr">
        <is>
          <t>C-304</t>
        </is>
      </c>
      <c r="B308" s="38" t="n"/>
      <c r="C308" s="38" t="n"/>
      <c r="D308" s="38" t="n"/>
      <c r="E308" s="38" t="n"/>
      <c r="F308" s="38" t="n"/>
      <c r="G308" s="38" t="n"/>
      <c r="H308" s="38" t="n"/>
      <c r="I308" s="47" t="n"/>
      <c r="J308" s="38" t="n"/>
      <c r="K308" s="52">
        <f>IF(B308="","",IF(_xlfn.MINIFS('JOBS'!$B$5:$B$1504,'JOBS'!$D$5:$D$1504,B308,'JOBS'!$O$5:$O$1504,"Completed")=0,"",_xlfn.MINIFS('JOBS'!$B$5:$B$1504,'JOBS'!$D$5:$D$1504,B308,'JOBS'!$O$5:$O$1504,"Completed")))</f>
        <v/>
      </c>
      <c r="L308" s="52">
        <f>IF(B308="","",IF(_xlfn.MAXIFS('JOBS'!$B$5:$B$1504,'JOBS'!$D$5:$D$1504,B308,'JOBS'!$O$5:$O$1504,"Completed")=0,"",_xlfn.MAXIFS('JOBS'!$B$5:$B$1504,'JOBS'!$D$5:$D$1504,B308,'JOBS'!$O$5:$O$1504,"Completed")))</f>
        <v/>
      </c>
      <c r="M308" s="53">
        <f>IF(B308="","",COUNTIFS('JOBS'!$D$5:$D$1504,B308,'JOBS'!$O$5:$O$1504,"Completed"))</f>
        <v/>
      </c>
      <c r="N308" s="54">
        <f>IF(B308="","",SUMIFS('JOBS'!$L$5:$L$1504,'JOBS'!$D$5:$D$1504,B308,'JOBS'!$O$5:$O$1504,"Completed"))</f>
        <v/>
      </c>
      <c r="O308" s="55">
        <f>IF(B308="","",SUMIFS('JOBS'!$U$5:$U$1504,'JOBS'!$D$5:$D$1504,B308))</f>
        <v/>
      </c>
      <c r="P308" s="49">
        <f>IF(B308="","",IF(COUNTIFS('RECURRING'!$B$5:$B$154,B308,'RECURRING'!$J$5:$J$154,"Active")&gt;0,"Yes","No"))</f>
        <v/>
      </c>
      <c r="Q308" s="50">
        <f>IF(L308="","",AsOf-L308)</f>
        <v/>
      </c>
      <c r="R308" s="49">
        <f>IF(B308="","",IF(H308="Do not service","—",IF(O308&gt;0.005,"Collect balance",IF(M308=0,"Book first job",IF(AND(P308="No",Q308&gt;=ReactDays),"Reactivate",IF(COUNTIF('REVIEWS'!$A$5:$A$504,B308)=0,"Ask for review",IF(AND(P308="No",M308&gt;=1),"Offer recurring plan","—")))))))</f>
        <v/>
      </c>
      <c r="S308" s="53">
        <f>IF(B308="","",COUNTIF('REFERRALS'!$B$5:$B$204,B308))</f>
        <v/>
      </c>
    </row>
    <row r="309">
      <c r="A309" s="46" t="inlineStr">
        <is>
          <t>C-305</t>
        </is>
      </c>
      <c r="B309" s="38" t="n"/>
      <c r="C309" s="38" t="n"/>
      <c r="D309" s="38" t="n"/>
      <c r="E309" s="38" t="n"/>
      <c r="F309" s="38" t="n"/>
      <c r="G309" s="38" t="n"/>
      <c r="H309" s="38" t="n"/>
      <c r="I309" s="47" t="n"/>
      <c r="J309" s="38" t="n"/>
      <c r="K309" s="52">
        <f>IF(B309="","",IF(_xlfn.MINIFS('JOBS'!$B$5:$B$1504,'JOBS'!$D$5:$D$1504,B309,'JOBS'!$O$5:$O$1504,"Completed")=0,"",_xlfn.MINIFS('JOBS'!$B$5:$B$1504,'JOBS'!$D$5:$D$1504,B309,'JOBS'!$O$5:$O$1504,"Completed")))</f>
        <v/>
      </c>
      <c r="L309" s="52">
        <f>IF(B309="","",IF(_xlfn.MAXIFS('JOBS'!$B$5:$B$1504,'JOBS'!$D$5:$D$1504,B309,'JOBS'!$O$5:$O$1504,"Completed")=0,"",_xlfn.MAXIFS('JOBS'!$B$5:$B$1504,'JOBS'!$D$5:$D$1504,B309,'JOBS'!$O$5:$O$1504,"Completed")))</f>
        <v/>
      </c>
      <c r="M309" s="53">
        <f>IF(B309="","",COUNTIFS('JOBS'!$D$5:$D$1504,B309,'JOBS'!$O$5:$O$1504,"Completed"))</f>
        <v/>
      </c>
      <c r="N309" s="54">
        <f>IF(B309="","",SUMIFS('JOBS'!$L$5:$L$1504,'JOBS'!$D$5:$D$1504,B309,'JOBS'!$O$5:$O$1504,"Completed"))</f>
        <v/>
      </c>
      <c r="O309" s="55">
        <f>IF(B309="","",SUMIFS('JOBS'!$U$5:$U$1504,'JOBS'!$D$5:$D$1504,B309))</f>
        <v/>
      </c>
      <c r="P309" s="49">
        <f>IF(B309="","",IF(COUNTIFS('RECURRING'!$B$5:$B$154,B309,'RECURRING'!$J$5:$J$154,"Active")&gt;0,"Yes","No"))</f>
        <v/>
      </c>
      <c r="Q309" s="50">
        <f>IF(L309="","",AsOf-L309)</f>
        <v/>
      </c>
      <c r="R309" s="49">
        <f>IF(B309="","",IF(H309="Do not service","—",IF(O309&gt;0.005,"Collect balance",IF(M309=0,"Book first job",IF(AND(P309="No",Q309&gt;=ReactDays),"Reactivate",IF(COUNTIF('REVIEWS'!$A$5:$A$504,B309)=0,"Ask for review",IF(AND(P309="No",M309&gt;=1),"Offer recurring plan","—")))))))</f>
        <v/>
      </c>
      <c r="S309" s="53">
        <f>IF(B309="","",COUNTIF('REFERRALS'!$B$5:$B$204,B309))</f>
        <v/>
      </c>
    </row>
    <row r="310">
      <c r="A310" s="46" t="inlineStr">
        <is>
          <t>C-306</t>
        </is>
      </c>
      <c r="B310" s="38" t="n"/>
      <c r="C310" s="38" t="n"/>
      <c r="D310" s="38" t="n"/>
      <c r="E310" s="38" t="n"/>
      <c r="F310" s="38" t="n"/>
      <c r="G310" s="38" t="n"/>
      <c r="H310" s="38" t="n"/>
      <c r="I310" s="47" t="n"/>
      <c r="J310" s="38" t="n"/>
      <c r="K310" s="52">
        <f>IF(B310="","",IF(_xlfn.MINIFS('JOBS'!$B$5:$B$1504,'JOBS'!$D$5:$D$1504,B310,'JOBS'!$O$5:$O$1504,"Completed")=0,"",_xlfn.MINIFS('JOBS'!$B$5:$B$1504,'JOBS'!$D$5:$D$1504,B310,'JOBS'!$O$5:$O$1504,"Completed")))</f>
        <v/>
      </c>
      <c r="L310" s="52">
        <f>IF(B310="","",IF(_xlfn.MAXIFS('JOBS'!$B$5:$B$1504,'JOBS'!$D$5:$D$1504,B310,'JOBS'!$O$5:$O$1504,"Completed")=0,"",_xlfn.MAXIFS('JOBS'!$B$5:$B$1504,'JOBS'!$D$5:$D$1504,B310,'JOBS'!$O$5:$O$1504,"Completed")))</f>
        <v/>
      </c>
      <c r="M310" s="53">
        <f>IF(B310="","",COUNTIFS('JOBS'!$D$5:$D$1504,B310,'JOBS'!$O$5:$O$1504,"Completed"))</f>
        <v/>
      </c>
      <c r="N310" s="54">
        <f>IF(B310="","",SUMIFS('JOBS'!$L$5:$L$1504,'JOBS'!$D$5:$D$1504,B310,'JOBS'!$O$5:$O$1504,"Completed"))</f>
        <v/>
      </c>
      <c r="O310" s="55">
        <f>IF(B310="","",SUMIFS('JOBS'!$U$5:$U$1504,'JOBS'!$D$5:$D$1504,B310))</f>
        <v/>
      </c>
      <c r="P310" s="49">
        <f>IF(B310="","",IF(COUNTIFS('RECURRING'!$B$5:$B$154,B310,'RECURRING'!$J$5:$J$154,"Active")&gt;0,"Yes","No"))</f>
        <v/>
      </c>
      <c r="Q310" s="50">
        <f>IF(L310="","",AsOf-L310)</f>
        <v/>
      </c>
      <c r="R310" s="49">
        <f>IF(B310="","",IF(H310="Do not service","—",IF(O310&gt;0.005,"Collect balance",IF(M310=0,"Book first job",IF(AND(P310="No",Q310&gt;=ReactDays),"Reactivate",IF(COUNTIF('REVIEWS'!$A$5:$A$504,B310)=0,"Ask for review",IF(AND(P310="No",M310&gt;=1),"Offer recurring plan","—")))))))</f>
        <v/>
      </c>
      <c r="S310" s="53">
        <f>IF(B310="","",COUNTIF('REFERRALS'!$B$5:$B$204,B310))</f>
        <v/>
      </c>
    </row>
    <row r="311">
      <c r="A311" s="46" t="inlineStr">
        <is>
          <t>C-307</t>
        </is>
      </c>
      <c r="B311" s="38" t="n"/>
      <c r="C311" s="38" t="n"/>
      <c r="D311" s="38" t="n"/>
      <c r="E311" s="38" t="n"/>
      <c r="F311" s="38" t="n"/>
      <c r="G311" s="38" t="n"/>
      <c r="H311" s="38" t="n"/>
      <c r="I311" s="47" t="n"/>
      <c r="J311" s="38" t="n"/>
      <c r="K311" s="52">
        <f>IF(B311="","",IF(_xlfn.MINIFS('JOBS'!$B$5:$B$1504,'JOBS'!$D$5:$D$1504,B311,'JOBS'!$O$5:$O$1504,"Completed")=0,"",_xlfn.MINIFS('JOBS'!$B$5:$B$1504,'JOBS'!$D$5:$D$1504,B311,'JOBS'!$O$5:$O$1504,"Completed")))</f>
        <v/>
      </c>
      <c r="L311" s="52">
        <f>IF(B311="","",IF(_xlfn.MAXIFS('JOBS'!$B$5:$B$1504,'JOBS'!$D$5:$D$1504,B311,'JOBS'!$O$5:$O$1504,"Completed")=0,"",_xlfn.MAXIFS('JOBS'!$B$5:$B$1504,'JOBS'!$D$5:$D$1504,B311,'JOBS'!$O$5:$O$1504,"Completed")))</f>
        <v/>
      </c>
      <c r="M311" s="53">
        <f>IF(B311="","",COUNTIFS('JOBS'!$D$5:$D$1504,B311,'JOBS'!$O$5:$O$1504,"Completed"))</f>
        <v/>
      </c>
      <c r="N311" s="54">
        <f>IF(B311="","",SUMIFS('JOBS'!$L$5:$L$1504,'JOBS'!$D$5:$D$1504,B311,'JOBS'!$O$5:$O$1504,"Completed"))</f>
        <v/>
      </c>
      <c r="O311" s="55">
        <f>IF(B311="","",SUMIFS('JOBS'!$U$5:$U$1504,'JOBS'!$D$5:$D$1504,B311))</f>
        <v/>
      </c>
      <c r="P311" s="49">
        <f>IF(B311="","",IF(COUNTIFS('RECURRING'!$B$5:$B$154,B311,'RECURRING'!$J$5:$J$154,"Active")&gt;0,"Yes","No"))</f>
        <v/>
      </c>
      <c r="Q311" s="50">
        <f>IF(L311="","",AsOf-L311)</f>
        <v/>
      </c>
      <c r="R311" s="49">
        <f>IF(B311="","",IF(H311="Do not service","—",IF(O311&gt;0.005,"Collect balance",IF(M311=0,"Book first job",IF(AND(P311="No",Q311&gt;=ReactDays),"Reactivate",IF(COUNTIF('REVIEWS'!$A$5:$A$504,B311)=0,"Ask for review",IF(AND(P311="No",M311&gt;=1),"Offer recurring plan","—")))))))</f>
        <v/>
      </c>
      <c r="S311" s="53">
        <f>IF(B311="","",COUNTIF('REFERRALS'!$B$5:$B$204,B311))</f>
        <v/>
      </c>
    </row>
    <row r="312">
      <c r="A312" s="46" t="inlineStr">
        <is>
          <t>C-308</t>
        </is>
      </c>
      <c r="B312" s="38" t="n"/>
      <c r="C312" s="38" t="n"/>
      <c r="D312" s="38" t="n"/>
      <c r="E312" s="38" t="n"/>
      <c r="F312" s="38" t="n"/>
      <c r="G312" s="38" t="n"/>
      <c r="H312" s="38" t="n"/>
      <c r="I312" s="47" t="n"/>
      <c r="J312" s="38" t="n"/>
      <c r="K312" s="52">
        <f>IF(B312="","",IF(_xlfn.MINIFS('JOBS'!$B$5:$B$1504,'JOBS'!$D$5:$D$1504,B312,'JOBS'!$O$5:$O$1504,"Completed")=0,"",_xlfn.MINIFS('JOBS'!$B$5:$B$1504,'JOBS'!$D$5:$D$1504,B312,'JOBS'!$O$5:$O$1504,"Completed")))</f>
        <v/>
      </c>
      <c r="L312" s="52">
        <f>IF(B312="","",IF(_xlfn.MAXIFS('JOBS'!$B$5:$B$1504,'JOBS'!$D$5:$D$1504,B312,'JOBS'!$O$5:$O$1504,"Completed")=0,"",_xlfn.MAXIFS('JOBS'!$B$5:$B$1504,'JOBS'!$D$5:$D$1504,B312,'JOBS'!$O$5:$O$1504,"Completed")))</f>
        <v/>
      </c>
      <c r="M312" s="53">
        <f>IF(B312="","",COUNTIFS('JOBS'!$D$5:$D$1504,B312,'JOBS'!$O$5:$O$1504,"Completed"))</f>
        <v/>
      </c>
      <c r="N312" s="54">
        <f>IF(B312="","",SUMIFS('JOBS'!$L$5:$L$1504,'JOBS'!$D$5:$D$1504,B312,'JOBS'!$O$5:$O$1504,"Completed"))</f>
        <v/>
      </c>
      <c r="O312" s="55">
        <f>IF(B312="","",SUMIFS('JOBS'!$U$5:$U$1504,'JOBS'!$D$5:$D$1504,B312))</f>
        <v/>
      </c>
      <c r="P312" s="49">
        <f>IF(B312="","",IF(COUNTIFS('RECURRING'!$B$5:$B$154,B312,'RECURRING'!$J$5:$J$154,"Active")&gt;0,"Yes","No"))</f>
        <v/>
      </c>
      <c r="Q312" s="50">
        <f>IF(L312="","",AsOf-L312)</f>
        <v/>
      </c>
      <c r="R312" s="49">
        <f>IF(B312="","",IF(H312="Do not service","—",IF(O312&gt;0.005,"Collect balance",IF(M312=0,"Book first job",IF(AND(P312="No",Q312&gt;=ReactDays),"Reactivate",IF(COUNTIF('REVIEWS'!$A$5:$A$504,B312)=0,"Ask for review",IF(AND(P312="No",M312&gt;=1),"Offer recurring plan","—")))))))</f>
        <v/>
      </c>
      <c r="S312" s="53">
        <f>IF(B312="","",COUNTIF('REFERRALS'!$B$5:$B$204,B312))</f>
        <v/>
      </c>
    </row>
    <row r="313">
      <c r="A313" s="46" t="inlineStr">
        <is>
          <t>C-309</t>
        </is>
      </c>
      <c r="B313" s="38" t="n"/>
      <c r="C313" s="38" t="n"/>
      <c r="D313" s="38" t="n"/>
      <c r="E313" s="38" t="n"/>
      <c r="F313" s="38" t="n"/>
      <c r="G313" s="38" t="n"/>
      <c r="H313" s="38" t="n"/>
      <c r="I313" s="47" t="n"/>
      <c r="J313" s="38" t="n"/>
      <c r="K313" s="52">
        <f>IF(B313="","",IF(_xlfn.MINIFS('JOBS'!$B$5:$B$1504,'JOBS'!$D$5:$D$1504,B313,'JOBS'!$O$5:$O$1504,"Completed")=0,"",_xlfn.MINIFS('JOBS'!$B$5:$B$1504,'JOBS'!$D$5:$D$1504,B313,'JOBS'!$O$5:$O$1504,"Completed")))</f>
        <v/>
      </c>
      <c r="L313" s="52">
        <f>IF(B313="","",IF(_xlfn.MAXIFS('JOBS'!$B$5:$B$1504,'JOBS'!$D$5:$D$1504,B313,'JOBS'!$O$5:$O$1504,"Completed")=0,"",_xlfn.MAXIFS('JOBS'!$B$5:$B$1504,'JOBS'!$D$5:$D$1504,B313,'JOBS'!$O$5:$O$1504,"Completed")))</f>
        <v/>
      </c>
      <c r="M313" s="53">
        <f>IF(B313="","",COUNTIFS('JOBS'!$D$5:$D$1504,B313,'JOBS'!$O$5:$O$1504,"Completed"))</f>
        <v/>
      </c>
      <c r="N313" s="54">
        <f>IF(B313="","",SUMIFS('JOBS'!$L$5:$L$1504,'JOBS'!$D$5:$D$1504,B313,'JOBS'!$O$5:$O$1504,"Completed"))</f>
        <v/>
      </c>
      <c r="O313" s="55">
        <f>IF(B313="","",SUMIFS('JOBS'!$U$5:$U$1504,'JOBS'!$D$5:$D$1504,B313))</f>
        <v/>
      </c>
      <c r="P313" s="49">
        <f>IF(B313="","",IF(COUNTIFS('RECURRING'!$B$5:$B$154,B313,'RECURRING'!$J$5:$J$154,"Active")&gt;0,"Yes","No"))</f>
        <v/>
      </c>
      <c r="Q313" s="50">
        <f>IF(L313="","",AsOf-L313)</f>
        <v/>
      </c>
      <c r="R313" s="49">
        <f>IF(B313="","",IF(H313="Do not service","—",IF(O313&gt;0.005,"Collect balance",IF(M313=0,"Book first job",IF(AND(P313="No",Q313&gt;=ReactDays),"Reactivate",IF(COUNTIF('REVIEWS'!$A$5:$A$504,B313)=0,"Ask for review",IF(AND(P313="No",M313&gt;=1),"Offer recurring plan","—")))))))</f>
        <v/>
      </c>
      <c r="S313" s="53">
        <f>IF(B313="","",COUNTIF('REFERRALS'!$B$5:$B$204,B313))</f>
        <v/>
      </c>
    </row>
    <row r="314">
      <c r="A314" s="46" t="inlineStr">
        <is>
          <t>C-310</t>
        </is>
      </c>
      <c r="B314" s="38" t="n"/>
      <c r="C314" s="38" t="n"/>
      <c r="D314" s="38" t="n"/>
      <c r="E314" s="38" t="n"/>
      <c r="F314" s="38" t="n"/>
      <c r="G314" s="38" t="n"/>
      <c r="H314" s="38" t="n"/>
      <c r="I314" s="47" t="n"/>
      <c r="J314" s="38" t="n"/>
      <c r="K314" s="52">
        <f>IF(B314="","",IF(_xlfn.MINIFS('JOBS'!$B$5:$B$1504,'JOBS'!$D$5:$D$1504,B314,'JOBS'!$O$5:$O$1504,"Completed")=0,"",_xlfn.MINIFS('JOBS'!$B$5:$B$1504,'JOBS'!$D$5:$D$1504,B314,'JOBS'!$O$5:$O$1504,"Completed")))</f>
        <v/>
      </c>
      <c r="L314" s="52">
        <f>IF(B314="","",IF(_xlfn.MAXIFS('JOBS'!$B$5:$B$1504,'JOBS'!$D$5:$D$1504,B314,'JOBS'!$O$5:$O$1504,"Completed")=0,"",_xlfn.MAXIFS('JOBS'!$B$5:$B$1504,'JOBS'!$D$5:$D$1504,B314,'JOBS'!$O$5:$O$1504,"Completed")))</f>
        <v/>
      </c>
      <c r="M314" s="53">
        <f>IF(B314="","",COUNTIFS('JOBS'!$D$5:$D$1504,B314,'JOBS'!$O$5:$O$1504,"Completed"))</f>
        <v/>
      </c>
      <c r="N314" s="54">
        <f>IF(B314="","",SUMIFS('JOBS'!$L$5:$L$1504,'JOBS'!$D$5:$D$1504,B314,'JOBS'!$O$5:$O$1504,"Completed"))</f>
        <v/>
      </c>
      <c r="O314" s="55">
        <f>IF(B314="","",SUMIFS('JOBS'!$U$5:$U$1504,'JOBS'!$D$5:$D$1504,B314))</f>
        <v/>
      </c>
      <c r="P314" s="49">
        <f>IF(B314="","",IF(COUNTIFS('RECURRING'!$B$5:$B$154,B314,'RECURRING'!$J$5:$J$154,"Active")&gt;0,"Yes","No"))</f>
        <v/>
      </c>
      <c r="Q314" s="50">
        <f>IF(L314="","",AsOf-L314)</f>
        <v/>
      </c>
      <c r="R314" s="49">
        <f>IF(B314="","",IF(H314="Do not service","—",IF(O314&gt;0.005,"Collect balance",IF(M314=0,"Book first job",IF(AND(P314="No",Q314&gt;=ReactDays),"Reactivate",IF(COUNTIF('REVIEWS'!$A$5:$A$504,B314)=0,"Ask for review",IF(AND(P314="No",M314&gt;=1),"Offer recurring plan","—")))))))</f>
        <v/>
      </c>
      <c r="S314" s="53">
        <f>IF(B314="","",COUNTIF('REFERRALS'!$B$5:$B$204,B314))</f>
        <v/>
      </c>
    </row>
    <row r="315">
      <c r="A315" s="46" t="inlineStr">
        <is>
          <t>C-311</t>
        </is>
      </c>
      <c r="B315" s="38" t="n"/>
      <c r="C315" s="38" t="n"/>
      <c r="D315" s="38" t="n"/>
      <c r="E315" s="38" t="n"/>
      <c r="F315" s="38" t="n"/>
      <c r="G315" s="38" t="n"/>
      <c r="H315" s="38" t="n"/>
      <c r="I315" s="47" t="n"/>
      <c r="J315" s="38" t="n"/>
      <c r="K315" s="52">
        <f>IF(B315="","",IF(_xlfn.MINIFS('JOBS'!$B$5:$B$1504,'JOBS'!$D$5:$D$1504,B315,'JOBS'!$O$5:$O$1504,"Completed")=0,"",_xlfn.MINIFS('JOBS'!$B$5:$B$1504,'JOBS'!$D$5:$D$1504,B315,'JOBS'!$O$5:$O$1504,"Completed")))</f>
        <v/>
      </c>
      <c r="L315" s="52">
        <f>IF(B315="","",IF(_xlfn.MAXIFS('JOBS'!$B$5:$B$1504,'JOBS'!$D$5:$D$1504,B315,'JOBS'!$O$5:$O$1504,"Completed")=0,"",_xlfn.MAXIFS('JOBS'!$B$5:$B$1504,'JOBS'!$D$5:$D$1504,B315,'JOBS'!$O$5:$O$1504,"Completed")))</f>
        <v/>
      </c>
      <c r="M315" s="53">
        <f>IF(B315="","",COUNTIFS('JOBS'!$D$5:$D$1504,B315,'JOBS'!$O$5:$O$1504,"Completed"))</f>
        <v/>
      </c>
      <c r="N315" s="54">
        <f>IF(B315="","",SUMIFS('JOBS'!$L$5:$L$1504,'JOBS'!$D$5:$D$1504,B315,'JOBS'!$O$5:$O$1504,"Completed"))</f>
        <v/>
      </c>
      <c r="O315" s="55">
        <f>IF(B315="","",SUMIFS('JOBS'!$U$5:$U$1504,'JOBS'!$D$5:$D$1504,B315))</f>
        <v/>
      </c>
      <c r="P315" s="49">
        <f>IF(B315="","",IF(COUNTIFS('RECURRING'!$B$5:$B$154,B315,'RECURRING'!$J$5:$J$154,"Active")&gt;0,"Yes","No"))</f>
        <v/>
      </c>
      <c r="Q315" s="50">
        <f>IF(L315="","",AsOf-L315)</f>
        <v/>
      </c>
      <c r="R315" s="49">
        <f>IF(B315="","",IF(H315="Do not service","—",IF(O315&gt;0.005,"Collect balance",IF(M315=0,"Book first job",IF(AND(P315="No",Q315&gt;=ReactDays),"Reactivate",IF(COUNTIF('REVIEWS'!$A$5:$A$504,B315)=0,"Ask for review",IF(AND(P315="No",M315&gt;=1),"Offer recurring plan","—")))))))</f>
        <v/>
      </c>
      <c r="S315" s="53">
        <f>IF(B315="","",COUNTIF('REFERRALS'!$B$5:$B$204,B315))</f>
        <v/>
      </c>
    </row>
    <row r="316">
      <c r="A316" s="46" t="inlineStr">
        <is>
          <t>C-312</t>
        </is>
      </c>
      <c r="B316" s="38" t="n"/>
      <c r="C316" s="38" t="n"/>
      <c r="D316" s="38" t="n"/>
      <c r="E316" s="38" t="n"/>
      <c r="F316" s="38" t="n"/>
      <c r="G316" s="38" t="n"/>
      <c r="H316" s="38" t="n"/>
      <c r="I316" s="47" t="n"/>
      <c r="J316" s="38" t="n"/>
      <c r="K316" s="52">
        <f>IF(B316="","",IF(_xlfn.MINIFS('JOBS'!$B$5:$B$1504,'JOBS'!$D$5:$D$1504,B316,'JOBS'!$O$5:$O$1504,"Completed")=0,"",_xlfn.MINIFS('JOBS'!$B$5:$B$1504,'JOBS'!$D$5:$D$1504,B316,'JOBS'!$O$5:$O$1504,"Completed")))</f>
        <v/>
      </c>
      <c r="L316" s="52">
        <f>IF(B316="","",IF(_xlfn.MAXIFS('JOBS'!$B$5:$B$1504,'JOBS'!$D$5:$D$1504,B316,'JOBS'!$O$5:$O$1504,"Completed")=0,"",_xlfn.MAXIFS('JOBS'!$B$5:$B$1504,'JOBS'!$D$5:$D$1504,B316,'JOBS'!$O$5:$O$1504,"Completed")))</f>
        <v/>
      </c>
      <c r="M316" s="53">
        <f>IF(B316="","",COUNTIFS('JOBS'!$D$5:$D$1504,B316,'JOBS'!$O$5:$O$1504,"Completed"))</f>
        <v/>
      </c>
      <c r="N316" s="54">
        <f>IF(B316="","",SUMIFS('JOBS'!$L$5:$L$1504,'JOBS'!$D$5:$D$1504,B316,'JOBS'!$O$5:$O$1504,"Completed"))</f>
        <v/>
      </c>
      <c r="O316" s="55">
        <f>IF(B316="","",SUMIFS('JOBS'!$U$5:$U$1504,'JOBS'!$D$5:$D$1504,B316))</f>
        <v/>
      </c>
      <c r="P316" s="49">
        <f>IF(B316="","",IF(COUNTIFS('RECURRING'!$B$5:$B$154,B316,'RECURRING'!$J$5:$J$154,"Active")&gt;0,"Yes","No"))</f>
        <v/>
      </c>
      <c r="Q316" s="50">
        <f>IF(L316="","",AsOf-L316)</f>
        <v/>
      </c>
      <c r="R316" s="49">
        <f>IF(B316="","",IF(H316="Do not service","—",IF(O316&gt;0.005,"Collect balance",IF(M316=0,"Book first job",IF(AND(P316="No",Q316&gt;=ReactDays),"Reactivate",IF(COUNTIF('REVIEWS'!$A$5:$A$504,B316)=0,"Ask for review",IF(AND(P316="No",M316&gt;=1),"Offer recurring plan","—")))))))</f>
        <v/>
      </c>
      <c r="S316" s="53">
        <f>IF(B316="","",COUNTIF('REFERRALS'!$B$5:$B$204,B316))</f>
        <v/>
      </c>
    </row>
    <row r="317">
      <c r="A317" s="46" t="inlineStr">
        <is>
          <t>C-313</t>
        </is>
      </c>
      <c r="B317" s="38" t="n"/>
      <c r="C317" s="38" t="n"/>
      <c r="D317" s="38" t="n"/>
      <c r="E317" s="38" t="n"/>
      <c r="F317" s="38" t="n"/>
      <c r="G317" s="38" t="n"/>
      <c r="H317" s="38" t="n"/>
      <c r="I317" s="47" t="n"/>
      <c r="J317" s="38" t="n"/>
      <c r="K317" s="52">
        <f>IF(B317="","",IF(_xlfn.MINIFS('JOBS'!$B$5:$B$1504,'JOBS'!$D$5:$D$1504,B317,'JOBS'!$O$5:$O$1504,"Completed")=0,"",_xlfn.MINIFS('JOBS'!$B$5:$B$1504,'JOBS'!$D$5:$D$1504,B317,'JOBS'!$O$5:$O$1504,"Completed")))</f>
        <v/>
      </c>
      <c r="L317" s="52">
        <f>IF(B317="","",IF(_xlfn.MAXIFS('JOBS'!$B$5:$B$1504,'JOBS'!$D$5:$D$1504,B317,'JOBS'!$O$5:$O$1504,"Completed")=0,"",_xlfn.MAXIFS('JOBS'!$B$5:$B$1504,'JOBS'!$D$5:$D$1504,B317,'JOBS'!$O$5:$O$1504,"Completed")))</f>
        <v/>
      </c>
      <c r="M317" s="53">
        <f>IF(B317="","",COUNTIFS('JOBS'!$D$5:$D$1504,B317,'JOBS'!$O$5:$O$1504,"Completed"))</f>
        <v/>
      </c>
      <c r="N317" s="54">
        <f>IF(B317="","",SUMIFS('JOBS'!$L$5:$L$1504,'JOBS'!$D$5:$D$1504,B317,'JOBS'!$O$5:$O$1504,"Completed"))</f>
        <v/>
      </c>
      <c r="O317" s="55">
        <f>IF(B317="","",SUMIFS('JOBS'!$U$5:$U$1504,'JOBS'!$D$5:$D$1504,B317))</f>
        <v/>
      </c>
      <c r="P317" s="49">
        <f>IF(B317="","",IF(COUNTIFS('RECURRING'!$B$5:$B$154,B317,'RECURRING'!$J$5:$J$154,"Active")&gt;0,"Yes","No"))</f>
        <v/>
      </c>
      <c r="Q317" s="50">
        <f>IF(L317="","",AsOf-L317)</f>
        <v/>
      </c>
      <c r="R317" s="49">
        <f>IF(B317="","",IF(H317="Do not service","—",IF(O317&gt;0.005,"Collect balance",IF(M317=0,"Book first job",IF(AND(P317="No",Q317&gt;=ReactDays),"Reactivate",IF(COUNTIF('REVIEWS'!$A$5:$A$504,B317)=0,"Ask for review",IF(AND(P317="No",M317&gt;=1),"Offer recurring plan","—")))))))</f>
        <v/>
      </c>
      <c r="S317" s="53">
        <f>IF(B317="","",COUNTIF('REFERRALS'!$B$5:$B$204,B317))</f>
        <v/>
      </c>
    </row>
    <row r="318">
      <c r="A318" s="46" t="inlineStr">
        <is>
          <t>C-314</t>
        </is>
      </c>
      <c r="B318" s="38" t="n"/>
      <c r="C318" s="38" t="n"/>
      <c r="D318" s="38" t="n"/>
      <c r="E318" s="38" t="n"/>
      <c r="F318" s="38" t="n"/>
      <c r="G318" s="38" t="n"/>
      <c r="H318" s="38" t="n"/>
      <c r="I318" s="47" t="n"/>
      <c r="J318" s="38" t="n"/>
      <c r="K318" s="52">
        <f>IF(B318="","",IF(_xlfn.MINIFS('JOBS'!$B$5:$B$1504,'JOBS'!$D$5:$D$1504,B318,'JOBS'!$O$5:$O$1504,"Completed")=0,"",_xlfn.MINIFS('JOBS'!$B$5:$B$1504,'JOBS'!$D$5:$D$1504,B318,'JOBS'!$O$5:$O$1504,"Completed")))</f>
        <v/>
      </c>
      <c r="L318" s="52">
        <f>IF(B318="","",IF(_xlfn.MAXIFS('JOBS'!$B$5:$B$1504,'JOBS'!$D$5:$D$1504,B318,'JOBS'!$O$5:$O$1504,"Completed")=0,"",_xlfn.MAXIFS('JOBS'!$B$5:$B$1504,'JOBS'!$D$5:$D$1504,B318,'JOBS'!$O$5:$O$1504,"Completed")))</f>
        <v/>
      </c>
      <c r="M318" s="53">
        <f>IF(B318="","",COUNTIFS('JOBS'!$D$5:$D$1504,B318,'JOBS'!$O$5:$O$1504,"Completed"))</f>
        <v/>
      </c>
      <c r="N318" s="54">
        <f>IF(B318="","",SUMIFS('JOBS'!$L$5:$L$1504,'JOBS'!$D$5:$D$1504,B318,'JOBS'!$O$5:$O$1504,"Completed"))</f>
        <v/>
      </c>
      <c r="O318" s="55">
        <f>IF(B318="","",SUMIFS('JOBS'!$U$5:$U$1504,'JOBS'!$D$5:$D$1504,B318))</f>
        <v/>
      </c>
      <c r="P318" s="49">
        <f>IF(B318="","",IF(COUNTIFS('RECURRING'!$B$5:$B$154,B318,'RECURRING'!$J$5:$J$154,"Active")&gt;0,"Yes","No"))</f>
        <v/>
      </c>
      <c r="Q318" s="50">
        <f>IF(L318="","",AsOf-L318)</f>
        <v/>
      </c>
      <c r="R318" s="49">
        <f>IF(B318="","",IF(H318="Do not service","—",IF(O318&gt;0.005,"Collect balance",IF(M318=0,"Book first job",IF(AND(P318="No",Q318&gt;=ReactDays),"Reactivate",IF(COUNTIF('REVIEWS'!$A$5:$A$504,B318)=0,"Ask for review",IF(AND(P318="No",M318&gt;=1),"Offer recurring plan","—")))))))</f>
        <v/>
      </c>
      <c r="S318" s="53">
        <f>IF(B318="","",COUNTIF('REFERRALS'!$B$5:$B$204,B318))</f>
        <v/>
      </c>
    </row>
    <row r="319">
      <c r="A319" s="46" t="inlineStr">
        <is>
          <t>C-315</t>
        </is>
      </c>
      <c r="B319" s="38" t="n"/>
      <c r="C319" s="38" t="n"/>
      <c r="D319" s="38" t="n"/>
      <c r="E319" s="38" t="n"/>
      <c r="F319" s="38" t="n"/>
      <c r="G319" s="38" t="n"/>
      <c r="H319" s="38" t="n"/>
      <c r="I319" s="47" t="n"/>
      <c r="J319" s="38" t="n"/>
      <c r="K319" s="52">
        <f>IF(B319="","",IF(_xlfn.MINIFS('JOBS'!$B$5:$B$1504,'JOBS'!$D$5:$D$1504,B319,'JOBS'!$O$5:$O$1504,"Completed")=0,"",_xlfn.MINIFS('JOBS'!$B$5:$B$1504,'JOBS'!$D$5:$D$1504,B319,'JOBS'!$O$5:$O$1504,"Completed")))</f>
        <v/>
      </c>
      <c r="L319" s="52">
        <f>IF(B319="","",IF(_xlfn.MAXIFS('JOBS'!$B$5:$B$1504,'JOBS'!$D$5:$D$1504,B319,'JOBS'!$O$5:$O$1504,"Completed")=0,"",_xlfn.MAXIFS('JOBS'!$B$5:$B$1504,'JOBS'!$D$5:$D$1504,B319,'JOBS'!$O$5:$O$1504,"Completed")))</f>
        <v/>
      </c>
      <c r="M319" s="53">
        <f>IF(B319="","",COUNTIFS('JOBS'!$D$5:$D$1504,B319,'JOBS'!$O$5:$O$1504,"Completed"))</f>
        <v/>
      </c>
      <c r="N319" s="54">
        <f>IF(B319="","",SUMIFS('JOBS'!$L$5:$L$1504,'JOBS'!$D$5:$D$1504,B319,'JOBS'!$O$5:$O$1504,"Completed"))</f>
        <v/>
      </c>
      <c r="O319" s="55">
        <f>IF(B319="","",SUMIFS('JOBS'!$U$5:$U$1504,'JOBS'!$D$5:$D$1504,B319))</f>
        <v/>
      </c>
      <c r="P319" s="49">
        <f>IF(B319="","",IF(COUNTIFS('RECURRING'!$B$5:$B$154,B319,'RECURRING'!$J$5:$J$154,"Active")&gt;0,"Yes","No"))</f>
        <v/>
      </c>
      <c r="Q319" s="50">
        <f>IF(L319="","",AsOf-L319)</f>
        <v/>
      </c>
      <c r="R319" s="49">
        <f>IF(B319="","",IF(H319="Do not service","—",IF(O319&gt;0.005,"Collect balance",IF(M319=0,"Book first job",IF(AND(P319="No",Q319&gt;=ReactDays),"Reactivate",IF(COUNTIF('REVIEWS'!$A$5:$A$504,B319)=0,"Ask for review",IF(AND(P319="No",M319&gt;=1),"Offer recurring plan","—")))))))</f>
        <v/>
      </c>
      <c r="S319" s="53">
        <f>IF(B319="","",COUNTIF('REFERRALS'!$B$5:$B$204,B319))</f>
        <v/>
      </c>
    </row>
    <row r="320">
      <c r="A320" s="46" t="inlineStr">
        <is>
          <t>C-316</t>
        </is>
      </c>
      <c r="B320" s="38" t="n"/>
      <c r="C320" s="38" t="n"/>
      <c r="D320" s="38" t="n"/>
      <c r="E320" s="38" t="n"/>
      <c r="F320" s="38" t="n"/>
      <c r="G320" s="38" t="n"/>
      <c r="H320" s="38" t="n"/>
      <c r="I320" s="47" t="n"/>
      <c r="J320" s="38" t="n"/>
      <c r="K320" s="52">
        <f>IF(B320="","",IF(_xlfn.MINIFS('JOBS'!$B$5:$B$1504,'JOBS'!$D$5:$D$1504,B320,'JOBS'!$O$5:$O$1504,"Completed")=0,"",_xlfn.MINIFS('JOBS'!$B$5:$B$1504,'JOBS'!$D$5:$D$1504,B320,'JOBS'!$O$5:$O$1504,"Completed")))</f>
        <v/>
      </c>
      <c r="L320" s="52">
        <f>IF(B320="","",IF(_xlfn.MAXIFS('JOBS'!$B$5:$B$1504,'JOBS'!$D$5:$D$1504,B320,'JOBS'!$O$5:$O$1504,"Completed")=0,"",_xlfn.MAXIFS('JOBS'!$B$5:$B$1504,'JOBS'!$D$5:$D$1504,B320,'JOBS'!$O$5:$O$1504,"Completed")))</f>
        <v/>
      </c>
      <c r="M320" s="53">
        <f>IF(B320="","",COUNTIFS('JOBS'!$D$5:$D$1504,B320,'JOBS'!$O$5:$O$1504,"Completed"))</f>
        <v/>
      </c>
      <c r="N320" s="54">
        <f>IF(B320="","",SUMIFS('JOBS'!$L$5:$L$1504,'JOBS'!$D$5:$D$1504,B320,'JOBS'!$O$5:$O$1504,"Completed"))</f>
        <v/>
      </c>
      <c r="O320" s="55">
        <f>IF(B320="","",SUMIFS('JOBS'!$U$5:$U$1504,'JOBS'!$D$5:$D$1504,B320))</f>
        <v/>
      </c>
      <c r="P320" s="49">
        <f>IF(B320="","",IF(COUNTIFS('RECURRING'!$B$5:$B$154,B320,'RECURRING'!$J$5:$J$154,"Active")&gt;0,"Yes","No"))</f>
        <v/>
      </c>
      <c r="Q320" s="50">
        <f>IF(L320="","",AsOf-L320)</f>
        <v/>
      </c>
      <c r="R320" s="49">
        <f>IF(B320="","",IF(H320="Do not service","—",IF(O320&gt;0.005,"Collect balance",IF(M320=0,"Book first job",IF(AND(P320="No",Q320&gt;=ReactDays),"Reactivate",IF(COUNTIF('REVIEWS'!$A$5:$A$504,B320)=0,"Ask for review",IF(AND(P320="No",M320&gt;=1),"Offer recurring plan","—")))))))</f>
        <v/>
      </c>
      <c r="S320" s="53">
        <f>IF(B320="","",COUNTIF('REFERRALS'!$B$5:$B$204,B320))</f>
        <v/>
      </c>
    </row>
    <row r="321">
      <c r="A321" s="46" t="inlineStr">
        <is>
          <t>C-317</t>
        </is>
      </c>
      <c r="B321" s="38" t="n"/>
      <c r="C321" s="38" t="n"/>
      <c r="D321" s="38" t="n"/>
      <c r="E321" s="38" t="n"/>
      <c r="F321" s="38" t="n"/>
      <c r="G321" s="38" t="n"/>
      <c r="H321" s="38" t="n"/>
      <c r="I321" s="47" t="n"/>
      <c r="J321" s="38" t="n"/>
      <c r="K321" s="52">
        <f>IF(B321="","",IF(_xlfn.MINIFS('JOBS'!$B$5:$B$1504,'JOBS'!$D$5:$D$1504,B321,'JOBS'!$O$5:$O$1504,"Completed")=0,"",_xlfn.MINIFS('JOBS'!$B$5:$B$1504,'JOBS'!$D$5:$D$1504,B321,'JOBS'!$O$5:$O$1504,"Completed")))</f>
        <v/>
      </c>
      <c r="L321" s="52">
        <f>IF(B321="","",IF(_xlfn.MAXIFS('JOBS'!$B$5:$B$1504,'JOBS'!$D$5:$D$1504,B321,'JOBS'!$O$5:$O$1504,"Completed")=0,"",_xlfn.MAXIFS('JOBS'!$B$5:$B$1504,'JOBS'!$D$5:$D$1504,B321,'JOBS'!$O$5:$O$1504,"Completed")))</f>
        <v/>
      </c>
      <c r="M321" s="53">
        <f>IF(B321="","",COUNTIFS('JOBS'!$D$5:$D$1504,B321,'JOBS'!$O$5:$O$1504,"Completed"))</f>
        <v/>
      </c>
      <c r="N321" s="54">
        <f>IF(B321="","",SUMIFS('JOBS'!$L$5:$L$1504,'JOBS'!$D$5:$D$1504,B321,'JOBS'!$O$5:$O$1504,"Completed"))</f>
        <v/>
      </c>
      <c r="O321" s="55">
        <f>IF(B321="","",SUMIFS('JOBS'!$U$5:$U$1504,'JOBS'!$D$5:$D$1504,B321))</f>
        <v/>
      </c>
      <c r="P321" s="49">
        <f>IF(B321="","",IF(COUNTIFS('RECURRING'!$B$5:$B$154,B321,'RECURRING'!$J$5:$J$154,"Active")&gt;0,"Yes","No"))</f>
        <v/>
      </c>
      <c r="Q321" s="50">
        <f>IF(L321="","",AsOf-L321)</f>
        <v/>
      </c>
      <c r="R321" s="49">
        <f>IF(B321="","",IF(H321="Do not service","—",IF(O321&gt;0.005,"Collect balance",IF(M321=0,"Book first job",IF(AND(P321="No",Q321&gt;=ReactDays),"Reactivate",IF(COUNTIF('REVIEWS'!$A$5:$A$504,B321)=0,"Ask for review",IF(AND(P321="No",M321&gt;=1),"Offer recurring plan","—")))))))</f>
        <v/>
      </c>
      <c r="S321" s="53">
        <f>IF(B321="","",COUNTIF('REFERRALS'!$B$5:$B$204,B321))</f>
        <v/>
      </c>
    </row>
    <row r="322">
      <c r="A322" s="46" t="inlineStr">
        <is>
          <t>C-318</t>
        </is>
      </c>
      <c r="B322" s="38" t="n"/>
      <c r="C322" s="38" t="n"/>
      <c r="D322" s="38" t="n"/>
      <c r="E322" s="38" t="n"/>
      <c r="F322" s="38" t="n"/>
      <c r="G322" s="38" t="n"/>
      <c r="H322" s="38" t="n"/>
      <c r="I322" s="47" t="n"/>
      <c r="J322" s="38" t="n"/>
      <c r="K322" s="52">
        <f>IF(B322="","",IF(_xlfn.MINIFS('JOBS'!$B$5:$B$1504,'JOBS'!$D$5:$D$1504,B322,'JOBS'!$O$5:$O$1504,"Completed")=0,"",_xlfn.MINIFS('JOBS'!$B$5:$B$1504,'JOBS'!$D$5:$D$1504,B322,'JOBS'!$O$5:$O$1504,"Completed")))</f>
        <v/>
      </c>
      <c r="L322" s="52">
        <f>IF(B322="","",IF(_xlfn.MAXIFS('JOBS'!$B$5:$B$1504,'JOBS'!$D$5:$D$1504,B322,'JOBS'!$O$5:$O$1504,"Completed")=0,"",_xlfn.MAXIFS('JOBS'!$B$5:$B$1504,'JOBS'!$D$5:$D$1504,B322,'JOBS'!$O$5:$O$1504,"Completed")))</f>
        <v/>
      </c>
      <c r="M322" s="53">
        <f>IF(B322="","",COUNTIFS('JOBS'!$D$5:$D$1504,B322,'JOBS'!$O$5:$O$1504,"Completed"))</f>
        <v/>
      </c>
      <c r="N322" s="54">
        <f>IF(B322="","",SUMIFS('JOBS'!$L$5:$L$1504,'JOBS'!$D$5:$D$1504,B322,'JOBS'!$O$5:$O$1504,"Completed"))</f>
        <v/>
      </c>
      <c r="O322" s="55">
        <f>IF(B322="","",SUMIFS('JOBS'!$U$5:$U$1504,'JOBS'!$D$5:$D$1504,B322))</f>
        <v/>
      </c>
      <c r="P322" s="49">
        <f>IF(B322="","",IF(COUNTIFS('RECURRING'!$B$5:$B$154,B322,'RECURRING'!$J$5:$J$154,"Active")&gt;0,"Yes","No"))</f>
        <v/>
      </c>
      <c r="Q322" s="50">
        <f>IF(L322="","",AsOf-L322)</f>
        <v/>
      </c>
      <c r="R322" s="49">
        <f>IF(B322="","",IF(H322="Do not service","—",IF(O322&gt;0.005,"Collect balance",IF(M322=0,"Book first job",IF(AND(P322="No",Q322&gt;=ReactDays),"Reactivate",IF(COUNTIF('REVIEWS'!$A$5:$A$504,B322)=0,"Ask for review",IF(AND(P322="No",M322&gt;=1),"Offer recurring plan","—")))))))</f>
        <v/>
      </c>
      <c r="S322" s="53">
        <f>IF(B322="","",COUNTIF('REFERRALS'!$B$5:$B$204,B322))</f>
        <v/>
      </c>
    </row>
    <row r="323">
      <c r="A323" s="46" t="inlineStr">
        <is>
          <t>C-319</t>
        </is>
      </c>
      <c r="B323" s="38" t="n"/>
      <c r="C323" s="38" t="n"/>
      <c r="D323" s="38" t="n"/>
      <c r="E323" s="38" t="n"/>
      <c r="F323" s="38" t="n"/>
      <c r="G323" s="38" t="n"/>
      <c r="H323" s="38" t="n"/>
      <c r="I323" s="47" t="n"/>
      <c r="J323" s="38" t="n"/>
      <c r="K323" s="52">
        <f>IF(B323="","",IF(_xlfn.MINIFS('JOBS'!$B$5:$B$1504,'JOBS'!$D$5:$D$1504,B323,'JOBS'!$O$5:$O$1504,"Completed")=0,"",_xlfn.MINIFS('JOBS'!$B$5:$B$1504,'JOBS'!$D$5:$D$1504,B323,'JOBS'!$O$5:$O$1504,"Completed")))</f>
        <v/>
      </c>
      <c r="L323" s="52">
        <f>IF(B323="","",IF(_xlfn.MAXIFS('JOBS'!$B$5:$B$1504,'JOBS'!$D$5:$D$1504,B323,'JOBS'!$O$5:$O$1504,"Completed")=0,"",_xlfn.MAXIFS('JOBS'!$B$5:$B$1504,'JOBS'!$D$5:$D$1504,B323,'JOBS'!$O$5:$O$1504,"Completed")))</f>
        <v/>
      </c>
      <c r="M323" s="53">
        <f>IF(B323="","",COUNTIFS('JOBS'!$D$5:$D$1504,B323,'JOBS'!$O$5:$O$1504,"Completed"))</f>
        <v/>
      </c>
      <c r="N323" s="54">
        <f>IF(B323="","",SUMIFS('JOBS'!$L$5:$L$1504,'JOBS'!$D$5:$D$1504,B323,'JOBS'!$O$5:$O$1504,"Completed"))</f>
        <v/>
      </c>
      <c r="O323" s="55">
        <f>IF(B323="","",SUMIFS('JOBS'!$U$5:$U$1504,'JOBS'!$D$5:$D$1504,B323))</f>
        <v/>
      </c>
      <c r="P323" s="49">
        <f>IF(B323="","",IF(COUNTIFS('RECURRING'!$B$5:$B$154,B323,'RECURRING'!$J$5:$J$154,"Active")&gt;0,"Yes","No"))</f>
        <v/>
      </c>
      <c r="Q323" s="50">
        <f>IF(L323="","",AsOf-L323)</f>
        <v/>
      </c>
      <c r="R323" s="49">
        <f>IF(B323="","",IF(H323="Do not service","—",IF(O323&gt;0.005,"Collect balance",IF(M323=0,"Book first job",IF(AND(P323="No",Q323&gt;=ReactDays),"Reactivate",IF(COUNTIF('REVIEWS'!$A$5:$A$504,B323)=0,"Ask for review",IF(AND(P323="No",M323&gt;=1),"Offer recurring plan","—")))))))</f>
        <v/>
      </c>
      <c r="S323" s="53">
        <f>IF(B323="","",COUNTIF('REFERRALS'!$B$5:$B$204,B323))</f>
        <v/>
      </c>
    </row>
    <row r="324">
      <c r="A324" s="46" t="inlineStr">
        <is>
          <t>C-320</t>
        </is>
      </c>
      <c r="B324" s="38" t="n"/>
      <c r="C324" s="38" t="n"/>
      <c r="D324" s="38" t="n"/>
      <c r="E324" s="38" t="n"/>
      <c r="F324" s="38" t="n"/>
      <c r="G324" s="38" t="n"/>
      <c r="H324" s="38" t="n"/>
      <c r="I324" s="47" t="n"/>
      <c r="J324" s="38" t="n"/>
      <c r="K324" s="52">
        <f>IF(B324="","",IF(_xlfn.MINIFS('JOBS'!$B$5:$B$1504,'JOBS'!$D$5:$D$1504,B324,'JOBS'!$O$5:$O$1504,"Completed")=0,"",_xlfn.MINIFS('JOBS'!$B$5:$B$1504,'JOBS'!$D$5:$D$1504,B324,'JOBS'!$O$5:$O$1504,"Completed")))</f>
        <v/>
      </c>
      <c r="L324" s="52">
        <f>IF(B324="","",IF(_xlfn.MAXIFS('JOBS'!$B$5:$B$1504,'JOBS'!$D$5:$D$1504,B324,'JOBS'!$O$5:$O$1504,"Completed")=0,"",_xlfn.MAXIFS('JOBS'!$B$5:$B$1504,'JOBS'!$D$5:$D$1504,B324,'JOBS'!$O$5:$O$1504,"Completed")))</f>
        <v/>
      </c>
      <c r="M324" s="53">
        <f>IF(B324="","",COUNTIFS('JOBS'!$D$5:$D$1504,B324,'JOBS'!$O$5:$O$1504,"Completed"))</f>
        <v/>
      </c>
      <c r="N324" s="54">
        <f>IF(B324="","",SUMIFS('JOBS'!$L$5:$L$1504,'JOBS'!$D$5:$D$1504,B324,'JOBS'!$O$5:$O$1504,"Completed"))</f>
        <v/>
      </c>
      <c r="O324" s="55">
        <f>IF(B324="","",SUMIFS('JOBS'!$U$5:$U$1504,'JOBS'!$D$5:$D$1504,B324))</f>
        <v/>
      </c>
      <c r="P324" s="49">
        <f>IF(B324="","",IF(COUNTIFS('RECURRING'!$B$5:$B$154,B324,'RECURRING'!$J$5:$J$154,"Active")&gt;0,"Yes","No"))</f>
        <v/>
      </c>
      <c r="Q324" s="50">
        <f>IF(L324="","",AsOf-L324)</f>
        <v/>
      </c>
      <c r="R324" s="49">
        <f>IF(B324="","",IF(H324="Do not service","—",IF(O324&gt;0.005,"Collect balance",IF(M324=0,"Book first job",IF(AND(P324="No",Q324&gt;=ReactDays),"Reactivate",IF(COUNTIF('REVIEWS'!$A$5:$A$504,B324)=0,"Ask for review",IF(AND(P324="No",M324&gt;=1),"Offer recurring plan","—")))))))</f>
        <v/>
      </c>
      <c r="S324" s="53">
        <f>IF(B324="","",COUNTIF('REFERRALS'!$B$5:$B$204,B324))</f>
        <v/>
      </c>
    </row>
    <row r="325">
      <c r="A325" s="46" t="inlineStr">
        <is>
          <t>C-321</t>
        </is>
      </c>
      <c r="B325" s="38" t="n"/>
      <c r="C325" s="38" t="n"/>
      <c r="D325" s="38" t="n"/>
      <c r="E325" s="38" t="n"/>
      <c r="F325" s="38" t="n"/>
      <c r="G325" s="38" t="n"/>
      <c r="H325" s="38" t="n"/>
      <c r="I325" s="47" t="n"/>
      <c r="J325" s="38" t="n"/>
      <c r="K325" s="52">
        <f>IF(B325="","",IF(_xlfn.MINIFS('JOBS'!$B$5:$B$1504,'JOBS'!$D$5:$D$1504,B325,'JOBS'!$O$5:$O$1504,"Completed")=0,"",_xlfn.MINIFS('JOBS'!$B$5:$B$1504,'JOBS'!$D$5:$D$1504,B325,'JOBS'!$O$5:$O$1504,"Completed")))</f>
        <v/>
      </c>
      <c r="L325" s="52">
        <f>IF(B325="","",IF(_xlfn.MAXIFS('JOBS'!$B$5:$B$1504,'JOBS'!$D$5:$D$1504,B325,'JOBS'!$O$5:$O$1504,"Completed")=0,"",_xlfn.MAXIFS('JOBS'!$B$5:$B$1504,'JOBS'!$D$5:$D$1504,B325,'JOBS'!$O$5:$O$1504,"Completed")))</f>
        <v/>
      </c>
      <c r="M325" s="53">
        <f>IF(B325="","",COUNTIFS('JOBS'!$D$5:$D$1504,B325,'JOBS'!$O$5:$O$1504,"Completed"))</f>
        <v/>
      </c>
      <c r="N325" s="54">
        <f>IF(B325="","",SUMIFS('JOBS'!$L$5:$L$1504,'JOBS'!$D$5:$D$1504,B325,'JOBS'!$O$5:$O$1504,"Completed"))</f>
        <v/>
      </c>
      <c r="O325" s="55">
        <f>IF(B325="","",SUMIFS('JOBS'!$U$5:$U$1504,'JOBS'!$D$5:$D$1504,B325))</f>
        <v/>
      </c>
      <c r="P325" s="49">
        <f>IF(B325="","",IF(COUNTIFS('RECURRING'!$B$5:$B$154,B325,'RECURRING'!$J$5:$J$154,"Active")&gt;0,"Yes","No"))</f>
        <v/>
      </c>
      <c r="Q325" s="50">
        <f>IF(L325="","",AsOf-L325)</f>
        <v/>
      </c>
      <c r="R325" s="49">
        <f>IF(B325="","",IF(H325="Do not service","—",IF(O325&gt;0.005,"Collect balance",IF(M325=0,"Book first job",IF(AND(P325="No",Q325&gt;=ReactDays),"Reactivate",IF(COUNTIF('REVIEWS'!$A$5:$A$504,B325)=0,"Ask for review",IF(AND(P325="No",M325&gt;=1),"Offer recurring plan","—")))))))</f>
        <v/>
      </c>
      <c r="S325" s="53">
        <f>IF(B325="","",COUNTIF('REFERRALS'!$B$5:$B$204,B325))</f>
        <v/>
      </c>
    </row>
    <row r="326">
      <c r="A326" s="46" t="inlineStr">
        <is>
          <t>C-322</t>
        </is>
      </c>
      <c r="B326" s="38" t="n"/>
      <c r="C326" s="38" t="n"/>
      <c r="D326" s="38" t="n"/>
      <c r="E326" s="38" t="n"/>
      <c r="F326" s="38" t="n"/>
      <c r="G326" s="38" t="n"/>
      <c r="H326" s="38" t="n"/>
      <c r="I326" s="47" t="n"/>
      <c r="J326" s="38" t="n"/>
      <c r="K326" s="52">
        <f>IF(B326="","",IF(_xlfn.MINIFS('JOBS'!$B$5:$B$1504,'JOBS'!$D$5:$D$1504,B326,'JOBS'!$O$5:$O$1504,"Completed")=0,"",_xlfn.MINIFS('JOBS'!$B$5:$B$1504,'JOBS'!$D$5:$D$1504,B326,'JOBS'!$O$5:$O$1504,"Completed")))</f>
        <v/>
      </c>
      <c r="L326" s="52">
        <f>IF(B326="","",IF(_xlfn.MAXIFS('JOBS'!$B$5:$B$1504,'JOBS'!$D$5:$D$1504,B326,'JOBS'!$O$5:$O$1504,"Completed")=0,"",_xlfn.MAXIFS('JOBS'!$B$5:$B$1504,'JOBS'!$D$5:$D$1504,B326,'JOBS'!$O$5:$O$1504,"Completed")))</f>
        <v/>
      </c>
      <c r="M326" s="53">
        <f>IF(B326="","",COUNTIFS('JOBS'!$D$5:$D$1504,B326,'JOBS'!$O$5:$O$1504,"Completed"))</f>
        <v/>
      </c>
      <c r="N326" s="54">
        <f>IF(B326="","",SUMIFS('JOBS'!$L$5:$L$1504,'JOBS'!$D$5:$D$1504,B326,'JOBS'!$O$5:$O$1504,"Completed"))</f>
        <v/>
      </c>
      <c r="O326" s="55">
        <f>IF(B326="","",SUMIFS('JOBS'!$U$5:$U$1504,'JOBS'!$D$5:$D$1504,B326))</f>
        <v/>
      </c>
      <c r="P326" s="49">
        <f>IF(B326="","",IF(COUNTIFS('RECURRING'!$B$5:$B$154,B326,'RECURRING'!$J$5:$J$154,"Active")&gt;0,"Yes","No"))</f>
        <v/>
      </c>
      <c r="Q326" s="50">
        <f>IF(L326="","",AsOf-L326)</f>
        <v/>
      </c>
      <c r="R326" s="49">
        <f>IF(B326="","",IF(H326="Do not service","—",IF(O326&gt;0.005,"Collect balance",IF(M326=0,"Book first job",IF(AND(P326="No",Q326&gt;=ReactDays),"Reactivate",IF(COUNTIF('REVIEWS'!$A$5:$A$504,B326)=0,"Ask for review",IF(AND(P326="No",M326&gt;=1),"Offer recurring plan","—")))))))</f>
        <v/>
      </c>
      <c r="S326" s="53">
        <f>IF(B326="","",COUNTIF('REFERRALS'!$B$5:$B$204,B326))</f>
        <v/>
      </c>
    </row>
    <row r="327">
      <c r="A327" s="46" t="inlineStr">
        <is>
          <t>C-323</t>
        </is>
      </c>
      <c r="B327" s="38" t="n"/>
      <c r="C327" s="38" t="n"/>
      <c r="D327" s="38" t="n"/>
      <c r="E327" s="38" t="n"/>
      <c r="F327" s="38" t="n"/>
      <c r="G327" s="38" t="n"/>
      <c r="H327" s="38" t="n"/>
      <c r="I327" s="47" t="n"/>
      <c r="J327" s="38" t="n"/>
      <c r="K327" s="52">
        <f>IF(B327="","",IF(_xlfn.MINIFS('JOBS'!$B$5:$B$1504,'JOBS'!$D$5:$D$1504,B327,'JOBS'!$O$5:$O$1504,"Completed")=0,"",_xlfn.MINIFS('JOBS'!$B$5:$B$1504,'JOBS'!$D$5:$D$1504,B327,'JOBS'!$O$5:$O$1504,"Completed")))</f>
        <v/>
      </c>
      <c r="L327" s="52">
        <f>IF(B327="","",IF(_xlfn.MAXIFS('JOBS'!$B$5:$B$1504,'JOBS'!$D$5:$D$1504,B327,'JOBS'!$O$5:$O$1504,"Completed")=0,"",_xlfn.MAXIFS('JOBS'!$B$5:$B$1504,'JOBS'!$D$5:$D$1504,B327,'JOBS'!$O$5:$O$1504,"Completed")))</f>
        <v/>
      </c>
      <c r="M327" s="53">
        <f>IF(B327="","",COUNTIFS('JOBS'!$D$5:$D$1504,B327,'JOBS'!$O$5:$O$1504,"Completed"))</f>
        <v/>
      </c>
      <c r="N327" s="54">
        <f>IF(B327="","",SUMIFS('JOBS'!$L$5:$L$1504,'JOBS'!$D$5:$D$1504,B327,'JOBS'!$O$5:$O$1504,"Completed"))</f>
        <v/>
      </c>
      <c r="O327" s="55">
        <f>IF(B327="","",SUMIFS('JOBS'!$U$5:$U$1504,'JOBS'!$D$5:$D$1504,B327))</f>
        <v/>
      </c>
      <c r="P327" s="49">
        <f>IF(B327="","",IF(COUNTIFS('RECURRING'!$B$5:$B$154,B327,'RECURRING'!$J$5:$J$154,"Active")&gt;0,"Yes","No"))</f>
        <v/>
      </c>
      <c r="Q327" s="50">
        <f>IF(L327="","",AsOf-L327)</f>
        <v/>
      </c>
      <c r="R327" s="49">
        <f>IF(B327="","",IF(H327="Do not service","—",IF(O327&gt;0.005,"Collect balance",IF(M327=0,"Book first job",IF(AND(P327="No",Q327&gt;=ReactDays),"Reactivate",IF(COUNTIF('REVIEWS'!$A$5:$A$504,B327)=0,"Ask for review",IF(AND(P327="No",M327&gt;=1),"Offer recurring plan","—")))))))</f>
        <v/>
      </c>
      <c r="S327" s="53">
        <f>IF(B327="","",COUNTIF('REFERRALS'!$B$5:$B$204,B327))</f>
        <v/>
      </c>
    </row>
    <row r="328">
      <c r="A328" s="46" t="inlineStr">
        <is>
          <t>C-324</t>
        </is>
      </c>
      <c r="B328" s="38" t="n"/>
      <c r="C328" s="38" t="n"/>
      <c r="D328" s="38" t="n"/>
      <c r="E328" s="38" t="n"/>
      <c r="F328" s="38" t="n"/>
      <c r="G328" s="38" t="n"/>
      <c r="H328" s="38" t="n"/>
      <c r="I328" s="47" t="n"/>
      <c r="J328" s="38" t="n"/>
      <c r="K328" s="52">
        <f>IF(B328="","",IF(_xlfn.MINIFS('JOBS'!$B$5:$B$1504,'JOBS'!$D$5:$D$1504,B328,'JOBS'!$O$5:$O$1504,"Completed")=0,"",_xlfn.MINIFS('JOBS'!$B$5:$B$1504,'JOBS'!$D$5:$D$1504,B328,'JOBS'!$O$5:$O$1504,"Completed")))</f>
        <v/>
      </c>
      <c r="L328" s="52">
        <f>IF(B328="","",IF(_xlfn.MAXIFS('JOBS'!$B$5:$B$1504,'JOBS'!$D$5:$D$1504,B328,'JOBS'!$O$5:$O$1504,"Completed")=0,"",_xlfn.MAXIFS('JOBS'!$B$5:$B$1504,'JOBS'!$D$5:$D$1504,B328,'JOBS'!$O$5:$O$1504,"Completed")))</f>
        <v/>
      </c>
      <c r="M328" s="53">
        <f>IF(B328="","",COUNTIFS('JOBS'!$D$5:$D$1504,B328,'JOBS'!$O$5:$O$1504,"Completed"))</f>
        <v/>
      </c>
      <c r="N328" s="54">
        <f>IF(B328="","",SUMIFS('JOBS'!$L$5:$L$1504,'JOBS'!$D$5:$D$1504,B328,'JOBS'!$O$5:$O$1504,"Completed"))</f>
        <v/>
      </c>
      <c r="O328" s="55">
        <f>IF(B328="","",SUMIFS('JOBS'!$U$5:$U$1504,'JOBS'!$D$5:$D$1504,B328))</f>
        <v/>
      </c>
      <c r="P328" s="49">
        <f>IF(B328="","",IF(COUNTIFS('RECURRING'!$B$5:$B$154,B328,'RECURRING'!$J$5:$J$154,"Active")&gt;0,"Yes","No"))</f>
        <v/>
      </c>
      <c r="Q328" s="50">
        <f>IF(L328="","",AsOf-L328)</f>
        <v/>
      </c>
      <c r="R328" s="49">
        <f>IF(B328="","",IF(H328="Do not service","—",IF(O328&gt;0.005,"Collect balance",IF(M328=0,"Book first job",IF(AND(P328="No",Q328&gt;=ReactDays),"Reactivate",IF(COUNTIF('REVIEWS'!$A$5:$A$504,B328)=0,"Ask for review",IF(AND(P328="No",M328&gt;=1),"Offer recurring plan","—")))))))</f>
        <v/>
      </c>
      <c r="S328" s="53">
        <f>IF(B328="","",COUNTIF('REFERRALS'!$B$5:$B$204,B328))</f>
        <v/>
      </c>
    </row>
    <row r="329">
      <c r="A329" s="46" t="inlineStr">
        <is>
          <t>C-325</t>
        </is>
      </c>
      <c r="B329" s="38" t="n"/>
      <c r="C329" s="38" t="n"/>
      <c r="D329" s="38" t="n"/>
      <c r="E329" s="38" t="n"/>
      <c r="F329" s="38" t="n"/>
      <c r="G329" s="38" t="n"/>
      <c r="H329" s="38" t="n"/>
      <c r="I329" s="47" t="n"/>
      <c r="J329" s="38" t="n"/>
      <c r="K329" s="52">
        <f>IF(B329="","",IF(_xlfn.MINIFS('JOBS'!$B$5:$B$1504,'JOBS'!$D$5:$D$1504,B329,'JOBS'!$O$5:$O$1504,"Completed")=0,"",_xlfn.MINIFS('JOBS'!$B$5:$B$1504,'JOBS'!$D$5:$D$1504,B329,'JOBS'!$O$5:$O$1504,"Completed")))</f>
        <v/>
      </c>
      <c r="L329" s="52">
        <f>IF(B329="","",IF(_xlfn.MAXIFS('JOBS'!$B$5:$B$1504,'JOBS'!$D$5:$D$1504,B329,'JOBS'!$O$5:$O$1504,"Completed")=0,"",_xlfn.MAXIFS('JOBS'!$B$5:$B$1504,'JOBS'!$D$5:$D$1504,B329,'JOBS'!$O$5:$O$1504,"Completed")))</f>
        <v/>
      </c>
      <c r="M329" s="53">
        <f>IF(B329="","",COUNTIFS('JOBS'!$D$5:$D$1504,B329,'JOBS'!$O$5:$O$1504,"Completed"))</f>
        <v/>
      </c>
      <c r="N329" s="54">
        <f>IF(B329="","",SUMIFS('JOBS'!$L$5:$L$1504,'JOBS'!$D$5:$D$1504,B329,'JOBS'!$O$5:$O$1504,"Completed"))</f>
        <v/>
      </c>
      <c r="O329" s="55">
        <f>IF(B329="","",SUMIFS('JOBS'!$U$5:$U$1504,'JOBS'!$D$5:$D$1504,B329))</f>
        <v/>
      </c>
      <c r="P329" s="49">
        <f>IF(B329="","",IF(COUNTIFS('RECURRING'!$B$5:$B$154,B329,'RECURRING'!$J$5:$J$154,"Active")&gt;0,"Yes","No"))</f>
        <v/>
      </c>
      <c r="Q329" s="50">
        <f>IF(L329="","",AsOf-L329)</f>
        <v/>
      </c>
      <c r="R329" s="49">
        <f>IF(B329="","",IF(H329="Do not service","—",IF(O329&gt;0.005,"Collect balance",IF(M329=0,"Book first job",IF(AND(P329="No",Q329&gt;=ReactDays),"Reactivate",IF(COUNTIF('REVIEWS'!$A$5:$A$504,B329)=0,"Ask for review",IF(AND(P329="No",M329&gt;=1),"Offer recurring plan","—")))))))</f>
        <v/>
      </c>
      <c r="S329" s="53">
        <f>IF(B329="","",COUNTIF('REFERRALS'!$B$5:$B$204,B329))</f>
        <v/>
      </c>
    </row>
    <row r="330">
      <c r="A330" s="46" t="inlineStr">
        <is>
          <t>C-326</t>
        </is>
      </c>
      <c r="B330" s="38" t="n"/>
      <c r="C330" s="38" t="n"/>
      <c r="D330" s="38" t="n"/>
      <c r="E330" s="38" t="n"/>
      <c r="F330" s="38" t="n"/>
      <c r="G330" s="38" t="n"/>
      <c r="H330" s="38" t="n"/>
      <c r="I330" s="47" t="n"/>
      <c r="J330" s="38" t="n"/>
      <c r="K330" s="52">
        <f>IF(B330="","",IF(_xlfn.MINIFS('JOBS'!$B$5:$B$1504,'JOBS'!$D$5:$D$1504,B330,'JOBS'!$O$5:$O$1504,"Completed")=0,"",_xlfn.MINIFS('JOBS'!$B$5:$B$1504,'JOBS'!$D$5:$D$1504,B330,'JOBS'!$O$5:$O$1504,"Completed")))</f>
        <v/>
      </c>
      <c r="L330" s="52">
        <f>IF(B330="","",IF(_xlfn.MAXIFS('JOBS'!$B$5:$B$1504,'JOBS'!$D$5:$D$1504,B330,'JOBS'!$O$5:$O$1504,"Completed")=0,"",_xlfn.MAXIFS('JOBS'!$B$5:$B$1504,'JOBS'!$D$5:$D$1504,B330,'JOBS'!$O$5:$O$1504,"Completed")))</f>
        <v/>
      </c>
      <c r="M330" s="53">
        <f>IF(B330="","",COUNTIFS('JOBS'!$D$5:$D$1504,B330,'JOBS'!$O$5:$O$1504,"Completed"))</f>
        <v/>
      </c>
      <c r="N330" s="54">
        <f>IF(B330="","",SUMIFS('JOBS'!$L$5:$L$1504,'JOBS'!$D$5:$D$1504,B330,'JOBS'!$O$5:$O$1504,"Completed"))</f>
        <v/>
      </c>
      <c r="O330" s="55">
        <f>IF(B330="","",SUMIFS('JOBS'!$U$5:$U$1504,'JOBS'!$D$5:$D$1504,B330))</f>
        <v/>
      </c>
      <c r="P330" s="49">
        <f>IF(B330="","",IF(COUNTIFS('RECURRING'!$B$5:$B$154,B330,'RECURRING'!$J$5:$J$154,"Active")&gt;0,"Yes","No"))</f>
        <v/>
      </c>
      <c r="Q330" s="50">
        <f>IF(L330="","",AsOf-L330)</f>
        <v/>
      </c>
      <c r="R330" s="49">
        <f>IF(B330="","",IF(H330="Do not service","—",IF(O330&gt;0.005,"Collect balance",IF(M330=0,"Book first job",IF(AND(P330="No",Q330&gt;=ReactDays),"Reactivate",IF(COUNTIF('REVIEWS'!$A$5:$A$504,B330)=0,"Ask for review",IF(AND(P330="No",M330&gt;=1),"Offer recurring plan","—")))))))</f>
        <v/>
      </c>
      <c r="S330" s="53">
        <f>IF(B330="","",COUNTIF('REFERRALS'!$B$5:$B$204,B330))</f>
        <v/>
      </c>
    </row>
    <row r="331">
      <c r="A331" s="46" t="inlineStr">
        <is>
          <t>C-327</t>
        </is>
      </c>
      <c r="B331" s="38" t="n"/>
      <c r="C331" s="38" t="n"/>
      <c r="D331" s="38" t="n"/>
      <c r="E331" s="38" t="n"/>
      <c r="F331" s="38" t="n"/>
      <c r="G331" s="38" t="n"/>
      <c r="H331" s="38" t="n"/>
      <c r="I331" s="47" t="n"/>
      <c r="J331" s="38" t="n"/>
      <c r="K331" s="52">
        <f>IF(B331="","",IF(_xlfn.MINIFS('JOBS'!$B$5:$B$1504,'JOBS'!$D$5:$D$1504,B331,'JOBS'!$O$5:$O$1504,"Completed")=0,"",_xlfn.MINIFS('JOBS'!$B$5:$B$1504,'JOBS'!$D$5:$D$1504,B331,'JOBS'!$O$5:$O$1504,"Completed")))</f>
        <v/>
      </c>
      <c r="L331" s="52">
        <f>IF(B331="","",IF(_xlfn.MAXIFS('JOBS'!$B$5:$B$1504,'JOBS'!$D$5:$D$1504,B331,'JOBS'!$O$5:$O$1504,"Completed")=0,"",_xlfn.MAXIFS('JOBS'!$B$5:$B$1504,'JOBS'!$D$5:$D$1504,B331,'JOBS'!$O$5:$O$1504,"Completed")))</f>
        <v/>
      </c>
      <c r="M331" s="53">
        <f>IF(B331="","",COUNTIFS('JOBS'!$D$5:$D$1504,B331,'JOBS'!$O$5:$O$1504,"Completed"))</f>
        <v/>
      </c>
      <c r="N331" s="54">
        <f>IF(B331="","",SUMIFS('JOBS'!$L$5:$L$1504,'JOBS'!$D$5:$D$1504,B331,'JOBS'!$O$5:$O$1504,"Completed"))</f>
        <v/>
      </c>
      <c r="O331" s="55">
        <f>IF(B331="","",SUMIFS('JOBS'!$U$5:$U$1504,'JOBS'!$D$5:$D$1504,B331))</f>
        <v/>
      </c>
      <c r="P331" s="49">
        <f>IF(B331="","",IF(COUNTIFS('RECURRING'!$B$5:$B$154,B331,'RECURRING'!$J$5:$J$154,"Active")&gt;0,"Yes","No"))</f>
        <v/>
      </c>
      <c r="Q331" s="50">
        <f>IF(L331="","",AsOf-L331)</f>
        <v/>
      </c>
      <c r="R331" s="49">
        <f>IF(B331="","",IF(H331="Do not service","—",IF(O331&gt;0.005,"Collect balance",IF(M331=0,"Book first job",IF(AND(P331="No",Q331&gt;=ReactDays),"Reactivate",IF(COUNTIF('REVIEWS'!$A$5:$A$504,B331)=0,"Ask for review",IF(AND(P331="No",M331&gt;=1),"Offer recurring plan","—")))))))</f>
        <v/>
      </c>
      <c r="S331" s="53">
        <f>IF(B331="","",COUNTIF('REFERRALS'!$B$5:$B$204,B331))</f>
        <v/>
      </c>
    </row>
    <row r="332">
      <c r="A332" s="46" t="inlineStr">
        <is>
          <t>C-328</t>
        </is>
      </c>
      <c r="B332" s="38" t="n"/>
      <c r="C332" s="38" t="n"/>
      <c r="D332" s="38" t="n"/>
      <c r="E332" s="38" t="n"/>
      <c r="F332" s="38" t="n"/>
      <c r="G332" s="38" t="n"/>
      <c r="H332" s="38" t="n"/>
      <c r="I332" s="47" t="n"/>
      <c r="J332" s="38" t="n"/>
      <c r="K332" s="52">
        <f>IF(B332="","",IF(_xlfn.MINIFS('JOBS'!$B$5:$B$1504,'JOBS'!$D$5:$D$1504,B332,'JOBS'!$O$5:$O$1504,"Completed")=0,"",_xlfn.MINIFS('JOBS'!$B$5:$B$1504,'JOBS'!$D$5:$D$1504,B332,'JOBS'!$O$5:$O$1504,"Completed")))</f>
        <v/>
      </c>
      <c r="L332" s="52">
        <f>IF(B332="","",IF(_xlfn.MAXIFS('JOBS'!$B$5:$B$1504,'JOBS'!$D$5:$D$1504,B332,'JOBS'!$O$5:$O$1504,"Completed")=0,"",_xlfn.MAXIFS('JOBS'!$B$5:$B$1504,'JOBS'!$D$5:$D$1504,B332,'JOBS'!$O$5:$O$1504,"Completed")))</f>
        <v/>
      </c>
      <c r="M332" s="53">
        <f>IF(B332="","",COUNTIFS('JOBS'!$D$5:$D$1504,B332,'JOBS'!$O$5:$O$1504,"Completed"))</f>
        <v/>
      </c>
      <c r="N332" s="54">
        <f>IF(B332="","",SUMIFS('JOBS'!$L$5:$L$1504,'JOBS'!$D$5:$D$1504,B332,'JOBS'!$O$5:$O$1504,"Completed"))</f>
        <v/>
      </c>
      <c r="O332" s="55">
        <f>IF(B332="","",SUMIFS('JOBS'!$U$5:$U$1504,'JOBS'!$D$5:$D$1504,B332))</f>
        <v/>
      </c>
      <c r="P332" s="49">
        <f>IF(B332="","",IF(COUNTIFS('RECURRING'!$B$5:$B$154,B332,'RECURRING'!$J$5:$J$154,"Active")&gt;0,"Yes","No"))</f>
        <v/>
      </c>
      <c r="Q332" s="50">
        <f>IF(L332="","",AsOf-L332)</f>
        <v/>
      </c>
      <c r="R332" s="49">
        <f>IF(B332="","",IF(H332="Do not service","—",IF(O332&gt;0.005,"Collect balance",IF(M332=0,"Book first job",IF(AND(P332="No",Q332&gt;=ReactDays),"Reactivate",IF(COUNTIF('REVIEWS'!$A$5:$A$504,B332)=0,"Ask for review",IF(AND(P332="No",M332&gt;=1),"Offer recurring plan","—")))))))</f>
        <v/>
      </c>
      <c r="S332" s="53">
        <f>IF(B332="","",COUNTIF('REFERRALS'!$B$5:$B$204,B332))</f>
        <v/>
      </c>
    </row>
    <row r="333">
      <c r="A333" s="46" t="inlineStr">
        <is>
          <t>C-329</t>
        </is>
      </c>
      <c r="B333" s="38" t="n"/>
      <c r="C333" s="38" t="n"/>
      <c r="D333" s="38" t="n"/>
      <c r="E333" s="38" t="n"/>
      <c r="F333" s="38" t="n"/>
      <c r="G333" s="38" t="n"/>
      <c r="H333" s="38" t="n"/>
      <c r="I333" s="47" t="n"/>
      <c r="J333" s="38" t="n"/>
      <c r="K333" s="52">
        <f>IF(B333="","",IF(_xlfn.MINIFS('JOBS'!$B$5:$B$1504,'JOBS'!$D$5:$D$1504,B333,'JOBS'!$O$5:$O$1504,"Completed")=0,"",_xlfn.MINIFS('JOBS'!$B$5:$B$1504,'JOBS'!$D$5:$D$1504,B333,'JOBS'!$O$5:$O$1504,"Completed")))</f>
        <v/>
      </c>
      <c r="L333" s="52">
        <f>IF(B333="","",IF(_xlfn.MAXIFS('JOBS'!$B$5:$B$1504,'JOBS'!$D$5:$D$1504,B333,'JOBS'!$O$5:$O$1504,"Completed")=0,"",_xlfn.MAXIFS('JOBS'!$B$5:$B$1504,'JOBS'!$D$5:$D$1504,B333,'JOBS'!$O$5:$O$1504,"Completed")))</f>
        <v/>
      </c>
      <c r="M333" s="53">
        <f>IF(B333="","",COUNTIFS('JOBS'!$D$5:$D$1504,B333,'JOBS'!$O$5:$O$1504,"Completed"))</f>
        <v/>
      </c>
      <c r="N333" s="54">
        <f>IF(B333="","",SUMIFS('JOBS'!$L$5:$L$1504,'JOBS'!$D$5:$D$1504,B333,'JOBS'!$O$5:$O$1504,"Completed"))</f>
        <v/>
      </c>
      <c r="O333" s="55">
        <f>IF(B333="","",SUMIFS('JOBS'!$U$5:$U$1504,'JOBS'!$D$5:$D$1504,B333))</f>
        <v/>
      </c>
      <c r="P333" s="49">
        <f>IF(B333="","",IF(COUNTIFS('RECURRING'!$B$5:$B$154,B333,'RECURRING'!$J$5:$J$154,"Active")&gt;0,"Yes","No"))</f>
        <v/>
      </c>
      <c r="Q333" s="50">
        <f>IF(L333="","",AsOf-L333)</f>
        <v/>
      </c>
      <c r="R333" s="49">
        <f>IF(B333="","",IF(H333="Do not service","—",IF(O333&gt;0.005,"Collect balance",IF(M333=0,"Book first job",IF(AND(P333="No",Q333&gt;=ReactDays),"Reactivate",IF(COUNTIF('REVIEWS'!$A$5:$A$504,B333)=0,"Ask for review",IF(AND(P333="No",M333&gt;=1),"Offer recurring plan","—")))))))</f>
        <v/>
      </c>
      <c r="S333" s="53">
        <f>IF(B333="","",COUNTIF('REFERRALS'!$B$5:$B$204,B333))</f>
        <v/>
      </c>
    </row>
    <row r="334">
      <c r="A334" s="46" t="inlineStr">
        <is>
          <t>C-330</t>
        </is>
      </c>
      <c r="B334" s="38" t="n"/>
      <c r="C334" s="38" t="n"/>
      <c r="D334" s="38" t="n"/>
      <c r="E334" s="38" t="n"/>
      <c r="F334" s="38" t="n"/>
      <c r="G334" s="38" t="n"/>
      <c r="H334" s="38" t="n"/>
      <c r="I334" s="47" t="n"/>
      <c r="J334" s="38" t="n"/>
      <c r="K334" s="52">
        <f>IF(B334="","",IF(_xlfn.MINIFS('JOBS'!$B$5:$B$1504,'JOBS'!$D$5:$D$1504,B334,'JOBS'!$O$5:$O$1504,"Completed")=0,"",_xlfn.MINIFS('JOBS'!$B$5:$B$1504,'JOBS'!$D$5:$D$1504,B334,'JOBS'!$O$5:$O$1504,"Completed")))</f>
        <v/>
      </c>
      <c r="L334" s="52">
        <f>IF(B334="","",IF(_xlfn.MAXIFS('JOBS'!$B$5:$B$1504,'JOBS'!$D$5:$D$1504,B334,'JOBS'!$O$5:$O$1504,"Completed")=0,"",_xlfn.MAXIFS('JOBS'!$B$5:$B$1504,'JOBS'!$D$5:$D$1504,B334,'JOBS'!$O$5:$O$1504,"Completed")))</f>
        <v/>
      </c>
      <c r="M334" s="53">
        <f>IF(B334="","",COUNTIFS('JOBS'!$D$5:$D$1504,B334,'JOBS'!$O$5:$O$1504,"Completed"))</f>
        <v/>
      </c>
      <c r="N334" s="54">
        <f>IF(B334="","",SUMIFS('JOBS'!$L$5:$L$1504,'JOBS'!$D$5:$D$1504,B334,'JOBS'!$O$5:$O$1504,"Completed"))</f>
        <v/>
      </c>
      <c r="O334" s="55">
        <f>IF(B334="","",SUMIFS('JOBS'!$U$5:$U$1504,'JOBS'!$D$5:$D$1504,B334))</f>
        <v/>
      </c>
      <c r="P334" s="49">
        <f>IF(B334="","",IF(COUNTIFS('RECURRING'!$B$5:$B$154,B334,'RECURRING'!$J$5:$J$154,"Active")&gt;0,"Yes","No"))</f>
        <v/>
      </c>
      <c r="Q334" s="50">
        <f>IF(L334="","",AsOf-L334)</f>
        <v/>
      </c>
      <c r="R334" s="49">
        <f>IF(B334="","",IF(H334="Do not service","—",IF(O334&gt;0.005,"Collect balance",IF(M334=0,"Book first job",IF(AND(P334="No",Q334&gt;=ReactDays),"Reactivate",IF(COUNTIF('REVIEWS'!$A$5:$A$504,B334)=0,"Ask for review",IF(AND(P334="No",M334&gt;=1),"Offer recurring plan","—")))))))</f>
        <v/>
      </c>
      <c r="S334" s="53">
        <f>IF(B334="","",COUNTIF('REFERRALS'!$B$5:$B$204,B334))</f>
        <v/>
      </c>
    </row>
    <row r="335">
      <c r="A335" s="46" t="inlineStr">
        <is>
          <t>C-331</t>
        </is>
      </c>
      <c r="B335" s="38" t="n"/>
      <c r="C335" s="38" t="n"/>
      <c r="D335" s="38" t="n"/>
      <c r="E335" s="38" t="n"/>
      <c r="F335" s="38" t="n"/>
      <c r="G335" s="38" t="n"/>
      <c r="H335" s="38" t="n"/>
      <c r="I335" s="47" t="n"/>
      <c r="J335" s="38" t="n"/>
      <c r="K335" s="52">
        <f>IF(B335="","",IF(_xlfn.MINIFS('JOBS'!$B$5:$B$1504,'JOBS'!$D$5:$D$1504,B335,'JOBS'!$O$5:$O$1504,"Completed")=0,"",_xlfn.MINIFS('JOBS'!$B$5:$B$1504,'JOBS'!$D$5:$D$1504,B335,'JOBS'!$O$5:$O$1504,"Completed")))</f>
        <v/>
      </c>
      <c r="L335" s="52">
        <f>IF(B335="","",IF(_xlfn.MAXIFS('JOBS'!$B$5:$B$1504,'JOBS'!$D$5:$D$1504,B335,'JOBS'!$O$5:$O$1504,"Completed")=0,"",_xlfn.MAXIFS('JOBS'!$B$5:$B$1504,'JOBS'!$D$5:$D$1504,B335,'JOBS'!$O$5:$O$1504,"Completed")))</f>
        <v/>
      </c>
      <c r="M335" s="53">
        <f>IF(B335="","",COUNTIFS('JOBS'!$D$5:$D$1504,B335,'JOBS'!$O$5:$O$1504,"Completed"))</f>
        <v/>
      </c>
      <c r="N335" s="54">
        <f>IF(B335="","",SUMIFS('JOBS'!$L$5:$L$1504,'JOBS'!$D$5:$D$1504,B335,'JOBS'!$O$5:$O$1504,"Completed"))</f>
        <v/>
      </c>
      <c r="O335" s="55">
        <f>IF(B335="","",SUMIFS('JOBS'!$U$5:$U$1504,'JOBS'!$D$5:$D$1504,B335))</f>
        <v/>
      </c>
      <c r="P335" s="49">
        <f>IF(B335="","",IF(COUNTIFS('RECURRING'!$B$5:$B$154,B335,'RECURRING'!$J$5:$J$154,"Active")&gt;0,"Yes","No"))</f>
        <v/>
      </c>
      <c r="Q335" s="50">
        <f>IF(L335="","",AsOf-L335)</f>
        <v/>
      </c>
      <c r="R335" s="49">
        <f>IF(B335="","",IF(H335="Do not service","—",IF(O335&gt;0.005,"Collect balance",IF(M335=0,"Book first job",IF(AND(P335="No",Q335&gt;=ReactDays),"Reactivate",IF(COUNTIF('REVIEWS'!$A$5:$A$504,B335)=0,"Ask for review",IF(AND(P335="No",M335&gt;=1),"Offer recurring plan","—")))))))</f>
        <v/>
      </c>
      <c r="S335" s="53">
        <f>IF(B335="","",COUNTIF('REFERRALS'!$B$5:$B$204,B335))</f>
        <v/>
      </c>
    </row>
    <row r="336">
      <c r="A336" s="46" t="inlineStr">
        <is>
          <t>C-332</t>
        </is>
      </c>
      <c r="B336" s="38" t="n"/>
      <c r="C336" s="38" t="n"/>
      <c r="D336" s="38" t="n"/>
      <c r="E336" s="38" t="n"/>
      <c r="F336" s="38" t="n"/>
      <c r="G336" s="38" t="n"/>
      <c r="H336" s="38" t="n"/>
      <c r="I336" s="47" t="n"/>
      <c r="J336" s="38" t="n"/>
      <c r="K336" s="52">
        <f>IF(B336="","",IF(_xlfn.MINIFS('JOBS'!$B$5:$B$1504,'JOBS'!$D$5:$D$1504,B336,'JOBS'!$O$5:$O$1504,"Completed")=0,"",_xlfn.MINIFS('JOBS'!$B$5:$B$1504,'JOBS'!$D$5:$D$1504,B336,'JOBS'!$O$5:$O$1504,"Completed")))</f>
        <v/>
      </c>
      <c r="L336" s="52">
        <f>IF(B336="","",IF(_xlfn.MAXIFS('JOBS'!$B$5:$B$1504,'JOBS'!$D$5:$D$1504,B336,'JOBS'!$O$5:$O$1504,"Completed")=0,"",_xlfn.MAXIFS('JOBS'!$B$5:$B$1504,'JOBS'!$D$5:$D$1504,B336,'JOBS'!$O$5:$O$1504,"Completed")))</f>
        <v/>
      </c>
      <c r="M336" s="53">
        <f>IF(B336="","",COUNTIFS('JOBS'!$D$5:$D$1504,B336,'JOBS'!$O$5:$O$1504,"Completed"))</f>
        <v/>
      </c>
      <c r="N336" s="54">
        <f>IF(B336="","",SUMIFS('JOBS'!$L$5:$L$1504,'JOBS'!$D$5:$D$1504,B336,'JOBS'!$O$5:$O$1504,"Completed"))</f>
        <v/>
      </c>
      <c r="O336" s="55">
        <f>IF(B336="","",SUMIFS('JOBS'!$U$5:$U$1504,'JOBS'!$D$5:$D$1504,B336))</f>
        <v/>
      </c>
      <c r="P336" s="49">
        <f>IF(B336="","",IF(COUNTIFS('RECURRING'!$B$5:$B$154,B336,'RECURRING'!$J$5:$J$154,"Active")&gt;0,"Yes","No"))</f>
        <v/>
      </c>
      <c r="Q336" s="50">
        <f>IF(L336="","",AsOf-L336)</f>
        <v/>
      </c>
      <c r="R336" s="49">
        <f>IF(B336="","",IF(H336="Do not service","—",IF(O336&gt;0.005,"Collect balance",IF(M336=0,"Book first job",IF(AND(P336="No",Q336&gt;=ReactDays),"Reactivate",IF(COUNTIF('REVIEWS'!$A$5:$A$504,B336)=0,"Ask for review",IF(AND(P336="No",M336&gt;=1),"Offer recurring plan","—")))))))</f>
        <v/>
      </c>
      <c r="S336" s="53">
        <f>IF(B336="","",COUNTIF('REFERRALS'!$B$5:$B$204,B336))</f>
        <v/>
      </c>
    </row>
    <row r="337">
      <c r="A337" s="46" t="inlineStr">
        <is>
          <t>C-333</t>
        </is>
      </c>
      <c r="B337" s="38" t="n"/>
      <c r="C337" s="38" t="n"/>
      <c r="D337" s="38" t="n"/>
      <c r="E337" s="38" t="n"/>
      <c r="F337" s="38" t="n"/>
      <c r="G337" s="38" t="n"/>
      <c r="H337" s="38" t="n"/>
      <c r="I337" s="47" t="n"/>
      <c r="J337" s="38" t="n"/>
      <c r="K337" s="52">
        <f>IF(B337="","",IF(_xlfn.MINIFS('JOBS'!$B$5:$B$1504,'JOBS'!$D$5:$D$1504,B337,'JOBS'!$O$5:$O$1504,"Completed")=0,"",_xlfn.MINIFS('JOBS'!$B$5:$B$1504,'JOBS'!$D$5:$D$1504,B337,'JOBS'!$O$5:$O$1504,"Completed")))</f>
        <v/>
      </c>
      <c r="L337" s="52">
        <f>IF(B337="","",IF(_xlfn.MAXIFS('JOBS'!$B$5:$B$1504,'JOBS'!$D$5:$D$1504,B337,'JOBS'!$O$5:$O$1504,"Completed")=0,"",_xlfn.MAXIFS('JOBS'!$B$5:$B$1504,'JOBS'!$D$5:$D$1504,B337,'JOBS'!$O$5:$O$1504,"Completed")))</f>
        <v/>
      </c>
      <c r="M337" s="53">
        <f>IF(B337="","",COUNTIFS('JOBS'!$D$5:$D$1504,B337,'JOBS'!$O$5:$O$1504,"Completed"))</f>
        <v/>
      </c>
      <c r="N337" s="54">
        <f>IF(B337="","",SUMIFS('JOBS'!$L$5:$L$1504,'JOBS'!$D$5:$D$1504,B337,'JOBS'!$O$5:$O$1504,"Completed"))</f>
        <v/>
      </c>
      <c r="O337" s="55">
        <f>IF(B337="","",SUMIFS('JOBS'!$U$5:$U$1504,'JOBS'!$D$5:$D$1504,B337))</f>
        <v/>
      </c>
      <c r="P337" s="49">
        <f>IF(B337="","",IF(COUNTIFS('RECURRING'!$B$5:$B$154,B337,'RECURRING'!$J$5:$J$154,"Active")&gt;0,"Yes","No"))</f>
        <v/>
      </c>
      <c r="Q337" s="50">
        <f>IF(L337="","",AsOf-L337)</f>
        <v/>
      </c>
      <c r="R337" s="49">
        <f>IF(B337="","",IF(H337="Do not service","—",IF(O337&gt;0.005,"Collect balance",IF(M337=0,"Book first job",IF(AND(P337="No",Q337&gt;=ReactDays),"Reactivate",IF(COUNTIF('REVIEWS'!$A$5:$A$504,B337)=0,"Ask for review",IF(AND(P337="No",M337&gt;=1),"Offer recurring plan","—")))))))</f>
        <v/>
      </c>
      <c r="S337" s="53">
        <f>IF(B337="","",COUNTIF('REFERRALS'!$B$5:$B$204,B337))</f>
        <v/>
      </c>
    </row>
    <row r="338">
      <c r="A338" s="46" t="inlineStr">
        <is>
          <t>C-334</t>
        </is>
      </c>
      <c r="B338" s="38" t="n"/>
      <c r="C338" s="38" t="n"/>
      <c r="D338" s="38" t="n"/>
      <c r="E338" s="38" t="n"/>
      <c r="F338" s="38" t="n"/>
      <c r="G338" s="38" t="n"/>
      <c r="H338" s="38" t="n"/>
      <c r="I338" s="47" t="n"/>
      <c r="J338" s="38" t="n"/>
      <c r="K338" s="52">
        <f>IF(B338="","",IF(_xlfn.MINIFS('JOBS'!$B$5:$B$1504,'JOBS'!$D$5:$D$1504,B338,'JOBS'!$O$5:$O$1504,"Completed")=0,"",_xlfn.MINIFS('JOBS'!$B$5:$B$1504,'JOBS'!$D$5:$D$1504,B338,'JOBS'!$O$5:$O$1504,"Completed")))</f>
        <v/>
      </c>
      <c r="L338" s="52">
        <f>IF(B338="","",IF(_xlfn.MAXIFS('JOBS'!$B$5:$B$1504,'JOBS'!$D$5:$D$1504,B338,'JOBS'!$O$5:$O$1504,"Completed")=0,"",_xlfn.MAXIFS('JOBS'!$B$5:$B$1504,'JOBS'!$D$5:$D$1504,B338,'JOBS'!$O$5:$O$1504,"Completed")))</f>
        <v/>
      </c>
      <c r="M338" s="53">
        <f>IF(B338="","",COUNTIFS('JOBS'!$D$5:$D$1504,B338,'JOBS'!$O$5:$O$1504,"Completed"))</f>
        <v/>
      </c>
      <c r="N338" s="54">
        <f>IF(B338="","",SUMIFS('JOBS'!$L$5:$L$1504,'JOBS'!$D$5:$D$1504,B338,'JOBS'!$O$5:$O$1504,"Completed"))</f>
        <v/>
      </c>
      <c r="O338" s="55">
        <f>IF(B338="","",SUMIFS('JOBS'!$U$5:$U$1504,'JOBS'!$D$5:$D$1504,B338))</f>
        <v/>
      </c>
      <c r="P338" s="49">
        <f>IF(B338="","",IF(COUNTIFS('RECURRING'!$B$5:$B$154,B338,'RECURRING'!$J$5:$J$154,"Active")&gt;0,"Yes","No"))</f>
        <v/>
      </c>
      <c r="Q338" s="50">
        <f>IF(L338="","",AsOf-L338)</f>
        <v/>
      </c>
      <c r="R338" s="49">
        <f>IF(B338="","",IF(H338="Do not service","—",IF(O338&gt;0.005,"Collect balance",IF(M338=0,"Book first job",IF(AND(P338="No",Q338&gt;=ReactDays),"Reactivate",IF(COUNTIF('REVIEWS'!$A$5:$A$504,B338)=0,"Ask for review",IF(AND(P338="No",M338&gt;=1),"Offer recurring plan","—")))))))</f>
        <v/>
      </c>
      <c r="S338" s="53">
        <f>IF(B338="","",COUNTIF('REFERRALS'!$B$5:$B$204,B338))</f>
        <v/>
      </c>
    </row>
    <row r="339">
      <c r="A339" s="46" t="inlineStr">
        <is>
          <t>C-335</t>
        </is>
      </c>
      <c r="B339" s="38" t="n"/>
      <c r="C339" s="38" t="n"/>
      <c r="D339" s="38" t="n"/>
      <c r="E339" s="38" t="n"/>
      <c r="F339" s="38" t="n"/>
      <c r="G339" s="38" t="n"/>
      <c r="H339" s="38" t="n"/>
      <c r="I339" s="47" t="n"/>
      <c r="J339" s="38" t="n"/>
      <c r="K339" s="52">
        <f>IF(B339="","",IF(_xlfn.MINIFS('JOBS'!$B$5:$B$1504,'JOBS'!$D$5:$D$1504,B339,'JOBS'!$O$5:$O$1504,"Completed")=0,"",_xlfn.MINIFS('JOBS'!$B$5:$B$1504,'JOBS'!$D$5:$D$1504,B339,'JOBS'!$O$5:$O$1504,"Completed")))</f>
        <v/>
      </c>
      <c r="L339" s="52">
        <f>IF(B339="","",IF(_xlfn.MAXIFS('JOBS'!$B$5:$B$1504,'JOBS'!$D$5:$D$1504,B339,'JOBS'!$O$5:$O$1504,"Completed")=0,"",_xlfn.MAXIFS('JOBS'!$B$5:$B$1504,'JOBS'!$D$5:$D$1504,B339,'JOBS'!$O$5:$O$1504,"Completed")))</f>
        <v/>
      </c>
      <c r="M339" s="53">
        <f>IF(B339="","",COUNTIFS('JOBS'!$D$5:$D$1504,B339,'JOBS'!$O$5:$O$1504,"Completed"))</f>
        <v/>
      </c>
      <c r="N339" s="54">
        <f>IF(B339="","",SUMIFS('JOBS'!$L$5:$L$1504,'JOBS'!$D$5:$D$1504,B339,'JOBS'!$O$5:$O$1504,"Completed"))</f>
        <v/>
      </c>
      <c r="O339" s="55">
        <f>IF(B339="","",SUMIFS('JOBS'!$U$5:$U$1504,'JOBS'!$D$5:$D$1504,B339))</f>
        <v/>
      </c>
      <c r="P339" s="49">
        <f>IF(B339="","",IF(COUNTIFS('RECURRING'!$B$5:$B$154,B339,'RECURRING'!$J$5:$J$154,"Active")&gt;0,"Yes","No"))</f>
        <v/>
      </c>
      <c r="Q339" s="50">
        <f>IF(L339="","",AsOf-L339)</f>
        <v/>
      </c>
      <c r="R339" s="49">
        <f>IF(B339="","",IF(H339="Do not service","—",IF(O339&gt;0.005,"Collect balance",IF(M339=0,"Book first job",IF(AND(P339="No",Q339&gt;=ReactDays),"Reactivate",IF(COUNTIF('REVIEWS'!$A$5:$A$504,B339)=0,"Ask for review",IF(AND(P339="No",M339&gt;=1),"Offer recurring plan","—")))))))</f>
        <v/>
      </c>
      <c r="S339" s="53">
        <f>IF(B339="","",COUNTIF('REFERRALS'!$B$5:$B$204,B339))</f>
        <v/>
      </c>
    </row>
    <row r="340">
      <c r="A340" s="46" t="inlineStr">
        <is>
          <t>C-336</t>
        </is>
      </c>
      <c r="B340" s="38" t="n"/>
      <c r="C340" s="38" t="n"/>
      <c r="D340" s="38" t="n"/>
      <c r="E340" s="38" t="n"/>
      <c r="F340" s="38" t="n"/>
      <c r="G340" s="38" t="n"/>
      <c r="H340" s="38" t="n"/>
      <c r="I340" s="47" t="n"/>
      <c r="J340" s="38" t="n"/>
      <c r="K340" s="52">
        <f>IF(B340="","",IF(_xlfn.MINIFS('JOBS'!$B$5:$B$1504,'JOBS'!$D$5:$D$1504,B340,'JOBS'!$O$5:$O$1504,"Completed")=0,"",_xlfn.MINIFS('JOBS'!$B$5:$B$1504,'JOBS'!$D$5:$D$1504,B340,'JOBS'!$O$5:$O$1504,"Completed")))</f>
        <v/>
      </c>
      <c r="L340" s="52">
        <f>IF(B340="","",IF(_xlfn.MAXIFS('JOBS'!$B$5:$B$1504,'JOBS'!$D$5:$D$1504,B340,'JOBS'!$O$5:$O$1504,"Completed")=0,"",_xlfn.MAXIFS('JOBS'!$B$5:$B$1504,'JOBS'!$D$5:$D$1504,B340,'JOBS'!$O$5:$O$1504,"Completed")))</f>
        <v/>
      </c>
      <c r="M340" s="53">
        <f>IF(B340="","",COUNTIFS('JOBS'!$D$5:$D$1504,B340,'JOBS'!$O$5:$O$1504,"Completed"))</f>
        <v/>
      </c>
      <c r="N340" s="54">
        <f>IF(B340="","",SUMIFS('JOBS'!$L$5:$L$1504,'JOBS'!$D$5:$D$1504,B340,'JOBS'!$O$5:$O$1504,"Completed"))</f>
        <v/>
      </c>
      <c r="O340" s="55">
        <f>IF(B340="","",SUMIFS('JOBS'!$U$5:$U$1504,'JOBS'!$D$5:$D$1504,B340))</f>
        <v/>
      </c>
      <c r="P340" s="49">
        <f>IF(B340="","",IF(COUNTIFS('RECURRING'!$B$5:$B$154,B340,'RECURRING'!$J$5:$J$154,"Active")&gt;0,"Yes","No"))</f>
        <v/>
      </c>
      <c r="Q340" s="50">
        <f>IF(L340="","",AsOf-L340)</f>
        <v/>
      </c>
      <c r="R340" s="49">
        <f>IF(B340="","",IF(H340="Do not service","—",IF(O340&gt;0.005,"Collect balance",IF(M340=0,"Book first job",IF(AND(P340="No",Q340&gt;=ReactDays),"Reactivate",IF(COUNTIF('REVIEWS'!$A$5:$A$504,B340)=0,"Ask for review",IF(AND(P340="No",M340&gt;=1),"Offer recurring plan","—")))))))</f>
        <v/>
      </c>
      <c r="S340" s="53">
        <f>IF(B340="","",COUNTIF('REFERRALS'!$B$5:$B$204,B340))</f>
        <v/>
      </c>
    </row>
    <row r="341">
      <c r="A341" s="46" t="inlineStr">
        <is>
          <t>C-337</t>
        </is>
      </c>
      <c r="B341" s="38" t="n"/>
      <c r="C341" s="38" t="n"/>
      <c r="D341" s="38" t="n"/>
      <c r="E341" s="38" t="n"/>
      <c r="F341" s="38" t="n"/>
      <c r="G341" s="38" t="n"/>
      <c r="H341" s="38" t="n"/>
      <c r="I341" s="47" t="n"/>
      <c r="J341" s="38" t="n"/>
      <c r="K341" s="52">
        <f>IF(B341="","",IF(_xlfn.MINIFS('JOBS'!$B$5:$B$1504,'JOBS'!$D$5:$D$1504,B341,'JOBS'!$O$5:$O$1504,"Completed")=0,"",_xlfn.MINIFS('JOBS'!$B$5:$B$1504,'JOBS'!$D$5:$D$1504,B341,'JOBS'!$O$5:$O$1504,"Completed")))</f>
        <v/>
      </c>
      <c r="L341" s="52">
        <f>IF(B341="","",IF(_xlfn.MAXIFS('JOBS'!$B$5:$B$1504,'JOBS'!$D$5:$D$1504,B341,'JOBS'!$O$5:$O$1504,"Completed")=0,"",_xlfn.MAXIFS('JOBS'!$B$5:$B$1504,'JOBS'!$D$5:$D$1504,B341,'JOBS'!$O$5:$O$1504,"Completed")))</f>
        <v/>
      </c>
      <c r="M341" s="53">
        <f>IF(B341="","",COUNTIFS('JOBS'!$D$5:$D$1504,B341,'JOBS'!$O$5:$O$1504,"Completed"))</f>
        <v/>
      </c>
      <c r="N341" s="54">
        <f>IF(B341="","",SUMIFS('JOBS'!$L$5:$L$1504,'JOBS'!$D$5:$D$1504,B341,'JOBS'!$O$5:$O$1504,"Completed"))</f>
        <v/>
      </c>
      <c r="O341" s="55">
        <f>IF(B341="","",SUMIFS('JOBS'!$U$5:$U$1504,'JOBS'!$D$5:$D$1504,B341))</f>
        <v/>
      </c>
      <c r="P341" s="49">
        <f>IF(B341="","",IF(COUNTIFS('RECURRING'!$B$5:$B$154,B341,'RECURRING'!$J$5:$J$154,"Active")&gt;0,"Yes","No"))</f>
        <v/>
      </c>
      <c r="Q341" s="50">
        <f>IF(L341="","",AsOf-L341)</f>
        <v/>
      </c>
      <c r="R341" s="49">
        <f>IF(B341="","",IF(H341="Do not service","—",IF(O341&gt;0.005,"Collect balance",IF(M341=0,"Book first job",IF(AND(P341="No",Q341&gt;=ReactDays),"Reactivate",IF(COUNTIF('REVIEWS'!$A$5:$A$504,B341)=0,"Ask for review",IF(AND(P341="No",M341&gt;=1),"Offer recurring plan","—")))))))</f>
        <v/>
      </c>
      <c r="S341" s="53">
        <f>IF(B341="","",COUNTIF('REFERRALS'!$B$5:$B$204,B341))</f>
        <v/>
      </c>
    </row>
    <row r="342">
      <c r="A342" s="46" t="inlineStr">
        <is>
          <t>C-338</t>
        </is>
      </c>
      <c r="B342" s="38" t="n"/>
      <c r="C342" s="38" t="n"/>
      <c r="D342" s="38" t="n"/>
      <c r="E342" s="38" t="n"/>
      <c r="F342" s="38" t="n"/>
      <c r="G342" s="38" t="n"/>
      <c r="H342" s="38" t="n"/>
      <c r="I342" s="47" t="n"/>
      <c r="J342" s="38" t="n"/>
      <c r="K342" s="52">
        <f>IF(B342="","",IF(_xlfn.MINIFS('JOBS'!$B$5:$B$1504,'JOBS'!$D$5:$D$1504,B342,'JOBS'!$O$5:$O$1504,"Completed")=0,"",_xlfn.MINIFS('JOBS'!$B$5:$B$1504,'JOBS'!$D$5:$D$1504,B342,'JOBS'!$O$5:$O$1504,"Completed")))</f>
        <v/>
      </c>
      <c r="L342" s="52">
        <f>IF(B342="","",IF(_xlfn.MAXIFS('JOBS'!$B$5:$B$1504,'JOBS'!$D$5:$D$1504,B342,'JOBS'!$O$5:$O$1504,"Completed")=0,"",_xlfn.MAXIFS('JOBS'!$B$5:$B$1504,'JOBS'!$D$5:$D$1504,B342,'JOBS'!$O$5:$O$1504,"Completed")))</f>
        <v/>
      </c>
      <c r="M342" s="53">
        <f>IF(B342="","",COUNTIFS('JOBS'!$D$5:$D$1504,B342,'JOBS'!$O$5:$O$1504,"Completed"))</f>
        <v/>
      </c>
      <c r="N342" s="54">
        <f>IF(B342="","",SUMIFS('JOBS'!$L$5:$L$1504,'JOBS'!$D$5:$D$1504,B342,'JOBS'!$O$5:$O$1504,"Completed"))</f>
        <v/>
      </c>
      <c r="O342" s="55">
        <f>IF(B342="","",SUMIFS('JOBS'!$U$5:$U$1504,'JOBS'!$D$5:$D$1504,B342))</f>
        <v/>
      </c>
      <c r="P342" s="49">
        <f>IF(B342="","",IF(COUNTIFS('RECURRING'!$B$5:$B$154,B342,'RECURRING'!$J$5:$J$154,"Active")&gt;0,"Yes","No"))</f>
        <v/>
      </c>
      <c r="Q342" s="50">
        <f>IF(L342="","",AsOf-L342)</f>
        <v/>
      </c>
      <c r="R342" s="49">
        <f>IF(B342="","",IF(H342="Do not service","—",IF(O342&gt;0.005,"Collect balance",IF(M342=0,"Book first job",IF(AND(P342="No",Q342&gt;=ReactDays),"Reactivate",IF(COUNTIF('REVIEWS'!$A$5:$A$504,B342)=0,"Ask for review",IF(AND(P342="No",M342&gt;=1),"Offer recurring plan","—")))))))</f>
        <v/>
      </c>
      <c r="S342" s="53">
        <f>IF(B342="","",COUNTIF('REFERRALS'!$B$5:$B$204,B342))</f>
        <v/>
      </c>
    </row>
    <row r="343">
      <c r="A343" s="46" t="inlineStr">
        <is>
          <t>C-339</t>
        </is>
      </c>
      <c r="B343" s="38" t="n"/>
      <c r="C343" s="38" t="n"/>
      <c r="D343" s="38" t="n"/>
      <c r="E343" s="38" t="n"/>
      <c r="F343" s="38" t="n"/>
      <c r="G343" s="38" t="n"/>
      <c r="H343" s="38" t="n"/>
      <c r="I343" s="47" t="n"/>
      <c r="J343" s="38" t="n"/>
      <c r="K343" s="52">
        <f>IF(B343="","",IF(_xlfn.MINIFS('JOBS'!$B$5:$B$1504,'JOBS'!$D$5:$D$1504,B343,'JOBS'!$O$5:$O$1504,"Completed")=0,"",_xlfn.MINIFS('JOBS'!$B$5:$B$1504,'JOBS'!$D$5:$D$1504,B343,'JOBS'!$O$5:$O$1504,"Completed")))</f>
        <v/>
      </c>
      <c r="L343" s="52">
        <f>IF(B343="","",IF(_xlfn.MAXIFS('JOBS'!$B$5:$B$1504,'JOBS'!$D$5:$D$1504,B343,'JOBS'!$O$5:$O$1504,"Completed")=0,"",_xlfn.MAXIFS('JOBS'!$B$5:$B$1504,'JOBS'!$D$5:$D$1504,B343,'JOBS'!$O$5:$O$1504,"Completed")))</f>
        <v/>
      </c>
      <c r="M343" s="53">
        <f>IF(B343="","",COUNTIFS('JOBS'!$D$5:$D$1504,B343,'JOBS'!$O$5:$O$1504,"Completed"))</f>
        <v/>
      </c>
      <c r="N343" s="54">
        <f>IF(B343="","",SUMIFS('JOBS'!$L$5:$L$1504,'JOBS'!$D$5:$D$1504,B343,'JOBS'!$O$5:$O$1504,"Completed"))</f>
        <v/>
      </c>
      <c r="O343" s="55">
        <f>IF(B343="","",SUMIFS('JOBS'!$U$5:$U$1504,'JOBS'!$D$5:$D$1504,B343))</f>
        <v/>
      </c>
      <c r="P343" s="49">
        <f>IF(B343="","",IF(COUNTIFS('RECURRING'!$B$5:$B$154,B343,'RECURRING'!$J$5:$J$154,"Active")&gt;0,"Yes","No"))</f>
        <v/>
      </c>
      <c r="Q343" s="50">
        <f>IF(L343="","",AsOf-L343)</f>
        <v/>
      </c>
      <c r="R343" s="49">
        <f>IF(B343="","",IF(H343="Do not service","—",IF(O343&gt;0.005,"Collect balance",IF(M343=0,"Book first job",IF(AND(P343="No",Q343&gt;=ReactDays),"Reactivate",IF(COUNTIF('REVIEWS'!$A$5:$A$504,B343)=0,"Ask for review",IF(AND(P343="No",M343&gt;=1),"Offer recurring plan","—")))))))</f>
        <v/>
      </c>
      <c r="S343" s="53">
        <f>IF(B343="","",COUNTIF('REFERRALS'!$B$5:$B$204,B343))</f>
        <v/>
      </c>
    </row>
    <row r="344">
      <c r="A344" s="46" t="inlineStr">
        <is>
          <t>C-340</t>
        </is>
      </c>
      <c r="B344" s="38" t="n"/>
      <c r="C344" s="38" t="n"/>
      <c r="D344" s="38" t="n"/>
      <c r="E344" s="38" t="n"/>
      <c r="F344" s="38" t="n"/>
      <c r="G344" s="38" t="n"/>
      <c r="H344" s="38" t="n"/>
      <c r="I344" s="47" t="n"/>
      <c r="J344" s="38" t="n"/>
      <c r="K344" s="52">
        <f>IF(B344="","",IF(_xlfn.MINIFS('JOBS'!$B$5:$B$1504,'JOBS'!$D$5:$D$1504,B344,'JOBS'!$O$5:$O$1504,"Completed")=0,"",_xlfn.MINIFS('JOBS'!$B$5:$B$1504,'JOBS'!$D$5:$D$1504,B344,'JOBS'!$O$5:$O$1504,"Completed")))</f>
        <v/>
      </c>
      <c r="L344" s="52">
        <f>IF(B344="","",IF(_xlfn.MAXIFS('JOBS'!$B$5:$B$1504,'JOBS'!$D$5:$D$1504,B344,'JOBS'!$O$5:$O$1504,"Completed")=0,"",_xlfn.MAXIFS('JOBS'!$B$5:$B$1504,'JOBS'!$D$5:$D$1504,B344,'JOBS'!$O$5:$O$1504,"Completed")))</f>
        <v/>
      </c>
      <c r="M344" s="53">
        <f>IF(B344="","",COUNTIFS('JOBS'!$D$5:$D$1504,B344,'JOBS'!$O$5:$O$1504,"Completed"))</f>
        <v/>
      </c>
      <c r="N344" s="54">
        <f>IF(B344="","",SUMIFS('JOBS'!$L$5:$L$1504,'JOBS'!$D$5:$D$1504,B344,'JOBS'!$O$5:$O$1504,"Completed"))</f>
        <v/>
      </c>
      <c r="O344" s="55">
        <f>IF(B344="","",SUMIFS('JOBS'!$U$5:$U$1504,'JOBS'!$D$5:$D$1504,B344))</f>
        <v/>
      </c>
      <c r="P344" s="49">
        <f>IF(B344="","",IF(COUNTIFS('RECURRING'!$B$5:$B$154,B344,'RECURRING'!$J$5:$J$154,"Active")&gt;0,"Yes","No"))</f>
        <v/>
      </c>
      <c r="Q344" s="50">
        <f>IF(L344="","",AsOf-L344)</f>
        <v/>
      </c>
      <c r="R344" s="49">
        <f>IF(B344="","",IF(H344="Do not service","—",IF(O344&gt;0.005,"Collect balance",IF(M344=0,"Book first job",IF(AND(P344="No",Q344&gt;=ReactDays),"Reactivate",IF(COUNTIF('REVIEWS'!$A$5:$A$504,B344)=0,"Ask for review",IF(AND(P344="No",M344&gt;=1),"Offer recurring plan","—")))))))</f>
        <v/>
      </c>
      <c r="S344" s="53">
        <f>IF(B344="","",COUNTIF('REFERRALS'!$B$5:$B$204,B344))</f>
        <v/>
      </c>
    </row>
    <row r="345">
      <c r="A345" s="46" t="inlineStr">
        <is>
          <t>C-341</t>
        </is>
      </c>
      <c r="B345" s="38" t="n"/>
      <c r="C345" s="38" t="n"/>
      <c r="D345" s="38" t="n"/>
      <c r="E345" s="38" t="n"/>
      <c r="F345" s="38" t="n"/>
      <c r="G345" s="38" t="n"/>
      <c r="H345" s="38" t="n"/>
      <c r="I345" s="47" t="n"/>
      <c r="J345" s="38" t="n"/>
      <c r="K345" s="52">
        <f>IF(B345="","",IF(_xlfn.MINIFS('JOBS'!$B$5:$B$1504,'JOBS'!$D$5:$D$1504,B345,'JOBS'!$O$5:$O$1504,"Completed")=0,"",_xlfn.MINIFS('JOBS'!$B$5:$B$1504,'JOBS'!$D$5:$D$1504,B345,'JOBS'!$O$5:$O$1504,"Completed")))</f>
        <v/>
      </c>
      <c r="L345" s="52">
        <f>IF(B345="","",IF(_xlfn.MAXIFS('JOBS'!$B$5:$B$1504,'JOBS'!$D$5:$D$1504,B345,'JOBS'!$O$5:$O$1504,"Completed")=0,"",_xlfn.MAXIFS('JOBS'!$B$5:$B$1504,'JOBS'!$D$5:$D$1504,B345,'JOBS'!$O$5:$O$1504,"Completed")))</f>
        <v/>
      </c>
      <c r="M345" s="53">
        <f>IF(B345="","",COUNTIFS('JOBS'!$D$5:$D$1504,B345,'JOBS'!$O$5:$O$1504,"Completed"))</f>
        <v/>
      </c>
      <c r="N345" s="54">
        <f>IF(B345="","",SUMIFS('JOBS'!$L$5:$L$1504,'JOBS'!$D$5:$D$1504,B345,'JOBS'!$O$5:$O$1504,"Completed"))</f>
        <v/>
      </c>
      <c r="O345" s="55">
        <f>IF(B345="","",SUMIFS('JOBS'!$U$5:$U$1504,'JOBS'!$D$5:$D$1504,B345))</f>
        <v/>
      </c>
      <c r="P345" s="49">
        <f>IF(B345="","",IF(COUNTIFS('RECURRING'!$B$5:$B$154,B345,'RECURRING'!$J$5:$J$154,"Active")&gt;0,"Yes","No"))</f>
        <v/>
      </c>
      <c r="Q345" s="50">
        <f>IF(L345="","",AsOf-L345)</f>
        <v/>
      </c>
      <c r="R345" s="49">
        <f>IF(B345="","",IF(H345="Do not service","—",IF(O345&gt;0.005,"Collect balance",IF(M345=0,"Book first job",IF(AND(P345="No",Q345&gt;=ReactDays),"Reactivate",IF(COUNTIF('REVIEWS'!$A$5:$A$504,B345)=0,"Ask for review",IF(AND(P345="No",M345&gt;=1),"Offer recurring plan","—")))))))</f>
        <v/>
      </c>
      <c r="S345" s="53">
        <f>IF(B345="","",COUNTIF('REFERRALS'!$B$5:$B$204,B345))</f>
        <v/>
      </c>
    </row>
    <row r="346">
      <c r="A346" s="46" t="inlineStr">
        <is>
          <t>C-342</t>
        </is>
      </c>
      <c r="B346" s="38" t="n"/>
      <c r="C346" s="38" t="n"/>
      <c r="D346" s="38" t="n"/>
      <c r="E346" s="38" t="n"/>
      <c r="F346" s="38" t="n"/>
      <c r="G346" s="38" t="n"/>
      <c r="H346" s="38" t="n"/>
      <c r="I346" s="47" t="n"/>
      <c r="J346" s="38" t="n"/>
      <c r="K346" s="52">
        <f>IF(B346="","",IF(_xlfn.MINIFS('JOBS'!$B$5:$B$1504,'JOBS'!$D$5:$D$1504,B346,'JOBS'!$O$5:$O$1504,"Completed")=0,"",_xlfn.MINIFS('JOBS'!$B$5:$B$1504,'JOBS'!$D$5:$D$1504,B346,'JOBS'!$O$5:$O$1504,"Completed")))</f>
        <v/>
      </c>
      <c r="L346" s="52">
        <f>IF(B346="","",IF(_xlfn.MAXIFS('JOBS'!$B$5:$B$1504,'JOBS'!$D$5:$D$1504,B346,'JOBS'!$O$5:$O$1504,"Completed")=0,"",_xlfn.MAXIFS('JOBS'!$B$5:$B$1504,'JOBS'!$D$5:$D$1504,B346,'JOBS'!$O$5:$O$1504,"Completed")))</f>
        <v/>
      </c>
      <c r="M346" s="53">
        <f>IF(B346="","",COUNTIFS('JOBS'!$D$5:$D$1504,B346,'JOBS'!$O$5:$O$1504,"Completed"))</f>
        <v/>
      </c>
      <c r="N346" s="54">
        <f>IF(B346="","",SUMIFS('JOBS'!$L$5:$L$1504,'JOBS'!$D$5:$D$1504,B346,'JOBS'!$O$5:$O$1504,"Completed"))</f>
        <v/>
      </c>
      <c r="O346" s="55">
        <f>IF(B346="","",SUMIFS('JOBS'!$U$5:$U$1504,'JOBS'!$D$5:$D$1504,B346))</f>
        <v/>
      </c>
      <c r="P346" s="49">
        <f>IF(B346="","",IF(COUNTIFS('RECURRING'!$B$5:$B$154,B346,'RECURRING'!$J$5:$J$154,"Active")&gt;0,"Yes","No"))</f>
        <v/>
      </c>
      <c r="Q346" s="50">
        <f>IF(L346="","",AsOf-L346)</f>
        <v/>
      </c>
      <c r="R346" s="49">
        <f>IF(B346="","",IF(H346="Do not service","—",IF(O346&gt;0.005,"Collect balance",IF(M346=0,"Book first job",IF(AND(P346="No",Q346&gt;=ReactDays),"Reactivate",IF(COUNTIF('REVIEWS'!$A$5:$A$504,B346)=0,"Ask for review",IF(AND(P346="No",M346&gt;=1),"Offer recurring plan","—")))))))</f>
        <v/>
      </c>
      <c r="S346" s="53">
        <f>IF(B346="","",COUNTIF('REFERRALS'!$B$5:$B$204,B346))</f>
        <v/>
      </c>
    </row>
    <row r="347">
      <c r="A347" s="46" t="inlineStr">
        <is>
          <t>C-343</t>
        </is>
      </c>
      <c r="B347" s="38" t="n"/>
      <c r="C347" s="38" t="n"/>
      <c r="D347" s="38" t="n"/>
      <c r="E347" s="38" t="n"/>
      <c r="F347" s="38" t="n"/>
      <c r="G347" s="38" t="n"/>
      <c r="H347" s="38" t="n"/>
      <c r="I347" s="47" t="n"/>
      <c r="J347" s="38" t="n"/>
      <c r="K347" s="52">
        <f>IF(B347="","",IF(_xlfn.MINIFS('JOBS'!$B$5:$B$1504,'JOBS'!$D$5:$D$1504,B347,'JOBS'!$O$5:$O$1504,"Completed")=0,"",_xlfn.MINIFS('JOBS'!$B$5:$B$1504,'JOBS'!$D$5:$D$1504,B347,'JOBS'!$O$5:$O$1504,"Completed")))</f>
        <v/>
      </c>
      <c r="L347" s="52">
        <f>IF(B347="","",IF(_xlfn.MAXIFS('JOBS'!$B$5:$B$1504,'JOBS'!$D$5:$D$1504,B347,'JOBS'!$O$5:$O$1504,"Completed")=0,"",_xlfn.MAXIFS('JOBS'!$B$5:$B$1504,'JOBS'!$D$5:$D$1504,B347,'JOBS'!$O$5:$O$1504,"Completed")))</f>
        <v/>
      </c>
      <c r="M347" s="53">
        <f>IF(B347="","",COUNTIFS('JOBS'!$D$5:$D$1504,B347,'JOBS'!$O$5:$O$1504,"Completed"))</f>
        <v/>
      </c>
      <c r="N347" s="54">
        <f>IF(B347="","",SUMIFS('JOBS'!$L$5:$L$1504,'JOBS'!$D$5:$D$1504,B347,'JOBS'!$O$5:$O$1504,"Completed"))</f>
        <v/>
      </c>
      <c r="O347" s="55">
        <f>IF(B347="","",SUMIFS('JOBS'!$U$5:$U$1504,'JOBS'!$D$5:$D$1504,B347))</f>
        <v/>
      </c>
      <c r="P347" s="49">
        <f>IF(B347="","",IF(COUNTIFS('RECURRING'!$B$5:$B$154,B347,'RECURRING'!$J$5:$J$154,"Active")&gt;0,"Yes","No"))</f>
        <v/>
      </c>
      <c r="Q347" s="50">
        <f>IF(L347="","",AsOf-L347)</f>
        <v/>
      </c>
      <c r="R347" s="49">
        <f>IF(B347="","",IF(H347="Do not service","—",IF(O347&gt;0.005,"Collect balance",IF(M347=0,"Book first job",IF(AND(P347="No",Q347&gt;=ReactDays),"Reactivate",IF(COUNTIF('REVIEWS'!$A$5:$A$504,B347)=0,"Ask for review",IF(AND(P347="No",M347&gt;=1),"Offer recurring plan","—")))))))</f>
        <v/>
      </c>
      <c r="S347" s="53">
        <f>IF(B347="","",COUNTIF('REFERRALS'!$B$5:$B$204,B347))</f>
        <v/>
      </c>
    </row>
    <row r="348">
      <c r="A348" s="46" t="inlineStr">
        <is>
          <t>C-344</t>
        </is>
      </c>
      <c r="B348" s="38" t="n"/>
      <c r="C348" s="38" t="n"/>
      <c r="D348" s="38" t="n"/>
      <c r="E348" s="38" t="n"/>
      <c r="F348" s="38" t="n"/>
      <c r="G348" s="38" t="n"/>
      <c r="H348" s="38" t="n"/>
      <c r="I348" s="47" t="n"/>
      <c r="J348" s="38" t="n"/>
      <c r="K348" s="52">
        <f>IF(B348="","",IF(_xlfn.MINIFS('JOBS'!$B$5:$B$1504,'JOBS'!$D$5:$D$1504,B348,'JOBS'!$O$5:$O$1504,"Completed")=0,"",_xlfn.MINIFS('JOBS'!$B$5:$B$1504,'JOBS'!$D$5:$D$1504,B348,'JOBS'!$O$5:$O$1504,"Completed")))</f>
        <v/>
      </c>
      <c r="L348" s="52">
        <f>IF(B348="","",IF(_xlfn.MAXIFS('JOBS'!$B$5:$B$1504,'JOBS'!$D$5:$D$1504,B348,'JOBS'!$O$5:$O$1504,"Completed")=0,"",_xlfn.MAXIFS('JOBS'!$B$5:$B$1504,'JOBS'!$D$5:$D$1504,B348,'JOBS'!$O$5:$O$1504,"Completed")))</f>
        <v/>
      </c>
      <c r="M348" s="53">
        <f>IF(B348="","",COUNTIFS('JOBS'!$D$5:$D$1504,B348,'JOBS'!$O$5:$O$1504,"Completed"))</f>
        <v/>
      </c>
      <c r="N348" s="54">
        <f>IF(B348="","",SUMIFS('JOBS'!$L$5:$L$1504,'JOBS'!$D$5:$D$1504,B348,'JOBS'!$O$5:$O$1504,"Completed"))</f>
        <v/>
      </c>
      <c r="O348" s="55">
        <f>IF(B348="","",SUMIFS('JOBS'!$U$5:$U$1504,'JOBS'!$D$5:$D$1504,B348))</f>
        <v/>
      </c>
      <c r="P348" s="49">
        <f>IF(B348="","",IF(COUNTIFS('RECURRING'!$B$5:$B$154,B348,'RECURRING'!$J$5:$J$154,"Active")&gt;0,"Yes","No"))</f>
        <v/>
      </c>
      <c r="Q348" s="50">
        <f>IF(L348="","",AsOf-L348)</f>
        <v/>
      </c>
      <c r="R348" s="49">
        <f>IF(B348="","",IF(H348="Do not service","—",IF(O348&gt;0.005,"Collect balance",IF(M348=0,"Book first job",IF(AND(P348="No",Q348&gt;=ReactDays),"Reactivate",IF(COUNTIF('REVIEWS'!$A$5:$A$504,B348)=0,"Ask for review",IF(AND(P348="No",M348&gt;=1),"Offer recurring plan","—")))))))</f>
        <v/>
      </c>
      <c r="S348" s="53">
        <f>IF(B348="","",COUNTIF('REFERRALS'!$B$5:$B$204,B348))</f>
        <v/>
      </c>
    </row>
    <row r="349">
      <c r="A349" s="46" t="inlineStr">
        <is>
          <t>C-345</t>
        </is>
      </c>
      <c r="B349" s="38" t="n"/>
      <c r="C349" s="38" t="n"/>
      <c r="D349" s="38" t="n"/>
      <c r="E349" s="38" t="n"/>
      <c r="F349" s="38" t="n"/>
      <c r="G349" s="38" t="n"/>
      <c r="H349" s="38" t="n"/>
      <c r="I349" s="47" t="n"/>
      <c r="J349" s="38" t="n"/>
      <c r="K349" s="52">
        <f>IF(B349="","",IF(_xlfn.MINIFS('JOBS'!$B$5:$B$1504,'JOBS'!$D$5:$D$1504,B349,'JOBS'!$O$5:$O$1504,"Completed")=0,"",_xlfn.MINIFS('JOBS'!$B$5:$B$1504,'JOBS'!$D$5:$D$1504,B349,'JOBS'!$O$5:$O$1504,"Completed")))</f>
        <v/>
      </c>
      <c r="L349" s="52">
        <f>IF(B349="","",IF(_xlfn.MAXIFS('JOBS'!$B$5:$B$1504,'JOBS'!$D$5:$D$1504,B349,'JOBS'!$O$5:$O$1504,"Completed")=0,"",_xlfn.MAXIFS('JOBS'!$B$5:$B$1504,'JOBS'!$D$5:$D$1504,B349,'JOBS'!$O$5:$O$1504,"Completed")))</f>
        <v/>
      </c>
      <c r="M349" s="53">
        <f>IF(B349="","",COUNTIFS('JOBS'!$D$5:$D$1504,B349,'JOBS'!$O$5:$O$1504,"Completed"))</f>
        <v/>
      </c>
      <c r="N349" s="54">
        <f>IF(B349="","",SUMIFS('JOBS'!$L$5:$L$1504,'JOBS'!$D$5:$D$1504,B349,'JOBS'!$O$5:$O$1504,"Completed"))</f>
        <v/>
      </c>
      <c r="O349" s="55">
        <f>IF(B349="","",SUMIFS('JOBS'!$U$5:$U$1504,'JOBS'!$D$5:$D$1504,B349))</f>
        <v/>
      </c>
      <c r="P349" s="49">
        <f>IF(B349="","",IF(COUNTIFS('RECURRING'!$B$5:$B$154,B349,'RECURRING'!$J$5:$J$154,"Active")&gt;0,"Yes","No"))</f>
        <v/>
      </c>
      <c r="Q349" s="50">
        <f>IF(L349="","",AsOf-L349)</f>
        <v/>
      </c>
      <c r="R349" s="49">
        <f>IF(B349="","",IF(H349="Do not service","—",IF(O349&gt;0.005,"Collect balance",IF(M349=0,"Book first job",IF(AND(P349="No",Q349&gt;=ReactDays),"Reactivate",IF(COUNTIF('REVIEWS'!$A$5:$A$504,B349)=0,"Ask for review",IF(AND(P349="No",M349&gt;=1),"Offer recurring plan","—")))))))</f>
        <v/>
      </c>
      <c r="S349" s="53">
        <f>IF(B349="","",COUNTIF('REFERRALS'!$B$5:$B$204,B349))</f>
        <v/>
      </c>
    </row>
    <row r="350">
      <c r="A350" s="46" t="inlineStr">
        <is>
          <t>C-346</t>
        </is>
      </c>
      <c r="B350" s="38" t="n"/>
      <c r="C350" s="38" t="n"/>
      <c r="D350" s="38" t="n"/>
      <c r="E350" s="38" t="n"/>
      <c r="F350" s="38" t="n"/>
      <c r="G350" s="38" t="n"/>
      <c r="H350" s="38" t="n"/>
      <c r="I350" s="47" t="n"/>
      <c r="J350" s="38" t="n"/>
      <c r="K350" s="52">
        <f>IF(B350="","",IF(_xlfn.MINIFS('JOBS'!$B$5:$B$1504,'JOBS'!$D$5:$D$1504,B350,'JOBS'!$O$5:$O$1504,"Completed")=0,"",_xlfn.MINIFS('JOBS'!$B$5:$B$1504,'JOBS'!$D$5:$D$1504,B350,'JOBS'!$O$5:$O$1504,"Completed")))</f>
        <v/>
      </c>
      <c r="L350" s="52">
        <f>IF(B350="","",IF(_xlfn.MAXIFS('JOBS'!$B$5:$B$1504,'JOBS'!$D$5:$D$1504,B350,'JOBS'!$O$5:$O$1504,"Completed")=0,"",_xlfn.MAXIFS('JOBS'!$B$5:$B$1504,'JOBS'!$D$5:$D$1504,B350,'JOBS'!$O$5:$O$1504,"Completed")))</f>
        <v/>
      </c>
      <c r="M350" s="53">
        <f>IF(B350="","",COUNTIFS('JOBS'!$D$5:$D$1504,B350,'JOBS'!$O$5:$O$1504,"Completed"))</f>
        <v/>
      </c>
      <c r="N350" s="54">
        <f>IF(B350="","",SUMIFS('JOBS'!$L$5:$L$1504,'JOBS'!$D$5:$D$1504,B350,'JOBS'!$O$5:$O$1504,"Completed"))</f>
        <v/>
      </c>
      <c r="O350" s="55">
        <f>IF(B350="","",SUMIFS('JOBS'!$U$5:$U$1504,'JOBS'!$D$5:$D$1504,B350))</f>
        <v/>
      </c>
      <c r="P350" s="49">
        <f>IF(B350="","",IF(COUNTIFS('RECURRING'!$B$5:$B$154,B350,'RECURRING'!$J$5:$J$154,"Active")&gt;0,"Yes","No"))</f>
        <v/>
      </c>
      <c r="Q350" s="50">
        <f>IF(L350="","",AsOf-L350)</f>
        <v/>
      </c>
      <c r="R350" s="49">
        <f>IF(B350="","",IF(H350="Do not service","—",IF(O350&gt;0.005,"Collect balance",IF(M350=0,"Book first job",IF(AND(P350="No",Q350&gt;=ReactDays),"Reactivate",IF(COUNTIF('REVIEWS'!$A$5:$A$504,B350)=0,"Ask for review",IF(AND(P350="No",M350&gt;=1),"Offer recurring plan","—")))))))</f>
        <v/>
      </c>
      <c r="S350" s="53">
        <f>IF(B350="","",COUNTIF('REFERRALS'!$B$5:$B$204,B350))</f>
        <v/>
      </c>
    </row>
    <row r="351">
      <c r="A351" s="46" t="inlineStr">
        <is>
          <t>C-347</t>
        </is>
      </c>
      <c r="B351" s="38" t="n"/>
      <c r="C351" s="38" t="n"/>
      <c r="D351" s="38" t="n"/>
      <c r="E351" s="38" t="n"/>
      <c r="F351" s="38" t="n"/>
      <c r="G351" s="38" t="n"/>
      <c r="H351" s="38" t="n"/>
      <c r="I351" s="47" t="n"/>
      <c r="J351" s="38" t="n"/>
      <c r="K351" s="52">
        <f>IF(B351="","",IF(_xlfn.MINIFS('JOBS'!$B$5:$B$1504,'JOBS'!$D$5:$D$1504,B351,'JOBS'!$O$5:$O$1504,"Completed")=0,"",_xlfn.MINIFS('JOBS'!$B$5:$B$1504,'JOBS'!$D$5:$D$1504,B351,'JOBS'!$O$5:$O$1504,"Completed")))</f>
        <v/>
      </c>
      <c r="L351" s="52">
        <f>IF(B351="","",IF(_xlfn.MAXIFS('JOBS'!$B$5:$B$1504,'JOBS'!$D$5:$D$1504,B351,'JOBS'!$O$5:$O$1504,"Completed")=0,"",_xlfn.MAXIFS('JOBS'!$B$5:$B$1504,'JOBS'!$D$5:$D$1504,B351,'JOBS'!$O$5:$O$1504,"Completed")))</f>
        <v/>
      </c>
      <c r="M351" s="53">
        <f>IF(B351="","",COUNTIFS('JOBS'!$D$5:$D$1504,B351,'JOBS'!$O$5:$O$1504,"Completed"))</f>
        <v/>
      </c>
      <c r="N351" s="54">
        <f>IF(B351="","",SUMIFS('JOBS'!$L$5:$L$1504,'JOBS'!$D$5:$D$1504,B351,'JOBS'!$O$5:$O$1504,"Completed"))</f>
        <v/>
      </c>
      <c r="O351" s="55">
        <f>IF(B351="","",SUMIFS('JOBS'!$U$5:$U$1504,'JOBS'!$D$5:$D$1504,B351))</f>
        <v/>
      </c>
      <c r="P351" s="49">
        <f>IF(B351="","",IF(COUNTIFS('RECURRING'!$B$5:$B$154,B351,'RECURRING'!$J$5:$J$154,"Active")&gt;0,"Yes","No"))</f>
        <v/>
      </c>
      <c r="Q351" s="50">
        <f>IF(L351="","",AsOf-L351)</f>
        <v/>
      </c>
      <c r="R351" s="49">
        <f>IF(B351="","",IF(H351="Do not service","—",IF(O351&gt;0.005,"Collect balance",IF(M351=0,"Book first job",IF(AND(P351="No",Q351&gt;=ReactDays),"Reactivate",IF(COUNTIF('REVIEWS'!$A$5:$A$504,B351)=0,"Ask for review",IF(AND(P351="No",M351&gt;=1),"Offer recurring plan","—")))))))</f>
        <v/>
      </c>
      <c r="S351" s="53">
        <f>IF(B351="","",COUNTIF('REFERRALS'!$B$5:$B$204,B351))</f>
        <v/>
      </c>
    </row>
    <row r="352">
      <c r="A352" s="46" t="inlineStr">
        <is>
          <t>C-348</t>
        </is>
      </c>
      <c r="B352" s="38" t="n"/>
      <c r="C352" s="38" t="n"/>
      <c r="D352" s="38" t="n"/>
      <c r="E352" s="38" t="n"/>
      <c r="F352" s="38" t="n"/>
      <c r="G352" s="38" t="n"/>
      <c r="H352" s="38" t="n"/>
      <c r="I352" s="47" t="n"/>
      <c r="J352" s="38" t="n"/>
      <c r="K352" s="52">
        <f>IF(B352="","",IF(_xlfn.MINIFS('JOBS'!$B$5:$B$1504,'JOBS'!$D$5:$D$1504,B352,'JOBS'!$O$5:$O$1504,"Completed")=0,"",_xlfn.MINIFS('JOBS'!$B$5:$B$1504,'JOBS'!$D$5:$D$1504,B352,'JOBS'!$O$5:$O$1504,"Completed")))</f>
        <v/>
      </c>
      <c r="L352" s="52">
        <f>IF(B352="","",IF(_xlfn.MAXIFS('JOBS'!$B$5:$B$1504,'JOBS'!$D$5:$D$1504,B352,'JOBS'!$O$5:$O$1504,"Completed")=0,"",_xlfn.MAXIFS('JOBS'!$B$5:$B$1504,'JOBS'!$D$5:$D$1504,B352,'JOBS'!$O$5:$O$1504,"Completed")))</f>
        <v/>
      </c>
      <c r="M352" s="53">
        <f>IF(B352="","",COUNTIFS('JOBS'!$D$5:$D$1504,B352,'JOBS'!$O$5:$O$1504,"Completed"))</f>
        <v/>
      </c>
      <c r="N352" s="54">
        <f>IF(B352="","",SUMIFS('JOBS'!$L$5:$L$1504,'JOBS'!$D$5:$D$1504,B352,'JOBS'!$O$5:$O$1504,"Completed"))</f>
        <v/>
      </c>
      <c r="O352" s="55">
        <f>IF(B352="","",SUMIFS('JOBS'!$U$5:$U$1504,'JOBS'!$D$5:$D$1504,B352))</f>
        <v/>
      </c>
      <c r="P352" s="49">
        <f>IF(B352="","",IF(COUNTIFS('RECURRING'!$B$5:$B$154,B352,'RECURRING'!$J$5:$J$154,"Active")&gt;0,"Yes","No"))</f>
        <v/>
      </c>
      <c r="Q352" s="50">
        <f>IF(L352="","",AsOf-L352)</f>
        <v/>
      </c>
      <c r="R352" s="49">
        <f>IF(B352="","",IF(H352="Do not service","—",IF(O352&gt;0.005,"Collect balance",IF(M352=0,"Book first job",IF(AND(P352="No",Q352&gt;=ReactDays),"Reactivate",IF(COUNTIF('REVIEWS'!$A$5:$A$504,B352)=0,"Ask for review",IF(AND(P352="No",M352&gt;=1),"Offer recurring plan","—")))))))</f>
        <v/>
      </c>
      <c r="S352" s="53">
        <f>IF(B352="","",COUNTIF('REFERRALS'!$B$5:$B$204,B352))</f>
        <v/>
      </c>
    </row>
    <row r="353">
      <c r="A353" s="46" t="inlineStr">
        <is>
          <t>C-349</t>
        </is>
      </c>
      <c r="B353" s="38" t="n"/>
      <c r="C353" s="38" t="n"/>
      <c r="D353" s="38" t="n"/>
      <c r="E353" s="38" t="n"/>
      <c r="F353" s="38" t="n"/>
      <c r="G353" s="38" t="n"/>
      <c r="H353" s="38" t="n"/>
      <c r="I353" s="47" t="n"/>
      <c r="J353" s="38" t="n"/>
      <c r="K353" s="52">
        <f>IF(B353="","",IF(_xlfn.MINIFS('JOBS'!$B$5:$B$1504,'JOBS'!$D$5:$D$1504,B353,'JOBS'!$O$5:$O$1504,"Completed")=0,"",_xlfn.MINIFS('JOBS'!$B$5:$B$1504,'JOBS'!$D$5:$D$1504,B353,'JOBS'!$O$5:$O$1504,"Completed")))</f>
        <v/>
      </c>
      <c r="L353" s="52">
        <f>IF(B353="","",IF(_xlfn.MAXIFS('JOBS'!$B$5:$B$1504,'JOBS'!$D$5:$D$1504,B353,'JOBS'!$O$5:$O$1504,"Completed")=0,"",_xlfn.MAXIFS('JOBS'!$B$5:$B$1504,'JOBS'!$D$5:$D$1504,B353,'JOBS'!$O$5:$O$1504,"Completed")))</f>
        <v/>
      </c>
      <c r="M353" s="53">
        <f>IF(B353="","",COUNTIFS('JOBS'!$D$5:$D$1504,B353,'JOBS'!$O$5:$O$1504,"Completed"))</f>
        <v/>
      </c>
      <c r="N353" s="54">
        <f>IF(B353="","",SUMIFS('JOBS'!$L$5:$L$1504,'JOBS'!$D$5:$D$1504,B353,'JOBS'!$O$5:$O$1504,"Completed"))</f>
        <v/>
      </c>
      <c r="O353" s="55">
        <f>IF(B353="","",SUMIFS('JOBS'!$U$5:$U$1504,'JOBS'!$D$5:$D$1504,B353))</f>
        <v/>
      </c>
      <c r="P353" s="49">
        <f>IF(B353="","",IF(COUNTIFS('RECURRING'!$B$5:$B$154,B353,'RECURRING'!$J$5:$J$154,"Active")&gt;0,"Yes","No"))</f>
        <v/>
      </c>
      <c r="Q353" s="50">
        <f>IF(L353="","",AsOf-L353)</f>
        <v/>
      </c>
      <c r="R353" s="49">
        <f>IF(B353="","",IF(H353="Do not service","—",IF(O353&gt;0.005,"Collect balance",IF(M353=0,"Book first job",IF(AND(P353="No",Q353&gt;=ReactDays),"Reactivate",IF(COUNTIF('REVIEWS'!$A$5:$A$504,B353)=0,"Ask for review",IF(AND(P353="No",M353&gt;=1),"Offer recurring plan","—")))))))</f>
        <v/>
      </c>
      <c r="S353" s="53">
        <f>IF(B353="","",COUNTIF('REFERRALS'!$B$5:$B$204,B353))</f>
        <v/>
      </c>
    </row>
    <row r="354">
      <c r="A354" s="46" t="inlineStr">
        <is>
          <t>C-350</t>
        </is>
      </c>
      <c r="B354" s="38" t="n"/>
      <c r="C354" s="38" t="n"/>
      <c r="D354" s="38" t="n"/>
      <c r="E354" s="38" t="n"/>
      <c r="F354" s="38" t="n"/>
      <c r="G354" s="38" t="n"/>
      <c r="H354" s="38" t="n"/>
      <c r="I354" s="47" t="n"/>
      <c r="J354" s="38" t="n"/>
      <c r="K354" s="52">
        <f>IF(B354="","",IF(_xlfn.MINIFS('JOBS'!$B$5:$B$1504,'JOBS'!$D$5:$D$1504,B354,'JOBS'!$O$5:$O$1504,"Completed")=0,"",_xlfn.MINIFS('JOBS'!$B$5:$B$1504,'JOBS'!$D$5:$D$1504,B354,'JOBS'!$O$5:$O$1504,"Completed")))</f>
        <v/>
      </c>
      <c r="L354" s="52">
        <f>IF(B354="","",IF(_xlfn.MAXIFS('JOBS'!$B$5:$B$1504,'JOBS'!$D$5:$D$1504,B354,'JOBS'!$O$5:$O$1504,"Completed")=0,"",_xlfn.MAXIFS('JOBS'!$B$5:$B$1504,'JOBS'!$D$5:$D$1504,B354,'JOBS'!$O$5:$O$1504,"Completed")))</f>
        <v/>
      </c>
      <c r="M354" s="53">
        <f>IF(B354="","",COUNTIFS('JOBS'!$D$5:$D$1504,B354,'JOBS'!$O$5:$O$1504,"Completed"))</f>
        <v/>
      </c>
      <c r="N354" s="54">
        <f>IF(B354="","",SUMIFS('JOBS'!$L$5:$L$1504,'JOBS'!$D$5:$D$1504,B354,'JOBS'!$O$5:$O$1504,"Completed"))</f>
        <v/>
      </c>
      <c r="O354" s="55">
        <f>IF(B354="","",SUMIFS('JOBS'!$U$5:$U$1504,'JOBS'!$D$5:$D$1504,B354))</f>
        <v/>
      </c>
      <c r="P354" s="49">
        <f>IF(B354="","",IF(COUNTIFS('RECURRING'!$B$5:$B$154,B354,'RECURRING'!$J$5:$J$154,"Active")&gt;0,"Yes","No"))</f>
        <v/>
      </c>
      <c r="Q354" s="50">
        <f>IF(L354="","",AsOf-L354)</f>
        <v/>
      </c>
      <c r="R354" s="49">
        <f>IF(B354="","",IF(H354="Do not service","—",IF(O354&gt;0.005,"Collect balance",IF(M354=0,"Book first job",IF(AND(P354="No",Q354&gt;=ReactDays),"Reactivate",IF(COUNTIF('REVIEWS'!$A$5:$A$504,B354)=0,"Ask for review",IF(AND(P354="No",M354&gt;=1),"Offer recurring plan","—")))))))</f>
        <v/>
      </c>
      <c r="S354" s="53">
        <f>IF(B354="","",COUNTIF('REFERRALS'!$B$5:$B$204,B354))</f>
        <v/>
      </c>
    </row>
    <row r="355">
      <c r="A355" s="46" t="inlineStr">
        <is>
          <t>C-351</t>
        </is>
      </c>
      <c r="B355" s="38" t="n"/>
      <c r="C355" s="38" t="n"/>
      <c r="D355" s="38" t="n"/>
      <c r="E355" s="38" t="n"/>
      <c r="F355" s="38" t="n"/>
      <c r="G355" s="38" t="n"/>
      <c r="H355" s="38" t="n"/>
      <c r="I355" s="47" t="n"/>
      <c r="J355" s="38" t="n"/>
      <c r="K355" s="52">
        <f>IF(B355="","",IF(_xlfn.MINIFS('JOBS'!$B$5:$B$1504,'JOBS'!$D$5:$D$1504,B355,'JOBS'!$O$5:$O$1504,"Completed")=0,"",_xlfn.MINIFS('JOBS'!$B$5:$B$1504,'JOBS'!$D$5:$D$1504,B355,'JOBS'!$O$5:$O$1504,"Completed")))</f>
        <v/>
      </c>
      <c r="L355" s="52">
        <f>IF(B355="","",IF(_xlfn.MAXIFS('JOBS'!$B$5:$B$1504,'JOBS'!$D$5:$D$1504,B355,'JOBS'!$O$5:$O$1504,"Completed")=0,"",_xlfn.MAXIFS('JOBS'!$B$5:$B$1504,'JOBS'!$D$5:$D$1504,B355,'JOBS'!$O$5:$O$1504,"Completed")))</f>
        <v/>
      </c>
      <c r="M355" s="53">
        <f>IF(B355="","",COUNTIFS('JOBS'!$D$5:$D$1504,B355,'JOBS'!$O$5:$O$1504,"Completed"))</f>
        <v/>
      </c>
      <c r="N355" s="54">
        <f>IF(B355="","",SUMIFS('JOBS'!$L$5:$L$1504,'JOBS'!$D$5:$D$1504,B355,'JOBS'!$O$5:$O$1504,"Completed"))</f>
        <v/>
      </c>
      <c r="O355" s="55">
        <f>IF(B355="","",SUMIFS('JOBS'!$U$5:$U$1504,'JOBS'!$D$5:$D$1504,B355))</f>
        <v/>
      </c>
      <c r="P355" s="49">
        <f>IF(B355="","",IF(COUNTIFS('RECURRING'!$B$5:$B$154,B355,'RECURRING'!$J$5:$J$154,"Active")&gt;0,"Yes","No"))</f>
        <v/>
      </c>
      <c r="Q355" s="50">
        <f>IF(L355="","",AsOf-L355)</f>
        <v/>
      </c>
      <c r="R355" s="49">
        <f>IF(B355="","",IF(H355="Do not service","—",IF(O355&gt;0.005,"Collect balance",IF(M355=0,"Book first job",IF(AND(P355="No",Q355&gt;=ReactDays),"Reactivate",IF(COUNTIF('REVIEWS'!$A$5:$A$504,B355)=0,"Ask for review",IF(AND(P355="No",M355&gt;=1),"Offer recurring plan","—")))))))</f>
        <v/>
      </c>
      <c r="S355" s="53">
        <f>IF(B355="","",COUNTIF('REFERRALS'!$B$5:$B$204,B355))</f>
        <v/>
      </c>
    </row>
    <row r="356">
      <c r="A356" s="46" t="inlineStr">
        <is>
          <t>C-352</t>
        </is>
      </c>
      <c r="B356" s="38" t="n"/>
      <c r="C356" s="38" t="n"/>
      <c r="D356" s="38" t="n"/>
      <c r="E356" s="38" t="n"/>
      <c r="F356" s="38" t="n"/>
      <c r="G356" s="38" t="n"/>
      <c r="H356" s="38" t="n"/>
      <c r="I356" s="47" t="n"/>
      <c r="J356" s="38" t="n"/>
      <c r="K356" s="52">
        <f>IF(B356="","",IF(_xlfn.MINIFS('JOBS'!$B$5:$B$1504,'JOBS'!$D$5:$D$1504,B356,'JOBS'!$O$5:$O$1504,"Completed")=0,"",_xlfn.MINIFS('JOBS'!$B$5:$B$1504,'JOBS'!$D$5:$D$1504,B356,'JOBS'!$O$5:$O$1504,"Completed")))</f>
        <v/>
      </c>
      <c r="L356" s="52">
        <f>IF(B356="","",IF(_xlfn.MAXIFS('JOBS'!$B$5:$B$1504,'JOBS'!$D$5:$D$1504,B356,'JOBS'!$O$5:$O$1504,"Completed")=0,"",_xlfn.MAXIFS('JOBS'!$B$5:$B$1504,'JOBS'!$D$5:$D$1504,B356,'JOBS'!$O$5:$O$1504,"Completed")))</f>
        <v/>
      </c>
      <c r="M356" s="53">
        <f>IF(B356="","",COUNTIFS('JOBS'!$D$5:$D$1504,B356,'JOBS'!$O$5:$O$1504,"Completed"))</f>
        <v/>
      </c>
      <c r="N356" s="54">
        <f>IF(B356="","",SUMIFS('JOBS'!$L$5:$L$1504,'JOBS'!$D$5:$D$1504,B356,'JOBS'!$O$5:$O$1504,"Completed"))</f>
        <v/>
      </c>
      <c r="O356" s="55">
        <f>IF(B356="","",SUMIFS('JOBS'!$U$5:$U$1504,'JOBS'!$D$5:$D$1504,B356))</f>
        <v/>
      </c>
      <c r="P356" s="49">
        <f>IF(B356="","",IF(COUNTIFS('RECURRING'!$B$5:$B$154,B356,'RECURRING'!$J$5:$J$154,"Active")&gt;0,"Yes","No"))</f>
        <v/>
      </c>
      <c r="Q356" s="50">
        <f>IF(L356="","",AsOf-L356)</f>
        <v/>
      </c>
      <c r="R356" s="49">
        <f>IF(B356="","",IF(H356="Do not service","—",IF(O356&gt;0.005,"Collect balance",IF(M356=0,"Book first job",IF(AND(P356="No",Q356&gt;=ReactDays),"Reactivate",IF(COUNTIF('REVIEWS'!$A$5:$A$504,B356)=0,"Ask for review",IF(AND(P356="No",M356&gt;=1),"Offer recurring plan","—")))))))</f>
        <v/>
      </c>
      <c r="S356" s="53">
        <f>IF(B356="","",COUNTIF('REFERRALS'!$B$5:$B$204,B356))</f>
        <v/>
      </c>
    </row>
    <row r="357">
      <c r="A357" s="46" t="inlineStr">
        <is>
          <t>C-353</t>
        </is>
      </c>
      <c r="B357" s="38" t="n"/>
      <c r="C357" s="38" t="n"/>
      <c r="D357" s="38" t="n"/>
      <c r="E357" s="38" t="n"/>
      <c r="F357" s="38" t="n"/>
      <c r="G357" s="38" t="n"/>
      <c r="H357" s="38" t="n"/>
      <c r="I357" s="47" t="n"/>
      <c r="J357" s="38" t="n"/>
      <c r="K357" s="52">
        <f>IF(B357="","",IF(_xlfn.MINIFS('JOBS'!$B$5:$B$1504,'JOBS'!$D$5:$D$1504,B357,'JOBS'!$O$5:$O$1504,"Completed")=0,"",_xlfn.MINIFS('JOBS'!$B$5:$B$1504,'JOBS'!$D$5:$D$1504,B357,'JOBS'!$O$5:$O$1504,"Completed")))</f>
        <v/>
      </c>
      <c r="L357" s="52">
        <f>IF(B357="","",IF(_xlfn.MAXIFS('JOBS'!$B$5:$B$1504,'JOBS'!$D$5:$D$1504,B357,'JOBS'!$O$5:$O$1504,"Completed")=0,"",_xlfn.MAXIFS('JOBS'!$B$5:$B$1504,'JOBS'!$D$5:$D$1504,B357,'JOBS'!$O$5:$O$1504,"Completed")))</f>
        <v/>
      </c>
      <c r="M357" s="53">
        <f>IF(B357="","",COUNTIFS('JOBS'!$D$5:$D$1504,B357,'JOBS'!$O$5:$O$1504,"Completed"))</f>
        <v/>
      </c>
      <c r="N357" s="54">
        <f>IF(B357="","",SUMIFS('JOBS'!$L$5:$L$1504,'JOBS'!$D$5:$D$1504,B357,'JOBS'!$O$5:$O$1504,"Completed"))</f>
        <v/>
      </c>
      <c r="O357" s="55">
        <f>IF(B357="","",SUMIFS('JOBS'!$U$5:$U$1504,'JOBS'!$D$5:$D$1504,B357))</f>
        <v/>
      </c>
      <c r="P357" s="49">
        <f>IF(B357="","",IF(COUNTIFS('RECURRING'!$B$5:$B$154,B357,'RECURRING'!$J$5:$J$154,"Active")&gt;0,"Yes","No"))</f>
        <v/>
      </c>
      <c r="Q357" s="50">
        <f>IF(L357="","",AsOf-L357)</f>
        <v/>
      </c>
      <c r="R357" s="49">
        <f>IF(B357="","",IF(H357="Do not service","—",IF(O357&gt;0.005,"Collect balance",IF(M357=0,"Book first job",IF(AND(P357="No",Q357&gt;=ReactDays),"Reactivate",IF(COUNTIF('REVIEWS'!$A$5:$A$504,B357)=0,"Ask for review",IF(AND(P357="No",M357&gt;=1),"Offer recurring plan","—")))))))</f>
        <v/>
      </c>
      <c r="S357" s="53">
        <f>IF(B357="","",COUNTIF('REFERRALS'!$B$5:$B$204,B357))</f>
        <v/>
      </c>
    </row>
    <row r="358">
      <c r="A358" s="46" t="inlineStr">
        <is>
          <t>C-354</t>
        </is>
      </c>
      <c r="B358" s="38" t="n"/>
      <c r="C358" s="38" t="n"/>
      <c r="D358" s="38" t="n"/>
      <c r="E358" s="38" t="n"/>
      <c r="F358" s="38" t="n"/>
      <c r="G358" s="38" t="n"/>
      <c r="H358" s="38" t="n"/>
      <c r="I358" s="47" t="n"/>
      <c r="J358" s="38" t="n"/>
      <c r="K358" s="52">
        <f>IF(B358="","",IF(_xlfn.MINIFS('JOBS'!$B$5:$B$1504,'JOBS'!$D$5:$D$1504,B358,'JOBS'!$O$5:$O$1504,"Completed")=0,"",_xlfn.MINIFS('JOBS'!$B$5:$B$1504,'JOBS'!$D$5:$D$1504,B358,'JOBS'!$O$5:$O$1504,"Completed")))</f>
        <v/>
      </c>
      <c r="L358" s="52">
        <f>IF(B358="","",IF(_xlfn.MAXIFS('JOBS'!$B$5:$B$1504,'JOBS'!$D$5:$D$1504,B358,'JOBS'!$O$5:$O$1504,"Completed")=0,"",_xlfn.MAXIFS('JOBS'!$B$5:$B$1504,'JOBS'!$D$5:$D$1504,B358,'JOBS'!$O$5:$O$1504,"Completed")))</f>
        <v/>
      </c>
      <c r="M358" s="53">
        <f>IF(B358="","",COUNTIFS('JOBS'!$D$5:$D$1504,B358,'JOBS'!$O$5:$O$1504,"Completed"))</f>
        <v/>
      </c>
      <c r="N358" s="54">
        <f>IF(B358="","",SUMIFS('JOBS'!$L$5:$L$1504,'JOBS'!$D$5:$D$1504,B358,'JOBS'!$O$5:$O$1504,"Completed"))</f>
        <v/>
      </c>
      <c r="O358" s="55">
        <f>IF(B358="","",SUMIFS('JOBS'!$U$5:$U$1504,'JOBS'!$D$5:$D$1504,B358))</f>
        <v/>
      </c>
      <c r="P358" s="49">
        <f>IF(B358="","",IF(COUNTIFS('RECURRING'!$B$5:$B$154,B358,'RECURRING'!$J$5:$J$154,"Active")&gt;0,"Yes","No"))</f>
        <v/>
      </c>
      <c r="Q358" s="50">
        <f>IF(L358="","",AsOf-L358)</f>
        <v/>
      </c>
      <c r="R358" s="49">
        <f>IF(B358="","",IF(H358="Do not service","—",IF(O358&gt;0.005,"Collect balance",IF(M358=0,"Book first job",IF(AND(P358="No",Q358&gt;=ReactDays),"Reactivate",IF(COUNTIF('REVIEWS'!$A$5:$A$504,B358)=0,"Ask for review",IF(AND(P358="No",M358&gt;=1),"Offer recurring plan","—")))))))</f>
        <v/>
      </c>
      <c r="S358" s="53">
        <f>IF(B358="","",COUNTIF('REFERRALS'!$B$5:$B$204,B358))</f>
        <v/>
      </c>
    </row>
    <row r="359">
      <c r="A359" s="46" t="inlineStr">
        <is>
          <t>C-355</t>
        </is>
      </c>
      <c r="B359" s="38" t="n"/>
      <c r="C359" s="38" t="n"/>
      <c r="D359" s="38" t="n"/>
      <c r="E359" s="38" t="n"/>
      <c r="F359" s="38" t="n"/>
      <c r="G359" s="38" t="n"/>
      <c r="H359" s="38" t="n"/>
      <c r="I359" s="47" t="n"/>
      <c r="J359" s="38" t="n"/>
      <c r="K359" s="52">
        <f>IF(B359="","",IF(_xlfn.MINIFS('JOBS'!$B$5:$B$1504,'JOBS'!$D$5:$D$1504,B359,'JOBS'!$O$5:$O$1504,"Completed")=0,"",_xlfn.MINIFS('JOBS'!$B$5:$B$1504,'JOBS'!$D$5:$D$1504,B359,'JOBS'!$O$5:$O$1504,"Completed")))</f>
        <v/>
      </c>
      <c r="L359" s="52">
        <f>IF(B359="","",IF(_xlfn.MAXIFS('JOBS'!$B$5:$B$1504,'JOBS'!$D$5:$D$1504,B359,'JOBS'!$O$5:$O$1504,"Completed")=0,"",_xlfn.MAXIFS('JOBS'!$B$5:$B$1504,'JOBS'!$D$5:$D$1504,B359,'JOBS'!$O$5:$O$1504,"Completed")))</f>
        <v/>
      </c>
      <c r="M359" s="53">
        <f>IF(B359="","",COUNTIFS('JOBS'!$D$5:$D$1504,B359,'JOBS'!$O$5:$O$1504,"Completed"))</f>
        <v/>
      </c>
      <c r="N359" s="54">
        <f>IF(B359="","",SUMIFS('JOBS'!$L$5:$L$1504,'JOBS'!$D$5:$D$1504,B359,'JOBS'!$O$5:$O$1504,"Completed"))</f>
        <v/>
      </c>
      <c r="O359" s="55">
        <f>IF(B359="","",SUMIFS('JOBS'!$U$5:$U$1504,'JOBS'!$D$5:$D$1504,B359))</f>
        <v/>
      </c>
      <c r="P359" s="49">
        <f>IF(B359="","",IF(COUNTIFS('RECURRING'!$B$5:$B$154,B359,'RECURRING'!$J$5:$J$154,"Active")&gt;0,"Yes","No"))</f>
        <v/>
      </c>
      <c r="Q359" s="50">
        <f>IF(L359="","",AsOf-L359)</f>
        <v/>
      </c>
      <c r="R359" s="49">
        <f>IF(B359="","",IF(H359="Do not service","—",IF(O359&gt;0.005,"Collect balance",IF(M359=0,"Book first job",IF(AND(P359="No",Q359&gt;=ReactDays),"Reactivate",IF(COUNTIF('REVIEWS'!$A$5:$A$504,B359)=0,"Ask for review",IF(AND(P359="No",M359&gt;=1),"Offer recurring plan","—")))))))</f>
        <v/>
      </c>
      <c r="S359" s="53">
        <f>IF(B359="","",COUNTIF('REFERRALS'!$B$5:$B$204,B359))</f>
        <v/>
      </c>
    </row>
    <row r="360">
      <c r="A360" s="46" t="inlineStr">
        <is>
          <t>C-356</t>
        </is>
      </c>
      <c r="B360" s="38" t="n"/>
      <c r="C360" s="38" t="n"/>
      <c r="D360" s="38" t="n"/>
      <c r="E360" s="38" t="n"/>
      <c r="F360" s="38" t="n"/>
      <c r="G360" s="38" t="n"/>
      <c r="H360" s="38" t="n"/>
      <c r="I360" s="47" t="n"/>
      <c r="J360" s="38" t="n"/>
      <c r="K360" s="52">
        <f>IF(B360="","",IF(_xlfn.MINIFS('JOBS'!$B$5:$B$1504,'JOBS'!$D$5:$D$1504,B360,'JOBS'!$O$5:$O$1504,"Completed")=0,"",_xlfn.MINIFS('JOBS'!$B$5:$B$1504,'JOBS'!$D$5:$D$1504,B360,'JOBS'!$O$5:$O$1504,"Completed")))</f>
        <v/>
      </c>
      <c r="L360" s="52">
        <f>IF(B360="","",IF(_xlfn.MAXIFS('JOBS'!$B$5:$B$1504,'JOBS'!$D$5:$D$1504,B360,'JOBS'!$O$5:$O$1504,"Completed")=0,"",_xlfn.MAXIFS('JOBS'!$B$5:$B$1504,'JOBS'!$D$5:$D$1504,B360,'JOBS'!$O$5:$O$1504,"Completed")))</f>
        <v/>
      </c>
      <c r="M360" s="53">
        <f>IF(B360="","",COUNTIFS('JOBS'!$D$5:$D$1504,B360,'JOBS'!$O$5:$O$1504,"Completed"))</f>
        <v/>
      </c>
      <c r="N360" s="54">
        <f>IF(B360="","",SUMIFS('JOBS'!$L$5:$L$1504,'JOBS'!$D$5:$D$1504,B360,'JOBS'!$O$5:$O$1504,"Completed"))</f>
        <v/>
      </c>
      <c r="O360" s="55">
        <f>IF(B360="","",SUMIFS('JOBS'!$U$5:$U$1504,'JOBS'!$D$5:$D$1504,B360))</f>
        <v/>
      </c>
      <c r="P360" s="49">
        <f>IF(B360="","",IF(COUNTIFS('RECURRING'!$B$5:$B$154,B360,'RECURRING'!$J$5:$J$154,"Active")&gt;0,"Yes","No"))</f>
        <v/>
      </c>
      <c r="Q360" s="50">
        <f>IF(L360="","",AsOf-L360)</f>
        <v/>
      </c>
      <c r="R360" s="49">
        <f>IF(B360="","",IF(H360="Do not service","—",IF(O360&gt;0.005,"Collect balance",IF(M360=0,"Book first job",IF(AND(P360="No",Q360&gt;=ReactDays),"Reactivate",IF(COUNTIF('REVIEWS'!$A$5:$A$504,B360)=0,"Ask for review",IF(AND(P360="No",M360&gt;=1),"Offer recurring plan","—")))))))</f>
        <v/>
      </c>
      <c r="S360" s="53">
        <f>IF(B360="","",COUNTIF('REFERRALS'!$B$5:$B$204,B360))</f>
        <v/>
      </c>
    </row>
    <row r="361">
      <c r="A361" s="46" t="inlineStr">
        <is>
          <t>C-357</t>
        </is>
      </c>
      <c r="B361" s="38" t="n"/>
      <c r="C361" s="38" t="n"/>
      <c r="D361" s="38" t="n"/>
      <c r="E361" s="38" t="n"/>
      <c r="F361" s="38" t="n"/>
      <c r="G361" s="38" t="n"/>
      <c r="H361" s="38" t="n"/>
      <c r="I361" s="47" t="n"/>
      <c r="J361" s="38" t="n"/>
      <c r="K361" s="52">
        <f>IF(B361="","",IF(_xlfn.MINIFS('JOBS'!$B$5:$B$1504,'JOBS'!$D$5:$D$1504,B361,'JOBS'!$O$5:$O$1504,"Completed")=0,"",_xlfn.MINIFS('JOBS'!$B$5:$B$1504,'JOBS'!$D$5:$D$1504,B361,'JOBS'!$O$5:$O$1504,"Completed")))</f>
        <v/>
      </c>
      <c r="L361" s="52">
        <f>IF(B361="","",IF(_xlfn.MAXIFS('JOBS'!$B$5:$B$1504,'JOBS'!$D$5:$D$1504,B361,'JOBS'!$O$5:$O$1504,"Completed")=0,"",_xlfn.MAXIFS('JOBS'!$B$5:$B$1504,'JOBS'!$D$5:$D$1504,B361,'JOBS'!$O$5:$O$1504,"Completed")))</f>
        <v/>
      </c>
      <c r="M361" s="53">
        <f>IF(B361="","",COUNTIFS('JOBS'!$D$5:$D$1504,B361,'JOBS'!$O$5:$O$1504,"Completed"))</f>
        <v/>
      </c>
      <c r="N361" s="54">
        <f>IF(B361="","",SUMIFS('JOBS'!$L$5:$L$1504,'JOBS'!$D$5:$D$1504,B361,'JOBS'!$O$5:$O$1504,"Completed"))</f>
        <v/>
      </c>
      <c r="O361" s="55">
        <f>IF(B361="","",SUMIFS('JOBS'!$U$5:$U$1504,'JOBS'!$D$5:$D$1504,B361))</f>
        <v/>
      </c>
      <c r="P361" s="49">
        <f>IF(B361="","",IF(COUNTIFS('RECURRING'!$B$5:$B$154,B361,'RECURRING'!$J$5:$J$154,"Active")&gt;0,"Yes","No"))</f>
        <v/>
      </c>
      <c r="Q361" s="50">
        <f>IF(L361="","",AsOf-L361)</f>
        <v/>
      </c>
      <c r="R361" s="49">
        <f>IF(B361="","",IF(H361="Do not service","—",IF(O361&gt;0.005,"Collect balance",IF(M361=0,"Book first job",IF(AND(P361="No",Q361&gt;=ReactDays),"Reactivate",IF(COUNTIF('REVIEWS'!$A$5:$A$504,B361)=0,"Ask for review",IF(AND(P361="No",M361&gt;=1),"Offer recurring plan","—")))))))</f>
        <v/>
      </c>
      <c r="S361" s="53">
        <f>IF(B361="","",COUNTIF('REFERRALS'!$B$5:$B$204,B361))</f>
        <v/>
      </c>
    </row>
    <row r="362">
      <c r="A362" s="46" t="inlineStr">
        <is>
          <t>C-358</t>
        </is>
      </c>
      <c r="B362" s="38" t="n"/>
      <c r="C362" s="38" t="n"/>
      <c r="D362" s="38" t="n"/>
      <c r="E362" s="38" t="n"/>
      <c r="F362" s="38" t="n"/>
      <c r="G362" s="38" t="n"/>
      <c r="H362" s="38" t="n"/>
      <c r="I362" s="47" t="n"/>
      <c r="J362" s="38" t="n"/>
      <c r="K362" s="52">
        <f>IF(B362="","",IF(_xlfn.MINIFS('JOBS'!$B$5:$B$1504,'JOBS'!$D$5:$D$1504,B362,'JOBS'!$O$5:$O$1504,"Completed")=0,"",_xlfn.MINIFS('JOBS'!$B$5:$B$1504,'JOBS'!$D$5:$D$1504,B362,'JOBS'!$O$5:$O$1504,"Completed")))</f>
        <v/>
      </c>
      <c r="L362" s="52">
        <f>IF(B362="","",IF(_xlfn.MAXIFS('JOBS'!$B$5:$B$1504,'JOBS'!$D$5:$D$1504,B362,'JOBS'!$O$5:$O$1504,"Completed")=0,"",_xlfn.MAXIFS('JOBS'!$B$5:$B$1504,'JOBS'!$D$5:$D$1504,B362,'JOBS'!$O$5:$O$1504,"Completed")))</f>
        <v/>
      </c>
      <c r="M362" s="53">
        <f>IF(B362="","",COUNTIFS('JOBS'!$D$5:$D$1504,B362,'JOBS'!$O$5:$O$1504,"Completed"))</f>
        <v/>
      </c>
      <c r="N362" s="54">
        <f>IF(B362="","",SUMIFS('JOBS'!$L$5:$L$1504,'JOBS'!$D$5:$D$1504,B362,'JOBS'!$O$5:$O$1504,"Completed"))</f>
        <v/>
      </c>
      <c r="O362" s="55">
        <f>IF(B362="","",SUMIFS('JOBS'!$U$5:$U$1504,'JOBS'!$D$5:$D$1504,B362))</f>
        <v/>
      </c>
      <c r="P362" s="49">
        <f>IF(B362="","",IF(COUNTIFS('RECURRING'!$B$5:$B$154,B362,'RECURRING'!$J$5:$J$154,"Active")&gt;0,"Yes","No"))</f>
        <v/>
      </c>
      <c r="Q362" s="50">
        <f>IF(L362="","",AsOf-L362)</f>
        <v/>
      </c>
      <c r="R362" s="49">
        <f>IF(B362="","",IF(H362="Do not service","—",IF(O362&gt;0.005,"Collect balance",IF(M362=0,"Book first job",IF(AND(P362="No",Q362&gt;=ReactDays),"Reactivate",IF(COUNTIF('REVIEWS'!$A$5:$A$504,B362)=0,"Ask for review",IF(AND(P362="No",M362&gt;=1),"Offer recurring plan","—")))))))</f>
        <v/>
      </c>
      <c r="S362" s="53">
        <f>IF(B362="","",COUNTIF('REFERRALS'!$B$5:$B$204,B362))</f>
        <v/>
      </c>
    </row>
    <row r="363">
      <c r="A363" s="46" t="inlineStr">
        <is>
          <t>C-359</t>
        </is>
      </c>
      <c r="B363" s="38" t="n"/>
      <c r="C363" s="38" t="n"/>
      <c r="D363" s="38" t="n"/>
      <c r="E363" s="38" t="n"/>
      <c r="F363" s="38" t="n"/>
      <c r="G363" s="38" t="n"/>
      <c r="H363" s="38" t="n"/>
      <c r="I363" s="47" t="n"/>
      <c r="J363" s="38" t="n"/>
      <c r="K363" s="52">
        <f>IF(B363="","",IF(_xlfn.MINIFS('JOBS'!$B$5:$B$1504,'JOBS'!$D$5:$D$1504,B363,'JOBS'!$O$5:$O$1504,"Completed")=0,"",_xlfn.MINIFS('JOBS'!$B$5:$B$1504,'JOBS'!$D$5:$D$1504,B363,'JOBS'!$O$5:$O$1504,"Completed")))</f>
        <v/>
      </c>
      <c r="L363" s="52">
        <f>IF(B363="","",IF(_xlfn.MAXIFS('JOBS'!$B$5:$B$1504,'JOBS'!$D$5:$D$1504,B363,'JOBS'!$O$5:$O$1504,"Completed")=0,"",_xlfn.MAXIFS('JOBS'!$B$5:$B$1504,'JOBS'!$D$5:$D$1504,B363,'JOBS'!$O$5:$O$1504,"Completed")))</f>
        <v/>
      </c>
      <c r="M363" s="53">
        <f>IF(B363="","",COUNTIFS('JOBS'!$D$5:$D$1504,B363,'JOBS'!$O$5:$O$1504,"Completed"))</f>
        <v/>
      </c>
      <c r="N363" s="54">
        <f>IF(B363="","",SUMIFS('JOBS'!$L$5:$L$1504,'JOBS'!$D$5:$D$1504,B363,'JOBS'!$O$5:$O$1504,"Completed"))</f>
        <v/>
      </c>
      <c r="O363" s="55">
        <f>IF(B363="","",SUMIFS('JOBS'!$U$5:$U$1504,'JOBS'!$D$5:$D$1504,B363))</f>
        <v/>
      </c>
      <c r="P363" s="49">
        <f>IF(B363="","",IF(COUNTIFS('RECURRING'!$B$5:$B$154,B363,'RECURRING'!$J$5:$J$154,"Active")&gt;0,"Yes","No"))</f>
        <v/>
      </c>
      <c r="Q363" s="50">
        <f>IF(L363="","",AsOf-L363)</f>
        <v/>
      </c>
      <c r="R363" s="49">
        <f>IF(B363="","",IF(H363="Do not service","—",IF(O363&gt;0.005,"Collect balance",IF(M363=0,"Book first job",IF(AND(P363="No",Q363&gt;=ReactDays),"Reactivate",IF(COUNTIF('REVIEWS'!$A$5:$A$504,B363)=0,"Ask for review",IF(AND(P363="No",M363&gt;=1),"Offer recurring plan","—")))))))</f>
        <v/>
      </c>
      <c r="S363" s="53">
        <f>IF(B363="","",COUNTIF('REFERRALS'!$B$5:$B$204,B363))</f>
        <v/>
      </c>
    </row>
    <row r="364">
      <c r="A364" s="46" t="inlineStr">
        <is>
          <t>C-360</t>
        </is>
      </c>
      <c r="B364" s="38" t="n"/>
      <c r="C364" s="38" t="n"/>
      <c r="D364" s="38" t="n"/>
      <c r="E364" s="38" t="n"/>
      <c r="F364" s="38" t="n"/>
      <c r="G364" s="38" t="n"/>
      <c r="H364" s="38" t="n"/>
      <c r="I364" s="47" t="n"/>
      <c r="J364" s="38" t="n"/>
      <c r="K364" s="52">
        <f>IF(B364="","",IF(_xlfn.MINIFS('JOBS'!$B$5:$B$1504,'JOBS'!$D$5:$D$1504,B364,'JOBS'!$O$5:$O$1504,"Completed")=0,"",_xlfn.MINIFS('JOBS'!$B$5:$B$1504,'JOBS'!$D$5:$D$1504,B364,'JOBS'!$O$5:$O$1504,"Completed")))</f>
        <v/>
      </c>
      <c r="L364" s="52">
        <f>IF(B364="","",IF(_xlfn.MAXIFS('JOBS'!$B$5:$B$1504,'JOBS'!$D$5:$D$1504,B364,'JOBS'!$O$5:$O$1504,"Completed")=0,"",_xlfn.MAXIFS('JOBS'!$B$5:$B$1504,'JOBS'!$D$5:$D$1504,B364,'JOBS'!$O$5:$O$1504,"Completed")))</f>
        <v/>
      </c>
      <c r="M364" s="53">
        <f>IF(B364="","",COUNTIFS('JOBS'!$D$5:$D$1504,B364,'JOBS'!$O$5:$O$1504,"Completed"))</f>
        <v/>
      </c>
      <c r="N364" s="54">
        <f>IF(B364="","",SUMIFS('JOBS'!$L$5:$L$1504,'JOBS'!$D$5:$D$1504,B364,'JOBS'!$O$5:$O$1504,"Completed"))</f>
        <v/>
      </c>
      <c r="O364" s="55">
        <f>IF(B364="","",SUMIFS('JOBS'!$U$5:$U$1504,'JOBS'!$D$5:$D$1504,B364))</f>
        <v/>
      </c>
      <c r="P364" s="49">
        <f>IF(B364="","",IF(COUNTIFS('RECURRING'!$B$5:$B$154,B364,'RECURRING'!$J$5:$J$154,"Active")&gt;0,"Yes","No"))</f>
        <v/>
      </c>
      <c r="Q364" s="50">
        <f>IF(L364="","",AsOf-L364)</f>
        <v/>
      </c>
      <c r="R364" s="49">
        <f>IF(B364="","",IF(H364="Do not service","—",IF(O364&gt;0.005,"Collect balance",IF(M364=0,"Book first job",IF(AND(P364="No",Q364&gt;=ReactDays),"Reactivate",IF(COUNTIF('REVIEWS'!$A$5:$A$504,B364)=0,"Ask for review",IF(AND(P364="No",M364&gt;=1),"Offer recurring plan","—")))))))</f>
        <v/>
      </c>
      <c r="S364" s="53">
        <f>IF(B364="","",COUNTIF('REFERRALS'!$B$5:$B$204,B364))</f>
        <v/>
      </c>
    </row>
    <row r="365">
      <c r="A365" s="46" t="inlineStr">
        <is>
          <t>C-361</t>
        </is>
      </c>
      <c r="B365" s="38" t="n"/>
      <c r="C365" s="38" t="n"/>
      <c r="D365" s="38" t="n"/>
      <c r="E365" s="38" t="n"/>
      <c r="F365" s="38" t="n"/>
      <c r="G365" s="38" t="n"/>
      <c r="H365" s="38" t="n"/>
      <c r="I365" s="47" t="n"/>
      <c r="J365" s="38" t="n"/>
      <c r="K365" s="52">
        <f>IF(B365="","",IF(_xlfn.MINIFS('JOBS'!$B$5:$B$1504,'JOBS'!$D$5:$D$1504,B365,'JOBS'!$O$5:$O$1504,"Completed")=0,"",_xlfn.MINIFS('JOBS'!$B$5:$B$1504,'JOBS'!$D$5:$D$1504,B365,'JOBS'!$O$5:$O$1504,"Completed")))</f>
        <v/>
      </c>
      <c r="L365" s="52">
        <f>IF(B365="","",IF(_xlfn.MAXIFS('JOBS'!$B$5:$B$1504,'JOBS'!$D$5:$D$1504,B365,'JOBS'!$O$5:$O$1504,"Completed")=0,"",_xlfn.MAXIFS('JOBS'!$B$5:$B$1504,'JOBS'!$D$5:$D$1504,B365,'JOBS'!$O$5:$O$1504,"Completed")))</f>
        <v/>
      </c>
      <c r="M365" s="53">
        <f>IF(B365="","",COUNTIFS('JOBS'!$D$5:$D$1504,B365,'JOBS'!$O$5:$O$1504,"Completed"))</f>
        <v/>
      </c>
      <c r="N365" s="54">
        <f>IF(B365="","",SUMIFS('JOBS'!$L$5:$L$1504,'JOBS'!$D$5:$D$1504,B365,'JOBS'!$O$5:$O$1504,"Completed"))</f>
        <v/>
      </c>
      <c r="O365" s="55">
        <f>IF(B365="","",SUMIFS('JOBS'!$U$5:$U$1504,'JOBS'!$D$5:$D$1504,B365))</f>
        <v/>
      </c>
      <c r="P365" s="49">
        <f>IF(B365="","",IF(COUNTIFS('RECURRING'!$B$5:$B$154,B365,'RECURRING'!$J$5:$J$154,"Active")&gt;0,"Yes","No"))</f>
        <v/>
      </c>
      <c r="Q365" s="50">
        <f>IF(L365="","",AsOf-L365)</f>
        <v/>
      </c>
      <c r="R365" s="49">
        <f>IF(B365="","",IF(H365="Do not service","—",IF(O365&gt;0.005,"Collect balance",IF(M365=0,"Book first job",IF(AND(P365="No",Q365&gt;=ReactDays),"Reactivate",IF(COUNTIF('REVIEWS'!$A$5:$A$504,B365)=0,"Ask for review",IF(AND(P365="No",M365&gt;=1),"Offer recurring plan","—")))))))</f>
        <v/>
      </c>
      <c r="S365" s="53">
        <f>IF(B365="","",COUNTIF('REFERRALS'!$B$5:$B$204,B365))</f>
        <v/>
      </c>
    </row>
    <row r="366">
      <c r="A366" s="46" t="inlineStr">
        <is>
          <t>C-362</t>
        </is>
      </c>
      <c r="B366" s="38" t="n"/>
      <c r="C366" s="38" t="n"/>
      <c r="D366" s="38" t="n"/>
      <c r="E366" s="38" t="n"/>
      <c r="F366" s="38" t="n"/>
      <c r="G366" s="38" t="n"/>
      <c r="H366" s="38" t="n"/>
      <c r="I366" s="47" t="n"/>
      <c r="J366" s="38" t="n"/>
      <c r="K366" s="52">
        <f>IF(B366="","",IF(_xlfn.MINIFS('JOBS'!$B$5:$B$1504,'JOBS'!$D$5:$D$1504,B366,'JOBS'!$O$5:$O$1504,"Completed")=0,"",_xlfn.MINIFS('JOBS'!$B$5:$B$1504,'JOBS'!$D$5:$D$1504,B366,'JOBS'!$O$5:$O$1504,"Completed")))</f>
        <v/>
      </c>
      <c r="L366" s="52">
        <f>IF(B366="","",IF(_xlfn.MAXIFS('JOBS'!$B$5:$B$1504,'JOBS'!$D$5:$D$1504,B366,'JOBS'!$O$5:$O$1504,"Completed")=0,"",_xlfn.MAXIFS('JOBS'!$B$5:$B$1504,'JOBS'!$D$5:$D$1504,B366,'JOBS'!$O$5:$O$1504,"Completed")))</f>
        <v/>
      </c>
      <c r="M366" s="53">
        <f>IF(B366="","",COUNTIFS('JOBS'!$D$5:$D$1504,B366,'JOBS'!$O$5:$O$1504,"Completed"))</f>
        <v/>
      </c>
      <c r="N366" s="54">
        <f>IF(B366="","",SUMIFS('JOBS'!$L$5:$L$1504,'JOBS'!$D$5:$D$1504,B366,'JOBS'!$O$5:$O$1504,"Completed"))</f>
        <v/>
      </c>
      <c r="O366" s="55">
        <f>IF(B366="","",SUMIFS('JOBS'!$U$5:$U$1504,'JOBS'!$D$5:$D$1504,B366))</f>
        <v/>
      </c>
      <c r="P366" s="49">
        <f>IF(B366="","",IF(COUNTIFS('RECURRING'!$B$5:$B$154,B366,'RECURRING'!$J$5:$J$154,"Active")&gt;0,"Yes","No"))</f>
        <v/>
      </c>
      <c r="Q366" s="50">
        <f>IF(L366="","",AsOf-L366)</f>
        <v/>
      </c>
      <c r="R366" s="49">
        <f>IF(B366="","",IF(H366="Do not service","—",IF(O366&gt;0.005,"Collect balance",IF(M366=0,"Book first job",IF(AND(P366="No",Q366&gt;=ReactDays),"Reactivate",IF(COUNTIF('REVIEWS'!$A$5:$A$504,B366)=0,"Ask for review",IF(AND(P366="No",M366&gt;=1),"Offer recurring plan","—")))))))</f>
        <v/>
      </c>
      <c r="S366" s="53">
        <f>IF(B366="","",COUNTIF('REFERRALS'!$B$5:$B$204,B366))</f>
        <v/>
      </c>
    </row>
    <row r="367">
      <c r="A367" s="46" t="inlineStr">
        <is>
          <t>C-363</t>
        </is>
      </c>
      <c r="B367" s="38" t="n"/>
      <c r="C367" s="38" t="n"/>
      <c r="D367" s="38" t="n"/>
      <c r="E367" s="38" t="n"/>
      <c r="F367" s="38" t="n"/>
      <c r="G367" s="38" t="n"/>
      <c r="H367" s="38" t="n"/>
      <c r="I367" s="47" t="n"/>
      <c r="J367" s="38" t="n"/>
      <c r="K367" s="52">
        <f>IF(B367="","",IF(_xlfn.MINIFS('JOBS'!$B$5:$B$1504,'JOBS'!$D$5:$D$1504,B367,'JOBS'!$O$5:$O$1504,"Completed")=0,"",_xlfn.MINIFS('JOBS'!$B$5:$B$1504,'JOBS'!$D$5:$D$1504,B367,'JOBS'!$O$5:$O$1504,"Completed")))</f>
        <v/>
      </c>
      <c r="L367" s="52">
        <f>IF(B367="","",IF(_xlfn.MAXIFS('JOBS'!$B$5:$B$1504,'JOBS'!$D$5:$D$1504,B367,'JOBS'!$O$5:$O$1504,"Completed")=0,"",_xlfn.MAXIFS('JOBS'!$B$5:$B$1504,'JOBS'!$D$5:$D$1504,B367,'JOBS'!$O$5:$O$1504,"Completed")))</f>
        <v/>
      </c>
      <c r="M367" s="53">
        <f>IF(B367="","",COUNTIFS('JOBS'!$D$5:$D$1504,B367,'JOBS'!$O$5:$O$1504,"Completed"))</f>
        <v/>
      </c>
      <c r="N367" s="54">
        <f>IF(B367="","",SUMIFS('JOBS'!$L$5:$L$1504,'JOBS'!$D$5:$D$1504,B367,'JOBS'!$O$5:$O$1504,"Completed"))</f>
        <v/>
      </c>
      <c r="O367" s="55">
        <f>IF(B367="","",SUMIFS('JOBS'!$U$5:$U$1504,'JOBS'!$D$5:$D$1504,B367))</f>
        <v/>
      </c>
      <c r="P367" s="49">
        <f>IF(B367="","",IF(COUNTIFS('RECURRING'!$B$5:$B$154,B367,'RECURRING'!$J$5:$J$154,"Active")&gt;0,"Yes","No"))</f>
        <v/>
      </c>
      <c r="Q367" s="50">
        <f>IF(L367="","",AsOf-L367)</f>
        <v/>
      </c>
      <c r="R367" s="49">
        <f>IF(B367="","",IF(H367="Do not service","—",IF(O367&gt;0.005,"Collect balance",IF(M367=0,"Book first job",IF(AND(P367="No",Q367&gt;=ReactDays),"Reactivate",IF(COUNTIF('REVIEWS'!$A$5:$A$504,B367)=0,"Ask for review",IF(AND(P367="No",M367&gt;=1),"Offer recurring plan","—")))))))</f>
        <v/>
      </c>
      <c r="S367" s="53">
        <f>IF(B367="","",COUNTIF('REFERRALS'!$B$5:$B$204,B367))</f>
        <v/>
      </c>
    </row>
    <row r="368">
      <c r="A368" s="46" t="inlineStr">
        <is>
          <t>C-364</t>
        </is>
      </c>
      <c r="B368" s="38" t="n"/>
      <c r="C368" s="38" t="n"/>
      <c r="D368" s="38" t="n"/>
      <c r="E368" s="38" t="n"/>
      <c r="F368" s="38" t="n"/>
      <c r="G368" s="38" t="n"/>
      <c r="H368" s="38" t="n"/>
      <c r="I368" s="47" t="n"/>
      <c r="J368" s="38" t="n"/>
      <c r="K368" s="52">
        <f>IF(B368="","",IF(_xlfn.MINIFS('JOBS'!$B$5:$B$1504,'JOBS'!$D$5:$D$1504,B368,'JOBS'!$O$5:$O$1504,"Completed")=0,"",_xlfn.MINIFS('JOBS'!$B$5:$B$1504,'JOBS'!$D$5:$D$1504,B368,'JOBS'!$O$5:$O$1504,"Completed")))</f>
        <v/>
      </c>
      <c r="L368" s="52">
        <f>IF(B368="","",IF(_xlfn.MAXIFS('JOBS'!$B$5:$B$1504,'JOBS'!$D$5:$D$1504,B368,'JOBS'!$O$5:$O$1504,"Completed")=0,"",_xlfn.MAXIFS('JOBS'!$B$5:$B$1504,'JOBS'!$D$5:$D$1504,B368,'JOBS'!$O$5:$O$1504,"Completed")))</f>
        <v/>
      </c>
      <c r="M368" s="53">
        <f>IF(B368="","",COUNTIFS('JOBS'!$D$5:$D$1504,B368,'JOBS'!$O$5:$O$1504,"Completed"))</f>
        <v/>
      </c>
      <c r="N368" s="54">
        <f>IF(B368="","",SUMIFS('JOBS'!$L$5:$L$1504,'JOBS'!$D$5:$D$1504,B368,'JOBS'!$O$5:$O$1504,"Completed"))</f>
        <v/>
      </c>
      <c r="O368" s="55">
        <f>IF(B368="","",SUMIFS('JOBS'!$U$5:$U$1504,'JOBS'!$D$5:$D$1504,B368))</f>
        <v/>
      </c>
      <c r="P368" s="49">
        <f>IF(B368="","",IF(COUNTIFS('RECURRING'!$B$5:$B$154,B368,'RECURRING'!$J$5:$J$154,"Active")&gt;0,"Yes","No"))</f>
        <v/>
      </c>
      <c r="Q368" s="50">
        <f>IF(L368="","",AsOf-L368)</f>
        <v/>
      </c>
      <c r="R368" s="49">
        <f>IF(B368="","",IF(H368="Do not service","—",IF(O368&gt;0.005,"Collect balance",IF(M368=0,"Book first job",IF(AND(P368="No",Q368&gt;=ReactDays),"Reactivate",IF(COUNTIF('REVIEWS'!$A$5:$A$504,B368)=0,"Ask for review",IF(AND(P368="No",M368&gt;=1),"Offer recurring plan","—")))))))</f>
        <v/>
      </c>
      <c r="S368" s="53">
        <f>IF(B368="","",COUNTIF('REFERRALS'!$B$5:$B$204,B368))</f>
        <v/>
      </c>
    </row>
    <row r="369">
      <c r="A369" s="46" t="inlineStr">
        <is>
          <t>C-365</t>
        </is>
      </c>
      <c r="B369" s="38" t="n"/>
      <c r="C369" s="38" t="n"/>
      <c r="D369" s="38" t="n"/>
      <c r="E369" s="38" t="n"/>
      <c r="F369" s="38" t="n"/>
      <c r="G369" s="38" t="n"/>
      <c r="H369" s="38" t="n"/>
      <c r="I369" s="47" t="n"/>
      <c r="J369" s="38" t="n"/>
      <c r="K369" s="52">
        <f>IF(B369="","",IF(_xlfn.MINIFS('JOBS'!$B$5:$B$1504,'JOBS'!$D$5:$D$1504,B369,'JOBS'!$O$5:$O$1504,"Completed")=0,"",_xlfn.MINIFS('JOBS'!$B$5:$B$1504,'JOBS'!$D$5:$D$1504,B369,'JOBS'!$O$5:$O$1504,"Completed")))</f>
        <v/>
      </c>
      <c r="L369" s="52">
        <f>IF(B369="","",IF(_xlfn.MAXIFS('JOBS'!$B$5:$B$1504,'JOBS'!$D$5:$D$1504,B369,'JOBS'!$O$5:$O$1504,"Completed")=0,"",_xlfn.MAXIFS('JOBS'!$B$5:$B$1504,'JOBS'!$D$5:$D$1504,B369,'JOBS'!$O$5:$O$1504,"Completed")))</f>
        <v/>
      </c>
      <c r="M369" s="53">
        <f>IF(B369="","",COUNTIFS('JOBS'!$D$5:$D$1504,B369,'JOBS'!$O$5:$O$1504,"Completed"))</f>
        <v/>
      </c>
      <c r="N369" s="54">
        <f>IF(B369="","",SUMIFS('JOBS'!$L$5:$L$1504,'JOBS'!$D$5:$D$1504,B369,'JOBS'!$O$5:$O$1504,"Completed"))</f>
        <v/>
      </c>
      <c r="O369" s="55">
        <f>IF(B369="","",SUMIFS('JOBS'!$U$5:$U$1504,'JOBS'!$D$5:$D$1504,B369))</f>
        <v/>
      </c>
      <c r="P369" s="49">
        <f>IF(B369="","",IF(COUNTIFS('RECURRING'!$B$5:$B$154,B369,'RECURRING'!$J$5:$J$154,"Active")&gt;0,"Yes","No"))</f>
        <v/>
      </c>
      <c r="Q369" s="50">
        <f>IF(L369="","",AsOf-L369)</f>
        <v/>
      </c>
      <c r="R369" s="49">
        <f>IF(B369="","",IF(H369="Do not service","—",IF(O369&gt;0.005,"Collect balance",IF(M369=0,"Book first job",IF(AND(P369="No",Q369&gt;=ReactDays),"Reactivate",IF(COUNTIF('REVIEWS'!$A$5:$A$504,B369)=0,"Ask for review",IF(AND(P369="No",M369&gt;=1),"Offer recurring plan","—")))))))</f>
        <v/>
      </c>
      <c r="S369" s="53">
        <f>IF(B369="","",COUNTIF('REFERRALS'!$B$5:$B$204,B369))</f>
        <v/>
      </c>
    </row>
    <row r="370">
      <c r="A370" s="46" t="inlineStr">
        <is>
          <t>C-366</t>
        </is>
      </c>
      <c r="B370" s="38" t="n"/>
      <c r="C370" s="38" t="n"/>
      <c r="D370" s="38" t="n"/>
      <c r="E370" s="38" t="n"/>
      <c r="F370" s="38" t="n"/>
      <c r="G370" s="38" t="n"/>
      <c r="H370" s="38" t="n"/>
      <c r="I370" s="47" t="n"/>
      <c r="J370" s="38" t="n"/>
      <c r="K370" s="52">
        <f>IF(B370="","",IF(_xlfn.MINIFS('JOBS'!$B$5:$B$1504,'JOBS'!$D$5:$D$1504,B370,'JOBS'!$O$5:$O$1504,"Completed")=0,"",_xlfn.MINIFS('JOBS'!$B$5:$B$1504,'JOBS'!$D$5:$D$1504,B370,'JOBS'!$O$5:$O$1504,"Completed")))</f>
        <v/>
      </c>
      <c r="L370" s="52">
        <f>IF(B370="","",IF(_xlfn.MAXIFS('JOBS'!$B$5:$B$1504,'JOBS'!$D$5:$D$1504,B370,'JOBS'!$O$5:$O$1504,"Completed")=0,"",_xlfn.MAXIFS('JOBS'!$B$5:$B$1504,'JOBS'!$D$5:$D$1504,B370,'JOBS'!$O$5:$O$1504,"Completed")))</f>
        <v/>
      </c>
      <c r="M370" s="53">
        <f>IF(B370="","",COUNTIFS('JOBS'!$D$5:$D$1504,B370,'JOBS'!$O$5:$O$1504,"Completed"))</f>
        <v/>
      </c>
      <c r="N370" s="54">
        <f>IF(B370="","",SUMIFS('JOBS'!$L$5:$L$1504,'JOBS'!$D$5:$D$1504,B370,'JOBS'!$O$5:$O$1504,"Completed"))</f>
        <v/>
      </c>
      <c r="O370" s="55">
        <f>IF(B370="","",SUMIFS('JOBS'!$U$5:$U$1504,'JOBS'!$D$5:$D$1504,B370))</f>
        <v/>
      </c>
      <c r="P370" s="49">
        <f>IF(B370="","",IF(COUNTIFS('RECURRING'!$B$5:$B$154,B370,'RECURRING'!$J$5:$J$154,"Active")&gt;0,"Yes","No"))</f>
        <v/>
      </c>
      <c r="Q370" s="50">
        <f>IF(L370="","",AsOf-L370)</f>
        <v/>
      </c>
      <c r="R370" s="49">
        <f>IF(B370="","",IF(H370="Do not service","—",IF(O370&gt;0.005,"Collect balance",IF(M370=0,"Book first job",IF(AND(P370="No",Q370&gt;=ReactDays),"Reactivate",IF(COUNTIF('REVIEWS'!$A$5:$A$504,B370)=0,"Ask for review",IF(AND(P370="No",M370&gt;=1),"Offer recurring plan","—")))))))</f>
        <v/>
      </c>
      <c r="S370" s="53">
        <f>IF(B370="","",COUNTIF('REFERRALS'!$B$5:$B$204,B370))</f>
        <v/>
      </c>
    </row>
    <row r="371">
      <c r="A371" s="46" t="inlineStr">
        <is>
          <t>C-367</t>
        </is>
      </c>
      <c r="B371" s="38" t="n"/>
      <c r="C371" s="38" t="n"/>
      <c r="D371" s="38" t="n"/>
      <c r="E371" s="38" t="n"/>
      <c r="F371" s="38" t="n"/>
      <c r="G371" s="38" t="n"/>
      <c r="H371" s="38" t="n"/>
      <c r="I371" s="47" t="n"/>
      <c r="J371" s="38" t="n"/>
      <c r="K371" s="52">
        <f>IF(B371="","",IF(_xlfn.MINIFS('JOBS'!$B$5:$B$1504,'JOBS'!$D$5:$D$1504,B371,'JOBS'!$O$5:$O$1504,"Completed")=0,"",_xlfn.MINIFS('JOBS'!$B$5:$B$1504,'JOBS'!$D$5:$D$1504,B371,'JOBS'!$O$5:$O$1504,"Completed")))</f>
        <v/>
      </c>
      <c r="L371" s="52">
        <f>IF(B371="","",IF(_xlfn.MAXIFS('JOBS'!$B$5:$B$1504,'JOBS'!$D$5:$D$1504,B371,'JOBS'!$O$5:$O$1504,"Completed")=0,"",_xlfn.MAXIFS('JOBS'!$B$5:$B$1504,'JOBS'!$D$5:$D$1504,B371,'JOBS'!$O$5:$O$1504,"Completed")))</f>
        <v/>
      </c>
      <c r="M371" s="53">
        <f>IF(B371="","",COUNTIFS('JOBS'!$D$5:$D$1504,B371,'JOBS'!$O$5:$O$1504,"Completed"))</f>
        <v/>
      </c>
      <c r="N371" s="54">
        <f>IF(B371="","",SUMIFS('JOBS'!$L$5:$L$1504,'JOBS'!$D$5:$D$1504,B371,'JOBS'!$O$5:$O$1504,"Completed"))</f>
        <v/>
      </c>
      <c r="O371" s="55">
        <f>IF(B371="","",SUMIFS('JOBS'!$U$5:$U$1504,'JOBS'!$D$5:$D$1504,B371))</f>
        <v/>
      </c>
      <c r="P371" s="49">
        <f>IF(B371="","",IF(COUNTIFS('RECURRING'!$B$5:$B$154,B371,'RECURRING'!$J$5:$J$154,"Active")&gt;0,"Yes","No"))</f>
        <v/>
      </c>
      <c r="Q371" s="50">
        <f>IF(L371="","",AsOf-L371)</f>
        <v/>
      </c>
      <c r="R371" s="49">
        <f>IF(B371="","",IF(H371="Do not service","—",IF(O371&gt;0.005,"Collect balance",IF(M371=0,"Book first job",IF(AND(P371="No",Q371&gt;=ReactDays),"Reactivate",IF(COUNTIF('REVIEWS'!$A$5:$A$504,B371)=0,"Ask for review",IF(AND(P371="No",M371&gt;=1),"Offer recurring plan","—")))))))</f>
        <v/>
      </c>
      <c r="S371" s="53">
        <f>IF(B371="","",COUNTIF('REFERRALS'!$B$5:$B$204,B371))</f>
        <v/>
      </c>
    </row>
    <row r="372">
      <c r="A372" s="46" t="inlineStr">
        <is>
          <t>C-368</t>
        </is>
      </c>
      <c r="B372" s="38" t="n"/>
      <c r="C372" s="38" t="n"/>
      <c r="D372" s="38" t="n"/>
      <c r="E372" s="38" t="n"/>
      <c r="F372" s="38" t="n"/>
      <c r="G372" s="38" t="n"/>
      <c r="H372" s="38" t="n"/>
      <c r="I372" s="47" t="n"/>
      <c r="J372" s="38" t="n"/>
      <c r="K372" s="52">
        <f>IF(B372="","",IF(_xlfn.MINIFS('JOBS'!$B$5:$B$1504,'JOBS'!$D$5:$D$1504,B372,'JOBS'!$O$5:$O$1504,"Completed")=0,"",_xlfn.MINIFS('JOBS'!$B$5:$B$1504,'JOBS'!$D$5:$D$1504,B372,'JOBS'!$O$5:$O$1504,"Completed")))</f>
        <v/>
      </c>
      <c r="L372" s="52">
        <f>IF(B372="","",IF(_xlfn.MAXIFS('JOBS'!$B$5:$B$1504,'JOBS'!$D$5:$D$1504,B372,'JOBS'!$O$5:$O$1504,"Completed")=0,"",_xlfn.MAXIFS('JOBS'!$B$5:$B$1504,'JOBS'!$D$5:$D$1504,B372,'JOBS'!$O$5:$O$1504,"Completed")))</f>
        <v/>
      </c>
      <c r="M372" s="53">
        <f>IF(B372="","",COUNTIFS('JOBS'!$D$5:$D$1504,B372,'JOBS'!$O$5:$O$1504,"Completed"))</f>
        <v/>
      </c>
      <c r="N372" s="54">
        <f>IF(B372="","",SUMIFS('JOBS'!$L$5:$L$1504,'JOBS'!$D$5:$D$1504,B372,'JOBS'!$O$5:$O$1504,"Completed"))</f>
        <v/>
      </c>
      <c r="O372" s="55">
        <f>IF(B372="","",SUMIFS('JOBS'!$U$5:$U$1504,'JOBS'!$D$5:$D$1504,B372))</f>
        <v/>
      </c>
      <c r="P372" s="49">
        <f>IF(B372="","",IF(COUNTIFS('RECURRING'!$B$5:$B$154,B372,'RECURRING'!$J$5:$J$154,"Active")&gt;0,"Yes","No"))</f>
        <v/>
      </c>
      <c r="Q372" s="50">
        <f>IF(L372="","",AsOf-L372)</f>
        <v/>
      </c>
      <c r="R372" s="49">
        <f>IF(B372="","",IF(H372="Do not service","—",IF(O372&gt;0.005,"Collect balance",IF(M372=0,"Book first job",IF(AND(P372="No",Q372&gt;=ReactDays),"Reactivate",IF(COUNTIF('REVIEWS'!$A$5:$A$504,B372)=0,"Ask for review",IF(AND(P372="No",M372&gt;=1),"Offer recurring plan","—")))))))</f>
        <v/>
      </c>
      <c r="S372" s="53">
        <f>IF(B372="","",COUNTIF('REFERRALS'!$B$5:$B$204,B372))</f>
        <v/>
      </c>
    </row>
    <row r="373">
      <c r="A373" s="46" t="inlineStr">
        <is>
          <t>C-369</t>
        </is>
      </c>
      <c r="B373" s="38" t="n"/>
      <c r="C373" s="38" t="n"/>
      <c r="D373" s="38" t="n"/>
      <c r="E373" s="38" t="n"/>
      <c r="F373" s="38" t="n"/>
      <c r="G373" s="38" t="n"/>
      <c r="H373" s="38" t="n"/>
      <c r="I373" s="47" t="n"/>
      <c r="J373" s="38" t="n"/>
      <c r="K373" s="52">
        <f>IF(B373="","",IF(_xlfn.MINIFS('JOBS'!$B$5:$B$1504,'JOBS'!$D$5:$D$1504,B373,'JOBS'!$O$5:$O$1504,"Completed")=0,"",_xlfn.MINIFS('JOBS'!$B$5:$B$1504,'JOBS'!$D$5:$D$1504,B373,'JOBS'!$O$5:$O$1504,"Completed")))</f>
        <v/>
      </c>
      <c r="L373" s="52">
        <f>IF(B373="","",IF(_xlfn.MAXIFS('JOBS'!$B$5:$B$1504,'JOBS'!$D$5:$D$1504,B373,'JOBS'!$O$5:$O$1504,"Completed")=0,"",_xlfn.MAXIFS('JOBS'!$B$5:$B$1504,'JOBS'!$D$5:$D$1504,B373,'JOBS'!$O$5:$O$1504,"Completed")))</f>
        <v/>
      </c>
      <c r="M373" s="53">
        <f>IF(B373="","",COUNTIFS('JOBS'!$D$5:$D$1504,B373,'JOBS'!$O$5:$O$1504,"Completed"))</f>
        <v/>
      </c>
      <c r="N373" s="54">
        <f>IF(B373="","",SUMIFS('JOBS'!$L$5:$L$1504,'JOBS'!$D$5:$D$1504,B373,'JOBS'!$O$5:$O$1504,"Completed"))</f>
        <v/>
      </c>
      <c r="O373" s="55">
        <f>IF(B373="","",SUMIFS('JOBS'!$U$5:$U$1504,'JOBS'!$D$5:$D$1504,B373))</f>
        <v/>
      </c>
      <c r="P373" s="49">
        <f>IF(B373="","",IF(COUNTIFS('RECURRING'!$B$5:$B$154,B373,'RECURRING'!$J$5:$J$154,"Active")&gt;0,"Yes","No"))</f>
        <v/>
      </c>
      <c r="Q373" s="50">
        <f>IF(L373="","",AsOf-L373)</f>
        <v/>
      </c>
      <c r="R373" s="49">
        <f>IF(B373="","",IF(H373="Do not service","—",IF(O373&gt;0.005,"Collect balance",IF(M373=0,"Book first job",IF(AND(P373="No",Q373&gt;=ReactDays),"Reactivate",IF(COUNTIF('REVIEWS'!$A$5:$A$504,B373)=0,"Ask for review",IF(AND(P373="No",M373&gt;=1),"Offer recurring plan","—")))))))</f>
        <v/>
      </c>
      <c r="S373" s="53">
        <f>IF(B373="","",COUNTIF('REFERRALS'!$B$5:$B$204,B373))</f>
        <v/>
      </c>
    </row>
    <row r="374">
      <c r="A374" s="46" t="inlineStr">
        <is>
          <t>C-370</t>
        </is>
      </c>
      <c r="B374" s="38" t="n"/>
      <c r="C374" s="38" t="n"/>
      <c r="D374" s="38" t="n"/>
      <c r="E374" s="38" t="n"/>
      <c r="F374" s="38" t="n"/>
      <c r="G374" s="38" t="n"/>
      <c r="H374" s="38" t="n"/>
      <c r="I374" s="47" t="n"/>
      <c r="J374" s="38" t="n"/>
      <c r="K374" s="52">
        <f>IF(B374="","",IF(_xlfn.MINIFS('JOBS'!$B$5:$B$1504,'JOBS'!$D$5:$D$1504,B374,'JOBS'!$O$5:$O$1504,"Completed")=0,"",_xlfn.MINIFS('JOBS'!$B$5:$B$1504,'JOBS'!$D$5:$D$1504,B374,'JOBS'!$O$5:$O$1504,"Completed")))</f>
        <v/>
      </c>
      <c r="L374" s="52">
        <f>IF(B374="","",IF(_xlfn.MAXIFS('JOBS'!$B$5:$B$1504,'JOBS'!$D$5:$D$1504,B374,'JOBS'!$O$5:$O$1504,"Completed")=0,"",_xlfn.MAXIFS('JOBS'!$B$5:$B$1504,'JOBS'!$D$5:$D$1504,B374,'JOBS'!$O$5:$O$1504,"Completed")))</f>
        <v/>
      </c>
      <c r="M374" s="53">
        <f>IF(B374="","",COUNTIFS('JOBS'!$D$5:$D$1504,B374,'JOBS'!$O$5:$O$1504,"Completed"))</f>
        <v/>
      </c>
      <c r="N374" s="54">
        <f>IF(B374="","",SUMIFS('JOBS'!$L$5:$L$1504,'JOBS'!$D$5:$D$1504,B374,'JOBS'!$O$5:$O$1504,"Completed"))</f>
        <v/>
      </c>
      <c r="O374" s="55">
        <f>IF(B374="","",SUMIFS('JOBS'!$U$5:$U$1504,'JOBS'!$D$5:$D$1504,B374))</f>
        <v/>
      </c>
      <c r="P374" s="49">
        <f>IF(B374="","",IF(COUNTIFS('RECURRING'!$B$5:$B$154,B374,'RECURRING'!$J$5:$J$154,"Active")&gt;0,"Yes","No"))</f>
        <v/>
      </c>
      <c r="Q374" s="50">
        <f>IF(L374="","",AsOf-L374)</f>
        <v/>
      </c>
      <c r="R374" s="49">
        <f>IF(B374="","",IF(H374="Do not service","—",IF(O374&gt;0.005,"Collect balance",IF(M374=0,"Book first job",IF(AND(P374="No",Q374&gt;=ReactDays),"Reactivate",IF(COUNTIF('REVIEWS'!$A$5:$A$504,B374)=0,"Ask for review",IF(AND(P374="No",M374&gt;=1),"Offer recurring plan","—")))))))</f>
        <v/>
      </c>
      <c r="S374" s="53">
        <f>IF(B374="","",COUNTIF('REFERRALS'!$B$5:$B$204,B374))</f>
        <v/>
      </c>
    </row>
    <row r="375">
      <c r="A375" s="46" t="inlineStr">
        <is>
          <t>C-371</t>
        </is>
      </c>
      <c r="B375" s="38" t="n"/>
      <c r="C375" s="38" t="n"/>
      <c r="D375" s="38" t="n"/>
      <c r="E375" s="38" t="n"/>
      <c r="F375" s="38" t="n"/>
      <c r="G375" s="38" t="n"/>
      <c r="H375" s="38" t="n"/>
      <c r="I375" s="47" t="n"/>
      <c r="J375" s="38" t="n"/>
      <c r="K375" s="52">
        <f>IF(B375="","",IF(_xlfn.MINIFS('JOBS'!$B$5:$B$1504,'JOBS'!$D$5:$D$1504,B375,'JOBS'!$O$5:$O$1504,"Completed")=0,"",_xlfn.MINIFS('JOBS'!$B$5:$B$1504,'JOBS'!$D$5:$D$1504,B375,'JOBS'!$O$5:$O$1504,"Completed")))</f>
        <v/>
      </c>
      <c r="L375" s="52">
        <f>IF(B375="","",IF(_xlfn.MAXIFS('JOBS'!$B$5:$B$1504,'JOBS'!$D$5:$D$1504,B375,'JOBS'!$O$5:$O$1504,"Completed")=0,"",_xlfn.MAXIFS('JOBS'!$B$5:$B$1504,'JOBS'!$D$5:$D$1504,B375,'JOBS'!$O$5:$O$1504,"Completed")))</f>
        <v/>
      </c>
      <c r="M375" s="53">
        <f>IF(B375="","",COUNTIFS('JOBS'!$D$5:$D$1504,B375,'JOBS'!$O$5:$O$1504,"Completed"))</f>
        <v/>
      </c>
      <c r="N375" s="54">
        <f>IF(B375="","",SUMIFS('JOBS'!$L$5:$L$1504,'JOBS'!$D$5:$D$1504,B375,'JOBS'!$O$5:$O$1504,"Completed"))</f>
        <v/>
      </c>
      <c r="O375" s="55">
        <f>IF(B375="","",SUMIFS('JOBS'!$U$5:$U$1504,'JOBS'!$D$5:$D$1504,B375))</f>
        <v/>
      </c>
      <c r="P375" s="49">
        <f>IF(B375="","",IF(COUNTIFS('RECURRING'!$B$5:$B$154,B375,'RECURRING'!$J$5:$J$154,"Active")&gt;0,"Yes","No"))</f>
        <v/>
      </c>
      <c r="Q375" s="50">
        <f>IF(L375="","",AsOf-L375)</f>
        <v/>
      </c>
      <c r="R375" s="49">
        <f>IF(B375="","",IF(H375="Do not service","—",IF(O375&gt;0.005,"Collect balance",IF(M375=0,"Book first job",IF(AND(P375="No",Q375&gt;=ReactDays),"Reactivate",IF(COUNTIF('REVIEWS'!$A$5:$A$504,B375)=0,"Ask for review",IF(AND(P375="No",M375&gt;=1),"Offer recurring plan","—")))))))</f>
        <v/>
      </c>
      <c r="S375" s="53">
        <f>IF(B375="","",COUNTIF('REFERRALS'!$B$5:$B$204,B375))</f>
        <v/>
      </c>
    </row>
    <row r="376">
      <c r="A376" s="46" t="inlineStr">
        <is>
          <t>C-372</t>
        </is>
      </c>
      <c r="B376" s="38" t="n"/>
      <c r="C376" s="38" t="n"/>
      <c r="D376" s="38" t="n"/>
      <c r="E376" s="38" t="n"/>
      <c r="F376" s="38" t="n"/>
      <c r="G376" s="38" t="n"/>
      <c r="H376" s="38" t="n"/>
      <c r="I376" s="47" t="n"/>
      <c r="J376" s="38" t="n"/>
      <c r="K376" s="52">
        <f>IF(B376="","",IF(_xlfn.MINIFS('JOBS'!$B$5:$B$1504,'JOBS'!$D$5:$D$1504,B376,'JOBS'!$O$5:$O$1504,"Completed")=0,"",_xlfn.MINIFS('JOBS'!$B$5:$B$1504,'JOBS'!$D$5:$D$1504,B376,'JOBS'!$O$5:$O$1504,"Completed")))</f>
        <v/>
      </c>
      <c r="L376" s="52">
        <f>IF(B376="","",IF(_xlfn.MAXIFS('JOBS'!$B$5:$B$1504,'JOBS'!$D$5:$D$1504,B376,'JOBS'!$O$5:$O$1504,"Completed")=0,"",_xlfn.MAXIFS('JOBS'!$B$5:$B$1504,'JOBS'!$D$5:$D$1504,B376,'JOBS'!$O$5:$O$1504,"Completed")))</f>
        <v/>
      </c>
      <c r="M376" s="53">
        <f>IF(B376="","",COUNTIFS('JOBS'!$D$5:$D$1504,B376,'JOBS'!$O$5:$O$1504,"Completed"))</f>
        <v/>
      </c>
      <c r="N376" s="54">
        <f>IF(B376="","",SUMIFS('JOBS'!$L$5:$L$1504,'JOBS'!$D$5:$D$1504,B376,'JOBS'!$O$5:$O$1504,"Completed"))</f>
        <v/>
      </c>
      <c r="O376" s="55">
        <f>IF(B376="","",SUMIFS('JOBS'!$U$5:$U$1504,'JOBS'!$D$5:$D$1504,B376))</f>
        <v/>
      </c>
      <c r="P376" s="49">
        <f>IF(B376="","",IF(COUNTIFS('RECURRING'!$B$5:$B$154,B376,'RECURRING'!$J$5:$J$154,"Active")&gt;0,"Yes","No"))</f>
        <v/>
      </c>
      <c r="Q376" s="50">
        <f>IF(L376="","",AsOf-L376)</f>
        <v/>
      </c>
      <c r="R376" s="49">
        <f>IF(B376="","",IF(H376="Do not service","—",IF(O376&gt;0.005,"Collect balance",IF(M376=0,"Book first job",IF(AND(P376="No",Q376&gt;=ReactDays),"Reactivate",IF(COUNTIF('REVIEWS'!$A$5:$A$504,B376)=0,"Ask for review",IF(AND(P376="No",M376&gt;=1),"Offer recurring plan","—")))))))</f>
        <v/>
      </c>
      <c r="S376" s="53">
        <f>IF(B376="","",COUNTIF('REFERRALS'!$B$5:$B$204,B376))</f>
        <v/>
      </c>
    </row>
    <row r="377">
      <c r="A377" s="46" t="inlineStr">
        <is>
          <t>C-373</t>
        </is>
      </c>
      <c r="B377" s="38" t="n"/>
      <c r="C377" s="38" t="n"/>
      <c r="D377" s="38" t="n"/>
      <c r="E377" s="38" t="n"/>
      <c r="F377" s="38" t="n"/>
      <c r="G377" s="38" t="n"/>
      <c r="H377" s="38" t="n"/>
      <c r="I377" s="47" t="n"/>
      <c r="J377" s="38" t="n"/>
      <c r="K377" s="52">
        <f>IF(B377="","",IF(_xlfn.MINIFS('JOBS'!$B$5:$B$1504,'JOBS'!$D$5:$D$1504,B377,'JOBS'!$O$5:$O$1504,"Completed")=0,"",_xlfn.MINIFS('JOBS'!$B$5:$B$1504,'JOBS'!$D$5:$D$1504,B377,'JOBS'!$O$5:$O$1504,"Completed")))</f>
        <v/>
      </c>
      <c r="L377" s="52">
        <f>IF(B377="","",IF(_xlfn.MAXIFS('JOBS'!$B$5:$B$1504,'JOBS'!$D$5:$D$1504,B377,'JOBS'!$O$5:$O$1504,"Completed")=0,"",_xlfn.MAXIFS('JOBS'!$B$5:$B$1504,'JOBS'!$D$5:$D$1504,B377,'JOBS'!$O$5:$O$1504,"Completed")))</f>
        <v/>
      </c>
      <c r="M377" s="53">
        <f>IF(B377="","",COUNTIFS('JOBS'!$D$5:$D$1504,B377,'JOBS'!$O$5:$O$1504,"Completed"))</f>
        <v/>
      </c>
      <c r="N377" s="54">
        <f>IF(B377="","",SUMIFS('JOBS'!$L$5:$L$1504,'JOBS'!$D$5:$D$1504,B377,'JOBS'!$O$5:$O$1504,"Completed"))</f>
        <v/>
      </c>
      <c r="O377" s="55">
        <f>IF(B377="","",SUMIFS('JOBS'!$U$5:$U$1504,'JOBS'!$D$5:$D$1504,B377))</f>
        <v/>
      </c>
      <c r="P377" s="49">
        <f>IF(B377="","",IF(COUNTIFS('RECURRING'!$B$5:$B$154,B377,'RECURRING'!$J$5:$J$154,"Active")&gt;0,"Yes","No"))</f>
        <v/>
      </c>
      <c r="Q377" s="50">
        <f>IF(L377="","",AsOf-L377)</f>
        <v/>
      </c>
      <c r="R377" s="49">
        <f>IF(B377="","",IF(H377="Do not service","—",IF(O377&gt;0.005,"Collect balance",IF(M377=0,"Book first job",IF(AND(P377="No",Q377&gt;=ReactDays),"Reactivate",IF(COUNTIF('REVIEWS'!$A$5:$A$504,B377)=0,"Ask for review",IF(AND(P377="No",M377&gt;=1),"Offer recurring plan","—")))))))</f>
        <v/>
      </c>
      <c r="S377" s="53">
        <f>IF(B377="","",COUNTIF('REFERRALS'!$B$5:$B$204,B377))</f>
        <v/>
      </c>
    </row>
    <row r="378">
      <c r="A378" s="46" t="inlineStr">
        <is>
          <t>C-374</t>
        </is>
      </c>
      <c r="B378" s="38" t="n"/>
      <c r="C378" s="38" t="n"/>
      <c r="D378" s="38" t="n"/>
      <c r="E378" s="38" t="n"/>
      <c r="F378" s="38" t="n"/>
      <c r="G378" s="38" t="n"/>
      <c r="H378" s="38" t="n"/>
      <c r="I378" s="47" t="n"/>
      <c r="J378" s="38" t="n"/>
      <c r="K378" s="52">
        <f>IF(B378="","",IF(_xlfn.MINIFS('JOBS'!$B$5:$B$1504,'JOBS'!$D$5:$D$1504,B378,'JOBS'!$O$5:$O$1504,"Completed")=0,"",_xlfn.MINIFS('JOBS'!$B$5:$B$1504,'JOBS'!$D$5:$D$1504,B378,'JOBS'!$O$5:$O$1504,"Completed")))</f>
        <v/>
      </c>
      <c r="L378" s="52">
        <f>IF(B378="","",IF(_xlfn.MAXIFS('JOBS'!$B$5:$B$1504,'JOBS'!$D$5:$D$1504,B378,'JOBS'!$O$5:$O$1504,"Completed")=0,"",_xlfn.MAXIFS('JOBS'!$B$5:$B$1504,'JOBS'!$D$5:$D$1504,B378,'JOBS'!$O$5:$O$1504,"Completed")))</f>
        <v/>
      </c>
      <c r="M378" s="53">
        <f>IF(B378="","",COUNTIFS('JOBS'!$D$5:$D$1504,B378,'JOBS'!$O$5:$O$1504,"Completed"))</f>
        <v/>
      </c>
      <c r="N378" s="54">
        <f>IF(B378="","",SUMIFS('JOBS'!$L$5:$L$1504,'JOBS'!$D$5:$D$1504,B378,'JOBS'!$O$5:$O$1504,"Completed"))</f>
        <v/>
      </c>
      <c r="O378" s="55">
        <f>IF(B378="","",SUMIFS('JOBS'!$U$5:$U$1504,'JOBS'!$D$5:$D$1504,B378))</f>
        <v/>
      </c>
      <c r="P378" s="49">
        <f>IF(B378="","",IF(COUNTIFS('RECURRING'!$B$5:$B$154,B378,'RECURRING'!$J$5:$J$154,"Active")&gt;0,"Yes","No"))</f>
        <v/>
      </c>
      <c r="Q378" s="50">
        <f>IF(L378="","",AsOf-L378)</f>
        <v/>
      </c>
      <c r="R378" s="49">
        <f>IF(B378="","",IF(H378="Do not service","—",IF(O378&gt;0.005,"Collect balance",IF(M378=0,"Book first job",IF(AND(P378="No",Q378&gt;=ReactDays),"Reactivate",IF(COUNTIF('REVIEWS'!$A$5:$A$504,B378)=0,"Ask for review",IF(AND(P378="No",M378&gt;=1),"Offer recurring plan","—")))))))</f>
        <v/>
      </c>
      <c r="S378" s="53">
        <f>IF(B378="","",COUNTIF('REFERRALS'!$B$5:$B$204,B378))</f>
        <v/>
      </c>
    </row>
    <row r="379">
      <c r="A379" s="46" t="inlineStr">
        <is>
          <t>C-375</t>
        </is>
      </c>
      <c r="B379" s="38" t="n"/>
      <c r="C379" s="38" t="n"/>
      <c r="D379" s="38" t="n"/>
      <c r="E379" s="38" t="n"/>
      <c r="F379" s="38" t="n"/>
      <c r="G379" s="38" t="n"/>
      <c r="H379" s="38" t="n"/>
      <c r="I379" s="47" t="n"/>
      <c r="J379" s="38" t="n"/>
      <c r="K379" s="52">
        <f>IF(B379="","",IF(_xlfn.MINIFS('JOBS'!$B$5:$B$1504,'JOBS'!$D$5:$D$1504,B379,'JOBS'!$O$5:$O$1504,"Completed")=0,"",_xlfn.MINIFS('JOBS'!$B$5:$B$1504,'JOBS'!$D$5:$D$1504,B379,'JOBS'!$O$5:$O$1504,"Completed")))</f>
        <v/>
      </c>
      <c r="L379" s="52">
        <f>IF(B379="","",IF(_xlfn.MAXIFS('JOBS'!$B$5:$B$1504,'JOBS'!$D$5:$D$1504,B379,'JOBS'!$O$5:$O$1504,"Completed")=0,"",_xlfn.MAXIFS('JOBS'!$B$5:$B$1504,'JOBS'!$D$5:$D$1504,B379,'JOBS'!$O$5:$O$1504,"Completed")))</f>
        <v/>
      </c>
      <c r="M379" s="53">
        <f>IF(B379="","",COUNTIFS('JOBS'!$D$5:$D$1504,B379,'JOBS'!$O$5:$O$1504,"Completed"))</f>
        <v/>
      </c>
      <c r="N379" s="54">
        <f>IF(B379="","",SUMIFS('JOBS'!$L$5:$L$1504,'JOBS'!$D$5:$D$1504,B379,'JOBS'!$O$5:$O$1504,"Completed"))</f>
        <v/>
      </c>
      <c r="O379" s="55">
        <f>IF(B379="","",SUMIFS('JOBS'!$U$5:$U$1504,'JOBS'!$D$5:$D$1504,B379))</f>
        <v/>
      </c>
      <c r="P379" s="49">
        <f>IF(B379="","",IF(COUNTIFS('RECURRING'!$B$5:$B$154,B379,'RECURRING'!$J$5:$J$154,"Active")&gt;0,"Yes","No"))</f>
        <v/>
      </c>
      <c r="Q379" s="50">
        <f>IF(L379="","",AsOf-L379)</f>
        <v/>
      </c>
      <c r="R379" s="49">
        <f>IF(B379="","",IF(H379="Do not service","—",IF(O379&gt;0.005,"Collect balance",IF(M379=0,"Book first job",IF(AND(P379="No",Q379&gt;=ReactDays),"Reactivate",IF(COUNTIF('REVIEWS'!$A$5:$A$504,B379)=0,"Ask for review",IF(AND(P379="No",M379&gt;=1),"Offer recurring plan","—")))))))</f>
        <v/>
      </c>
      <c r="S379" s="53">
        <f>IF(B379="","",COUNTIF('REFERRALS'!$B$5:$B$204,B379))</f>
        <v/>
      </c>
    </row>
    <row r="380">
      <c r="A380" s="46" t="inlineStr">
        <is>
          <t>C-376</t>
        </is>
      </c>
      <c r="B380" s="38" t="n"/>
      <c r="C380" s="38" t="n"/>
      <c r="D380" s="38" t="n"/>
      <c r="E380" s="38" t="n"/>
      <c r="F380" s="38" t="n"/>
      <c r="G380" s="38" t="n"/>
      <c r="H380" s="38" t="n"/>
      <c r="I380" s="47" t="n"/>
      <c r="J380" s="38" t="n"/>
      <c r="K380" s="52">
        <f>IF(B380="","",IF(_xlfn.MINIFS('JOBS'!$B$5:$B$1504,'JOBS'!$D$5:$D$1504,B380,'JOBS'!$O$5:$O$1504,"Completed")=0,"",_xlfn.MINIFS('JOBS'!$B$5:$B$1504,'JOBS'!$D$5:$D$1504,B380,'JOBS'!$O$5:$O$1504,"Completed")))</f>
        <v/>
      </c>
      <c r="L380" s="52">
        <f>IF(B380="","",IF(_xlfn.MAXIFS('JOBS'!$B$5:$B$1504,'JOBS'!$D$5:$D$1504,B380,'JOBS'!$O$5:$O$1504,"Completed")=0,"",_xlfn.MAXIFS('JOBS'!$B$5:$B$1504,'JOBS'!$D$5:$D$1504,B380,'JOBS'!$O$5:$O$1504,"Completed")))</f>
        <v/>
      </c>
      <c r="M380" s="53">
        <f>IF(B380="","",COUNTIFS('JOBS'!$D$5:$D$1504,B380,'JOBS'!$O$5:$O$1504,"Completed"))</f>
        <v/>
      </c>
      <c r="N380" s="54">
        <f>IF(B380="","",SUMIFS('JOBS'!$L$5:$L$1504,'JOBS'!$D$5:$D$1504,B380,'JOBS'!$O$5:$O$1504,"Completed"))</f>
        <v/>
      </c>
      <c r="O380" s="55">
        <f>IF(B380="","",SUMIFS('JOBS'!$U$5:$U$1504,'JOBS'!$D$5:$D$1504,B380))</f>
        <v/>
      </c>
      <c r="P380" s="49">
        <f>IF(B380="","",IF(COUNTIFS('RECURRING'!$B$5:$B$154,B380,'RECURRING'!$J$5:$J$154,"Active")&gt;0,"Yes","No"))</f>
        <v/>
      </c>
      <c r="Q380" s="50">
        <f>IF(L380="","",AsOf-L380)</f>
        <v/>
      </c>
      <c r="R380" s="49">
        <f>IF(B380="","",IF(H380="Do not service","—",IF(O380&gt;0.005,"Collect balance",IF(M380=0,"Book first job",IF(AND(P380="No",Q380&gt;=ReactDays),"Reactivate",IF(COUNTIF('REVIEWS'!$A$5:$A$504,B380)=0,"Ask for review",IF(AND(P380="No",M380&gt;=1),"Offer recurring plan","—")))))))</f>
        <v/>
      </c>
      <c r="S380" s="53">
        <f>IF(B380="","",COUNTIF('REFERRALS'!$B$5:$B$204,B380))</f>
        <v/>
      </c>
    </row>
    <row r="381">
      <c r="A381" s="46" t="inlineStr">
        <is>
          <t>C-377</t>
        </is>
      </c>
      <c r="B381" s="38" t="n"/>
      <c r="C381" s="38" t="n"/>
      <c r="D381" s="38" t="n"/>
      <c r="E381" s="38" t="n"/>
      <c r="F381" s="38" t="n"/>
      <c r="G381" s="38" t="n"/>
      <c r="H381" s="38" t="n"/>
      <c r="I381" s="47" t="n"/>
      <c r="J381" s="38" t="n"/>
      <c r="K381" s="52">
        <f>IF(B381="","",IF(_xlfn.MINIFS('JOBS'!$B$5:$B$1504,'JOBS'!$D$5:$D$1504,B381,'JOBS'!$O$5:$O$1504,"Completed")=0,"",_xlfn.MINIFS('JOBS'!$B$5:$B$1504,'JOBS'!$D$5:$D$1504,B381,'JOBS'!$O$5:$O$1504,"Completed")))</f>
        <v/>
      </c>
      <c r="L381" s="52">
        <f>IF(B381="","",IF(_xlfn.MAXIFS('JOBS'!$B$5:$B$1504,'JOBS'!$D$5:$D$1504,B381,'JOBS'!$O$5:$O$1504,"Completed")=0,"",_xlfn.MAXIFS('JOBS'!$B$5:$B$1504,'JOBS'!$D$5:$D$1504,B381,'JOBS'!$O$5:$O$1504,"Completed")))</f>
        <v/>
      </c>
      <c r="M381" s="53">
        <f>IF(B381="","",COUNTIFS('JOBS'!$D$5:$D$1504,B381,'JOBS'!$O$5:$O$1504,"Completed"))</f>
        <v/>
      </c>
      <c r="N381" s="54">
        <f>IF(B381="","",SUMIFS('JOBS'!$L$5:$L$1504,'JOBS'!$D$5:$D$1504,B381,'JOBS'!$O$5:$O$1504,"Completed"))</f>
        <v/>
      </c>
      <c r="O381" s="55">
        <f>IF(B381="","",SUMIFS('JOBS'!$U$5:$U$1504,'JOBS'!$D$5:$D$1504,B381))</f>
        <v/>
      </c>
      <c r="P381" s="49">
        <f>IF(B381="","",IF(COUNTIFS('RECURRING'!$B$5:$B$154,B381,'RECURRING'!$J$5:$J$154,"Active")&gt;0,"Yes","No"))</f>
        <v/>
      </c>
      <c r="Q381" s="50">
        <f>IF(L381="","",AsOf-L381)</f>
        <v/>
      </c>
      <c r="R381" s="49">
        <f>IF(B381="","",IF(H381="Do not service","—",IF(O381&gt;0.005,"Collect balance",IF(M381=0,"Book first job",IF(AND(P381="No",Q381&gt;=ReactDays),"Reactivate",IF(COUNTIF('REVIEWS'!$A$5:$A$504,B381)=0,"Ask for review",IF(AND(P381="No",M381&gt;=1),"Offer recurring plan","—")))))))</f>
        <v/>
      </c>
      <c r="S381" s="53">
        <f>IF(B381="","",COUNTIF('REFERRALS'!$B$5:$B$204,B381))</f>
        <v/>
      </c>
    </row>
    <row r="382">
      <c r="A382" s="46" t="inlineStr">
        <is>
          <t>C-378</t>
        </is>
      </c>
      <c r="B382" s="38" t="n"/>
      <c r="C382" s="38" t="n"/>
      <c r="D382" s="38" t="n"/>
      <c r="E382" s="38" t="n"/>
      <c r="F382" s="38" t="n"/>
      <c r="G382" s="38" t="n"/>
      <c r="H382" s="38" t="n"/>
      <c r="I382" s="47" t="n"/>
      <c r="J382" s="38" t="n"/>
      <c r="K382" s="52">
        <f>IF(B382="","",IF(_xlfn.MINIFS('JOBS'!$B$5:$B$1504,'JOBS'!$D$5:$D$1504,B382,'JOBS'!$O$5:$O$1504,"Completed")=0,"",_xlfn.MINIFS('JOBS'!$B$5:$B$1504,'JOBS'!$D$5:$D$1504,B382,'JOBS'!$O$5:$O$1504,"Completed")))</f>
        <v/>
      </c>
      <c r="L382" s="52">
        <f>IF(B382="","",IF(_xlfn.MAXIFS('JOBS'!$B$5:$B$1504,'JOBS'!$D$5:$D$1504,B382,'JOBS'!$O$5:$O$1504,"Completed")=0,"",_xlfn.MAXIFS('JOBS'!$B$5:$B$1504,'JOBS'!$D$5:$D$1504,B382,'JOBS'!$O$5:$O$1504,"Completed")))</f>
        <v/>
      </c>
      <c r="M382" s="53">
        <f>IF(B382="","",COUNTIFS('JOBS'!$D$5:$D$1504,B382,'JOBS'!$O$5:$O$1504,"Completed"))</f>
        <v/>
      </c>
      <c r="N382" s="54">
        <f>IF(B382="","",SUMIFS('JOBS'!$L$5:$L$1504,'JOBS'!$D$5:$D$1504,B382,'JOBS'!$O$5:$O$1504,"Completed"))</f>
        <v/>
      </c>
      <c r="O382" s="55">
        <f>IF(B382="","",SUMIFS('JOBS'!$U$5:$U$1504,'JOBS'!$D$5:$D$1504,B382))</f>
        <v/>
      </c>
      <c r="P382" s="49">
        <f>IF(B382="","",IF(COUNTIFS('RECURRING'!$B$5:$B$154,B382,'RECURRING'!$J$5:$J$154,"Active")&gt;0,"Yes","No"))</f>
        <v/>
      </c>
      <c r="Q382" s="50">
        <f>IF(L382="","",AsOf-L382)</f>
        <v/>
      </c>
      <c r="R382" s="49">
        <f>IF(B382="","",IF(H382="Do not service","—",IF(O382&gt;0.005,"Collect balance",IF(M382=0,"Book first job",IF(AND(P382="No",Q382&gt;=ReactDays),"Reactivate",IF(COUNTIF('REVIEWS'!$A$5:$A$504,B382)=0,"Ask for review",IF(AND(P382="No",M382&gt;=1),"Offer recurring plan","—")))))))</f>
        <v/>
      </c>
      <c r="S382" s="53">
        <f>IF(B382="","",COUNTIF('REFERRALS'!$B$5:$B$204,B382))</f>
        <v/>
      </c>
    </row>
    <row r="383">
      <c r="A383" s="46" t="inlineStr">
        <is>
          <t>C-379</t>
        </is>
      </c>
      <c r="B383" s="38" t="n"/>
      <c r="C383" s="38" t="n"/>
      <c r="D383" s="38" t="n"/>
      <c r="E383" s="38" t="n"/>
      <c r="F383" s="38" t="n"/>
      <c r="G383" s="38" t="n"/>
      <c r="H383" s="38" t="n"/>
      <c r="I383" s="47" t="n"/>
      <c r="J383" s="38" t="n"/>
      <c r="K383" s="52">
        <f>IF(B383="","",IF(_xlfn.MINIFS('JOBS'!$B$5:$B$1504,'JOBS'!$D$5:$D$1504,B383,'JOBS'!$O$5:$O$1504,"Completed")=0,"",_xlfn.MINIFS('JOBS'!$B$5:$B$1504,'JOBS'!$D$5:$D$1504,B383,'JOBS'!$O$5:$O$1504,"Completed")))</f>
        <v/>
      </c>
      <c r="L383" s="52">
        <f>IF(B383="","",IF(_xlfn.MAXIFS('JOBS'!$B$5:$B$1504,'JOBS'!$D$5:$D$1504,B383,'JOBS'!$O$5:$O$1504,"Completed")=0,"",_xlfn.MAXIFS('JOBS'!$B$5:$B$1504,'JOBS'!$D$5:$D$1504,B383,'JOBS'!$O$5:$O$1504,"Completed")))</f>
        <v/>
      </c>
      <c r="M383" s="53">
        <f>IF(B383="","",COUNTIFS('JOBS'!$D$5:$D$1504,B383,'JOBS'!$O$5:$O$1504,"Completed"))</f>
        <v/>
      </c>
      <c r="N383" s="54">
        <f>IF(B383="","",SUMIFS('JOBS'!$L$5:$L$1504,'JOBS'!$D$5:$D$1504,B383,'JOBS'!$O$5:$O$1504,"Completed"))</f>
        <v/>
      </c>
      <c r="O383" s="55">
        <f>IF(B383="","",SUMIFS('JOBS'!$U$5:$U$1504,'JOBS'!$D$5:$D$1504,B383))</f>
        <v/>
      </c>
      <c r="P383" s="49">
        <f>IF(B383="","",IF(COUNTIFS('RECURRING'!$B$5:$B$154,B383,'RECURRING'!$J$5:$J$154,"Active")&gt;0,"Yes","No"))</f>
        <v/>
      </c>
      <c r="Q383" s="50">
        <f>IF(L383="","",AsOf-L383)</f>
        <v/>
      </c>
      <c r="R383" s="49">
        <f>IF(B383="","",IF(H383="Do not service","—",IF(O383&gt;0.005,"Collect balance",IF(M383=0,"Book first job",IF(AND(P383="No",Q383&gt;=ReactDays),"Reactivate",IF(COUNTIF('REVIEWS'!$A$5:$A$504,B383)=0,"Ask for review",IF(AND(P383="No",M383&gt;=1),"Offer recurring plan","—")))))))</f>
        <v/>
      </c>
      <c r="S383" s="53">
        <f>IF(B383="","",COUNTIF('REFERRALS'!$B$5:$B$204,B383))</f>
        <v/>
      </c>
    </row>
    <row r="384">
      <c r="A384" s="46" t="inlineStr">
        <is>
          <t>C-380</t>
        </is>
      </c>
      <c r="B384" s="38" t="n"/>
      <c r="C384" s="38" t="n"/>
      <c r="D384" s="38" t="n"/>
      <c r="E384" s="38" t="n"/>
      <c r="F384" s="38" t="n"/>
      <c r="G384" s="38" t="n"/>
      <c r="H384" s="38" t="n"/>
      <c r="I384" s="47" t="n"/>
      <c r="J384" s="38" t="n"/>
      <c r="K384" s="52">
        <f>IF(B384="","",IF(_xlfn.MINIFS('JOBS'!$B$5:$B$1504,'JOBS'!$D$5:$D$1504,B384,'JOBS'!$O$5:$O$1504,"Completed")=0,"",_xlfn.MINIFS('JOBS'!$B$5:$B$1504,'JOBS'!$D$5:$D$1504,B384,'JOBS'!$O$5:$O$1504,"Completed")))</f>
        <v/>
      </c>
      <c r="L384" s="52">
        <f>IF(B384="","",IF(_xlfn.MAXIFS('JOBS'!$B$5:$B$1504,'JOBS'!$D$5:$D$1504,B384,'JOBS'!$O$5:$O$1504,"Completed")=0,"",_xlfn.MAXIFS('JOBS'!$B$5:$B$1504,'JOBS'!$D$5:$D$1504,B384,'JOBS'!$O$5:$O$1504,"Completed")))</f>
        <v/>
      </c>
      <c r="M384" s="53">
        <f>IF(B384="","",COUNTIFS('JOBS'!$D$5:$D$1504,B384,'JOBS'!$O$5:$O$1504,"Completed"))</f>
        <v/>
      </c>
      <c r="N384" s="54">
        <f>IF(B384="","",SUMIFS('JOBS'!$L$5:$L$1504,'JOBS'!$D$5:$D$1504,B384,'JOBS'!$O$5:$O$1504,"Completed"))</f>
        <v/>
      </c>
      <c r="O384" s="55">
        <f>IF(B384="","",SUMIFS('JOBS'!$U$5:$U$1504,'JOBS'!$D$5:$D$1504,B384))</f>
        <v/>
      </c>
      <c r="P384" s="49">
        <f>IF(B384="","",IF(COUNTIFS('RECURRING'!$B$5:$B$154,B384,'RECURRING'!$J$5:$J$154,"Active")&gt;0,"Yes","No"))</f>
        <v/>
      </c>
      <c r="Q384" s="50">
        <f>IF(L384="","",AsOf-L384)</f>
        <v/>
      </c>
      <c r="R384" s="49">
        <f>IF(B384="","",IF(H384="Do not service","—",IF(O384&gt;0.005,"Collect balance",IF(M384=0,"Book first job",IF(AND(P384="No",Q384&gt;=ReactDays),"Reactivate",IF(COUNTIF('REVIEWS'!$A$5:$A$504,B384)=0,"Ask for review",IF(AND(P384="No",M384&gt;=1),"Offer recurring plan","—")))))))</f>
        <v/>
      </c>
      <c r="S384" s="53">
        <f>IF(B384="","",COUNTIF('REFERRALS'!$B$5:$B$204,B384))</f>
        <v/>
      </c>
    </row>
    <row r="385">
      <c r="A385" s="46" t="inlineStr">
        <is>
          <t>C-381</t>
        </is>
      </c>
      <c r="B385" s="38" t="n"/>
      <c r="C385" s="38" t="n"/>
      <c r="D385" s="38" t="n"/>
      <c r="E385" s="38" t="n"/>
      <c r="F385" s="38" t="n"/>
      <c r="G385" s="38" t="n"/>
      <c r="H385" s="38" t="n"/>
      <c r="I385" s="47" t="n"/>
      <c r="J385" s="38" t="n"/>
      <c r="K385" s="52">
        <f>IF(B385="","",IF(_xlfn.MINIFS('JOBS'!$B$5:$B$1504,'JOBS'!$D$5:$D$1504,B385,'JOBS'!$O$5:$O$1504,"Completed")=0,"",_xlfn.MINIFS('JOBS'!$B$5:$B$1504,'JOBS'!$D$5:$D$1504,B385,'JOBS'!$O$5:$O$1504,"Completed")))</f>
        <v/>
      </c>
      <c r="L385" s="52">
        <f>IF(B385="","",IF(_xlfn.MAXIFS('JOBS'!$B$5:$B$1504,'JOBS'!$D$5:$D$1504,B385,'JOBS'!$O$5:$O$1504,"Completed")=0,"",_xlfn.MAXIFS('JOBS'!$B$5:$B$1504,'JOBS'!$D$5:$D$1504,B385,'JOBS'!$O$5:$O$1504,"Completed")))</f>
        <v/>
      </c>
      <c r="M385" s="53">
        <f>IF(B385="","",COUNTIFS('JOBS'!$D$5:$D$1504,B385,'JOBS'!$O$5:$O$1504,"Completed"))</f>
        <v/>
      </c>
      <c r="N385" s="54">
        <f>IF(B385="","",SUMIFS('JOBS'!$L$5:$L$1504,'JOBS'!$D$5:$D$1504,B385,'JOBS'!$O$5:$O$1504,"Completed"))</f>
        <v/>
      </c>
      <c r="O385" s="55">
        <f>IF(B385="","",SUMIFS('JOBS'!$U$5:$U$1504,'JOBS'!$D$5:$D$1504,B385))</f>
        <v/>
      </c>
      <c r="P385" s="49">
        <f>IF(B385="","",IF(COUNTIFS('RECURRING'!$B$5:$B$154,B385,'RECURRING'!$J$5:$J$154,"Active")&gt;0,"Yes","No"))</f>
        <v/>
      </c>
      <c r="Q385" s="50">
        <f>IF(L385="","",AsOf-L385)</f>
        <v/>
      </c>
      <c r="R385" s="49">
        <f>IF(B385="","",IF(H385="Do not service","—",IF(O385&gt;0.005,"Collect balance",IF(M385=0,"Book first job",IF(AND(P385="No",Q385&gt;=ReactDays),"Reactivate",IF(COUNTIF('REVIEWS'!$A$5:$A$504,B385)=0,"Ask for review",IF(AND(P385="No",M385&gt;=1),"Offer recurring plan","—")))))))</f>
        <v/>
      </c>
      <c r="S385" s="53">
        <f>IF(B385="","",COUNTIF('REFERRALS'!$B$5:$B$204,B385))</f>
        <v/>
      </c>
    </row>
    <row r="386">
      <c r="A386" s="46" t="inlineStr">
        <is>
          <t>C-382</t>
        </is>
      </c>
      <c r="B386" s="38" t="n"/>
      <c r="C386" s="38" t="n"/>
      <c r="D386" s="38" t="n"/>
      <c r="E386" s="38" t="n"/>
      <c r="F386" s="38" t="n"/>
      <c r="G386" s="38" t="n"/>
      <c r="H386" s="38" t="n"/>
      <c r="I386" s="47" t="n"/>
      <c r="J386" s="38" t="n"/>
      <c r="K386" s="52">
        <f>IF(B386="","",IF(_xlfn.MINIFS('JOBS'!$B$5:$B$1504,'JOBS'!$D$5:$D$1504,B386,'JOBS'!$O$5:$O$1504,"Completed")=0,"",_xlfn.MINIFS('JOBS'!$B$5:$B$1504,'JOBS'!$D$5:$D$1504,B386,'JOBS'!$O$5:$O$1504,"Completed")))</f>
        <v/>
      </c>
      <c r="L386" s="52">
        <f>IF(B386="","",IF(_xlfn.MAXIFS('JOBS'!$B$5:$B$1504,'JOBS'!$D$5:$D$1504,B386,'JOBS'!$O$5:$O$1504,"Completed")=0,"",_xlfn.MAXIFS('JOBS'!$B$5:$B$1504,'JOBS'!$D$5:$D$1504,B386,'JOBS'!$O$5:$O$1504,"Completed")))</f>
        <v/>
      </c>
      <c r="M386" s="53">
        <f>IF(B386="","",COUNTIFS('JOBS'!$D$5:$D$1504,B386,'JOBS'!$O$5:$O$1504,"Completed"))</f>
        <v/>
      </c>
      <c r="N386" s="54">
        <f>IF(B386="","",SUMIFS('JOBS'!$L$5:$L$1504,'JOBS'!$D$5:$D$1504,B386,'JOBS'!$O$5:$O$1504,"Completed"))</f>
        <v/>
      </c>
      <c r="O386" s="55">
        <f>IF(B386="","",SUMIFS('JOBS'!$U$5:$U$1504,'JOBS'!$D$5:$D$1504,B386))</f>
        <v/>
      </c>
      <c r="P386" s="49">
        <f>IF(B386="","",IF(COUNTIFS('RECURRING'!$B$5:$B$154,B386,'RECURRING'!$J$5:$J$154,"Active")&gt;0,"Yes","No"))</f>
        <v/>
      </c>
      <c r="Q386" s="50">
        <f>IF(L386="","",AsOf-L386)</f>
        <v/>
      </c>
      <c r="R386" s="49">
        <f>IF(B386="","",IF(H386="Do not service","—",IF(O386&gt;0.005,"Collect balance",IF(M386=0,"Book first job",IF(AND(P386="No",Q386&gt;=ReactDays),"Reactivate",IF(COUNTIF('REVIEWS'!$A$5:$A$504,B386)=0,"Ask for review",IF(AND(P386="No",M386&gt;=1),"Offer recurring plan","—")))))))</f>
        <v/>
      </c>
      <c r="S386" s="53">
        <f>IF(B386="","",COUNTIF('REFERRALS'!$B$5:$B$204,B386))</f>
        <v/>
      </c>
    </row>
    <row r="387">
      <c r="A387" s="46" t="inlineStr">
        <is>
          <t>C-383</t>
        </is>
      </c>
      <c r="B387" s="38" t="n"/>
      <c r="C387" s="38" t="n"/>
      <c r="D387" s="38" t="n"/>
      <c r="E387" s="38" t="n"/>
      <c r="F387" s="38" t="n"/>
      <c r="G387" s="38" t="n"/>
      <c r="H387" s="38" t="n"/>
      <c r="I387" s="47" t="n"/>
      <c r="J387" s="38" t="n"/>
      <c r="K387" s="52">
        <f>IF(B387="","",IF(_xlfn.MINIFS('JOBS'!$B$5:$B$1504,'JOBS'!$D$5:$D$1504,B387,'JOBS'!$O$5:$O$1504,"Completed")=0,"",_xlfn.MINIFS('JOBS'!$B$5:$B$1504,'JOBS'!$D$5:$D$1504,B387,'JOBS'!$O$5:$O$1504,"Completed")))</f>
        <v/>
      </c>
      <c r="L387" s="52">
        <f>IF(B387="","",IF(_xlfn.MAXIFS('JOBS'!$B$5:$B$1504,'JOBS'!$D$5:$D$1504,B387,'JOBS'!$O$5:$O$1504,"Completed")=0,"",_xlfn.MAXIFS('JOBS'!$B$5:$B$1504,'JOBS'!$D$5:$D$1504,B387,'JOBS'!$O$5:$O$1504,"Completed")))</f>
        <v/>
      </c>
      <c r="M387" s="53">
        <f>IF(B387="","",COUNTIFS('JOBS'!$D$5:$D$1504,B387,'JOBS'!$O$5:$O$1504,"Completed"))</f>
        <v/>
      </c>
      <c r="N387" s="54">
        <f>IF(B387="","",SUMIFS('JOBS'!$L$5:$L$1504,'JOBS'!$D$5:$D$1504,B387,'JOBS'!$O$5:$O$1504,"Completed"))</f>
        <v/>
      </c>
      <c r="O387" s="55">
        <f>IF(B387="","",SUMIFS('JOBS'!$U$5:$U$1504,'JOBS'!$D$5:$D$1504,B387))</f>
        <v/>
      </c>
      <c r="P387" s="49">
        <f>IF(B387="","",IF(COUNTIFS('RECURRING'!$B$5:$B$154,B387,'RECURRING'!$J$5:$J$154,"Active")&gt;0,"Yes","No"))</f>
        <v/>
      </c>
      <c r="Q387" s="50">
        <f>IF(L387="","",AsOf-L387)</f>
        <v/>
      </c>
      <c r="R387" s="49">
        <f>IF(B387="","",IF(H387="Do not service","—",IF(O387&gt;0.005,"Collect balance",IF(M387=0,"Book first job",IF(AND(P387="No",Q387&gt;=ReactDays),"Reactivate",IF(COUNTIF('REVIEWS'!$A$5:$A$504,B387)=0,"Ask for review",IF(AND(P387="No",M387&gt;=1),"Offer recurring plan","—")))))))</f>
        <v/>
      </c>
      <c r="S387" s="53">
        <f>IF(B387="","",COUNTIF('REFERRALS'!$B$5:$B$204,B387))</f>
        <v/>
      </c>
    </row>
    <row r="388">
      <c r="A388" s="46" t="inlineStr">
        <is>
          <t>C-384</t>
        </is>
      </c>
      <c r="B388" s="38" t="n"/>
      <c r="C388" s="38" t="n"/>
      <c r="D388" s="38" t="n"/>
      <c r="E388" s="38" t="n"/>
      <c r="F388" s="38" t="n"/>
      <c r="G388" s="38" t="n"/>
      <c r="H388" s="38" t="n"/>
      <c r="I388" s="47" t="n"/>
      <c r="J388" s="38" t="n"/>
      <c r="K388" s="52">
        <f>IF(B388="","",IF(_xlfn.MINIFS('JOBS'!$B$5:$B$1504,'JOBS'!$D$5:$D$1504,B388,'JOBS'!$O$5:$O$1504,"Completed")=0,"",_xlfn.MINIFS('JOBS'!$B$5:$B$1504,'JOBS'!$D$5:$D$1504,B388,'JOBS'!$O$5:$O$1504,"Completed")))</f>
        <v/>
      </c>
      <c r="L388" s="52">
        <f>IF(B388="","",IF(_xlfn.MAXIFS('JOBS'!$B$5:$B$1504,'JOBS'!$D$5:$D$1504,B388,'JOBS'!$O$5:$O$1504,"Completed")=0,"",_xlfn.MAXIFS('JOBS'!$B$5:$B$1504,'JOBS'!$D$5:$D$1504,B388,'JOBS'!$O$5:$O$1504,"Completed")))</f>
        <v/>
      </c>
      <c r="M388" s="53">
        <f>IF(B388="","",COUNTIFS('JOBS'!$D$5:$D$1504,B388,'JOBS'!$O$5:$O$1504,"Completed"))</f>
        <v/>
      </c>
      <c r="N388" s="54">
        <f>IF(B388="","",SUMIFS('JOBS'!$L$5:$L$1504,'JOBS'!$D$5:$D$1504,B388,'JOBS'!$O$5:$O$1504,"Completed"))</f>
        <v/>
      </c>
      <c r="O388" s="55">
        <f>IF(B388="","",SUMIFS('JOBS'!$U$5:$U$1504,'JOBS'!$D$5:$D$1504,B388))</f>
        <v/>
      </c>
      <c r="P388" s="49">
        <f>IF(B388="","",IF(COUNTIFS('RECURRING'!$B$5:$B$154,B388,'RECURRING'!$J$5:$J$154,"Active")&gt;0,"Yes","No"))</f>
        <v/>
      </c>
      <c r="Q388" s="50">
        <f>IF(L388="","",AsOf-L388)</f>
        <v/>
      </c>
      <c r="R388" s="49">
        <f>IF(B388="","",IF(H388="Do not service","—",IF(O388&gt;0.005,"Collect balance",IF(M388=0,"Book first job",IF(AND(P388="No",Q388&gt;=ReactDays),"Reactivate",IF(COUNTIF('REVIEWS'!$A$5:$A$504,B388)=0,"Ask for review",IF(AND(P388="No",M388&gt;=1),"Offer recurring plan","—")))))))</f>
        <v/>
      </c>
      <c r="S388" s="53">
        <f>IF(B388="","",COUNTIF('REFERRALS'!$B$5:$B$204,B388))</f>
        <v/>
      </c>
    </row>
    <row r="389">
      <c r="A389" s="46" t="inlineStr">
        <is>
          <t>C-385</t>
        </is>
      </c>
      <c r="B389" s="38" t="n"/>
      <c r="C389" s="38" t="n"/>
      <c r="D389" s="38" t="n"/>
      <c r="E389" s="38" t="n"/>
      <c r="F389" s="38" t="n"/>
      <c r="G389" s="38" t="n"/>
      <c r="H389" s="38" t="n"/>
      <c r="I389" s="47" t="n"/>
      <c r="J389" s="38" t="n"/>
      <c r="K389" s="52">
        <f>IF(B389="","",IF(_xlfn.MINIFS('JOBS'!$B$5:$B$1504,'JOBS'!$D$5:$D$1504,B389,'JOBS'!$O$5:$O$1504,"Completed")=0,"",_xlfn.MINIFS('JOBS'!$B$5:$B$1504,'JOBS'!$D$5:$D$1504,B389,'JOBS'!$O$5:$O$1504,"Completed")))</f>
        <v/>
      </c>
      <c r="L389" s="52">
        <f>IF(B389="","",IF(_xlfn.MAXIFS('JOBS'!$B$5:$B$1504,'JOBS'!$D$5:$D$1504,B389,'JOBS'!$O$5:$O$1504,"Completed")=0,"",_xlfn.MAXIFS('JOBS'!$B$5:$B$1504,'JOBS'!$D$5:$D$1504,B389,'JOBS'!$O$5:$O$1504,"Completed")))</f>
        <v/>
      </c>
      <c r="M389" s="53">
        <f>IF(B389="","",COUNTIFS('JOBS'!$D$5:$D$1504,B389,'JOBS'!$O$5:$O$1504,"Completed"))</f>
        <v/>
      </c>
      <c r="N389" s="54">
        <f>IF(B389="","",SUMIFS('JOBS'!$L$5:$L$1504,'JOBS'!$D$5:$D$1504,B389,'JOBS'!$O$5:$O$1504,"Completed"))</f>
        <v/>
      </c>
      <c r="O389" s="55">
        <f>IF(B389="","",SUMIFS('JOBS'!$U$5:$U$1504,'JOBS'!$D$5:$D$1504,B389))</f>
        <v/>
      </c>
      <c r="P389" s="49">
        <f>IF(B389="","",IF(COUNTIFS('RECURRING'!$B$5:$B$154,B389,'RECURRING'!$J$5:$J$154,"Active")&gt;0,"Yes","No"))</f>
        <v/>
      </c>
      <c r="Q389" s="50">
        <f>IF(L389="","",AsOf-L389)</f>
        <v/>
      </c>
      <c r="R389" s="49">
        <f>IF(B389="","",IF(H389="Do not service","—",IF(O389&gt;0.005,"Collect balance",IF(M389=0,"Book first job",IF(AND(P389="No",Q389&gt;=ReactDays),"Reactivate",IF(COUNTIF('REVIEWS'!$A$5:$A$504,B389)=0,"Ask for review",IF(AND(P389="No",M389&gt;=1),"Offer recurring plan","—")))))))</f>
        <v/>
      </c>
      <c r="S389" s="53">
        <f>IF(B389="","",COUNTIF('REFERRALS'!$B$5:$B$204,B389))</f>
        <v/>
      </c>
    </row>
    <row r="390">
      <c r="A390" s="46" t="inlineStr">
        <is>
          <t>C-386</t>
        </is>
      </c>
      <c r="B390" s="38" t="n"/>
      <c r="C390" s="38" t="n"/>
      <c r="D390" s="38" t="n"/>
      <c r="E390" s="38" t="n"/>
      <c r="F390" s="38" t="n"/>
      <c r="G390" s="38" t="n"/>
      <c r="H390" s="38" t="n"/>
      <c r="I390" s="47" t="n"/>
      <c r="J390" s="38" t="n"/>
      <c r="K390" s="52">
        <f>IF(B390="","",IF(_xlfn.MINIFS('JOBS'!$B$5:$B$1504,'JOBS'!$D$5:$D$1504,B390,'JOBS'!$O$5:$O$1504,"Completed")=0,"",_xlfn.MINIFS('JOBS'!$B$5:$B$1504,'JOBS'!$D$5:$D$1504,B390,'JOBS'!$O$5:$O$1504,"Completed")))</f>
        <v/>
      </c>
      <c r="L390" s="52">
        <f>IF(B390="","",IF(_xlfn.MAXIFS('JOBS'!$B$5:$B$1504,'JOBS'!$D$5:$D$1504,B390,'JOBS'!$O$5:$O$1504,"Completed")=0,"",_xlfn.MAXIFS('JOBS'!$B$5:$B$1504,'JOBS'!$D$5:$D$1504,B390,'JOBS'!$O$5:$O$1504,"Completed")))</f>
        <v/>
      </c>
      <c r="M390" s="53">
        <f>IF(B390="","",COUNTIFS('JOBS'!$D$5:$D$1504,B390,'JOBS'!$O$5:$O$1504,"Completed"))</f>
        <v/>
      </c>
      <c r="N390" s="54">
        <f>IF(B390="","",SUMIFS('JOBS'!$L$5:$L$1504,'JOBS'!$D$5:$D$1504,B390,'JOBS'!$O$5:$O$1504,"Completed"))</f>
        <v/>
      </c>
      <c r="O390" s="55">
        <f>IF(B390="","",SUMIFS('JOBS'!$U$5:$U$1504,'JOBS'!$D$5:$D$1504,B390))</f>
        <v/>
      </c>
      <c r="P390" s="49">
        <f>IF(B390="","",IF(COUNTIFS('RECURRING'!$B$5:$B$154,B390,'RECURRING'!$J$5:$J$154,"Active")&gt;0,"Yes","No"))</f>
        <v/>
      </c>
      <c r="Q390" s="50">
        <f>IF(L390="","",AsOf-L390)</f>
        <v/>
      </c>
      <c r="R390" s="49">
        <f>IF(B390="","",IF(H390="Do not service","—",IF(O390&gt;0.005,"Collect balance",IF(M390=0,"Book first job",IF(AND(P390="No",Q390&gt;=ReactDays),"Reactivate",IF(COUNTIF('REVIEWS'!$A$5:$A$504,B390)=0,"Ask for review",IF(AND(P390="No",M390&gt;=1),"Offer recurring plan","—")))))))</f>
        <v/>
      </c>
      <c r="S390" s="53">
        <f>IF(B390="","",COUNTIF('REFERRALS'!$B$5:$B$204,B390))</f>
        <v/>
      </c>
    </row>
    <row r="391">
      <c r="A391" s="46" t="inlineStr">
        <is>
          <t>C-387</t>
        </is>
      </c>
      <c r="B391" s="38" t="n"/>
      <c r="C391" s="38" t="n"/>
      <c r="D391" s="38" t="n"/>
      <c r="E391" s="38" t="n"/>
      <c r="F391" s="38" t="n"/>
      <c r="G391" s="38" t="n"/>
      <c r="H391" s="38" t="n"/>
      <c r="I391" s="47" t="n"/>
      <c r="J391" s="38" t="n"/>
      <c r="K391" s="52">
        <f>IF(B391="","",IF(_xlfn.MINIFS('JOBS'!$B$5:$B$1504,'JOBS'!$D$5:$D$1504,B391,'JOBS'!$O$5:$O$1504,"Completed")=0,"",_xlfn.MINIFS('JOBS'!$B$5:$B$1504,'JOBS'!$D$5:$D$1504,B391,'JOBS'!$O$5:$O$1504,"Completed")))</f>
        <v/>
      </c>
      <c r="L391" s="52">
        <f>IF(B391="","",IF(_xlfn.MAXIFS('JOBS'!$B$5:$B$1504,'JOBS'!$D$5:$D$1504,B391,'JOBS'!$O$5:$O$1504,"Completed")=0,"",_xlfn.MAXIFS('JOBS'!$B$5:$B$1504,'JOBS'!$D$5:$D$1504,B391,'JOBS'!$O$5:$O$1504,"Completed")))</f>
        <v/>
      </c>
      <c r="M391" s="53">
        <f>IF(B391="","",COUNTIFS('JOBS'!$D$5:$D$1504,B391,'JOBS'!$O$5:$O$1504,"Completed"))</f>
        <v/>
      </c>
      <c r="N391" s="54">
        <f>IF(B391="","",SUMIFS('JOBS'!$L$5:$L$1504,'JOBS'!$D$5:$D$1504,B391,'JOBS'!$O$5:$O$1504,"Completed"))</f>
        <v/>
      </c>
      <c r="O391" s="55">
        <f>IF(B391="","",SUMIFS('JOBS'!$U$5:$U$1504,'JOBS'!$D$5:$D$1504,B391))</f>
        <v/>
      </c>
      <c r="P391" s="49">
        <f>IF(B391="","",IF(COUNTIFS('RECURRING'!$B$5:$B$154,B391,'RECURRING'!$J$5:$J$154,"Active")&gt;0,"Yes","No"))</f>
        <v/>
      </c>
      <c r="Q391" s="50">
        <f>IF(L391="","",AsOf-L391)</f>
        <v/>
      </c>
      <c r="R391" s="49">
        <f>IF(B391="","",IF(H391="Do not service","—",IF(O391&gt;0.005,"Collect balance",IF(M391=0,"Book first job",IF(AND(P391="No",Q391&gt;=ReactDays),"Reactivate",IF(COUNTIF('REVIEWS'!$A$5:$A$504,B391)=0,"Ask for review",IF(AND(P391="No",M391&gt;=1),"Offer recurring plan","—")))))))</f>
        <v/>
      </c>
      <c r="S391" s="53">
        <f>IF(B391="","",COUNTIF('REFERRALS'!$B$5:$B$204,B391))</f>
        <v/>
      </c>
    </row>
    <row r="392">
      <c r="A392" s="46" t="inlineStr">
        <is>
          <t>C-388</t>
        </is>
      </c>
      <c r="B392" s="38" t="n"/>
      <c r="C392" s="38" t="n"/>
      <c r="D392" s="38" t="n"/>
      <c r="E392" s="38" t="n"/>
      <c r="F392" s="38" t="n"/>
      <c r="G392" s="38" t="n"/>
      <c r="H392" s="38" t="n"/>
      <c r="I392" s="47" t="n"/>
      <c r="J392" s="38" t="n"/>
      <c r="K392" s="52">
        <f>IF(B392="","",IF(_xlfn.MINIFS('JOBS'!$B$5:$B$1504,'JOBS'!$D$5:$D$1504,B392,'JOBS'!$O$5:$O$1504,"Completed")=0,"",_xlfn.MINIFS('JOBS'!$B$5:$B$1504,'JOBS'!$D$5:$D$1504,B392,'JOBS'!$O$5:$O$1504,"Completed")))</f>
        <v/>
      </c>
      <c r="L392" s="52">
        <f>IF(B392="","",IF(_xlfn.MAXIFS('JOBS'!$B$5:$B$1504,'JOBS'!$D$5:$D$1504,B392,'JOBS'!$O$5:$O$1504,"Completed")=0,"",_xlfn.MAXIFS('JOBS'!$B$5:$B$1504,'JOBS'!$D$5:$D$1504,B392,'JOBS'!$O$5:$O$1504,"Completed")))</f>
        <v/>
      </c>
      <c r="M392" s="53">
        <f>IF(B392="","",COUNTIFS('JOBS'!$D$5:$D$1504,B392,'JOBS'!$O$5:$O$1504,"Completed"))</f>
        <v/>
      </c>
      <c r="N392" s="54">
        <f>IF(B392="","",SUMIFS('JOBS'!$L$5:$L$1504,'JOBS'!$D$5:$D$1504,B392,'JOBS'!$O$5:$O$1504,"Completed"))</f>
        <v/>
      </c>
      <c r="O392" s="55">
        <f>IF(B392="","",SUMIFS('JOBS'!$U$5:$U$1504,'JOBS'!$D$5:$D$1504,B392))</f>
        <v/>
      </c>
      <c r="P392" s="49">
        <f>IF(B392="","",IF(COUNTIFS('RECURRING'!$B$5:$B$154,B392,'RECURRING'!$J$5:$J$154,"Active")&gt;0,"Yes","No"))</f>
        <v/>
      </c>
      <c r="Q392" s="50">
        <f>IF(L392="","",AsOf-L392)</f>
        <v/>
      </c>
      <c r="R392" s="49">
        <f>IF(B392="","",IF(H392="Do not service","—",IF(O392&gt;0.005,"Collect balance",IF(M392=0,"Book first job",IF(AND(P392="No",Q392&gt;=ReactDays),"Reactivate",IF(COUNTIF('REVIEWS'!$A$5:$A$504,B392)=0,"Ask for review",IF(AND(P392="No",M392&gt;=1),"Offer recurring plan","—")))))))</f>
        <v/>
      </c>
      <c r="S392" s="53">
        <f>IF(B392="","",COUNTIF('REFERRALS'!$B$5:$B$204,B392))</f>
        <v/>
      </c>
    </row>
    <row r="393">
      <c r="A393" s="46" t="inlineStr">
        <is>
          <t>C-389</t>
        </is>
      </c>
      <c r="B393" s="38" t="n"/>
      <c r="C393" s="38" t="n"/>
      <c r="D393" s="38" t="n"/>
      <c r="E393" s="38" t="n"/>
      <c r="F393" s="38" t="n"/>
      <c r="G393" s="38" t="n"/>
      <c r="H393" s="38" t="n"/>
      <c r="I393" s="47" t="n"/>
      <c r="J393" s="38" t="n"/>
      <c r="K393" s="52">
        <f>IF(B393="","",IF(_xlfn.MINIFS('JOBS'!$B$5:$B$1504,'JOBS'!$D$5:$D$1504,B393,'JOBS'!$O$5:$O$1504,"Completed")=0,"",_xlfn.MINIFS('JOBS'!$B$5:$B$1504,'JOBS'!$D$5:$D$1504,B393,'JOBS'!$O$5:$O$1504,"Completed")))</f>
        <v/>
      </c>
      <c r="L393" s="52">
        <f>IF(B393="","",IF(_xlfn.MAXIFS('JOBS'!$B$5:$B$1504,'JOBS'!$D$5:$D$1504,B393,'JOBS'!$O$5:$O$1504,"Completed")=0,"",_xlfn.MAXIFS('JOBS'!$B$5:$B$1504,'JOBS'!$D$5:$D$1504,B393,'JOBS'!$O$5:$O$1504,"Completed")))</f>
        <v/>
      </c>
      <c r="M393" s="53">
        <f>IF(B393="","",COUNTIFS('JOBS'!$D$5:$D$1504,B393,'JOBS'!$O$5:$O$1504,"Completed"))</f>
        <v/>
      </c>
      <c r="N393" s="54">
        <f>IF(B393="","",SUMIFS('JOBS'!$L$5:$L$1504,'JOBS'!$D$5:$D$1504,B393,'JOBS'!$O$5:$O$1504,"Completed"))</f>
        <v/>
      </c>
      <c r="O393" s="55">
        <f>IF(B393="","",SUMIFS('JOBS'!$U$5:$U$1504,'JOBS'!$D$5:$D$1504,B393))</f>
        <v/>
      </c>
      <c r="P393" s="49">
        <f>IF(B393="","",IF(COUNTIFS('RECURRING'!$B$5:$B$154,B393,'RECURRING'!$J$5:$J$154,"Active")&gt;0,"Yes","No"))</f>
        <v/>
      </c>
      <c r="Q393" s="50">
        <f>IF(L393="","",AsOf-L393)</f>
        <v/>
      </c>
      <c r="R393" s="49">
        <f>IF(B393="","",IF(H393="Do not service","—",IF(O393&gt;0.005,"Collect balance",IF(M393=0,"Book first job",IF(AND(P393="No",Q393&gt;=ReactDays),"Reactivate",IF(COUNTIF('REVIEWS'!$A$5:$A$504,B393)=0,"Ask for review",IF(AND(P393="No",M393&gt;=1),"Offer recurring plan","—")))))))</f>
        <v/>
      </c>
      <c r="S393" s="53">
        <f>IF(B393="","",COUNTIF('REFERRALS'!$B$5:$B$204,B393))</f>
        <v/>
      </c>
    </row>
    <row r="394">
      <c r="A394" s="46" t="inlineStr">
        <is>
          <t>C-390</t>
        </is>
      </c>
      <c r="B394" s="38" t="n"/>
      <c r="C394" s="38" t="n"/>
      <c r="D394" s="38" t="n"/>
      <c r="E394" s="38" t="n"/>
      <c r="F394" s="38" t="n"/>
      <c r="G394" s="38" t="n"/>
      <c r="H394" s="38" t="n"/>
      <c r="I394" s="47" t="n"/>
      <c r="J394" s="38" t="n"/>
      <c r="K394" s="52">
        <f>IF(B394="","",IF(_xlfn.MINIFS('JOBS'!$B$5:$B$1504,'JOBS'!$D$5:$D$1504,B394,'JOBS'!$O$5:$O$1504,"Completed")=0,"",_xlfn.MINIFS('JOBS'!$B$5:$B$1504,'JOBS'!$D$5:$D$1504,B394,'JOBS'!$O$5:$O$1504,"Completed")))</f>
        <v/>
      </c>
      <c r="L394" s="52">
        <f>IF(B394="","",IF(_xlfn.MAXIFS('JOBS'!$B$5:$B$1504,'JOBS'!$D$5:$D$1504,B394,'JOBS'!$O$5:$O$1504,"Completed")=0,"",_xlfn.MAXIFS('JOBS'!$B$5:$B$1504,'JOBS'!$D$5:$D$1504,B394,'JOBS'!$O$5:$O$1504,"Completed")))</f>
        <v/>
      </c>
      <c r="M394" s="53">
        <f>IF(B394="","",COUNTIFS('JOBS'!$D$5:$D$1504,B394,'JOBS'!$O$5:$O$1504,"Completed"))</f>
        <v/>
      </c>
      <c r="N394" s="54">
        <f>IF(B394="","",SUMIFS('JOBS'!$L$5:$L$1504,'JOBS'!$D$5:$D$1504,B394,'JOBS'!$O$5:$O$1504,"Completed"))</f>
        <v/>
      </c>
      <c r="O394" s="55">
        <f>IF(B394="","",SUMIFS('JOBS'!$U$5:$U$1504,'JOBS'!$D$5:$D$1504,B394))</f>
        <v/>
      </c>
      <c r="P394" s="49">
        <f>IF(B394="","",IF(COUNTIFS('RECURRING'!$B$5:$B$154,B394,'RECURRING'!$J$5:$J$154,"Active")&gt;0,"Yes","No"))</f>
        <v/>
      </c>
      <c r="Q394" s="50">
        <f>IF(L394="","",AsOf-L394)</f>
        <v/>
      </c>
      <c r="R394" s="49">
        <f>IF(B394="","",IF(H394="Do not service","—",IF(O394&gt;0.005,"Collect balance",IF(M394=0,"Book first job",IF(AND(P394="No",Q394&gt;=ReactDays),"Reactivate",IF(COUNTIF('REVIEWS'!$A$5:$A$504,B394)=0,"Ask for review",IF(AND(P394="No",M394&gt;=1),"Offer recurring plan","—")))))))</f>
        <v/>
      </c>
      <c r="S394" s="53">
        <f>IF(B394="","",COUNTIF('REFERRALS'!$B$5:$B$204,B394))</f>
        <v/>
      </c>
    </row>
    <row r="395">
      <c r="A395" s="46" t="inlineStr">
        <is>
          <t>C-391</t>
        </is>
      </c>
      <c r="B395" s="38" t="n"/>
      <c r="C395" s="38" t="n"/>
      <c r="D395" s="38" t="n"/>
      <c r="E395" s="38" t="n"/>
      <c r="F395" s="38" t="n"/>
      <c r="G395" s="38" t="n"/>
      <c r="H395" s="38" t="n"/>
      <c r="I395" s="47" t="n"/>
      <c r="J395" s="38" t="n"/>
      <c r="K395" s="52">
        <f>IF(B395="","",IF(_xlfn.MINIFS('JOBS'!$B$5:$B$1504,'JOBS'!$D$5:$D$1504,B395,'JOBS'!$O$5:$O$1504,"Completed")=0,"",_xlfn.MINIFS('JOBS'!$B$5:$B$1504,'JOBS'!$D$5:$D$1504,B395,'JOBS'!$O$5:$O$1504,"Completed")))</f>
        <v/>
      </c>
      <c r="L395" s="52">
        <f>IF(B395="","",IF(_xlfn.MAXIFS('JOBS'!$B$5:$B$1504,'JOBS'!$D$5:$D$1504,B395,'JOBS'!$O$5:$O$1504,"Completed")=0,"",_xlfn.MAXIFS('JOBS'!$B$5:$B$1504,'JOBS'!$D$5:$D$1504,B395,'JOBS'!$O$5:$O$1504,"Completed")))</f>
        <v/>
      </c>
      <c r="M395" s="53">
        <f>IF(B395="","",COUNTIFS('JOBS'!$D$5:$D$1504,B395,'JOBS'!$O$5:$O$1504,"Completed"))</f>
        <v/>
      </c>
      <c r="N395" s="54">
        <f>IF(B395="","",SUMIFS('JOBS'!$L$5:$L$1504,'JOBS'!$D$5:$D$1504,B395,'JOBS'!$O$5:$O$1504,"Completed"))</f>
        <v/>
      </c>
      <c r="O395" s="55">
        <f>IF(B395="","",SUMIFS('JOBS'!$U$5:$U$1504,'JOBS'!$D$5:$D$1504,B395))</f>
        <v/>
      </c>
      <c r="P395" s="49">
        <f>IF(B395="","",IF(COUNTIFS('RECURRING'!$B$5:$B$154,B395,'RECURRING'!$J$5:$J$154,"Active")&gt;0,"Yes","No"))</f>
        <v/>
      </c>
      <c r="Q395" s="50">
        <f>IF(L395="","",AsOf-L395)</f>
        <v/>
      </c>
      <c r="R395" s="49">
        <f>IF(B395="","",IF(H395="Do not service","—",IF(O395&gt;0.005,"Collect balance",IF(M395=0,"Book first job",IF(AND(P395="No",Q395&gt;=ReactDays),"Reactivate",IF(COUNTIF('REVIEWS'!$A$5:$A$504,B395)=0,"Ask for review",IF(AND(P395="No",M395&gt;=1),"Offer recurring plan","—")))))))</f>
        <v/>
      </c>
      <c r="S395" s="53">
        <f>IF(B395="","",COUNTIF('REFERRALS'!$B$5:$B$204,B395))</f>
        <v/>
      </c>
    </row>
    <row r="396">
      <c r="A396" s="46" t="inlineStr">
        <is>
          <t>C-392</t>
        </is>
      </c>
      <c r="B396" s="38" t="n"/>
      <c r="C396" s="38" t="n"/>
      <c r="D396" s="38" t="n"/>
      <c r="E396" s="38" t="n"/>
      <c r="F396" s="38" t="n"/>
      <c r="G396" s="38" t="n"/>
      <c r="H396" s="38" t="n"/>
      <c r="I396" s="47" t="n"/>
      <c r="J396" s="38" t="n"/>
      <c r="K396" s="52">
        <f>IF(B396="","",IF(_xlfn.MINIFS('JOBS'!$B$5:$B$1504,'JOBS'!$D$5:$D$1504,B396,'JOBS'!$O$5:$O$1504,"Completed")=0,"",_xlfn.MINIFS('JOBS'!$B$5:$B$1504,'JOBS'!$D$5:$D$1504,B396,'JOBS'!$O$5:$O$1504,"Completed")))</f>
        <v/>
      </c>
      <c r="L396" s="52">
        <f>IF(B396="","",IF(_xlfn.MAXIFS('JOBS'!$B$5:$B$1504,'JOBS'!$D$5:$D$1504,B396,'JOBS'!$O$5:$O$1504,"Completed")=0,"",_xlfn.MAXIFS('JOBS'!$B$5:$B$1504,'JOBS'!$D$5:$D$1504,B396,'JOBS'!$O$5:$O$1504,"Completed")))</f>
        <v/>
      </c>
      <c r="M396" s="53">
        <f>IF(B396="","",COUNTIFS('JOBS'!$D$5:$D$1504,B396,'JOBS'!$O$5:$O$1504,"Completed"))</f>
        <v/>
      </c>
      <c r="N396" s="54">
        <f>IF(B396="","",SUMIFS('JOBS'!$L$5:$L$1504,'JOBS'!$D$5:$D$1504,B396,'JOBS'!$O$5:$O$1504,"Completed"))</f>
        <v/>
      </c>
      <c r="O396" s="55">
        <f>IF(B396="","",SUMIFS('JOBS'!$U$5:$U$1504,'JOBS'!$D$5:$D$1504,B396))</f>
        <v/>
      </c>
      <c r="P396" s="49">
        <f>IF(B396="","",IF(COUNTIFS('RECURRING'!$B$5:$B$154,B396,'RECURRING'!$J$5:$J$154,"Active")&gt;0,"Yes","No"))</f>
        <v/>
      </c>
      <c r="Q396" s="50">
        <f>IF(L396="","",AsOf-L396)</f>
        <v/>
      </c>
      <c r="R396" s="49">
        <f>IF(B396="","",IF(H396="Do not service","—",IF(O396&gt;0.005,"Collect balance",IF(M396=0,"Book first job",IF(AND(P396="No",Q396&gt;=ReactDays),"Reactivate",IF(COUNTIF('REVIEWS'!$A$5:$A$504,B396)=0,"Ask for review",IF(AND(P396="No",M396&gt;=1),"Offer recurring plan","—")))))))</f>
        <v/>
      </c>
      <c r="S396" s="53">
        <f>IF(B396="","",COUNTIF('REFERRALS'!$B$5:$B$204,B396))</f>
        <v/>
      </c>
    </row>
    <row r="397">
      <c r="A397" s="46" t="inlineStr">
        <is>
          <t>C-393</t>
        </is>
      </c>
      <c r="B397" s="38" t="n"/>
      <c r="C397" s="38" t="n"/>
      <c r="D397" s="38" t="n"/>
      <c r="E397" s="38" t="n"/>
      <c r="F397" s="38" t="n"/>
      <c r="G397" s="38" t="n"/>
      <c r="H397" s="38" t="n"/>
      <c r="I397" s="47" t="n"/>
      <c r="J397" s="38" t="n"/>
      <c r="K397" s="52">
        <f>IF(B397="","",IF(_xlfn.MINIFS('JOBS'!$B$5:$B$1504,'JOBS'!$D$5:$D$1504,B397,'JOBS'!$O$5:$O$1504,"Completed")=0,"",_xlfn.MINIFS('JOBS'!$B$5:$B$1504,'JOBS'!$D$5:$D$1504,B397,'JOBS'!$O$5:$O$1504,"Completed")))</f>
        <v/>
      </c>
      <c r="L397" s="52">
        <f>IF(B397="","",IF(_xlfn.MAXIFS('JOBS'!$B$5:$B$1504,'JOBS'!$D$5:$D$1504,B397,'JOBS'!$O$5:$O$1504,"Completed")=0,"",_xlfn.MAXIFS('JOBS'!$B$5:$B$1504,'JOBS'!$D$5:$D$1504,B397,'JOBS'!$O$5:$O$1504,"Completed")))</f>
        <v/>
      </c>
      <c r="M397" s="53">
        <f>IF(B397="","",COUNTIFS('JOBS'!$D$5:$D$1504,B397,'JOBS'!$O$5:$O$1504,"Completed"))</f>
        <v/>
      </c>
      <c r="N397" s="54">
        <f>IF(B397="","",SUMIFS('JOBS'!$L$5:$L$1504,'JOBS'!$D$5:$D$1504,B397,'JOBS'!$O$5:$O$1504,"Completed"))</f>
        <v/>
      </c>
      <c r="O397" s="55">
        <f>IF(B397="","",SUMIFS('JOBS'!$U$5:$U$1504,'JOBS'!$D$5:$D$1504,B397))</f>
        <v/>
      </c>
      <c r="P397" s="49">
        <f>IF(B397="","",IF(COUNTIFS('RECURRING'!$B$5:$B$154,B397,'RECURRING'!$J$5:$J$154,"Active")&gt;0,"Yes","No"))</f>
        <v/>
      </c>
      <c r="Q397" s="50">
        <f>IF(L397="","",AsOf-L397)</f>
        <v/>
      </c>
      <c r="R397" s="49">
        <f>IF(B397="","",IF(H397="Do not service","—",IF(O397&gt;0.005,"Collect balance",IF(M397=0,"Book first job",IF(AND(P397="No",Q397&gt;=ReactDays),"Reactivate",IF(COUNTIF('REVIEWS'!$A$5:$A$504,B397)=0,"Ask for review",IF(AND(P397="No",M397&gt;=1),"Offer recurring plan","—")))))))</f>
        <v/>
      </c>
      <c r="S397" s="53">
        <f>IF(B397="","",COUNTIF('REFERRALS'!$B$5:$B$204,B397))</f>
        <v/>
      </c>
    </row>
    <row r="398">
      <c r="A398" s="46" t="inlineStr">
        <is>
          <t>C-394</t>
        </is>
      </c>
      <c r="B398" s="38" t="n"/>
      <c r="C398" s="38" t="n"/>
      <c r="D398" s="38" t="n"/>
      <c r="E398" s="38" t="n"/>
      <c r="F398" s="38" t="n"/>
      <c r="G398" s="38" t="n"/>
      <c r="H398" s="38" t="n"/>
      <c r="I398" s="47" t="n"/>
      <c r="J398" s="38" t="n"/>
      <c r="K398" s="52">
        <f>IF(B398="","",IF(_xlfn.MINIFS('JOBS'!$B$5:$B$1504,'JOBS'!$D$5:$D$1504,B398,'JOBS'!$O$5:$O$1504,"Completed")=0,"",_xlfn.MINIFS('JOBS'!$B$5:$B$1504,'JOBS'!$D$5:$D$1504,B398,'JOBS'!$O$5:$O$1504,"Completed")))</f>
        <v/>
      </c>
      <c r="L398" s="52">
        <f>IF(B398="","",IF(_xlfn.MAXIFS('JOBS'!$B$5:$B$1504,'JOBS'!$D$5:$D$1504,B398,'JOBS'!$O$5:$O$1504,"Completed")=0,"",_xlfn.MAXIFS('JOBS'!$B$5:$B$1504,'JOBS'!$D$5:$D$1504,B398,'JOBS'!$O$5:$O$1504,"Completed")))</f>
        <v/>
      </c>
      <c r="M398" s="53">
        <f>IF(B398="","",COUNTIFS('JOBS'!$D$5:$D$1504,B398,'JOBS'!$O$5:$O$1504,"Completed"))</f>
        <v/>
      </c>
      <c r="N398" s="54">
        <f>IF(B398="","",SUMIFS('JOBS'!$L$5:$L$1504,'JOBS'!$D$5:$D$1504,B398,'JOBS'!$O$5:$O$1504,"Completed"))</f>
        <v/>
      </c>
      <c r="O398" s="55">
        <f>IF(B398="","",SUMIFS('JOBS'!$U$5:$U$1504,'JOBS'!$D$5:$D$1504,B398))</f>
        <v/>
      </c>
      <c r="P398" s="49">
        <f>IF(B398="","",IF(COUNTIFS('RECURRING'!$B$5:$B$154,B398,'RECURRING'!$J$5:$J$154,"Active")&gt;0,"Yes","No"))</f>
        <v/>
      </c>
      <c r="Q398" s="50">
        <f>IF(L398="","",AsOf-L398)</f>
        <v/>
      </c>
      <c r="R398" s="49">
        <f>IF(B398="","",IF(H398="Do not service","—",IF(O398&gt;0.005,"Collect balance",IF(M398=0,"Book first job",IF(AND(P398="No",Q398&gt;=ReactDays),"Reactivate",IF(COUNTIF('REVIEWS'!$A$5:$A$504,B398)=0,"Ask for review",IF(AND(P398="No",M398&gt;=1),"Offer recurring plan","—")))))))</f>
        <v/>
      </c>
      <c r="S398" s="53">
        <f>IF(B398="","",COUNTIF('REFERRALS'!$B$5:$B$204,B398))</f>
        <v/>
      </c>
    </row>
    <row r="399">
      <c r="A399" s="46" t="inlineStr">
        <is>
          <t>C-395</t>
        </is>
      </c>
      <c r="B399" s="38" t="n"/>
      <c r="C399" s="38" t="n"/>
      <c r="D399" s="38" t="n"/>
      <c r="E399" s="38" t="n"/>
      <c r="F399" s="38" t="n"/>
      <c r="G399" s="38" t="n"/>
      <c r="H399" s="38" t="n"/>
      <c r="I399" s="47" t="n"/>
      <c r="J399" s="38" t="n"/>
      <c r="K399" s="52">
        <f>IF(B399="","",IF(_xlfn.MINIFS('JOBS'!$B$5:$B$1504,'JOBS'!$D$5:$D$1504,B399,'JOBS'!$O$5:$O$1504,"Completed")=0,"",_xlfn.MINIFS('JOBS'!$B$5:$B$1504,'JOBS'!$D$5:$D$1504,B399,'JOBS'!$O$5:$O$1504,"Completed")))</f>
        <v/>
      </c>
      <c r="L399" s="52">
        <f>IF(B399="","",IF(_xlfn.MAXIFS('JOBS'!$B$5:$B$1504,'JOBS'!$D$5:$D$1504,B399,'JOBS'!$O$5:$O$1504,"Completed")=0,"",_xlfn.MAXIFS('JOBS'!$B$5:$B$1504,'JOBS'!$D$5:$D$1504,B399,'JOBS'!$O$5:$O$1504,"Completed")))</f>
        <v/>
      </c>
      <c r="M399" s="53">
        <f>IF(B399="","",COUNTIFS('JOBS'!$D$5:$D$1504,B399,'JOBS'!$O$5:$O$1504,"Completed"))</f>
        <v/>
      </c>
      <c r="N399" s="54">
        <f>IF(B399="","",SUMIFS('JOBS'!$L$5:$L$1504,'JOBS'!$D$5:$D$1504,B399,'JOBS'!$O$5:$O$1504,"Completed"))</f>
        <v/>
      </c>
      <c r="O399" s="55">
        <f>IF(B399="","",SUMIFS('JOBS'!$U$5:$U$1504,'JOBS'!$D$5:$D$1504,B399))</f>
        <v/>
      </c>
      <c r="P399" s="49">
        <f>IF(B399="","",IF(COUNTIFS('RECURRING'!$B$5:$B$154,B399,'RECURRING'!$J$5:$J$154,"Active")&gt;0,"Yes","No"))</f>
        <v/>
      </c>
      <c r="Q399" s="50">
        <f>IF(L399="","",AsOf-L399)</f>
        <v/>
      </c>
      <c r="R399" s="49">
        <f>IF(B399="","",IF(H399="Do not service","—",IF(O399&gt;0.005,"Collect balance",IF(M399=0,"Book first job",IF(AND(P399="No",Q399&gt;=ReactDays),"Reactivate",IF(COUNTIF('REVIEWS'!$A$5:$A$504,B399)=0,"Ask for review",IF(AND(P399="No",M399&gt;=1),"Offer recurring plan","—")))))))</f>
        <v/>
      </c>
      <c r="S399" s="53">
        <f>IF(B399="","",COUNTIF('REFERRALS'!$B$5:$B$204,B399))</f>
        <v/>
      </c>
    </row>
    <row r="400">
      <c r="A400" s="46" t="inlineStr">
        <is>
          <t>C-396</t>
        </is>
      </c>
      <c r="B400" s="38" t="n"/>
      <c r="C400" s="38" t="n"/>
      <c r="D400" s="38" t="n"/>
      <c r="E400" s="38" t="n"/>
      <c r="F400" s="38" t="n"/>
      <c r="G400" s="38" t="n"/>
      <c r="H400" s="38" t="n"/>
      <c r="I400" s="47" t="n"/>
      <c r="J400" s="38" t="n"/>
      <c r="K400" s="52">
        <f>IF(B400="","",IF(_xlfn.MINIFS('JOBS'!$B$5:$B$1504,'JOBS'!$D$5:$D$1504,B400,'JOBS'!$O$5:$O$1504,"Completed")=0,"",_xlfn.MINIFS('JOBS'!$B$5:$B$1504,'JOBS'!$D$5:$D$1504,B400,'JOBS'!$O$5:$O$1504,"Completed")))</f>
        <v/>
      </c>
      <c r="L400" s="52">
        <f>IF(B400="","",IF(_xlfn.MAXIFS('JOBS'!$B$5:$B$1504,'JOBS'!$D$5:$D$1504,B400,'JOBS'!$O$5:$O$1504,"Completed")=0,"",_xlfn.MAXIFS('JOBS'!$B$5:$B$1504,'JOBS'!$D$5:$D$1504,B400,'JOBS'!$O$5:$O$1504,"Completed")))</f>
        <v/>
      </c>
      <c r="M400" s="53">
        <f>IF(B400="","",COUNTIFS('JOBS'!$D$5:$D$1504,B400,'JOBS'!$O$5:$O$1504,"Completed"))</f>
        <v/>
      </c>
      <c r="N400" s="54">
        <f>IF(B400="","",SUMIFS('JOBS'!$L$5:$L$1504,'JOBS'!$D$5:$D$1504,B400,'JOBS'!$O$5:$O$1504,"Completed"))</f>
        <v/>
      </c>
      <c r="O400" s="55">
        <f>IF(B400="","",SUMIFS('JOBS'!$U$5:$U$1504,'JOBS'!$D$5:$D$1504,B400))</f>
        <v/>
      </c>
      <c r="P400" s="49">
        <f>IF(B400="","",IF(COUNTIFS('RECURRING'!$B$5:$B$154,B400,'RECURRING'!$J$5:$J$154,"Active")&gt;0,"Yes","No"))</f>
        <v/>
      </c>
      <c r="Q400" s="50">
        <f>IF(L400="","",AsOf-L400)</f>
        <v/>
      </c>
      <c r="R400" s="49">
        <f>IF(B400="","",IF(H400="Do not service","—",IF(O400&gt;0.005,"Collect balance",IF(M400=0,"Book first job",IF(AND(P400="No",Q400&gt;=ReactDays),"Reactivate",IF(COUNTIF('REVIEWS'!$A$5:$A$504,B400)=0,"Ask for review",IF(AND(P400="No",M400&gt;=1),"Offer recurring plan","—")))))))</f>
        <v/>
      </c>
      <c r="S400" s="53">
        <f>IF(B400="","",COUNTIF('REFERRALS'!$B$5:$B$204,B400))</f>
        <v/>
      </c>
    </row>
    <row r="401">
      <c r="A401" s="46" t="inlineStr">
        <is>
          <t>C-397</t>
        </is>
      </c>
      <c r="B401" s="38" t="n"/>
      <c r="C401" s="38" t="n"/>
      <c r="D401" s="38" t="n"/>
      <c r="E401" s="38" t="n"/>
      <c r="F401" s="38" t="n"/>
      <c r="G401" s="38" t="n"/>
      <c r="H401" s="38" t="n"/>
      <c r="I401" s="47" t="n"/>
      <c r="J401" s="38" t="n"/>
      <c r="K401" s="52">
        <f>IF(B401="","",IF(_xlfn.MINIFS('JOBS'!$B$5:$B$1504,'JOBS'!$D$5:$D$1504,B401,'JOBS'!$O$5:$O$1504,"Completed")=0,"",_xlfn.MINIFS('JOBS'!$B$5:$B$1504,'JOBS'!$D$5:$D$1504,B401,'JOBS'!$O$5:$O$1504,"Completed")))</f>
        <v/>
      </c>
      <c r="L401" s="52">
        <f>IF(B401="","",IF(_xlfn.MAXIFS('JOBS'!$B$5:$B$1504,'JOBS'!$D$5:$D$1504,B401,'JOBS'!$O$5:$O$1504,"Completed")=0,"",_xlfn.MAXIFS('JOBS'!$B$5:$B$1504,'JOBS'!$D$5:$D$1504,B401,'JOBS'!$O$5:$O$1504,"Completed")))</f>
        <v/>
      </c>
      <c r="M401" s="53">
        <f>IF(B401="","",COUNTIFS('JOBS'!$D$5:$D$1504,B401,'JOBS'!$O$5:$O$1504,"Completed"))</f>
        <v/>
      </c>
      <c r="N401" s="54">
        <f>IF(B401="","",SUMIFS('JOBS'!$L$5:$L$1504,'JOBS'!$D$5:$D$1504,B401,'JOBS'!$O$5:$O$1504,"Completed"))</f>
        <v/>
      </c>
      <c r="O401" s="55">
        <f>IF(B401="","",SUMIFS('JOBS'!$U$5:$U$1504,'JOBS'!$D$5:$D$1504,B401))</f>
        <v/>
      </c>
      <c r="P401" s="49">
        <f>IF(B401="","",IF(COUNTIFS('RECURRING'!$B$5:$B$154,B401,'RECURRING'!$J$5:$J$154,"Active")&gt;0,"Yes","No"))</f>
        <v/>
      </c>
      <c r="Q401" s="50">
        <f>IF(L401="","",AsOf-L401)</f>
        <v/>
      </c>
      <c r="R401" s="49">
        <f>IF(B401="","",IF(H401="Do not service","—",IF(O401&gt;0.005,"Collect balance",IF(M401=0,"Book first job",IF(AND(P401="No",Q401&gt;=ReactDays),"Reactivate",IF(COUNTIF('REVIEWS'!$A$5:$A$504,B401)=0,"Ask for review",IF(AND(P401="No",M401&gt;=1),"Offer recurring plan","—")))))))</f>
        <v/>
      </c>
      <c r="S401" s="53">
        <f>IF(B401="","",COUNTIF('REFERRALS'!$B$5:$B$204,B401))</f>
        <v/>
      </c>
    </row>
    <row r="402">
      <c r="A402" s="46" t="inlineStr">
        <is>
          <t>C-398</t>
        </is>
      </c>
      <c r="B402" s="38" t="n"/>
      <c r="C402" s="38" t="n"/>
      <c r="D402" s="38" t="n"/>
      <c r="E402" s="38" t="n"/>
      <c r="F402" s="38" t="n"/>
      <c r="G402" s="38" t="n"/>
      <c r="H402" s="38" t="n"/>
      <c r="I402" s="47" t="n"/>
      <c r="J402" s="38" t="n"/>
      <c r="K402" s="52">
        <f>IF(B402="","",IF(_xlfn.MINIFS('JOBS'!$B$5:$B$1504,'JOBS'!$D$5:$D$1504,B402,'JOBS'!$O$5:$O$1504,"Completed")=0,"",_xlfn.MINIFS('JOBS'!$B$5:$B$1504,'JOBS'!$D$5:$D$1504,B402,'JOBS'!$O$5:$O$1504,"Completed")))</f>
        <v/>
      </c>
      <c r="L402" s="52">
        <f>IF(B402="","",IF(_xlfn.MAXIFS('JOBS'!$B$5:$B$1504,'JOBS'!$D$5:$D$1504,B402,'JOBS'!$O$5:$O$1504,"Completed")=0,"",_xlfn.MAXIFS('JOBS'!$B$5:$B$1504,'JOBS'!$D$5:$D$1504,B402,'JOBS'!$O$5:$O$1504,"Completed")))</f>
        <v/>
      </c>
      <c r="M402" s="53">
        <f>IF(B402="","",COUNTIFS('JOBS'!$D$5:$D$1504,B402,'JOBS'!$O$5:$O$1504,"Completed"))</f>
        <v/>
      </c>
      <c r="N402" s="54">
        <f>IF(B402="","",SUMIFS('JOBS'!$L$5:$L$1504,'JOBS'!$D$5:$D$1504,B402,'JOBS'!$O$5:$O$1504,"Completed"))</f>
        <v/>
      </c>
      <c r="O402" s="55">
        <f>IF(B402="","",SUMIFS('JOBS'!$U$5:$U$1504,'JOBS'!$D$5:$D$1504,B402))</f>
        <v/>
      </c>
      <c r="P402" s="49">
        <f>IF(B402="","",IF(COUNTIFS('RECURRING'!$B$5:$B$154,B402,'RECURRING'!$J$5:$J$154,"Active")&gt;0,"Yes","No"))</f>
        <v/>
      </c>
      <c r="Q402" s="50">
        <f>IF(L402="","",AsOf-L402)</f>
        <v/>
      </c>
      <c r="R402" s="49">
        <f>IF(B402="","",IF(H402="Do not service","—",IF(O402&gt;0.005,"Collect balance",IF(M402=0,"Book first job",IF(AND(P402="No",Q402&gt;=ReactDays),"Reactivate",IF(COUNTIF('REVIEWS'!$A$5:$A$504,B402)=0,"Ask for review",IF(AND(P402="No",M402&gt;=1),"Offer recurring plan","—")))))))</f>
        <v/>
      </c>
      <c r="S402" s="53">
        <f>IF(B402="","",COUNTIF('REFERRALS'!$B$5:$B$204,B402))</f>
        <v/>
      </c>
    </row>
    <row r="403">
      <c r="A403" s="46" t="inlineStr">
        <is>
          <t>C-399</t>
        </is>
      </c>
      <c r="B403" s="38" t="n"/>
      <c r="C403" s="38" t="n"/>
      <c r="D403" s="38" t="n"/>
      <c r="E403" s="38" t="n"/>
      <c r="F403" s="38" t="n"/>
      <c r="G403" s="38" t="n"/>
      <c r="H403" s="38" t="n"/>
      <c r="I403" s="47" t="n"/>
      <c r="J403" s="38" t="n"/>
      <c r="K403" s="52">
        <f>IF(B403="","",IF(_xlfn.MINIFS('JOBS'!$B$5:$B$1504,'JOBS'!$D$5:$D$1504,B403,'JOBS'!$O$5:$O$1504,"Completed")=0,"",_xlfn.MINIFS('JOBS'!$B$5:$B$1504,'JOBS'!$D$5:$D$1504,B403,'JOBS'!$O$5:$O$1504,"Completed")))</f>
        <v/>
      </c>
      <c r="L403" s="52">
        <f>IF(B403="","",IF(_xlfn.MAXIFS('JOBS'!$B$5:$B$1504,'JOBS'!$D$5:$D$1504,B403,'JOBS'!$O$5:$O$1504,"Completed")=0,"",_xlfn.MAXIFS('JOBS'!$B$5:$B$1504,'JOBS'!$D$5:$D$1504,B403,'JOBS'!$O$5:$O$1504,"Completed")))</f>
        <v/>
      </c>
      <c r="M403" s="53">
        <f>IF(B403="","",COUNTIFS('JOBS'!$D$5:$D$1504,B403,'JOBS'!$O$5:$O$1504,"Completed"))</f>
        <v/>
      </c>
      <c r="N403" s="54">
        <f>IF(B403="","",SUMIFS('JOBS'!$L$5:$L$1504,'JOBS'!$D$5:$D$1504,B403,'JOBS'!$O$5:$O$1504,"Completed"))</f>
        <v/>
      </c>
      <c r="O403" s="55">
        <f>IF(B403="","",SUMIFS('JOBS'!$U$5:$U$1504,'JOBS'!$D$5:$D$1504,B403))</f>
        <v/>
      </c>
      <c r="P403" s="49">
        <f>IF(B403="","",IF(COUNTIFS('RECURRING'!$B$5:$B$154,B403,'RECURRING'!$J$5:$J$154,"Active")&gt;0,"Yes","No"))</f>
        <v/>
      </c>
      <c r="Q403" s="50">
        <f>IF(L403="","",AsOf-L403)</f>
        <v/>
      </c>
      <c r="R403" s="49">
        <f>IF(B403="","",IF(H403="Do not service","—",IF(O403&gt;0.005,"Collect balance",IF(M403=0,"Book first job",IF(AND(P403="No",Q403&gt;=ReactDays),"Reactivate",IF(COUNTIF('REVIEWS'!$A$5:$A$504,B403)=0,"Ask for review",IF(AND(P403="No",M403&gt;=1),"Offer recurring plan","—")))))))</f>
        <v/>
      </c>
      <c r="S403" s="53">
        <f>IF(B403="","",COUNTIF('REFERRALS'!$B$5:$B$204,B403))</f>
        <v/>
      </c>
    </row>
    <row r="404">
      <c r="A404" s="46" t="inlineStr">
        <is>
          <t>C-400</t>
        </is>
      </c>
      <c r="B404" s="38" t="n"/>
      <c r="C404" s="38" t="n"/>
      <c r="D404" s="38" t="n"/>
      <c r="E404" s="38" t="n"/>
      <c r="F404" s="38" t="n"/>
      <c r="G404" s="38" t="n"/>
      <c r="H404" s="38" t="n"/>
      <c r="I404" s="47" t="n"/>
      <c r="J404" s="38" t="n"/>
      <c r="K404" s="52">
        <f>IF(B404="","",IF(_xlfn.MINIFS('JOBS'!$B$5:$B$1504,'JOBS'!$D$5:$D$1504,B404,'JOBS'!$O$5:$O$1504,"Completed")=0,"",_xlfn.MINIFS('JOBS'!$B$5:$B$1504,'JOBS'!$D$5:$D$1504,B404,'JOBS'!$O$5:$O$1504,"Completed")))</f>
        <v/>
      </c>
      <c r="L404" s="52">
        <f>IF(B404="","",IF(_xlfn.MAXIFS('JOBS'!$B$5:$B$1504,'JOBS'!$D$5:$D$1504,B404,'JOBS'!$O$5:$O$1504,"Completed")=0,"",_xlfn.MAXIFS('JOBS'!$B$5:$B$1504,'JOBS'!$D$5:$D$1504,B404,'JOBS'!$O$5:$O$1504,"Completed")))</f>
        <v/>
      </c>
      <c r="M404" s="53">
        <f>IF(B404="","",COUNTIFS('JOBS'!$D$5:$D$1504,B404,'JOBS'!$O$5:$O$1504,"Completed"))</f>
        <v/>
      </c>
      <c r="N404" s="54">
        <f>IF(B404="","",SUMIFS('JOBS'!$L$5:$L$1504,'JOBS'!$D$5:$D$1504,B404,'JOBS'!$O$5:$O$1504,"Completed"))</f>
        <v/>
      </c>
      <c r="O404" s="55">
        <f>IF(B404="","",SUMIFS('JOBS'!$U$5:$U$1504,'JOBS'!$D$5:$D$1504,B404))</f>
        <v/>
      </c>
      <c r="P404" s="49">
        <f>IF(B404="","",IF(COUNTIFS('RECURRING'!$B$5:$B$154,B404,'RECURRING'!$J$5:$J$154,"Active")&gt;0,"Yes","No"))</f>
        <v/>
      </c>
      <c r="Q404" s="50">
        <f>IF(L404="","",AsOf-L404)</f>
        <v/>
      </c>
      <c r="R404" s="49">
        <f>IF(B404="","",IF(H404="Do not service","—",IF(O404&gt;0.005,"Collect balance",IF(M404=0,"Book first job",IF(AND(P404="No",Q404&gt;=ReactDays),"Reactivate",IF(COUNTIF('REVIEWS'!$A$5:$A$504,B404)=0,"Ask for review",IF(AND(P404="No",M404&gt;=1),"Offer recurring plan","—")))))))</f>
        <v/>
      </c>
      <c r="S404" s="53">
        <f>IF(B404="","",COUNTIF('REFERRALS'!$B$5:$B$204,B404))</f>
        <v/>
      </c>
    </row>
  </sheetData>
  <autoFilter ref="A4:S404"/>
  <mergeCells count="2">
    <mergeCell ref="A2:S2"/>
    <mergeCell ref="A1:S1"/>
  </mergeCells>
  <conditionalFormatting sqref="R5:R404">
    <cfRule type="expression" priority="1" dxfId="0">
      <formula>R5="Collect balance"</formula>
    </cfRule>
    <cfRule type="expression" priority="2" dxfId="2">
      <formula>R5="Reactivate"</formula>
    </cfRule>
    <cfRule type="expression" priority="3" dxfId="1">
      <formula>R5="Offer recurring plan"</formula>
    </cfRule>
  </conditionalFormatting>
  <dataValidations count="4">
    <dataValidation sqref="E5:E404" showDropDown="0" showInputMessage="0" showErrorMessage="0" allowBlank="1" type="list">
      <formula1>='SETTINGS'!$N$5:$N$24</formula1>
    </dataValidation>
    <dataValidation sqref="F5:F404" showDropDown="0" showInputMessage="0" showErrorMessage="0" allowBlank="1" type="list">
      <formula1>='SETTINGS'!$F$5:$F$24</formula1>
    </dataValidation>
    <dataValidation sqref="G5:G404" showDropDown="0" showInputMessage="0" showErrorMessage="0" allowBlank="1" type="list">
      <formula1>='SETTINGS'!$P$5:$P$24</formula1>
    </dataValidation>
    <dataValidation sqref="H5:H404" showDropDown="0" showInputMessage="0" showErrorMessage="0" allowBlank="1" type="list">
      <formula1>='SETTINGS'!$O$5:$O$7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5.xml><?xml version="1.0" encoding="utf-8"?>
<worksheet xmlns="http://schemas.openxmlformats.org/spreadsheetml/2006/main">
  <sheetPr>
    <tabColor rgb="002A5D8F"/>
    <outlinePr summaryBelow="1" summaryRight="1"/>
    <pageSetUpPr fitToPage="1"/>
  </sheetPr>
  <dimension ref="A1:O4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20" customWidth="1" min="3" max="3"/>
    <col width="14" customWidth="1" min="4" max="4"/>
    <col width="15" customWidth="1" min="5" max="5"/>
    <col width="13" customWidth="1" min="6" max="6"/>
    <col width="13" customWidth="1" min="7" max="7"/>
    <col width="13" customWidth="1" min="8" max="8"/>
    <col width="13" customWidth="1" min="9" max="9"/>
    <col width="26" customWidth="1" min="10" max="10"/>
    <col width="16" customWidth="1" min="11" max="11"/>
    <col width="28" customWidth="1" min="12" max="12"/>
    <col width="13" customWidth="1" min="13" max="13"/>
    <col width="13" customWidth="1" min="14" max="14"/>
    <col width="13" customWidth="1" min="15" max="15"/>
  </cols>
  <sheetData>
    <row r="1" ht="34" customHeight="1">
      <c r="A1" s="42" t="inlineStr">
        <is>
          <t>PROPERTIES</t>
        </is>
      </c>
      <c r="B1" s="1" t="n"/>
      <c r="C1" s="1" t="n"/>
      <c r="D1" s="1" t="n"/>
      <c r="E1" s="1" t="n"/>
      <c r="F1" s="1" t="n"/>
      <c r="G1" s="1" t="n"/>
      <c r="H1" s="1" t="n"/>
      <c r="I1" s="1" t="n"/>
      <c r="J1" s="1" t="n"/>
      <c r="K1" s="1" t="n"/>
      <c r="L1" s="1" t="n"/>
      <c r="M1" s="1" t="n"/>
      <c r="N1" s="1" t="n"/>
      <c r="O1" s="1" t="n"/>
    </row>
    <row r="2" ht="30" customHeight="1">
      <c r="A2" s="43" t="inlineStr">
        <is>
          <t>One row per property. Square footage, bedrooms and bathrooms power the automatic time estimate in JOBS. Keep access notes here, not in public places.</t>
        </is>
      </c>
    </row>
    <row r="3" ht="18" customHeight="1">
      <c r="A3" s="24" t="inlineStr">
        <is>
          <t>← Start Here</t>
        </is>
      </c>
      <c r="B3" s="24" t="inlineStr">
        <is>
          <t>Dashboard →</t>
        </is>
      </c>
    </row>
    <row r="4" ht="42" customHeight="1">
      <c r="A4" s="44" t="inlineStr">
        <is>
          <t>Property ID</t>
        </is>
      </c>
      <c r="B4" s="44" t="inlineStr">
        <is>
          <t>Address / Label (unique)</t>
        </is>
      </c>
      <c r="C4" s="44" t="inlineStr">
        <is>
          <t>Customer</t>
        </is>
      </c>
      <c r="D4" s="44" t="inlineStr">
        <is>
          <t>City / Area</t>
        </is>
      </c>
      <c r="E4" s="44" t="inlineStr">
        <is>
          <t>Property Type</t>
        </is>
      </c>
      <c r="F4" s="44" t="inlineStr">
        <is>
          <t>Sq Ft</t>
        </is>
      </c>
      <c r="G4" s="44" t="inlineStr">
        <is>
          <t>Bedrooms</t>
        </is>
      </c>
      <c r="H4" s="44" t="inlineStr">
        <is>
          <t>Bathrooms</t>
        </is>
      </c>
      <c r="I4" s="44" t="inlineStr">
        <is>
          <t>Pets</t>
        </is>
      </c>
      <c r="J4" s="44" t="inlineStr">
        <is>
          <t>Access / Entry Instructions</t>
        </is>
      </c>
      <c r="K4" s="44" t="inlineStr">
        <is>
          <t>Parking</t>
        </is>
      </c>
      <c r="L4" s="44" t="inlineStr">
        <is>
          <t>Special Requests / Notes</t>
        </is>
      </c>
      <c r="M4" s="45" t="inlineStr">
        <is>
          <t>Completed Jobs ⚙</t>
        </is>
      </c>
      <c r="N4" s="45" t="inlineStr">
        <is>
          <t>Last Clean ⚙</t>
        </is>
      </c>
      <c r="O4" s="45" t="inlineStr">
        <is>
          <t>Avg Price ⚙</t>
        </is>
      </c>
    </row>
    <row r="5">
      <c r="A5" s="46" t="inlineStr">
        <is>
          <t>P-001</t>
        </is>
      </c>
      <c r="B5" s="38" t="inlineStr">
        <is>
          <t>497 Aspen Drive, Sampletown</t>
        </is>
      </c>
      <c r="C5" s="38" t="inlineStr">
        <is>
          <t>Lane Ivers</t>
        </is>
      </c>
      <c r="D5" s="38" t="inlineStr">
        <is>
          <t>Sampletown</t>
        </is>
      </c>
      <c r="E5" s="38" t="inlineStr">
        <is>
          <t>House</t>
        </is>
      </c>
      <c r="F5" s="56" t="n">
        <v>2400</v>
      </c>
      <c r="G5" s="57" t="n">
        <v>4</v>
      </c>
      <c r="H5" s="58" t="n">
        <v>2.5</v>
      </c>
      <c r="I5" s="38" t="inlineStr"/>
      <c r="J5" s="38" t="inlineStr">
        <is>
          <t>Key under office management</t>
        </is>
      </c>
      <c r="K5" s="38" t="inlineStr">
        <is>
          <t>Visitor lot</t>
        </is>
      </c>
      <c r="L5" s="38" t="inlineStr">
        <is>
          <t>Shoes off at entry</t>
        </is>
      </c>
      <c r="M5" s="53">
        <f>IF(B5="","",COUNTIFS('JOBS'!$E$5:$E$1504,B5,'JOBS'!$O$5:$O$1504,"Completed"))</f>
        <v/>
      </c>
      <c r="N5" s="52">
        <f>IF(B5="","",IF(_xlfn.MAXIFS('JOBS'!$B$5:$B$1504,'JOBS'!$E$5:$E$1504,B5,'JOBS'!$O$5:$O$1504,"Completed")=0,"",_xlfn.MAXIFS('JOBS'!$B$5:$B$1504,'JOBS'!$E$5:$E$1504,B5,'JOBS'!$O$5:$O$1504,"Completed")))</f>
        <v/>
      </c>
      <c r="O5" s="54">
        <f>IF(B5="","",IFERROR(AVERAGEIFS('JOBS'!$L$5:$L$1504,'JOBS'!$E$5:$E$1504,B5,'JOBS'!$O$5:$O$1504,"Completed"),""))</f>
        <v/>
      </c>
    </row>
    <row r="6">
      <c r="A6" s="46" t="inlineStr">
        <is>
          <t>P-002</t>
        </is>
      </c>
      <c r="B6" s="38" t="inlineStr">
        <is>
          <t>675 Aspen Drive, Lakeview (fictional)</t>
        </is>
      </c>
      <c r="C6" s="38" t="inlineStr">
        <is>
          <t>Logan Porter</t>
        </is>
      </c>
      <c r="D6" s="38" t="inlineStr">
        <is>
          <t>Lakeview (fictional)</t>
        </is>
      </c>
      <c r="E6" s="38" t="inlineStr">
        <is>
          <t>Condo</t>
        </is>
      </c>
      <c r="F6" s="56" t="n">
        <v>2900</v>
      </c>
      <c r="G6" s="57" t="n">
        <v>4</v>
      </c>
      <c r="H6" s="58" t="n">
        <v>3</v>
      </c>
      <c r="I6" s="38" t="inlineStr">
        <is>
          <t>2 cats</t>
        </is>
      </c>
      <c r="J6" s="38" t="inlineStr">
        <is>
          <t>Lockbox code on file</t>
        </is>
      </c>
      <c r="K6" s="38" t="inlineStr">
        <is>
          <t>Driveway</t>
        </is>
      </c>
      <c r="L6" s="38" t="inlineStr">
        <is>
          <t>Shoes off at entry</t>
        </is>
      </c>
      <c r="M6" s="53">
        <f>IF(B6="","",COUNTIFS('JOBS'!$E$5:$E$1504,B6,'JOBS'!$O$5:$O$1504,"Completed"))</f>
        <v/>
      </c>
      <c r="N6" s="52">
        <f>IF(B6="","",IF(_xlfn.MAXIFS('JOBS'!$B$5:$B$1504,'JOBS'!$E$5:$E$1504,B6,'JOBS'!$O$5:$O$1504,"Completed")=0,"",_xlfn.MAXIFS('JOBS'!$B$5:$B$1504,'JOBS'!$E$5:$E$1504,B6,'JOBS'!$O$5:$O$1504,"Completed")))</f>
        <v/>
      </c>
      <c r="O6" s="54">
        <f>IF(B6="","",IFERROR(AVERAGEIFS('JOBS'!$L$5:$L$1504,'JOBS'!$E$5:$E$1504,B6,'JOBS'!$O$5:$O$1504,"Completed"),""))</f>
        <v/>
      </c>
    </row>
    <row r="7">
      <c r="A7" s="46" t="inlineStr">
        <is>
          <t>P-003</t>
        </is>
      </c>
      <c r="B7" s="38" t="inlineStr">
        <is>
          <t>461 Hawthorn Road, Lakeview (fictional)</t>
        </is>
      </c>
      <c r="C7" s="38" t="inlineStr">
        <is>
          <t>Devon Hayes</t>
        </is>
      </c>
      <c r="D7" s="38" t="inlineStr">
        <is>
          <t>Lakeview (fictional)</t>
        </is>
      </c>
      <c r="E7" s="38" t="inlineStr">
        <is>
          <t>House</t>
        </is>
      </c>
      <c r="F7" s="56" t="n">
        <v>2900</v>
      </c>
      <c r="G7" s="57" t="n">
        <v>4</v>
      </c>
      <c r="H7" s="58" t="n">
        <v>3</v>
      </c>
      <c r="I7" s="38" t="inlineStr">
        <is>
          <t>2 cats</t>
        </is>
      </c>
      <c r="J7" s="38" t="inlineStr">
        <is>
          <t>Customer home</t>
        </is>
      </c>
      <c r="K7" s="38" t="inlineStr">
        <is>
          <t>Visitor lot</t>
        </is>
      </c>
      <c r="L7" s="38" t="inlineStr">
        <is>
          <t>Unscented products only</t>
        </is>
      </c>
      <c r="M7" s="53">
        <f>IF(B7="","",COUNTIFS('JOBS'!$E$5:$E$1504,B7,'JOBS'!$O$5:$O$1504,"Completed"))</f>
        <v/>
      </c>
      <c r="N7" s="52">
        <f>IF(B7="","",IF(_xlfn.MAXIFS('JOBS'!$B$5:$B$1504,'JOBS'!$E$5:$E$1504,B7,'JOBS'!$O$5:$O$1504,"Completed")=0,"",_xlfn.MAXIFS('JOBS'!$B$5:$B$1504,'JOBS'!$E$5:$E$1504,B7,'JOBS'!$O$5:$O$1504,"Completed")))</f>
        <v/>
      </c>
      <c r="O7" s="54">
        <f>IF(B7="","",IFERROR(AVERAGEIFS('JOBS'!$L$5:$L$1504,'JOBS'!$E$5:$E$1504,B7,'JOBS'!$O$5:$O$1504,"Completed"),""))</f>
        <v/>
      </c>
    </row>
    <row r="8">
      <c r="A8" s="46" t="inlineStr">
        <is>
          <t>P-004</t>
        </is>
      </c>
      <c r="B8" s="38" t="inlineStr">
        <is>
          <t>964 Cedar Court, Lakeview (fictional)</t>
        </is>
      </c>
      <c r="C8" s="38" t="inlineStr">
        <is>
          <t>Noel Collins</t>
        </is>
      </c>
      <c r="D8" s="38" t="inlineStr">
        <is>
          <t>Lakeview (fictional)</t>
        </is>
      </c>
      <c r="E8" s="38" t="inlineStr">
        <is>
          <t>Townhome</t>
        </is>
      </c>
      <c r="F8" s="56" t="n">
        <v>3200</v>
      </c>
      <c r="G8" s="57" t="n">
        <v>5</v>
      </c>
      <c r="H8" s="58" t="n">
        <v>3.5</v>
      </c>
      <c r="I8" s="38" t="inlineStr">
        <is>
          <t>2 cats</t>
        </is>
      </c>
      <c r="J8" s="38" t="inlineStr">
        <is>
          <t>Garage keypad (code in office file)</t>
        </is>
      </c>
      <c r="K8" s="38" t="inlineStr">
        <is>
          <t>Visitor lot</t>
        </is>
      </c>
      <c r="L8" s="38" t="inlineStr">
        <is>
          <t>Shoes off at entry</t>
        </is>
      </c>
      <c r="M8" s="53">
        <f>IF(B8="","",COUNTIFS('JOBS'!$E$5:$E$1504,B8,'JOBS'!$O$5:$O$1504,"Completed"))</f>
        <v/>
      </c>
      <c r="N8" s="52">
        <f>IF(B8="","",IF(_xlfn.MAXIFS('JOBS'!$B$5:$B$1504,'JOBS'!$E$5:$E$1504,B8,'JOBS'!$O$5:$O$1504,"Completed")=0,"",_xlfn.MAXIFS('JOBS'!$B$5:$B$1504,'JOBS'!$E$5:$E$1504,B8,'JOBS'!$O$5:$O$1504,"Completed")))</f>
        <v/>
      </c>
      <c r="O8" s="54">
        <f>IF(B8="","",IFERROR(AVERAGEIFS('JOBS'!$L$5:$L$1504,'JOBS'!$E$5:$E$1504,B8,'JOBS'!$O$5:$O$1504,"Completed"),""))</f>
        <v/>
      </c>
    </row>
    <row r="9">
      <c r="A9" s="46" t="inlineStr">
        <is>
          <t>P-005</t>
        </is>
      </c>
      <c r="B9" s="38" t="inlineStr">
        <is>
          <t>876 Magnolia Circle, North Sampletown</t>
        </is>
      </c>
      <c r="C9" s="38" t="inlineStr">
        <is>
          <t>Rowan Foxworth</t>
        </is>
      </c>
      <c r="D9" s="38" t="inlineStr">
        <is>
          <t>North Sampletown</t>
        </is>
      </c>
      <c r="E9" s="38" t="inlineStr">
        <is>
          <t>House</t>
        </is>
      </c>
      <c r="F9" s="56" t="n">
        <v>2900</v>
      </c>
      <c r="G9" s="57" t="n">
        <v>4</v>
      </c>
      <c r="H9" s="58" t="n">
        <v>3</v>
      </c>
      <c r="I9" s="38" t="inlineStr">
        <is>
          <t>2 cats</t>
        </is>
      </c>
      <c r="J9" s="38" t="inlineStr">
        <is>
          <t>Lockbox code on file</t>
        </is>
      </c>
      <c r="K9" s="38" t="inlineStr">
        <is>
          <t>Driveway</t>
        </is>
      </c>
      <c r="L9" s="38" t="inlineStr"/>
      <c r="M9" s="53">
        <f>IF(B9="","",COUNTIFS('JOBS'!$E$5:$E$1504,B9,'JOBS'!$O$5:$O$1504,"Completed"))</f>
        <v/>
      </c>
      <c r="N9" s="52">
        <f>IF(B9="","",IF(_xlfn.MAXIFS('JOBS'!$B$5:$B$1504,'JOBS'!$E$5:$E$1504,B9,'JOBS'!$O$5:$O$1504,"Completed")=0,"",_xlfn.MAXIFS('JOBS'!$B$5:$B$1504,'JOBS'!$E$5:$E$1504,B9,'JOBS'!$O$5:$O$1504,"Completed")))</f>
        <v/>
      </c>
      <c r="O9" s="54">
        <f>IF(B9="","",IFERROR(AVERAGEIFS('JOBS'!$L$5:$L$1504,'JOBS'!$E$5:$E$1504,B9,'JOBS'!$O$5:$O$1504,"Completed"),""))</f>
        <v/>
      </c>
    </row>
    <row r="10">
      <c r="A10" s="46" t="inlineStr">
        <is>
          <t>P-006</t>
        </is>
      </c>
      <c r="B10" s="38" t="inlineStr">
        <is>
          <t>84 Hawthorn Road, Lakeview (fictional)</t>
        </is>
      </c>
      <c r="C10" s="38" t="inlineStr">
        <is>
          <t>Dana Collins</t>
        </is>
      </c>
      <c r="D10" s="38" t="inlineStr">
        <is>
          <t>Lakeview (fictional)</t>
        </is>
      </c>
      <c r="E10" s="38" t="inlineStr">
        <is>
          <t>Condo</t>
        </is>
      </c>
      <c r="F10" s="56" t="n">
        <v>2400</v>
      </c>
      <c r="G10" s="57" t="n">
        <v>4</v>
      </c>
      <c r="H10" s="58" t="n">
        <v>2.5</v>
      </c>
      <c r="I10" s="38" t="inlineStr">
        <is>
          <t>2 cats</t>
        </is>
      </c>
      <c r="J10" s="38" t="inlineStr">
        <is>
          <t>Garage keypad (code in office file)</t>
        </is>
      </c>
      <c r="K10" s="38" t="inlineStr">
        <is>
          <t>Visitor lot</t>
        </is>
      </c>
      <c r="L10" s="38" t="inlineStr">
        <is>
          <t>Skip office room</t>
        </is>
      </c>
      <c r="M10" s="53">
        <f>IF(B10="","",COUNTIFS('JOBS'!$E$5:$E$1504,B10,'JOBS'!$O$5:$O$1504,"Completed"))</f>
        <v/>
      </c>
      <c r="N10" s="52">
        <f>IF(B10="","",IF(_xlfn.MAXIFS('JOBS'!$B$5:$B$1504,'JOBS'!$E$5:$E$1504,B10,'JOBS'!$O$5:$O$1504,"Completed")=0,"",_xlfn.MAXIFS('JOBS'!$B$5:$B$1504,'JOBS'!$E$5:$E$1504,B10,'JOBS'!$O$5:$O$1504,"Completed")))</f>
        <v/>
      </c>
      <c r="O10" s="54">
        <f>IF(B10="","",IFERROR(AVERAGEIFS('JOBS'!$L$5:$L$1504,'JOBS'!$E$5:$E$1504,B10,'JOBS'!$O$5:$O$1504,"Completed"),""))</f>
        <v/>
      </c>
    </row>
    <row r="11">
      <c r="A11" s="46" t="inlineStr">
        <is>
          <t>P-007</t>
        </is>
      </c>
      <c r="B11" s="38" t="inlineStr">
        <is>
          <t>21 Maple Avenue, North Sampletown</t>
        </is>
      </c>
      <c r="C11" s="38" t="inlineStr">
        <is>
          <t>Finley Quigley</t>
        </is>
      </c>
      <c r="D11" s="38" t="inlineStr">
        <is>
          <t>North Sampletown</t>
        </is>
      </c>
      <c r="E11" s="38" t="inlineStr">
        <is>
          <t>House</t>
        </is>
      </c>
      <c r="F11" s="56" t="n">
        <v>1300</v>
      </c>
      <c r="G11" s="57" t="n">
        <v>2</v>
      </c>
      <c r="H11" s="58" t="n">
        <v>1.5</v>
      </c>
      <c r="I11" s="38" t="inlineStr"/>
      <c r="J11" s="38" t="inlineStr">
        <is>
          <t>Key under office management</t>
        </is>
      </c>
      <c r="K11" s="38" t="inlineStr">
        <is>
          <t>Street</t>
        </is>
      </c>
      <c r="L11" s="38" t="inlineStr"/>
      <c r="M11" s="53">
        <f>IF(B11="","",COUNTIFS('JOBS'!$E$5:$E$1504,B11,'JOBS'!$O$5:$O$1504,"Completed"))</f>
        <v/>
      </c>
      <c r="N11" s="52">
        <f>IF(B11="","",IF(_xlfn.MAXIFS('JOBS'!$B$5:$B$1504,'JOBS'!$E$5:$E$1504,B11,'JOBS'!$O$5:$O$1504,"Completed")=0,"",_xlfn.MAXIFS('JOBS'!$B$5:$B$1504,'JOBS'!$E$5:$E$1504,B11,'JOBS'!$O$5:$O$1504,"Completed")))</f>
        <v/>
      </c>
      <c r="O11" s="54">
        <f>IF(B11="","",IFERROR(AVERAGEIFS('JOBS'!$L$5:$L$1504,'JOBS'!$E$5:$E$1504,B11,'JOBS'!$O$5:$O$1504,"Completed"),""))</f>
        <v/>
      </c>
    </row>
    <row r="12">
      <c r="A12" s="46" t="inlineStr">
        <is>
          <t>P-008</t>
        </is>
      </c>
      <c r="B12" s="38" t="inlineStr">
        <is>
          <t>129 Elm Terrace, North Sampletown</t>
        </is>
      </c>
      <c r="C12" s="38" t="inlineStr">
        <is>
          <t>Dana Ivers</t>
        </is>
      </c>
      <c r="D12" s="38" t="inlineStr">
        <is>
          <t>North Sampletown</t>
        </is>
      </c>
      <c r="E12" s="38" t="inlineStr">
        <is>
          <t>House</t>
        </is>
      </c>
      <c r="F12" s="56" t="n">
        <v>3600</v>
      </c>
      <c r="G12" s="57" t="n">
        <v>5</v>
      </c>
      <c r="H12" s="58" t="n">
        <v>3.5</v>
      </c>
      <c r="I12" s="38" t="inlineStr">
        <is>
          <t>2 cats</t>
        </is>
      </c>
      <c r="J12" s="38" t="inlineStr">
        <is>
          <t>Customer home</t>
        </is>
      </c>
      <c r="K12" s="38" t="inlineStr">
        <is>
          <t>Driveway</t>
        </is>
      </c>
      <c r="L12" s="38" t="inlineStr">
        <is>
          <t>Skip office room</t>
        </is>
      </c>
      <c r="M12" s="53">
        <f>IF(B12="","",COUNTIFS('JOBS'!$E$5:$E$1504,B12,'JOBS'!$O$5:$O$1504,"Completed"))</f>
        <v/>
      </c>
      <c r="N12" s="52">
        <f>IF(B12="","",IF(_xlfn.MAXIFS('JOBS'!$B$5:$B$1504,'JOBS'!$E$5:$E$1504,B12,'JOBS'!$O$5:$O$1504,"Completed")=0,"",_xlfn.MAXIFS('JOBS'!$B$5:$B$1504,'JOBS'!$E$5:$E$1504,B12,'JOBS'!$O$5:$O$1504,"Completed")))</f>
        <v/>
      </c>
      <c r="O12" s="54">
        <f>IF(B12="","",IFERROR(AVERAGEIFS('JOBS'!$L$5:$L$1504,'JOBS'!$E$5:$E$1504,B12,'JOBS'!$O$5:$O$1504,"Completed"),""))</f>
        <v/>
      </c>
    </row>
    <row r="13">
      <c r="A13" s="46" t="inlineStr">
        <is>
          <t>P-009</t>
        </is>
      </c>
      <c r="B13" s="38" t="inlineStr">
        <is>
          <t>667 Willow Way, Sampletown</t>
        </is>
      </c>
      <c r="C13" s="38" t="inlineStr">
        <is>
          <t>Taylor Quigley</t>
        </is>
      </c>
      <c r="D13" s="38" t="inlineStr">
        <is>
          <t>Sampletown</t>
        </is>
      </c>
      <c r="E13" s="38" t="inlineStr">
        <is>
          <t>House</t>
        </is>
      </c>
      <c r="F13" s="56" t="n">
        <v>1700</v>
      </c>
      <c r="G13" s="57" t="n">
        <v>3</v>
      </c>
      <c r="H13" s="58" t="n">
        <v>2</v>
      </c>
      <c r="I13" s="38" t="inlineStr">
        <is>
          <t>2 cats</t>
        </is>
      </c>
      <c r="J13" s="38" t="inlineStr">
        <is>
          <t>Customer home</t>
        </is>
      </c>
      <c r="K13" s="38" t="inlineStr">
        <is>
          <t>Street</t>
        </is>
      </c>
      <c r="L13" s="38" t="inlineStr">
        <is>
          <t>Shoes off at entry</t>
        </is>
      </c>
      <c r="M13" s="53">
        <f>IF(B13="","",COUNTIFS('JOBS'!$E$5:$E$1504,B13,'JOBS'!$O$5:$O$1504,"Completed"))</f>
        <v/>
      </c>
      <c r="N13" s="52">
        <f>IF(B13="","",IF(_xlfn.MAXIFS('JOBS'!$B$5:$B$1504,'JOBS'!$E$5:$E$1504,B13,'JOBS'!$O$5:$O$1504,"Completed")=0,"",_xlfn.MAXIFS('JOBS'!$B$5:$B$1504,'JOBS'!$E$5:$E$1504,B13,'JOBS'!$O$5:$O$1504,"Completed")))</f>
        <v/>
      </c>
      <c r="O13" s="54">
        <f>IF(B13="","",IFERROR(AVERAGEIFS('JOBS'!$L$5:$L$1504,'JOBS'!$E$5:$E$1504,B13,'JOBS'!$O$5:$O$1504,"Completed"),""))</f>
        <v/>
      </c>
    </row>
    <row r="14">
      <c r="A14" s="46" t="inlineStr">
        <is>
          <t>P-010</t>
        </is>
      </c>
      <c r="B14" s="38" t="inlineStr">
        <is>
          <t>102 Hawthorn Road, Lakeview (fictional)</t>
        </is>
      </c>
      <c r="C14" s="38" t="inlineStr">
        <is>
          <t>Lane Northcott</t>
        </is>
      </c>
      <c r="D14" s="38" t="inlineStr">
        <is>
          <t>Lakeview (fictional)</t>
        </is>
      </c>
      <c r="E14" s="38" t="inlineStr">
        <is>
          <t>Condo</t>
        </is>
      </c>
      <c r="F14" s="56" t="n">
        <v>1800</v>
      </c>
      <c r="G14" s="57" t="n">
        <v>3</v>
      </c>
      <c r="H14" s="58" t="n">
        <v>2</v>
      </c>
      <c r="I14" s="38" t="inlineStr"/>
      <c r="J14" s="38" t="inlineStr">
        <is>
          <t>Customer home</t>
        </is>
      </c>
      <c r="K14" s="38" t="inlineStr">
        <is>
          <t>Driveway</t>
        </is>
      </c>
      <c r="L14" s="38" t="inlineStr"/>
      <c r="M14" s="53">
        <f>IF(B14="","",COUNTIFS('JOBS'!$E$5:$E$1504,B14,'JOBS'!$O$5:$O$1504,"Completed"))</f>
        <v/>
      </c>
      <c r="N14" s="52">
        <f>IF(B14="","",IF(_xlfn.MAXIFS('JOBS'!$B$5:$B$1504,'JOBS'!$E$5:$E$1504,B14,'JOBS'!$O$5:$O$1504,"Completed")=0,"",_xlfn.MAXIFS('JOBS'!$B$5:$B$1504,'JOBS'!$E$5:$E$1504,B14,'JOBS'!$O$5:$O$1504,"Completed")))</f>
        <v/>
      </c>
      <c r="O14" s="54">
        <f>IF(B14="","",IFERROR(AVERAGEIFS('JOBS'!$L$5:$L$1504,'JOBS'!$E$5:$E$1504,B14,'JOBS'!$O$5:$O$1504,"Completed"),""))</f>
        <v/>
      </c>
    </row>
    <row r="15">
      <c r="A15" s="46" t="inlineStr">
        <is>
          <t>P-011</t>
        </is>
      </c>
      <c r="B15" s="38" t="inlineStr">
        <is>
          <t>897 Elm Terrace, Sampletown</t>
        </is>
      </c>
      <c r="C15" s="38" t="inlineStr">
        <is>
          <t>Peyton Underhill</t>
        </is>
      </c>
      <c r="D15" s="38" t="inlineStr">
        <is>
          <t>Sampletown</t>
        </is>
      </c>
      <c r="E15" s="38" t="inlineStr">
        <is>
          <t>Condo</t>
        </is>
      </c>
      <c r="F15" s="56" t="n">
        <v>1500</v>
      </c>
      <c r="G15" s="57" t="n">
        <v>3</v>
      </c>
      <c r="H15" s="58" t="n">
        <v>2</v>
      </c>
      <c r="I15" s="38" t="inlineStr">
        <is>
          <t>1 cat</t>
        </is>
      </c>
      <c r="J15" s="38" t="inlineStr">
        <is>
          <t>Customer home</t>
        </is>
      </c>
      <c r="K15" s="38" t="inlineStr">
        <is>
          <t>Visitor lot</t>
        </is>
      </c>
      <c r="L15" s="38" t="inlineStr"/>
      <c r="M15" s="53">
        <f>IF(B15="","",COUNTIFS('JOBS'!$E$5:$E$1504,B15,'JOBS'!$O$5:$O$1504,"Completed"))</f>
        <v/>
      </c>
      <c r="N15" s="52">
        <f>IF(B15="","",IF(_xlfn.MAXIFS('JOBS'!$B$5:$B$1504,'JOBS'!$E$5:$E$1504,B15,'JOBS'!$O$5:$O$1504,"Completed")=0,"",_xlfn.MAXIFS('JOBS'!$B$5:$B$1504,'JOBS'!$E$5:$E$1504,B15,'JOBS'!$O$5:$O$1504,"Completed")))</f>
        <v/>
      </c>
      <c r="O15" s="54">
        <f>IF(B15="","",IFERROR(AVERAGEIFS('JOBS'!$L$5:$L$1504,'JOBS'!$E$5:$E$1504,B15,'JOBS'!$O$5:$O$1504,"Completed"),""))</f>
        <v/>
      </c>
    </row>
    <row r="16">
      <c r="A16" s="46" t="inlineStr">
        <is>
          <t>P-012</t>
        </is>
      </c>
      <c r="B16" s="38" t="inlineStr">
        <is>
          <t>628 Cedar Court, North Sampletown</t>
        </is>
      </c>
      <c r="C16" s="38" t="inlineStr">
        <is>
          <t>Rowan Merriweather</t>
        </is>
      </c>
      <c r="D16" s="38" t="inlineStr">
        <is>
          <t>North Sampletown</t>
        </is>
      </c>
      <c r="E16" s="38" t="inlineStr">
        <is>
          <t>House</t>
        </is>
      </c>
      <c r="F16" s="56" t="n">
        <v>3600</v>
      </c>
      <c r="G16" s="57" t="n">
        <v>5</v>
      </c>
      <c r="H16" s="58" t="n">
        <v>3.5</v>
      </c>
      <c r="I16" s="38" t="inlineStr">
        <is>
          <t>2 cats</t>
        </is>
      </c>
      <c r="J16" s="38" t="inlineStr">
        <is>
          <t>Lockbox code on file</t>
        </is>
      </c>
      <c r="K16" s="38" t="inlineStr">
        <is>
          <t>Driveway</t>
        </is>
      </c>
      <c r="L16" s="38" t="inlineStr">
        <is>
          <t>Skip office room</t>
        </is>
      </c>
      <c r="M16" s="53">
        <f>IF(B16="","",COUNTIFS('JOBS'!$E$5:$E$1504,B16,'JOBS'!$O$5:$O$1504,"Completed"))</f>
        <v/>
      </c>
      <c r="N16" s="52">
        <f>IF(B16="","",IF(_xlfn.MAXIFS('JOBS'!$B$5:$B$1504,'JOBS'!$E$5:$E$1504,B16,'JOBS'!$O$5:$O$1504,"Completed")=0,"",_xlfn.MAXIFS('JOBS'!$B$5:$B$1504,'JOBS'!$E$5:$E$1504,B16,'JOBS'!$O$5:$O$1504,"Completed")))</f>
        <v/>
      </c>
      <c r="O16" s="54">
        <f>IF(B16="","",IFERROR(AVERAGEIFS('JOBS'!$L$5:$L$1504,'JOBS'!$E$5:$E$1504,B16,'JOBS'!$O$5:$O$1504,"Completed"),""))</f>
        <v/>
      </c>
    </row>
    <row r="17">
      <c r="A17" s="46" t="inlineStr">
        <is>
          <t>P-013</t>
        </is>
      </c>
      <c r="B17" s="38" t="inlineStr">
        <is>
          <t>853 Alder Lane, North Sampletown</t>
        </is>
      </c>
      <c r="C17" s="38" t="inlineStr">
        <is>
          <t>Harper Hayes</t>
        </is>
      </c>
      <c r="D17" s="38" t="inlineStr">
        <is>
          <t>North Sampletown</t>
        </is>
      </c>
      <c r="E17" s="38" t="inlineStr">
        <is>
          <t>Condo</t>
        </is>
      </c>
      <c r="F17" s="56" t="n">
        <v>1700</v>
      </c>
      <c r="G17" s="57" t="n">
        <v>3</v>
      </c>
      <c r="H17" s="58" t="n">
        <v>2</v>
      </c>
      <c r="I17" s="38" t="inlineStr">
        <is>
          <t>1 dog</t>
        </is>
      </c>
      <c r="J17" s="38" t="inlineStr">
        <is>
          <t>Smart lock — code sent day before</t>
        </is>
      </c>
      <c r="K17" s="38" t="inlineStr">
        <is>
          <t>Street</t>
        </is>
      </c>
      <c r="L17" s="38" t="inlineStr">
        <is>
          <t>Skip office room</t>
        </is>
      </c>
      <c r="M17" s="53">
        <f>IF(B17="","",COUNTIFS('JOBS'!$E$5:$E$1504,B17,'JOBS'!$O$5:$O$1504,"Completed"))</f>
        <v/>
      </c>
      <c r="N17" s="52">
        <f>IF(B17="","",IF(_xlfn.MAXIFS('JOBS'!$B$5:$B$1504,'JOBS'!$E$5:$E$1504,B17,'JOBS'!$O$5:$O$1504,"Completed")=0,"",_xlfn.MAXIFS('JOBS'!$B$5:$B$1504,'JOBS'!$E$5:$E$1504,B17,'JOBS'!$O$5:$O$1504,"Completed")))</f>
        <v/>
      </c>
      <c r="O17" s="54">
        <f>IF(B17="","",IFERROR(AVERAGEIFS('JOBS'!$L$5:$L$1504,'JOBS'!$E$5:$E$1504,B17,'JOBS'!$O$5:$O$1504,"Completed"),""))</f>
        <v/>
      </c>
    </row>
    <row r="18">
      <c r="A18" s="46" t="inlineStr">
        <is>
          <t>P-014</t>
        </is>
      </c>
      <c r="B18" s="38" t="inlineStr">
        <is>
          <t>80 Sycamore Street, North Sampletown</t>
        </is>
      </c>
      <c r="C18" s="38" t="inlineStr">
        <is>
          <t>Emerson Calloway</t>
        </is>
      </c>
      <c r="D18" s="38" t="inlineStr">
        <is>
          <t>North Sampletown</t>
        </is>
      </c>
      <c r="E18" s="38" t="inlineStr">
        <is>
          <t>House</t>
        </is>
      </c>
      <c r="F18" s="56" t="n">
        <v>1800</v>
      </c>
      <c r="G18" s="57" t="n">
        <v>3</v>
      </c>
      <c r="H18" s="58" t="n">
        <v>2</v>
      </c>
      <c r="I18" s="38" t="inlineStr"/>
      <c r="J18" s="38" t="inlineStr">
        <is>
          <t>Key under office management</t>
        </is>
      </c>
      <c r="K18" s="38" t="inlineStr">
        <is>
          <t>Street</t>
        </is>
      </c>
      <c r="L18" s="38" t="inlineStr"/>
      <c r="M18" s="53">
        <f>IF(B18="","",COUNTIFS('JOBS'!$E$5:$E$1504,B18,'JOBS'!$O$5:$O$1504,"Completed"))</f>
        <v/>
      </c>
      <c r="N18" s="52">
        <f>IF(B18="","",IF(_xlfn.MAXIFS('JOBS'!$B$5:$B$1504,'JOBS'!$E$5:$E$1504,B18,'JOBS'!$O$5:$O$1504,"Completed")=0,"",_xlfn.MAXIFS('JOBS'!$B$5:$B$1504,'JOBS'!$E$5:$E$1504,B18,'JOBS'!$O$5:$O$1504,"Completed")))</f>
        <v/>
      </c>
      <c r="O18" s="54">
        <f>IF(B18="","",IFERROR(AVERAGEIFS('JOBS'!$L$5:$L$1504,'JOBS'!$E$5:$E$1504,B18,'JOBS'!$O$5:$O$1504,"Completed"),""))</f>
        <v/>
      </c>
    </row>
    <row r="19">
      <c r="A19" s="46" t="inlineStr">
        <is>
          <t>P-015</t>
        </is>
      </c>
      <c r="B19" s="38" t="inlineStr">
        <is>
          <t>348 Hazel Court, Lakeview (fictional)</t>
        </is>
      </c>
      <c r="C19" s="38" t="inlineStr">
        <is>
          <t>Parker Pembrook</t>
        </is>
      </c>
      <c r="D19" s="38" t="inlineStr">
        <is>
          <t>Lakeview (fictional)</t>
        </is>
      </c>
      <c r="E19" s="38" t="inlineStr">
        <is>
          <t>Townhome</t>
        </is>
      </c>
      <c r="F19" s="56" t="n">
        <v>1300</v>
      </c>
      <c r="G19" s="57" t="n">
        <v>2</v>
      </c>
      <c r="H19" s="58" t="n">
        <v>1.5</v>
      </c>
      <c r="I19" s="38" t="inlineStr"/>
      <c r="J19" s="38" t="inlineStr">
        <is>
          <t>Customer home</t>
        </is>
      </c>
      <c r="K19" s="38" t="inlineStr">
        <is>
          <t>Driveway</t>
        </is>
      </c>
      <c r="L19" s="38" t="inlineStr">
        <is>
          <t>Skip office room</t>
        </is>
      </c>
      <c r="M19" s="53">
        <f>IF(B19="","",COUNTIFS('JOBS'!$E$5:$E$1504,B19,'JOBS'!$O$5:$O$1504,"Completed"))</f>
        <v/>
      </c>
      <c r="N19" s="52">
        <f>IF(B19="","",IF(_xlfn.MAXIFS('JOBS'!$B$5:$B$1504,'JOBS'!$E$5:$E$1504,B19,'JOBS'!$O$5:$O$1504,"Completed")=0,"",_xlfn.MAXIFS('JOBS'!$B$5:$B$1504,'JOBS'!$E$5:$E$1504,B19,'JOBS'!$O$5:$O$1504,"Completed")))</f>
        <v/>
      </c>
      <c r="O19" s="54">
        <f>IF(B19="","",IFERROR(AVERAGEIFS('JOBS'!$L$5:$L$1504,'JOBS'!$E$5:$E$1504,B19,'JOBS'!$O$5:$O$1504,"Completed"),""))</f>
        <v/>
      </c>
    </row>
    <row r="20">
      <c r="A20" s="46" t="inlineStr">
        <is>
          <t>P-016</t>
        </is>
      </c>
      <c r="B20" s="38" t="inlineStr">
        <is>
          <t>503 Cedar Court, Lakeview (fictional)</t>
        </is>
      </c>
      <c r="C20" s="38" t="inlineStr">
        <is>
          <t>Blake Dunmore</t>
        </is>
      </c>
      <c r="D20" s="38" t="inlineStr">
        <is>
          <t>Lakeview (fictional)</t>
        </is>
      </c>
      <c r="E20" s="38" t="inlineStr">
        <is>
          <t>House</t>
        </is>
      </c>
      <c r="F20" s="56" t="n">
        <v>1100</v>
      </c>
      <c r="G20" s="57" t="n">
        <v>2</v>
      </c>
      <c r="H20" s="58" t="n">
        <v>1.5</v>
      </c>
      <c r="I20" s="38" t="inlineStr">
        <is>
          <t>1 cat</t>
        </is>
      </c>
      <c r="J20" s="38" t="inlineStr">
        <is>
          <t>Garage keypad (code in office file)</t>
        </is>
      </c>
      <c r="K20" s="38" t="inlineStr">
        <is>
          <t>Visitor lot</t>
        </is>
      </c>
      <c r="L20" s="38" t="inlineStr"/>
      <c r="M20" s="53">
        <f>IF(B20="","",COUNTIFS('JOBS'!$E$5:$E$1504,B20,'JOBS'!$O$5:$O$1504,"Completed"))</f>
        <v/>
      </c>
      <c r="N20" s="52">
        <f>IF(B20="","",IF(_xlfn.MAXIFS('JOBS'!$B$5:$B$1504,'JOBS'!$E$5:$E$1504,B20,'JOBS'!$O$5:$O$1504,"Completed")=0,"",_xlfn.MAXIFS('JOBS'!$B$5:$B$1504,'JOBS'!$E$5:$E$1504,B20,'JOBS'!$O$5:$O$1504,"Completed")))</f>
        <v/>
      </c>
      <c r="O20" s="54">
        <f>IF(B20="","",IFERROR(AVERAGEIFS('JOBS'!$L$5:$L$1504,'JOBS'!$E$5:$E$1504,B20,'JOBS'!$O$5:$O$1504,"Completed"),""))</f>
        <v/>
      </c>
    </row>
    <row r="21">
      <c r="A21" s="46" t="inlineStr">
        <is>
          <t>P-017</t>
        </is>
      </c>
      <c r="B21" s="38" t="inlineStr">
        <is>
          <t>370 Cedar Court, Lakeview (fictional)</t>
        </is>
      </c>
      <c r="C21" s="38" t="inlineStr">
        <is>
          <t>Kendall Sutton</t>
        </is>
      </c>
      <c r="D21" s="38" t="inlineStr">
        <is>
          <t>Lakeview (fictional)</t>
        </is>
      </c>
      <c r="E21" s="38" t="inlineStr">
        <is>
          <t>House</t>
        </is>
      </c>
      <c r="F21" s="56" t="n">
        <v>3600</v>
      </c>
      <c r="G21" s="57" t="n">
        <v>5</v>
      </c>
      <c r="H21" s="58" t="n">
        <v>3.5</v>
      </c>
      <c r="I21" s="38" t="inlineStr"/>
      <c r="J21" s="38" t="inlineStr">
        <is>
          <t>Key under office management</t>
        </is>
      </c>
      <c r="K21" s="38" t="inlineStr">
        <is>
          <t>Driveway</t>
        </is>
      </c>
      <c r="L21" s="38" t="inlineStr">
        <is>
          <t>Unscented products only</t>
        </is>
      </c>
      <c r="M21" s="53">
        <f>IF(B21="","",COUNTIFS('JOBS'!$E$5:$E$1504,B21,'JOBS'!$O$5:$O$1504,"Completed"))</f>
        <v/>
      </c>
      <c r="N21" s="52">
        <f>IF(B21="","",IF(_xlfn.MAXIFS('JOBS'!$B$5:$B$1504,'JOBS'!$E$5:$E$1504,B21,'JOBS'!$O$5:$O$1504,"Completed")=0,"",_xlfn.MAXIFS('JOBS'!$B$5:$B$1504,'JOBS'!$E$5:$E$1504,B21,'JOBS'!$O$5:$O$1504,"Completed")))</f>
        <v/>
      </c>
      <c r="O21" s="54">
        <f>IF(B21="","",IFERROR(AVERAGEIFS('JOBS'!$L$5:$L$1504,'JOBS'!$E$5:$E$1504,B21,'JOBS'!$O$5:$O$1504,"Completed"),""))</f>
        <v/>
      </c>
    </row>
    <row r="22">
      <c r="A22" s="46" t="inlineStr">
        <is>
          <t>P-018</t>
        </is>
      </c>
      <c r="B22" s="38" t="inlineStr">
        <is>
          <t>22 Cedar Court, Sampletown</t>
        </is>
      </c>
      <c r="C22" s="38" t="inlineStr">
        <is>
          <t>Drew Bennett</t>
        </is>
      </c>
      <c r="D22" s="38" t="inlineStr">
        <is>
          <t>Sampletown</t>
        </is>
      </c>
      <c r="E22" s="38" t="inlineStr">
        <is>
          <t>Condo</t>
        </is>
      </c>
      <c r="F22" s="56" t="n">
        <v>2900</v>
      </c>
      <c r="G22" s="57" t="n">
        <v>4</v>
      </c>
      <c r="H22" s="58" t="n">
        <v>3</v>
      </c>
      <c r="I22" s="38" t="inlineStr">
        <is>
          <t>2 cats</t>
        </is>
      </c>
      <c r="J22" s="38" t="inlineStr">
        <is>
          <t>Lockbox code on file</t>
        </is>
      </c>
      <c r="K22" s="38" t="inlineStr">
        <is>
          <t>Driveway</t>
        </is>
      </c>
      <c r="L22" s="38" t="inlineStr">
        <is>
          <t>Shoes off at entry</t>
        </is>
      </c>
      <c r="M22" s="53">
        <f>IF(B22="","",COUNTIFS('JOBS'!$E$5:$E$1504,B22,'JOBS'!$O$5:$O$1504,"Completed"))</f>
        <v/>
      </c>
      <c r="N22" s="52">
        <f>IF(B22="","",IF(_xlfn.MAXIFS('JOBS'!$B$5:$B$1504,'JOBS'!$E$5:$E$1504,B22,'JOBS'!$O$5:$O$1504,"Completed")=0,"",_xlfn.MAXIFS('JOBS'!$B$5:$B$1504,'JOBS'!$E$5:$E$1504,B22,'JOBS'!$O$5:$O$1504,"Completed")))</f>
        <v/>
      </c>
      <c r="O22" s="54">
        <f>IF(B22="","",IFERROR(AVERAGEIFS('JOBS'!$L$5:$L$1504,'JOBS'!$E$5:$E$1504,B22,'JOBS'!$O$5:$O$1504,"Completed"),""))</f>
        <v/>
      </c>
    </row>
    <row r="23">
      <c r="A23" s="46" t="inlineStr">
        <is>
          <t>P-019</t>
        </is>
      </c>
      <c r="B23" s="38" t="inlineStr">
        <is>
          <t>868 Rowan Drive, Sampletown</t>
        </is>
      </c>
      <c r="C23" s="38" t="inlineStr">
        <is>
          <t>Skyler Yardley</t>
        </is>
      </c>
      <c r="D23" s="38" t="inlineStr">
        <is>
          <t>Sampletown</t>
        </is>
      </c>
      <c r="E23" s="38" t="inlineStr">
        <is>
          <t>Condo</t>
        </is>
      </c>
      <c r="F23" s="56" t="n">
        <v>3600</v>
      </c>
      <c r="G23" s="57" t="n">
        <v>5</v>
      </c>
      <c r="H23" s="58" t="n">
        <v>3.5</v>
      </c>
      <c r="I23" s="38" t="inlineStr">
        <is>
          <t>2 cats</t>
        </is>
      </c>
      <c r="J23" s="38" t="inlineStr">
        <is>
          <t>Smart lock — code sent day before</t>
        </is>
      </c>
      <c r="K23" s="38" t="inlineStr">
        <is>
          <t>Driveway</t>
        </is>
      </c>
      <c r="L23" s="38" t="inlineStr">
        <is>
          <t>Skip office room</t>
        </is>
      </c>
      <c r="M23" s="53">
        <f>IF(B23="","",COUNTIFS('JOBS'!$E$5:$E$1504,B23,'JOBS'!$O$5:$O$1504,"Completed"))</f>
        <v/>
      </c>
      <c r="N23" s="52">
        <f>IF(B23="","",IF(_xlfn.MAXIFS('JOBS'!$B$5:$B$1504,'JOBS'!$E$5:$E$1504,B23,'JOBS'!$O$5:$O$1504,"Completed")=0,"",_xlfn.MAXIFS('JOBS'!$B$5:$B$1504,'JOBS'!$E$5:$E$1504,B23,'JOBS'!$O$5:$O$1504,"Completed")))</f>
        <v/>
      </c>
      <c r="O23" s="54">
        <f>IF(B23="","",IFERROR(AVERAGEIFS('JOBS'!$L$5:$L$1504,'JOBS'!$E$5:$E$1504,B23,'JOBS'!$O$5:$O$1504,"Completed"),""))</f>
        <v/>
      </c>
    </row>
    <row r="24">
      <c r="A24" s="46" t="inlineStr">
        <is>
          <t>P-020</t>
        </is>
      </c>
      <c r="B24" s="38" t="inlineStr">
        <is>
          <t>685 Alder Lane, North Sampletown</t>
        </is>
      </c>
      <c r="C24" s="38" t="inlineStr">
        <is>
          <t>Wren Porter</t>
        </is>
      </c>
      <c r="D24" s="38" t="inlineStr">
        <is>
          <t>North Sampletown</t>
        </is>
      </c>
      <c r="E24" s="38" t="inlineStr">
        <is>
          <t>House</t>
        </is>
      </c>
      <c r="F24" s="56" t="n">
        <v>3600</v>
      </c>
      <c r="G24" s="57" t="n">
        <v>5</v>
      </c>
      <c r="H24" s="58" t="n">
        <v>3.5</v>
      </c>
      <c r="I24" s="38" t="inlineStr">
        <is>
          <t>2 cats</t>
        </is>
      </c>
      <c r="J24" s="38" t="inlineStr">
        <is>
          <t>Lockbox code on file</t>
        </is>
      </c>
      <c r="K24" s="38" t="inlineStr">
        <is>
          <t>Visitor lot</t>
        </is>
      </c>
      <c r="L24" s="38" t="inlineStr">
        <is>
          <t>Shoes off at entry</t>
        </is>
      </c>
      <c r="M24" s="53">
        <f>IF(B24="","",COUNTIFS('JOBS'!$E$5:$E$1504,B24,'JOBS'!$O$5:$O$1504,"Completed"))</f>
        <v/>
      </c>
      <c r="N24" s="52">
        <f>IF(B24="","",IF(_xlfn.MAXIFS('JOBS'!$B$5:$B$1504,'JOBS'!$E$5:$E$1504,B24,'JOBS'!$O$5:$O$1504,"Completed")=0,"",_xlfn.MAXIFS('JOBS'!$B$5:$B$1504,'JOBS'!$E$5:$E$1504,B24,'JOBS'!$O$5:$O$1504,"Completed")))</f>
        <v/>
      </c>
      <c r="O24" s="54">
        <f>IF(B24="","",IFERROR(AVERAGEIFS('JOBS'!$L$5:$L$1504,'JOBS'!$E$5:$E$1504,B24,'JOBS'!$O$5:$O$1504,"Completed"),""))</f>
        <v/>
      </c>
    </row>
    <row r="25">
      <c r="A25" s="46" t="inlineStr">
        <is>
          <t>P-021</t>
        </is>
      </c>
      <c r="B25" s="38" t="inlineStr">
        <is>
          <t>520 Linden Place, North Sampletown</t>
        </is>
      </c>
      <c r="C25" s="38" t="inlineStr">
        <is>
          <t>Wren Delgado</t>
        </is>
      </c>
      <c r="D25" s="38" t="inlineStr">
        <is>
          <t>North Sampletown</t>
        </is>
      </c>
      <c r="E25" s="38" t="inlineStr">
        <is>
          <t>House</t>
        </is>
      </c>
      <c r="F25" s="56" t="n">
        <v>2600</v>
      </c>
      <c r="G25" s="57" t="n">
        <v>4</v>
      </c>
      <c r="H25" s="58" t="n">
        <v>3</v>
      </c>
      <c r="I25" s="38" t="inlineStr">
        <is>
          <t>1 dog</t>
        </is>
      </c>
      <c r="J25" s="38" t="inlineStr">
        <is>
          <t>Key under office management</t>
        </is>
      </c>
      <c r="K25" s="38" t="inlineStr">
        <is>
          <t>Visitor lot</t>
        </is>
      </c>
      <c r="L25" s="38" t="inlineStr">
        <is>
          <t>Skip office room</t>
        </is>
      </c>
      <c r="M25" s="53">
        <f>IF(B25="","",COUNTIFS('JOBS'!$E$5:$E$1504,B25,'JOBS'!$O$5:$O$1504,"Completed"))</f>
        <v/>
      </c>
      <c r="N25" s="52">
        <f>IF(B25="","",IF(_xlfn.MAXIFS('JOBS'!$B$5:$B$1504,'JOBS'!$E$5:$E$1504,B25,'JOBS'!$O$5:$O$1504,"Completed")=0,"",_xlfn.MAXIFS('JOBS'!$B$5:$B$1504,'JOBS'!$E$5:$E$1504,B25,'JOBS'!$O$5:$O$1504,"Completed")))</f>
        <v/>
      </c>
      <c r="O25" s="54">
        <f>IF(B25="","",IFERROR(AVERAGEIFS('JOBS'!$L$5:$L$1504,'JOBS'!$E$5:$E$1504,B25,'JOBS'!$O$5:$O$1504,"Completed"),""))</f>
        <v/>
      </c>
    </row>
    <row r="26">
      <c r="A26" s="46" t="inlineStr">
        <is>
          <t>P-022</t>
        </is>
      </c>
      <c r="B26" s="38" t="inlineStr">
        <is>
          <t>952 Poplar Trail, Sampletown</t>
        </is>
      </c>
      <c r="C26" s="38" t="inlineStr">
        <is>
          <t>Quinn Ashworth</t>
        </is>
      </c>
      <c r="D26" s="38" t="inlineStr">
        <is>
          <t>Sampletown</t>
        </is>
      </c>
      <c r="E26" s="38" t="inlineStr">
        <is>
          <t>Condo</t>
        </is>
      </c>
      <c r="F26" s="56" t="n">
        <v>1700</v>
      </c>
      <c r="G26" s="57" t="n">
        <v>3</v>
      </c>
      <c r="H26" s="58" t="n">
        <v>2</v>
      </c>
      <c r="I26" s="38" t="inlineStr"/>
      <c r="J26" s="38" t="inlineStr">
        <is>
          <t>Customer home</t>
        </is>
      </c>
      <c r="K26" s="38" t="inlineStr">
        <is>
          <t>Street</t>
        </is>
      </c>
      <c r="L26" s="38" t="inlineStr">
        <is>
          <t>Shoes off at entry</t>
        </is>
      </c>
      <c r="M26" s="53">
        <f>IF(B26="","",COUNTIFS('JOBS'!$E$5:$E$1504,B26,'JOBS'!$O$5:$O$1504,"Completed"))</f>
        <v/>
      </c>
      <c r="N26" s="52">
        <f>IF(B26="","",IF(_xlfn.MAXIFS('JOBS'!$B$5:$B$1504,'JOBS'!$E$5:$E$1504,B26,'JOBS'!$O$5:$O$1504,"Completed")=0,"",_xlfn.MAXIFS('JOBS'!$B$5:$B$1504,'JOBS'!$E$5:$E$1504,B26,'JOBS'!$O$5:$O$1504,"Completed")))</f>
        <v/>
      </c>
      <c r="O26" s="54">
        <f>IF(B26="","",IFERROR(AVERAGEIFS('JOBS'!$L$5:$L$1504,'JOBS'!$E$5:$E$1504,B26,'JOBS'!$O$5:$O$1504,"Completed"),""))</f>
        <v/>
      </c>
    </row>
    <row r="27">
      <c r="A27" s="46" t="inlineStr">
        <is>
          <t>P-023</t>
        </is>
      </c>
      <c r="B27" s="38" t="inlineStr">
        <is>
          <t>738 Cedar Court, North Sampletown</t>
        </is>
      </c>
      <c r="C27" s="38" t="inlineStr">
        <is>
          <t>Brightside Dental Studio (sample)</t>
        </is>
      </c>
      <c r="D27" s="38" t="inlineStr">
        <is>
          <t>North Sampletown</t>
        </is>
      </c>
      <c r="E27" s="38" t="inlineStr">
        <is>
          <t>Medical/Dental</t>
        </is>
      </c>
      <c r="F27" s="56" t="n">
        <v>2400</v>
      </c>
      <c r="G27" s="57" t="n">
        <v>0</v>
      </c>
      <c r="H27" s="58" t="n">
        <v>2</v>
      </c>
      <c r="I27" s="38" t="inlineStr"/>
      <c r="J27" s="38" t="inlineStr">
        <is>
          <t>Customer home</t>
        </is>
      </c>
      <c r="K27" s="38" t="inlineStr">
        <is>
          <t>Driveway</t>
        </is>
      </c>
      <c r="L27" s="38" t="inlineStr">
        <is>
          <t>After-hours only</t>
        </is>
      </c>
      <c r="M27" s="53">
        <f>IF(B27="","",COUNTIFS('JOBS'!$E$5:$E$1504,B27,'JOBS'!$O$5:$O$1504,"Completed"))</f>
        <v/>
      </c>
      <c r="N27" s="52">
        <f>IF(B27="","",IF(_xlfn.MAXIFS('JOBS'!$B$5:$B$1504,'JOBS'!$E$5:$E$1504,B27,'JOBS'!$O$5:$O$1504,"Completed")=0,"",_xlfn.MAXIFS('JOBS'!$B$5:$B$1504,'JOBS'!$E$5:$E$1504,B27,'JOBS'!$O$5:$O$1504,"Completed")))</f>
        <v/>
      </c>
      <c r="O27" s="54">
        <f>IF(B27="","",IFERROR(AVERAGEIFS('JOBS'!$L$5:$L$1504,'JOBS'!$E$5:$E$1504,B27,'JOBS'!$O$5:$O$1504,"Completed"),""))</f>
        <v/>
      </c>
    </row>
    <row r="28">
      <c r="A28" s="46" t="inlineStr">
        <is>
          <t>P-024</t>
        </is>
      </c>
      <c r="B28" s="38" t="inlineStr">
        <is>
          <t>957 Hawthorn Road, North Sampletown</t>
        </is>
      </c>
      <c r="C28" s="38" t="inlineStr">
        <is>
          <t>Oakview Office Suites (sample)</t>
        </is>
      </c>
      <c r="D28" s="38" t="inlineStr">
        <is>
          <t>North Sampletown</t>
        </is>
      </c>
      <c r="E28" s="38" t="inlineStr">
        <is>
          <t>Office</t>
        </is>
      </c>
      <c r="F28" s="56" t="n">
        <v>5200</v>
      </c>
      <c r="G28" s="57" t="n">
        <v>0</v>
      </c>
      <c r="H28" s="58" t="n">
        <v>4</v>
      </c>
      <c r="I28" s="38" t="inlineStr"/>
      <c r="J28" s="38" t="inlineStr">
        <is>
          <t>Key under office management</t>
        </is>
      </c>
      <c r="K28" s="38" t="inlineStr">
        <is>
          <t>Garage apron</t>
        </is>
      </c>
      <c r="L28" s="38" t="inlineStr">
        <is>
          <t>After-hours only</t>
        </is>
      </c>
      <c r="M28" s="53">
        <f>IF(B28="","",COUNTIFS('JOBS'!$E$5:$E$1504,B28,'JOBS'!$O$5:$O$1504,"Completed"))</f>
        <v/>
      </c>
      <c r="N28" s="52">
        <f>IF(B28="","",IF(_xlfn.MAXIFS('JOBS'!$B$5:$B$1504,'JOBS'!$E$5:$E$1504,B28,'JOBS'!$O$5:$O$1504,"Completed")=0,"",_xlfn.MAXIFS('JOBS'!$B$5:$B$1504,'JOBS'!$E$5:$E$1504,B28,'JOBS'!$O$5:$O$1504,"Completed")))</f>
        <v/>
      </c>
      <c r="O28" s="54">
        <f>IF(B28="","",IFERROR(AVERAGEIFS('JOBS'!$L$5:$L$1504,'JOBS'!$E$5:$E$1504,B28,'JOBS'!$O$5:$O$1504,"Completed"),""))</f>
        <v/>
      </c>
    </row>
    <row r="29">
      <c r="A29" s="46" t="inlineStr">
        <is>
          <t>P-025</t>
        </is>
      </c>
      <c r="B29" s="38" t="inlineStr">
        <is>
          <t>338 Cedar Court, Sampletown</t>
        </is>
      </c>
      <c r="C29" s="38" t="inlineStr">
        <is>
          <t>Harbor Yoga Loft (sample)</t>
        </is>
      </c>
      <c r="D29" s="38" t="inlineStr">
        <is>
          <t>Sampletown</t>
        </is>
      </c>
      <c r="E29" s="38" t="inlineStr">
        <is>
          <t>Office</t>
        </is>
      </c>
      <c r="F29" s="56" t="n">
        <v>1800</v>
      </c>
      <c r="G29" s="57" t="n">
        <v>0</v>
      </c>
      <c r="H29" s="58" t="n">
        <v>2</v>
      </c>
      <c r="I29" s="38" t="inlineStr"/>
      <c r="J29" s="38" t="inlineStr">
        <is>
          <t>Garage keypad (code in office file)</t>
        </is>
      </c>
      <c r="K29" s="38" t="inlineStr">
        <is>
          <t>Driveway</t>
        </is>
      </c>
      <c r="L29" s="38" t="inlineStr">
        <is>
          <t>After-hours only</t>
        </is>
      </c>
      <c r="M29" s="53">
        <f>IF(B29="","",COUNTIFS('JOBS'!$E$5:$E$1504,B29,'JOBS'!$O$5:$O$1504,"Completed"))</f>
        <v/>
      </c>
      <c r="N29" s="52">
        <f>IF(B29="","",IF(_xlfn.MAXIFS('JOBS'!$B$5:$B$1504,'JOBS'!$E$5:$E$1504,B29,'JOBS'!$O$5:$O$1504,"Completed")=0,"",_xlfn.MAXIFS('JOBS'!$B$5:$B$1504,'JOBS'!$E$5:$E$1504,B29,'JOBS'!$O$5:$O$1504,"Completed")))</f>
        <v/>
      </c>
      <c r="O29" s="54">
        <f>IF(B29="","",IFERROR(AVERAGEIFS('JOBS'!$L$5:$L$1504,'JOBS'!$E$5:$E$1504,B29,'JOBS'!$O$5:$O$1504,"Completed"),""))</f>
        <v/>
      </c>
    </row>
    <row r="30">
      <c r="A30" s="46" t="inlineStr">
        <is>
          <t>P-026</t>
        </is>
      </c>
      <c r="B30" s="38" t="inlineStr">
        <is>
          <t>666 Juniper Street, North Sampletown</t>
        </is>
      </c>
      <c r="C30" s="38" t="inlineStr">
        <is>
          <t>Dana Oakes</t>
        </is>
      </c>
      <c r="D30" s="38" t="inlineStr">
        <is>
          <t>North Sampletown</t>
        </is>
      </c>
      <c r="E30" s="38" t="inlineStr">
        <is>
          <t>Short-Term Rental</t>
        </is>
      </c>
      <c r="F30" s="56" t="n">
        <v>850</v>
      </c>
      <c r="G30" s="57" t="n">
        <v>1</v>
      </c>
      <c r="H30" s="58" t="n">
        <v>1</v>
      </c>
      <c r="I30" s="38" t="inlineStr"/>
      <c r="J30" s="38" t="inlineStr">
        <is>
          <t>Key under office management</t>
        </is>
      </c>
      <c r="K30" s="38" t="inlineStr">
        <is>
          <t>Street</t>
        </is>
      </c>
      <c r="L30" s="38" t="inlineStr">
        <is>
          <t>Photo each room after reset</t>
        </is>
      </c>
      <c r="M30" s="53">
        <f>IF(B30="","",COUNTIFS('JOBS'!$E$5:$E$1504,B30,'JOBS'!$O$5:$O$1504,"Completed"))</f>
        <v/>
      </c>
      <c r="N30" s="52">
        <f>IF(B30="","",IF(_xlfn.MAXIFS('JOBS'!$B$5:$B$1504,'JOBS'!$E$5:$E$1504,B30,'JOBS'!$O$5:$O$1504,"Completed")=0,"",_xlfn.MAXIFS('JOBS'!$B$5:$B$1504,'JOBS'!$E$5:$E$1504,B30,'JOBS'!$O$5:$O$1504,"Completed")))</f>
        <v/>
      </c>
      <c r="O30" s="54">
        <f>IF(B30="","",IFERROR(AVERAGEIFS('JOBS'!$L$5:$L$1504,'JOBS'!$E$5:$E$1504,B30,'JOBS'!$O$5:$O$1504,"Completed"),""))</f>
        <v/>
      </c>
    </row>
    <row r="31">
      <c r="A31" s="46" t="inlineStr">
        <is>
          <t>P-027</t>
        </is>
      </c>
      <c r="B31" s="38" t="inlineStr">
        <is>
          <t>654 Willow Way, North Sampletown</t>
        </is>
      </c>
      <c r="C31" s="38" t="inlineStr">
        <is>
          <t>Blake Oakes</t>
        </is>
      </c>
      <c r="D31" s="38" t="inlineStr">
        <is>
          <t>North Sampletown</t>
        </is>
      </c>
      <c r="E31" s="38" t="inlineStr">
        <is>
          <t>Short-Term Rental</t>
        </is>
      </c>
      <c r="F31" s="56" t="n">
        <v>850</v>
      </c>
      <c r="G31" s="57" t="n">
        <v>1</v>
      </c>
      <c r="H31" s="58" t="n">
        <v>1</v>
      </c>
      <c r="I31" s="38" t="inlineStr"/>
      <c r="J31" s="38" t="inlineStr">
        <is>
          <t>Lockbox code on file</t>
        </is>
      </c>
      <c r="K31" s="38" t="inlineStr">
        <is>
          <t>Visitor lot</t>
        </is>
      </c>
      <c r="L31" s="38" t="inlineStr">
        <is>
          <t>Photo each room after reset</t>
        </is>
      </c>
      <c r="M31" s="53">
        <f>IF(B31="","",COUNTIFS('JOBS'!$E$5:$E$1504,B31,'JOBS'!$O$5:$O$1504,"Completed"))</f>
        <v/>
      </c>
      <c r="N31" s="52">
        <f>IF(B31="","",IF(_xlfn.MAXIFS('JOBS'!$B$5:$B$1504,'JOBS'!$E$5:$E$1504,B31,'JOBS'!$O$5:$O$1504,"Completed")=0,"",_xlfn.MAXIFS('JOBS'!$B$5:$B$1504,'JOBS'!$E$5:$E$1504,B31,'JOBS'!$O$5:$O$1504,"Completed")))</f>
        <v/>
      </c>
      <c r="O31" s="54">
        <f>IF(B31="","",IFERROR(AVERAGEIFS('JOBS'!$L$5:$L$1504,'JOBS'!$E$5:$E$1504,B31,'JOBS'!$O$5:$O$1504,"Completed"),""))</f>
        <v/>
      </c>
    </row>
    <row r="32">
      <c r="A32" s="46" t="inlineStr">
        <is>
          <t>P-028</t>
        </is>
      </c>
      <c r="B32" s="38" t="inlineStr">
        <is>
          <t>192 Birch Lane, North Sampletown</t>
        </is>
      </c>
      <c r="C32" s="38" t="inlineStr">
        <is>
          <t>Emerson Holloway</t>
        </is>
      </c>
      <c r="D32" s="38" t="inlineStr">
        <is>
          <t>North Sampletown</t>
        </is>
      </c>
      <c r="E32" s="38" t="inlineStr">
        <is>
          <t>Short-Term Rental</t>
        </is>
      </c>
      <c r="F32" s="56" t="n">
        <v>1200</v>
      </c>
      <c r="G32" s="57" t="n">
        <v>2</v>
      </c>
      <c r="H32" s="58" t="n">
        <v>1</v>
      </c>
      <c r="I32" s="38" t="inlineStr"/>
      <c r="J32" s="38" t="inlineStr">
        <is>
          <t>Smart lock — code sent day before</t>
        </is>
      </c>
      <c r="K32" s="38" t="inlineStr">
        <is>
          <t>Driveway</t>
        </is>
      </c>
      <c r="L32" s="38" t="inlineStr">
        <is>
          <t>Photo each room after reset</t>
        </is>
      </c>
      <c r="M32" s="53">
        <f>IF(B32="","",COUNTIFS('JOBS'!$E$5:$E$1504,B32,'JOBS'!$O$5:$O$1504,"Completed"))</f>
        <v/>
      </c>
      <c r="N32" s="52">
        <f>IF(B32="","",IF(_xlfn.MAXIFS('JOBS'!$B$5:$B$1504,'JOBS'!$E$5:$E$1504,B32,'JOBS'!$O$5:$O$1504,"Completed")=0,"",_xlfn.MAXIFS('JOBS'!$B$5:$B$1504,'JOBS'!$E$5:$E$1504,B32,'JOBS'!$O$5:$O$1504,"Completed")))</f>
        <v/>
      </c>
      <c r="O32" s="54">
        <f>IF(B32="","",IFERROR(AVERAGEIFS('JOBS'!$L$5:$L$1504,'JOBS'!$E$5:$E$1504,B32,'JOBS'!$O$5:$O$1504,"Completed"),""))</f>
        <v/>
      </c>
    </row>
    <row r="33">
      <c r="A33" s="46" t="inlineStr">
        <is>
          <t>P-029</t>
        </is>
      </c>
      <c r="B33" s="38" t="inlineStr">
        <is>
          <t>412 Linden Place, Sampletown</t>
        </is>
      </c>
      <c r="C33" s="38" t="inlineStr">
        <is>
          <t>Parker Lockhart</t>
        </is>
      </c>
      <c r="D33" s="38" t="inlineStr">
        <is>
          <t>Sampletown</t>
        </is>
      </c>
      <c r="E33" s="38" t="inlineStr">
        <is>
          <t>Short-Term Rental</t>
        </is>
      </c>
      <c r="F33" s="56" t="n">
        <v>1000</v>
      </c>
      <c r="G33" s="57" t="n">
        <v>2</v>
      </c>
      <c r="H33" s="58" t="n">
        <v>1</v>
      </c>
      <c r="I33" s="38" t="inlineStr"/>
      <c r="J33" s="38" t="inlineStr">
        <is>
          <t>Key under office management</t>
        </is>
      </c>
      <c r="K33" s="38" t="inlineStr">
        <is>
          <t>Garage apron</t>
        </is>
      </c>
      <c r="L33" s="38" t="inlineStr">
        <is>
          <t>Photo each room after reset</t>
        </is>
      </c>
      <c r="M33" s="53">
        <f>IF(B33="","",COUNTIFS('JOBS'!$E$5:$E$1504,B33,'JOBS'!$O$5:$O$1504,"Completed"))</f>
        <v/>
      </c>
      <c r="N33" s="52">
        <f>IF(B33="","",IF(_xlfn.MAXIFS('JOBS'!$B$5:$B$1504,'JOBS'!$E$5:$E$1504,B33,'JOBS'!$O$5:$O$1504,"Completed")=0,"",_xlfn.MAXIFS('JOBS'!$B$5:$B$1504,'JOBS'!$E$5:$E$1504,B33,'JOBS'!$O$5:$O$1504,"Completed")))</f>
        <v/>
      </c>
      <c r="O33" s="54">
        <f>IF(B33="","",IFERROR(AVERAGEIFS('JOBS'!$L$5:$L$1504,'JOBS'!$E$5:$E$1504,B33,'JOBS'!$O$5:$O$1504,"Completed"),""))</f>
        <v/>
      </c>
    </row>
    <row r="34">
      <c r="A34" s="46" t="inlineStr">
        <is>
          <t>P-030</t>
        </is>
      </c>
      <c r="B34" s="38" t="inlineStr">
        <is>
          <t>211 Birch Lane, North Sampletown</t>
        </is>
      </c>
      <c r="C34" s="38" t="inlineStr">
        <is>
          <t>Crescent Property Group (sample)</t>
        </is>
      </c>
      <c r="D34" s="38" t="inlineStr">
        <is>
          <t>North Sampletown</t>
        </is>
      </c>
      <c r="E34" s="38" t="inlineStr">
        <is>
          <t>Apartment</t>
        </is>
      </c>
      <c r="F34" s="56" t="n">
        <v>900</v>
      </c>
      <c r="G34" s="57" t="n">
        <v>2</v>
      </c>
      <c r="H34" s="58" t="n">
        <v>1</v>
      </c>
      <c r="I34" s="38" t="inlineStr"/>
      <c r="J34" s="38" t="inlineStr">
        <is>
          <t>Smart lock — code sent day before</t>
        </is>
      </c>
      <c r="K34" s="38" t="inlineStr">
        <is>
          <t>Visitor lot</t>
        </is>
      </c>
      <c r="L34" s="38" t="inlineStr"/>
      <c r="M34" s="53">
        <f>IF(B34="","",COUNTIFS('JOBS'!$E$5:$E$1504,B34,'JOBS'!$O$5:$O$1504,"Completed"))</f>
        <v/>
      </c>
      <c r="N34" s="52">
        <f>IF(B34="","",IF(_xlfn.MAXIFS('JOBS'!$B$5:$B$1504,'JOBS'!$E$5:$E$1504,B34,'JOBS'!$O$5:$O$1504,"Completed")=0,"",_xlfn.MAXIFS('JOBS'!$B$5:$B$1504,'JOBS'!$E$5:$E$1504,B34,'JOBS'!$O$5:$O$1504,"Completed")))</f>
        <v/>
      </c>
      <c r="O34" s="54">
        <f>IF(B34="","",IFERROR(AVERAGEIFS('JOBS'!$L$5:$L$1504,'JOBS'!$E$5:$E$1504,B34,'JOBS'!$O$5:$O$1504,"Completed"),""))</f>
        <v/>
      </c>
    </row>
    <row r="35">
      <c r="A35" s="46" t="inlineStr">
        <is>
          <t>P-031</t>
        </is>
      </c>
      <c r="B35" s="38" t="inlineStr">
        <is>
          <t>484 Poplar Trail, Lakeview (fictional)</t>
        </is>
      </c>
      <c r="C35" s="38" t="inlineStr">
        <is>
          <t>Crescent Property Group (sample)</t>
        </is>
      </c>
      <c r="D35" s="38" t="inlineStr">
        <is>
          <t>Lakeview (fictional)</t>
        </is>
      </c>
      <c r="E35" s="38" t="inlineStr">
        <is>
          <t>Apartment</t>
        </is>
      </c>
      <c r="F35" s="56" t="n">
        <v>1150</v>
      </c>
      <c r="G35" s="57" t="n">
        <v>2</v>
      </c>
      <c r="H35" s="58" t="n">
        <v>2</v>
      </c>
      <c r="I35" s="38" t="inlineStr"/>
      <c r="J35" s="38" t="inlineStr">
        <is>
          <t>Customer home</t>
        </is>
      </c>
      <c r="K35" s="38" t="inlineStr">
        <is>
          <t>Driveway</t>
        </is>
      </c>
      <c r="L35" s="38" t="inlineStr"/>
      <c r="M35" s="53">
        <f>IF(B35="","",COUNTIFS('JOBS'!$E$5:$E$1504,B35,'JOBS'!$O$5:$O$1504,"Completed"))</f>
        <v/>
      </c>
      <c r="N35" s="52">
        <f>IF(B35="","",IF(_xlfn.MAXIFS('JOBS'!$B$5:$B$1504,'JOBS'!$E$5:$E$1504,B35,'JOBS'!$O$5:$O$1504,"Completed")=0,"",_xlfn.MAXIFS('JOBS'!$B$5:$B$1504,'JOBS'!$E$5:$E$1504,B35,'JOBS'!$O$5:$O$1504,"Completed")))</f>
        <v/>
      </c>
      <c r="O35" s="54">
        <f>IF(B35="","",IFERROR(AVERAGEIFS('JOBS'!$L$5:$L$1504,'JOBS'!$E$5:$E$1504,B35,'JOBS'!$O$5:$O$1504,"Completed"),""))</f>
        <v/>
      </c>
    </row>
    <row r="36">
      <c r="A36" s="46" t="inlineStr">
        <is>
          <t>P-032</t>
        </is>
      </c>
      <c r="B36" s="38" t="inlineStr">
        <is>
          <t>749 Willow Way, Sampletown</t>
        </is>
      </c>
      <c r="C36" s="38" t="inlineStr">
        <is>
          <t>Crescent Property Group (sample)</t>
        </is>
      </c>
      <c r="D36" s="38" t="inlineStr">
        <is>
          <t>Sampletown</t>
        </is>
      </c>
      <c r="E36" s="38" t="inlineStr">
        <is>
          <t>Apartment</t>
        </is>
      </c>
      <c r="F36" s="56" t="n">
        <v>1400</v>
      </c>
      <c r="G36" s="57" t="n">
        <v>3</v>
      </c>
      <c r="H36" s="58" t="n">
        <v>2</v>
      </c>
      <c r="I36" s="38" t="inlineStr"/>
      <c r="J36" s="38" t="inlineStr">
        <is>
          <t>Customer home</t>
        </is>
      </c>
      <c r="K36" s="38" t="inlineStr">
        <is>
          <t>Garage apron</t>
        </is>
      </c>
      <c r="L36" s="38" t="inlineStr"/>
      <c r="M36" s="53">
        <f>IF(B36="","",COUNTIFS('JOBS'!$E$5:$E$1504,B36,'JOBS'!$O$5:$O$1504,"Completed"))</f>
        <v/>
      </c>
      <c r="N36" s="52">
        <f>IF(B36="","",IF(_xlfn.MAXIFS('JOBS'!$B$5:$B$1504,'JOBS'!$E$5:$E$1504,B36,'JOBS'!$O$5:$O$1504,"Completed")=0,"",_xlfn.MAXIFS('JOBS'!$B$5:$B$1504,'JOBS'!$E$5:$E$1504,B36,'JOBS'!$O$5:$O$1504,"Completed")))</f>
        <v/>
      </c>
      <c r="O36" s="54">
        <f>IF(B36="","",IFERROR(AVERAGEIFS('JOBS'!$L$5:$L$1504,'JOBS'!$E$5:$E$1504,B36,'JOBS'!$O$5:$O$1504,"Completed"),""))</f>
        <v/>
      </c>
    </row>
    <row r="37">
      <c r="A37" s="46" t="inlineStr">
        <is>
          <t>P-033</t>
        </is>
      </c>
      <c r="B37" s="38" t="n"/>
      <c r="C37" s="38" t="n"/>
      <c r="D37" s="38" t="n"/>
      <c r="E37" s="38" t="n"/>
      <c r="F37" s="56" t="n"/>
      <c r="G37" s="57" t="n"/>
      <c r="H37" s="58" t="n"/>
      <c r="I37" s="38" t="n"/>
      <c r="J37" s="38" t="n"/>
      <c r="K37" s="38" t="n"/>
      <c r="L37" s="38" t="n"/>
      <c r="M37" s="53">
        <f>IF(B37="","",COUNTIFS('JOBS'!$E$5:$E$1504,B37,'JOBS'!$O$5:$O$1504,"Completed"))</f>
        <v/>
      </c>
      <c r="N37" s="52">
        <f>IF(B37="","",IF(_xlfn.MAXIFS('JOBS'!$B$5:$B$1504,'JOBS'!$E$5:$E$1504,B37,'JOBS'!$O$5:$O$1504,"Completed")=0,"",_xlfn.MAXIFS('JOBS'!$B$5:$B$1504,'JOBS'!$E$5:$E$1504,B37,'JOBS'!$O$5:$O$1504,"Completed")))</f>
        <v/>
      </c>
      <c r="O37" s="54">
        <f>IF(B37="","",IFERROR(AVERAGEIFS('JOBS'!$L$5:$L$1504,'JOBS'!$E$5:$E$1504,B37,'JOBS'!$O$5:$O$1504,"Completed"),""))</f>
        <v/>
      </c>
    </row>
    <row r="38">
      <c r="A38" s="46" t="inlineStr">
        <is>
          <t>P-034</t>
        </is>
      </c>
      <c r="B38" s="38" t="n"/>
      <c r="C38" s="38" t="n"/>
      <c r="D38" s="38" t="n"/>
      <c r="E38" s="38" t="n"/>
      <c r="F38" s="56" t="n"/>
      <c r="G38" s="57" t="n"/>
      <c r="H38" s="58" t="n"/>
      <c r="I38" s="38" t="n"/>
      <c r="J38" s="38" t="n"/>
      <c r="K38" s="38" t="n"/>
      <c r="L38" s="38" t="n"/>
      <c r="M38" s="53">
        <f>IF(B38="","",COUNTIFS('JOBS'!$E$5:$E$1504,B38,'JOBS'!$O$5:$O$1504,"Completed"))</f>
        <v/>
      </c>
      <c r="N38" s="52">
        <f>IF(B38="","",IF(_xlfn.MAXIFS('JOBS'!$B$5:$B$1504,'JOBS'!$E$5:$E$1504,B38,'JOBS'!$O$5:$O$1504,"Completed")=0,"",_xlfn.MAXIFS('JOBS'!$B$5:$B$1504,'JOBS'!$E$5:$E$1504,B38,'JOBS'!$O$5:$O$1504,"Completed")))</f>
        <v/>
      </c>
      <c r="O38" s="54">
        <f>IF(B38="","",IFERROR(AVERAGEIFS('JOBS'!$L$5:$L$1504,'JOBS'!$E$5:$E$1504,B38,'JOBS'!$O$5:$O$1504,"Completed"),""))</f>
        <v/>
      </c>
    </row>
    <row r="39">
      <c r="A39" s="46" t="inlineStr">
        <is>
          <t>P-035</t>
        </is>
      </c>
      <c r="B39" s="38" t="n"/>
      <c r="C39" s="38" t="n"/>
      <c r="D39" s="38" t="n"/>
      <c r="E39" s="38" t="n"/>
      <c r="F39" s="56" t="n"/>
      <c r="G39" s="57" t="n"/>
      <c r="H39" s="58" t="n"/>
      <c r="I39" s="38" t="n"/>
      <c r="J39" s="38" t="n"/>
      <c r="K39" s="38" t="n"/>
      <c r="L39" s="38" t="n"/>
      <c r="M39" s="53">
        <f>IF(B39="","",COUNTIFS('JOBS'!$E$5:$E$1504,B39,'JOBS'!$O$5:$O$1504,"Completed"))</f>
        <v/>
      </c>
      <c r="N39" s="52">
        <f>IF(B39="","",IF(_xlfn.MAXIFS('JOBS'!$B$5:$B$1504,'JOBS'!$E$5:$E$1504,B39,'JOBS'!$O$5:$O$1504,"Completed")=0,"",_xlfn.MAXIFS('JOBS'!$B$5:$B$1504,'JOBS'!$E$5:$E$1504,B39,'JOBS'!$O$5:$O$1504,"Completed")))</f>
        <v/>
      </c>
      <c r="O39" s="54">
        <f>IF(B39="","",IFERROR(AVERAGEIFS('JOBS'!$L$5:$L$1504,'JOBS'!$E$5:$E$1504,B39,'JOBS'!$O$5:$O$1504,"Completed"),""))</f>
        <v/>
      </c>
    </row>
    <row r="40">
      <c r="A40" s="46" t="inlineStr">
        <is>
          <t>P-036</t>
        </is>
      </c>
      <c r="B40" s="38" t="n"/>
      <c r="C40" s="38" t="n"/>
      <c r="D40" s="38" t="n"/>
      <c r="E40" s="38" t="n"/>
      <c r="F40" s="56" t="n"/>
      <c r="G40" s="57" t="n"/>
      <c r="H40" s="58" t="n"/>
      <c r="I40" s="38" t="n"/>
      <c r="J40" s="38" t="n"/>
      <c r="K40" s="38" t="n"/>
      <c r="L40" s="38" t="n"/>
      <c r="M40" s="53">
        <f>IF(B40="","",COUNTIFS('JOBS'!$E$5:$E$1504,B40,'JOBS'!$O$5:$O$1504,"Completed"))</f>
        <v/>
      </c>
      <c r="N40" s="52">
        <f>IF(B40="","",IF(_xlfn.MAXIFS('JOBS'!$B$5:$B$1504,'JOBS'!$E$5:$E$1504,B40,'JOBS'!$O$5:$O$1504,"Completed")=0,"",_xlfn.MAXIFS('JOBS'!$B$5:$B$1504,'JOBS'!$E$5:$E$1504,B40,'JOBS'!$O$5:$O$1504,"Completed")))</f>
        <v/>
      </c>
      <c r="O40" s="54">
        <f>IF(B40="","",IFERROR(AVERAGEIFS('JOBS'!$L$5:$L$1504,'JOBS'!$E$5:$E$1504,B40,'JOBS'!$O$5:$O$1504,"Completed"),""))</f>
        <v/>
      </c>
    </row>
    <row r="41">
      <c r="A41" s="46" t="inlineStr">
        <is>
          <t>P-037</t>
        </is>
      </c>
      <c r="B41" s="38" t="n"/>
      <c r="C41" s="38" t="n"/>
      <c r="D41" s="38" t="n"/>
      <c r="E41" s="38" t="n"/>
      <c r="F41" s="56" t="n"/>
      <c r="G41" s="57" t="n"/>
      <c r="H41" s="58" t="n"/>
      <c r="I41" s="38" t="n"/>
      <c r="J41" s="38" t="n"/>
      <c r="K41" s="38" t="n"/>
      <c r="L41" s="38" t="n"/>
      <c r="M41" s="53">
        <f>IF(B41="","",COUNTIFS('JOBS'!$E$5:$E$1504,B41,'JOBS'!$O$5:$O$1504,"Completed"))</f>
        <v/>
      </c>
      <c r="N41" s="52">
        <f>IF(B41="","",IF(_xlfn.MAXIFS('JOBS'!$B$5:$B$1504,'JOBS'!$E$5:$E$1504,B41,'JOBS'!$O$5:$O$1504,"Completed")=0,"",_xlfn.MAXIFS('JOBS'!$B$5:$B$1504,'JOBS'!$E$5:$E$1504,B41,'JOBS'!$O$5:$O$1504,"Completed")))</f>
        <v/>
      </c>
      <c r="O41" s="54">
        <f>IF(B41="","",IFERROR(AVERAGEIFS('JOBS'!$L$5:$L$1504,'JOBS'!$E$5:$E$1504,B41,'JOBS'!$O$5:$O$1504,"Completed"),""))</f>
        <v/>
      </c>
    </row>
    <row r="42">
      <c r="A42" s="46" t="inlineStr">
        <is>
          <t>P-038</t>
        </is>
      </c>
      <c r="B42" s="38" t="n"/>
      <c r="C42" s="38" t="n"/>
      <c r="D42" s="38" t="n"/>
      <c r="E42" s="38" t="n"/>
      <c r="F42" s="56" t="n"/>
      <c r="G42" s="57" t="n"/>
      <c r="H42" s="58" t="n"/>
      <c r="I42" s="38" t="n"/>
      <c r="J42" s="38" t="n"/>
      <c r="K42" s="38" t="n"/>
      <c r="L42" s="38" t="n"/>
      <c r="M42" s="53">
        <f>IF(B42="","",COUNTIFS('JOBS'!$E$5:$E$1504,B42,'JOBS'!$O$5:$O$1504,"Completed"))</f>
        <v/>
      </c>
      <c r="N42" s="52">
        <f>IF(B42="","",IF(_xlfn.MAXIFS('JOBS'!$B$5:$B$1504,'JOBS'!$E$5:$E$1504,B42,'JOBS'!$O$5:$O$1504,"Completed")=0,"",_xlfn.MAXIFS('JOBS'!$B$5:$B$1504,'JOBS'!$E$5:$E$1504,B42,'JOBS'!$O$5:$O$1504,"Completed")))</f>
        <v/>
      </c>
      <c r="O42" s="54">
        <f>IF(B42="","",IFERROR(AVERAGEIFS('JOBS'!$L$5:$L$1504,'JOBS'!$E$5:$E$1504,B42,'JOBS'!$O$5:$O$1504,"Completed"),""))</f>
        <v/>
      </c>
    </row>
    <row r="43">
      <c r="A43" s="46" t="inlineStr">
        <is>
          <t>P-039</t>
        </is>
      </c>
      <c r="B43" s="38" t="n"/>
      <c r="C43" s="38" t="n"/>
      <c r="D43" s="38" t="n"/>
      <c r="E43" s="38" t="n"/>
      <c r="F43" s="56" t="n"/>
      <c r="G43" s="57" t="n"/>
      <c r="H43" s="58" t="n"/>
      <c r="I43" s="38" t="n"/>
      <c r="J43" s="38" t="n"/>
      <c r="K43" s="38" t="n"/>
      <c r="L43" s="38" t="n"/>
      <c r="M43" s="53">
        <f>IF(B43="","",COUNTIFS('JOBS'!$E$5:$E$1504,B43,'JOBS'!$O$5:$O$1504,"Completed"))</f>
        <v/>
      </c>
      <c r="N43" s="52">
        <f>IF(B43="","",IF(_xlfn.MAXIFS('JOBS'!$B$5:$B$1504,'JOBS'!$E$5:$E$1504,B43,'JOBS'!$O$5:$O$1504,"Completed")=0,"",_xlfn.MAXIFS('JOBS'!$B$5:$B$1504,'JOBS'!$E$5:$E$1504,B43,'JOBS'!$O$5:$O$1504,"Completed")))</f>
        <v/>
      </c>
      <c r="O43" s="54">
        <f>IF(B43="","",IFERROR(AVERAGEIFS('JOBS'!$L$5:$L$1504,'JOBS'!$E$5:$E$1504,B43,'JOBS'!$O$5:$O$1504,"Completed"),""))</f>
        <v/>
      </c>
    </row>
    <row r="44">
      <c r="A44" s="46" t="inlineStr">
        <is>
          <t>P-040</t>
        </is>
      </c>
      <c r="B44" s="38" t="n"/>
      <c r="C44" s="38" t="n"/>
      <c r="D44" s="38" t="n"/>
      <c r="E44" s="38" t="n"/>
      <c r="F44" s="56" t="n"/>
      <c r="G44" s="57" t="n"/>
      <c r="H44" s="58" t="n"/>
      <c r="I44" s="38" t="n"/>
      <c r="J44" s="38" t="n"/>
      <c r="K44" s="38" t="n"/>
      <c r="L44" s="38" t="n"/>
      <c r="M44" s="53">
        <f>IF(B44="","",COUNTIFS('JOBS'!$E$5:$E$1504,B44,'JOBS'!$O$5:$O$1504,"Completed"))</f>
        <v/>
      </c>
      <c r="N44" s="52">
        <f>IF(B44="","",IF(_xlfn.MAXIFS('JOBS'!$B$5:$B$1504,'JOBS'!$E$5:$E$1504,B44,'JOBS'!$O$5:$O$1504,"Completed")=0,"",_xlfn.MAXIFS('JOBS'!$B$5:$B$1504,'JOBS'!$E$5:$E$1504,B44,'JOBS'!$O$5:$O$1504,"Completed")))</f>
        <v/>
      </c>
      <c r="O44" s="54">
        <f>IF(B44="","",IFERROR(AVERAGEIFS('JOBS'!$L$5:$L$1504,'JOBS'!$E$5:$E$1504,B44,'JOBS'!$O$5:$O$1504,"Completed"),""))</f>
        <v/>
      </c>
    </row>
    <row r="45">
      <c r="A45" s="46" t="inlineStr">
        <is>
          <t>P-041</t>
        </is>
      </c>
      <c r="B45" s="38" t="n"/>
      <c r="C45" s="38" t="n"/>
      <c r="D45" s="38" t="n"/>
      <c r="E45" s="38" t="n"/>
      <c r="F45" s="56" t="n"/>
      <c r="G45" s="57" t="n"/>
      <c r="H45" s="58" t="n"/>
      <c r="I45" s="38" t="n"/>
      <c r="J45" s="38" t="n"/>
      <c r="K45" s="38" t="n"/>
      <c r="L45" s="38" t="n"/>
      <c r="M45" s="53">
        <f>IF(B45="","",COUNTIFS('JOBS'!$E$5:$E$1504,B45,'JOBS'!$O$5:$O$1504,"Completed"))</f>
        <v/>
      </c>
      <c r="N45" s="52">
        <f>IF(B45="","",IF(_xlfn.MAXIFS('JOBS'!$B$5:$B$1504,'JOBS'!$E$5:$E$1504,B45,'JOBS'!$O$5:$O$1504,"Completed")=0,"",_xlfn.MAXIFS('JOBS'!$B$5:$B$1504,'JOBS'!$E$5:$E$1504,B45,'JOBS'!$O$5:$O$1504,"Completed")))</f>
        <v/>
      </c>
      <c r="O45" s="54">
        <f>IF(B45="","",IFERROR(AVERAGEIFS('JOBS'!$L$5:$L$1504,'JOBS'!$E$5:$E$1504,B45,'JOBS'!$O$5:$O$1504,"Completed"),""))</f>
        <v/>
      </c>
    </row>
    <row r="46">
      <c r="A46" s="46" t="inlineStr">
        <is>
          <t>P-042</t>
        </is>
      </c>
      <c r="B46" s="38" t="n"/>
      <c r="C46" s="38" t="n"/>
      <c r="D46" s="38" t="n"/>
      <c r="E46" s="38" t="n"/>
      <c r="F46" s="56" t="n"/>
      <c r="G46" s="57" t="n"/>
      <c r="H46" s="58" t="n"/>
      <c r="I46" s="38" t="n"/>
      <c r="J46" s="38" t="n"/>
      <c r="K46" s="38" t="n"/>
      <c r="L46" s="38" t="n"/>
      <c r="M46" s="53">
        <f>IF(B46="","",COUNTIFS('JOBS'!$E$5:$E$1504,B46,'JOBS'!$O$5:$O$1504,"Completed"))</f>
        <v/>
      </c>
      <c r="N46" s="52">
        <f>IF(B46="","",IF(_xlfn.MAXIFS('JOBS'!$B$5:$B$1504,'JOBS'!$E$5:$E$1504,B46,'JOBS'!$O$5:$O$1504,"Completed")=0,"",_xlfn.MAXIFS('JOBS'!$B$5:$B$1504,'JOBS'!$E$5:$E$1504,B46,'JOBS'!$O$5:$O$1504,"Completed")))</f>
        <v/>
      </c>
      <c r="O46" s="54">
        <f>IF(B46="","",IFERROR(AVERAGEIFS('JOBS'!$L$5:$L$1504,'JOBS'!$E$5:$E$1504,B46,'JOBS'!$O$5:$O$1504,"Completed"),""))</f>
        <v/>
      </c>
    </row>
    <row r="47">
      <c r="A47" s="46" t="inlineStr">
        <is>
          <t>P-043</t>
        </is>
      </c>
      <c r="B47" s="38" t="n"/>
      <c r="C47" s="38" t="n"/>
      <c r="D47" s="38" t="n"/>
      <c r="E47" s="38" t="n"/>
      <c r="F47" s="56" t="n"/>
      <c r="G47" s="57" t="n"/>
      <c r="H47" s="58" t="n"/>
      <c r="I47" s="38" t="n"/>
      <c r="J47" s="38" t="n"/>
      <c r="K47" s="38" t="n"/>
      <c r="L47" s="38" t="n"/>
      <c r="M47" s="53">
        <f>IF(B47="","",COUNTIFS('JOBS'!$E$5:$E$1504,B47,'JOBS'!$O$5:$O$1504,"Completed"))</f>
        <v/>
      </c>
      <c r="N47" s="52">
        <f>IF(B47="","",IF(_xlfn.MAXIFS('JOBS'!$B$5:$B$1504,'JOBS'!$E$5:$E$1504,B47,'JOBS'!$O$5:$O$1504,"Completed")=0,"",_xlfn.MAXIFS('JOBS'!$B$5:$B$1504,'JOBS'!$E$5:$E$1504,B47,'JOBS'!$O$5:$O$1504,"Completed")))</f>
        <v/>
      </c>
      <c r="O47" s="54">
        <f>IF(B47="","",IFERROR(AVERAGEIFS('JOBS'!$L$5:$L$1504,'JOBS'!$E$5:$E$1504,B47,'JOBS'!$O$5:$O$1504,"Completed"),""))</f>
        <v/>
      </c>
    </row>
    <row r="48">
      <c r="A48" s="46" t="inlineStr">
        <is>
          <t>P-044</t>
        </is>
      </c>
      <c r="B48" s="38" t="n"/>
      <c r="C48" s="38" t="n"/>
      <c r="D48" s="38" t="n"/>
      <c r="E48" s="38" t="n"/>
      <c r="F48" s="56" t="n"/>
      <c r="G48" s="57" t="n"/>
      <c r="H48" s="58" t="n"/>
      <c r="I48" s="38" t="n"/>
      <c r="J48" s="38" t="n"/>
      <c r="K48" s="38" t="n"/>
      <c r="L48" s="38" t="n"/>
      <c r="M48" s="53">
        <f>IF(B48="","",COUNTIFS('JOBS'!$E$5:$E$1504,B48,'JOBS'!$O$5:$O$1504,"Completed"))</f>
        <v/>
      </c>
      <c r="N48" s="52">
        <f>IF(B48="","",IF(_xlfn.MAXIFS('JOBS'!$B$5:$B$1504,'JOBS'!$E$5:$E$1504,B48,'JOBS'!$O$5:$O$1504,"Completed")=0,"",_xlfn.MAXIFS('JOBS'!$B$5:$B$1504,'JOBS'!$E$5:$E$1504,B48,'JOBS'!$O$5:$O$1504,"Completed")))</f>
        <v/>
      </c>
      <c r="O48" s="54">
        <f>IF(B48="","",IFERROR(AVERAGEIFS('JOBS'!$L$5:$L$1504,'JOBS'!$E$5:$E$1504,B48,'JOBS'!$O$5:$O$1504,"Completed"),""))</f>
        <v/>
      </c>
    </row>
    <row r="49">
      <c r="A49" s="46" t="inlineStr">
        <is>
          <t>P-045</t>
        </is>
      </c>
      <c r="B49" s="38" t="n"/>
      <c r="C49" s="38" t="n"/>
      <c r="D49" s="38" t="n"/>
      <c r="E49" s="38" t="n"/>
      <c r="F49" s="56" t="n"/>
      <c r="G49" s="57" t="n"/>
      <c r="H49" s="58" t="n"/>
      <c r="I49" s="38" t="n"/>
      <c r="J49" s="38" t="n"/>
      <c r="K49" s="38" t="n"/>
      <c r="L49" s="38" t="n"/>
      <c r="M49" s="53">
        <f>IF(B49="","",COUNTIFS('JOBS'!$E$5:$E$1504,B49,'JOBS'!$O$5:$O$1504,"Completed"))</f>
        <v/>
      </c>
      <c r="N49" s="52">
        <f>IF(B49="","",IF(_xlfn.MAXIFS('JOBS'!$B$5:$B$1504,'JOBS'!$E$5:$E$1504,B49,'JOBS'!$O$5:$O$1504,"Completed")=0,"",_xlfn.MAXIFS('JOBS'!$B$5:$B$1504,'JOBS'!$E$5:$E$1504,B49,'JOBS'!$O$5:$O$1504,"Completed")))</f>
        <v/>
      </c>
      <c r="O49" s="54">
        <f>IF(B49="","",IFERROR(AVERAGEIFS('JOBS'!$L$5:$L$1504,'JOBS'!$E$5:$E$1504,B49,'JOBS'!$O$5:$O$1504,"Completed"),""))</f>
        <v/>
      </c>
    </row>
    <row r="50">
      <c r="A50" s="46" t="inlineStr">
        <is>
          <t>P-046</t>
        </is>
      </c>
      <c r="B50" s="38" t="n"/>
      <c r="C50" s="38" t="n"/>
      <c r="D50" s="38" t="n"/>
      <c r="E50" s="38" t="n"/>
      <c r="F50" s="56" t="n"/>
      <c r="G50" s="57" t="n"/>
      <c r="H50" s="58" t="n"/>
      <c r="I50" s="38" t="n"/>
      <c r="J50" s="38" t="n"/>
      <c r="K50" s="38" t="n"/>
      <c r="L50" s="38" t="n"/>
      <c r="M50" s="53">
        <f>IF(B50="","",COUNTIFS('JOBS'!$E$5:$E$1504,B50,'JOBS'!$O$5:$O$1504,"Completed"))</f>
        <v/>
      </c>
      <c r="N50" s="52">
        <f>IF(B50="","",IF(_xlfn.MAXIFS('JOBS'!$B$5:$B$1504,'JOBS'!$E$5:$E$1504,B50,'JOBS'!$O$5:$O$1504,"Completed")=0,"",_xlfn.MAXIFS('JOBS'!$B$5:$B$1504,'JOBS'!$E$5:$E$1504,B50,'JOBS'!$O$5:$O$1504,"Completed")))</f>
        <v/>
      </c>
      <c r="O50" s="54">
        <f>IF(B50="","",IFERROR(AVERAGEIFS('JOBS'!$L$5:$L$1504,'JOBS'!$E$5:$E$1504,B50,'JOBS'!$O$5:$O$1504,"Completed"),""))</f>
        <v/>
      </c>
    </row>
    <row r="51">
      <c r="A51" s="46" t="inlineStr">
        <is>
          <t>P-047</t>
        </is>
      </c>
      <c r="B51" s="38" t="n"/>
      <c r="C51" s="38" t="n"/>
      <c r="D51" s="38" t="n"/>
      <c r="E51" s="38" t="n"/>
      <c r="F51" s="56" t="n"/>
      <c r="G51" s="57" t="n"/>
      <c r="H51" s="58" t="n"/>
      <c r="I51" s="38" t="n"/>
      <c r="J51" s="38" t="n"/>
      <c r="K51" s="38" t="n"/>
      <c r="L51" s="38" t="n"/>
      <c r="M51" s="53">
        <f>IF(B51="","",COUNTIFS('JOBS'!$E$5:$E$1504,B51,'JOBS'!$O$5:$O$1504,"Completed"))</f>
        <v/>
      </c>
      <c r="N51" s="52">
        <f>IF(B51="","",IF(_xlfn.MAXIFS('JOBS'!$B$5:$B$1504,'JOBS'!$E$5:$E$1504,B51,'JOBS'!$O$5:$O$1504,"Completed")=0,"",_xlfn.MAXIFS('JOBS'!$B$5:$B$1504,'JOBS'!$E$5:$E$1504,B51,'JOBS'!$O$5:$O$1504,"Completed")))</f>
        <v/>
      </c>
      <c r="O51" s="54">
        <f>IF(B51="","",IFERROR(AVERAGEIFS('JOBS'!$L$5:$L$1504,'JOBS'!$E$5:$E$1504,B51,'JOBS'!$O$5:$O$1504,"Completed"),""))</f>
        <v/>
      </c>
    </row>
    <row r="52">
      <c r="A52" s="46" t="inlineStr">
        <is>
          <t>P-048</t>
        </is>
      </c>
      <c r="B52" s="38" t="n"/>
      <c r="C52" s="38" t="n"/>
      <c r="D52" s="38" t="n"/>
      <c r="E52" s="38" t="n"/>
      <c r="F52" s="56" t="n"/>
      <c r="G52" s="57" t="n"/>
      <c r="H52" s="58" t="n"/>
      <c r="I52" s="38" t="n"/>
      <c r="J52" s="38" t="n"/>
      <c r="K52" s="38" t="n"/>
      <c r="L52" s="38" t="n"/>
      <c r="M52" s="53">
        <f>IF(B52="","",COUNTIFS('JOBS'!$E$5:$E$1504,B52,'JOBS'!$O$5:$O$1504,"Completed"))</f>
        <v/>
      </c>
      <c r="N52" s="52">
        <f>IF(B52="","",IF(_xlfn.MAXIFS('JOBS'!$B$5:$B$1504,'JOBS'!$E$5:$E$1504,B52,'JOBS'!$O$5:$O$1504,"Completed")=0,"",_xlfn.MAXIFS('JOBS'!$B$5:$B$1504,'JOBS'!$E$5:$E$1504,B52,'JOBS'!$O$5:$O$1504,"Completed")))</f>
        <v/>
      </c>
      <c r="O52" s="54">
        <f>IF(B52="","",IFERROR(AVERAGEIFS('JOBS'!$L$5:$L$1504,'JOBS'!$E$5:$E$1504,B52,'JOBS'!$O$5:$O$1504,"Completed"),""))</f>
        <v/>
      </c>
    </row>
    <row r="53">
      <c r="A53" s="46" t="inlineStr">
        <is>
          <t>P-049</t>
        </is>
      </c>
      <c r="B53" s="38" t="n"/>
      <c r="C53" s="38" t="n"/>
      <c r="D53" s="38" t="n"/>
      <c r="E53" s="38" t="n"/>
      <c r="F53" s="56" t="n"/>
      <c r="G53" s="57" t="n"/>
      <c r="H53" s="58" t="n"/>
      <c r="I53" s="38" t="n"/>
      <c r="J53" s="38" t="n"/>
      <c r="K53" s="38" t="n"/>
      <c r="L53" s="38" t="n"/>
      <c r="M53" s="53">
        <f>IF(B53="","",COUNTIFS('JOBS'!$E$5:$E$1504,B53,'JOBS'!$O$5:$O$1504,"Completed"))</f>
        <v/>
      </c>
      <c r="N53" s="52">
        <f>IF(B53="","",IF(_xlfn.MAXIFS('JOBS'!$B$5:$B$1504,'JOBS'!$E$5:$E$1504,B53,'JOBS'!$O$5:$O$1504,"Completed")=0,"",_xlfn.MAXIFS('JOBS'!$B$5:$B$1504,'JOBS'!$E$5:$E$1504,B53,'JOBS'!$O$5:$O$1504,"Completed")))</f>
        <v/>
      </c>
      <c r="O53" s="54">
        <f>IF(B53="","",IFERROR(AVERAGEIFS('JOBS'!$L$5:$L$1504,'JOBS'!$E$5:$E$1504,B53,'JOBS'!$O$5:$O$1504,"Completed"),""))</f>
        <v/>
      </c>
    </row>
    <row r="54">
      <c r="A54" s="46" t="inlineStr">
        <is>
          <t>P-050</t>
        </is>
      </c>
      <c r="B54" s="38" t="n"/>
      <c r="C54" s="38" t="n"/>
      <c r="D54" s="38" t="n"/>
      <c r="E54" s="38" t="n"/>
      <c r="F54" s="56" t="n"/>
      <c r="G54" s="57" t="n"/>
      <c r="H54" s="58" t="n"/>
      <c r="I54" s="38" t="n"/>
      <c r="J54" s="38" t="n"/>
      <c r="K54" s="38" t="n"/>
      <c r="L54" s="38" t="n"/>
      <c r="M54" s="53">
        <f>IF(B54="","",COUNTIFS('JOBS'!$E$5:$E$1504,B54,'JOBS'!$O$5:$O$1504,"Completed"))</f>
        <v/>
      </c>
      <c r="N54" s="52">
        <f>IF(B54="","",IF(_xlfn.MAXIFS('JOBS'!$B$5:$B$1504,'JOBS'!$E$5:$E$1504,B54,'JOBS'!$O$5:$O$1504,"Completed")=0,"",_xlfn.MAXIFS('JOBS'!$B$5:$B$1504,'JOBS'!$E$5:$E$1504,B54,'JOBS'!$O$5:$O$1504,"Completed")))</f>
        <v/>
      </c>
      <c r="O54" s="54">
        <f>IF(B54="","",IFERROR(AVERAGEIFS('JOBS'!$L$5:$L$1504,'JOBS'!$E$5:$E$1504,B54,'JOBS'!$O$5:$O$1504,"Completed"),""))</f>
        <v/>
      </c>
    </row>
    <row r="55">
      <c r="A55" s="46" t="inlineStr">
        <is>
          <t>P-051</t>
        </is>
      </c>
      <c r="B55" s="38" t="n"/>
      <c r="C55" s="38" t="n"/>
      <c r="D55" s="38" t="n"/>
      <c r="E55" s="38" t="n"/>
      <c r="F55" s="56" t="n"/>
      <c r="G55" s="57" t="n"/>
      <c r="H55" s="58" t="n"/>
      <c r="I55" s="38" t="n"/>
      <c r="J55" s="38" t="n"/>
      <c r="K55" s="38" t="n"/>
      <c r="L55" s="38" t="n"/>
      <c r="M55" s="53">
        <f>IF(B55="","",COUNTIFS('JOBS'!$E$5:$E$1504,B55,'JOBS'!$O$5:$O$1504,"Completed"))</f>
        <v/>
      </c>
      <c r="N55" s="52">
        <f>IF(B55="","",IF(_xlfn.MAXIFS('JOBS'!$B$5:$B$1504,'JOBS'!$E$5:$E$1504,B55,'JOBS'!$O$5:$O$1504,"Completed")=0,"",_xlfn.MAXIFS('JOBS'!$B$5:$B$1504,'JOBS'!$E$5:$E$1504,B55,'JOBS'!$O$5:$O$1504,"Completed")))</f>
        <v/>
      </c>
      <c r="O55" s="54">
        <f>IF(B55="","",IFERROR(AVERAGEIFS('JOBS'!$L$5:$L$1504,'JOBS'!$E$5:$E$1504,B55,'JOBS'!$O$5:$O$1504,"Completed"),""))</f>
        <v/>
      </c>
    </row>
    <row r="56">
      <c r="A56" s="46" t="inlineStr">
        <is>
          <t>P-052</t>
        </is>
      </c>
      <c r="B56" s="38" t="n"/>
      <c r="C56" s="38" t="n"/>
      <c r="D56" s="38" t="n"/>
      <c r="E56" s="38" t="n"/>
      <c r="F56" s="56" t="n"/>
      <c r="G56" s="57" t="n"/>
      <c r="H56" s="58" t="n"/>
      <c r="I56" s="38" t="n"/>
      <c r="J56" s="38" t="n"/>
      <c r="K56" s="38" t="n"/>
      <c r="L56" s="38" t="n"/>
      <c r="M56" s="53">
        <f>IF(B56="","",COUNTIFS('JOBS'!$E$5:$E$1504,B56,'JOBS'!$O$5:$O$1504,"Completed"))</f>
        <v/>
      </c>
      <c r="N56" s="52">
        <f>IF(B56="","",IF(_xlfn.MAXIFS('JOBS'!$B$5:$B$1504,'JOBS'!$E$5:$E$1504,B56,'JOBS'!$O$5:$O$1504,"Completed")=0,"",_xlfn.MAXIFS('JOBS'!$B$5:$B$1504,'JOBS'!$E$5:$E$1504,B56,'JOBS'!$O$5:$O$1504,"Completed")))</f>
        <v/>
      </c>
      <c r="O56" s="54">
        <f>IF(B56="","",IFERROR(AVERAGEIFS('JOBS'!$L$5:$L$1504,'JOBS'!$E$5:$E$1504,B56,'JOBS'!$O$5:$O$1504,"Completed"),""))</f>
        <v/>
      </c>
    </row>
    <row r="57">
      <c r="A57" s="46" t="inlineStr">
        <is>
          <t>P-053</t>
        </is>
      </c>
      <c r="B57" s="38" t="n"/>
      <c r="C57" s="38" t="n"/>
      <c r="D57" s="38" t="n"/>
      <c r="E57" s="38" t="n"/>
      <c r="F57" s="56" t="n"/>
      <c r="G57" s="57" t="n"/>
      <c r="H57" s="58" t="n"/>
      <c r="I57" s="38" t="n"/>
      <c r="J57" s="38" t="n"/>
      <c r="K57" s="38" t="n"/>
      <c r="L57" s="38" t="n"/>
      <c r="M57" s="53">
        <f>IF(B57="","",COUNTIFS('JOBS'!$E$5:$E$1504,B57,'JOBS'!$O$5:$O$1504,"Completed"))</f>
        <v/>
      </c>
      <c r="N57" s="52">
        <f>IF(B57="","",IF(_xlfn.MAXIFS('JOBS'!$B$5:$B$1504,'JOBS'!$E$5:$E$1504,B57,'JOBS'!$O$5:$O$1504,"Completed")=0,"",_xlfn.MAXIFS('JOBS'!$B$5:$B$1504,'JOBS'!$E$5:$E$1504,B57,'JOBS'!$O$5:$O$1504,"Completed")))</f>
        <v/>
      </c>
      <c r="O57" s="54">
        <f>IF(B57="","",IFERROR(AVERAGEIFS('JOBS'!$L$5:$L$1504,'JOBS'!$E$5:$E$1504,B57,'JOBS'!$O$5:$O$1504,"Completed"),""))</f>
        <v/>
      </c>
    </row>
    <row r="58">
      <c r="A58" s="46" t="inlineStr">
        <is>
          <t>P-054</t>
        </is>
      </c>
      <c r="B58" s="38" t="n"/>
      <c r="C58" s="38" t="n"/>
      <c r="D58" s="38" t="n"/>
      <c r="E58" s="38" t="n"/>
      <c r="F58" s="56" t="n"/>
      <c r="G58" s="57" t="n"/>
      <c r="H58" s="58" t="n"/>
      <c r="I58" s="38" t="n"/>
      <c r="J58" s="38" t="n"/>
      <c r="K58" s="38" t="n"/>
      <c r="L58" s="38" t="n"/>
      <c r="M58" s="53">
        <f>IF(B58="","",COUNTIFS('JOBS'!$E$5:$E$1504,B58,'JOBS'!$O$5:$O$1504,"Completed"))</f>
        <v/>
      </c>
      <c r="N58" s="52">
        <f>IF(B58="","",IF(_xlfn.MAXIFS('JOBS'!$B$5:$B$1504,'JOBS'!$E$5:$E$1504,B58,'JOBS'!$O$5:$O$1504,"Completed")=0,"",_xlfn.MAXIFS('JOBS'!$B$5:$B$1504,'JOBS'!$E$5:$E$1504,B58,'JOBS'!$O$5:$O$1504,"Completed")))</f>
        <v/>
      </c>
      <c r="O58" s="54">
        <f>IF(B58="","",IFERROR(AVERAGEIFS('JOBS'!$L$5:$L$1504,'JOBS'!$E$5:$E$1504,B58,'JOBS'!$O$5:$O$1504,"Completed"),""))</f>
        <v/>
      </c>
    </row>
    <row r="59">
      <c r="A59" s="46" t="inlineStr">
        <is>
          <t>P-055</t>
        </is>
      </c>
      <c r="B59" s="38" t="n"/>
      <c r="C59" s="38" t="n"/>
      <c r="D59" s="38" t="n"/>
      <c r="E59" s="38" t="n"/>
      <c r="F59" s="56" t="n"/>
      <c r="G59" s="57" t="n"/>
      <c r="H59" s="58" t="n"/>
      <c r="I59" s="38" t="n"/>
      <c r="J59" s="38" t="n"/>
      <c r="K59" s="38" t="n"/>
      <c r="L59" s="38" t="n"/>
      <c r="M59" s="53">
        <f>IF(B59="","",COUNTIFS('JOBS'!$E$5:$E$1504,B59,'JOBS'!$O$5:$O$1504,"Completed"))</f>
        <v/>
      </c>
      <c r="N59" s="52">
        <f>IF(B59="","",IF(_xlfn.MAXIFS('JOBS'!$B$5:$B$1504,'JOBS'!$E$5:$E$1504,B59,'JOBS'!$O$5:$O$1504,"Completed")=0,"",_xlfn.MAXIFS('JOBS'!$B$5:$B$1504,'JOBS'!$E$5:$E$1504,B59,'JOBS'!$O$5:$O$1504,"Completed")))</f>
        <v/>
      </c>
      <c r="O59" s="54">
        <f>IF(B59="","",IFERROR(AVERAGEIFS('JOBS'!$L$5:$L$1504,'JOBS'!$E$5:$E$1504,B59,'JOBS'!$O$5:$O$1504,"Completed"),""))</f>
        <v/>
      </c>
    </row>
    <row r="60">
      <c r="A60" s="46" t="inlineStr">
        <is>
          <t>P-056</t>
        </is>
      </c>
      <c r="B60" s="38" t="n"/>
      <c r="C60" s="38" t="n"/>
      <c r="D60" s="38" t="n"/>
      <c r="E60" s="38" t="n"/>
      <c r="F60" s="56" t="n"/>
      <c r="G60" s="57" t="n"/>
      <c r="H60" s="58" t="n"/>
      <c r="I60" s="38" t="n"/>
      <c r="J60" s="38" t="n"/>
      <c r="K60" s="38" t="n"/>
      <c r="L60" s="38" t="n"/>
      <c r="M60" s="53">
        <f>IF(B60="","",COUNTIFS('JOBS'!$E$5:$E$1504,B60,'JOBS'!$O$5:$O$1504,"Completed"))</f>
        <v/>
      </c>
      <c r="N60" s="52">
        <f>IF(B60="","",IF(_xlfn.MAXIFS('JOBS'!$B$5:$B$1504,'JOBS'!$E$5:$E$1504,B60,'JOBS'!$O$5:$O$1504,"Completed")=0,"",_xlfn.MAXIFS('JOBS'!$B$5:$B$1504,'JOBS'!$E$5:$E$1504,B60,'JOBS'!$O$5:$O$1504,"Completed")))</f>
        <v/>
      </c>
      <c r="O60" s="54">
        <f>IF(B60="","",IFERROR(AVERAGEIFS('JOBS'!$L$5:$L$1504,'JOBS'!$E$5:$E$1504,B60,'JOBS'!$O$5:$O$1504,"Completed"),""))</f>
        <v/>
      </c>
    </row>
    <row r="61">
      <c r="A61" s="46" t="inlineStr">
        <is>
          <t>P-057</t>
        </is>
      </c>
      <c r="B61" s="38" t="n"/>
      <c r="C61" s="38" t="n"/>
      <c r="D61" s="38" t="n"/>
      <c r="E61" s="38" t="n"/>
      <c r="F61" s="56" t="n"/>
      <c r="G61" s="57" t="n"/>
      <c r="H61" s="58" t="n"/>
      <c r="I61" s="38" t="n"/>
      <c r="J61" s="38" t="n"/>
      <c r="K61" s="38" t="n"/>
      <c r="L61" s="38" t="n"/>
      <c r="M61" s="53">
        <f>IF(B61="","",COUNTIFS('JOBS'!$E$5:$E$1504,B61,'JOBS'!$O$5:$O$1504,"Completed"))</f>
        <v/>
      </c>
      <c r="N61" s="52">
        <f>IF(B61="","",IF(_xlfn.MAXIFS('JOBS'!$B$5:$B$1504,'JOBS'!$E$5:$E$1504,B61,'JOBS'!$O$5:$O$1504,"Completed")=0,"",_xlfn.MAXIFS('JOBS'!$B$5:$B$1504,'JOBS'!$E$5:$E$1504,B61,'JOBS'!$O$5:$O$1504,"Completed")))</f>
        <v/>
      </c>
      <c r="O61" s="54">
        <f>IF(B61="","",IFERROR(AVERAGEIFS('JOBS'!$L$5:$L$1504,'JOBS'!$E$5:$E$1504,B61,'JOBS'!$O$5:$O$1504,"Completed"),""))</f>
        <v/>
      </c>
    </row>
    <row r="62">
      <c r="A62" s="46" t="inlineStr">
        <is>
          <t>P-058</t>
        </is>
      </c>
      <c r="B62" s="38" t="n"/>
      <c r="C62" s="38" t="n"/>
      <c r="D62" s="38" t="n"/>
      <c r="E62" s="38" t="n"/>
      <c r="F62" s="56" t="n"/>
      <c r="G62" s="57" t="n"/>
      <c r="H62" s="58" t="n"/>
      <c r="I62" s="38" t="n"/>
      <c r="J62" s="38" t="n"/>
      <c r="K62" s="38" t="n"/>
      <c r="L62" s="38" t="n"/>
      <c r="M62" s="53">
        <f>IF(B62="","",COUNTIFS('JOBS'!$E$5:$E$1504,B62,'JOBS'!$O$5:$O$1504,"Completed"))</f>
        <v/>
      </c>
      <c r="N62" s="52">
        <f>IF(B62="","",IF(_xlfn.MAXIFS('JOBS'!$B$5:$B$1504,'JOBS'!$E$5:$E$1504,B62,'JOBS'!$O$5:$O$1504,"Completed")=0,"",_xlfn.MAXIFS('JOBS'!$B$5:$B$1504,'JOBS'!$E$5:$E$1504,B62,'JOBS'!$O$5:$O$1504,"Completed")))</f>
        <v/>
      </c>
      <c r="O62" s="54">
        <f>IF(B62="","",IFERROR(AVERAGEIFS('JOBS'!$L$5:$L$1504,'JOBS'!$E$5:$E$1504,B62,'JOBS'!$O$5:$O$1504,"Completed"),""))</f>
        <v/>
      </c>
    </row>
    <row r="63">
      <c r="A63" s="46" t="inlineStr">
        <is>
          <t>P-059</t>
        </is>
      </c>
      <c r="B63" s="38" t="n"/>
      <c r="C63" s="38" t="n"/>
      <c r="D63" s="38" t="n"/>
      <c r="E63" s="38" t="n"/>
      <c r="F63" s="56" t="n"/>
      <c r="G63" s="57" t="n"/>
      <c r="H63" s="58" t="n"/>
      <c r="I63" s="38" t="n"/>
      <c r="J63" s="38" t="n"/>
      <c r="K63" s="38" t="n"/>
      <c r="L63" s="38" t="n"/>
      <c r="M63" s="53">
        <f>IF(B63="","",COUNTIFS('JOBS'!$E$5:$E$1504,B63,'JOBS'!$O$5:$O$1504,"Completed"))</f>
        <v/>
      </c>
      <c r="N63" s="52">
        <f>IF(B63="","",IF(_xlfn.MAXIFS('JOBS'!$B$5:$B$1504,'JOBS'!$E$5:$E$1504,B63,'JOBS'!$O$5:$O$1504,"Completed")=0,"",_xlfn.MAXIFS('JOBS'!$B$5:$B$1504,'JOBS'!$E$5:$E$1504,B63,'JOBS'!$O$5:$O$1504,"Completed")))</f>
        <v/>
      </c>
      <c r="O63" s="54">
        <f>IF(B63="","",IFERROR(AVERAGEIFS('JOBS'!$L$5:$L$1504,'JOBS'!$E$5:$E$1504,B63,'JOBS'!$O$5:$O$1504,"Completed"),""))</f>
        <v/>
      </c>
    </row>
    <row r="64">
      <c r="A64" s="46" t="inlineStr">
        <is>
          <t>P-060</t>
        </is>
      </c>
      <c r="B64" s="38" t="n"/>
      <c r="C64" s="38" t="n"/>
      <c r="D64" s="38" t="n"/>
      <c r="E64" s="38" t="n"/>
      <c r="F64" s="56" t="n"/>
      <c r="G64" s="57" t="n"/>
      <c r="H64" s="58" t="n"/>
      <c r="I64" s="38" t="n"/>
      <c r="J64" s="38" t="n"/>
      <c r="K64" s="38" t="n"/>
      <c r="L64" s="38" t="n"/>
      <c r="M64" s="53">
        <f>IF(B64="","",COUNTIFS('JOBS'!$E$5:$E$1504,B64,'JOBS'!$O$5:$O$1504,"Completed"))</f>
        <v/>
      </c>
      <c r="N64" s="52">
        <f>IF(B64="","",IF(_xlfn.MAXIFS('JOBS'!$B$5:$B$1504,'JOBS'!$E$5:$E$1504,B64,'JOBS'!$O$5:$O$1504,"Completed")=0,"",_xlfn.MAXIFS('JOBS'!$B$5:$B$1504,'JOBS'!$E$5:$E$1504,B64,'JOBS'!$O$5:$O$1504,"Completed")))</f>
        <v/>
      </c>
      <c r="O64" s="54">
        <f>IF(B64="","",IFERROR(AVERAGEIFS('JOBS'!$L$5:$L$1504,'JOBS'!$E$5:$E$1504,B64,'JOBS'!$O$5:$O$1504,"Completed"),""))</f>
        <v/>
      </c>
    </row>
    <row r="65">
      <c r="A65" s="46" t="inlineStr">
        <is>
          <t>P-061</t>
        </is>
      </c>
      <c r="B65" s="38" t="n"/>
      <c r="C65" s="38" t="n"/>
      <c r="D65" s="38" t="n"/>
      <c r="E65" s="38" t="n"/>
      <c r="F65" s="56" t="n"/>
      <c r="G65" s="57" t="n"/>
      <c r="H65" s="58" t="n"/>
      <c r="I65" s="38" t="n"/>
      <c r="J65" s="38" t="n"/>
      <c r="K65" s="38" t="n"/>
      <c r="L65" s="38" t="n"/>
      <c r="M65" s="53">
        <f>IF(B65="","",COUNTIFS('JOBS'!$E$5:$E$1504,B65,'JOBS'!$O$5:$O$1504,"Completed"))</f>
        <v/>
      </c>
      <c r="N65" s="52">
        <f>IF(B65="","",IF(_xlfn.MAXIFS('JOBS'!$B$5:$B$1504,'JOBS'!$E$5:$E$1504,B65,'JOBS'!$O$5:$O$1504,"Completed")=0,"",_xlfn.MAXIFS('JOBS'!$B$5:$B$1504,'JOBS'!$E$5:$E$1504,B65,'JOBS'!$O$5:$O$1504,"Completed")))</f>
        <v/>
      </c>
      <c r="O65" s="54">
        <f>IF(B65="","",IFERROR(AVERAGEIFS('JOBS'!$L$5:$L$1504,'JOBS'!$E$5:$E$1504,B65,'JOBS'!$O$5:$O$1504,"Completed"),""))</f>
        <v/>
      </c>
    </row>
    <row r="66">
      <c r="A66" s="46" t="inlineStr">
        <is>
          <t>P-062</t>
        </is>
      </c>
      <c r="B66" s="38" t="n"/>
      <c r="C66" s="38" t="n"/>
      <c r="D66" s="38" t="n"/>
      <c r="E66" s="38" t="n"/>
      <c r="F66" s="56" t="n"/>
      <c r="G66" s="57" t="n"/>
      <c r="H66" s="58" t="n"/>
      <c r="I66" s="38" t="n"/>
      <c r="J66" s="38" t="n"/>
      <c r="K66" s="38" t="n"/>
      <c r="L66" s="38" t="n"/>
      <c r="M66" s="53">
        <f>IF(B66="","",COUNTIFS('JOBS'!$E$5:$E$1504,B66,'JOBS'!$O$5:$O$1504,"Completed"))</f>
        <v/>
      </c>
      <c r="N66" s="52">
        <f>IF(B66="","",IF(_xlfn.MAXIFS('JOBS'!$B$5:$B$1504,'JOBS'!$E$5:$E$1504,B66,'JOBS'!$O$5:$O$1504,"Completed")=0,"",_xlfn.MAXIFS('JOBS'!$B$5:$B$1504,'JOBS'!$E$5:$E$1504,B66,'JOBS'!$O$5:$O$1504,"Completed")))</f>
        <v/>
      </c>
      <c r="O66" s="54">
        <f>IF(B66="","",IFERROR(AVERAGEIFS('JOBS'!$L$5:$L$1504,'JOBS'!$E$5:$E$1504,B66,'JOBS'!$O$5:$O$1504,"Completed"),""))</f>
        <v/>
      </c>
    </row>
    <row r="67">
      <c r="A67" s="46" t="inlineStr">
        <is>
          <t>P-063</t>
        </is>
      </c>
      <c r="B67" s="38" t="n"/>
      <c r="C67" s="38" t="n"/>
      <c r="D67" s="38" t="n"/>
      <c r="E67" s="38" t="n"/>
      <c r="F67" s="56" t="n"/>
      <c r="G67" s="57" t="n"/>
      <c r="H67" s="58" t="n"/>
      <c r="I67" s="38" t="n"/>
      <c r="J67" s="38" t="n"/>
      <c r="K67" s="38" t="n"/>
      <c r="L67" s="38" t="n"/>
      <c r="M67" s="53">
        <f>IF(B67="","",COUNTIFS('JOBS'!$E$5:$E$1504,B67,'JOBS'!$O$5:$O$1504,"Completed"))</f>
        <v/>
      </c>
      <c r="N67" s="52">
        <f>IF(B67="","",IF(_xlfn.MAXIFS('JOBS'!$B$5:$B$1504,'JOBS'!$E$5:$E$1504,B67,'JOBS'!$O$5:$O$1504,"Completed")=0,"",_xlfn.MAXIFS('JOBS'!$B$5:$B$1504,'JOBS'!$E$5:$E$1504,B67,'JOBS'!$O$5:$O$1504,"Completed")))</f>
        <v/>
      </c>
      <c r="O67" s="54">
        <f>IF(B67="","",IFERROR(AVERAGEIFS('JOBS'!$L$5:$L$1504,'JOBS'!$E$5:$E$1504,B67,'JOBS'!$O$5:$O$1504,"Completed"),""))</f>
        <v/>
      </c>
    </row>
    <row r="68">
      <c r="A68" s="46" t="inlineStr">
        <is>
          <t>P-064</t>
        </is>
      </c>
      <c r="B68" s="38" t="n"/>
      <c r="C68" s="38" t="n"/>
      <c r="D68" s="38" t="n"/>
      <c r="E68" s="38" t="n"/>
      <c r="F68" s="56" t="n"/>
      <c r="G68" s="57" t="n"/>
      <c r="H68" s="58" t="n"/>
      <c r="I68" s="38" t="n"/>
      <c r="J68" s="38" t="n"/>
      <c r="K68" s="38" t="n"/>
      <c r="L68" s="38" t="n"/>
      <c r="M68" s="53">
        <f>IF(B68="","",COUNTIFS('JOBS'!$E$5:$E$1504,B68,'JOBS'!$O$5:$O$1504,"Completed"))</f>
        <v/>
      </c>
      <c r="N68" s="52">
        <f>IF(B68="","",IF(_xlfn.MAXIFS('JOBS'!$B$5:$B$1504,'JOBS'!$E$5:$E$1504,B68,'JOBS'!$O$5:$O$1504,"Completed")=0,"",_xlfn.MAXIFS('JOBS'!$B$5:$B$1504,'JOBS'!$E$5:$E$1504,B68,'JOBS'!$O$5:$O$1504,"Completed")))</f>
        <v/>
      </c>
      <c r="O68" s="54">
        <f>IF(B68="","",IFERROR(AVERAGEIFS('JOBS'!$L$5:$L$1504,'JOBS'!$E$5:$E$1504,B68,'JOBS'!$O$5:$O$1504,"Completed"),""))</f>
        <v/>
      </c>
    </row>
    <row r="69">
      <c r="A69" s="46" t="inlineStr">
        <is>
          <t>P-065</t>
        </is>
      </c>
      <c r="B69" s="38" t="n"/>
      <c r="C69" s="38" t="n"/>
      <c r="D69" s="38" t="n"/>
      <c r="E69" s="38" t="n"/>
      <c r="F69" s="56" t="n"/>
      <c r="G69" s="57" t="n"/>
      <c r="H69" s="58" t="n"/>
      <c r="I69" s="38" t="n"/>
      <c r="J69" s="38" t="n"/>
      <c r="K69" s="38" t="n"/>
      <c r="L69" s="38" t="n"/>
      <c r="M69" s="53">
        <f>IF(B69="","",COUNTIFS('JOBS'!$E$5:$E$1504,B69,'JOBS'!$O$5:$O$1504,"Completed"))</f>
        <v/>
      </c>
      <c r="N69" s="52">
        <f>IF(B69="","",IF(_xlfn.MAXIFS('JOBS'!$B$5:$B$1504,'JOBS'!$E$5:$E$1504,B69,'JOBS'!$O$5:$O$1504,"Completed")=0,"",_xlfn.MAXIFS('JOBS'!$B$5:$B$1504,'JOBS'!$E$5:$E$1504,B69,'JOBS'!$O$5:$O$1504,"Completed")))</f>
        <v/>
      </c>
      <c r="O69" s="54">
        <f>IF(B69="","",IFERROR(AVERAGEIFS('JOBS'!$L$5:$L$1504,'JOBS'!$E$5:$E$1504,B69,'JOBS'!$O$5:$O$1504,"Completed"),""))</f>
        <v/>
      </c>
    </row>
    <row r="70">
      <c r="A70" s="46" t="inlineStr">
        <is>
          <t>P-066</t>
        </is>
      </c>
      <c r="B70" s="38" t="n"/>
      <c r="C70" s="38" t="n"/>
      <c r="D70" s="38" t="n"/>
      <c r="E70" s="38" t="n"/>
      <c r="F70" s="56" t="n"/>
      <c r="G70" s="57" t="n"/>
      <c r="H70" s="58" t="n"/>
      <c r="I70" s="38" t="n"/>
      <c r="J70" s="38" t="n"/>
      <c r="K70" s="38" t="n"/>
      <c r="L70" s="38" t="n"/>
      <c r="M70" s="53">
        <f>IF(B70="","",COUNTIFS('JOBS'!$E$5:$E$1504,B70,'JOBS'!$O$5:$O$1504,"Completed"))</f>
        <v/>
      </c>
      <c r="N70" s="52">
        <f>IF(B70="","",IF(_xlfn.MAXIFS('JOBS'!$B$5:$B$1504,'JOBS'!$E$5:$E$1504,B70,'JOBS'!$O$5:$O$1504,"Completed")=0,"",_xlfn.MAXIFS('JOBS'!$B$5:$B$1504,'JOBS'!$E$5:$E$1504,B70,'JOBS'!$O$5:$O$1504,"Completed")))</f>
        <v/>
      </c>
      <c r="O70" s="54">
        <f>IF(B70="","",IFERROR(AVERAGEIFS('JOBS'!$L$5:$L$1504,'JOBS'!$E$5:$E$1504,B70,'JOBS'!$O$5:$O$1504,"Completed"),""))</f>
        <v/>
      </c>
    </row>
    <row r="71">
      <c r="A71" s="46" t="inlineStr">
        <is>
          <t>P-067</t>
        </is>
      </c>
      <c r="B71" s="38" t="n"/>
      <c r="C71" s="38" t="n"/>
      <c r="D71" s="38" t="n"/>
      <c r="E71" s="38" t="n"/>
      <c r="F71" s="56" t="n"/>
      <c r="G71" s="57" t="n"/>
      <c r="H71" s="58" t="n"/>
      <c r="I71" s="38" t="n"/>
      <c r="J71" s="38" t="n"/>
      <c r="K71" s="38" t="n"/>
      <c r="L71" s="38" t="n"/>
      <c r="M71" s="53">
        <f>IF(B71="","",COUNTIFS('JOBS'!$E$5:$E$1504,B71,'JOBS'!$O$5:$O$1504,"Completed"))</f>
        <v/>
      </c>
      <c r="N71" s="52">
        <f>IF(B71="","",IF(_xlfn.MAXIFS('JOBS'!$B$5:$B$1504,'JOBS'!$E$5:$E$1504,B71,'JOBS'!$O$5:$O$1504,"Completed")=0,"",_xlfn.MAXIFS('JOBS'!$B$5:$B$1504,'JOBS'!$E$5:$E$1504,B71,'JOBS'!$O$5:$O$1504,"Completed")))</f>
        <v/>
      </c>
      <c r="O71" s="54">
        <f>IF(B71="","",IFERROR(AVERAGEIFS('JOBS'!$L$5:$L$1504,'JOBS'!$E$5:$E$1504,B71,'JOBS'!$O$5:$O$1504,"Completed"),""))</f>
        <v/>
      </c>
    </row>
    <row r="72">
      <c r="A72" s="46" t="inlineStr">
        <is>
          <t>P-068</t>
        </is>
      </c>
      <c r="B72" s="38" t="n"/>
      <c r="C72" s="38" t="n"/>
      <c r="D72" s="38" t="n"/>
      <c r="E72" s="38" t="n"/>
      <c r="F72" s="56" t="n"/>
      <c r="G72" s="57" t="n"/>
      <c r="H72" s="58" t="n"/>
      <c r="I72" s="38" t="n"/>
      <c r="J72" s="38" t="n"/>
      <c r="K72" s="38" t="n"/>
      <c r="L72" s="38" t="n"/>
      <c r="M72" s="53">
        <f>IF(B72="","",COUNTIFS('JOBS'!$E$5:$E$1504,B72,'JOBS'!$O$5:$O$1504,"Completed"))</f>
        <v/>
      </c>
      <c r="N72" s="52">
        <f>IF(B72="","",IF(_xlfn.MAXIFS('JOBS'!$B$5:$B$1504,'JOBS'!$E$5:$E$1504,B72,'JOBS'!$O$5:$O$1504,"Completed")=0,"",_xlfn.MAXIFS('JOBS'!$B$5:$B$1504,'JOBS'!$E$5:$E$1504,B72,'JOBS'!$O$5:$O$1504,"Completed")))</f>
        <v/>
      </c>
      <c r="O72" s="54">
        <f>IF(B72="","",IFERROR(AVERAGEIFS('JOBS'!$L$5:$L$1504,'JOBS'!$E$5:$E$1504,B72,'JOBS'!$O$5:$O$1504,"Completed"),""))</f>
        <v/>
      </c>
    </row>
    <row r="73">
      <c r="A73" s="46" t="inlineStr">
        <is>
          <t>P-069</t>
        </is>
      </c>
      <c r="B73" s="38" t="n"/>
      <c r="C73" s="38" t="n"/>
      <c r="D73" s="38" t="n"/>
      <c r="E73" s="38" t="n"/>
      <c r="F73" s="56" t="n"/>
      <c r="G73" s="57" t="n"/>
      <c r="H73" s="58" t="n"/>
      <c r="I73" s="38" t="n"/>
      <c r="J73" s="38" t="n"/>
      <c r="K73" s="38" t="n"/>
      <c r="L73" s="38" t="n"/>
      <c r="M73" s="53">
        <f>IF(B73="","",COUNTIFS('JOBS'!$E$5:$E$1504,B73,'JOBS'!$O$5:$O$1504,"Completed"))</f>
        <v/>
      </c>
      <c r="N73" s="52">
        <f>IF(B73="","",IF(_xlfn.MAXIFS('JOBS'!$B$5:$B$1504,'JOBS'!$E$5:$E$1504,B73,'JOBS'!$O$5:$O$1504,"Completed")=0,"",_xlfn.MAXIFS('JOBS'!$B$5:$B$1504,'JOBS'!$E$5:$E$1504,B73,'JOBS'!$O$5:$O$1504,"Completed")))</f>
        <v/>
      </c>
      <c r="O73" s="54">
        <f>IF(B73="","",IFERROR(AVERAGEIFS('JOBS'!$L$5:$L$1504,'JOBS'!$E$5:$E$1504,B73,'JOBS'!$O$5:$O$1504,"Completed"),""))</f>
        <v/>
      </c>
    </row>
    <row r="74">
      <c r="A74" s="46" t="inlineStr">
        <is>
          <t>P-070</t>
        </is>
      </c>
      <c r="B74" s="38" t="n"/>
      <c r="C74" s="38" t="n"/>
      <c r="D74" s="38" t="n"/>
      <c r="E74" s="38" t="n"/>
      <c r="F74" s="56" t="n"/>
      <c r="G74" s="57" t="n"/>
      <c r="H74" s="58" t="n"/>
      <c r="I74" s="38" t="n"/>
      <c r="J74" s="38" t="n"/>
      <c r="K74" s="38" t="n"/>
      <c r="L74" s="38" t="n"/>
      <c r="M74" s="53">
        <f>IF(B74="","",COUNTIFS('JOBS'!$E$5:$E$1504,B74,'JOBS'!$O$5:$O$1504,"Completed"))</f>
        <v/>
      </c>
      <c r="N74" s="52">
        <f>IF(B74="","",IF(_xlfn.MAXIFS('JOBS'!$B$5:$B$1504,'JOBS'!$E$5:$E$1504,B74,'JOBS'!$O$5:$O$1504,"Completed")=0,"",_xlfn.MAXIFS('JOBS'!$B$5:$B$1504,'JOBS'!$E$5:$E$1504,B74,'JOBS'!$O$5:$O$1504,"Completed")))</f>
        <v/>
      </c>
      <c r="O74" s="54">
        <f>IF(B74="","",IFERROR(AVERAGEIFS('JOBS'!$L$5:$L$1504,'JOBS'!$E$5:$E$1504,B74,'JOBS'!$O$5:$O$1504,"Completed"),""))</f>
        <v/>
      </c>
    </row>
    <row r="75">
      <c r="A75" s="46" t="inlineStr">
        <is>
          <t>P-071</t>
        </is>
      </c>
      <c r="B75" s="38" t="n"/>
      <c r="C75" s="38" t="n"/>
      <c r="D75" s="38" t="n"/>
      <c r="E75" s="38" t="n"/>
      <c r="F75" s="56" t="n"/>
      <c r="G75" s="57" t="n"/>
      <c r="H75" s="58" t="n"/>
      <c r="I75" s="38" t="n"/>
      <c r="J75" s="38" t="n"/>
      <c r="K75" s="38" t="n"/>
      <c r="L75" s="38" t="n"/>
      <c r="M75" s="53">
        <f>IF(B75="","",COUNTIFS('JOBS'!$E$5:$E$1504,B75,'JOBS'!$O$5:$O$1504,"Completed"))</f>
        <v/>
      </c>
      <c r="N75" s="52">
        <f>IF(B75="","",IF(_xlfn.MAXIFS('JOBS'!$B$5:$B$1504,'JOBS'!$E$5:$E$1504,B75,'JOBS'!$O$5:$O$1504,"Completed")=0,"",_xlfn.MAXIFS('JOBS'!$B$5:$B$1504,'JOBS'!$E$5:$E$1504,B75,'JOBS'!$O$5:$O$1504,"Completed")))</f>
        <v/>
      </c>
      <c r="O75" s="54">
        <f>IF(B75="","",IFERROR(AVERAGEIFS('JOBS'!$L$5:$L$1504,'JOBS'!$E$5:$E$1504,B75,'JOBS'!$O$5:$O$1504,"Completed"),""))</f>
        <v/>
      </c>
    </row>
    <row r="76">
      <c r="A76" s="46" t="inlineStr">
        <is>
          <t>P-072</t>
        </is>
      </c>
      <c r="B76" s="38" t="n"/>
      <c r="C76" s="38" t="n"/>
      <c r="D76" s="38" t="n"/>
      <c r="E76" s="38" t="n"/>
      <c r="F76" s="56" t="n"/>
      <c r="G76" s="57" t="n"/>
      <c r="H76" s="58" t="n"/>
      <c r="I76" s="38" t="n"/>
      <c r="J76" s="38" t="n"/>
      <c r="K76" s="38" t="n"/>
      <c r="L76" s="38" t="n"/>
      <c r="M76" s="53">
        <f>IF(B76="","",COUNTIFS('JOBS'!$E$5:$E$1504,B76,'JOBS'!$O$5:$O$1504,"Completed"))</f>
        <v/>
      </c>
      <c r="N76" s="52">
        <f>IF(B76="","",IF(_xlfn.MAXIFS('JOBS'!$B$5:$B$1504,'JOBS'!$E$5:$E$1504,B76,'JOBS'!$O$5:$O$1504,"Completed")=0,"",_xlfn.MAXIFS('JOBS'!$B$5:$B$1504,'JOBS'!$E$5:$E$1504,B76,'JOBS'!$O$5:$O$1504,"Completed")))</f>
        <v/>
      </c>
      <c r="O76" s="54">
        <f>IF(B76="","",IFERROR(AVERAGEIFS('JOBS'!$L$5:$L$1504,'JOBS'!$E$5:$E$1504,B76,'JOBS'!$O$5:$O$1504,"Completed"),""))</f>
        <v/>
      </c>
    </row>
    <row r="77">
      <c r="A77" s="46" t="inlineStr">
        <is>
          <t>P-073</t>
        </is>
      </c>
      <c r="B77" s="38" t="n"/>
      <c r="C77" s="38" t="n"/>
      <c r="D77" s="38" t="n"/>
      <c r="E77" s="38" t="n"/>
      <c r="F77" s="56" t="n"/>
      <c r="G77" s="57" t="n"/>
      <c r="H77" s="58" t="n"/>
      <c r="I77" s="38" t="n"/>
      <c r="J77" s="38" t="n"/>
      <c r="K77" s="38" t="n"/>
      <c r="L77" s="38" t="n"/>
      <c r="M77" s="53">
        <f>IF(B77="","",COUNTIFS('JOBS'!$E$5:$E$1504,B77,'JOBS'!$O$5:$O$1504,"Completed"))</f>
        <v/>
      </c>
      <c r="N77" s="52">
        <f>IF(B77="","",IF(_xlfn.MAXIFS('JOBS'!$B$5:$B$1504,'JOBS'!$E$5:$E$1504,B77,'JOBS'!$O$5:$O$1504,"Completed")=0,"",_xlfn.MAXIFS('JOBS'!$B$5:$B$1504,'JOBS'!$E$5:$E$1504,B77,'JOBS'!$O$5:$O$1504,"Completed")))</f>
        <v/>
      </c>
      <c r="O77" s="54">
        <f>IF(B77="","",IFERROR(AVERAGEIFS('JOBS'!$L$5:$L$1504,'JOBS'!$E$5:$E$1504,B77,'JOBS'!$O$5:$O$1504,"Completed"),""))</f>
        <v/>
      </c>
    </row>
    <row r="78">
      <c r="A78" s="46" t="inlineStr">
        <is>
          <t>P-074</t>
        </is>
      </c>
      <c r="B78" s="38" t="n"/>
      <c r="C78" s="38" t="n"/>
      <c r="D78" s="38" t="n"/>
      <c r="E78" s="38" t="n"/>
      <c r="F78" s="56" t="n"/>
      <c r="G78" s="57" t="n"/>
      <c r="H78" s="58" t="n"/>
      <c r="I78" s="38" t="n"/>
      <c r="J78" s="38" t="n"/>
      <c r="K78" s="38" t="n"/>
      <c r="L78" s="38" t="n"/>
      <c r="M78" s="53">
        <f>IF(B78="","",COUNTIFS('JOBS'!$E$5:$E$1504,B78,'JOBS'!$O$5:$O$1504,"Completed"))</f>
        <v/>
      </c>
      <c r="N78" s="52">
        <f>IF(B78="","",IF(_xlfn.MAXIFS('JOBS'!$B$5:$B$1504,'JOBS'!$E$5:$E$1504,B78,'JOBS'!$O$5:$O$1504,"Completed")=0,"",_xlfn.MAXIFS('JOBS'!$B$5:$B$1504,'JOBS'!$E$5:$E$1504,B78,'JOBS'!$O$5:$O$1504,"Completed")))</f>
        <v/>
      </c>
      <c r="O78" s="54">
        <f>IF(B78="","",IFERROR(AVERAGEIFS('JOBS'!$L$5:$L$1504,'JOBS'!$E$5:$E$1504,B78,'JOBS'!$O$5:$O$1504,"Completed"),""))</f>
        <v/>
      </c>
    </row>
    <row r="79">
      <c r="A79" s="46" t="inlineStr">
        <is>
          <t>P-075</t>
        </is>
      </c>
      <c r="B79" s="38" t="n"/>
      <c r="C79" s="38" t="n"/>
      <c r="D79" s="38" t="n"/>
      <c r="E79" s="38" t="n"/>
      <c r="F79" s="56" t="n"/>
      <c r="G79" s="57" t="n"/>
      <c r="H79" s="58" t="n"/>
      <c r="I79" s="38" t="n"/>
      <c r="J79" s="38" t="n"/>
      <c r="K79" s="38" t="n"/>
      <c r="L79" s="38" t="n"/>
      <c r="M79" s="53">
        <f>IF(B79="","",COUNTIFS('JOBS'!$E$5:$E$1504,B79,'JOBS'!$O$5:$O$1504,"Completed"))</f>
        <v/>
      </c>
      <c r="N79" s="52">
        <f>IF(B79="","",IF(_xlfn.MAXIFS('JOBS'!$B$5:$B$1504,'JOBS'!$E$5:$E$1504,B79,'JOBS'!$O$5:$O$1504,"Completed")=0,"",_xlfn.MAXIFS('JOBS'!$B$5:$B$1504,'JOBS'!$E$5:$E$1504,B79,'JOBS'!$O$5:$O$1504,"Completed")))</f>
        <v/>
      </c>
      <c r="O79" s="54">
        <f>IF(B79="","",IFERROR(AVERAGEIFS('JOBS'!$L$5:$L$1504,'JOBS'!$E$5:$E$1504,B79,'JOBS'!$O$5:$O$1504,"Completed"),""))</f>
        <v/>
      </c>
    </row>
    <row r="80">
      <c r="A80" s="46" t="inlineStr">
        <is>
          <t>P-076</t>
        </is>
      </c>
      <c r="B80" s="38" t="n"/>
      <c r="C80" s="38" t="n"/>
      <c r="D80" s="38" t="n"/>
      <c r="E80" s="38" t="n"/>
      <c r="F80" s="56" t="n"/>
      <c r="G80" s="57" t="n"/>
      <c r="H80" s="58" t="n"/>
      <c r="I80" s="38" t="n"/>
      <c r="J80" s="38" t="n"/>
      <c r="K80" s="38" t="n"/>
      <c r="L80" s="38" t="n"/>
      <c r="M80" s="53">
        <f>IF(B80="","",COUNTIFS('JOBS'!$E$5:$E$1504,B80,'JOBS'!$O$5:$O$1504,"Completed"))</f>
        <v/>
      </c>
      <c r="N80" s="52">
        <f>IF(B80="","",IF(_xlfn.MAXIFS('JOBS'!$B$5:$B$1504,'JOBS'!$E$5:$E$1504,B80,'JOBS'!$O$5:$O$1504,"Completed")=0,"",_xlfn.MAXIFS('JOBS'!$B$5:$B$1504,'JOBS'!$E$5:$E$1504,B80,'JOBS'!$O$5:$O$1504,"Completed")))</f>
        <v/>
      </c>
      <c r="O80" s="54">
        <f>IF(B80="","",IFERROR(AVERAGEIFS('JOBS'!$L$5:$L$1504,'JOBS'!$E$5:$E$1504,B80,'JOBS'!$O$5:$O$1504,"Completed"),""))</f>
        <v/>
      </c>
    </row>
    <row r="81">
      <c r="A81" s="46" t="inlineStr">
        <is>
          <t>P-077</t>
        </is>
      </c>
      <c r="B81" s="38" t="n"/>
      <c r="C81" s="38" t="n"/>
      <c r="D81" s="38" t="n"/>
      <c r="E81" s="38" t="n"/>
      <c r="F81" s="56" t="n"/>
      <c r="G81" s="57" t="n"/>
      <c r="H81" s="58" t="n"/>
      <c r="I81" s="38" t="n"/>
      <c r="J81" s="38" t="n"/>
      <c r="K81" s="38" t="n"/>
      <c r="L81" s="38" t="n"/>
      <c r="M81" s="53">
        <f>IF(B81="","",COUNTIFS('JOBS'!$E$5:$E$1504,B81,'JOBS'!$O$5:$O$1504,"Completed"))</f>
        <v/>
      </c>
      <c r="N81" s="52">
        <f>IF(B81="","",IF(_xlfn.MAXIFS('JOBS'!$B$5:$B$1504,'JOBS'!$E$5:$E$1504,B81,'JOBS'!$O$5:$O$1504,"Completed")=0,"",_xlfn.MAXIFS('JOBS'!$B$5:$B$1504,'JOBS'!$E$5:$E$1504,B81,'JOBS'!$O$5:$O$1504,"Completed")))</f>
        <v/>
      </c>
      <c r="O81" s="54">
        <f>IF(B81="","",IFERROR(AVERAGEIFS('JOBS'!$L$5:$L$1504,'JOBS'!$E$5:$E$1504,B81,'JOBS'!$O$5:$O$1504,"Completed"),""))</f>
        <v/>
      </c>
    </row>
    <row r="82">
      <c r="A82" s="46" t="inlineStr">
        <is>
          <t>P-078</t>
        </is>
      </c>
      <c r="B82" s="38" t="n"/>
      <c r="C82" s="38" t="n"/>
      <c r="D82" s="38" t="n"/>
      <c r="E82" s="38" t="n"/>
      <c r="F82" s="56" t="n"/>
      <c r="G82" s="57" t="n"/>
      <c r="H82" s="58" t="n"/>
      <c r="I82" s="38" t="n"/>
      <c r="J82" s="38" t="n"/>
      <c r="K82" s="38" t="n"/>
      <c r="L82" s="38" t="n"/>
      <c r="M82" s="53">
        <f>IF(B82="","",COUNTIFS('JOBS'!$E$5:$E$1504,B82,'JOBS'!$O$5:$O$1504,"Completed"))</f>
        <v/>
      </c>
      <c r="N82" s="52">
        <f>IF(B82="","",IF(_xlfn.MAXIFS('JOBS'!$B$5:$B$1504,'JOBS'!$E$5:$E$1504,B82,'JOBS'!$O$5:$O$1504,"Completed")=0,"",_xlfn.MAXIFS('JOBS'!$B$5:$B$1504,'JOBS'!$E$5:$E$1504,B82,'JOBS'!$O$5:$O$1504,"Completed")))</f>
        <v/>
      </c>
      <c r="O82" s="54">
        <f>IF(B82="","",IFERROR(AVERAGEIFS('JOBS'!$L$5:$L$1504,'JOBS'!$E$5:$E$1504,B82,'JOBS'!$O$5:$O$1504,"Completed"),""))</f>
        <v/>
      </c>
    </row>
    <row r="83">
      <c r="A83" s="46" t="inlineStr">
        <is>
          <t>P-079</t>
        </is>
      </c>
      <c r="B83" s="38" t="n"/>
      <c r="C83" s="38" t="n"/>
      <c r="D83" s="38" t="n"/>
      <c r="E83" s="38" t="n"/>
      <c r="F83" s="56" t="n"/>
      <c r="G83" s="57" t="n"/>
      <c r="H83" s="58" t="n"/>
      <c r="I83" s="38" t="n"/>
      <c r="J83" s="38" t="n"/>
      <c r="K83" s="38" t="n"/>
      <c r="L83" s="38" t="n"/>
      <c r="M83" s="53">
        <f>IF(B83="","",COUNTIFS('JOBS'!$E$5:$E$1504,B83,'JOBS'!$O$5:$O$1504,"Completed"))</f>
        <v/>
      </c>
      <c r="N83" s="52">
        <f>IF(B83="","",IF(_xlfn.MAXIFS('JOBS'!$B$5:$B$1504,'JOBS'!$E$5:$E$1504,B83,'JOBS'!$O$5:$O$1504,"Completed")=0,"",_xlfn.MAXIFS('JOBS'!$B$5:$B$1504,'JOBS'!$E$5:$E$1504,B83,'JOBS'!$O$5:$O$1504,"Completed")))</f>
        <v/>
      </c>
      <c r="O83" s="54">
        <f>IF(B83="","",IFERROR(AVERAGEIFS('JOBS'!$L$5:$L$1504,'JOBS'!$E$5:$E$1504,B83,'JOBS'!$O$5:$O$1504,"Completed"),""))</f>
        <v/>
      </c>
    </row>
    <row r="84">
      <c r="A84" s="46" t="inlineStr">
        <is>
          <t>P-080</t>
        </is>
      </c>
      <c r="B84" s="38" t="n"/>
      <c r="C84" s="38" t="n"/>
      <c r="D84" s="38" t="n"/>
      <c r="E84" s="38" t="n"/>
      <c r="F84" s="56" t="n"/>
      <c r="G84" s="57" t="n"/>
      <c r="H84" s="58" t="n"/>
      <c r="I84" s="38" t="n"/>
      <c r="J84" s="38" t="n"/>
      <c r="K84" s="38" t="n"/>
      <c r="L84" s="38" t="n"/>
      <c r="M84" s="53">
        <f>IF(B84="","",COUNTIFS('JOBS'!$E$5:$E$1504,B84,'JOBS'!$O$5:$O$1504,"Completed"))</f>
        <v/>
      </c>
      <c r="N84" s="52">
        <f>IF(B84="","",IF(_xlfn.MAXIFS('JOBS'!$B$5:$B$1504,'JOBS'!$E$5:$E$1504,B84,'JOBS'!$O$5:$O$1504,"Completed")=0,"",_xlfn.MAXIFS('JOBS'!$B$5:$B$1504,'JOBS'!$E$5:$E$1504,B84,'JOBS'!$O$5:$O$1504,"Completed")))</f>
        <v/>
      </c>
      <c r="O84" s="54">
        <f>IF(B84="","",IFERROR(AVERAGEIFS('JOBS'!$L$5:$L$1504,'JOBS'!$E$5:$E$1504,B84,'JOBS'!$O$5:$O$1504,"Completed"),""))</f>
        <v/>
      </c>
    </row>
    <row r="85">
      <c r="A85" s="46" t="inlineStr">
        <is>
          <t>P-081</t>
        </is>
      </c>
      <c r="B85" s="38" t="n"/>
      <c r="C85" s="38" t="n"/>
      <c r="D85" s="38" t="n"/>
      <c r="E85" s="38" t="n"/>
      <c r="F85" s="56" t="n"/>
      <c r="G85" s="57" t="n"/>
      <c r="H85" s="58" t="n"/>
      <c r="I85" s="38" t="n"/>
      <c r="J85" s="38" t="n"/>
      <c r="K85" s="38" t="n"/>
      <c r="L85" s="38" t="n"/>
      <c r="M85" s="53">
        <f>IF(B85="","",COUNTIFS('JOBS'!$E$5:$E$1504,B85,'JOBS'!$O$5:$O$1504,"Completed"))</f>
        <v/>
      </c>
      <c r="N85" s="52">
        <f>IF(B85="","",IF(_xlfn.MAXIFS('JOBS'!$B$5:$B$1504,'JOBS'!$E$5:$E$1504,B85,'JOBS'!$O$5:$O$1504,"Completed")=0,"",_xlfn.MAXIFS('JOBS'!$B$5:$B$1504,'JOBS'!$E$5:$E$1504,B85,'JOBS'!$O$5:$O$1504,"Completed")))</f>
        <v/>
      </c>
      <c r="O85" s="54">
        <f>IF(B85="","",IFERROR(AVERAGEIFS('JOBS'!$L$5:$L$1504,'JOBS'!$E$5:$E$1504,B85,'JOBS'!$O$5:$O$1504,"Completed"),""))</f>
        <v/>
      </c>
    </row>
    <row r="86">
      <c r="A86" s="46" t="inlineStr">
        <is>
          <t>P-082</t>
        </is>
      </c>
      <c r="B86" s="38" t="n"/>
      <c r="C86" s="38" t="n"/>
      <c r="D86" s="38" t="n"/>
      <c r="E86" s="38" t="n"/>
      <c r="F86" s="56" t="n"/>
      <c r="G86" s="57" t="n"/>
      <c r="H86" s="58" t="n"/>
      <c r="I86" s="38" t="n"/>
      <c r="J86" s="38" t="n"/>
      <c r="K86" s="38" t="n"/>
      <c r="L86" s="38" t="n"/>
      <c r="M86" s="53">
        <f>IF(B86="","",COUNTIFS('JOBS'!$E$5:$E$1504,B86,'JOBS'!$O$5:$O$1504,"Completed"))</f>
        <v/>
      </c>
      <c r="N86" s="52">
        <f>IF(B86="","",IF(_xlfn.MAXIFS('JOBS'!$B$5:$B$1504,'JOBS'!$E$5:$E$1504,B86,'JOBS'!$O$5:$O$1504,"Completed")=0,"",_xlfn.MAXIFS('JOBS'!$B$5:$B$1504,'JOBS'!$E$5:$E$1504,B86,'JOBS'!$O$5:$O$1504,"Completed")))</f>
        <v/>
      </c>
      <c r="O86" s="54">
        <f>IF(B86="","",IFERROR(AVERAGEIFS('JOBS'!$L$5:$L$1504,'JOBS'!$E$5:$E$1504,B86,'JOBS'!$O$5:$O$1504,"Completed"),""))</f>
        <v/>
      </c>
    </row>
    <row r="87">
      <c r="A87" s="46" t="inlineStr">
        <is>
          <t>P-083</t>
        </is>
      </c>
      <c r="B87" s="38" t="n"/>
      <c r="C87" s="38" t="n"/>
      <c r="D87" s="38" t="n"/>
      <c r="E87" s="38" t="n"/>
      <c r="F87" s="56" t="n"/>
      <c r="G87" s="57" t="n"/>
      <c r="H87" s="58" t="n"/>
      <c r="I87" s="38" t="n"/>
      <c r="J87" s="38" t="n"/>
      <c r="K87" s="38" t="n"/>
      <c r="L87" s="38" t="n"/>
      <c r="M87" s="53">
        <f>IF(B87="","",COUNTIFS('JOBS'!$E$5:$E$1504,B87,'JOBS'!$O$5:$O$1504,"Completed"))</f>
        <v/>
      </c>
      <c r="N87" s="52">
        <f>IF(B87="","",IF(_xlfn.MAXIFS('JOBS'!$B$5:$B$1504,'JOBS'!$E$5:$E$1504,B87,'JOBS'!$O$5:$O$1504,"Completed")=0,"",_xlfn.MAXIFS('JOBS'!$B$5:$B$1504,'JOBS'!$E$5:$E$1504,B87,'JOBS'!$O$5:$O$1504,"Completed")))</f>
        <v/>
      </c>
      <c r="O87" s="54">
        <f>IF(B87="","",IFERROR(AVERAGEIFS('JOBS'!$L$5:$L$1504,'JOBS'!$E$5:$E$1504,B87,'JOBS'!$O$5:$O$1504,"Completed"),""))</f>
        <v/>
      </c>
    </row>
    <row r="88">
      <c r="A88" s="46" t="inlineStr">
        <is>
          <t>P-084</t>
        </is>
      </c>
      <c r="B88" s="38" t="n"/>
      <c r="C88" s="38" t="n"/>
      <c r="D88" s="38" t="n"/>
      <c r="E88" s="38" t="n"/>
      <c r="F88" s="56" t="n"/>
      <c r="G88" s="57" t="n"/>
      <c r="H88" s="58" t="n"/>
      <c r="I88" s="38" t="n"/>
      <c r="J88" s="38" t="n"/>
      <c r="K88" s="38" t="n"/>
      <c r="L88" s="38" t="n"/>
      <c r="M88" s="53">
        <f>IF(B88="","",COUNTIFS('JOBS'!$E$5:$E$1504,B88,'JOBS'!$O$5:$O$1504,"Completed"))</f>
        <v/>
      </c>
      <c r="N88" s="52">
        <f>IF(B88="","",IF(_xlfn.MAXIFS('JOBS'!$B$5:$B$1504,'JOBS'!$E$5:$E$1504,B88,'JOBS'!$O$5:$O$1504,"Completed")=0,"",_xlfn.MAXIFS('JOBS'!$B$5:$B$1504,'JOBS'!$E$5:$E$1504,B88,'JOBS'!$O$5:$O$1504,"Completed")))</f>
        <v/>
      </c>
      <c r="O88" s="54">
        <f>IF(B88="","",IFERROR(AVERAGEIFS('JOBS'!$L$5:$L$1504,'JOBS'!$E$5:$E$1504,B88,'JOBS'!$O$5:$O$1504,"Completed"),""))</f>
        <v/>
      </c>
    </row>
    <row r="89">
      <c r="A89" s="46" t="inlineStr">
        <is>
          <t>P-085</t>
        </is>
      </c>
      <c r="B89" s="38" t="n"/>
      <c r="C89" s="38" t="n"/>
      <c r="D89" s="38" t="n"/>
      <c r="E89" s="38" t="n"/>
      <c r="F89" s="56" t="n"/>
      <c r="G89" s="57" t="n"/>
      <c r="H89" s="58" t="n"/>
      <c r="I89" s="38" t="n"/>
      <c r="J89" s="38" t="n"/>
      <c r="K89" s="38" t="n"/>
      <c r="L89" s="38" t="n"/>
      <c r="M89" s="53">
        <f>IF(B89="","",COUNTIFS('JOBS'!$E$5:$E$1504,B89,'JOBS'!$O$5:$O$1504,"Completed"))</f>
        <v/>
      </c>
      <c r="N89" s="52">
        <f>IF(B89="","",IF(_xlfn.MAXIFS('JOBS'!$B$5:$B$1504,'JOBS'!$E$5:$E$1504,B89,'JOBS'!$O$5:$O$1504,"Completed")=0,"",_xlfn.MAXIFS('JOBS'!$B$5:$B$1504,'JOBS'!$E$5:$E$1504,B89,'JOBS'!$O$5:$O$1504,"Completed")))</f>
        <v/>
      </c>
      <c r="O89" s="54">
        <f>IF(B89="","",IFERROR(AVERAGEIFS('JOBS'!$L$5:$L$1504,'JOBS'!$E$5:$E$1504,B89,'JOBS'!$O$5:$O$1504,"Completed"),""))</f>
        <v/>
      </c>
    </row>
    <row r="90">
      <c r="A90" s="46" t="inlineStr">
        <is>
          <t>P-086</t>
        </is>
      </c>
      <c r="B90" s="38" t="n"/>
      <c r="C90" s="38" t="n"/>
      <c r="D90" s="38" t="n"/>
      <c r="E90" s="38" t="n"/>
      <c r="F90" s="56" t="n"/>
      <c r="G90" s="57" t="n"/>
      <c r="H90" s="58" t="n"/>
      <c r="I90" s="38" t="n"/>
      <c r="J90" s="38" t="n"/>
      <c r="K90" s="38" t="n"/>
      <c r="L90" s="38" t="n"/>
      <c r="M90" s="53">
        <f>IF(B90="","",COUNTIFS('JOBS'!$E$5:$E$1504,B90,'JOBS'!$O$5:$O$1504,"Completed"))</f>
        <v/>
      </c>
      <c r="N90" s="52">
        <f>IF(B90="","",IF(_xlfn.MAXIFS('JOBS'!$B$5:$B$1504,'JOBS'!$E$5:$E$1504,B90,'JOBS'!$O$5:$O$1504,"Completed")=0,"",_xlfn.MAXIFS('JOBS'!$B$5:$B$1504,'JOBS'!$E$5:$E$1504,B90,'JOBS'!$O$5:$O$1504,"Completed")))</f>
        <v/>
      </c>
      <c r="O90" s="54">
        <f>IF(B90="","",IFERROR(AVERAGEIFS('JOBS'!$L$5:$L$1504,'JOBS'!$E$5:$E$1504,B90,'JOBS'!$O$5:$O$1504,"Completed"),""))</f>
        <v/>
      </c>
    </row>
    <row r="91">
      <c r="A91" s="46" t="inlineStr">
        <is>
          <t>P-087</t>
        </is>
      </c>
      <c r="B91" s="38" t="n"/>
      <c r="C91" s="38" t="n"/>
      <c r="D91" s="38" t="n"/>
      <c r="E91" s="38" t="n"/>
      <c r="F91" s="56" t="n"/>
      <c r="G91" s="57" t="n"/>
      <c r="H91" s="58" t="n"/>
      <c r="I91" s="38" t="n"/>
      <c r="J91" s="38" t="n"/>
      <c r="K91" s="38" t="n"/>
      <c r="L91" s="38" t="n"/>
      <c r="M91" s="53">
        <f>IF(B91="","",COUNTIFS('JOBS'!$E$5:$E$1504,B91,'JOBS'!$O$5:$O$1504,"Completed"))</f>
        <v/>
      </c>
      <c r="N91" s="52">
        <f>IF(B91="","",IF(_xlfn.MAXIFS('JOBS'!$B$5:$B$1504,'JOBS'!$E$5:$E$1504,B91,'JOBS'!$O$5:$O$1504,"Completed")=0,"",_xlfn.MAXIFS('JOBS'!$B$5:$B$1504,'JOBS'!$E$5:$E$1504,B91,'JOBS'!$O$5:$O$1504,"Completed")))</f>
        <v/>
      </c>
      <c r="O91" s="54">
        <f>IF(B91="","",IFERROR(AVERAGEIFS('JOBS'!$L$5:$L$1504,'JOBS'!$E$5:$E$1504,B91,'JOBS'!$O$5:$O$1504,"Completed"),""))</f>
        <v/>
      </c>
    </row>
    <row r="92">
      <c r="A92" s="46" t="inlineStr">
        <is>
          <t>P-088</t>
        </is>
      </c>
      <c r="B92" s="38" t="n"/>
      <c r="C92" s="38" t="n"/>
      <c r="D92" s="38" t="n"/>
      <c r="E92" s="38" t="n"/>
      <c r="F92" s="56" t="n"/>
      <c r="G92" s="57" t="n"/>
      <c r="H92" s="58" t="n"/>
      <c r="I92" s="38" t="n"/>
      <c r="J92" s="38" t="n"/>
      <c r="K92" s="38" t="n"/>
      <c r="L92" s="38" t="n"/>
      <c r="M92" s="53">
        <f>IF(B92="","",COUNTIFS('JOBS'!$E$5:$E$1504,B92,'JOBS'!$O$5:$O$1504,"Completed"))</f>
        <v/>
      </c>
      <c r="N92" s="52">
        <f>IF(B92="","",IF(_xlfn.MAXIFS('JOBS'!$B$5:$B$1504,'JOBS'!$E$5:$E$1504,B92,'JOBS'!$O$5:$O$1504,"Completed")=0,"",_xlfn.MAXIFS('JOBS'!$B$5:$B$1504,'JOBS'!$E$5:$E$1504,B92,'JOBS'!$O$5:$O$1504,"Completed")))</f>
        <v/>
      </c>
      <c r="O92" s="54">
        <f>IF(B92="","",IFERROR(AVERAGEIFS('JOBS'!$L$5:$L$1504,'JOBS'!$E$5:$E$1504,B92,'JOBS'!$O$5:$O$1504,"Completed"),""))</f>
        <v/>
      </c>
    </row>
    <row r="93">
      <c r="A93" s="46" t="inlineStr">
        <is>
          <t>P-089</t>
        </is>
      </c>
      <c r="B93" s="38" t="n"/>
      <c r="C93" s="38" t="n"/>
      <c r="D93" s="38" t="n"/>
      <c r="E93" s="38" t="n"/>
      <c r="F93" s="56" t="n"/>
      <c r="G93" s="57" t="n"/>
      <c r="H93" s="58" t="n"/>
      <c r="I93" s="38" t="n"/>
      <c r="J93" s="38" t="n"/>
      <c r="K93" s="38" t="n"/>
      <c r="L93" s="38" t="n"/>
      <c r="M93" s="53">
        <f>IF(B93="","",COUNTIFS('JOBS'!$E$5:$E$1504,B93,'JOBS'!$O$5:$O$1504,"Completed"))</f>
        <v/>
      </c>
      <c r="N93" s="52">
        <f>IF(B93="","",IF(_xlfn.MAXIFS('JOBS'!$B$5:$B$1504,'JOBS'!$E$5:$E$1504,B93,'JOBS'!$O$5:$O$1504,"Completed")=0,"",_xlfn.MAXIFS('JOBS'!$B$5:$B$1504,'JOBS'!$E$5:$E$1504,B93,'JOBS'!$O$5:$O$1504,"Completed")))</f>
        <v/>
      </c>
      <c r="O93" s="54">
        <f>IF(B93="","",IFERROR(AVERAGEIFS('JOBS'!$L$5:$L$1504,'JOBS'!$E$5:$E$1504,B93,'JOBS'!$O$5:$O$1504,"Completed"),""))</f>
        <v/>
      </c>
    </row>
    <row r="94">
      <c r="A94" s="46" t="inlineStr">
        <is>
          <t>P-090</t>
        </is>
      </c>
      <c r="B94" s="38" t="n"/>
      <c r="C94" s="38" t="n"/>
      <c r="D94" s="38" t="n"/>
      <c r="E94" s="38" t="n"/>
      <c r="F94" s="56" t="n"/>
      <c r="G94" s="57" t="n"/>
      <c r="H94" s="58" t="n"/>
      <c r="I94" s="38" t="n"/>
      <c r="J94" s="38" t="n"/>
      <c r="K94" s="38" t="n"/>
      <c r="L94" s="38" t="n"/>
      <c r="M94" s="53">
        <f>IF(B94="","",COUNTIFS('JOBS'!$E$5:$E$1504,B94,'JOBS'!$O$5:$O$1504,"Completed"))</f>
        <v/>
      </c>
      <c r="N94" s="52">
        <f>IF(B94="","",IF(_xlfn.MAXIFS('JOBS'!$B$5:$B$1504,'JOBS'!$E$5:$E$1504,B94,'JOBS'!$O$5:$O$1504,"Completed")=0,"",_xlfn.MAXIFS('JOBS'!$B$5:$B$1504,'JOBS'!$E$5:$E$1504,B94,'JOBS'!$O$5:$O$1504,"Completed")))</f>
        <v/>
      </c>
      <c r="O94" s="54">
        <f>IF(B94="","",IFERROR(AVERAGEIFS('JOBS'!$L$5:$L$1504,'JOBS'!$E$5:$E$1504,B94,'JOBS'!$O$5:$O$1504,"Completed"),""))</f>
        <v/>
      </c>
    </row>
    <row r="95">
      <c r="A95" s="46" t="inlineStr">
        <is>
          <t>P-091</t>
        </is>
      </c>
      <c r="B95" s="38" t="n"/>
      <c r="C95" s="38" t="n"/>
      <c r="D95" s="38" t="n"/>
      <c r="E95" s="38" t="n"/>
      <c r="F95" s="56" t="n"/>
      <c r="G95" s="57" t="n"/>
      <c r="H95" s="58" t="n"/>
      <c r="I95" s="38" t="n"/>
      <c r="J95" s="38" t="n"/>
      <c r="K95" s="38" t="n"/>
      <c r="L95" s="38" t="n"/>
      <c r="M95" s="53">
        <f>IF(B95="","",COUNTIFS('JOBS'!$E$5:$E$1504,B95,'JOBS'!$O$5:$O$1504,"Completed"))</f>
        <v/>
      </c>
      <c r="N95" s="52">
        <f>IF(B95="","",IF(_xlfn.MAXIFS('JOBS'!$B$5:$B$1504,'JOBS'!$E$5:$E$1504,B95,'JOBS'!$O$5:$O$1504,"Completed")=0,"",_xlfn.MAXIFS('JOBS'!$B$5:$B$1504,'JOBS'!$E$5:$E$1504,B95,'JOBS'!$O$5:$O$1504,"Completed")))</f>
        <v/>
      </c>
      <c r="O95" s="54">
        <f>IF(B95="","",IFERROR(AVERAGEIFS('JOBS'!$L$5:$L$1504,'JOBS'!$E$5:$E$1504,B95,'JOBS'!$O$5:$O$1504,"Completed"),""))</f>
        <v/>
      </c>
    </row>
    <row r="96">
      <c r="A96" s="46" t="inlineStr">
        <is>
          <t>P-092</t>
        </is>
      </c>
      <c r="B96" s="38" t="n"/>
      <c r="C96" s="38" t="n"/>
      <c r="D96" s="38" t="n"/>
      <c r="E96" s="38" t="n"/>
      <c r="F96" s="56" t="n"/>
      <c r="G96" s="57" t="n"/>
      <c r="H96" s="58" t="n"/>
      <c r="I96" s="38" t="n"/>
      <c r="J96" s="38" t="n"/>
      <c r="K96" s="38" t="n"/>
      <c r="L96" s="38" t="n"/>
      <c r="M96" s="53">
        <f>IF(B96="","",COUNTIFS('JOBS'!$E$5:$E$1504,B96,'JOBS'!$O$5:$O$1504,"Completed"))</f>
        <v/>
      </c>
      <c r="N96" s="52">
        <f>IF(B96="","",IF(_xlfn.MAXIFS('JOBS'!$B$5:$B$1504,'JOBS'!$E$5:$E$1504,B96,'JOBS'!$O$5:$O$1504,"Completed")=0,"",_xlfn.MAXIFS('JOBS'!$B$5:$B$1504,'JOBS'!$E$5:$E$1504,B96,'JOBS'!$O$5:$O$1504,"Completed")))</f>
        <v/>
      </c>
      <c r="O96" s="54">
        <f>IF(B96="","",IFERROR(AVERAGEIFS('JOBS'!$L$5:$L$1504,'JOBS'!$E$5:$E$1504,B96,'JOBS'!$O$5:$O$1504,"Completed"),""))</f>
        <v/>
      </c>
    </row>
    <row r="97">
      <c r="A97" s="46" t="inlineStr">
        <is>
          <t>P-093</t>
        </is>
      </c>
      <c r="B97" s="38" t="n"/>
      <c r="C97" s="38" t="n"/>
      <c r="D97" s="38" t="n"/>
      <c r="E97" s="38" t="n"/>
      <c r="F97" s="56" t="n"/>
      <c r="G97" s="57" t="n"/>
      <c r="H97" s="58" t="n"/>
      <c r="I97" s="38" t="n"/>
      <c r="J97" s="38" t="n"/>
      <c r="K97" s="38" t="n"/>
      <c r="L97" s="38" t="n"/>
      <c r="M97" s="53">
        <f>IF(B97="","",COUNTIFS('JOBS'!$E$5:$E$1504,B97,'JOBS'!$O$5:$O$1504,"Completed"))</f>
        <v/>
      </c>
      <c r="N97" s="52">
        <f>IF(B97="","",IF(_xlfn.MAXIFS('JOBS'!$B$5:$B$1504,'JOBS'!$E$5:$E$1504,B97,'JOBS'!$O$5:$O$1504,"Completed")=0,"",_xlfn.MAXIFS('JOBS'!$B$5:$B$1504,'JOBS'!$E$5:$E$1504,B97,'JOBS'!$O$5:$O$1504,"Completed")))</f>
        <v/>
      </c>
      <c r="O97" s="54">
        <f>IF(B97="","",IFERROR(AVERAGEIFS('JOBS'!$L$5:$L$1504,'JOBS'!$E$5:$E$1504,B97,'JOBS'!$O$5:$O$1504,"Completed"),""))</f>
        <v/>
      </c>
    </row>
    <row r="98">
      <c r="A98" s="46" t="inlineStr">
        <is>
          <t>P-094</t>
        </is>
      </c>
      <c r="B98" s="38" t="n"/>
      <c r="C98" s="38" t="n"/>
      <c r="D98" s="38" t="n"/>
      <c r="E98" s="38" t="n"/>
      <c r="F98" s="56" t="n"/>
      <c r="G98" s="57" t="n"/>
      <c r="H98" s="58" t="n"/>
      <c r="I98" s="38" t="n"/>
      <c r="J98" s="38" t="n"/>
      <c r="K98" s="38" t="n"/>
      <c r="L98" s="38" t="n"/>
      <c r="M98" s="53">
        <f>IF(B98="","",COUNTIFS('JOBS'!$E$5:$E$1504,B98,'JOBS'!$O$5:$O$1504,"Completed"))</f>
        <v/>
      </c>
      <c r="N98" s="52">
        <f>IF(B98="","",IF(_xlfn.MAXIFS('JOBS'!$B$5:$B$1504,'JOBS'!$E$5:$E$1504,B98,'JOBS'!$O$5:$O$1504,"Completed")=0,"",_xlfn.MAXIFS('JOBS'!$B$5:$B$1504,'JOBS'!$E$5:$E$1504,B98,'JOBS'!$O$5:$O$1504,"Completed")))</f>
        <v/>
      </c>
      <c r="O98" s="54">
        <f>IF(B98="","",IFERROR(AVERAGEIFS('JOBS'!$L$5:$L$1504,'JOBS'!$E$5:$E$1504,B98,'JOBS'!$O$5:$O$1504,"Completed"),""))</f>
        <v/>
      </c>
    </row>
    <row r="99">
      <c r="A99" s="46" t="inlineStr">
        <is>
          <t>P-095</t>
        </is>
      </c>
      <c r="B99" s="38" t="n"/>
      <c r="C99" s="38" t="n"/>
      <c r="D99" s="38" t="n"/>
      <c r="E99" s="38" t="n"/>
      <c r="F99" s="56" t="n"/>
      <c r="G99" s="57" t="n"/>
      <c r="H99" s="58" t="n"/>
      <c r="I99" s="38" t="n"/>
      <c r="J99" s="38" t="n"/>
      <c r="K99" s="38" t="n"/>
      <c r="L99" s="38" t="n"/>
      <c r="M99" s="53">
        <f>IF(B99="","",COUNTIFS('JOBS'!$E$5:$E$1504,B99,'JOBS'!$O$5:$O$1504,"Completed"))</f>
        <v/>
      </c>
      <c r="N99" s="52">
        <f>IF(B99="","",IF(_xlfn.MAXIFS('JOBS'!$B$5:$B$1504,'JOBS'!$E$5:$E$1504,B99,'JOBS'!$O$5:$O$1504,"Completed")=0,"",_xlfn.MAXIFS('JOBS'!$B$5:$B$1504,'JOBS'!$E$5:$E$1504,B99,'JOBS'!$O$5:$O$1504,"Completed")))</f>
        <v/>
      </c>
      <c r="O99" s="54">
        <f>IF(B99="","",IFERROR(AVERAGEIFS('JOBS'!$L$5:$L$1504,'JOBS'!$E$5:$E$1504,B99,'JOBS'!$O$5:$O$1504,"Completed"),""))</f>
        <v/>
      </c>
    </row>
    <row r="100">
      <c r="A100" s="46" t="inlineStr">
        <is>
          <t>P-096</t>
        </is>
      </c>
      <c r="B100" s="38" t="n"/>
      <c r="C100" s="38" t="n"/>
      <c r="D100" s="38" t="n"/>
      <c r="E100" s="38" t="n"/>
      <c r="F100" s="56" t="n"/>
      <c r="G100" s="57" t="n"/>
      <c r="H100" s="58" t="n"/>
      <c r="I100" s="38" t="n"/>
      <c r="J100" s="38" t="n"/>
      <c r="K100" s="38" t="n"/>
      <c r="L100" s="38" t="n"/>
      <c r="M100" s="53">
        <f>IF(B100="","",COUNTIFS('JOBS'!$E$5:$E$1504,B100,'JOBS'!$O$5:$O$1504,"Completed"))</f>
        <v/>
      </c>
      <c r="N100" s="52">
        <f>IF(B100="","",IF(_xlfn.MAXIFS('JOBS'!$B$5:$B$1504,'JOBS'!$E$5:$E$1504,B100,'JOBS'!$O$5:$O$1504,"Completed")=0,"",_xlfn.MAXIFS('JOBS'!$B$5:$B$1504,'JOBS'!$E$5:$E$1504,B100,'JOBS'!$O$5:$O$1504,"Completed")))</f>
        <v/>
      </c>
      <c r="O100" s="54">
        <f>IF(B100="","",IFERROR(AVERAGEIFS('JOBS'!$L$5:$L$1504,'JOBS'!$E$5:$E$1504,B100,'JOBS'!$O$5:$O$1504,"Completed"),""))</f>
        <v/>
      </c>
    </row>
    <row r="101">
      <c r="A101" s="46" t="inlineStr">
        <is>
          <t>P-097</t>
        </is>
      </c>
      <c r="B101" s="38" t="n"/>
      <c r="C101" s="38" t="n"/>
      <c r="D101" s="38" t="n"/>
      <c r="E101" s="38" t="n"/>
      <c r="F101" s="56" t="n"/>
      <c r="G101" s="57" t="n"/>
      <c r="H101" s="58" t="n"/>
      <c r="I101" s="38" t="n"/>
      <c r="J101" s="38" t="n"/>
      <c r="K101" s="38" t="n"/>
      <c r="L101" s="38" t="n"/>
      <c r="M101" s="53">
        <f>IF(B101="","",COUNTIFS('JOBS'!$E$5:$E$1504,B101,'JOBS'!$O$5:$O$1504,"Completed"))</f>
        <v/>
      </c>
      <c r="N101" s="52">
        <f>IF(B101="","",IF(_xlfn.MAXIFS('JOBS'!$B$5:$B$1504,'JOBS'!$E$5:$E$1504,B101,'JOBS'!$O$5:$O$1504,"Completed")=0,"",_xlfn.MAXIFS('JOBS'!$B$5:$B$1504,'JOBS'!$E$5:$E$1504,B101,'JOBS'!$O$5:$O$1504,"Completed")))</f>
        <v/>
      </c>
      <c r="O101" s="54">
        <f>IF(B101="","",IFERROR(AVERAGEIFS('JOBS'!$L$5:$L$1504,'JOBS'!$E$5:$E$1504,B101,'JOBS'!$O$5:$O$1504,"Completed"),""))</f>
        <v/>
      </c>
    </row>
    <row r="102">
      <c r="A102" s="46" t="inlineStr">
        <is>
          <t>P-098</t>
        </is>
      </c>
      <c r="B102" s="38" t="n"/>
      <c r="C102" s="38" t="n"/>
      <c r="D102" s="38" t="n"/>
      <c r="E102" s="38" t="n"/>
      <c r="F102" s="56" t="n"/>
      <c r="G102" s="57" t="n"/>
      <c r="H102" s="58" t="n"/>
      <c r="I102" s="38" t="n"/>
      <c r="J102" s="38" t="n"/>
      <c r="K102" s="38" t="n"/>
      <c r="L102" s="38" t="n"/>
      <c r="M102" s="53">
        <f>IF(B102="","",COUNTIFS('JOBS'!$E$5:$E$1504,B102,'JOBS'!$O$5:$O$1504,"Completed"))</f>
        <v/>
      </c>
      <c r="N102" s="52">
        <f>IF(B102="","",IF(_xlfn.MAXIFS('JOBS'!$B$5:$B$1504,'JOBS'!$E$5:$E$1504,B102,'JOBS'!$O$5:$O$1504,"Completed")=0,"",_xlfn.MAXIFS('JOBS'!$B$5:$B$1504,'JOBS'!$E$5:$E$1504,B102,'JOBS'!$O$5:$O$1504,"Completed")))</f>
        <v/>
      </c>
      <c r="O102" s="54">
        <f>IF(B102="","",IFERROR(AVERAGEIFS('JOBS'!$L$5:$L$1504,'JOBS'!$E$5:$E$1504,B102,'JOBS'!$O$5:$O$1504,"Completed"),""))</f>
        <v/>
      </c>
    </row>
    <row r="103">
      <c r="A103" s="46" t="inlineStr">
        <is>
          <t>P-099</t>
        </is>
      </c>
      <c r="B103" s="38" t="n"/>
      <c r="C103" s="38" t="n"/>
      <c r="D103" s="38" t="n"/>
      <c r="E103" s="38" t="n"/>
      <c r="F103" s="56" t="n"/>
      <c r="G103" s="57" t="n"/>
      <c r="H103" s="58" t="n"/>
      <c r="I103" s="38" t="n"/>
      <c r="J103" s="38" t="n"/>
      <c r="K103" s="38" t="n"/>
      <c r="L103" s="38" t="n"/>
      <c r="M103" s="53">
        <f>IF(B103="","",COUNTIFS('JOBS'!$E$5:$E$1504,B103,'JOBS'!$O$5:$O$1504,"Completed"))</f>
        <v/>
      </c>
      <c r="N103" s="52">
        <f>IF(B103="","",IF(_xlfn.MAXIFS('JOBS'!$B$5:$B$1504,'JOBS'!$E$5:$E$1504,B103,'JOBS'!$O$5:$O$1504,"Completed")=0,"",_xlfn.MAXIFS('JOBS'!$B$5:$B$1504,'JOBS'!$E$5:$E$1504,B103,'JOBS'!$O$5:$O$1504,"Completed")))</f>
        <v/>
      </c>
      <c r="O103" s="54">
        <f>IF(B103="","",IFERROR(AVERAGEIFS('JOBS'!$L$5:$L$1504,'JOBS'!$E$5:$E$1504,B103,'JOBS'!$O$5:$O$1504,"Completed"),""))</f>
        <v/>
      </c>
    </row>
    <row r="104">
      <c r="A104" s="46" t="inlineStr">
        <is>
          <t>P-100</t>
        </is>
      </c>
      <c r="B104" s="38" t="n"/>
      <c r="C104" s="38" t="n"/>
      <c r="D104" s="38" t="n"/>
      <c r="E104" s="38" t="n"/>
      <c r="F104" s="56" t="n"/>
      <c r="G104" s="57" t="n"/>
      <c r="H104" s="58" t="n"/>
      <c r="I104" s="38" t="n"/>
      <c r="J104" s="38" t="n"/>
      <c r="K104" s="38" t="n"/>
      <c r="L104" s="38" t="n"/>
      <c r="M104" s="53">
        <f>IF(B104="","",COUNTIFS('JOBS'!$E$5:$E$1504,B104,'JOBS'!$O$5:$O$1504,"Completed"))</f>
        <v/>
      </c>
      <c r="N104" s="52">
        <f>IF(B104="","",IF(_xlfn.MAXIFS('JOBS'!$B$5:$B$1504,'JOBS'!$E$5:$E$1504,B104,'JOBS'!$O$5:$O$1504,"Completed")=0,"",_xlfn.MAXIFS('JOBS'!$B$5:$B$1504,'JOBS'!$E$5:$E$1504,B104,'JOBS'!$O$5:$O$1504,"Completed")))</f>
        <v/>
      </c>
      <c r="O104" s="54">
        <f>IF(B104="","",IFERROR(AVERAGEIFS('JOBS'!$L$5:$L$1504,'JOBS'!$E$5:$E$1504,B104,'JOBS'!$O$5:$O$1504,"Completed"),""))</f>
        <v/>
      </c>
    </row>
    <row r="105">
      <c r="A105" s="46" t="inlineStr">
        <is>
          <t>P-101</t>
        </is>
      </c>
      <c r="B105" s="38" t="n"/>
      <c r="C105" s="38" t="n"/>
      <c r="D105" s="38" t="n"/>
      <c r="E105" s="38" t="n"/>
      <c r="F105" s="56" t="n"/>
      <c r="G105" s="57" t="n"/>
      <c r="H105" s="58" t="n"/>
      <c r="I105" s="38" t="n"/>
      <c r="J105" s="38" t="n"/>
      <c r="K105" s="38" t="n"/>
      <c r="L105" s="38" t="n"/>
      <c r="M105" s="53">
        <f>IF(B105="","",COUNTIFS('JOBS'!$E$5:$E$1504,B105,'JOBS'!$O$5:$O$1504,"Completed"))</f>
        <v/>
      </c>
      <c r="N105" s="52">
        <f>IF(B105="","",IF(_xlfn.MAXIFS('JOBS'!$B$5:$B$1504,'JOBS'!$E$5:$E$1504,B105,'JOBS'!$O$5:$O$1504,"Completed")=0,"",_xlfn.MAXIFS('JOBS'!$B$5:$B$1504,'JOBS'!$E$5:$E$1504,B105,'JOBS'!$O$5:$O$1504,"Completed")))</f>
        <v/>
      </c>
      <c r="O105" s="54">
        <f>IF(B105="","",IFERROR(AVERAGEIFS('JOBS'!$L$5:$L$1504,'JOBS'!$E$5:$E$1504,B105,'JOBS'!$O$5:$O$1504,"Completed"),""))</f>
        <v/>
      </c>
    </row>
    <row r="106">
      <c r="A106" s="46" t="inlineStr">
        <is>
          <t>P-102</t>
        </is>
      </c>
      <c r="B106" s="38" t="n"/>
      <c r="C106" s="38" t="n"/>
      <c r="D106" s="38" t="n"/>
      <c r="E106" s="38" t="n"/>
      <c r="F106" s="56" t="n"/>
      <c r="G106" s="57" t="n"/>
      <c r="H106" s="58" t="n"/>
      <c r="I106" s="38" t="n"/>
      <c r="J106" s="38" t="n"/>
      <c r="K106" s="38" t="n"/>
      <c r="L106" s="38" t="n"/>
      <c r="M106" s="53">
        <f>IF(B106="","",COUNTIFS('JOBS'!$E$5:$E$1504,B106,'JOBS'!$O$5:$O$1504,"Completed"))</f>
        <v/>
      </c>
      <c r="N106" s="52">
        <f>IF(B106="","",IF(_xlfn.MAXIFS('JOBS'!$B$5:$B$1504,'JOBS'!$E$5:$E$1504,B106,'JOBS'!$O$5:$O$1504,"Completed")=0,"",_xlfn.MAXIFS('JOBS'!$B$5:$B$1504,'JOBS'!$E$5:$E$1504,B106,'JOBS'!$O$5:$O$1504,"Completed")))</f>
        <v/>
      </c>
      <c r="O106" s="54">
        <f>IF(B106="","",IFERROR(AVERAGEIFS('JOBS'!$L$5:$L$1504,'JOBS'!$E$5:$E$1504,B106,'JOBS'!$O$5:$O$1504,"Completed"),""))</f>
        <v/>
      </c>
    </row>
    <row r="107">
      <c r="A107" s="46" t="inlineStr">
        <is>
          <t>P-103</t>
        </is>
      </c>
      <c r="B107" s="38" t="n"/>
      <c r="C107" s="38" t="n"/>
      <c r="D107" s="38" t="n"/>
      <c r="E107" s="38" t="n"/>
      <c r="F107" s="56" t="n"/>
      <c r="G107" s="57" t="n"/>
      <c r="H107" s="58" t="n"/>
      <c r="I107" s="38" t="n"/>
      <c r="J107" s="38" t="n"/>
      <c r="K107" s="38" t="n"/>
      <c r="L107" s="38" t="n"/>
      <c r="M107" s="53">
        <f>IF(B107="","",COUNTIFS('JOBS'!$E$5:$E$1504,B107,'JOBS'!$O$5:$O$1504,"Completed"))</f>
        <v/>
      </c>
      <c r="N107" s="52">
        <f>IF(B107="","",IF(_xlfn.MAXIFS('JOBS'!$B$5:$B$1504,'JOBS'!$E$5:$E$1504,B107,'JOBS'!$O$5:$O$1504,"Completed")=0,"",_xlfn.MAXIFS('JOBS'!$B$5:$B$1504,'JOBS'!$E$5:$E$1504,B107,'JOBS'!$O$5:$O$1504,"Completed")))</f>
        <v/>
      </c>
      <c r="O107" s="54">
        <f>IF(B107="","",IFERROR(AVERAGEIFS('JOBS'!$L$5:$L$1504,'JOBS'!$E$5:$E$1504,B107,'JOBS'!$O$5:$O$1504,"Completed"),""))</f>
        <v/>
      </c>
    </row>
    <row r="108">
      <c r="A108" s="46" t="inlineStr">
        <is>
          <t>P-104</t>
        </is>
      </c>
      <c r="B108" s="38" t="n"/>
      <c r="C108" s="38" t="n"/>
      <c r="D108" s="38" t="n"/>
      <c r="E108" s="38" t="n"/>
      <c r="F108" s="56" t="n"/>
      <c r="G108" s="57" t="n"/>
      <c r="H108" s="58" t="n"/>
      <c r="I108" s="38" t="n"/>
      <c r="J108" s="38" t="n"/>
      <c r="K108" s="38" t="n"/>
      <c r="L108" s="38" t="n"/>
      <c r="M108" s="53">
        <f>IF(B108="","",COUNTIFS('JOBS'!$E$5:$E$1504,B108,'JOBS'!$O$5:$O$1504,"Completed"))</f>
        <v/>
      </c>
      <c r="N108" s="52">
        <f>IF(B108="","",IF(_xlfn.MAXIFS('JOBS'!$B$5:$B$1504,'JOBS'!$E$5:$E$1504,B108,'JOBS'!$O$5:$O$1504,"Completed")=0,"",_xlfn.MAXIFS('JOBS'!$B$5:$B$1504,'JOBS'!$E$5:$E$1504,B108,'JOBS'!$O$5:$O$1504,"Completed")))</f>
        <v/>
      </c>
      <c r="O108" s="54">
        <f>IF(B108="","",IFERROR(AVERAGEIFS('JOBS'!$L$5:$L$1504,'JOBS'!$E$5:$E$1504,B108,'JOBS'!$O$5:$O$1504,"Completed"),""))</f>
        <v/>
      </c>
    </row>
    <row r="109">
      <c r="A109" s="46" t="inlineStr">
        <is>
          <t>P-105</t>
        </is>
      </c>
      <c r="B109" s="38" t="n"/>
      <c r="C109" s="38" t="n"/>
      <c r="D109" s="38" t="n"/>
      <c r="E109" s="38" t="n"/>
      <c r="F109" s="56" t="n"/>
      <c r="G109" s="57" t="n"/>
      <c r="H109" s="58" t="n"/>
      <c r="I109" s="38" t="n"/>
      <c r="J109" s="38" t="n"/>
      <c r="K109" s="38" t="n"/>
      <c r="L109" s="38" t="n"/>
      <c r="M109" s="53">
        <f>IF(B109="","",COUNTIFS('JOBS'!$E$5:$E$1504,B109,'JOBS'!$O$5:$O$1504,"Completed"))</f>
        <v/>
      </c>
      <c r="N109" s="52">
        <f>IF(B109="","",IF(_xlfn.MAXIFS('JOBS'!$B$5:$B$1504,'JOBS'!$E$5:$E$1504,B109,'JOBS'!$O$5:$O$1504,"Completed")=0,"",_xlfn.MAXIFS('JOBS'!$B$5:$B$1504,'JOBS'!$E$5:$E$1504,B109,'JOBS'!$O$5:$O$1504,"Completed")))</f>
        <v/>
      </c>
      <c r="O109" s="54">
        <f>IF(B109="","",IFERROR(AVERAGEIFS('JOBS'!$L$5:$L$1504,'JOBS'!$E$5:$E$1504,B109,'JOBS'!$O$5:$O$1504,"Completed"),""))</f>
        <v/>
      </c>
    </row>
    <row r="110">
      <c r="A110" s="46" t="inlineStr">
        <is>
          <t>P-106</t>
        </is>
      </c>
      <c r="B110" s="38" t="n"/>
      <c r="C110" s="38" t="n"/>
      <c r="D110" s="38" t="n"/>
      <c r="E110" s="38" t="n"/>
      <c r="F110" s="56" t="n"/>
      <c r="G110" s="57" t="n"/>
      <c r="H110" s="58" t="n"/>
      <c r="I110" s="38" t="n"/>
      <c r="J110" s="38" t="n"/>
      <c r="K110" s="38" t="n"/>
      <c r="L110" s="38" t="n"/>
      <c r="M110" s="53">
        <f>IF(B110="","",COUNTIFS('JOBS'!$E$5:$E$1504,B110,'JOBS'!$O$5:$O$1504,"Completed"))</f>
        <v/>
      </c>
      <c r="N110" s="52">
        <f>IF(B110="","",IF(_xlfn.MAXIFS('JOBS'!$B$5:$B$1504,'JOBS'!$E$5:$E$1504,B110,'JOBS'!$O$5:$O$1504,"Completed")=0,"",_xlfn.MAXIFS('JOBS'!$B$5:$B$1504,'JOBS'!$E$5:$E$1504,B110,'JOBS'!$O$5:$O$1504,"Completed")))</f>
        <v/>
      </c>
      <c r="O110" s="54">
        <f>IF(B110="","",IFERROR(AVERAGEIFS('JOBS'!$L$5:$L$1504,'JOBS'!$E$5:$E$1504,B110,'JOBS'!$O$5:$O$1504,"Completed"),""))</f>
        <v/>
      </c>
    </row>
    <row r="111">
      <c r="A111" s="46" t="inlineStr">
        <is>
          <t>P-107</t>
        </is>
      </c>
      <c r="B111" s="38" t="n"/>
      <c r="C111" s="38" t="n"/>
      <c r="D111" s="38" t="n"/>
      <c r="E111" s="38" t="n"/>
      <c r="F111" s="56" t="n"/>
      <c r="G111" s="57" t="n"/>
      <c r="H111" s="58" t="n"/>
      <c r="I111" s="38" t="n"/>
      <c r="J111" s="38" t="n"/>
      <c r="K111" s="38" t="n"/>
      <c r="L111" s="38" t="n"/>
      <c r="M111" s="53">
        <f>IF(B111="","",COUNTIFS('JOBS'!$E$5:$E$1504,B111,'JOBS'!$O$5:$O$1504,"Completed"))</f>
        <v/>
      </c>
      <c r="N111" s="52">
        <f>IF(B111="","",IF(_xlfn.MAXIFS('JOBS'!$B$5:$B$1504,'JOBS'!$E$5:$E$1504,B111,'JOBS'!$O$5:$O$1504,"Completed")=0,"",_xlfn.MAXIFS('JOBS'!$B$5:$B$1504,'JOBS'!$E$5:$E$1504,B111,'JOBS'!$O$5:$O$1504,"Completed")))</f>
        <v/>
      </c>
      <c r="O111" s="54">
        <f>IF(B111="","",IFERROR(AVERAGEIFS('JOBS'!$L$5:$L$1504,'JOBS'!$E$5:$E$1504,B111,'JOBS'!$O$5:$O$1504,"Completed"),""))</f>
        <v/>
      </c>
    </row>
    <row r="112">
      <c r="A112" s="46" t="inlineStr">
        <is>
          <t>P-108</t>
        </is>
      </c>
      <c r="B112" s="38" t="n"/>
      <c r="C112" s="38" t="n"/>
      <c r="D112" s="38" t="n"/>
      <c r="E112" s="38" t="n"/>
      <c r="F112" s="56" t="n"/>
      <c r="G112" s="57" t="n"/>
      <c r="H112" s="58" t="n"/>
      <c r="I112" s="38" t="n"/>
      <c r="J112" s="38" t="n"/>
      <c r="K112" s="38" t="n"/>
      <c r="L112" s="38" t="n"/>
      <c r="M112" s="53">
        <f>IF(B112="","",COUNTIFS('JOBS'!$E$5:$E$1504,B112,'JOBS'!$O$5:$O$1504,"Completed"))</f>
        <v/>
      </c>
      <c r="N112" s="52">
        <f>IF(B112="","",IF(_xlfn.MAXIFS('JOBS'!$B$5:$B$1504,'JOBS'!$E$5:$E$1504,B112,'JOBS'!$O$5:$O$1504,"Completed")=0,"",_xlfn.MAXIFS('JOBS'!$B$5:$B$1504,'JOBS'!$E$5:$E$1504,B112,'JOBS'!$O$5:$O$1504,"Completed")))</f>
        <v/>
      </c>
      <c r="O112" s="54">
        <f>IF(B112="","",IFERROR(AVERAGEIFS('JOBS'!$L$5:$L$1504,'JOBS'!$E$5:$E$1504,B112,'JOBS'!$O$5:$O$1504,"Completed"),""))</f>
        <v/>
      </c>
    </row>
    <row r="113">
      <c r="A113" s="46" t="inlineStr">
        <is>
          <t>P-109</t>
        </is>
      </c>
      <c r="B113" s="38" t="n"/>
      <c r="C113" s="38" t="n"/>
      <c r="D113" s="38" t="n"/>
      <c r="E113" s="38" t="n"/>
      <c r="F113" s="56" t="n"/>
      <c r="G113" s="57" t="n"/>
      <c r="H113" s="58" t="n"/>
      <c r="I113" s="38" t="n"/>
      <c r="J113" s="38" t="n"/>
      <c r="K113" s="38" t="n"/>
      <c r="L113" s="38" t="n"/>
      <c r="M113" s="53">
        <f>IF(B113="","",COUNTIFS('JOBS'!$E$5:$E$1504,B113,'JOBS'!$O$5:$O$1504,"Completed"))</f>
        <v/>
      </c>
      <c r="N113" s="52">
        <f>IF(B113="","",IF(_xlfn.MAXIFS('JOBS'!$B$5:$B$1504,'JOBS'!$E$5:$E$1504,B113,'JOBS'!$O$5:$O$1504,"Completed")=0,"",_xlfn.MAXIFS('JOBS'!$B$5:$B$1504,'JOBS'!$E$5:$E$1504,B113,'JOBS'!$O$5:$O$1504,"Completed")))</f>
        <v/>
      </c>
      <c r="O113" s="54">
        <f>IF(B113="","",IFERROR(AVERAGEIFS('JOBS'!$L$5:$L$1504,'JOBS'!$E$5:$E$1504,B113,'JOBS'!$O$5:$O$1504,"Completed"),""))</f>
        <v/>
      </c>
    </row>
    <row r="114">
      <c r="A114" s="46" t="inlineStr">
        <is>
          <t>P-110</t>
        </is>
      </c>
      <c r="B114" s="38" t="n"/>
      <c r="C114" s="38" t="n"/>
      <c r="D114" s="38" t="n"/>
      <c r="E114" s="38" t="n"/>
      <c r="F114" s="56" t="n"/>
      <c r="G114" s="57" t="n"/>
      <c r="H114" s="58" t="n"/>
      <c r="I114" s="38" t="n"/>
      <c r="J114" s="38" t="n"/>
      <c r="K114" s="38" t="n"/>
      <c r="L114" s="38" t="n"/>
      <c r="M114" s="53">
        <f>IF(B114="","",COUNTIFS('JOBS'!$E$5:$E$1504,B114,'JOBS'!$O$5:$O$1504,"Completed"))</f>
        <v/>
      </c>
      <c r="N114" s="52">
        <f>IF(B114="","",IF(_xlfn.MAXIFS('JOBS'!$B$5:$B$1504,'JOBS'!$E$5:$E$1504,B114,'JOBS'!$O$5:$O$1504,"Completed")=0,"",_xlfn.MAXIFS('JOBS'!$B$5:$B$1504,'JOBS'!$E$5:$E$1504,B114,'JOBS'!$O$5:$O$1504,"Completed")))</f>
        <v/>
      </c>
      <c r="O114" s="54">
        <f>IF(B114="","",IFERROR(AVERAGEIFS('JOBS'!$L$5:$L$1504,'JOBS'!$E$5:$E$1504,B114,'JOBS'!$O$5:$O$1504,"Completed"),""))</f>
        <v/>
      </c>
    </row>
    <row r="115">
      <c r="A115" s="46" t="inlineStr">
        <is>
          <t>P-111</t>
        </is>
      </c>
      <c r="B115" s="38" t="n"/>
      <c r="C115" s="38" t="n"/>
      <c r="D115" s="38" t="n"/>
      <c r="E115" s="38" t="n"/>
      <c r="F115" s="56" t="n"/>
      <c r="G115" s="57" t="n"/>
      <c r="H115" s="58" t="n"/>
      <c r="I115" s="38" t="n"/>
      <c r="J115" s="38" t="n"/>
      <c r="K115" s="38" t="n"/>
      <c r="L115" s="38" t="n"/>
      <c r="M115" s="53">
        <f>IF(B115="","",COUNTIFS('JOBS'!$E$5:$E$1504,B115,'JOBS'!$O$5:$O$1504,"Completed"))</f>
        <v/>
      </c>
      <c r="N115" s="52">
        <f>IF(B115="","",IF(_xlfn.MAXIFS('JOBS'!$B$5:$B$1504,'JOBS'!$E$5:$E$1504,B115,'JOBS'!$O$5:$O$1504,"Completed")=0,"",_xlfn.MAXIFS('JOBS'!$B$5:$B$1504,'JOBS'!$E$5:$E$1504,B115,'JOBS'!$O$5:$O$1504,"Completed")))</f>
        <v/>
      </c>
      <c r="O115" s="54">
        <f>IF(B115="","",IFERROR(AVERAGEIFS('JOBS'!$L$5:$L$1504,'JOBS'!$E$5:$E$1504,B115,'JOBS'!$O$5:$O$1504,"Completed"),""))</f>
        <v/>
      </c>
    </row>
    <row r="116">
      <c r="A116" s="46" t="inlineStr">
        <is>
          <t>P-112</t>
        </is>
      </c>
      <c r="B116" s="38" t="n"/>
      <c r="C116" s="38" t="n"/>
      <c r="D116" s="38" t="n"/>
      <c r="E116" s="38" t="n"/>
      <c r="F116" s="56" t="n"/>
      <c r="G116" s="57" t="n"/>
      <c r="H116" s="58" t="n"/>
      <c r="I116" s="38" t="n"/>
      <c r="J116" s="38" t="n"/>
      <c r="K116" s="38" t="n"/>
      <c r="L116" s="38" t="n"/>
      <c r="M116" s="53">
        <f>IF(B116="","",COUNTIFS('JOBS'!$E$5:$E$1504,B116,'JOBS'!$O$5:$O$1504,"Completed"))</f>
        <v/>
      </c>
      <c r="N116" s="52">
        <f>IF(B116="","",IF(_xlfn.MAXIFS('JOBS'!$B$5:$B$1504,'JOBS'!$E$5:$E$1504,B116,'JOBS'!$O$5:$O$1504,"Completed")=0,"",_xlfn.MAXIFS('JOBS'!$B$5:$B$1504,'JOBS'!$E$5:$E$1504,B116,'JOBS'!$O$5:$O$1504,"Completed")))</f>
        <v/>
      </c>
      <c r="O116" s="54">
        <f>IF(B116="","",IFERROR(AVERAGEIFS('JOBS'!$L$5:$L$1504,'JOBS'!$E$5:$E$1504,B116,'JOBS'!$O$5:$O$1504,"Completed"),""))</f>
        <v/>
      </c>
    </row>
    <row r="117">
      <c r="A117" s="46" t="inlineStr">
        <is>
          <t>P-113</t>
        </is>
      </c>
      <c r="B117" s="38" t="n"/>
      <c r="C117" s="38" t="n"/>
      <c r="D117" s="38" t="n"/>
      <c r="E117" s="38" t="n"/>
      <c r="F117" s="56" t="n"/>
      <c r="G117" s="57" t="n"/>
      <c r="H117" s="58" t="n"/>
      <c r="I117" s="38" t="n"/>
      <c r="J117" s="38" t="n"/>
      <c r="K117" s="38" t="n"/>
      <c r="L117" s="38" t="n"/>
      <c r="M117" s="53">
        <f>IF(B117="","",COUNTIFS('JOBS'!$E$5:$E$1504,B117,'JOBS'!$O$5:$O$1504,"Completed"))</f>
        <v/>
      </c>
      <c r="N117" s="52">
        <f>IF(B117="","",IF(_xlfn.MAXIFS('JOBS'!$B$5:$B$1504,'JOBS'!$E$5:$E$1504,B117,'JOBS'!$O$5:$O$1504,"Completed")=0,"",_xlfn.MAXIFS('JOBS'!$B$5:$B$1504,'JOBS'!$E$5:$E$1504,B117,'JOBS'!$O$5:$O$1504,"Completed")))</f>
        <v/>
      </c>
      <c r="O117" s="54">
        <f>IF(B117="","",IFERROR(AVERAGEIFS('JOBS'!$L$5:$L$1504,'JOBS'!$E$5:$E$1504,B117,'JOBS'!$O$5:$O$1504,"Completed"),""))</f>
        <v/>
      </c>
    </row>
    <row r="118">
      <c r="A118" s="46" t="inlineStr">
        <is>
          <t>P-114</t>
        </is>
      </c>
      <c r="B118" s="38" t="n"/>
      <c r="C118" s="38" t="n"/>
      <c r="D118" s="38" t="n"/>
      <c r="E118" s="38" t="n"/>
      <c r="F118" s="56" t="n"/>
      <c r="G118" s="57" t="n"/>
      <c r="H118" s="58" t="n"/>
      <c r="I118" s="38" t="n"/>
      <c r="J118" s="38" t="n"/>
      <c r="K118" s="38" t="n"/>
      <c r="L118" s="38" t="n"/>
      <c r="M118" s="53">
        <f>IF(B118="","",COUNTIFS('JOBS'!$E$5:$E$1504,B118,'JOBS'!$O$5:$O$1504,"Completed"))</f>
        <v/>
      </c>
      <c r="N118" s="52">
        <f>IF(B118="","",IF(_xlfn.MAXIFS('JOBS'!$B$5:$B$1504,'JOBS'!$E$5:$E$1504,B118,'JOBS'!$O$5:$O$1504,"Completed")=0,"",_xlfn.MAXIFS('JOBS'!$B$5:$B$1504,'JOBS'!$E$5:$E$1504,B118,'JOBS'!$O$5:$O$1504,"Completed")))</f>
        <v/>
      </c>
      <c r="O118" s="54">
        <f>IF(B118="","",IFERROR(AVERAGEIFS('JOBS'!$L$5:$L$1504,'JOBS'!$E$5:$E$1504,B118,'JOBS'!$O$5:$O$1504,"Completed"),""))</f>
        <v/>
      </c>
    </row>
    <row r="119">
      <c r="A119" s="46" t="inlineStr">
        <is>
          <t>P-115</t>
        </is>
      </c>
      <c r="B119" s="38" t="n"/>
      <c r="C119" s="38" t="n"/>
      <c r="D119" s="38" t="n"/>
      <c r="E119" s="38" t="n"/>
      <c r="F119" s="56" t="n"/>
      <c r="G119" s="57" t="n"/>
      <c r="H119" s="58" t="n"/>
      <c r="I119" s="38" t="n"/>
      <c r="J119" s="38" t="n"/>
      <c r="K119" s="38" t="n"/>
      <c r="L119" s="38" t="n"/>
      <c r="M119" s="53">
        <f>IF(B119="","",COUNTIFS('JOBS'!$E$5:$E$1504,B119,'JOBS'!$O$5:$O$1504,"Completed"))</f>
        <v/>
      </c>
      <c r="N119" s="52">
        <f>IF(B119="","",IF(_xlfn.MAXIFS('JOBS'!$B$5:$B$1504,'JOBS'!$E$5:$E$1504,B119,'JOBS'!$O$5:$O$1504,"Completed")=0,"",_xlfn.MAXIFS('JOBS'!$B$5:$B$1504,'JOBS'!$E$5:$E$1504,B119,'JOBS'!$O$5:$O$1504,"Completed")))</f>
        <v/>
      </c>
      <c r="O119" s="54">
        <f>IF(B119="","",IFERROR(AVERAGEIFS('JOBS'!$L$5:$L$1504,'JOBS'!$E$5:$E$1504,B119,'JOBS'!$O$5:$O$1504,"Completed"),""))</f>
        <v/>
      </c>
    </row>
    <row r="120">
      <c r="A120" s="46" t="inlineStr">
        <is>
          <t>P-116</t>
        </is>
      </c>
      <c r="B120" s="38" t="n"/>
      <c r="C120" s="38" t="n"/>
      <c r="D120" s="38" t="n"/>
      <c r="E120" s="38" t="n"/>
      <c r="F120" s="56" t="n"/>
      <c r="G120" s="57" t="n"/>
      <c r="H120" s="58" t="n"/>
      <c r="I120" s="38" t="n"/>
      <c r="J120" s="38" t="n"/>
      <c r="K120" s="38" t="n"/>
      <c r="L120" s="38" t="n"/>
      <c r="M120" s="53">
        <f>IF(B120="","",COUNTIFS('JOBS'!$E$5:$E$1504,B120,'JOBS'!$O$5:$O$1504,"Completed"))</f>
        <v/>
      </c>
      <c r="N120" s="52">
        <f>IF(B120="","",IF(_xlfn.MAXIFS('JOBS'!$B$5:$B$1504,'JOBS'!$E$5:$E$1504,B120,'JOBS'!$O$5:$O$1504,"Completed")=0,"",_xlfn.MAXIFS('JOBS'!$B$5:$B$1504,'JOBS'!$E$5:$E$1504,B120,'JOBS'!$O$5:$O$1504,"Completed")))</f>
        <v/>
      </c>
      <c r="O120" s="54">
        <f>IF(B120="","",IFERROR(AVERAGEIFS('JOBS'!$L$5:$L$1504,'JOBS'!$E$5:$E$1504,B120,'JOBS'!$O$5:$O$1504,"Completed"),""))</f>
        <v/>
      </c>
    </row>
    <row r="121">
      <c r="A121" s="46" t="inlineStr">
        <is>
          <t>P-117</t>
        </is>
      </c>
      <c r="B121" s="38" t="n"/>
      <c r="C121" s="38" t="n"/>
      <c r="D121" s="38" t="n"/>
      <c r="E121" s="38" t="n"/>
      <c r="F121" s="56" t="n"/>
      <c r="G121" s="57" t="n"/>
      <c r="H121" s="58" t="n"/>
      <c r="I121" s="38" t="n"/>
      <c r="J121" s="38" t="n"/>
      <c r="K121" s="38" t="n"/>
      <c r="L121" s="38" t="n"/>
      <c r="M121" s="53">
        <f>IF(B121="","",COUNTIFS('JOBS'!$E$5:$E$1504,B121,'JOBS'!$O$5:$O$1504,"Completed"))</f>
        <v/>
      </c>
      <c r="N121" s="52">
        <f>IF(B121="","",IF(_xlfn.MAXIFS('JOBS'!$B$5:$B$1504,'JOBS'!$E$5:$E$1504,B121,'JOBS'!$O$5:$O$1504,"Completed")=0,"",_xlfn.MAXIFS('JOBS'!$B$5:$B$1504,'JOBS'!$E$5:$E$1504,B121,'JOBS'!$O$5:$O$1504,"Completed")))</f>
        <v/>
      </c>
      <c r="O121" s="54">
        <f>IF(B121="","",IFERROR(AVERAGEIFS('JOBS'!$L$5:$L$1504,'JOBS'!$E$5:$E$1504,B121,'JOBS'!$O$5:$O$1504,"Completed"),""))</f>
        <v/>
      </c>
    </row>
    <row r="122">
      <c r="A122" s="46" t="inlineStr">
        <is>
          <t>P-118</t>
        </is>
      </c>
      <c r="B122" s="38" t="n"/>
      <c r="C122" s="38" t="n"/>
      <c r="D122" s="38" t="n"/>
      <c r="E122" s="38" t="n"/>
      <c r="F122" s="56" t="n"/>
      <c r="G122" s="57" t="n"/>
      <c r="H122" s="58" t="n"/>
      <c r="I122" s="38" t="n"/>
      <c r="J122" s="38" t="n"/>
      <c r="K122" s="38" t="n"/>
      <c r="L122" s="38" t="n"/>
      <c r="M122" s="53">
        <f>IF(B122="","",COUNTIFS('JOBS'!$E$5:$E$1504,B122,'JOBS'!$O$5:$O$1504,"Completed"))</f>
        <v/>
      </c>
      <c r="N122" s="52">
        <f>IF(B122="","",IF(_xlfn.MAXIFS('JOBS'!$B$5:$B$1504,'JOBS'!$E$5:$E$1504,B122,'JOBS'!$O$5:$O$1504,"Completed")=0,"",_xlfn.MAXIFS('JOBS'!$B$5:$B$1504,'JOBS'!$E$5:$E$1504,B122,'JOBS'!$O$5:$O$1504,"Completed")))</f>
        <v/>
      </c>
      <c r="O122" s="54">
        <f>IF(B122="","",IFERROR(AVERAGEIFS('JOBS'!$L$5:$L$1504,'JOBS'!$E$5:$E$1504,B122,'JOBS'!$O$5:$O$1504,"Completed"),""))</f>
        <v/>
      </c>
    </row>
    <row r="123">
      <c r="A123" s="46" t="inlineStr">
        <is>
          <t>P-119</t>
        </is>
      </c>
      <c r="B123" s="38" t="n"/>
      <c r="C123" s="38" t="n"/>
      <c r="D123" s="38" t="n"/>
      <c r="E123" s="38" t="n"/>
      <c r="F123" s="56" t="n"/>
      <c r="G123" s="57" t="n"/>
      <c r="H123" s="58" t="n"/>
      <c r="I123" s="38" t="n"/>
      <c r="J123" s="38" t="n"/>
      <c r="K123" s="38" t="n"/>
      <c r="L123" s="38" t="n"/>
      <c r="M123" s="53">
        <f>IF(B123="","",COUNTIFS('JOBS'!$E$5:$E$1504,B123,'JOBS'!$O$5:$O$1504,"Completed"))</f>
        <v/>
      </c>
      <c r="N123" s="52">
        <f>IF(B123="","",IF(_xlfn.MAXIFS('JOBS'!$B$5:$B$1504,'JOBS'!$E$5:$E$1504,B123,'JOBS'!$O$5:$O$1504,"Completed")=0,"",_xlfn.MAXIFS('JOBS'!$B$5:$B$1504,'JOBS'!$E$5:$E$1504,B123,'JOBS'!$O$5:$O$1504,"Completed")))</f>
        <v/>
      </c>
      <c r="O123" s="54">
        <f>IF(B123="","",IFERROR(AVERAGEIFS('JOBS'!$L$5:$L$1504,'JOBS'!$E$5:$E$1504,B123,'JOBS'!$O$5:$O$1504,"Completed"),""))</f>
        <v/>
      </c>
    </row>
    <row r="124">
      <c r="A124" s="46" t="inlineStr">
        <is>
          <t>P-120</t>
        </is>
      </c>
      <c r="B124" s="38" t="n"/>
      <c r="C124" s="38" t="n"/>
      <c r="D124" s="38" t="n"/>
      <c r="E124" s="38" t="n"/>
      <c r="F124" s="56" t="n"/>
      <c r="G124" s="57" t="n"/>
      <c r="H124" s="58" t="n"/>
      <c r="I124" s="38" t="n"/>
      <c r="J124" s="38" t="n"/>
      <c r="K124" s="38" t="n"/>
      <c r="L124" s="38" t="n"/>
      <c r="M124" s="53">
        <f>IF(B124="","",COUNTIFS('JOBS'!$E$5:$E$1504,B124,'JOBS'!$O$5:$O$1504,"Completed"))</f>
        <v/>
      </c>
      <c r="N124" s="52">
        <f>IF(B124="","",IF(_xlfn.MAXIFS('JOBS'!$B$5:$B$1504,'JOBS'!$E$5:$E$1504,B124,'JOBS'!$O$5:$O$1504,"Completed")=0,"",_xlfn.MAXIFS('JOBS'!$B$5:$B$1504,'JOBS'!$E$5:$E$1504,B124,'JOBS'!$O$5:$O$1504,"Completed")))</f>
        <v/>
      </c>
      <c r="O124" s="54">
        <f>IF(B124="","",IFERROR(AVERAGEIFS('JOBS'!$L$5:$L$1504,'JOBS'!$E$5:$E$1504,B124,'JOBS'!$O$5:$O$1504,"Completed"),""))</f>
        <v/>
      </c>
    </row>
    <row r="125">
      <c r="A125" s="46" t="inlineStr">
        <is>
          <t>P-121</t>
        </is>
      </c>
      <c r="B125" s="38" t="n"/>
      <c r="C125" s="38" t="n"/>
      <c r="D125" s="38" t="n"/>
      <c r="E125" s="38" t="n"/>
      <c r="F125" s="56" t="n"/>
      <c r="G125" s="57" t="n"/>
      <c r="H125" s="58" t="n"/>
      <c r="I125" s="38" t="n"/>
      <c r="J125" s="38" t="n"/>
      <c r="K125" s="38" t="n"/>
      <c r="L125" s="38" t="n"/>
      <c r="M125" s="53">
        <f>IF(B125="","",COUNTIFS('JOBS'!$E$5:$E$1504,B125,'JOBS'!$O$5:$O$1504,"Completed"))</f>
        <v/>
      </c>
      <c r="N125" s="52">
        <f>IF(B125="","",IF(_xlfn.MAXIFS('JOBS'!$B$5:$B$1504,'JOBS'!$E$5:$E$1504,B125,'JOBS'!$O$5:$O$1504,"Completed")=0,"",_xlfn.MAXIFS('JOBS'!$B$5:$B$1504,'JOBS'!$E$5:$E$1504,B125,'JOBS'!$O$5:$O$1504,"Completed")))</f>
        <v/>
      </c>
      <c r="O125" s="54">
        <f>IF(B125="","",IFERROR(AVERAGEIFS('JOBS'!$L$5:$L$1504,'JOBS'!$E$5:$E$1504,B125,'JOBS'!$O$5:$O$1504,"Completed"),""))</f>
        <v/>
      </c>
    </row>
    <row r="126">
      <c r="A126" s="46" t="inlineStr">
        <is>
          <t>P-122</t>
        </is>
      </c>
      <c r="B126" s="38" t="n"/>
      <c r="C126" s="38" t="n"/>
      <c r="D126" s="38" t="n"/>
      <c r="E126" s="38" t="n"/>
      <c r="F126" s="56" t="n"/>
      <c r="G126" s="57" t="n"/>
      <c r="H126" s="58" t="n"/>
      <c r="I126" s="38" t="n"/>
      <c r="J126" s="38" t="n"/>
      <c r="K126" s="38" t="n"/>
      <c r="L126" s="38" t="n"/>
      <c r="M126" s="53">
        <f>IF(B126="","",COUNTIFS('JOBS'!$E$5:$E$1504,B126,'JOBS'!$O$5:$O$1504,"Completed"))</f>
        <v/>
      </c>
      <c r="N126" s="52">
        <f>IF(B126="","",IF(_xlfn.MAXIFS('JOBS'!$B$5:$B$1504,'JOBS'!$E$5:$E$1504,B126,'JOBS'!$O$5:$O$1504,"Completed")=0,"",_xlfn.MAXIFS('JOBS'!$B$5:$B$1504,'JOBS'!$E$5:$E$1504,B126,'JOBS'!$O$5:$O$1504,"Completed")))</f>
        <v/>
      </c>
      <c r="O126" s="54">
        <f>IF(B126="","",IFERROR(AVERAGEIFS('JOBS'!$L$5:$L$1504,'JOBS'!$E$5:$E$1504,B126,'JOBS'!$O$5:$O$1504,"Completed"),""))</f>
        <v/>
      </c>
    </row>
    <row r="127">
      <c r="A127" s="46" t="inlineStr">
        <is>
          <t>P-123</t>
        </is>
      </c>
      <c r="B127" s="38" t="n"/>
      <c r="C127" s="38" t="n"/>
      <c r="D127" s="38" t="n"/>
      <c r="E127" s="38" t="n"/>
      <c r="F127" s="56" t="n"/>
      <c r="G127" s="57" t="n"/>
      <c r="H127" s="58" t="n"/>
      <c r="I127" s="38" t="n"/>
      <c r="J127" s="38" t="n"/>
      <c r="K127" s="38" t="n"/>
      <c r="L127" s="38" t="n"/>
      <c r="M127" s="53">
        <f>IF(B127="","",COUNTIFS('JOBS'!$E$5:$E$1504,B127,'JOBS'!$O$5:$O$1504,"Completed"))</f>
        <v/>
      </c>
      <c r="N127" s="52">
        <f>IF(B127="","",IF(_xlfn.MAXIFS('JOBS'!$B$5:$B$1504,'JOBS'!$E$5:$E$1504,B127,'JOBS'!$O$5:$O$1504,"Completed")=0,"",_xlfn.MAXIFS('JOBS'!$B$5:$B$1504,'JOBS'!$E$5:$E$1504,B127,'JOBS'!$O$5:$O$1504,"Completed")))</f>
        <v/>
      </c>
      <c r="O127" s="54">
        <f>IF(B127="","",IFERROR(AVERAGEIFS('JOBS'!$L$5:$L$1504,'JOBS'!$E$5:$E$1504,B127,'JOBS'!$O$5:$O$1504,"Completed"),""))</f>
        <v/>
      </c>
    </row>
    <row r="128">
      <c r="A128" s="46" t="inlineStr">
        <is>
          <t>P-124</t>
        </is>
      </c>
      <c r="B128" s="38" t="n"/>
      <c r="C128" s="38" t="n"/>
      <c r="D128" s="38" t="n"/>
      <c r="E128" s="38" t="n"/>
      <c r="F128" s="56" t="n"/>
      <c r="G128" s="57" t="n"/>
      <c r="H128" s="58" t="n"/>
      <c r="I128" s="38" t="n"/>
      <c r="J128" s="38" t="n"/>
      <c r="K128" s="38" t="n"/>
      <c r="L128" s="38" t="n"/>
      <c r="M128" s="53">
        <f>IF(B128="","",COUNTIFS('JOBS'!$E$5:$E$1504,B128,'JOBS'!$O$5:$O$1504,"Completed"))</f>
        <v/>
      </c>
      <c r="N128" s="52">
        <f>IF(B128="","",IF(_xlfn.MAXIFS('JOBS'!$B$5:$B$1504,'JOBS'!$E$5:$E$1504,B128,'JOBS'!$O$5:$O$1504,"Completed")=0,"",_xlfn.MAXIFS('JOBS'!$B$5:$B$1504,'JOBS'!$E$5:$E$1504,B128,'JOBS'!$O$5:$O$1504,"Completed")))</f>
        <v/>
      </c>
      <c r="O128" s="54">
        <f>IF(B128="","",IFERROR(AVERAGEIFS('JOBS'!$L$5:$L$1504,'JOBS'!$E$5:$E$1504,B128,'JOBS'!$O$5:$O$1504,"Completed"),""))</f>
        <v/>
      </c>
    </row>
    <row r="129">
      <c r="A129" s="46" t="inlineStr">
        <is>
          <t>P-125</t>
        </is>
      </c>
      <c r="B129" s="38" t="n"/>
      <c r="C129" s="38" t="n"/>
      <c r="D129" s="38" t="n"/>
      <c r="E129" s="38" t="n"/>
      <c r="F129" s="56" t="n"/>
      <c r="G129" s="57" t="n"/>
      <c r="H129" s="58" t="n"/>
      <c r="I129" s="38" t="n"/>
      <c r="J129" s="38" t="n"/>
      <c r="K129" s="38" t="n"/>
      <c r="L129" s="38" t="n"/>
      <c r="M129" s="53">
        <f>IF(B129="","",COUNTIFS('JOBS'!$E$5:$E$1504,B129,'JOBS'!$O$5:$O$1504,"Completed"))</f>
        <v/>
      </c>
      <c r="N129" s="52">
        <f>IF(B129="","",IF(_xlfn.MAXIFS('JOBS'!$B$5:$B$1504,'JOBS'!$E$5:$E$1504,B129,'JOBS'!$O$5:$O$1504,"Completed")=0,"",_xlfn.MAXIFS('JOBS'!$B$5:$B$1504,'JOBS'!$E$5:$E$1504,B129,'JOBS'!$O$5:$O$1504,"Completed")))</f>
        <v/>
      </c>
      <c r="O129" s="54">
        <f>IF(B129="","",IFERROR(AVERAGEIFS('JOBS'!$L$5:$L$1504,'JOBS'!$E$5:$E$1504,B129,'JOBS'!$O$5:$O$1504,"Completed"),""))</f>
        <v/>
      </c>
    </row>
    <row r="130">
      <c r="A130" s="46" t="inlineStr">
        <is>
          <t>P-126</t>
        </is>
      </c>
      <c r="B130" s="38" t="n"/>
      <c r="C130" s="38" t="n"/>
      <c r="D130" s="38" t="n"/>
      <c r="E130" s="38" t="n"/>
      <c r="F130" s="56" t="n"/>
      <c r="G130" s="57" t="n"/>
      <c r="H130" s="58" t="n"/>
      <c r="I130" s="38" t="n"/>
      <c r="J130" s="38" t="n"/>
      <c r="K130" s="38" t="n"/>
      <c r="L130" s="38" t="n"/>
      <c r="M130" s="53">
        <f>IF(B130="","",COUNTIFS('JOBS'!$E$5:$E$1504,B130,'JOBS'!$O$5:$O$1504,"Completed"))</f>
        <v/>
      </c>
      <c r="N130" s="52">
        <f>IF(B130="","",IF(_xlfn.MAXIFS('JOBS'!$B$5:$B$1504,'JOBS'!$E$5:$E$1504,B130,'JOBS'!$O$5:$O$1504,"Completed")=0,"",_xlfn.MAXIFS('JOBS'!$B$5:$B$1504,'JOBS'!$E$5:$E$1504,B130,'JOBS'!$O$5:$O$1504,"Completed")))</f>
        <v/>
      </c>
      <c r="O130" s="54">
        <f>IF(B130="","",IFERROR(AVERAGEIFS('JOBS'!$L$5:$L$1504,'JOBS'!$E$5:$E$1504,B130,'JOBS'!$O$5:$O$1504,"Completed"),""))</f>
        <v/>
      </c>
    </row>
    <row r="131">
      <c r="A131" s="46" t="inlineStr">
        <is>
          <t>P-127</t>
        </is>
      </c>
      <c r="B131" s="38" t="n"/>
      <c r="C131" s="38" t="n"/>
      <c r="D131" s="38" t="n"/>
      <c r="E131" s="38" t="n"/>
      <c r="F131" s="56" t="n"/>
      <c r="G131" s="57" t="n"/>
      <c r="H131" s="58" t="n"/>
      <c r="I131" s="38" t="n"/>
      <c r="J131" s="38" t="n"/>
      <c r="K131" s="38" t="n"/>
      <c r="L131" s="38" t="n"/>
      <c r="M131" s="53">
        <f>IF(B131="","",COUNTIFS('JOBS'!$E$5:$E$1504,B131,'JOBS'!$O$5:$O$1504,"Completed"))</f>
        <v/>
      </c>
      <c r="N131" s="52">
        <f>IF(B131="","",IF(_xlfn.MAXIFS('JOBS'!$B$5:$B$1504,'JOBS'!$E$5:$E$1504,B131,'JOBS'!$O$5:$O$1504,"Completed")=0,"",_xlfn.MAXIFS('JOBS'!$B$5:$B$1504,'JOBS'!$E$5:$E$1504,B131,'JOBS'!$O$5:$O$1504,"Completed")))</f>
        <v/>
      </c>
      <c r="O131" s="54">
        <f>IF(B131="","",IFERROR(AVERAGEIFS('JOBS'!$L$5:$L$1504,'JOBS'!$E$5:$E$1504,B131,'JOBS'!$O$5:$O$1504,"Completed"),""))</f>
        <v/>
      </c>
    </row>
    <row r="132">
      <c r="A132" s="46" t="inlineStr">
        <is>
          <t>P-128</t>
        </is>
      </c>
      <c r="B132" s="38" t="n"/>
      <c r="C132" s="38" t="n"/>
      <c r="D132" s="38" t="n"/>
      <c r="E132" s="38" t="n"/>
      <c r="F132" s="56" t="n"/>
      <c r="G132" s="57" t="n"/>
      <c r="H132" s="58" t="n"/>
      <c r="I132" s="38" t="n"/>
      <c r="J132" s="38" t="n"/>
      <c r="K132" s="38" t="n"/>
      <c r="L132" s="38" t="n"/>
      <c r="M132" s="53">
        <f>IF(B132="","",COUNTIFS('JOBS'!$E$5:$E$1504,B132,'JOBS'!$O$5:$O$1504,"Completed"))</f>
        <v/>
      </c>
      <c r="N132" s="52">
        <f>IF(B132="","",IF(_xlfn.MAXIFS('JOBS'!$B$5:$B$1504,'JOBS'!$E$5:$E$1504,B132,'JOBS'!$O$5:$O$1504,"Completed")=0,"",_xlfn.MAXIFS('JOBS'!$B$5:$B$1504,'JOBS'!$E$5:$E$1504,B132,'JOBS'!$O$5:$O$1504,"Completed")))</f>
        <v/>
      </c>
      <c r="O132" s="54">
        <f>IF(B132="","",IFERROR(AVERAGEIFS('JOBS'!$L$5:$L$1504,'JOBS'!$E$5:$E$1504,B132,'JOBS'!$O$5:$O$1504,"Completed"),""))</f>
        <v/>
      </c>
    </row>
    <row r="133">
      <c r="A133" s="46" t="inlineStr">
        <is>
          <t>P-129</t>
        </is>
      </c>
      <c r="B133" s="38" t="n"/>
      <c r="C133" s="38" t="n"/>
      <c r="D133" s="38" t="n"/>
      <c r="E133" s="38" t="n"/>
      <c r="F133" s="56" t="n"/>
      <c r="G133" s="57" t="n"/>
      <c r="H133" s="58" t="n"/>
      <c r="I133" s="38" t="n"/>
      <c r="J133" s="38" t="n"/>
      <c r="K133" s="38" t="n"/>
      <c r="L133" s="38" t="n"/>
      <c r="M133" s="53">
        <f>IF(B133="","",COUNTIFS('JOBS'!$E$5:$E$1504,B133,'JOBS'!$O$5:$O$1504,"Completed"))</f>
        <v/>
      </c>
      <c r="N133" s="52">
        <f>IF(B133="","",IF(_xlfn.MAXIFS('JOBS'!$B$5:$B$1504,'JOBS'!$E$5:$E$1504,B133,'JOBS'!$O$5:$O$1504,"Completed")=0,"",_xlfn.MAXIFS('JOBS'!$B$5:$B$1504,'JOBS'!$E$5:$E$1504,B133,'JOBS'!$O$5:$O$1504,"Completed")))</f>
        <v/>
      </c>
      <c r="O133" s="54">
        <f>IF(B133="","",IFERROR(AVERAGEIFS('JOBS'!$L$5:$L$1504,'JOBS'!$E$5:$E$1504,B133,'JOBS'!$O$5:$O$1504,"Completed"),""))</f>
        <v/>
      </c>
    </row>
    <row r="134">
      <c r="A134" s="46" t="inlineStr">
        <is>
          <t>P-130</t>
        </is>
      </c>
      <c r="B134" s="38" t="n"/>
      <c r="C134" s="38" t="n"/>
      <c r="D134" s="38" t="n"/>
      <c r="E134" s="38" t="n"/>
      <c r="F134" s="56" t="n"/>
      <c r="G134" s="57" t="n"/>
      <c r="H134" s="58" t="n"/>
      <c r="I134" s="38" t="n"/>
      <c r="J134" s="38" t="n"/>
      <c r="K134" s="38" t="n"/>
      <c r="L134" s="38" t="n"/>
      <c r="M134" s="53">
        <f>IF(B134="","",COUNTIFS('JOBS'!$E$5:$E$1504,B134,'JOBS'!$O$5:$O$1504,"Completed"))</f>
        <v/>
      </c>
      <c r="N134" s="52">
        <f>IF(B134="","",IF(_xlfn.MAXIFS('JOBS'!$B$5:$B$1504,'JOBS'!$E$5:$E$1504,B134,'JOBS'!$O$5:$O$1504,"Completed")=0,"",_xlfn.MAXIFS('JOBS'!$B$5:$B$1504,'JOBS'!$E$5:$E$1504,B134,'JOBS'!$O$5:$O$1504,"Completed")))</f>
        <v/>
      </c>
      <c r="O134" s="54">
        <f>IF(B134="","",IFERROR(AVERAGEIFS('JOBS'!$L$5:$L$1504,'JOBS'!$E$5:$E$1504,B134,'JOBS'!$O$5:$O$1504,"Completed"),""))</f>
        <v/>
      </c>
    </row>
    <row r="135">
      <c r="A135" s="46" t="inlineStr">
        <is>
          <t>P-131</t>
        </is>
      </c>
      <c r="B135" s="38" t="n"/>
      <c r="C135" s="38" t="n"/>
      <c r="D135" s="38" t="n"/>
      <c r="E135" s="38" t="n"/>
      <c r="F135" s="56" t="n"/>
      <c r="G135" s="57" t="n"/>
      <c r="H135" s="58" t="n"/>
      <c r="I135" s="38" t="n"/>
      <c r="J135" s="38" t="n"/>
      <c r="K135" s="38" t="n"/>
      <c r="L135" s="38" t="n"/>
      <c r="M135" s="53">
        <f>IF(B135="","",COUNTIFS('JOBS'!$E$5:$E$1504,B135,'JOBS'!$O$5:$O$1504,"Completed"))</f>
        <v/>
      </c>
      <c r="N135" s="52">
        <f>IF(B135="","",IF(_xlfn.MAXIFS('JOBS'!$B$5:$B$1504,'JOBS'!$E$5:$E$1504,B135,'JOBS'!$O$5:$O$1504,"Completed")=0,"",_xlfn.MAXIFS('JOBS'!$B$5:$B$1504,'JOBS'!$E$5:$E$1504,B135,'JOBS'!$O$5:$O$1504,"Completed")))</f>
        <v/>
      </c>
      <c r="O135" s="54">
        <f>IF(B135="","",IFERROR(AVERAGEIFS('JOBS'!$L$5:$L$1504,'JOBS'!$E$5:$E$1504,B135,'JOBS'!$O$5:$O$1504,"Completed"),""))</f>
        <v/>
      </c>
    </row>
    <row r="136">
      <c r="A136" s="46" t="inlineStr">
        <is>
          <t>P-132</t>
        </is>
      </c>
      <c r="B136" s="38" t="n"/>
      <c r="C136" s="38" t="n"/>
      <c r="D136" s="38" t="n"/>
      <c r="E136" s="38" t="n"/>
      <c r="F136" s="56" t="n"/>
      <c r="G136" s="57" t="n"/>
      <c r="H136" s="58" t="n"/>
      <c r="I136" s="38" t="n"/>
      <c r="J136" s="38" t="n"/>
      <c r="K136" s="38" t="n"/>
      <c r="L136" s="38" t="n"/>
      <c r="M136" s="53">
        <f>IF(B136="","",COUNTIFS('JOBS'!$E$5:$E$1504,B136,'JOBS'!$O$5:$O$1504,"Completed"))</f>
        <v/>
      </c>
      <c r="N136" s="52">
        <f>IF(B136="","",IF(_xlfn.MAXIFS('JOBS'!$B$5:$B$1504,'JOBS'!$E$5:$E$1504,B136,'JOBS'!$O$5:$O$1504,"Completed")=0,"",_xlfn.MAXIFS('JOBS'!$B$5:$B$1504,'JOBS'!$E$5:$E$1504,B136,'JOBS'!$O$5:$O$1504,"Completed")))</f>
        <v/>
      </c>
      <c r="O136" s="54">
        <f>IF(B136="","",IFERROR(AVERAGEIFS('JOBS'!$L$5:$L$1504,'JOBS'!$E$5:$E$1504,B136,'JOBS'!$O$5:$O$1504,"Completed"),""))</f>
        <v/>
      </c>
    </row>
    <row r="137">
      <c r="A137" s="46" t="inlineStr">
        <is>
          <t>P-133</t>
        </is>
      </c>
      <c r="B137" s="38" t="n"/>
      <c r="C137" s="38" t="n"/>
      <c r="D137" s="38" t="n"/>
      <c r="E137" s="38" t="n"/>
      <c r="F137" s="56" t="n"/>
      <c r="G137" s="57" t="n"/>
      <c r="H137" s="58" t="n"/>
      <c r="I137" s="38" t="n"/>
      <c r="J137" s="38" t="n"/>
      <c r="K137" s="38" t="n"/>
      <c r="L137" s="38" t="n"/>
      <c r="M137" s="53">
        <f>IF(B137="","",COUNTIFS('JOBS'!$E$5:$E$1504,B137,'JOBS'!$O$5:$O$1504,"Completed"))</f>
        <v/>
      </c>
      <c r="N137" s="52">
        <f>IF(B137="","",IF(_xlfn.MAXIFS('JOBS'!$B$5:$B$1504,'JOBS'!$E$5:$E$1504,B137,'JOBS'!$O$5:$O$1504,"Completed")=0,"",_xlfn.MAXIFS('JOBS'!$B$5:$B$1504,'JOBS'!$E$5:$E$1504,B137,'JOBS'!$O$5:$O$1504,"Completed")))</f>
        <v/>
      </c>
      <c r="O137" s="54">
        <f>IF(B137="","",IFERROR(AVERAGEIFS('JOBS'!$L$5:$L$1504,'JOBS'!$E$5:$E$1504,B137,'JOBS'!$O$5:$O$1504,"Completed"),""))</f>
        <v/>
      </c>
    </row>
    <row r="138">
      <c r="A138" s="46" t="inlineStr">
        <is>
          <t>P-134</t>
        </is>
      </c>
      <c r="B138" s="38" t="n"/>
      <c r="C138" s="38" t="n"/>
      <c r="D138" s="38" t="n"/>
      <c r="E138" s="38" t="n"/>
      <c r="F138" s="56" t="n"/>
      <c r="G138" s="57" t="n"/>
      <c r="H138" s="58" t="n"/>
      <c r="I138" s="38" t="n"/>
      <c r="J138" s="38" t="n"/>
      <c r="K138" s="38" t="n"/>
      <c r="L138" s="38" t="n"/>
      <c r="M138" s="53">
        <f>IF(B138="","",COUNTIFS('JOBS'!$E$5:$E$1504,B138,'JOBS'!$O$5:$O$1504,"Completed"))</f>
        <v/>
      </c>
      <c r="N138" s="52">
        <f>IF(B138="","",IF(_xlfn.MAXIFS('JOBS'!$B$5:$B$1504,'JOBS'!$E$5:$E$1504,B138,'JOBS'!$O$5:$O$1504,"Completed")=0,"",_xlfn.MAXIFS('JOBS'!$B$5:$B$1504,'JOBS'!$E$5:$E$1504,B138,'JOBS'!$O$5:$O$1504,"Completed")))</f>
        <v/>
      </c>
      <c r="O138" s="54">
        <f>IF(B138="","",IFERROR(AVERAGEIFS('JOBS'!$L$5:$L$1504,'JOBS'!$E$5:$E$1504,B138,'JOBS'!$O$5:$O$1504,"Completed"),""))</f>
        <v/>
      </c>
    </row>
    <row r="139">
      <c r="A139" s="46" t="inlineStr">
        <is>
          <t>P-135</t>
        </is>
      </c>
      <c r="B139" s="38" t="n"/>
      <c r="C139" s="38" t="n"/>
      <c r="D139" s="38" t="n"/>
      <c r="E139" s="38" t="n"/>
      <c r="F139" s="56" t="n"/>
      <c r="G139" s="57" t="n"/>
      <c r="H139" s="58" t="n"/>
      <c r="I139" s="38" t="n"/>
      <c r="J139" s="38" t="n"/>
      <c r="K139" s="38" t="n"/>
      <c r="L139" s="38" t="n"/>
      <c r="M139" s="53">
        <f>IF(B139="","",COUNTIFS('JOBS'!$E$5:$E$1504,B139,'JOBS'!$O$5:$O$1504,"Completed"))</f>
        <v/>
      </c>
      <c r="N139" s="52">
        <f>IF(B139="","",IF(_xlfn.MAXIFS('JOBS'!$B$5:$B$1504,'JOBS'!$E$5:$E$1504,B139,'JOBS'!$O$5:$O$1504,"Completed")=0,"",_xlfn.MAXIFS('JOBS'!$B$5:$B$1504,'JOBS'!$E$5:$E$1504,B139,'JOBS'!$O$5:$O$1504,"Completed")))</f>
        <v/>
      </c>
      <c r="O139" s="54">
        <f>IF(B139="","",IFERROR(AVERAGEIFS('JOBS'!$L$5:$L$1504,'JOBS'!$E$5:$E$1504,B139,'JOBS'!$O$5:$O$1504,"Completed"),""))</f>
        <v/>
      </c>
    </row>
    <row r="140">
      <c r="A140" s="46" t="inlineStr">
        <is>
          <t>P-136</t>
        </is>
      </c>
      <c r="B140" s="38" t="n"/>
      <c r="C140" s="38" t="n"/>
      <c r="D140" s="38" t="n"/>
      <c r="E140" s="38" t="n"/>
      <c r="F140" s="56" t="n"/>
      <c r="G140" s="57" t="n"/>
      <c r="H140" s="58" t="n"/>
      <c r="I140" s="38" t="n"/>
      <c r="J140" s="38" t="n"/>
      <c r="K140" s="38" t="n"/>
      <c r="L140" s="38" t="n"/>
      <c r="M140" s="53">
        <f>IF(B140="","",COUNTIFS('JOBS'!$E$5:$E$1504,B140,'JOBS'!$O$5:$O$1504,"Completed"))</f>
        <v/>
      </c>
      <c r="N140" s="52">
        <f>IF(B140="","",IF(_xlfn.MAXIFS('JOBS'!$B$5:$B$1504,'JOBS'!$E$5:$E$1504,B140,'JOBS'!$O$5:$O$1504,"Completed")=0,"",_xlfn.MAXIFS('JOBS'!$B$5:$B$1504,'JOBS'!$E$5:$E$1504,B140,'JOBS'!$O$5:$O$1504,"Completed")))</f>
        <v/>
      </c>
      <c r="O140" s="54">
        <f>IF(B140="","",IFERROR(AVERAGEIFS('JOBS'!$L$5:$L$1504,'JOBS'!$E$5:$E$1504,B140,'JOBS'!$O$5:$O$1504,"Completed"),""))</f>
        <v/>
      </c>
    </row>
    <row r="141">
      <c r="A141" s="46" t="inlineStr">
        <is>
          <t>P-137</t>
        </is>
      </c>
      <c r="B141" s="38" t="n"/>
      <c r="C141" s="38" t="n"/>
      <c r="D141" s="38" t="n"/>
      <c r="E141" s="38" t="n"/>
      <c r="F141" s="56" t="n"/>
      <c r="G141" s="57" t="n"/>
      <c r="H141" s="58" t="n"/>
      <c r="I141" s="38" t="n"/>
      <c r="J141" s="38" t="n"/>
      <c r="K141" s="38" t="n"/>
      <c r="L141" s="38" t="n"/>
      <c r="M141" s="53">
        <f>IF(B141="","",COUNTIFS('JOBS'!$E$5:$E$1504,B141,'JOBS'!$O$5:$O$1504,"Completed"))</f>
        <v/>
      </c>
      <c r="N141" s="52">
        <f>IF(B141="","",IF(_xlfn.MAXIFS('JOBS'!$B$5:$B$1504,'JOBS'!$E$5:$E$1504,B141,'JOBS'!$O$5:$O$1504,"Completed")=0,"",_xlfn.MAXIFS('JOBS'!$B$5:$B$1504,'JOBS'!$E$5:$E$1504,B141,'JOBS'!$O$5:$O$1504,"Completed")))</f>
        <v/>
      </c>
      <c r="O141" s="54">
        <f>IF(B141="","",IFERROR(AVERAGEIFS('JOBS'!$L$5:$L$1504,'JOBS'!$E$5:$E$1504,B141,'JOBS'!$O$5:$O$1504,"Completed"),""))</f>
        <v/>
      </c>
    </row>
    <row r="142">
      <c r="A142" s="46" t="inlineStr">
        <is>
          <t>P-138</t>
        </is>
      </c>
      <c r="B142" s="38" t="n"/>
      <c r="C142" s="38" t="n"/>
      <c r="D142" s="38" t="n"/>
      <c r="E142" s="38" t="n"/>
      <c r="F142" s="56" t="n"/>
      <c r="G142" s="57" t="n"/>
      <c r="H142" s="58" t="n"/>
      <c r="I142" s="38" t="n"/>
      <c r="J142" s="38" t="n"/>
      <c r="K142" s="38" t="n"/>
      <c r="L142" s="38" t="n"/>
      <c r="M142" s="53">
        <f>IF(B142="","",COUNTIFS('JOBS'!$E$5:$E$1504,B142,'JOBS'!$O$5:$O$1504,"Completed"))</f>
        <v/>
      </c>
      <c r="N142" s="52">
        <f>IF(B142="","",IF(_xlfn.MAXIFS('JOBS'!$B$5:$B$1504,'JOBS'!$E$5:$E$1504,B142,'JOBS'!$O$5:$O$1504,"Completed")=0,"",_xlfn.MAXIFS('JOBS'!$B$5:$B$1504,'JOBS'!$E$5:$E$1504,B142,'JOBS'!$O$5:$O$1504,"Completed")))</f>
        <v/>
      </c>
      <c r="O142" s="54">
        <f>IF(B142="","",IFERROR(AVERAGEIFS('JOBS'!$L$5:$L$1504,'JOBS'!$E$5:$E$1504,B142,'JOBS'!$O$5:$O$1504,"Completed"),""))</f>
        <v/>
      </c>
    </row>
    <row r="143">
      <c r="A143" s="46" t="inlineStr">
        <is>
          <t>P-139</t>
        </is>
      </c>
      <c r="B143" s="38" t="n"/>
      <c r="C143" s="38" t="n"/>
      <c r="D143" s="38" t="n"/>
      <c r="E143" s="38" t="n"/>
      <c r="F143" s="56" t="n"/>
      <c r="G143" s="57" t="n"/>
      <c r="H143" s="58" t="n"/>
      <c r="I143" s="38" t="n"/>
      <c r="J143" s="38" t="n"/>
      <c r="K143" s="38" t="n"/>
      <c r="L143" s="38" t="n"/>
      <c r="M143" s="53">
        <f>IF(B143="","",COUNTIFS('JOBS'!$E$5:$E$1504,B143,'JOBS'!$O$5:$O$1504,"Completed"))</f>
        <v/>
      </c>
      <c r="N143" s="52">
        <f>IF(B143="","",IF(_xlfn.MAXIFS('JOBS'!$B$5:$B$1504,'JOBS'!$E$5:$E$1504,B143,'JOBS'!$O$5:$O$1504,"Completed")=0,"",_xlfn.MAXIFS('JOBS'!$B$5:$B$1504,'JOBS'!$E$5:$E$1504,B143,'JOBS'!$O$5:$O$1504,"Completed")))</f>
        <v/>
      </c>
      <c r="O143" s="54">
        <f>IF(B143="","",IFERROR(AVERAGEIFS('JOBS'!$L$5:$L$1504,'JOBS'!$E$5:$E$1504,B143,'JOBS'!$O$5:$O$1504,"Completed"),""))</f>
        <v/>
      </c>
    </row>
    <row r="144">
      <c r="A144" s="46" t="inlineStr">
        <is>
          <t>P-140</t>
        </is>
      </c>
      <c r="B144" s="38" t="n"/>
      <c r="C144" s="38" t="n"/>
      <c r="D144" s="38" t="n"/>
      <c r="E144" s="38" t="n"/>
      <c r="F144" s="56" t="n"/>
      <c r="G144" s="57" t="n"/>
      <c r="H144" s="58" t="n"/>
      <c r="I144" s="38" t="n"/>
      <c r="J144" s="38" t="n"/>
      <c r="K144" s="38" t="n"/>
      <c r="L144" s="38" t="n"/>
      <c r="M144" s="53">
        <f>IF(B144="","",COUNTIFS('JOBS'!$E$5:$E$1504,B144,'JOBS'!$O$5:$O$1504,"Completed"))</f>
        <v/>
      </c>
      <c r="N144" s="52">
        <f>IF(B144="","",IF(_xlfn.MAXIFS('JOBS'!$B$5:$B$1504,'JOBS'!$E$5:$E$1504,B144,'JOBS'!$O$5:$O$1504,"Completed")=0,"",_xlfn.MAXIFS('JOBS'!$B$5:$B$1504,'JOBS'!$E$5:$E$1504,B144,'JOBS'!$O$5:$O$1504,"Completed")))</f>
        <v/>
      </c>
      <c r="O144" s="54">
        <f>IF(B144="","",IFERROR(AVERAGEIFS('JOBS'!$L$5:$L$1504,'JOBS'!$E$5:$E$1504,B144,'JOBS'!$O$5:$O$1504,"Completed"),""))</f>
        <v/>
      </c>
    </row>
    <row r="145">
      <c r="A145" s="46" t="inlineStr">
        <is>
          <t>P-141</t>
        </is>
      </c>
      <c r="B145" s="38" t="n"/>
      <c r="C145" s="38" t="n"/>
      <c r="D145" s="38" t="n"/>
      <c r="E145" s="38" t="n"/>
      <c r="F145" s="56" t="n"/>
      <c r="G145" s="57" t="n"/>
      <c r="H145" s="58" t="n"/>
      <c r="I145" s="38" t="n"/>
      <c r="J145" s="38" t="n"/>
      <c r="K145" s="38" t="n"/>
      <c r="L145" s="38" t="n"/>
      <c r="M145" s="53">
        <f>IF(B145="","",COUNTIFS('JOBS'!$E$5:$E$1504,B145,'JOBS'!$O$5:$O$1504,"Completed"))</f>
        <v/>
      </c>
      <c r="N145" s="52">
        <f>IF(B145="","",IF(_xlfn.MAXIFS('JOBS'!$B$5:$B$1504,'JOBS'!$E$5:$E$1504,B145,'JOBS'!$O$5:$O$1504,"Completed")=0,"",_xlfn.MAXIFS('JOBS'!$B$5:$B$1504,'JOBS'!$E$5:$E$1504,B145,'JOBS'!$O$5:$O$1504,"Completed")))</f>
        <v/>
      </c>
      <c r="O145" s="54">
        <f>IF(B145="","",IFERROR(AVERAGEIFS('JOBS'!$L$5:$L$1504,'JOBS'!$E$5:$E$1504,B145,'JOBS'!$O$5:$O$1504,"Completed"),""))</f>
        <v/>
      </c>
    </row>
    <row r="146">
      <c r="A146" s="46" t="inlineStr">
        <is>
          <t>P-142</t>
        </is>
      </c>
      <c r="B146" s="38" t="n"/>
      <c r="C146" s="38" t="n"/>
      <c r="D146" s="38" t="n"/>
      <c r="E146" s="38" t="n"/>
      <c r="F146" s="56" t="n"/>
      <c r="G146" s="57" t="n"/>
      <c r="H146" s="58" t="n"/>
      <c r="I146" s="38" t="n"/>
      <c r="J146" s="38" t="n"/>
      <c r="K146" s="38" t="n"/>
      <c r="L146" s="38" t="n"/>
      <c r="M146" s="53">
        <f>IF(B146="","",COUNTIFS('JOBS'!$E$5:$E$1504,B146,'JOBS'!$O$5:$O$1504,"Completed"))</f>
        <v/>
      </c>
      <c r="N146" s="52">
        <f>IF(B146="","",IF(_xlfn.MAXIFS('JOBS'!$B$5:$B$1504,'JOBS'!$E$5:$E$1504,B146,'JOBS'!$O$5:$O$1504,"Completed")=0,"",_xlfn.MAXIFS('JOBS'!$B$5:$B$1504,'JOBS'!$E$5:$E$1504,B146,'JOBS'!$O$5:$O$1504,"Completed")))</f>
        <v/>
      </c>
      <c r="O146" s="54">
        <f>IF(B146="","",IFERROR(AVERAGEIFS('JOBS'!$L$5:$L$1504,'JOBS'!$E$5:$E$1504,B146,'JOBS'!$O$5:$O$1504,"Completed"),""))</f>
        <v/>
      </c>
    </row>
    <row r="147">
      <c r="A147" s="46" t="inlineStr">
        <is>
          <t>P-143</t>
        </is>
      </c>
      <c r="B147" s="38" t="n"/>
      <c r="C147" s="38" t="n"/>
      <c r="D147" s="38" t="n"/>
      <c r="E147" s="38" t="n"/>
      <c r="F147" s="56" t="n"/>
      <c r="G147" s="57" t="n"/>
      <c r="H147" s="58" t="n"/>
      <c r="I147" s="38" t="n"/>
      <c r="J147" s="38" t="n"/>
      <c r="K147" s="38" t="n"/>
      <c r="L147" s="38" t="n"/>
      <c r="M147" s="53">
        <f>IF(B147="","",COUNTIFS('JOBS'!$E$5:$E$1504,B147,'JOBS'!$O$5:$O$1504,"Completed"))</f>
        <v/>
      </c>
      <c r="N147" s="52">
        <f>IF(B147="","",IF(_xlfn.MAXIFS('JOBS'!$B$5:$B$1504,'JOBS'!$E$5:$E$1504,B147,'JOBS'!$O$5:$O$1504,"Completed")=0,"",_xlfn.MAXIFS('JOBS'!$B$5:$B$1504,'JOBS'!$E$5:$E$1504,B147,'JOBS'!$O$5:$O$1504,"Completed")))</f>
        <v/>
      </c>
      <c r="O147" s="54">
        <f>IF(B147="","",IFERROR(AVERAGEIFS('JOBS'!$L$5:$L$1504,'JOBS'!$E$5:$E$1504,B147,'JOBS'!$O$5:$O$1504,"Completed"),""))</f>
        <v/>
      </c>
    </row>
    <row r="148">
      <c r="A148" s="46" t="inlineStr">
        <is>
          <t>P-144</t>
        </is>
      </c>
      <c r="B148" s="38" t="n"/>
      <c r="C148" s="38" t="n"/>
      <c r="D148" s="38" t="n"/>
      <c r="E148" s="38" t="n"/>
      <c r="F148" s="56" t="n"/>
      <c r="G148" s="57" t="n"/>
      <c r="H148" s="58" t="n"/>
      <c r="I148" s="38" t="n"/>
      <c r="J148" s="38" t="n"/>
      <c r="K148" s="38" t="n"/>
      <c r="L148" s="38" t="n"/>
      <c r="M148" s="53">
        <f>IF(B148="","",COUNTIFS('JOBS'!$E$5:$E$1504,B148,'JOBS'!$O$5:$O$1504,"Completed"))</f>
        <v/>
      </c>
      <c r="N148" s="52">
        <f>IF(B148="","",IF(_xlfn.MAXIFS('JOBS'!$B$5:$B$1504,'JOBS'!$E$5:$E$1504,B148,'JOBS'!$O$5:$O$1504,"Completed")=0,"",_xlfn.MAXIFS('JOBS'!$B$5:$B$1504,'JOBS'!$E$5:$E$1504,B148,'JOBS'!$O$5:$O$1504,"Completed")))</f>
        <v/>
      </c>
      <c r="O148" s="54">
        <f>IF(B148="","",IFERROR(AVERAGEIFS('JOBS'!$L$5:$L$1504,'JOBS'!$E$5:$E$1504,B148,'JOBS'!$O$5:$O$1504,"Completed"),""))</f>
        <v/>
      </c>
    </row>
    <row r="149">
      <c r="A149" s="46" t="inlineStr">
        <is>
          <t>P-145</t>
        </is>
      </c>
      <c r="B149" s="38" t="n"/>
      <c r="C149" s="38" t="n"/>
      <c r="D149" s="38" t="n"/>
      <c r="E149" s="38" t="n"/>
      <c r="F149" s="56" t="n"/>
      <c r="G149" s="57" t="n"/>
      <c r="H149" s="58" t="n"/>
      <c r="I149" s="38" t="n"/>
      <c r="J149" s="38" t="n"/>
      <c r="K149" s="38" t="n"/>
      <c r="L149" s="38" t="n"/>
      <c r="M149" s="53">
        <f>IF(B149="","",COUNTIFS('JOBS'!$E$5:$E$1504,B149,'JOBS'!$O$5:$O$1504,"Completed"))</f>
        <v/>
      </c>
      <c r="N149" s="52">
        <f>IF(B149="","",IF(_xlfn.MAXIFS('JOBS'!$B$5:$B$1504,'JOBS'!$E$5:$E$1504,B149,'JOBS'!$O$5:$O$1504,"Completed")=0,"",_xlfn.MAXIFS('JOBS'!$B$5:$B$1504,'JOBS'!$E$5:$E$1504,B149,'JOBS'!$O$5:$O$1504,"Completed")))</f>
        <v/>
      </c>
      <c r="O149" s="54">
        <f>IF(B149="","",IFERROR(AVERAGEIFS('JOBS'!$L$5:$L$1504,'JOBS'!$E$5:$E$1504,B149,'JOBS'!$O$5:$O$1504,"Completed"),""))</f>
        <v/>
      </c>
    </row>
    <row r="150">
      <c r="A150" s="46" t="inlineStr">
        <is>
          <t>P-146</t>
        </is>
      </c>
      <c r="B150" s="38" t="n"/>
      <c r="C150" s="38" t="n"/>
      <c r="D150" s="38" t="n"/>
      <c r="E150" s="38" t="n"/>
      <c r="F150" s="56" t="n"/>
      <c r="G150" s="57" t="n"/>
      <c r="H150" s="58" t="n"/>
      <c r="I150" s="38" t="n"/>
      <c r="J150" s="38" t="n"/>
      <c r="K150" s="38" t="n"/>
      <c r="L150" s="38" t="n"/>
      <c r="M150" s="53">
        <f>IF(B150="","",COUNTIFS('JOBS'!$E$5:$E$1504,B150,'JOBS'!$O$5:$O$1504,"Completed"))</f>
        <v/>
      </c>
      <c r="N150" s="52">
        <f>IF(B150="","",IF(_xlfn.MAXIFS('JOBS'!$B$5:$B$1504,'JOBS'!$E$5:$E$1504,B150,'JOBS'!$O$5:$O$1504,"Completed")=0,"",_xlfn.MAXIFS('JOBS'!$B$5:$B$1504,'JOBS'!$E$5:$E$1504,B150,'JOBS'!$O$5:$O$1504,"Completed")))</f>
        <v/>
      </c>
      <c r="O150" s="54">
        <f>IF(B150="","",IFERROR(AVERAGEIFS('JOBS'!$L$5:$L$1504,'JOBS'!$E$5:$E$1504,B150,'JOBS'!$O$5:$O$1504,"Completed"),""))</f>
        <v/>
      </c>
    </row>
    <row r="151">
      <c r="A151" s="46" t="inlineStr">
        <is>
          <t>P-147</t>
        </is>
      </c>
      <c r="B151" s="38" t="n"/>
      <c r="C151" s="38" t="n"/>
      <c r="D151" s="38" t="n"/>
      <c r="E151" s="38" t="n"/>
      <c r="F151" s="56" t="n"/>
      <c r="G151" s="57" t="n"/>
      <c r="H151" s="58" t="n"/>
      <c r="I151" s="38" t="n"/>
      <c r="J151" s="38" t="n"/>
      <c r="K151" s="38" t="n"/>
      <c r="L151" s="38" t="n"/>
      <c r="M151" s="53">
        <f>IF(B151="","",COUNTIFS('JOBS'!$E$5:$E$1504,B151,'JOBS'!$O$5:$O$1504,"Completed"))</f>
        <v/>
      </c>
      <c r="N151" s="52">
        <f>IF(B151="","",IF(_xlfn.MAXIFS('JOBS'!$B$5:$B$1504,'JOBS'!$E$5:$E$1504,B151,'JOBS'!$O$5:$O$1504,"Completed")=0,"",_xlfn.MAXIFS('JOBS'!$B$5:$B$1504,'JOBS'!$E$5:$E$1504,B151,'JOBS'!$O$5:$O$1504,"Completed")))</f>
        <v/>
      </c>
      <c r="O151" s="54">
        <f>IF(B151="","",IFERROR(AVERAGEIFS('JOBS'!$L$5:$L$1504,'JOBS'!$E$5:$E$1504,B151,'JOBS'!$O$5:$O$1504,"Completed"),""))</f>
        <v/>
      </c>
    </row>
    <row r="152">
      <c r="A152" s="46" t="inlineStr">
        <is>
          <t>P-148</t>
        </is>
      </c>
      <c r="B152" s="38" t="n"/>
      <c r="C152" s="38" t="n"/>
      <c r="D152" s="38" t="n"/>
      <c r="E152" s="38" t="n"/>
      <c r="F152" s="56" t="n"/>
      <c r="G152" s="57" t="n"/>
      <c r="H152" s="58" t="n"/>
      <c r="I152" s="38" t="n"/>
      <c r="J152" s="38" t="n"/>
      <c r="K152" s="38" t="n"/>
      <c r="L152" s="38" t="n"/>
      <c r="M152" s="53">
        <f>IF(B152="","",COUNTIFS('JOBS'!$E$5:$E$1504,B152,'JOBS'!$O$5:$O$1504,"Completed"))</f>
        <v/>
      </c>
      <c r="N152" s="52">
        <f>IF(B152="","",IF(_xlfn.MAXIFS('JOBS'!$B$5:$B$1504,'JOBS'!$E$5:$E$1504,B152,'JOBS'!$O$5:$O$1504,"Completed")=0,"",_xlfn.MAXIFS('JOBS'!$B$5:$B$1504,'JOBS'!$E$5:$E$1504,B152,'JOBS'!$O$5:$O$1504,"Completed")))</f>
        <v/>
      </c>
      <c r="O152" s="54">
        <f>IF(B152="","",IFERROR(AVERAGEIFS('JOBS'!$L$5:$L$1504,'JOBS'!$E$5:$E$1504,B152,'JOBS'!$O$5:$O$1504,"Completed"),""))</f>
        <v/>
      </c>
    </row>
    <row r="153">
      <c r="A153" s="46" t="inlineStr">
        <is>
          <t>P-149</t>
        </is>
      </c>
      <c r="B153" s="38" t="n"/>
      <c r="C153" s="38" t="n"/>
      <c r="D153" s="38" t="n"/>
      <c r="E153" s="38" t="n"/>
      <c r="F153" s="56" t="n"/>
      <c r="G153" s="57" t="n"/>
      <c r="H153" s="58" t="n"/>
      <c r="I153" s="38" t="n"/>
      <c r="J153" s="38" t="n"/>
      <c r="K153" s="38" t="n"/>
      <c r="L153" s="38" t="n"/>
      <c r="M153" s="53">
        <f>IF(B153="","",COUNTIFS('JOBS'!$E$5:$E$1504,B153,'JOBS'!$O$5:$O$1504,"Completed"))</f>
        <v/>
      </c>
      <c r="N153" s="52">
        <f>IF(B153="","",IF(_xlfn.MAXIFS('JOBS'!$B$5:$B$1504,'JOBS'!$E$5:$E$1504,B153,'JOBS'!$O$5:$O$1504,"Completed")=0,"",_xlfn.MAXIFS('JOBS'!$B$5:$B$1504,'JOBS'!$E$5:$E$1504,B153,'JOBS'!$O$5:$O$1504,"Completed")))</f>
        <v/>
      </c>
      <c r="O153" s="54">
        <f>IF(B153="","",IFERROR(AVERAGEIFS('JOBS'!$L$5:$L$1504,'JOBS'!$E$5:$E$1504,B153,'JOBS'!$O$5:$O$1504,"Completed"),""))</f>
        <v/>
      </c>
    </row>
    <row r="154">
      <c r="A154" s="46" t="inlineStr">
        <is>
          <t>P-150</t>
        </is>
      </c>
      <c r="B154" s="38" t="n"/>
      <c r="C154" s="38" t="n"/>
      <c r="D154" s="38" t="n"/>
      <c r="E154" s="38" t="n"/>
      <c r="F154" s="56" t="n"/>
      <c r="G154" s="57" t="n"/>
      <c r="H154" s="58" t="n"/>
      <c r="I154" s="38" t="n"/>
      <c r="J154" s="38" t="n"/>
      <c r="K154" s="38" t="n"/>
      <c r="L154" s="38" t="n"/>
      <c r="M154" s="53">
        <f>IF(B154="","",COUNTIFS('JOBS'!$E$5:$E$1504,B154,'JOBS'!$O$5:$O$1504,"Completed"))</f>
        <v/>
      </c>
      <c r="N154" s="52">
        <f>IF(B154="","",IF(_xlfn.MAXIFS('JOBS'!$B$5:$B$1504,'JOBS'!$E$5:$E$1504,B154,'JOBS'!$O$5:$O$1504,"Completed")=0,"",_xlfn.MAXIFS('JOBS'!$B$5:$B$1504,'JOBS'!$E$5:$E$1504,B154,'JOBS'!$O$5:$O$1504,"Completed")))</f>
        <v/>
      </c>
      <c r="O154" s="54">
        <f>IF(B154="","",IFERROR(AVERAGEIFS('JOBS'!$L$5:$L$1504,'JOBS'!$E$5:$E$1504,B154,'JOBS'!$O$5:$O$1504,"Completed"),""))</f>
        <v/>
      </c>
    </row>
    <row r="155">
      <c r="A155" s="46" t="inlineStr">
        <is>
          <t>P-151</t>
        </is>
      </c>
      <c r="B155" s="38" t="n"/>
      <c r="C155" s="38" t="n"/>
      <c r="D155" s="38" t="n"/>
      <c r="E155" s="38" t="n"/>
      <c r="F155" s="56" t="n"/>
      <c r="G155" s="57" t="n"/>
      <c r="H155" s="58" t="n"/>
      <c r="I155" s="38" t="n"/>
      <c r="J155" s="38" t="n"/>
      <c r="K155" s="38" t="n"/>
      <c r="L155" s="38" t="n"/>
      <c r="M155" s="53">
        <f>IF(B155="","",COUNTIFS('JOBS'!$E$5:$E$1504,B155,'JOBS'!$O$5:$O$1504,"Completed"))</f>
        <v/>
      </c>
      <c r="N155" s="52">
        <f>IF(B155="","",IF(_xlfn.MAXIFS('JOBS'!$B$5:$B$1504,'JOBS'!$E$5:$E$1504,B155,'JOBS'!$O$5:$O$1504,"Completed")=0,"",_xlfn.MAXIFS('JOBS'!$B$5:$B$1504,'JOBS'!$E$5:$E$1504,B155,'JOBS'!$O$5:$O$1504,"Completed")))</f>
        <v/>
      </c>
      <c r="O155" s="54">
        <f>IF(B155="","",IFERROR(AVERAGEIFS('JOBS'!$L$5:$L$1504,'JOBS'!$E$5:$E$1504,B155,'JOBS'!$O$5:$O$1504,"Completed"),""))</f>
        <v/>
      </c>
    </row>
    <row r="156">
      <c r="A156" s="46" t="inlineStr">
        <is>
          <t>P-152</t>
        </is>
      </c>
      <c r="B156" s="38" t="n"/>
      <c r="C156" s="38" t="n"/>
      <c r="D156" s="38" t="n"/>
      <c r="E156" s="38" t="n"/>
      <c r="F156" s="56" t="n"/>
      <c r="G156" s="57" t="n"/>
      <c r="H156" s="58" t="n"/>
      <c r="I156" s="38" t="n"/>
      <c r="J156" s="38" t="n"/>
      <c r="K156" s="38" t="n"/>
      <c r="L156" s="38" t="n"/>
      <c r="M156" s="53">
        <f>IF(B156="","",COUNTIFS('JOBS'!$E$5:$E$1504,B156,'JOBS'!$O$5:$O$1504,"Completed"))</f>
        <v/>
      </c>
      <c r="N156" s="52">
        <f>IF(B156="","",IF(_xlfn.MAXIFS('JOBS'!$B$5:$B$1504,'JOBS'!$E$5:$E$1504,B156,'JOBS'!$O$5:$O$1504,"Completed")=0,"",_xlfn.MAXIFS('JOBS'!$B$5:$B$1504,'JOBS'!$E$5:$E$1504,B156,'JOBS'!$O$5:$O$1504,"Completed")))</f>
        <v/>
      </c>
      <c r="O156" s="54">
        <f>IF(B156="","",IFERROR(AVERAGEIFS('JOBS'!$L$5:$L$1504,'JOBS'!$E$5:$E$1504,B156,'JOBS'!$O$5:$O$1504,"Completed"),""))</f>
        <v/>
      </c>
    </row>
    <row r="157">
      <c r="A157" s="46" t="inlineStr">
        <is>
          <t>P-153</t>
        </is>
      </c>
      <c r="B157" s="38" t="n"/>
      <c r="C157" s="38" t="n"/>
      <c r="D157" s="38" t="n"/>
      <c r="E157" s="38" t="n"/>
      <c r="F157" s="56" t="n"/>
      <c r="G157" s="57" t="n"/>
      <c r="H157" s="58" t="n"/>
      <c r="I157" s="38" t="n"/>
      <c r="J157" s="38" t="n"/>
      <c r="K157" s="38" t="n"/>
      <c r="L157" s="38" t="n"/>
      <c r="M157" s="53">
        <f>IF(B157="","",COUNTIFS('JOBS'!$E$5:$E$1504,B157,'JOBS'!$O$5:$O$1504,"Completed"))</f>
        <v/>
      </c>
      <c r="N157" s="52">
        <f>IF(B157="","",IF(_xlfn.MAXIFS('JOBS'!$B$5:$B$1504,'JOBS'!$E$5:$E$1504,B157,'JOBS'!$O$5:$O$1504,"Completed")=0,"",_xlfn.MAXIFS('JOBS'!$B$5:$B$1504,'JOBS'!$E$5:$E$1504,B157,'JOBS'!$O$5:$O$1504,"Completed")))</f>
        <v/>
      </c>
      <c r="O157" s="54">
        <f>IF(B157="","",IFERROR(AVERAGEIFS('JOBS'!$L$5:$L$1504,'JOBS'!$E$5:$E$1504,B157,'JOBS'!$O$5:$O$1504,"Completed"),""))</f>
        <v/>
      </c>
    </row>
    <row r="158">
      <c r="A158" s="46" t="inlineStr">
        <is>
          <t>P-154</t>
        </is>
      </c>
      <c r="B158" s="38" t="n"/>
      <c r="C158" s="38" t="n"/>
      <c r="D158" s="38" t="n"/>
      <c r="E158" s="38" t="n"/>
      <c r="F158" s="56" t="n"/>
      <c r="G158" s="57" t="n"/>
      <c r="H158" s="58" t="n"/>
      <c r="I158" s="38" t="n"/>
      <c r="J158" s="38" t="n"/>
      <c r="K158" s="38" t="n"/>
      <c r="L158" s="38" t="n"/>
      <c r="M158" s="53">
        <f>IF(B158="","",COUNTIFS('JOBS'!$E$5:$E$1504,B158,'JOBS'!$O$5:$O$1504,"Completed"))</f>
        <v/>
      </c>
      <c r="N158" s="52">
        <f>IF(B158="","",IF(_xlfn.MAXIFS('JOBS'!$B$5:$B$1504,'JOBS'!$E$5:$E$1504,B158,'JOBS'!$O$5:$O$1504,"Completed")=0,"",_xlfn.MAXIFS('JOBS'!$B$5:$B$1504,'JOBS'!$E$5:$E$1504,B158,'JOBS'!$O$5:$O$1504,"Completed")))</f>
        <v/>
      </c>
      <c r="O158" s="54">
        <f>IF(B158="","",IFERROR(AVERAGEIFS('JOBS'!$L$5:$L$1504,'JOBS'!$E$5:$E$1504,B158,'JOBS'!$O$5:$O$1504,"Completed"),""))</f>
        <v/>
      </c>
    </row>
    <row r="159">
      <c r="A159" s="46" t="inlineStr">
        <is>
          <t>P-155</t>
        </is>
      </c>
      <c r="B159" s="38" t="n"/>
      <c r="C159" s="38" t="n"/>
      <c r="D159" s="38" t="n"/>
      <c r="E159" s="38" t="n"/>
      <c r="F159" s="56" t="n"/>
      <c r="G159" s="57" t="n"/>
      <c r="H159" s="58" t="n"/>
      <c r="I159" s="38" t="n"/>
      <c r="J159" s="38" t="n"/>
      <c r="K159" s="38" t="n"/>
      <c r="L159" s="38" t="n"/>
      <c r="M159" s="53">
        <f>IF(B159="","",COUNTIFS('JOBS'!$E$5:$E$1504,B159,'JOBS'!$O$5:$O$1504,"Completed"))</f>
        <v/>
      </c>
      <c r="N159" s="52">
        <f>IF(B159="","",IF(_xlfn.MAXIFS('JOBS'!$B$5:$B$1504,'JOBS'!$E$5:$E$1504,B159,'JOBS'!$O$5:$O$1504,"Completed")=0,"",_xlfn.MAXIFS('JOBS'!$B$5:$B$1504,'JOBS'!$E$5:$E$1504,B159,'JOBS'!$O$5:$O$1504,"Completed")))</f>
        <v/>
      </c>
      <c r="O159" s="54">
        <f>IF(B159="","",IFERROR(AVERAGEIFS('JOBS'!$L$5:$L$1504,'JOBS'!$E$5:$E$1504,B159,'JOBS'!$O$5:$O$1504,"Completed"),""))</f>
        <v/>
      </c>
    </row>
    <row r="160">
      <c r="A160" s="46" t="inlineStr">
        <is>
          <t>P-156</t>
        </is>
      </c>
      <c r="B160" s="38" t="n"/>
      <c r="C160" s="38" t="n"/>
      <c r="D160" s="38" t="n"/>
      <c r="E160" s="38" t="n"/>
      <c r="F160" s="56" t="n"/>
      <c r="G160" s="57" t="n"/>
      <c r="H160" s="58" t="n"/>
      <c r="I160" s="38" t="n"/>
      <c r="J160" s="38" t="n"/>
      <c r="K160" s="38" t="n"/>
      <c r="L160" s="38" t="n"/>
      <c r="M160" s="53">
        <f>IF(B160="","",COUNTIFS('JOBS'!$E$5:$E$1504,B160,'JOBS'!$O$5:$O$1504,"Completed"))</f>
        <v/>
      </c>
      <c r="N160" s="52">
        <f>IF(B160="","",IF(_xlfn.MAXIFS('JOBS'!$B$5:$B$1504,'JOBS'!$E$5:$E$1504,B160,'JOBS'!$O$5:$O$1504,"Completed")=0,"",_xlfn.MAXIFS('JOBS'!$B$5:$B$1504,'JOBS'!$E$5:$E$1504,B160,'JOBS'!$O$5:$O$1504,"Completed")))</f>
        <v/>
      </c>
      <c r="O160" s="54">
        <f>IF(B160="","",IFERROR(AVERAGEIFS('JOBS'!$L$5:$L$1504,'JOBS'!$E$5:$E$1504,B160,'JOBS'!$O$5:$O$1504,"Completed"),""))</f>
        <v/>
      </c>
    </row>
    <row r="161">
      <c r="A161" s="46" t="inlineStr">
        <is>
          <t>P-157</t>
        </is>
      </c>
      <c r="B161" s="38" t="n"/>
      <c r="C161" s="38" t="n"/>
      <c r="D161" s="38" t="n"/>
      <c r="E161" s="38" t="n"/>
      <c r="F161" s="56" t="n"/>
      <c r="G161" s="57" t="n"/>
      <c r="H161" s="58" t="n"/>
      <c r="I161" s="38" t="n"/>
      <c r="J161" s="38" t="n"/>
      <c r="K161" s="38" t="n"/>
      <c r="L161" s="38" t="n"/>
      <c r="M161" s="53">
        <f>IF(B161="","",COUNTIFS('JOBS'!$E$5:$E$1504,B161,'JOBS'!$O$5:$O$1504,"Completed"))</f>
        <v/>
      </c>
      <c r="N161" s="52">
        <f>IF(B161="","",IF(_xlfn.MAXIFS('JOBS'!$B$5:$B$1504,'JOBS'!$E$5:$E$1504,B161,'JOBS'!$O$5:$O$1504,"Completed")=0,"",_xlfn.MAXIFS('JOBS'!$B$5:$B$1504,'JOBS'!$E$5:$E$1504,B161,'JOBS'!$O$5:$O$1504,"Completed")))</f>
        <v/>
      </c>
      <c r="O161" s="54">
        <f>IF(B161="","",IFERROR(AVERAGEIFS('JOBS'!$L$5:$L$1504,'JOBS'!$E$5:$E$1504,B161,'JOBS'!$O$5:$O$1504,"Completed"),""))</f>
        <v/>
      </c>
    </row>
    <row r="162">
      <c r="A162" s="46" t="inlineStr">
        <is>
          <t>P-158</t>
        </is>
      </c>
      <c r="B162" s="38" t="n"/>
      <c r="C162" s="38" t="n"/>
      <c r="D162" s="38" t="n"/>
      <c r="E162" s="38" t="n"/>
      <c r="F162" s="56" t="n"/>
      <c r="G162" s="57" t="n"/>
      <c r="H162" s="58" t="n"/>
      <c r="I162" s="38" t="n"/>
      <c r="J162" s="38" t="n"/>
      <c r="K162" s="38" t="n"/>
      <c r="L162" s="38" t="n"/>
      <c r="M162" s="53">
        <f>IF(B162="","",COUNTIFS('JOBS'!$E$5:$E$1504,B162,'JOBS'!$O$5:$O$1504,"Completed"))</f>
        <v/>
      </c>
      <c r="N162" s="52">
        <f>IF(B162="","",IF(_xlfn.MAXIFS('JOBS'!$B$5:$B$1504,'JOBS'!$E$5:$E$1504,B162,'JOBS'!$O$5:$O$1504,"Completed")=0,"",_xlfn.MAXIFS('JOBS'!$B$5:$B$1504,'JOBS'!$E$5:$E$1504,B162,'JOBS'!$O$5:$O$1504,"Completed")))</f>
        <v/>
      </c>
      <c r="O162" s="54">
        <f>IF(B162="","",IFERROR(AVERAGEIFS('JOBS'!$L$5:$L$1504,'JOBS'!$E$5:$E$1504,B162,'JOBS'!$O$5:$O$1504,"Completed"),""))</f>
        <v/>
      </c>
    </row>
    <row r="163">
      <c r="A163" s="46" t="inlineStr">
        <is>
          <t>P-159</t>
        </is>
      </c>
      <c r="B163" s="38" t="n"/>
      <c r="C163" s="38" t="n"/>
      <c r="D163" s="38" t="n"/>
      <c r="E163" s="38" t="n"/>
      <c r="F163" s="56" t="n"/>
      <c r="G163" s="57" t="n"/>
      <c r="H163" s="58" t="n"/>
      <c r="I163" s="38" t="n"/>
      <c r="J163" s="38" t="n"/>
      <c r="K163" s="38" t="n"/>
      <c r="L163" s="38" t="n"/>
      <c r="M163" s="53">
        <f>IF(B163="","",COUNTIFS('JOBS'!$E$5:$E$1504,B163,'JOBS'!$O$5:$O$1504,"Completed"))</f>
        <v/>
      </c>
      <c r="N163" s="52">
        <f>IF(B163="","",IF(_xlfn.MAXIFS('JOBS'!$B$5:$B$1504,'JOBS'!$E$5:$E$1504,B163,'JOBS'!$O$5:$O$1504,"Completed")=0,"",_xlfn.MAXIFS('JOBS'!$B$5:$B$1504,'JOBS'!$E$5:$E$1504,B163,'JOBS'!$O$5:$O$1504,"Completed")))</f>
        <v/>
      </c>
      <c r="O163" s="54">
        <f>IF(B163="","",IFERROR(AVERAGEIFS('JOBS'!$L$5:$L$1504,'JOBS'!$E$5:$E$1504,B163,'JOBS'!$O$5:$O$1504,"Completed"),""))</f>
        <v/>
      </c>
    </row>
    <row r="164">
      <c r="A164" s="46" t="inlineStr">
        <is>
          <t>P-160</t>
        </is>
      </c>
      <c r="B164" s="38" t="n"/>
      <c r="C164" s="38" t="n"/>
      <c r="D164" s="38" t="n"/>
      <c r="E164" s="38" t="n"/>
      <c r="F164" s="56" t="n"/>
      <c r="G164" s="57" t="n"/>
      <c r="H164" s="58" t="n"/>
      <c r="I164" s="38" t="n"/>
      <c r="J164" s="38" t="n"/>
      <c r="K164" s="38" t="n"/>
      <c r="L164" s="38" t="n"/>
      <c r="M164" s="53">
        <f>IF(B164="","",COUNTIFS('JOBS'!$E$5:$E$1504,B164,'JOBS'!$O$5:$O$1504,"Completed"))</f>
        <v/>
      </c>
      <c r="N164" s="52">
        <f>IF(B164="","",IF(_xlfn.MAXIFS('JOBS'!$B$5:$B$1504,'JOBS'!$E$5:$E$1504,B164,'JOBS'!$O$5:$O$1504,"Completed")=0,"",_xlfn.MAXIFS('JOBS'!$B$5:$B$1504,'JOBS'!$E$5:$E$1504,B164,'JOBS'!$O$5:$O$1504,"Completed")))</f>
        <v/>
      </c>
      <c r="O164" s="54">
        <f>IF(B164="","",IFERROR(AVERAGEIFS('JOBS'!$L$5:$L$1504,'JOBS'!$E$5:$E$1504,B164,'JOBS'!$O$5:$O$1504,"Completed"),""))</f>
        <v/>
      </c>
    </row>
    <row r="165">
      <c r="A165" s="46" t="inlineStr">
        <is>
          <t>P-161</t>
        </is>
      </c>
      <c r="B165" s="38" t="n"/>
      <c r="C165" s="38" t="n"/>
      <c r="D165" s="38" t="n"/>
      <c r="E165" s="38" t="n"/>
      <c r="F165" s="56" t="n"/>
      <c r="G165" s="57" t="n"/>
      <c r="H165" s="58" t="n"/>
      <c r="I165" s="38" t="n"/>
      <c r="J165" s="38" t="n"/>
      <c r="K165" s="38" t="n"/>
      <c r="L165" s="38" t="n"/>
      <c r="M165" s="53">
        <f>IF(B165="","",COUNTIFS('JOBS'!$E$5:$E$1504,B165,'JOBS'!$O$5:$O$1504,"Completed"))</f>
        <v/>
      </c>
      <c r="N165" s="52">
        <f>IF(B165="","",IF(_xlfn.MAXIFS('JOBS'!$B$5:$B$1504,'JOBS'!$E$5:$E$1504,B165,'JOBS'!$O$5:$O$1504,"Completed")=0,"",_xlfn.MAXIFS('JOBS'!$B$5:$B$1504,'JOBS'!$E$5:$E$1504,B165,'JOBS'!$O$5:$O$1504,"Completed")))</f>
        <v/>
      </c>
      <c r="O165" s="54">
        <f>IF(B165="","",IFERROR(AVERAGEIFS('JOBS'!$L$5:$L$1504,'JOBS'!$E$5:$E$1504,B165,'JOBS'!$O$5:$O$1504,"Completed"),""))</f>
        <v/>
      </c>
    </row>
    <row r="166">
      <c r="A166" s="46" t="inlineStr">
        <is>
          <t>P-162</t>
        </is>
      </c>
      <c r="B166" s="38" t="n"/>
      <c r="C166" s="38" t="n"/>
      <c r="D166" s="38" t="n"/>
      <c r="E166" s="38" t="n"/>
      <c r="F166" s="56" t="n"/>
      <c r="G166" s="57" t="n"/>
      <c r="H166" s="58" t="n"/>
      <c r="I166" s="38" t="n"/>
      <c r="J166" s="38" t="n"/>
      <c r="K166" s="38" t="n"/>
      <c r="L166" s="38" t="n"/>
      <c r="M166" s="53">
        <f>IF(B166="","",COUNTIFS('JOBS'!$E$5:$E$1504,B166,'JOBS'!$O$5:$O$1504,"Completed"))</f>
        <v/>
      </c>
      <c r="N166" s="52">
        <f>IF(B166="","",IF(_xlfn.MAXIFS('JOBS'!$B$5:$B$1504,'JOBS'!$E$5:$E$1504,B166,'JOBS'!$O$5:$O$1504,"Completed")=0,"",_xlfn.MAXIFS('JOBS'!$B$5:$B$1504,'JOBS'!$E$5:$E$1504,B166,'JOBS'!$O$5:$O$1504,"Completed")))</f>
        <v/>
      </c>
      <c r="O166" s="54">
        <f>IF(B166="","",IFERROR(AVERAGEIFS('JOBS'!$L$5:$L$1504,'JOBS'!$E$5:$E$1504,B166,'JOBS'!$O$5:$O$1504,"Completed"),""))</f>
        <v/>
      </c>
    </row>
    <row r="167">
      <c r="A167" s="46" t="inlineStr">
        <is>
          <t>P-163</t>
        </is>
      </c>
      <c r="B167" s="38" t="n"/>
      <c r="C167" s="38" t="n"/>
      <c r="D167" s="38" t="n"/>
      <c r="E167" s="38" t="n"/>
      <c r="F167" s="56" t="n"/>
      <c r="G167" s="57" t="n"/>
      <c r="H167" s="58" t="n"/>
      <c r="I167" s="38" t="n"/>
      <c r="J167" s="38" t="n"/>
      <c r="K167" s="38" t="n"/>
      <c r="L167" s="38" t="n"/>
      <c r="M167" s="53">
        <f>IF(B167="","",COUNTIFS('JOBS'!$E$5:$E$1504,B167,'JOBS'!$O$5:$O$1504,"Completed"))</f>
        <v/>
      </c>
      <c r="N167" s="52">
        <f>IF(B167="","",IF(_xlfn.MAXIFS('JOBS'!$B$5:$B$1504,'JOBS'!$E$5:$E$1504,B167,'JOBS'!$O$5:$O$1504,"Completed")=0,"",_xlfn.MAXIFS('JOBS'!$B$5:$B$1504,'JOBS'!$E$5:$E$1504,B167,'JOBS'!$O$5:$O$1504,"Completed")))</f>
        <v/>
      </c>
      <c r="O167" s="54">
        <f>IF(B167="","",IFERROR(AVERAGEIFS('JOBS'!$L$5:$L$1504,'JOBS'!$E$5:$E$1504,B167,'JOBS'!$O$5:$O$1504,"Completed"),""))</f>
        <v/>
      </c>
    </row>
    <row r="168">
      <c r="A168" s="46" t="inlineStr">
        <is>
          <t>P-164</t>
        </is>
      </c>
      <c r="B168" s="38" t="n"/>
      <c r="C168" s="38" t="n"/>
      <c r="D168" s="38" t="n"/>
      <c r="E168" s="38" t="n"/>
      <c r="F168" s="56" t="n"/>
      <c r="G168" s="57" t="n"/>
      <c r="H168" s="58" t="n"/>
      <c r="I168" s="38" t="n"/>
      <c r="J168" s="38" t="n"/>
      <c r="K168" s="38" t="n"/>
      <c r="L168" s="38" t="n"/>
      <c r="M168" s="53">
        <f>IF(B168="","",COUNTIFS('JOBS'!$E$5:$E$1504,B168,'JOBS'!$O$5:$O$1504,"Completed"))</f>
        <v/>
      </c>
      <c r="N168" s="52">
        <f>IF(B168="","",IF(_xlfn.MAXIFS('JOBS'!$B$5:$B$1504,'JOBS'!$E$5:$E$1504,B168,'JOBS'!$O$5:$O$1504,"Completed")=0,"",_xlfn.MAXIFS('JOBS'!$B$5:$B$1504,'JOBS'!$E$5:$E$1504,B168,'JOBS'!$O$5:$O$1504,"Completed")))</f>
        <v/>
      </c>
      <c r="O168" s="54">
        <f>IF(B168="","",IFERROR(AVERAGEIFS('JOBS'!$L$5:$L$1504,'JOBS'!$E$5:$E$1504,B168,'JOBS'!$O$5:$O$1504,"Completed"),""))</f>
        <v/>
      </c>
    </row>
    <row r="169">
      <c r="A169" s="46" t="inlineStr">
        <is>
          <t>P-165</t>
        </is>
      </c>
      <c r="B169" s="38" t="n"/>
      <c r="C169" s="38" t="n"/>
      <c r="D169" s="38" t="n"/>
      <c r="E169" s="38" t="n"/>
      <c r="F169" s="56" t="n"/>
      <c r="G169" s="57" t="n"/>
      <c r="H169" s="58" t="n"/>
      <c r="I169" s="38" t="n"/>
      <c r="J169" s="38" t="n"/>
      <c r="K169" s="38" t="n"/>
      <c r="L169" s="38" t="n"/>
      <c r="M169" s="53">
        <f>IF(B169="","",COUNTIFS('JOBS'!$E$5:$E$1504,B169,'JOBS'!$O$5:$O$1504,"Completed"))</f>
        <v/>
      </c>
      <c r="N169" s="52">
        <f>IF(B169="","",IF(_xlfn.MAXIFS('JOBS'!$B$5:$B$1504,'JOBS'!$E$5:$E$1504,B169,'JOBS'!$O$5:$O$1504,"Completed")=0,"",_xlfn.MAXIFS('JOBS'!$B$5:$B$1504,'JOBS'!$E$5:$E$1504,B169,'JOBS'!$O$5:$O$1504,"Completed")))</f>
        <v/>
      </c>
      <c r="O169" s="54">
        <f>IF(B169="","",IFERROR(AVERAGEIFS('JOBS'!$L$5:$L$1504,'JOBS'!$E$5:$E$1504,B169,'JOBS'!$O$5:$O$1504,"Completed"),""))</f>
        <v/>
      </c>
    </row>
    <row r="170">
      <c r="A170" s="46" t="inlineStr">
        <is>
          <t>P-166</t>
        </is>
      </c>
      <c r="B170" s="38" t="n"/>
      <c r="C170" s="38" t="n"/>
      <c r="D170" s="38" t="n"/>
      <c r="E170" s="38" t="n"/>
      <c r="F170" s="56" t="n"/>
      <c r="G170" s="57" t="n"/>
      <c r="H170" s="58" t="n"/>
      <c r="I170" s="38" t="n"/>
      <c r="J170" s="38" t="n"/>
      <c r="K170" s="38" t="n"/>
      <c r="L170" s="38" t="n"/>
      <c r="M170" s="53">
        <f>IF(B170="","",COUNTIFS('JOBS'!$E$5:$E$1504,B170,'JOBS'!$O$5:$O$1504,"Completed"))</f>
        <v/>
      </c>
      <c r="N170" s="52">
        <f>IF(B170="","",IF(_xlfn.MAXIFS('JOBS'!$B$5:$B$1504,'JOBS'!$E$5:$E$1504,B170,'JOBS'!$O$5:$O$1504,"Completed")=0,"",_xlfn.MAXIFS('JOBS'!$B$5:$B$1504,'JOBS'!$E$5:$E$1504,B170,'JOBS'!$O$5:$O$1504,"Completed")))</f>
        <v/>
      </c>
      <c r="O170" s="54">
        <f>IF(B170="","",IFERROR(AVERAGEIFS('JOBS'!$L$5:$L$1504,'JOBS'!$E$5:$E$1504,B170,'JOBS'!$O$5:$O$1504,"Completed"),""))</f>
        <v/>
      </c>
    </row>
    <row r="171">
      <c r="A171" s="46" t="inlineStr">
        <is>
          <t>P-167</t>
        </is>
      </c>
      <c r="B171" s="38" t="n"/>
      <c r="C171" s="38" t="n"/>
      <c r="D171" s="38" t="n"/>
      <c r="E171" s="38" t="n"/>
      <c r="F171" s="56" t="n"/>
      <c r="G171" s="57" t="n"/>
      <c r="H171" s="58" t="n"/>
      <c r="I171" s="38" t="n"/>
      <c r="J171" s="38" t="n"/>
      <c r="K171" s="38" t="n"/>
      <c r="L171" s="38" t="n"/>
      <c r="M171" s="53">
        <f>IF(B171="","",COUNTIFS('JOBS'!$E$5:$E$1504,B171,'JOBS'!$O$5:$O$1504,"Completed"))</f>
        <v/>
      </c>
      <c r="N171" s="52">
        <f>IF(B171="","",IF(_xlfn.MAXIFS('JOBS'!$B$5:$B$1504,'JOBS'!$E$5:$E$1504,B171,'JOBS'!$O$5:$O$1504,"Completed")=0,"",_xlfn.MAXIFS('JOBS'!$B$5:$B$1504,'JOBS'!$E$5:$E$1504,B171,'JOBS'!$O$5:$O$1504,"Completed")))</f>
        <v/>
      </c>
      <c r="O171" s="54">
        <f>IF(B171="","",IFERROR(AVERAGEIFS('JOBS'!$L$5:$L$1504,'JOBS'!$E$5:$E$1504,B171,'JOBS'!$O$5:$O$1504,"Completed"),""))</f>
        <v/>
      </c>
    </row>
    <row r="172">
      <c r="A172" s="46" t="inlineStr">
        <is>
          <t>P-168</t>
        </is>
      </c>
      <c r="B172" s="38" t="n"/>
      <c r="C172" s="38" t="n"/>
      <c r="D172" s="38" t="n"/>
      <c r="E172" s="38" t="n"/>
      <c r="F172" s="56" t="n"/>
      <c r="G172" s="57" t="n"/>
      <c r="H172" s="58" t="n"/>
      <c r="I172" s="38" t="n"/>
      <c r="J172" s="38" t="n"/>
      <c r="K172" s="38" t="n"/>
      <c r="L172" s="38" t="n"/>
      <c r="M172" s="53">
        <f>IF(B172="","",COUNTIFS('JOBS'!$E$5:$E$1504,B172,'JOBS'!$O$5:$O$1504,"Completed"))</f>
        <v/>
      </c>
      <c r="N172" s="52">
        <f>IF(B172="","",IF(_xlfn.MAXIFS('JOBS'!$B$5:$B$1504,'JOBS'!$E$5:$E$1504,B172,'JOBS'!$O$5:$O$1504,"Completed")=0,"",_xlfn.MAXIFS('JOBS'!$B$5:$B$1504,'JOBS'!$E$5:$E$1504,B172,'JOBS'!$O$5:$O$1504,"Completed")))</f>
        <v/>
      </c>
      <c r="O172" s="54">
        <f>IF(B172="","",IFERROR(AVERAGEIFS('JOBS'!$L$5:$L$1504,'JOBS'!$E$5:$E$1504,B172,'JOBS'!$O$5:$O$1504,"Completed"),""))</f>
        <v/>
      </c>
    </row>
    <row r="173">
      <c r="A173" s="46" t="inlineStr">
        <is>
          <t>P-169</t>
        </is>
      </c>
      <c r="B173" s="38" t="n"/>
      <c r="C173" s="38" t="n"/>
      <c r="D173" s="38" t="n"/>
      <c r="E173" s="38" t="n"/>
      <c r="F173" s="56" t="n"/>
      <c r="G173" s="57" t="n"/>
      <c r="H173" s="58" t="n"/>
      <c r="I173" s="38" t="n"/>
      <c r="J173" s="38" t="n"/>
      <c r="K173" s="38" t="n"/>
      <c r="L173" s="38" t="n"/>
      <c r="M173" s="53">
        <f>IF(B173="","",COUNTIFS('JOBS'!$E$5:$E$1504,B173,'JOBS'!$O$5:$O$1504,"Completed"))</f>
        <v/>
      </c>
      <c r="N173" s="52">
        <f>IF(B173="","",IF(_xlfn.MAXIFS('JOBS'!$B$5:$B$1504,'JOBS'!$E$5:$E$1504,B173,'JOBS'!$O$5:$O$1504,"Completed")=0,"",_xlfn.MAXIFS('JOBS'!$B$5:$B$1504,'JOBS'!$E$5:$E$1504,B173,'JOBS'!$O$5:$O$1504,"Completed")))</f>
        <v/>
      </c>
      <c r="O173" s="54">
        <f>IF(B173="","",IFERROR(AVERAGEIFS('JOBS'!$L$5:$L$1504,'JOBS'!$E$5:$E$1504,B173,'JOBS'!$O$5:$O$1504,"Completed"),""))</f>
        <v/>
      </c>
    </row>
    <row r="174">
      <c r="A174" s="46" t="inlineStr">
        <is>
          <t>P-170</t>
        </is>
      </c>
      <c r="B174" s="38" t="n"/>
      <c r="C174" s="38" t="n"/>
      <c r="D174" s="38" t="n"/>
      <c r="E174" s="38" t="n"/>
      <c r="F174" s="56" t="n"/>
      <c r="G174" s="57" t="n"/>
      <c r="H174" s="58" t="n"/>
      <c r="I174" s="38" t="n"/>
      <c r="J174" s="38" t="n"/>
      <c r="K174" s="38" t="n"/>
      <c r="L174" s="38" t="n"/>
      <c r="M174" s="53">
        <f>IF(B174="","",COUNTIFS('JOBS'!$E$5:$E$1504,B174,'JOBS'!$O$5:$O$1504,"Completed"))</f>
        <v/>
      </c>
      <c r="N174" s="52">
        <f>IF(B174="","",IF(_xlfn.MAXIFS('JOBS'!$B$5:$B$1504,'JOBS'!$E$5:$E$1504,B174,'JOBS'!$O$5:$O$1504,"Completed")=0,"",_xlfn.MAXIFS('JOBS'!$B$5:$B$1504,'JOBS'!$E$5:$E$1504,B174,'JOBS'!$O$5:$O$1504,"Completed")))</f>
        <v/>
      </c>
      <c r="O174" s="54">
        <f>IF(B174="","",IFERROR(AVERAGEIFS('JOBS'!$L$5:$L$1504,'JOBS'!$E$5:$E$1504,B174,'JOBS'!$O$5:$O$1504,"Completed"),""))</f>
        <v/>
      </c>
    </row>
    <row r="175">
      <c r="A175" s="46" t="inlineStr">
        <is>
          <t>P-171</t>
        </is>
      </c>
      <c r="B175" s="38" t="n"/>
      <c r="C175" s="38" t="n"/>
      <c r="D175" s="38" t="n"/>
      <c r="E175" s="38" t="n"/>
      <c r="F175" s="56" t="n"/>
      <c r="G175" s="57" t="n"/>
      <c r="H175" s="58" t="n"/>
      <c r="I175" s="38" t="n"/>
      <c r="J175" s="38" t="n"/>
      <c r="K175" s="38" t="n"/>
      <c r="L175" s="38" t="n"/>
      <c r="M175" s="53">
        <f>IF(B175="","",COUNTIFS('JOBS'!$E$5:$E$1504,B175,'JOBS'!$O$5:$O$1504,"Completed"))</f>
        <v/>
      </c>
      <c r="N175" s="52">
        <f>IF(B175="","",IF(_xlfn.MAXIFS('JOBS'!$B$5:$B$1504,'JOBS'!$E$5:$E$1504,B175,'JOBS'!$O$5:$O$1504,"Completed")=0,"",_xlfn.MAXIFS('JOBS'!$B$5:$B$1504,'JOBS'!$E$5:$E$1504,B175,'JOBS'!$O$5:$O$1504,"Completed")))</f>
        <v/>
      </c>
      <c r="O175" s="54">
        <f>IF(B175="","",IFERROR(AVERAGEIFS('JOBS'!$L$5:$L$1504,'JOBS'!$E$5:$E$1504,B175,'JOBS'!$O$5:$O$1504,"Completed"),""))</f>
        <v/>
      </c>
    </row>
    <row r="176">
      <c r="A176" s="46" t="inlineStr">
        <is>
          <t>P-172</t>
        </is>
      </c>
      <c r="B176" s="38" t="n"/>
      <c r="C176" s="38" t="n"/>
      <c r="D176" s="38" t="n"/>
      <c r="E176" s="38" t="n"/>
      <c r="F176" s="56" t="n"/>
      <c r="G176" s="57" t="n"/>
      <c r="H176" s="58" t="n"/>
      <c r="I176" s="38" t="n"/>
      <c r="J176" s="38" t="n"/>
      <c r="K176" s="38" t="n"/>
      <c r="L176" s="38" t="n"/>
      <c r="M176" s="53">
        <f>IF(B176="","",COUNTIFS('JOBS'!$E$5:$E$1504,B176,'JOBS'!$O$5:$O$1504,"Completed"))</f>
        <v/>
      </c>
      <c r="N176" s="52">
        <f>IF(B176="","",IF(_xlfn.MAXIFS('JOBS'!$B$5:$B$1504,'JOBS'!$E$5:$E$1504,B176,'JOBS'!$O$5:$O$1504,"Completed")=0,"",_xlfn.MAXIFS('JOBS'!$B$5:$B$1504,'JOBS'!$E$5:$E$1504,B176,'JOBS'!$O$5:$O$1504,"Completed")))</f>
        <v/>
      </c>
      <c r="O176" s="54">
        <f>IF(B176="","",IFERROR(AVERAGEIFS('JOBS'!$L$5:$L$1504,'JOBS'!$E$5:$E$1504,B176,'JOBS'!$O$5:$O$1504,"Completed"),""))</f>
        <v/>
      </c>
    </row>
    <row r="177">
      <c r="A177" s="46" t="inlineStr">
        <is>
          <t>P-173</t>
        </is>
      </c>
      <c r="B177" s="38" t="n"/>
      <c r="C177" s="38" t="n"/>
      <c r="D177" s="38" t="n"/>
      <c r="E177" s="38" t="n"/>
      <c r="F177" s="56" t="n"/>
      <c r="G177" s="57" t="n"/>
      <c r="H177" s="58" t="n"/>
      <c r="I177" s="38" t="n"/>
      <c r="J177" s="38" t="n"/>
      <c r="K177" s="38" t="n"/>
      <c r="L177" s="38" t="n"/>
      <c r="M177" s="53">
        <f>IF(B177="","",COUNTIFS('JOBS'!$E$5:$E$1504,B177,'JOBS'!$O$5:$O$1504,"Completed"))</f>
        <v/>
      </c>
      <c r="N177" s="52">
        <f>IF(B177="","",IF(_xlfn.MAXIFS('JOBS'!$B$5:$B$1504,'JOBS'!$E$5:$E$1504,B177,'JOBS'!$O$5:$O$1504,"Completed")=0,"",_xlfn.MAXIFS('JOBS'!$B$5:$B$1504,'JOBS'!$E$5:$E$1504,B177,'JOBS'!$O$5:$O$1504,"Completed")))</f>
        <v/>
      </c>
      <c r="O177" s="54">
        <f>IF(B177="","",IFERROR(AVERAGEIFS('JOBS'!$L$5:$L$1504,'JOBS'!$E$5:$E$1504,B177,'JOBS'!$O$5:$O$1504,"Completed"),""))</f>
        <v/>
      </c>
    </row>
    <row r="178">
      <c r="A178" s="46" t="inlineStr">
        <is>
          <t>P-174</t>
        </is>
      </c>
      <c r="B178" s="38" t="n"/>
      <c r="C178" s="38" t="n"/>
      <c r="D178" s="38" t="n"/>
      <c r="E178" s="38" t="n"/>
      <c r="F178" s="56" t="n"/>
      <c r="G178" s="57" t="n"/>
      <c r="H178" s="58" t="n"/>
      <c r="I178" s="38" t="n"/>
      <c r="J178" s="38" t="n"/>
      <c r="K178" s="38" t="n"/>
      <c r="L178" s="38" t="n"/>
      <c r="M178" s="53">
        <f>IF(B178="","",COUNTIFS('JOBS'!$E$5:$E$1504,B178,'JOBS'!$O$5:$O$1504,"Completed"))</f>
        <v/>
      </c>
      <c r="N178" s="52">
        <f>IF(B178="","",IF(_xlfn.MAXIFS('JOBS'!$B$5:$B$1504,'JOBS'!$E$5:$E$1504,B178,'JOBS'!$O$5:$O$1504,"Completed")=0,"",_xlfn.MAXIFS('JOBS'!$B$5:$B$1504,'JOBS'!$E$5:$E$1504,B178,'JOBS'!$O$5:$O$1504,"Completed")))</f>
        <v/>
      </c>
      <c r="O178" s="54">
        <f>IF(B178="","",IFERROR(AVERAGEIFS('JOBS'!$L$5:$L$1504,'JOBS'!$E$5:$E$1504,B178,'JOBS'!$O$5:$O$1504,"Completed"),""))</f>
        <v/>
      </c>
    </row>
    <row r="179">
      <c r="A179" s="46" t="inlineStr">
        <is>
          <t>P-175</t>
        </is>
      </c>
      <c r="B179" s="38" t="n"/>
      <c r="C179" s="38" t="n"/>
      <c r="D179" s="38" t="n"/>
      <c r="E179" s="38" t="n"/>
      <c r="F179" s="56" t="n"/>
      <c r="G179" s="57" t="n"/>
      <c r="H179" s="58" t="n"/>
      <c r="I179" s="38" t="n"/>
      <c r="J179" s="38" t="n"/>
      <c r="K179" s="38" t="n"/>
      <c r="L179" s="38" t="n"/>
      <c r="M179" s="53">
        <f>IF(B179="","",COUNTIFS('JOBS'!$E$5:$E$1504,B179,'JOBS'!$O$5:$O$1504,"Completed"))</f>
        <v/>
      </c>
      <c r="N179" s="52">
        <f>IF(B179="","",IF(_xlfn.MAXIFS('JOBS'!$B$5:$B$1504,'JOBS'!$E$5:$E$1504,B179,'JOBS'!$O$5:$O$1504,"Completed")=0,"",_xlfn.MAXIFS('JOBS'!$B$5:$B$1504,'JOBS'!$E$5:$E$1504,B179,'JOBS'!$O$5:$O$1504,"Completed")))</f>
        <v/>
      </c>
      <c r="O179" s="54">
        <f>IF(B179="","",IFERROR(AVERAGEIFS('JOBS'!$L$5:$L$1504,'JOBS'!$E$5:$E$1504,B179,'JOBS'!$O$5:$O$1504,"Completed"),""))</f>
        <v/>
      </c>
    </row>
    <row r="180">
      <c r="A180" s="46" t="inlineStr">
        <is>
          <t>P-176</t>
        </is>
      </c>
      <c r="B180" s="38" t="n"/>
      <c r="C180" s="38" t="n"/>
      <c r="D180" s="38" t="n"/>
      <c r="E180" s="38" t="n"/>
      <c r="F180" s="56" t="n"/>
      <c r="G180" s="57" t="n"/>
      <c r="H180" s="58" t="n"/>
      <c r="I180" s="38" t="n"/>
      <c r="J180" s="38" t="n"/>
      <c r="K180" s="38" t="n"/>
      <c r="L180" s="38" t="n"/>
      <c r="M180" s="53">
        <f>IF(B180="","",COUNTIFS('JOBS'!$E$5:$E$1504,B180,'JOBS'!$O$5:$O$1504,"Completed"))</f>
        <v/>
      </c>
      <c r="N180" s="52">
        <f>IF(B180="","",IF(_xlfn.MAXIFS('JOBS'!$B$5:$B$1504,'JOBS'!$E$5:$E$1504,B180,'JOBS'!$O$5:$O$1504,"Completed")=0,"",_xlfn.MAXIFS('JOBS'!$B$5:$B$1504,'JOBS'!$E$5:$E$1504,B180,'JOBS'!$O$5:$O$1504,"Completed")))</f>
        <v/>
      </c>
      <c r="O180" s="54">
        <f>IF(B180="","",IFERROR(AVERAGEIFS('JOBS'!$L$5:$L$1504,'JOBS'!$E$5:$E$1504,B180,'JOBS'!$O$5:$O$1504,"Completed"),""))</f>
        <v/>
      </c>
    </row>
    <row r="181">
      <c r="A181" s="46" t="inlineStr">
        <is>
          <t>P-177</t>
        </is>
      </c>
      <c r="B181" s="38" t="n"/>
      <c r="C181" s="38" t="n"/>
      <c r="D181" s="38" t="n"/>
      <c r="E181" s="38" t="n"/>
      <c r="F181" s="56" t="n"/>
      <c r="G181" s="57" t="n"/>
      <c r="H181" s="58" t="n"/>
      <c r="I181" s="38" t="n"/>
      <c r="J181" s="38" t="n"/>
      <c r="K181" s="38" t="n"/>
      <c r="L181" s="38" t="n"/>
      <c r="M181" s="53">
        <f>IF(B181="","",COUNTIFS('JOBS'!$E$5:$E$1504,B181,'JOBS'!$O$5:$O$1504,"Completed"))</f>
        <v/>
      </c>
      <c r="N181" s="52">
        <f>IF(B181="","",IF(_xlfn.MAXIFS('JOBS'!$B$5:$B$1504,'JOBS'!$E$5:$E$1504,B181,'JOBS'!$O$5:$O$1504,"Completed")=0,"",_xlfn.MAXIFS('JOBS'!$B$5:$B$1504,'JOBS'!$E$5:$E$1504,B181,'JOBS'!$O$5:$O$1504,"Completed")))</f>
        <v/>
      </c>
      <c r="O181" s="54">
        <f>IF(B181="","",IFERROR(AVERAGEIFS('JOBS'!$L$5:$L$1504,'JOBS'!$E$5:$E$1504,B181,'JOBS'!$O$5:$O$1504,"Completed"),""))</f>
        <v/>
      </c>
    </row>
    <row r="182">
      <c r="A182" s="46" t="inlineStr">
        <is>
          <t>P-178</t>
        </is>
      </c>
      <c r="B182" s="38" t="n"/>
      <c r="C182" s="38" t="n"/>
      <c r="D182" s="38" t="n"/>
      <c r="E182" s="38" t="n"/>
      <c r="F182" s="56" t="n"/>
      <c r="G182" s="57" t="n"/>
      <c r="H182" s="58" t="n"/>
      <c r="I182" s="38" t="n"/>
      <c r="J182" s="38" t="n"/>
      <c r="K182" s="38" t="n"/>
      <c r="L182" s="38" t="n"/>
      <c r="M182" s="53">
        <f>IF(B182="","",COUNTIFS('JOBS'!$E$5:$E$1504,B182,'JOBS'!$O$5:$O$1504,"Completed"))</f>
        <v/>
      </c>
      <c r="N182" s="52">
        <f>IF(B182="","",IF(_xlfn.MAXIFS('JOBS'!$B$5:$B$1504,'JOBS'!$E$5:$E$1504,B182,'JOBS'!$O$5:$O$1504,"Completed")=0,"",_xlfn.MAXIFS('JOBS'!$B$5:$B$1504,'JOBS'!$E$5:$E$1504,B182,'JOBS'!$O$5:$O$1504,"Completed")))</f>
        <v/>
      </c>
      <c r="O182" s="54">
        <f>IF(B182="","",IFERROR(AVERAGEIFS('JOBS'!$L$5:$L$1504,'JOBS'!$E$5:$E$1504,B182,'JOBS'!$O$5:$O$1504,"Completed"),""))</f>
        <v/>
      </c>
    </row>
    <row r="183">
      <c r="A183" s="46" t="inlineStr">
        <is>
          <t>P-179</t>
        </is>
      </c>
      <c r="B183" s="38" t="n"/>
      <c r="C183" s="38" t="n"/>
      <c r="D183" s="38" t="n"/>
      <c r="E183" s="38" t="n"/>
      <c r="F183" s="56" t="n"/>
      <c r="G183" s="57" t="n"/>
      <c r="H183" s="58" t="n"/>
      <c r="I183" s="38" t="n"/>
      <c r="J183" s="38" t="n"/>
      <c r="K183" s="38" t="n"/>
      <c r="L183" s="38" t="n"/>
      <c r="M183" s="53">
        <f>IF(B183="","",COUNTIFS('JOBS'!$E$5:$E$1504,B183,'JOBS'!$O$5:$O$1504,"Completed"))</f>
        <v/>
      </c>
      <c r="N183" s="52">
        <f>IF(B183="","",IF(_xlfn.MAXIFS('JOBS'!$B$5:$B$1504,'JOBS'!$E$5:$E$1504,B183,'JOBS'!$O$5:$O$1504,"Completed")=0,"",_xlfn.MAXIFS('JOBS'!$B$5:$B$1504,'JOBS'!$E$5:$E$1504,B183,'JOBS'!$O$5:$O$1504,"Completed")))</f>
        <v/>
      </c>
      <c r="O183" s="54">
        <f>IF(B183="","",IFERROR(AVERAGEIFS('JOBS'!$L$5:$L$1504,'JOBS'!$E$5:$E$1504,B183,'JOBS'!$O$5:$O$1504,"Completed"),""))</f>
        <v/>
      </c>
    </row>
    <row r="184">
      <c r="A184" s="46" t="inlineStr">
        <is>
          <t>P-180</t>
        </is>
      </c>
      <c r="B184" s="38" t="n"/>
      <c r="C184" s="38" t="n"/>
      <c r="D184" s="38" t="n"/>
      <c r="E184" s="38" t="n"/>
      <c r="F184" s="56" t="n"/>
      <c r="G184" s="57" t="n"/>
      <c r="H184" s="58" t="n"/>
      <c r="I184" s="38" t="n"/>
      <c r="J184" s="38" t="n"/>
      <c r="K184" s="38" t="n"/>
      <c r="L184" s="38" t="n"/>
      <c r="M184" s="53">
        <f>IF(B184="","",COUNTIFS('JOBS'!$E$5:$E$1504,B184,'JOBS'!$O$5:$O$1504,"Completed"))</f>
        <v/>
      </c>
      <c r="N184" s="52">
        <f>IF(B184="","",IF(_xlfn.MAXIFS('JOBS'!$B$5:$B$1504,'JOBS'!$E$5:$E$1504,B184,'JOBS'!$O$5:$O$1504,"Completed")=0,"",_xlfn.MAXIFS('JOBS'!$B$5:$B$1504,'JOBS'!$E$5:$E$1504,B184,'JOBS'!$O$5:$O$1504,"Completed")))</f>
        <v/>
      </c>
      <c r="O184" s="54">
        <f>IF(B184="","",IFERROR(AVERAGEIFS('JOBS'!$L$5:$L$1504,'JOBS'!$E$5:$E$1504,B184,'JOBS'!$O$5:$O$1504,"Completed"),""))</f>
        <v/>
      </c>
    </row>
    <row r="185">
      <c r="A185" s="46" t="inlineStr">
        <is>
          <t>P-181</t>
        </is>
      </c>
      <c r="B185" s="38" t="n"/>
      <c r="C185" s="38" t="n"/>
      <c r="D185" s="38" t="n"/>
      <c r="E185" s="38" t="n"/>
      <c r="F185" s="56" t="n"/>
      <c r="G185" s="57" t="n"/>
      <c r="H185" s="58" t="n"/>
      <c r="I185" s="38" t="n"/>
      <c r="J185" s="38" t="n"/>
      <c r="K185" s="38" t="n"/>
      <c r="L185" s="38" t="n"/>
      <c r="M185" s="53">
        <f>IF(B185="","",COUNTIFS('JOBS'!$E$5:$E$1504,B185,'JOBS'!$O$5:$O$1504,"Completed"))</f>
        <v/>
      </c>
      <c r="N185" s="52">
        <f>IF(B185="","",IF(_xlfn.MAXIFS('JOBS'!$B$5:$B$1504,'JOBS'!$E$5:$E$1504,B185,'JOBS'!$O$5:$O$1504,"Completed")=0,"",_xlfn.MAXIFS('JOBS'!$B$5:$B$1504,'JOBS'!$E$5:$E$1504,B185,'JOBS'!$O$5:$O$1504,"Completed")))</f>
        <v/>
      </c>
      <c r="O185" s="54">
        <f>IF(B185="","",IFERROR(AVERAGEIFS('JOBS'!$L$5:$L$1504,'JOBS'!$E$5:$E$1504,B185,'JOBS'!$O$5:$O$1504,"Completed"),""))</f>
        <v/>
      </c>
    </row>
    <row r="186">
      <c r="A186" s="46" t="inlineStr">
        <is>
          <t>P-182</t>
        </is>
      </c>
      <c r="B186" s="38" t="n"/>
      <c r="C186" s="38" t="n"/>
      <c r="D186" s="38" t="n"/>
      <c r="E186" s="38" t="n"/>
      <c r="F186" s="56" t="n"/>
      <c r="G186" s="57" t="n"/>
      <c r="H186" s="58" t="n"/>
      <c r="I186" s="38" t="n"/>
      <c r="J186" s="38" t="n"/>
      <c r="K186" s="38" t="n"/>
      <c r="L186" s="38" t="n"/>
      <c r="M186" s="53">
        <f>IF(B186="","",COUNTIFS('JOBS'!$E$5:$E$1504,B186,'JOBS'!$O$5:$O$1504,"Completed"))</f>
        <v/>
      </c>
      <c r="N186" s="52">
        <f>IF(B186="","",IF(_xlfn.MAXIFS('JOBS'!$B$5:$B$1504,'JOBS'!$E$5:$E$1504,B186,'JOBS'!$O$5:$O$1504,"Completed")=0,"",_xlfn.MAXIFS('JOBS'!$B$5:$B$1504,'JOBS'!$E$5:$E$1504,B186,'JOBS'!$O$5:$O$1504,"Completed")))</f>
        <v/>
      </c>
      <c r="O186" s="54">
        <f>IF(B186="","",IFERROR(AVERAGEIFS('JOBS'!$L$5:$L$1504,'JOBS'!$E$5:$E$1504,B186,'JOBS'!$O$5:$O$1504,"Completed"),""))</f>
        <v/>
      </c>
    </row>
    <row r="187">
      <c r="A187" s="46" t="inlineStr">
        <is>
          <t>P-183</t>
        </is>
      </c>
      <c r="B187" s="38" t="n"/>
      <c r="C187" s="38" t="n"/>
      <c r="D187" s="38" t="n"/>
      <c r="E187" s="38" t="n"/>
      <c r="F187" s="56" t="n"/>
      <c r="G187" s="57" t="n"/>
      <c r="H187" s="58" t="n"/>
      <c r="I187" s="38" t="n"/>
      <c r="J187" s="38" t="n"/>
      <c r="K187" s="38" t="n"/>
      <c r="L187" s="38" t="n"/>
      <c r="M187" s="53">
        <f>IF(B187="","",COUNTIFS('JOBS'!$E$5:$E$1504,B187,'JOBS'!$O$5:$O$1504,"Completed"))</f>
        <v/>
      </c>
      <c r="N187" s="52">
        <f>IF(B187="","",IF(_xlfn.MAXIFS('JOBS'!$B$5:$B$1504,'JOBS'!$E$5:$E$1504,B187,'JOBS'!$O$5:$O$1504,"Completed")=0,"",_xlfn.MAXIFS('JOBS'!$B$5:$B$1504,'JOBS'!$E$5:$E$1504,B187,'JOBS'!$O$5:$O$1504,"Completed")))</f>
        <v/>
      </c>
      <c r="O187" s="54">
        <f>IF(B187="","",IFERROR(AVERAGEIFS('JOBS'!$L$5:$L$1504,'JOBS'!$E$5:$E$1504,B187,'JOBS'!$O$5:$O$1504,"Completed"),""))</f>
        <v/>
      </c>
    </row>
    <row r="188">
      <c r="A188" s="46" t="inlineStr">
        <is>
          <t>P-184</t>
        </is>
      </c>
      <c r="B188" s="38" t="n"/>
      <c r="C188" s="38" t="n"/>
      <c r="D188" s="38" t="n"/>
      <c r="E188" s="38" t="n"/>
      <c r="F188" s="56" t="n"/>
      <c r="G188" s="57" t="n"/>
      <c r="H188" s="58" t="n"/>
      <c r="I188" s="38" t="n"/>
      <c r="J188" s="38" t="n"/>
      <c r="K188" s="38" t="n"/>
      <c r="L188" s="38" t="n"/>
      <c r="M188" s="53">
        <f>IF(B188="","",COUNTIFS('JOBS'!$E$5:$E$1504,B188,'JOBS'!$O$5:$O$1504,"Completed"))</f>
        <v/>
      </c>
      <c r="N188" s="52">
        <f>IF(B188="","",IF(_xlfn.MAXIFS('JOBS'!$B$5:$B$1504,'JOBS'!$E$5:$E$1504,B188,'JOBS'!$O$5:$O$1504,"Completed")=0,"",_xlfn.MAXIFS('JOBS'!$B$5:$B$1504,'JOBS'!$E$5:$E$1504,B188,'JOBS'!$O$5:$O$1504,"Completed")))</f>
        <v/>
      </c>
      <c r="O188" s="54">
        <f>IF(B188="","",IFERROR(AVERAGEIFS('JOBS'!$L$5:$L$1504,'JOBS'!$E$5:$E$1504,B188,'JOBS'!$O$5:$O$1504,"Completed"),""))</f>
        <v/>
      </c>
    </row>
    <row r="189">
      <c r="A189" s="46" t="inlineStr">
        <is>
          <t>P-185</t>
        </is>
      </c>
      <c r="B189" s="38" t="n"/>
      <c r="C189" s="38" t="n"/>
      <c r="D189" s="38" t="n"/>
      <c r="E189" s="38" t="n"/>
      <c r="F189" s="56" t="n"/>
      <c r="G189" s="57" t="n"/>
      <c r="H189" s="58" t="n"/>
      <c r="I189" s="38" t="n"/>
      <c r="J189" s="38" t="n"/>
      <c r="K189" s="38" t="n"/>
      <c r="L189" s="38" t="n"/>
      <c r="M189" s="53">
        <f>IF(B189="","",COUNTIFS('JOBS'!$E$5:$E$1504,B189,'JOBS'!$O$5:$O$1504,"Completed"))</f>
        <v/>
      </c>
      <c r="N189" s="52">
        <f>IF(B189="","",IF(_xlfn.MAXIFS('JOBS'!$B$5:$B$1504,'JOBS'!$E$5:$E$1504,B189,'JOBS'!$O$5:$O$1504,"Completed")=0,"",_xlfn.MAXIFS('JOBS'!$B$5:$B$1504,'JOBS'!$E$5:$E$1504,B189,'JOBS'!$O$5:$O$1504,"Completed")))</f>
        <v/>
      </c>
      <c r="O189" s="54">
        <f>IF(B189="","",IFERROR(AVERAGEIFS('JOBS'!$L$5:$L$1504,'JOBS'!$E$5:$E$1504,B189,'JOBS'!$O$5:$O$1504,"Completed"),""))</f>
        <v/>
      </c>
    </row>
    <row r="190">
      <c r="A190" s="46" t="inlineStr">
        <is>
          <t>P-186</t>
        </is>
      </c>
      <c r="B190" s="38" t="n"/>
      <c r="C190" s="38" t="n"/>
      <c r="D190" s="38" t="n"/>
      <c r="E190" s="38" t="n"/>
      <c r="F190" s="56" t="n"/>
      <c r="G190" s="57" t="n"/>
      <c r="H190" s="58" t="n"/>
      <c r="I190" s="38" t="n"/>
      <c r="J190" s="38" t="n"/>
      <c r="K190" s="38" t="n"/>
      <c r="L190" s="38" t="n"/>
      <c r="M190" s="53">
        <f>IF(B190="","",COUNTIFS('JOBS'!$E$5:$E$1504,B190,'JOBS'!$O$5:$O$1504,"Completed"))</f>
        <v/>
      </c>
      <c r="N190" s="52">
        <f>IF(B190="","",IF(_xlfn.MAXIFS('JOBS'!$B$5:$B$1504,'JOBS'!$E$5:$E$1504,B190,'JOBS'!$O$5:$O$1504,"Completed")=0,"",_xlfn.MAXIFS('JOBS'!$B$5:$B$1504,'JOBS'!$E$5:$E$1504,B190,'JOBS'!$O$5:$O$1504,"Completed")))</f>
        <v/>
      </c>
      <c r="O190" s="54">
        <f>IF(B190="","",IFERROR(AVERAGEIFS('JOBS'!$L$5:$L$1504,'JOBS'!$E$5:$E$1504,B190,'JOBS'!$O$5:$O$1504,"Completed"),""))</f>
        <v/>
      </c>
    </row>
    <row r="191">
      <c r="A191" s="46" t="inlineStr">
        <is>
          <t>P-187</t>
        </is>
      </c>
      <c r="B191" s="38" t="n"/>
      <c r="C191" s="38" t="n"/>
      <c r="D191" s="38" t="n"/>
      <c r="E191" s="38" t="n"/>
      <c r="F191" s="56" t="n"/>
      <c r="G191" s="57" t="n"/>
      <c r="H191" s="58" t="n"/>
      <c r="I191" s="38" t="n"/>
      <c r="J191" s="38" t="n"/>
      <c r="K191" s="38" t="n"/>
      <c r="L191" s="38" t="n"/>
      <c r="M191" s="53">
        <f>IF(B191="","",COUNTIFS('JOBS'!$E$5:$E$1504,B191,'JOBS'!$O$5:$O$1504,"Completed"))</f>
        <v/>
      </c>
      <c r="N191" s="52">
        <f>IF(B191="","",IF(_xlfn.MAXIFS('JOBS'!$B$5:$B$1504,'JOBS'!$E$5:$E$1504,B191,'JOBS'!$O$5:$O$1504,"Completed")=0,"",_xlfn.MAXIFS('JOBS'!$B$5:$B$1504,'JOBS'!$E$5:$E$1504,B191,'JOBS'!$O$5:$O$1504,"Completed")))</f>
        <v/>
      </c>
      <c r="O191" s="54">
        <f>IF(B191="","",IFERROR(AVERAGEIFS('JOBS'!$L$5:$L$1504,'JOBS'!$E$5:$E$1504,B191,'JOBS'!$O$5:$O$1504,"Completed"),""))</f>
        <v/>
      </c>
    </row>
    <row r="192">
      <c r="A192" s="46" t="inlineStr">
        <is>
          <t>P-188</t>
        </is>
      </c>
      <c r="B192" s="38" t="n"/>
      <c r="C192" s="38" t="n"/>
      <c r="D192" s="38" t="n"/>
      <c r="E192" s="38" t="n"/>
      <c r="F192" s="56" t="n"/>
      <c r="G192" s="57" t="n"/>
      <c r="H192" s="58" t="n"/>
      <c r="I192" s="38" t="n"/>
      <c r="J192" s="38" t="n"/>
      <c r="K192" s="38" t="n"/>
      <c r="L192" s="38" t="n"/>
      <c r="M192" s="53">
        <f>IF(B192="","",COUNTIFS('JOBS'!$E$5:$E$1504,B192,'JOBS'!$O$5:$O$1504,"Completed"))</f>
        <v/>
      </c>
      <c r="N192" s="52">
        <f>IF(B192="","",IF(_xlfn.MAXIFS('JOBS'!$B$5:$B$1504,'JOBS'!$E$5:$E$1504,B192,'JOBS'!$O$5:$O$1504,"Completed")=0,"",_xlfn.MAXIFS('JOBS'!$B$5:$B$1504,'JOBS'!$E$5:$E$1504,B192,'JOBS'!$O$5:$O$1504,"Completed")))</f>
        <v/>
      </c>
      <c r="O192" s="54">
        <f>IF(B192="","",IFERROR(AVERAGEIFS('JOBS'!$L$5:$L$1504,'JOBS'!$E$5:$E$1504,B192,'JOBS'!$O$5:$O$1504,"Completed"),""))</f>
        <v/>
      </c>
    </row>
    <row r="193">
      <c r="A193" s="46" t="inlineStr">
        <is>
          <t>P-189</t>
        </is>
      </c>
      <c r="B193" s="38" t="n"/>
      <c r="C193" s="38" t="n"/>
      <c r="D193" s="38" t="n"/>
      <c r="E193" s="38" t="n"/>
      <c r="F193" s="56" t="n"/>
      <c r="G193" s="57" t="n"/>
      <c r="H193" s="58" t="n"/>
      <c r="I193" s="38" t="n"/>
      <c r="J193" s="38" t="n"/>
      <c r="K193" s="38" t="n"/>
      <c r="L193" s="38" t="n"/>
      <c r="M193" s="53">
        <f>IF(B193="","",COUNTIFS('JOBS'!$E$5:$E$1504,B193,'JOBS'!$O$5:$O$1504,"Completed"))</f>
        <v/>
      </c>
      <c r="N193" s="52">
        <f>IF(B193="","",IF(_xlfn.MAXIFS('JOBS'!$B$5:$B$1504,'JOBS'!$E$5:$E$1504,B193,'JOBS'!$O$5:$O$1504,"Completed")=0,"",_xlfn.MAXIFS('JOBS'!$B$5:$B$1504,'JOBS'!$E$5:$E$1504,B193,'JOBS'!$O$5:$O$1504,"Completed")))</f>
        <v/>
      </c>
      <c r="O193" s="54">
        <f>IF(B193="","",IFERROR(AVERAGEIFS('JOBS'!$L$5:$L$1504,'JOBS'!$E$5:$E$1504,B193,'JOBS'!$O$5:$O$1504,"Completed"),""))</f>
        <v/>
      </c>
    </row>
    <row r="194">
      <c r="A194" s="46" t="inlineStr">
        <is>
          <t>P-190</t>
        </is>
      </c>
      <c r="B194" s="38" t="n"/>
      <c r="C194" s="38" t="n"/>
      <c r="D194" s="38" t="n"/>
      <c r="E194" s="38" t="n"/>
      <c r="F194" s="56" t="n"/>
      <c r="G194" s="57" t="n"/>
      <c r="H194" s="58" t="n"/>
      <c r="I194" s="38" t="n"/>
      <c r="J194" s="38" t="n"/>
      <c r="K194" s="38" t="n"/>
      <c r="L194" s="38" t="n"/>
      <c r="M194" s="53">
        <f>IF(B194="","",COUNTIFS('JOBS'!$E$5:$E$1504,B194,'JOBS'!$O$5:$O$1504,"Completed"))</f>
        <v/>
      </c>
      <c r="N194" s="52">
        <f>IF(B194="","",IF(_xlfn.MAXIFS('JOBS'!$B$5:$B$1504,'JOBS'!$E$5:$E$1504,B194,'JOBS'!$O$5:$O$1504,"Completed")=0,"",_xlfn.MAXIFS('JOBS'!$B$5:$B$1504,'JOBS'!$E$5:$E$1504,B194,'JOBS'!$O$5:$O$1504,"Completed")))</f>
        <v/>
      </c>
      <c r="O194" s="54">
        <f>IF(B194="","",IFERROR(AVERAGEIFS('JOBS'!$L$5:$L$1504,'JOBS'!$E$5:$E$1504,B194,'JOBS'!$O$5:$O$1504,"Completed"),""))</f>
        <v/>
      </c>
    </row>
    <row r="195">
      <c r="A195" s="46" t="inlineStr">
        <is>
          <t>P-191</t>
        </is>
      </c>
      <c r="B195" s="38" t="n"/>
      <c r="C195" s="38" t="n"/>
      <c r="D195" s="38" t="n"/>
      <c r="E195" s="38" t="n"/>
      <c r="F195" s="56" t="n"/>
      <c r="G195" s="57" t="n"/>
      <c r="H195" s="58" t="n"/>
      <c r="I195" s="38" t="n"/>
      <c r="J195" s="38" t="n"/>
      <c r="K195" s="38" t="n"/>
      <c r="L195" s="38" t="n"/>
      <c r="M195" s="53">
        <f>IF(B195="","",COUNTIFS('JOBS'!$E$5:$E$1504,B195,'JOBS'!$O$5:$O$1504,"Completed"))</f>
        <v/>
      </c>
      <c r="N195" s="52">
        <f>IF(B195="","",IF(_xlfn.MAXIFS('JOBS'!$B$5:$B$1504,'JOBS'!$E$5:$E$1504,B195,'JOBS'!$O$5:$O$1504,"Completed")=0,"",_xlfn.MAXIFS('JOBS'!$B$5:$B$1504,'JOBS'!$E$5:$E$1504,B195,'JOBS'!$O$5:$O$1504,"Completed")))</f>
        <v/>
      </c>
      <c r="O195" s="54">
        <f>IF(B195="","",IFERROR(AVERAGEIFS('JOBS'!$L$5:$L$1504,'JOBS'!$E$5:$E$1504,B195,'JOBS'!$O$5:$O$1504,"Completed"),""))</f>
        <v/>
      </c>
    </row>
    <row r="196">
      <c r="A196" s="46" t="inlineStr">
        <is>
          <t>P-192</t>
        </is>
      </c>
      <c r="B196" s="38" t="n"/>
      <c r="C196" s="38" t="n"/>
      <c r="D196" s="38" t="n"/>
      <c r="E196" s="38" t="n"/>
      <c r="F196" s="56" t="n"/>
      <c r="G196" s="57" t="n"/>
      <c r="H196" s="58" t="n"/>
      <c r="I196" s="38" t="n"/>
      <c r="J196" s="38" t="n"/>
      <c r="K196" s="38" t="n"/>
      <c r="L196" s="38" t="n"/>
      <c r="M196" s="53">
        <f>IF(B196="","",COUNTIFS('JOBS'!$E$5:$E$1504,B196,'JOBS'!$O$5:$O$1504,"Completed"))</f>
        <v/>
      </c>
      <c r="N196" s="52">
        <f>IF(B196="","",IF(_xlfn.MAXIFS('JOBS'!$B$5:$B$1504,'JOBS'!$E$5:$E$1504,B196,'JOBS'!$O$5:$O$1504,"Completed")=0,"",_xlfn.MAXIFS('JOBS'!$B$5:$B$1504,'JOBS'!$E$5:$E$1504,B196,'JOBS'!$O$5:$O$1504,"Completed")))</f>
        <v/>
      </c>
      <c r="O196" s="54">
        <f>IF(B196="","",IFERROR(AVERAGEIFS('JOBS'!$L$5:$L$1504,'JOBS'!$E$5:$E$1504,B196,'JOBS'!$O$5:$O$1504,"Completed"),""))</f>
        <v/>
      </c>
    </row>
    <row r="197">
      <c r="A197" s="46" t="inlineStr">
        <is>
          <t>P-193</t>
        </is>
      </c>
      <c r="B197" s="38" t="n"/>
      <c r="C197" s="38" t="n"/>
      <c r="D197" s="38" t="n"/>
      <c r="E197" s="38" t="n"/>
      <c r="F197" s="56" t="n"/>
      <c r="G197" s="57" t="n"/>
      <c r="H197" s="58" t="n"/>
      <c r="I197" s="38" t="n"/>
      <c r="J197" s="38" t="n"/>
      <c r="K197" s="38" t="n"/>
      <c r="L197" s="38" t="n"/>
      <c r="M197" s="53">
        <f>IF(B197="","",COUNTIFS('JOBS'!$E$5:$E$1504,B197,'JOBS'!$O$5:$O$1504,"Completed"))</f>
        <v/>
      </c>
      <c r="N197" s="52">
        <f>IF(B197="","",IF(_xlfn.MAXIFS('JOBS'!$B$5:$B$1504,'JOBS'!$E$5:$E$1504,B197,'JOBS'!$O$5:$O$1504,"Completed")=0,"",_xlfn.MAXIFS('JOBS'!$B$5:$B$1504,'JOBS'!$E$5:$E$1504,B197,'JOBS'!$O$5:$O$1504,"Completed")))</f>
        <v/>
      </c>
      <c r="O197" s="54">
        <f>IF(B197="","",IFERROR(AVERAGEIFS('JOBS'!$L$5:$L$1504,'JOBS'!$E$5:$E$1504,B197,'JOBS'!$O$5:$O$1504,"Completed"),""))</f>
        <v/>
      </c>
    </row>
    <row r="198">
      <c r="A198" s="46" t="inlineStr">
        <is>
          <t>P-194</t>
        </is>
      </c>
      <c r="B198" s="38" t="n"/>
      <c r="C198" s="38" t="n"/>
      <c r="D198" s="38" t="n"/>
      <c r="E198" s="38" t="n"/>
      <c r="F198" s="56" t="n"/>
      <c r="G198" s="57" t="n"/>
      <c r="H198" s="58" t="n"/>
      <c r="I198" s="38" t="n"/>
      <c r="J198" s="38" t="n"/>
      <c r="K198" s="38" t="n"/>
      <c r="L198" s="38" t="n"/>
      <c r="M198" s="53">
        <f>IF(B198="","",COUNTIFS('JOBS'!$E$5:$E$1504,B198,'JOBS'!$O$5:$O$1504,"Completed"))</f>
        <v/>
      </c>
      <c r="N198" s="52">
        <f>IF(B198="","",IF(_xlfn.MAXIFS('JOBS'!$B$5:$B$1504,'JOBS'!$E$5:$E$1504,B198,'JOBS'!$O$5:$O$1504,"Completed")=0,"",_xlfn.MAXIFS('JOBS'!$B$5:$B$1504,'JOBS'!$E$5:$E$1504,B198,'JOBS'!$O$5:$O$1504,"Completed")))</f>
        <v/>
      </c>
      <c r="O198" s="54">
        <f>IF(B198="","",IFERROR(AVERAGEIFS('JOBS'!$L$5:$L$1504,'JOBS'!$E$5:$E$1504,B198,'JOBS'!$O$5:$O$1504,"Completed"),""))</f>
        <v/>
      </c>
    </row>
    <row r="199">
      <c r="A199" s="46" t="inlineStr">
        <is>
          <t>P-195</t>
        </is>
      </c>
      <c r="B199" s="38" t="n"/>
      <c r="C199" s="38" t="n"/>
      <c r="D199" s="38" t="n"/>
      <c r="E199" s="38" t="n"/>
      <c r="F199" s="56" t="n"/>
      <c r="G199" s="57" t="n"/>
      <c r="H199" s="58" t="n"/>
      <c r="I199" s="38" t="n"/>
      <c r="J199" s="38" t="n"/>
      <c r="K199" s="38" t="n"/>
      <c r="L199" s="38" t="n"/>
      <c r="M199" s="53">
        <f>IF(B199="","",COUNTIFS('JOBS'!$E$5:$E$1504,B199,'JOBS'!$O$5:$O$1504,"Completed"))</f>
        <v/>
      </c>
      <c r="N199" s="52">
        <f>IF(B199="","",IF(_xlfn.MAXIFS('JOBS'!$B$5:$B$1504,'JOBS'!$E$5:$E$1504,B199,'JOBS'!$O$5:$O$1504,"Completed")=0,"",_xlfn.MAXIFS('JOBS'!$B$5:$B$1504,'JOBS'!$E$5:$E$1504,B199,'JOBS'!$O$5:$O$1504,"Completed")))</f>
        <v/>
      </c>
      <c r="O199" s="54">
        <f>IF(B199="","",IFERROR(AVERAGEIFS('JOBS'!$L$5:$L$1504,'JOBS'!$E$5:$E$1504,B199,'JOBS'!$O$5:$O$1504,"Completed"),""))</f>
        <v/>
      </c>
    </row>
    <row r="200">
      <c r="A200" s="46" t="inlineStr">
        <is>
          <t>P-196</t>
        </is>
      </c>
      <c r="B200" s="38" t="n"/>
      <c r="C200" s="38" t="n"/>
      <c r="D200" s="38" t="n"/>
      <c r="E200" s="38" t="n"/>
      <c r="F200" s="56" t="n"/>
      <c r="G200" s="57" t="n"/>
      <c r="H200" s="58" t="n"/>
      <c r="I200" s="38" t="n"/>
      <c r="J200" s="38" t="n"/>
      <c r="K200" s="38" t="n"/>
      <c r="L200" s="38" t="n"/>
      <c r="M200" s="53">
        <f>IF(B200="","",COUNTIFS('JOBS'!$E$5:$E$1504,B200,'JOBS'!$O$5:$O$1504,"Completed"))</f>
        <v/>
      </c>
      <c r="N200" s="52">
        <f>IF(B200="","",IF(_xlfn.MAXIFS('JOBS'!$B$5:$B$1504,'JOBS'!$E$5:$E$1504,B200,'JOBS'!$O$5:$O$1504,"Completed")=0,"",_xlfn.MAXIFS('JOBS'!$B$5:$B$1504,'JOBS'!$E$5:$E$1504,B200,'JOBS'!$O$5:$O$1504,"Completed")))</f>
        <v/>
      </c>
      <c r="O200" s="54">
        <f>IF(B200="","",IFERROR(AVERAGEIFS('JOBS'!$L$5:$L$1504,'JOBS'!$E$5:$E$1504,B200,'JOBS'!$O$5:$O$1504,"Completed"),""))</f>
        <v/>
      </c>
    </row>
    <row r="201">
      <c r="A201" s="46" t="inlineStr">
        <is>
          <t>P-197</t>
        </is>
      </c>
      <c r="B201" s="38" t="n"/>
      <c r="C201" s="38" t="n"/>
      <c r="D201" s="38" t="n"/>
      <c r="E201" s="38" t="n"/>
      <c r="F201" s="56" t="n"/>
      <c r="G201" s="57" t="n"/>
      <c r="H201" s="58" t="n"/>
      <c r="I201" s="38" t="n"/>
      <c r="J201" s="38" t="n"/>
      <c r="K201" s="38" t="n"/>
      <c r="L201" s="38" t="n"/>
      <c r="M201" s="53">
        <f>IF(B201="","",COUNTIFS('JOBS'!$E$5:$E$1504,B201,'JOBS'!$O$5:$O$1504,"Completed"))</f>
        <v/>
      </c>
      <c r="N201" s="52">
        <f>IF(B201="","",IF(_xlfn.MAXIFS('JOBS'!$B$5:$B$1504,'JOBS'!$E$5:$E$1504,B201,'JOBS'!$O$5:$O$1504,"Completed")=0,"",_xlfn.MAXIFS('JOBS'!$B$5:$B$1504,'JOBS'!$E$5:$E$1504,B201,'JOBS'!$O$5:$O$1504,"Completed")))</f>
        <v/>
      </c>
      <c r="O201" s="54">
        <f>IF(B201="","",IFERROR(AVERAGEIFS('JOBS'!$L$5:$L$1504,'JOBS'!$E$5:$E$1504,B201,'JOBS'!$O$5:$O$1504,"Completed"),""))</f>
        <v/>
      </c>
    </row>
    <row r="202">
      <c r="A202" s="46" t="inlineStr">
        <is>
          <t>P-198</t>
        </is>
      </c>
      <c r="B202" s="38" t="n"/>
      <c r="C202" s="38" t="n"/>
      <c r="D202" s="38" t="n"/>
      <c r="E202" s="38" t="n"/>
      <c r="F202" s="56" t="n"/>
      <c r="G202" s="57" t="n"/>
      <c r="H202" s="58" t="n"/>
      <c r="I202" s="38" t="n"/>
      <c r="J202" s="38" t="n"/>
      <c r="K202" s="38" t="n"/>
      <c r="L202" s="38" t="n"/>
      <c r="M202" s="53">
        <f>IF(B202="","",COUNTIFS('JOBS'!$E$5:$E$1504,B202,'JOBS'!$O$5:$O$1504,"Completed"))</f>
        <v/>
      </c>
      <c r="N202" s="52">
        <f>IF(B202="","",IF(_xlfn.MAXIFS('JOBS'!$B$5:$B$1504,'JOBS'!$E$5:$E$1504,B202,'JOBS'!$O$5:$O$1504,"Completed")=0,"",_xlfn.MAXIFS('JOBS'!$B$5:$B$1504,'JOBS'!$E$5:$E$1504,B202,'JOBS'!$O$5:$O$1504,"Completed")))</f>
        <v/>
      </c>
      <c r="O202" s="54">
        <f>IF(B202="","",IFERROR(AVERAGEIFS('JOBS'!$L$5:$L$1504,'JOBS'!$E$5:$E$1504,B202,'JOBS'!$O$5:$O$1504,"Completed"),""))</f>
        <v/>
      </c>
    </row>
    <row r="203">
      <c r="A203" s="46" t="inlineStr">
        <is>
          <t>P-199</t>
        </is>
      </c>
      <c r="B203" s="38" t="n"/>
      <c r="C203" s="38" t="n"/>
      <c r="D203" s="38" t="n"/>
      <c r="E203" s="38" t="n"/>
      <c r="F203" s="56" t="n"/>
      <c r="G203" s="57" t="n"/>
      <c r="H203" s="58" t="n"/>
      <c r="I203" s="38" t="n"/>
      <c r="J203" s="38" t="n"/>
      <c r="K203" s="38" t="n"/>
      <c r="L203" s="38" t="n"/>
      <c r="M203" s="53">
        <f>IF(B203="","",COUNTIFS('JOBS'!$E$5:$E$1504,B203,'JOBS'!$O$5:$O$1504,"Completed"))</f>
        <v/>
      </c>
      <c r="N203" s="52">
        <f>IF(B203="","",IF(_xlfn.MAXIFS('JOBS'!$B$5:$B$1504,'JOBS'!$E$5:$E$1504,B203,'JOBS'!$O$5:$O$1504,"Completed")=0,"",_xlfn.MAXIFS('JOBS'!$B$5:$B$1504,'JOBS'!$E$5:$E$1504,B203,'JOBS'!$O$5:$O$1504,"Completed")))</f>
        <v/>
      </c>
      <c r="O203" s="54">
        <f>IF(B203="","",IFERROR(AVERAGEIFS('JOBS'!$L$5:$L$1504,'JOBS'!$E$5:$E$1504,B203,'JOBS'!$O$5:$O$1504,"Completed"),""))</f>
        <v/>
      </c>
    </row>
    <row r="204">
      <c r="A204" s="46" t="inlineStr">
        <is>
          <t>P-200</t>
        </is>
      </c>
      <c r="B204" s="38" t="n"/>
      <c r="C204" s="38" t="n"/>
      <c r="D204" s="38" t="n"/>
      <c r="E204" s="38" t="n"/>
      <c r="F204" s="56" t="n"/>
      <c r="G204" s="57" t="n"/>
      <c r="H204" s="58" t="n"/>
      <c r="I204" s="38" t="n"/>
      <c r="J204" s="38" t="n"/>
      <c r="K204" s="38" t="n"/>
      <c r="L204" s="38" t="n"/>
      <c r="M204" s="53">
        <f>IF(B204="","",COUNTIFS('JOBS'!$E$5:$E$1504,B204,'JOBS'!$O$5:$O$1504,"Completed"))</f>
        <v/>
      </c>
      <c r="N204" s="52">
        <f>IF(B204="","",IF(_xlfn.MAXIFS('JOBS'!$B$5:$B$1504,'JOBS'!$E$5:$E$1504,B204,'JOBS'!$O$5:$O$1504,"Completed")=0,"",_xlfn.MAXIFS('JOBS'!$B$5:$B$1504,'JOBS'!$E$5:$E$1504,B204,'JOBS'!$O$5:$O$1504,"Completed")))</f>
        <v/>
      </c>
      <c r="O204" s="54">
        <f>IF(B204="","",IFERROR(AVERAGEIFS('JOBS'!$L$5:$L$1504,'JOBS'!$E$5:$E$1504,B204,'JOBS'!$O$5:$O$1504,"Completed"),""))</f>
        <v/>
      </c>
    </row>
    <row r="205">
      <c r="A205" s="46" t="inlineStr">
        <is>
          <t>P-201</t>
        </is>
      </c>
      <c r="B205" s="38" t="n"/>
      <c r="C205" s="38" t="n"/>
      <c r="D205" s="38" t="n"/>
      <c r="E205" s="38" t="n"/>
      <c r="F205" s="56" t="n"/>
      <c r="G205" s="57" t="n"/>
      <c r="H205" s="58" t="n"/>
      <c r="I205" s="38" t="n"/>
      <c r="J205" s="38" t="n"/>
      <c r="K205" s="38" t="n"/>
      <c r="L205" s="38" t="n"/>
      <c r="M205" s="53">
        <f>IF(B205="","",COUNTIFS('JOBS'!$E$5:$E$1504,B205,'JOBS'!$O$5:$O$1504,"Completed"))</f>
        <v/>
      </c>
      <c r="N205" s="52">
        <f>IF(B205="","",IF(_xlfn.MAXIFS('JOBS'!$B$5:$B$1504,'JOBS'!$E$5:$E$1504,B205,'JOBS'!$O$5:$O$1504,"Completed")=0,"",_xlfn.MAXIFS('JOBS'!$B$5:$B$1504,'JOBS'!$E$5:$E$1504,B205,'JOBS'!$O$5:$O$1504,"Completed")))</f>
        <v/>
      </c>
      <c r="O205" s="54">
        <f>IF(B205="","",IFERROR(AVERAGEIFS('JOBS'!$L$5:$L$1504,'JOBS'!$E$5:$E$1504,B205,'JOBS'!$O$5:$O$1504,"Completed"),""))</f>
        <v/>
      </c>
    </row>
    <row r="206">
      <c r="A206" s="46" t="inlineStr">
        <is>
          <t>P-202</t>
        </is>
      </c>
      <c r="B206" s="38" t="n"/>
      <c r="C206" s="38" t="n"/>
      <c r="D206" s="38" t="n"/>
      <c r="E206" s="38" t="n"/>
      <c r="F206" s="56" t="n"/>
      <c r="G206" s="57" t="n"/>
      <c r="H206" s="58" t="n"/>
      <c r="I206" s="38" t="n"/>
      <c r="J206" s="38" t="n"/>
      <c r="K206" s="38" t="n"/>
      <c r="L206" s="38" t="n"/>
      <c r="M206" s="53">
        <f>IF(B206="","",COUNTIFS('JOBS'!$E$5:$E$1504,B206,'JOBS'!$O$5:$O$1504,"Completed"))</f>
        <v/>
      </c>
      <c r="N206" s="52">
        <f>IF(B206="","",IF(_xlfn.MAXIFS('JOBS'!$B$5:$B$1504,'JOBS'!$E$5:$E$1504,B206,'JOBS'!$O$5:$O$1504,"Completed")=0,"",_xlfn.MAXIFS('JOBS'!$B$5:$B$1504,'JOBS'!$E$5:$E$1504,B206,'JOBS'!$O$5:$O$1504,"Completed")))</f>
        <v/>
      </c>
      <c r="O206" s="54">
        <f>IF(B206="","",IFERROR(AVERAGEIFS('JOBS'!$L$5:$L$1504,'JOBS'!$E$5:$E$1504,B206,'JOBS'!$O$5:$O$1504,"Completed"),""))</f>
        <v/>
      </c>
    </row>
    <row r="207">
      <c r="A207" s="46" t="inlineStr">
        <is>
          <t>P-203</t>
        </is>
      </c>
      <c r="B207" s="38" t="n"/>
      <c r="C207" s="38" t="n"/>
      <c r="D207" s="38" t="n"/>
      <c r="E207" s="38" t="n"/>
      <c r="F207" s="56" t="n"/>
      <c r="G207" s="57" t="n"/>
      <c r="H207" s="58" t="n"/>
      <c r="I207" s="38" t="n"/>
      <c r="J207" s="38" t="n"/>
      <c r="K207" s="38" t="n"/>
      <c r="L207" s="38" t="n"/>
      <c r="M207" s="53">
        <f>IF(B207="","",COUNTIFS('JOBS'!$E$5:$E$1504,B207,'JOBS'!$O$5:$O$1504,"Completed"))</f>
        <v/>
      </c>
      <c r="N207" s="52">
        <f>IF(B207="","",IF(_xlfn.MAXIFS('JOBS'!$B$5:$B$1504,'JOBS'!$E$5:$E$1504,B207,'JOBS'!$O$5:$O$1504,"Completed")=0,"",_xlfn.MAXIFS('JOBS'!$B$5:$B$1504,'JOBS'!$E$5:$E$1504,B207,'JOBS'!$O$5:$O$1504,"Completed")))</f>
        <v/>
      </c>
      <c r="O207" s="54">
        <f>IF(B207="","",IFERROR(AVERAGEIFS('JOBS'!$L$5:$L$1504,'JOBS'!$E$5:$E$1504,B207,'JOBS'!$O$5:$O$1504,"Completed"),""))</f>
        <v/>
      </c>
    </row>
    <row r="208">
      <c r="A208" s="46" t="inlineStr">
        <is>
          <t>P-204</t>
        </is>
      </c>
      <c r="B208" s="38" t="n"/>
      <c r="C208" s="38" t="n"/>
      <c r="D208" s="38" t="n"/>
      <c r="E208" s="38" t="n"/>
      <c r="F208" s="56" t="n"/>
      <c r="G208" s="57" t="n"/>
      <c r="H208" s="58" t="n"/>
      <c r="I208" s="38" t="n"/>
      <c r="J208" s="38" t="n"/>
      <c r="K208" s="38" t="n"/>
      <c r="L208" s="38" t="n"/>
      <c r="M208" s="53">
        <f>IF(B208="","",COUNTIFS('JOBS'!$E$5:$E$1504,B208,'JOBS'!$O$5:$O$1504,"Completed"))</f>
        <v/>
      </c>
      <c r="N208" s="52">
        <f>IF(B208="","",IF(_xlfn.MAXIFS('JOBS'!$B$5:$B$1504,'JOBS'!$E$5:$E$1504,B208,'JOBS'!$O$5:$O$1504,"Completed")=0,"",_xlfn.MAXIFS('JOBS'!$B$5:$B$1504,'JOBS'!$E$5:$E$1504,B208,'JOBS'!$O$5:$O$1504,"Completed")))</f>
        <v/>
      </c>
      <c r="O208" s="54">
        <f>IF(B208="","",IFERROR(AVERAGEIFS('JOBS'!$L$5:$L$1504,'JOBS'!$E$5:$E$1504,B208,'JOBS'!$O$5:$O$1504,"Completed"),""))</f>
        <v/>
      </c>
    </row>
    <row r="209">
      <c r="A209" s="46" t="inlineStr">
        <is>
          <t>P-205</t>
        </is>
      </c>
      <c r="B209" s="38" t="n"/>
      <c r="C209" s="38" t="n"/>
      <c r="D209" s="38" t="n"/>
      <c r="E209" s="38" t="n"/>
      <c r="F209" s="56" t="n"/>
      <c r="G209" s="57" t="n"/>
      <c r="H209" s="58" t="n"/>
      <c r="I209" s="38" t="n"/>
      <c r="J209" s="38" t="n"/>
      <c r="K209" s="38" t="n"/>
      <c r="L209" s="38" t="n"/>
      <c r="M209" s="53">
        <f>IF(B209="","",COUNTIFS('JOBS'!$E$5:$E$1504,B209,'JOBS'!$O$5:$O$1504,"Completed"))</f>
        <v/>
      </c>
      <c r="N209" s="52">
        <f>IF(B209="","",IF(_xlfn.MAXIFS('JOBS'!$B$5:$B$1504,'JOBS'!$E$5:$E$1504,B209,'JOBS'!$O$5:$O$1504,"Completed")=0,"",_xlfn.MAXIFS('JOBS'!$B$5:$B$1504,'JOBS'!$E$5:$E$1504,B209,'JOBS'!$O$5:$O$1504,"Completed")))</f>
        <v/>
      </c>
      <c r="O209" s="54">
        <f>IF(B209="","",IFERROR(AVERAGEIFS('JOBS'!$L$5:$L$1504,'JOBS'!$E$5:$E$1504,B209,'JOBS'!$O$5:$O$1504,"Completed"),""))</f>
        <v/>
      </c>
    </row>
    <row r="210">
      <c r="A210" s="46" t="inlineStr">
        <is>
          <t>P-206</t>
        </is>
      </c>
      <c r="B210" s="38" t="n"/>
      <c r="C210" s="38" t="n"/>
      <c r="D210" s="38" t="n"/>
      <c r="E210" s="38" t="n"/>
      <c r="F210" s="56" t="n"/>
      <c r="G210" s="57" t="n"/>
      <c r="H210" s="58" t="n"/>
      <c r="I210" s="38" t="n"/>
      <c r="J210" s="38" t="n"/>
      <c r="K210" s="38" t="n"/>
      <c r="L210" s="38" t="n"/>
      <c r="M210" s="53">
        <f>IF(B210="","",COUNTIFS('JOBS'!$E$5:$E$1504,B210,'JOBS'!$O$5:$O$1504,"Completed"))</f>
        <v/>
      </c>
      <c r="N210" s="52">
        <f>IF(B210="","",IF(_xlfn.MAXIFS('JOBS'!$B$5:$B$1504,'JOBS'!$E$5:$E$1504,B210,'JOBS'!$O$5:$O$1504,"Completed")=0,"",_xlfn.MAXIFS('JOBS'!$B$5:$B$1504,'JOBS'!$E$5:$E$1504,B210,'JOBS'!$O$5:$O$1504,"Completed")))</f>
        <v/>
      </c>
      <c r="O210" s="54">
        <f>IF(B210="","",IFERROR(AVERAGEIFS('JOBS'!$L$5:$L$1504,'JOBS'!$E$5:$E$1504,B210,'JOBS'!$O$5:$O$1504,"Completed"),""))</f>
        <v/>
      </c>
    </row>
    <row r="211">
      <c r="A211" s="46" t="inlineStr">
        <is>
          <t>P-207</t>
        </is>
      </c>
      <c r="B211" s="38" t="n"/>
      <c r="C211" s="38" t="n"/>
      <c r="D211" s="38" t="n"/>
      <c r="E211" s="38" t="n"/>
      <c r="F211" s="56" t="n"/>
      <c r="G211" s="57" t="n"/>
      <c r="H211" s="58" t="n"/>
      <c r="I211" s="38" t="n"/>
      <c r="J211" s="38" t="n"/>
      <c r="K211" s="38" t="n"/>
      <c r="L211" s="38" t="n"/>
      <c r="M211" s="53">
        <f>IF(B211="","",COUNTIFS('JOBS'!$E$5:$E$1504,B211,'JOBS'!$O$5:$O$1504,"Completed"))</f>
        <v/>
      </c>
      <c r="N211" s="52">
        <f>IF(B211="","",IF(_xlfn.MAXIFS('JOBS'!$B$5:$B$1504,'JOBS'!$E$5:$E$1504,B211,'JOBS'!$O$5:$O$1504,"Completed")=0,"",_xlfn.MAXIFS('JOBS'!$B$5:$B$1504,'JOBS'!$E$5:$E$1504,B211,'JOBS'!$O$5:$O$1504,"Completed")))</f>
        <v/>
      </c>
      <c r="O211" s="54">
        <f>IF(B211="","",IFERROR(AVERAGEIFS('JOBS'!$L$5:$L$1504,'JOBS'!$E$5:$E$1504,B211,'JOBS'!$O$5:$O$1504,"Completed"),""))</f>
        <v/>
      </c>
    </row>
    <row r="212">
      <c r="A212" s="46" t="inlineStr">
        <is>
          <t>P-208</t>
        </is>
      </c>
      <c r="B212" s="38" t="n"/>
      <c r="C212" s="38" t="n"/>
      <c r="D212" s="38" t="n"/>
      <c r="E212" s="38" t="n"/>
      <c r="F212" s="56" t="n"/>
      <c r="G212" s="57" t="n"/>
      <c r="H212" s="58" t="n"/>
      <c r="I212" s="38" t="n"/>
      <c r="J212" s="38" t="n"/>
      <c r="K212" s="38" t="n"/>
      <c r="L212" s="38" t="n"/>
      <c r="M212" s="53">
        <f>IF(B212="","",COUNTIFS('JOBS'!$E$5:$E$1504,B212,'JOBS'!$O$5:$O$1504,"Completed"))</f>
        <v/>
      </c>
      <c r="N212" s="52">
        <f>IF(B212="","",IF(_xlfn.MAXIFS('JOBS'!$B$5:$B$1504,'JOBS'!$E$5:$E$1504,B212,'JOBS'!$O$5:$O$1504,"Completed")=0,"",_xlfn.MAXIFS('JOBS'!$B$5:$B$1504,'JOBS'!$E$5:$E$1504,B212,'JOBS'!$O$5:$O$1504,"Completed")))</f>
        <v/>
      </c>
      <c r="O212" s="54">
        <f>IF(B212="","",IFERROR(AVERAGEIFS('JOBS'!$L$5:$L$1504,'JOBS'!$E$5:$E$1504,B212,'JOBS'!$O$5:$O$1504,"Completed"),""))</f>
        <v/>
      </c>
    </row>
    <row r="213">
      <c r="A213" s="46" t="inlineStr">
        <is>
          <t>P-209</t>
        </is>
      </c>
      <c r="B213" s="38" t="n"/>
      <c r="C213" s="38" t="n"/>
      <c r="D213" s="38" t="n"/>
      <c r="E213" s="38" t="n"/>
      <c r="F213" s="56" t="n"/>
      <c r="G213" s="57" t="n"/>
      <c r="H213" s="58" t="n"/>
      <c r="I213" s="38" t="n"/>
      <c r="J213" s="38" t="n"/>
      <c r="K213" s="38" t="n"/>
      <c r="L213" s="38" t="n"/>
      <c r="M213" s="53">
        <f>IF(B213="","",COUNTIFS('JOBS'!$E$5:$E$1504,B213,'JOBS'!$O$5:$O$1504,"Completed"))</f>
        <v/>
      </c>
      <c r="N213" s="52">
        <f>IF(B213="","",IF(_xlfn.MAXIFS('JOBS'!$B$5:$B$1504,'JOBS'!$E$5:$E$1504,B213,'JOBS'!$O$5:$O$1504,"Completed")=0,"",_xlfn.MAXIFS('JOBS'!$B$5:$B$1504,'JOBS'!$E$5:$E$1504,B213,'JOBS'!$O$5:$O$1504,"Completed")))</f>
        <v/>
      </c>
      <c r="O213" s="54">
        <f>IF(B213="","",IFERROR(AVERAGEIFS('JOBS'!$L$5:$L$1504,'JOBS'!$E$5:$E$1504,B213,'JOBS'!$O$5:$O$1504,"Completed"),""))</f>
        <v/>
      </c>
    </row>
    <row r="214">
      <c r="A214" s="46" t="inlineStr">
        <is>
          <t>P-210</t>
        </is>
      </c>
      <c r="B214" s="38" t="n"/>
      <c r="C214" s="38" t="n"/>
      <c r="D214" s="38" t="n"/>
      <c r="E214" s="38" t="n"/>
      <c r="F214" s="56" t="n"/>
      <c r="G214" s="57" t="n"/>
      <c r="H214" s="58" t="n"/>
      <c r="I214" s="38" t="n"/>
      <c r="J214" s="38" t="n"/>
      <c r="K214" s="38" t="n"/>
      <c r="L214" s="38" t="n"/>
      <c r="M214" s="53">
        <f>IF(B214="","",COUNTIFS('JOBS'!$E$5:$E$1504,B214,'JOBS'!$O$5:$O$1504,"Completed"))</f>
        <v/>
      </c>
      <c r="N214" s="52">
        <f>IF(B214="","",IF(_xlfn.MAXIFS('JOBS'!$B$5:$B$1504,'JOBS'!$E$5:$E$1504,B214,'JOBS'!$O$5:$O$1504,"Completed")=0,"",_xlfn.MAXIFS('JOBS'!$B$5:$B$1504,'JOBS'!$E$5:$E$1504,B214,'JOBS'!$O$5:$O$1504,"Completed")))</f>
        <v/>
      </c>
      <c r="O214" s="54">
        <f>IF(B214="","",IFERROR(AVERAGEIFS('JOBS'!$L$5:$L$1504,'JOBS'!$E$5:$E$1504,B214,'JOBS'!$O$5:$O$1504,"Completed"),""))</f>
        <v/>
      </c>
    </row>
    <row r="215">
      <c r="A215" s="46" t="inlineStr">
        <is>
          <t>P-211</t>
        </is>
      </c>
      <c r="B215" s="38" t="n"/>
      <c r="C215" s="38" t="n"/>
      <c r="D215" s="38" t="n"/>
      <c r="E215" s="38" t="n"/>
      <c r="F215" s="56" t="n"/>
      <c r="G215" s="57" t="n"/>
      <c r="H215" s="58" t="n"/>
      <c r="I215" s="38" t="n"/>
      <c r="J215" s="38" t="n"/>
      <c r="K215" s="38" t="n"/>
      <c r="L215" s="38" t="n"/>
      <c r="M215" s="53">
        <f>IF(B215="","",COUNTIFS('JOBS'!$E$5:$E$1504,B215,'JOBS'!$O$5:$O$1504,"Completed"))</f>
        <v/>
      </c>
      <c r="N215" s="52">
        <f>IF(B215="","",IF(_xlfn.MAXIFS('JOBS'!$B$5:$B$1504,'JOBS'!$E$5:$E$1504,B215,'JOBS'!$O$5:$O$1504,"Completed")=0,"",_xlfn.MAXIFS('JOBS'!$B$5:$B$1504,'JOBS'!$E$5:$E$1504,B215,'JOBS'!$O$5:$O$1504,"Completed")))</f>
        <v/>
      </c>
      <c r="O215" s="54">
        <f>IF(B215="","",IFERROR(AVERAGEIFS('JOBS'!$L$5:$L$1504,'JOBS'!$E$5:$E$1504,B215,'JOBS'!$O$5:$O$1504,"Completed"),""))</f>
        <v/>
      </c>
    </row>
    <row r="216">
      <c r="A216" s="46" t="inlineStr">
        <is>
          <t>P-212</t>
        </is>
      </c>
      <c r="B216" s="38" t="n"/>
      <c r="C216" s="38" t="n"/>
      <c r="D216" s="38" t="n"/>
      <c r="E216" s="38" t="n"/>
      <c r="F216" s="56" t="n"/>
      <c r="G216" s="57" t="n"/>
      <c r="H216" s="58" t="n"/>
      <c r="I216" s="38" t="n"/>
      <c r="J216" s="38" t="n"/>
      <c r="K216" s="38" t="n"/>
      <c r="L216" s="38" t="n"/>
      <c r="M216" s="53">
        <f>IF(B216="","",COUNTIFS('JOBS'!$E$5:$E$1504,B216,'JOBS'!$O$5:$O$1504,"Completed"))</f>
        <v/>
      </c>
      <c r="N216" s="52">
        <f>IF(B216="","",IF(_xlfn.MAXIFS('JOBS'!$B$5:$B$1504,'JOBS'!$E$5:$E$1504,B216,'JOBS'!$O$5:$O$1504,"Completed")=0,"",_xlfn.MAXIFS('JOBS'!$B$5:$B$1504,'JOBS'!$E$5:$E$1504,B216,'JOBS'!$O$5:$O$1504,"Completed")))</f>
        <v/>
      </c>
      <c r="O216" s="54">
        <f>IF(B216="","",IFERROR(AVERAGEIFS('JOBS'!$L$5:$L$1504,'JOBS'!$E$5:$E$1504,B216,'JOBS'!$O$5:$O$1504,"Completed"),""))</f>
        <v/>
      </c>
    </row>
    <row r="217">
      <c r="A217" s="46" t="inlineStr">
        <is>
          <t>P-213</t>
        </is>
      </c>
      <c r="B217" s="38" t="n"/>
      <c r="C217" s="38" t="n"/>
      <c r="D217" s="38" t="n"/>
      <c r="E217" s="38" t="n"/>
      <c r="F217" s="56" t="n"/>
      <c r="G217" s="57" t="n"/>
      <c r="H217" s="58" t="n"/>
      <c r="I217" s="38" t="n"/>
      <c r="J217" s="38" t="n"/>
      <c r="K217" s="38" t="n"/>
      <c r="L217" s="38" t="n"/>
      <c r="M217" s="53">
        <f>IF(B217="","",COUNTIFS('JOBS'!$E$5:$E$1504,B217,'JOBS'!$O$5:$O$1504,"Completed"))</f>
        <v/>
      </c>
      <c r="N217" s="52">
        <f>IF(B217="","",IF(_xlfn.MAXIFS('JOBS'!$B$5:$B$1504,'JOBS'!$E$5:$E$1504,B217,'JOBS'!$O$5:$O$1504,"Completed")=0,"",_xlfn.MAXIFS('JOBS'!$B$5:$B$1504,'JOBS'!$E$5:$E$1504,B217,'JOBS'!$O$5:$O$1504,"Completed")))</f>
        <v/>
      </c>
      <c r="O217" s="54">
        <f>IF(B217="","",IFERROR(AVERAGEIFS('JOBS'!$L$5:$L$1504,'JOBS'!$E$5:$E$1504,B217,'JOBS'!$O$5:$O$1504,"Completed"),""))</f>
        <v/>
      </c>
    </row>
    <row r="218">
      <c r="A218" s="46" t="inlineStr">
        <is>
          <t>P-214</t>
        </is>
      </c>
      <c r="B218" s="38" t="n"/>
      <c r="C218" s="38" t="n"/>
      <c r="D218" s="38" t="n"/>
      <c r="E218" s="38" t="n"/>
      <c r="F218" s="56" t="n"/>
      <c r="G218" s="57" t="n"/>
      <c r="H218" s="58" t="n"/>
      <c r="I218" s="38" t="n"/>
      <c r="J218" s="38" t="n"/>
      <c r="K218" s="38" t="n"/>
      <c r="L218" s="38" t="n"/>
      <c r="M218" s="53">
        <f>IF(B218="","",COUNTIFS('JOBS'!$E$5:$E$1504,B218,'JOBS'!$O$5:$O$1504,"Completed"))</f>
        <v/>
      </c>
      <c r="N218" s="52">
        <f>IF(B218="","",IF(_xlfn.MAXIFS('JOBS'!$B$5:$B$1504,'JOBS'!$E$5:$E$1504,B218,'JOBS'!$O$5:$O$1504,"Completed")=0,"",_xlfn.MAXIFS('JOBS'!$B$5:$B$1504,'JOBS'!$E$5:$E$1504,B218,'JOBS'!$O$5:$O$1504,"Completed")))</f>
        <v/>
      </c>
      <c r="O218" s="54">
        <f>IF(B218="","",IFERROR(AVERAGEIFS('JOBS'!$L$5:$L$1504,'JOBS'!$E$5:$E$1504,B218,'JOBS'!$O$5:$O$1504,"Completed"),""))</f>
        <v/>
      </c>
    </row>
    <row r="219">
      <c r="A219" s="46" t="inlineStr">
        <is>
          <t>P-215</t>
        </is>
      </c>
      <c r="B219" s="38" t="n"/>
      <c r="C219" s="38" t="n"/>
      <c r="D219" s="38" t="n"/>
      <c r="E219" s="38" t="n"/>
      <c r="F219" s="56" t="n"/>
      <c r="G219" s="57" t="n"/>
      <c r="H219" s="58" t="n"/>
      <c r="I219" s="38" t="n"/>
      <c r="J219" s="38" t="n"/>
      <c r="K219" s="38" t="n"/>
      <c r="L219" s="38" t="n"/>
      <c r="M219" s="53">
        <f>IF(B219="","",COUNTIFS('JOBS'!$E$5:$E$1504,B219,'JOBS'!$O$5:$O$1504,"Completed"))</f>
        <v/>
      </c>
      <c r="N219" s="52">
        <f>IF(B219="","",IF(_xlfn.MAXIFS('JOBS'!$B$5:$B$1504,'JOBS'!$E$5:$E$1504,B219,'JOBS'!$O$5:$O$1504,"Completed")=0,"",_xlfn.MAXIFS('JOBS'!$B$5:$B$1504,'JOBS'!$E$5:$E$1504,B219,'JOBS'!$O$5:$O$1504,"Completed")))</f>
        <v/>
      </c>
      <c r="O219" s="54">
        <f>IF(B219="","",IFERROR(AVERAGEIFS('JOBS'!$L$5:$L$1504,'JOBS'!$E$5:$E$1504,B219,'JOBS'!$O$5:$O$1504,"Completed"),""))</f>
        <v/>
      </c>
    </row>
    <row r="220">
      <c r="A220" s="46" t="inlineStr">
        <is>
          <t>P-216</t>
        </is>
      </c>
      <c r="B220" s="38" t="n"/>
      <c r="C220" s="38" t="n"/>
      <c r="D220" s="38" t="n"/>
      <c r="E220" s="38" t="n"/>
      <c r="F220" s="56" t="n"/>
      <c r="G220" s="57" t="n"/>
      <c r="H220" s="58" t="n"/>
      <c r="I220" s="38" t="n"/>
      <c r="J220" s="38" t="n"/>
      <c r="K220" s="38" t="n"/>
      <c r="L220" s="38" t="n"/>
      <c r="M220" s="53">
        <f>IF(B220="","",COUNTIFS('JOBS'!$E$5:$E$1504,B220,'JOBS'!$O$5:$O$1504,"Completed"))</f>
        <v/>
      </c>
      <c r="N220" s="52">
        <f>IF(B220="","",IF(_xlfn.MAXIFS('JOBS'!$B$5:$B$1504,'JOBS'!$E$5:$E$1504,B220,'JOBS'!$O$5:$O$1504,"Completed")=0,"",_xlfn.MAXIFS('JOBS'!$B$5:$B$1504,'JOBS'!$E$5:$E$1504,B220,'JOBS'!$O$5:$O$1504,"Completed")))</f>
        <v/>
      </c>
      <c r="O220" s="54">
        <f>IF(B220="","",IFERROR(AVERAGEIFS('JOBS'!$L$5:$L$1504,'JOBS'!$E$5:$E$1504,B220,'JOBS'!$O$5:$O$1504,"Completed"),""))</f>
        <v/>
      </c>
    </row>
    <row r="221">
      <c r="A221" s="46" t="inlineStr">
        <is>
          <t>P-217</t>
        </is>
      </c>
      <c r="B221" s="38" t="n"/>
      <c r="C221" s="38" t="n"/>
      <c r="D221" s="38" t="n"/>
      <c r="E221" s="38" t="n"/>
      <c r="F221" s="56" t="n"/>
      <c r="G221" s="57" t="n"/>
      <c r="H221" s="58" t="n"/>
      <c r="I221" s="38" t="n"/>
      <c r="J221" s="38" t="n"/>
      <c r="K221" s="38" t="n"/>
      <c r="L221" s="38" t="n"/>
      <c r="M221" s="53">
        <f>IF(B221="","",COUNTIFS('JOBS'!$E$5:$E$1504,B221,'JOBS'!$O$5:$O$1504,"Completed"))</f>
        <v/>
      </c>
      <c r="N221" s="52">
        <f>IF(B221="","",IF(_xlfn.MAXIFS('JOBS'!$B$5:$B$1504,'JOBS'!$E$5:$E$1504,B221,'JOBS'!$O$5:$O$1504,"Completed")=0,"",_xlfn.MAXIFS('JOBS'!$B$5:$B$1504,'JOBS'!$E$5:$E$1504,B221,'JOBS'!$O$5:$O$1504,"Completed")))</f>
        <v/>
      </c>
      <c r="O221" s="54">
        <f>IF(B221="","",IFERROR(AVERAGEIFS('JOBS'!$L$5:$L$1504,'JOBS'!$E$5:$E$1504,B221,'JOBS'!$O$5:$O$1504,"Completed"),""))</f>
        <v/>
      </c>
    </row>
    <row r="222">
      <c r="A222" s="46" t="inlineStr">
        <is>
          <t>P-218</t>
        </is>
      </c>
      <c r="B222" s="38" t="n"/>
      <c r="C222" s="38" t="n"/>
      <c r="D222" s="38" t="n"/>
      <c r="E222" s="38" t="n"/>
      <c r="F222" s="56" t="n"/>
      <c r="G222" s="57" t="n"/>
      <c r="H222" s="58" t="n"/>
      <c r="I222" s="38" t="n"/>
      <c r="J222" s="38" t="n"/>
      <c r="K222" s="38" t="n"/>
      <c r="L222" s="38" t="n"/>
      <c r="M222" s="53">
        <f>IF(B222="","",COUNTIFS('JOBS'!$E$5:$E$1504,B222,'JOBS'!$O$5:$O$1504,"Completed"))</f>
        <v/>
      </c>
      <c r="N222" s="52">
        <f>IF(B222="","",IF(_xlfn.MAXIFS('JOBS'!$B$5:$B$1504,'JOBS'!$E$5:$E$1504,B222,'JOBS'!$O$5:$O$1504,"Completed")=0,"",_xlfn.MAXIFS('JOBS'!$B$5:$B$1504,'JOBS'!$E$5:$E$1504,B222,'JOBS'!$O$5:$O$1504,"Completed")))</f>
        <v/>
      </c>
      <c r="O222" s="54">
        <f>IF(B222="","",IFERROR(AVERAGEIFS('JOBS'!$L$5:$L$1504,'JOBS'!$E$5:$E$1504,B222,'JOBS'!$O$5:$O$1504,"Completed"),""))</f>
        <v/>
      </c>
    </row>
    <row r="223">
      <c r="A223" s="46" t="inlineStr">
        <is>
          <t>P-219</t>
        </is>
      </c>
      <c r="B223" s="38" t="n"/>
      <c r="C223" s="38" t="n"/>
      <c r="D223" s="38" t="n"/>
      <c r="E223" s="38" t="n"/>
      <c r="F223" s="56" t="n"/>
      <c r="G223" s="57" t="n"/>
      <c r="H223" s="58" t="n"/>
      <c r="I223" s="38" t="n"/>
      <c r="J223" s="38" t="n"/>
      <c r="K223" s="38" t="n"/>
      <c r="L223" s="38" t="n"/>
      <c r="M223" s="53">
        <f>IF(B223="","",COUNTIFS('JOBS'!$E$5:$E$1504,B223,'JOBS'!$O$5:$O$1504,"Completed"))</f>
        <v/>
      </c>
      <c r="N223" s="52">
        <f>IF(B223="","",IF(_xlfn.MAXIFS('JOBS'!$B$5:$B$1504,'JOBS'!$E$5:$E$1504,B223,'JOBS'!$O$5:$O$1504,"Completed")=0,"",_xlfn.MAXIFS('JOBS'!$B$5:$B$1504,'JOBS'!$E$5:$E$1504,B223,'JOBS'!$O$5:$O$1504,"Completed")))</f>
        <v/>
      </c>
      <c r="O223" s="54">
        <f>IF(B223="","",IFERROR(AVERAGEIFS('JOBS'!$L$5:$L$1504,'JOBS'!$E$5:$E$1504,B223,'JOBS'!$O$5:$O$1504,"Completed"),""))</f>
        <v/>
      </c>
    </row>
    <row r="224">
      <c r="A224" s="46" t="inlineStr">
        <is>
          <t>P-220</t>
        </is>
      </c>
      <c r="B224" s="38" t="n"/>
      <c r="C224" s="38" t="n"/>
      <c r="D224" s="38" t="n"/>
      <c r="E224" s="38" t="n"/>
      <c r="F224" s="56" t="n"/>
      <c r="G224" s="57" t="n"/>
      <c r="H224" s="58" t="n"/>
      <c r="I224" s="38" t="n"/>
      <c r="J224" s="38" t="n"/>
      <c r="K224" s="38" t="n"/>
      <c r="L224" s="38" t="n"/>
      <c r="M224" s="53">
        <f>IF(B224="","",COUNTIFS('JOBS'!$E$5:$E$1504,B224,'JOBS'!$O$5:$O$1504,"Completed"))</f>
        <v/>
      </c>
      <c r="N224" s="52">
        <f>IF(B224="","",IF(_xlfn.MAXIFS('JOBS'!$B$5:$B$1504,'JOBS'!$E$5:$E$1504,B224,'JOBS'!$O$5:$O$1504,"Completed")=0,"",_xlfn.MAXIFS('JOBS'!$B$5:$B$1504,'JOBS'!$E$5:$E$1504,B224,'JOBS'!$O$5:$O$1504,"Completed")))</f>
        <v/>
      </c>
      <c r="O224" s="54">
        <f>IF(B224="","",IFERROR(AVERAGEIFS('JOBS'!$L$5:$L$1504,'JOBS'!$E$5:$E$1504,B224,'JOBS'!$O$5:$O$1504,"Completed"),""))</f>
        <v/>
      </c>
    </row>
    <row r="225">
      <c r="A225" s="46" t="inlineStr">
        <is>
          <t>P-221</t>
        </is>
      </c>
      <c r="B225" s="38" t="n"/>
      <c r="C225" s="38" t="n"/>
      <c r="D225" s="38" t="n"/>
      <c r="E225" s="38" t="n"/>
      <c r="F225" s="56" t="n"/>
      <c r="G225" s="57" t="n"/>
      <c r="H225" s="58" t="n"/>
      <c r="I225" s="38" t="n"/>
      <c r="J225" s="38" t="n"/>
      <c r="K225" s="38" t="n"/>
      <c r="L225" s="38" t="n"/>
      <c r="M225" s="53">
        <f>IF(B225="","",COUNTIFS('JOBS'!$E$5:$E$1504,B225,'JOBS'!$O$5:$O$1504,"Completed"))</f>
        <v/>
      </c>
      <c r="N225" s="52">
        <f>IF(B225="","",IF(_xlfn.MAXIFS('JOBS'!$B$5:$B$1504,'JOBS'!$E$5:$E$1504,B225,'JOBS'!$O$5:$O$1504,"Completed")=0,"",_xlfn.MAXIFS('JOBS'!$B$5:$B$1504,'JOBS'!$E$5:$E$1504,B225,'JOBS'!$O$5:$O$1504,"Completed")))</f>
        <v/>
      </c>
      <c r="O225" s="54">
        <f>IF(B225="","",IFERROR(AVERAGEIFS('JOBS'!$L$5:$L$1504,'JOBS'!$E$5:$E$1504,B225,'JOBS'!$O$5:$O$1504,"Completed"),""))</f>
        <v/>
      </c>
    </row>
    <row r="226">
      <c r="A226" s="46" t="inlineStr">
        <is>
          <t>P-222</t>
        </is>
      </c>
      <c r="B226" s="38" t="n"/>
      <c r="C226" s="38" t="n"/>
      <c r="D226" s="38" t="n"/>
      <c r="E226" s="38" t="n"/>
      <c r="F226" s="56" t="n"/>
      <c r="G226" s="57" t="n"/>
      <c r="H226" s="58" t="n"/>
      <c r="I226" s="38" t="n"/>
      <c r="J226" s="38" t="n"/>
      <c r="K226" s="38" t="n"/>
      <c r="L226" s="38" t="n"/>
      <c r="M226" s="53">
        <f>IF(B226="","",COUNTIFS('JOBS'!$E$5:$E$1504,B226,'JOBS'!$O$5:$O$1504,"Completed"))</f>
        <v/>
      </c>
      <c r="N226" s="52">
        <f>IF(B226="","",IF(_xlfn.MAXIFS('JOBS'!$B$5:$B$1504,'JOBS'!$E$5:$E$1504,B226,'JOBS'!$O$5:$O$1504,"Completed")=0,"",_xlfn.MAXIFS('JOBS'!$B$5:$B$1504,'JOBS'!$E$5:$E$1504,B226,'JOBS'!$O$5:$O$1504,"Completed")))</f>
        <v/>
      </c>
      <c r="O226" s="54">
        <f>IF(B226="","",IFERROR(AVERAGEIFS('JOBS'!$L$5:$L$1504,'JOBS'!$E$5:$E$1504,B226,'JOBS'!$O$5:$O$1504,"Completed"),""))</f>
        <v/>
      </c>
    </row>
    <row r="227">
      <c r="A227" s="46" t="inlineStr">
        <is>
          <t>P-223</t>
        </is>
      </c>
      <c r="B227" s="38" t="n"/>
      <c r="C227" s="38" t="n"/>
      <c r="D227" s="38" t="n"/>
      <c r="E227" s="38" t="n"/>
      <c r="F227" s="56" t="n"/>
      <c r="G227" s="57" t="n"/>
      <c r="H227" s="58" t="n"/>
      <c r="I227" s="38" t="n"/>
      <c r="J227" s="38" t="n"/>
      <c r="K227" s="38" t="n"/>
      <c r="L227" s="38" t="n"/>
      <c r="M227" s="53">
        <f>IF(B227="","",COUNTIFS('JOBS'!$E$5:$E$1504,B227,'JOBS'!$O$5:$O$1504,"Completed"))</f>
        <v/>
      </c>
      <c r="N227" s="52">
        <f>IF(B227="","",IF(_xlfn.MAXIFS('JOBS'!$B$5:$B$1504,'JOBS'!$E$5:$E$1504,B227,'JOBS'!$O$5:$O$1504,"Completed")=0,"",_xlfn.MAXIFS('JOBS'!$B$5:$B$1504,'JOBS'!$E$5:$E$1504,B227,'JOBS'!$O$5:$O$1504,"Completed")))</f>
        <v/>
      </c>
      <c r="O227" s="54">
        <f>IF(B227="","",IFERROR(AVERAGEIFS('JOBS'!$L$5:$L$1504,'JOBS'!$E$5:$E$1504,B227,'JOBS'!$O$5:$O$1504,"Completed"),""))</f>
        <v/>
      </c>
    </row>
    <row r="228">
      <c r="A228" s="46" t="inlineStr">
        <is>
          <t>P-224</t>
        </is>
      </c>
      <c r="B228" s="38" t="n"/>
      <c r="C228" s="38" t="n"/>
      <c r="D228" s="38" t="n"/>
      <c r="E228" s="38" t="n"/>
      <c r="F228" s="56" t="n"/>
      <c r="G228" s="57" t="n"/>
      <c r="H228" s="58" t="n"/>
      <c r="I228" s="38" t="n"/>
      <c r="J228" s="38" t="n"/>
      <c r="K228" s="38" t="n"/>
      <c r="L228" s="38" t="n"/>
      <c r="M228" s="53">
        <f>IF(B228="","",COUNTIFS('JOBS'!$E$5:$E$1504,B228,'JOBS'!$O$5:$O$1504,"Completed"))</f>
        <v/>
      </c>
      <c r="N228" s="52">
        <f>IF(B228="","",IF(_xlfn.MAXIFS('JOBS'!$B$5:$B$1504,'JOBS'!$E$5:$E$1504,B228,'JOBS'!$O$5:$O$1504,"Completed")=0,"",_xlfn.MAXIFS('JOBS'!$B$5:$B$1504,'JOBS'!$E$5:$E$1504,B228,'JOBS'!$O$5:$O$1504,"Completed")))</f>
        <v/>
      </c>
      <c r="O228" s="54">
        <f>IF(B228="","",IFERROR(AVERAGEIFS('JOBS'!$L$5:$L$1504,'JOBS'!$E$5:$E$1504,B228,'JOBS'!$O$5:$O$1504,"Completed"),""))</f>
        <v/>
      </c>
    </row>
    <row r="229">
      <c r="A229" s="46" t="inlineStr">
        <is>
          <t>P-225</t>
        </is>
      </c>
      <c r="B229" s="38" t="n"/>
      <c r="C229" s="38" t="n"/>
      <c r="D229" s="38" t="n"/>
      <c r="E229" s="38" t="n"/>
      <c r="F229" s="56" t="n"/>
      <c r="G229" s="57" t="n"/>
      <c r="H229" s="58" t="n"/>
      <c r="I229" s="38" t="n"/>
      <c r="J229" s="38" t="n"/>
      <c r="K229" s="38" t="n"/>
      <c r="L229" s="38" t="n"/>
      <c r="M229" s="53">
        <f>IF(B229="","",COUNTIFS('JOBS'!$E$5:$E$1504,B229,'JOBS'!$O$5:$O$1504,"Completed"))</f>
        <v/>
      </c>
      <c r="N229" s="52">
        <f>IF(B229="","",IF(_xlfn.MAXIFS('JOBS'!$B$5:$B$1504,'JOBS'!$E$5:$E$1504,B229,'JOBS'!$O$5:$O$1504,"Completed")=0,"",_xlfn.MAXIFS('JOBS'!$B$5:$B$1504,'JOBS'!$E$5:$E$1504,B229,'JOBS'!$O$5:$O$1504,"Completed")))</f>
        <v/>
      </c>
      <c r="O229" s="54">
        <f>IF(B229="","",IFERROR(AVERAGEIFS('JOBS'!$L$5:$L$1504,'JOBS'!$E$5:$E$1504,B229,'JOBS'!$O$5:$O$1504,"Completed"),""))</f>
        <v/>
      </c>
    </row>
    <row r="230">
      <c r="A230" s="46" t="inlineStr">
        <is>
          <t>P-226</t>
        </is>
      </c>
      <c r="B230" s="38" t="n"/>
      <c r="C230" s="38" t="n"/>
      <c r="D230" s="38" t="n"/>
      <c r="E230" s="38" t="n"/>
      <c r="F230" s="56" t="n"/>
      <c r="G230" s="57" t="n"/>
      <c r="H230" s="58" t="n"/>
      <c r="I230" s="38" t="n"/>
      <c r="J230" s="38" t="n"/>
      <c r="K230" s="38" t="n"/>
      <c r="L230" s="38" t="n"/>
      <c r="M230" s="53">
        <f>IF(B230="","",COUNTIFS('JOBS'!$E$5:$E$1504,B230,'JOBS'!$O$5:$O$1504,"Completed"))</f>
        <v/>
      </c>
      <c r="N230" s="52">
        <f>IF(B230="","",IF(_xlfn.MAXIFS('JOBS'!$B$5:$B$1504,'JOBS'!$E$5:$E$1504,B230,'JOBS'!$O$5:$O$1504,"Completed")=0,"",_xlfn.MAXIFS('JOBS'!$B$5:$B$1504,'JOBS'!$E$5:$E$1504,B230,'JOBS'!$O$5:$O$1504,"Completed")))</f>
        <v/>
      </c>
      <c r="O230" s="54">
        <f>IF(B230="","",IFERROR(AVERAGEIFS('JOBS'!$L$5:$L$1504,'JOBS'!$E$5:$E$1504,B230,'JOBS'!$O$5:$O$1504,"Completed"),""))</f>
        <v/>
      </c>
    </row>
    <row r="231">
      <c r="A231" s="46" t="inlineStr">
        <is>
          <t>P-227</t>
        </is>
      </c>
      <c r="B231" s="38" t="n"/>
      <c r="C231" s="38" t="n"/>
      <c r="D231" s="38" t="n"/>
      <c r="E231" s="38" t="n"/>
      <c r="F231" s="56" t="n"/>
      <c r="G231" s="57" t="n"/>
      <c r="H231" s="58" t="n"/>
      <c r="I231" s="38" t="n"/>
      <c r="J231" s="38" t="n"/>
      <c r="K231" s="38" t="n"/>
      <c r="L231" s="38" t="n"/>
      <c r="M231" s="53">
        <f>IF(B231="","",COUNTIFS('JOBS'!$E$5:$E$1504,B231,'JOBS'!$O$5:$O$1504,"Completed"))</f>
        <v/>
      </c>
      <c r="N231" s="52">
        <f>IF(B231="","",IF(_xlfn.MAXIFS('JOBS'!$B$5:$B$1504,'JOBS'!$E$5:$E$1504,B231,'JOBS'!$O$5:$O$1504,"Completed")=0,"",_xlfn.MAXIFS('JOBS'!$B$5:$B$1504,'JOBS'!$E$5:$E$1504,B231,'JOBS'!$O$5:$O$1504,"Completed")))</f>
        <v/>
      </c>
      <c r="O231" s="54">
        <f>IF(B231="","",IFERROR(AVERAGEIFS('JOBS'!$L$5:$L$1504,'JOBS'!$E$5:$E$1504,B231,'JOBS'!$O$5:$O$1504,"Completed"),""))</f>
        <v/>
      </c>
    </row>
    <row r="232">
      <c r="A232" s="46" t="inlineStr">
        <is>
          <t>P-228</t>
        </is>
      </c>
      <c r="B232" s="38" t="n"/>
      <c r="C232" s="38" t="n"/>
      <c r="D232" s="38" t="n"/>
      <c r="E232" s="38" t="n"/>
      <c r="F232" s="56" t="n"/>
      <c r="G232" s="57" t="n"/>
      <c r="H232" s="58" t="n"/>
      <c r="I232" s="38" t="n"/>
      <c r="J232" s="38" t="n"/>
      <c r="K232" s="38" t="n"/>
      <c r="L232" s="38" t="n"/>
      <c r="M232" s="53">
        <f>IF(B232="","",COUNTIFS('JOBS'!$E$5:$E$1504,B232,'JOBS'!$O$5:$O$1504,"Completed"))</f>
        <v/>
      </c>
      <c r="N232" s="52">
        <f>IF(B232="","",IF(_xlfn.MAXIFS('JOBS'!$B$5:$B$1504,'JOBS'!$E$5:$E$1504,B232,'JOBS'!$O$5:$O$1504,"Completed")=0,"",_xlfn.MAXIFS('JOBS'!$B$5:$B$1504,'JOBS'!$E$5:$E$1504,B232,'JOBS'!$O$5:$O$1504,"Completed")))</f>
        <v/>
      </c>
      <c r="O232" s="54">
        <f>IF(B232="","",IFERROR(AVERAGEIFS('JOBS'!$L$5:$L$1504,'JOBS'!$E$5:$E$1504,B232,'JOBS'!$O$5:$O$1504,"Completed"),""))</f>
        <v/>
      </c>
    </row>
    <row r="233">
      <c r="A233" s="46" t="inlineStr">
        <is>
          <t>P-229</t>
        </is>
      </c>
      <c r="B233" s="38" t="n"/>
      <c r="C233" s="38" t="n"/>
      <c r="D233" s="38" t="n"/>
      <c r="E233" s="38" t="n"/>
      <c r="F233" s="56" t="n"/>
      <c r="G233" s="57" t="n"/>
      <c r="H233" s="58" t="n"/>
      <c r="I233" s="38" t="n"/>
      <c r="J233" s="38" t="n"/>
      <c r="K233" s="38" t="n"/>
      <c r="L233" s="38" t="n"/>
      <c r="M233" s="53">
        <f>IF(B233="","",COUNTIFS('JOBS'!$E$5:$E$1504,B233,'JOBS'!$O$5:$O$1504,"Completed"))</f>
        <v/>
      </c>
      <c r="N233" s="52">
        <f>IF(B233="","",IF(_xlfn.MAXIFS('JOBS'!$B$5:$B$1504,'JOBS'!$E$5:$E$1504,B233,'JOBS'!$O$5:$O$1504,"Completed")=0,"",_xlfn.MAXIFS('JOBS'!$B$5:$B$1504,'JOBS'!$E$5:$E$1504,B233,'JOBS'!$O$5:$O$1504,"Completed")))</f>
        <v/>
      </c>
      <c r="O233" s="54">
        <f>IF(B233="","",IFERROR(AVERAGEIFS('JOBS'!$L$5:$L$1504,'JOBS'!$E$5:$E$1504,B233,'JOBS'!$O$5:$O$1504,"Completed"),""))</f>
        <v/>
      </c>
    </row>
    <row r="234">
      <c r="A234" s="46" t="inlineStr">
        <is>
          <t>P-230</t>
        </is>
      </c>
      <c r="B234" s="38" t="n"/>
      <c r="C234" s="38" t="n"/>
      <c r="D234" s="38" t="n"/>
      <c r="E234" s="38" t="n"/>
      <c r="F234" s="56" t="n"/>
      <c r="G234" s="57" t="n"/>
      <c r="H234" s="58" t="n"/>
      <c r="I234" s="38" t="n"/>
      <c r="J234" s="38" t="n"/>
      <c r="K234" s="38" t="n"/>
      <c r="L234" s="38" t="n"/>
      <c r="M234" s="53">
        <f>IF(B234="","",COUNTIFS('JOBS'!$E$5:$E$1504,B234,'JOBS'!$O$5:$O$1504,"Completed"))</f>
        <v/>
      </c>
      <c r="N234" s="52">
        <f>IF(B234="","",IF(_xlfn.MAXIFS('JOBS'!$B$5:$B$1504,'JOBS'!$E$5:$E$1504,B234,'JOBS'!$O$5:$O$1504,"Completed")=0,"",_xlfn.MAXIFS('JOBS'!$B$5:$B$1504,'JOBS'!$E$5:$E$1504,B234,'JOBS'!$O$5:$O$1504,"Completed")))</f>
        <v/>
      </c>
      <c r="O234" s="54">
        <f>IF(B234="","",IFERROR(AVERAGEIFS('JOBS'!$L$5:$L$1504,'JOBS'!$E$5:$E$1504,B234,'JOBS'!$O$5:$O$1504,"Completed"),""))</f>
        <v/>
      </c>
    </row>
    <row r="235">
      <c r="A235" s="46" t="inlineStr">
        <is>
          <t>P-231</t>
        </is>
      </c>
      <c r="B235" s="38" t="n"/>
      <c r="C235" s="38" t="n"/>
      <c r="D235" s="38" t="n"/>
      <c r="E235" s="38" t="n"/>
      <c r="F235" s="56" t="n"/>
      <c r="G235" s="57" t="n"/>
      <c r="H235" s="58" t="n"/>
      <c r="I235" s="38" t="n"/>
      <c r="J235" s="38" t="n"/>
      <c r="K235" s="38" t="n"/>
      <c r="L235" s="38" t="n"/>
      <c r="M235" s="53">
        <f>IF(B235="","",COUNTIFS('JOBS'!$E$5:$E$1504,B235,'JOBS'!$O$5:$O$1504,"Completed"))</f>
        <v/>
      </c>
      <c r="N235" s="52">
        <f>IF(B235="","",IF(_xlfn.MAXIFS('JOBS'!$B$5:$B$1504,'JOBS'!$E$5:$E$1504,B235,'JOBS'!$O$5:$O$1504,"Completed")=0,"",_xlfn.MAXIFS('JOBS'!$B$5:$B$1504,'JOBS'!$E$5:$E$1504,B235,'JOBS'!$O$5:$O$1504,"Completed")))</f>
        <v/>
      </c>
      <c r="O235" s="54">
        <f>IF(B235="","",IFERROR(AVERAGEIFS('JOBS'!$L$5:$L$1504,'JOBS'!$E$5:$E$1504,B235,'JOBS'!$O$5:$O$1504,"Completed"),""))</f>
        <v/>
      </c>
    </row>
    <row r="236">
      <c r="A236" s="46" t="inlineStr">
        <is>
          <t>P-232</t>
        </is>
      </c>
      <c r="B236" s="38" t="n"/>
      <c r="C236" s="38" t="n"/>
      <c r="D236" s="38" t="n"/>
      <c r="E236" s="38" t="n"/>
      <c r="F236" s="56" t="n"/>
      <c r="G236" s="57" t="n"/>
      <c r="H236" s="58" t="n"/>
      <c r="I236" s="38" t="n"/>
      <c r="J236" s="38" t="n"/>
      <c r="K236" s="38" t="n"/>
      <c r="L236" s="38" t="n"/>
      <c r="M236" s="53">
        <f>IF(B236="","",COUNTIFS('JOBS'!$E$5:$E$1504,B236,'JOBS'!$O$5:$O$1504,"Completed"))</f>
        <v/>
      </c>
      <c r="N236" s="52">
        <f>IF(B236="","",IF(_xlfn.MAXIFS('JOBS'!$B$5:$B$1504,'JOBS'!$E$5:$E$1504,B236,'JOBS'!$O$5:$O$1504,"Completed")=0,"",_xlfn.MAXIFS('JOBS'!$B$5:$B$1504,'JOBS'!$E$5:$E$1504,B236,'JOBS'!$O$5:$O$1504,"Completed")))</f>
        <v/>
      </c>
      <c r="O236" s="54">
        <f>IF(B236="","",IFERROR(AVERAGEIFS('JOBS'!$L$5:$L$1504,'JOBS'!$E$5:$E$1504,B236,'JOBS'!$O$5:$O$1504,"Completed"),""))</f>
        <v/>
      </c>
    </row>
    <row r="237">
      <c r="A237" s="46" t="inlineStr">
        <is>
          <t>P-233</t>
        </is>
      </c>
      <c r="B237" s="38" t="n"/>
      <c r="C237" s="38" t="n"/>
      <c r="D237" s="38" t="n"/>
      <c r="E237" s="38" t="n"/>
      <c r="F237" s="56" t="n"/>
      <c r="G237" s="57" t="n"/>
      <c r="H237" s="58" t="n"/>
      <c r="I237" s="38" t="n"/>
      <c r="J237" s="38" t="n"/>
      <c r="K237" s="38" t="n"/>
      <c r="L237" s="38" t="n"/>
      <c r="M237" s="53">
        <f>IF(B237="","",COUNTIFS('JOBS'!$E$5:$E$1504,B237,'JOBS'!$O$5:$O$1504,"Completed"))</f>
        <v/>
      </c>
      <c r="N237" s="52">
        <f>IF(B237="","",IF(_xlfn.MAXIFS('JOBS'!$B$5:$B$1504,'JOBS'!$E$5:$E$1504,B237,'JOBS'!$O$5:$O$1504,"Completed")=0,"",_xlfn.MAXIFS('JOBS'!$B$5:$B$1504,'JOBS'!$E$5:$E$1504,B237,'JOBS'!$O$5:$O$1504,"Completed")))</f>
        <v/>
      </c>
      <c r="O237" s="54">
        <f>IF(B237="","",IFERROR(AVERAGEIFS('JOBS'!$L$5:$L$1504,'JOBS'!$E$5:$E$1504,B237,'JOBS'!$O$5:$O$1504,"Completed"),""))</f>
        <v/>
      </c>
    </row>
    <row r="238">
      <c r="A238" s="46" t="inlineStr">
        <is>
          <t>P-234</t>
        </is>
      </c>
      <c r="B238" s="38" t="n"/>
      <c r="C238" s="38" t="n"/>
      <c r="D238" s="38" t="n"/>
      <c r="E238" s="38" t="n"/>
      <c r="F238" s="56" t="n"/>
      <c r="G238" s="57" t="n"/>
      <c r="H238" s="58" t="n"/>
      <c r="I238" s="38" t="n"/>
      <c r="J238" s="38" t="n"/>
      <c r="K238" s="38" t="n"/>
      <c r="L238" s="38" t="n"/>
      <c r="M238" s="53">
        <f>IF(B238="","",COUNTIFS('JOBS'!$E$5:$E$1504,B238,'JOBS'!$O$5:$O$1504,"Completed"))</f>
        <v/>
      </c>
      <c r="N238" s="52">
        <f>IF(B238="","",IF(_xlfn.MAXIFS('JOBS'!$B$5:$B$1504,'JOBS'!$E$5:$E$1504,B238,'JOBS'!$O$5:$O$1504,"Completed")=0,"",_xlfn.MAXIFS('JOBS'!$B$5:$B$1504,'JOBS'!$E$5:$E$1504,B238,'JOBS'!$O$5:$O$1504,"Completed")))</f>
        <v/>
      </c>
      <c r="O238" s="54">
        <f>IF(B238="","",IFERROR(AVERAGEIFS('JOBS'!$L$5:$L$1504,'JOBS'!$E$5:$E$1504,B238,'JOBS'!$O$5:$O$1504,"Completed"),""))</f>
        <v/>
      </c>
    </row>
    <row r="239">
      <c r="A239" s="46" t="inlineStr">
        <is>
          <t>P-235</t>
        </is>
      </c>
      <c r="B239" s="38" t="n"/>
      <c r="C239" s="38" t="n"/>
      <c r="D239" s="38" t="n"/>
      <c r="E239" s="38" t="n"/>
      <c r="F239" s="56" t="n"/>
      <c r="G239" s="57" t="n"/>
      <c r="H239" s="58" t="n"/>
      <c r="I239" s="38" t="n"/>
      <c r="J239" s="38" t="n"/>
      <c r="K239" s="38" t="n"/>
      <c r="L239" s="38" t="n"/>
      <c r="M239" s="53">
        <f>IF(B239="","",COUNTIFS('JOBS'!$E$5:$E$1504,B239,'JOBS'!$O$5:$O$1504,"Completed"))</f>
        <v/>
      </c>
      <c r="N239" s="52">
        <f>IF(B239="","",IF(_xlfn.MAXIFS('JOBS'!$B$5:$B$1504,'JOBS'!$E$5:$E$1504,B239,'JOBS'!$O$5:$O$1504,"Completed")=0,"",_xlfn.MAXIFS('JOBS'!$B$5:$B$1504,'JOBS'!$E$5:$E$1504,B239,'JOBS'!$O$5:$O$1504,"Completed")))</f>
        <v/>
      </c>
      <c r="O239" s="54">
        <f>IF(B239="","",IFERROR(AVERAGEIFS('JOBS'!$L$5:$L$1504,'JOBS'!$E$5:$E$1504,B239,'JOBS'!$O$5:$O$1504,"Completed"),""))</f>
        <v/>
      </c>
    </row>
    <row r="240">
      <c r="A240" s="46" t="inlineStr">
        <is>
          <t>P-236</t>
        </is>
      </c>
      <c r="B240" s="38" t="n"/>
      <c r="C240" s="38" t="n"/>
      <c r="D240" s="38" t="n"/>
      <c r="E240" s="38" t="n"/>
      <c r="F240" s="56" t="n"/>
      <c r="G240" s="57" t="n"/>
      <c r="H240" s="58" t="n"/>
      <c r="I240" s="38" t="n"/>
      <c r="J240" s="38" t="n"/>
      <c r="K240" s="38" t="n"/>
      <c r="L240" s="38" t="n"/>
      <c r="M240" s="53">
        <f>IF(B240="","",COUNTIFS('JOBS'!$E$5:$E$1504,B240,'JOBS'!$O$5:$O$1504,"Completed"))</f>
        <v/>
      </c>
      <c r="N240" s="52">
        <f>IF(B240="","",IF(_xlfn.MAXIFS('JOBS'!$B$5:$B$1504,'JOBS'!$E$5:$E$1504,B240,'JOBS'!$O$5:$O$1504,"Completed")=0,"",_xlfn.MAXIFS('JOBS'!$B$5:$B$1504,'JOBS'!$E$5:$E$1504,B240,'JOBS'!$O$5:$O$1504,"Completed")))</f>
        <v/>
      </c>
      <c r="O240" s="54">
        <f>IF(B240="","",IFERROR(AVERAGEIFS('JOBS'!$L$5:$L$1504,'JOBS'!$E$5:$E$1504,B240,'JOBS'!$O$5:$O$1504,"Completed"),""))</f>
        <v/>
      </c>
    </row>
    <row r="241">
      <c r="A241" s="46" t="inlineStr">
        <is>
          <t>P-237</t>
        </is>
      </c>
      <c r="B241" s="38" t="n"/>
      <c r="C241" s="38" t="n"/>
      <c r="D241" s="38" t="n"/>
      <c r="E241" s="38" t="n"/>
      <c r="F241" s="56" t="n"/>
      <c r="G241" s="57" t="n"/>
      <c r="H241" s="58" t="n"/>
      <c r="I241" s="38" t="n"/>
      <c r="J241" s="38" t="n"/>
      <c r="K241" s="38" t="n"/>
      <c r="L241" s="38" t="n"/>
      <c r="M241" s="53">
        <f>IF(B241="","",COUNTIFS('JOBS'!$E$5:$E$1504,B241,'JOBS'!$O$5:$O$1504,"Completed"))</f>
        <v/>
      </c>
      <c r="N241" s="52">
        <f>IF(B241="","",IF(_xlfn.MAXIFS('JOBS'!$B$5:$B$1504,'JOBS'!$E$5:$E$1504,B241,'JOBS'!$O$5:$O$1504,"Completed")=0,"",_xlfn.MAXIFS('JOBS'!$B$5:$B$1504,'JOBS'!$E$5:$E$1504,B241,'JOBS'!$O$5:$O$1504,"Completed")))</f>
        <v/>
      </c>
      <c r="O241" s="54">
        <f>IF(B241="","",IFERROR(AVERAGEIFS('JOBS'!$L$5:$L$1504,'JOBS'!$E$5:$E$1504,B241,'JOBS'!$O$5:$O$1504,"Completed"),""))</f>
        <v/>
      </c>
    </row>
    <row r="242">
      <c r="A242" s="46" t="inlineStr">
        <is>
          <t>P-238</t>
        </is>
      </c>
      <c r="B242" s="38" t="n"/>
      <c r="C242" s="38" t="n"/>
      <c r="D242" s="38" t="n"/>
      <c r="E242" s="38" t="n"/>
      <c r="F242" s="56" t="n"/>
      <c r="G242" s="57" t="n"/>
      <c r="H242" s="58" t="n"/>
      <c r="I242" s="38" t="n"/>
      <c r="J242" s="38" t="n"/>
      <c r="K242" s="38" t="n"/>
      <c r="L242" s="38" t="n"/>
      <c r="M242" s="53">
        <f>IF(B242="","",COUNTIFS('JOBS'!$E$5:$E$1504,B242,'JOBS'!$O$5:$O$1504,"Completed"))</f>
        <v/>
      </c>
      <c r="N242" s="52">
        <f>IF(B242="","",IF(_xlfn.MAXIFS('JOBS'!$B$5:$B$1504,'JOBS'!$E$5:$E$1504,B242,'JOBS'!$O$5:$O$1504,"Completed")=0,"",_xlfn.MAXIFS('JOBS'!$B$5:$B$1504,'JOBS'!$E$5:$E$1504,B242,'JOBS'!$O$5:$O$1504,"Completed")))</f>
        <v/>
      </c>
      <c r="O242" s="54">
        <f>IF(B242="","",IFERROR(AVERAGEIFS('JOBS'!$L$5:$L$1504,'JOBS'!$E$5:$E$1504,B242,'JOBS'!$O$5:$O$1504,"Completed"),""))</f>
        <v/>
      </c>
    </row>
    <row r="243">
      <c r="A243" s="46" t="inlineStr">
        <is>
          <t>P-239</t>
        </is>
      </c>
      <c r="B243" s="38" t="n"/>
      <c r="C243" s="38" t="n"/>
      <c r="D243" s="38" t="n"/>
      <c r="E243" s="38" t="n"/>
      <c r="F243" s="56" t="n"/>
      <c r="G243" s="57" t="n"/>
      <c r="H243" s="58" t="n"/>
      <c r="I243" s="38" t="n"/>
      <c r="J243" s="38" t="n"/>
      <c r="K243" s="38" t="n"/>
      <c r="L243" s="38" t="n"/>
      <c r="M243" s="53">
        <f>IF(B243="","",COUNTIFS('JOBS'!$E$5:$E$1504,B243,'JOBS'!$O$5:$O$1504,"Completed"))</f>
        <v/>
      </c>
      <c r="N243" s="52">
        <f>IF(B243="","",IF(_xlfn.MAXIFS('JOBS'!$B$5:$B$1504,'JOBS'!$E$5:$E$1504,B243,'JOBS'!$O$5:$O$1504,"Completed")=0,"",_xlfn.MAXIFS('JOBS'!$B$5:$B$1504,'JOBS'!$E$5:$E$1504,B243,'JOBS'!$O$5:$O$1504,"Completed")))</f>
        <v/>
      </c>
      <c r="O243" s="54">
        <f>IF(B243="","",IFERROR(AVERAGEIFS('JOBS'!$L$5:$L$1504,'JOBS'!$E$5:$E$1504,B243,'JOBS'!$O$5:$O$1504,"Completed"),""))</f>
        <v/>
      </c>
    </row>
    <row r="244">
      <c r="A244" s="46" t="inlineStr">
        <is>
          <t>P-240</t>
        </is>
      </c>
      <c r="B244" s="38" t="n"/>
      <c r="C244" s="38" t="n"/>
      <c r="D244" s="38" t="n"/>
      <c r="E244" s="38" t="n"/>
      <c r="F244" s="56" t="n"/>
      <c r="G244" s="57" t="n"/>
      <c r="H244" s="58" t="n"/>
      <c r="I244" s="38" t="n"/>
      <c r="J244" s="38" t="n"/>
      <c r="K244" s="38" t="n"/>
      <c r="L244" s="38" t="n"/>
      <c r="M244" s="53">
        <f>IF(B244="","",COUNTIFS('JOBS'!$E$5:$E$1504,B244,'JOBS'!$O$5:$O$1504,"Completed"))</f>
        <v/>
      </c>
      <c r="N244" s="52">
        <f>IF(B244="","",IF(_xlfn.MAXIFS('JOBS'!$B$5:$B$1504,'JOBS'!$E$5:$E$1504,B244,'JOBS'!$O$5:$O$1504,"Completed")=0,"",_xlfn.MAXIFS('JOBS'!$B$5:$B$1504,'JOBS'!$E$5:$E$1504,B244,'JOBS'!$O$5:$O$1504,"Completed")))</f>
        <v/>
      </c>
      <c r="O244" s="54">
        <f>IF(B244="","",IFERROR(AVERAGEIFS('JOBS'!$L$5:$L$1504,'JOBS'!$E$5:$E$1504,B244,'JOBS'!$O$5:$O$1504,"Completed"),""))</f>
        <v/>
      </c>
    </row>
    <row r="245">
      <c r="A245" s="46" t="inlineStr">
        <is>
          <t>P-241</t>
        </is>
      </c>
      <c r="B245" s="38" t="n"/>
      <c r="C245" s="38" t="n"/>
      <c r="D245" s="38" t="n"/>
      <c r="E245" s="38" t="n"/>
      <c r="F245" s="56" t="n"/>
      <c r="G245" s="57" t="n"/>
      <c r="H245" s="58" t="n"/>
      <c r="I245" s="38" t="n"/>
      <c r="J245" s="38" t="n"/>
      <c r="K245" s="38" t="n"/>
      <c r="L245" s="38" t="n"/>
      <c r="M245" s="53">
        <f>IF(B245="","",COUNTIFS('JOBS'!$E$5:$E$1504,B245,'JOBS'!$O$5:$O$1504,"Completed"))</f>
        <v/>
      </c>
      <c r="N245" s="52">
        <f>IF(B245="","",IF(_xlfn.MAXIFS('JOBS'!$B$5:$B$1504,'JOBS'!$E$5:$E$1504,B245,'JOBS'!$O$5:$O$1504,"Completed")=0,"",_xlfn.MAXIFS('JOBS'!$B$5:$B$1504,'JOBS'!$E$5:$E$1504,B245,'JOBS'!$O$5:$O$1504,"Completed")))</f>
        <v/>
      </c>
      <c r="O245" s="54">
        <f>IF(B245="","",IFERROR(AVERAGEIFS('JOBS'!$L$5:$L$1504,'JOBS'!$E$5:$E$1504,B245,'JOBS'!$O$5:$O$1504,"Completed"),""))</f>
        <v/>
      </c>
    </row>
    <row r="246">
      <c r="A246" s="46" t="inlineStr">
        <is>
          <t>P-242</t>
        </is>
      </c>
      <c r="B246" s="38" t="n"/>
      <c r="C246" s="38" t="n"/>
      <c r="D246" s="38" t="n"/>
      <c r="E246" s="38" t="n"/>
      <c r="F246" s="56" t="n"/>
      <c r="G246" s="57" t="n"/>
      <c r="H246" s="58" t="n"/>
      <c r="I246" s="38" t="n"/>
      <c r="J246" s="38" t="n"/>
      <c r="K246" s="38" t="n"/>
      <c r="L246" s="38" t="n"/>
      <c r="M246" s="53">
        <f>IF(B246="","",COUNTIFS('JOBS'!$E$5:$E$1504,B246,'JOBS'!$O$5:$O$1504,"Completed"))</f>
        <v/>
      </c>
      <c r="N246" s="52">
        <f>IF(B246="","",IF(_xlfn.MAXIFS('JOBS'!$B$5:$B$1504,'JOBS'!$E$5:$E$1504,B246,'JOBS'!$O$5:$O$1504,"Completed")=0,"",_xlfn.MAXIFS('JOBS'!$B$5:$B$1504,'JOBS'!$E$5:$E$1504,B246,'JOBS'!$O$5:$O$1504,"Completed")))</f>
        <v/>
      </c>
      <c r="O246" s="54">
        <f>IF(B246="","",IFERROR(AVERAGEIFS('JOBS'!$L$5:$L$1504,'JOBS'!$E$5:$E$1504,B246,'JOBS'!$O$5:$O$1504,"Completed"),""))</f>
        <v/>
      </c>
    </row>
    <row r="247">
      <c r="A247" s="46" t="inlineStr">
        <is>
          <t>P-243</t>
        </is>
      </c>
      <c r="B247" s="38" t="n"/>
      <c r="C247" s="38" t="n"/>
      <c r="D247" s="38" t="n"/>
      <c r="E247" s="38" t="n"/>
      <c r="F247" s="56" t="n"/>
      <c r="G247" s="57" t="n"/>
      <c r="H247" s="58" t="n"/>
      <c r="I247" s="38" t="n"/>
      <c r="J247" s="38" t="n"/>
      <c r="K247" s="38" t="n"/>
      <c r="L247" s="38" t="n"/>
      <c r="M247" s="53">
        <f>IF(B247="","",COUNTIFS('JOBS'!$E$5:$E$1504,B247,'JOBS'!$O$5:$O$1504,"Completed"))</f>
        <v/>
      </c>
      <c r="N247" s="52">
        <f>IF(B247="","",IF(_xlfn.MAXIFS('JOBS'!$B$5:$B$1504,'JOBS'!$E$5:$E$1504,B247,'JOBS'!$O$5:$O$1504,"Completed")=0,"",_xlfn.MAXIFS('JOBS'!$B$5:$B$1504,'JOBS'!$E$5:$E$1504,B247,'JOBS'!$O$5:$O$1504,"Completed")))</f>
        <v/>
      </c>
      <c r="O247" s="54">
        <f>IF(B247="","",IFERROR(AVERAGEIFS('JOBS'!$L$5:$L$1504,'JOBS'!$E$5:$E$1504,B247,'JOBS'!$O$5:$O$1504,"Completed"),""))</f>
        <v/>
      </c>
    </row>
    <row r="248">
      <c r="A248" s="46" t="inlineStr">
        <is>
          <t>P-244</t>
        </is>
      </c>
      <c r="B248" s="38" t="n"/>
      <c r="C248" s="38" t="n"/>
      <c r="D248" s="38" t="n"/>
      <c r="E248" s="38" t="n"/>
      <c r="F248" s="56" t="n"/>
      <c r="G248" s="57" t="n"/>
      <c r="H248" s="58" t="n"/>
      <c r="I248" s="38" t="n"/>
      <c r="J248" s="38" t="n"/>
      <c r="K248" s="38" t="n"/>
      <c r="L248" s="38" t="n"/>
      <c r="M248" s="53">
        <f>IF(B248="","",COUNTIFS('JOBS'!$E$5:$E$1504,B248,'JOBS'!$O$5:$O$1504,"Completed"))</f>
        <v/>
      </c>
      <c r="N248" s="52">
        <f>IF(B248="","",IF(_xlfn.MAXIFS('JOBS'!$B$5:$B$1504,'JOBS'!$E$5:$E$1504,B248,'JOBS'!$O$5:$O$1504,"Completed")=0,"",_xlfn.MAXIFS('JOBS'!$B$5:$B$1504,'JOBS'!$E$5:$E$1504,B248,'JOBS'!$O$5:$O$1504,"Completed")))</f>
        <v/>
      </c>
      <c r="O248" s="54">
        <f>IF(B248="","",IFERROR(AVERAGEIFS('JOBS'!$L$5:$L$1504,'JOBS'!$E$5:$E$1504,B248,'JOBS'!$O$5:$O$1504,"Completed"),""))</f>
        <v/>
      </c>
    </row>
    <row r="249">
      <c r="A249" s="46" t="inlineStr">
        <is>
          <t>P-245</t>
        </is>
      </c>
      <c r="B249" s="38" t="n"/>
      <c r="C249" s="38" t="n"/>
      <c r="D249" s="38" t="n"/>
      <c r="E249" s="38" t="n"/>
      <c r="F249" s="56" t="n"/>
      <c r="G249" s="57" t="n"/>
      <c r="H249" s="58" t="n"/>
      <c r="I249" s="38" t="n"/>
      <c r="J249" s="38" t="n"/>
      <c r="K249" s="38" t="n"/>
      <c r="L249" s="38" t="n"/>
      <c r="M249" s="53">
        <f>IF(B249="","",COUNTIFS('JOBS'!$E$5:$E$1504,B249,'JOBS'!$O$5:$O$1504,"Completed"))</f>
        <v/>
      </c>
      <c r="N249" s="52">
        <f>IF(B249="","",IF(_xlfn.MAXIFS('JOBS'!$B$5:$B$1504,'JOBS'!$E$5:$E$1504,B249,'JOBS'!$O$5:$O$1504,"Completed")=0,"",_xlfn.MAXIFS('JOBS'!$B$5:$B$1504,'JOBS'!$E$5:$E$1504,B249,'JOBS'!$O$5:$O$1504,"Completed")))</f>
        <v/>
      </c>
      <c r="O249" s="54">
        <f>IF(B249="","",IFERROR(AVERAGEIFS('JOBS'!$L$5:$L$1504,'JOBS'!$E$5:$E$1504,B249,'JOBS'!$O$5:$O$1504,"Completed"),""))</f>
        <v/>
      </c>
    </row>
    <row r="250">
      <c r="A250" s="46" t="inlineStr">
        <is>
          <t>P-246</t>
        </is>
      </c>
      <c r="B250" s="38" t="n"/>
      <c r="C250" s="38" t="n"/>
      <c r="D250" s="38" t="n"/>
      <c r="E250" s="38" t="n"/>
      <c r="F250" s="56" t="n"/>
      <c r="G250" s="57" t="n"/>
      <c r="H250" s="58" t="n"/>
      <c r="I250" s="38" t="n"/>
      <c r="J250" s="38" t="n"/>
      <c r="K250" s="38" t="n"/>
      <c r="L250" s="38" t="n"/>
      <c r="M250" s="53">
        <f>IF(B250="","",COUNTIFS('JOBS'!$E$5:$E$1504,B250,'JOBS'!$O$5:$O$1504,"Completed"))</f>
        <v/>
      </c>
      <c r="N250" s="52">
        <f>IF(B250="","",IF(_xlfn.MAXIFS('JOBS'!$B$5:$B$1504,'JOBS'!$E$5:$E$1504,B250,'JOBS'!$O$5:$O$1504,"Completed")=0,"",_xlfn.MAXIFS('JOBS'!$B$5:$B$1504,'JOBS'!$E$5:$E$1504,B250,'JOBS'!$O$5:$O$1504,"Completed")))</f>
        <v/>
      </c>
      <c r="O250" s="54">
        <f>IF(B250="","",IFERROR(AVERAGEIFS('JOBS'!$L$5:$L$1504,'JOBS'!$E$5:$E$1504,B250,'JOBS'!$O$5:$O$1504,"Completed"),""))</f>
        <v/>
      </c>
    </row>
    <row r="251">
      <c r="A251" s="46" t="inlineStr">
        <is>
          <t>P-247</t>
        </is>
      </c>
      <c r="B251" s="38" t="n"/>
      <c r="C251" s="38" t="n"/>
      <c r="D251" s="38" t="n"/>
      <c r="E251" s="38" t="n"/>
      <c r="F251" s="56" t="n"/>
      <c r="G251" s="57" t="n"/>
      <c r="H251" s="58" t="n"/>
      <c r="I251" s="38" t="n"/>
      <c r="J251" s="38" t="n"/>
      <c r="K251" s="38" t="n"/>
      <c r="L251" s="38" t="n"/>
      <c r="M251" s="53">
        <f>IF(B251="","",COUNTIFS('JOBS'!$E$5:$E$1504,B251,'JOBS'!$O$5:$O$1504,"Completed"))</f>
        <v/>
      </c>
      <c r="N251" s="52">
        <f>IF(B251="","",IF(_xlfn.MAXIFS('JOBS'!$B$5:$B$1504,'JOBS'!$E$5:$E$1504,B251,'JOBS'!$O$5:$O$1504,"Completed")=0,"",_xlfn.MAXIFS('JOBS'!$B$5:$B$1504,'JOBS'!$E$5:$E$1504,B251,'JOBS'!$O$5:$O$1504,"Completed")))</f>
        <v/>
      </c>
      <c r="O251" s="54">
        <f>IF(B251="","",IFERROR(AVERAGEIFS('JOBS'!$L$5:$L$1504,'JOBS'!$E$5:$E$1504,B251,'JOBS'!$O$5:$O$1504,"Completed"),""))</f>
        <v/>
      </c>
    </row>
    <row r="252">
      <c r="A252" s="46" t="inlineStr">
        <is>
          <t>P-248</t>
        </is>
      </c>
      <c r="B252" s="38" t="n"/>
      <c r="C252" s="38" t="n"/>
      <c r="D252" s="38" t="n"/>
      <c r="E252" s="38" t="n"/>
      <c r="F252" s="56" t="n"/>
      <c r="G252" s="57" t="n"/>
      <c r="H252" s="58" t="n"/>
      <c r="I252" s="38" t="n"/>
      <c r="J252" s="38" t="n"/>
      <c r="K252" s="38" t="n"/>
      <c r="L252" s="38" t="n"/>
      <c r="M252" s="53">
        <f>IF(B252="","",COUNTIFS('JOBS'!$E$5:$E$1504,B252,'JOBS'!$O$5:$O$1504,"Completed"))</f>
        <v/>
      </c>
      <c r="N252" s="52">
        <f>IF(B252="","",IF(_xlfn.MAXIFS('JOBS'!$B$5:$B$1504,'JOBS'!$E$5:$E$1504,B252,'JOBS'!$O$5:$O$1504,"Completed")=0,"",_xlfn.MAXIFS('JOBS'!$B$5:$B$1504,'JOBS'!$E$5:$E$1504,B252,'JOBS'!$O$5:$O$1504,"Completed")))</f>
        <v/>
      </c>
      <c r="O252" s="54">
        <f>IF(B252="","",IFERROR(AVERAGEIFS('JOBS'!$L$5:$L$1504,'JOBS'!$E$5:$E$1504,B252,'JOBS'!$O$5:$O$1504,"Completed"),""))</f>
        <v/>
      </c>
    </row>
    <row r="253">
      <c r="A253" s="46" t="inlineStr">
        <is>
          <t>P-249</t>
        </is>
      </c>
      <c r="B253" s="38" t="n"/>
      <c r="C253" s="38" t="n"/>
      <c r="D253" s="38" t="n"/>
      <c r="E253" s="38" t="n"/>
      <c r="F253" s="56" t="n"/>
      <c r="G253" s="57" t="n"/>
      <c r="H253" s="58" t="n"/>
      <c r="I253" s="38" t="n"/>
      <c r="J253" s="38" t="n"/>
      <c r="K253" s="38" t="n"/>
      <c r="L253" s="38" t="n"/>
      <c r="M253" s="53">
        <f>IF(B253="","",COUNTIFS('JOBS'!$E$5:$E$1504,B253,'JOBS'!$O$5:$O$1504,"Completed"))</f>
        <v/>
      </c>
      <c r="N253" s="52">
        <f>IF(B253="","",IF(_xlfn.MAXIFS('JOBS'!$B$5:$B$1504,'JOBS'!$E$5:$E$1504,B253,'JOBS'!$O$5:$O$1504,"Completed")=0,"",_xlfn.MAXIFS('JOBS'!$B$5:$B$1504,'JOBS'!$E$5:$E$1504,B253,'JOBS'!$O$5:$O$1504,"Completed")))</f>
        <v/>
      </c>
      <c r="O253" s="54">
        <f>IF(B253="","",IFERROR(AVERAGEIFS('JOBS'!$L$5:$L$1504,'JOBS'!$E$5:$E$1504,B253,'JOBS'!$O$5:$O$1504,"Completed"),""))</f>
        <v/>
      </c>
    </row>
    <row r="254">
      <c r="A254" s="46" t="inlineStr">
        <is>
          <t>P-250</t>
        </is>
      </c>
      <c r="B254" s="38" t="n"/>
      <c r="C254" s="38" t="n"/>
      <c r="D254" s="38" t="n"/>
      <c r="E254" s="38" t="n"/>
      <c r="F254" s="56" t="n"/>
      <c r="G254" s="57" t="n"/>
      <c r="H254" s="58" t="n"/>
      <c r="I254" s="38" t="n"/>
      <c r="J254" s="38" t="n"/>
      <c r="K254" s="38" t="n"/>
      <c r="L254" s="38" t="n"/>
      <c r="M254" s="53">
        <f>IF(B254="","",COUNTIFS('JOBS'!$E$5:$E$1504,B254,'JOBS'!$O$5:$O$1504,"Completed"))</f>
        <v/>
      </c>
      <c r="N254" s="52">
        <f>IF(B254="","",IF(_xlfn.MAXIFS('JOBS'!$B$5:$B$1504,'JOBS'!$E$5:$E$1504,B254,'JOBS'!$O$5:$O$1504,"Completed")=0,"",_xlfn.MAXIFS('JOBS'!$B$5:$B$1504,'JOBS'!$E$5:$E$1504,B254,'JOBS'!$O$5:$O$1504,"Completed")))</f>
        <v/>
      </c>
      <c r="O254" s="54">
        <f>IF(B254="","",IFERROR(AVERAGEIFS('JOBS'!$L$5:$L$1504,'JOBS'!$E$5:$E$1504,B254,'JOBS'!$O$5:$O$1504,"Completed"),""))</f>
        <v/>
      </c>
    </row>
    <row r="255">
      <c r="A255" s="46" t="inlineStr">
        <is>
          <t>P-251</t>
        </is>
      </c>
      <c r="B255" s="38" t="n"/>
      <c r="C255" s="38" t="n"/>
      <c r="D255" s="38" t="n"/>
      <c r="E255" s="38" t="n"/>
      <c r="F255" s="56" t="n"/>
      <c r="G255" s="57" t="n"/>
      <c r="H255" s="58" t="n"/>
      <c r="I255" s="38" t="n"/>
      <c r="J255" s="38" t="n"/>
      <c r="K255" s="38" t="n"/>
      <c r="L255" s="38" t="n"/>
      <c r="M255" s="53">
        <f>IF(B255="","",COUNTIFS('JOBS'!$E$5:$E$1504,B255,'JOBS'!$O$5:$O$1504,"Completed"))</f>
        <v/>
      </c>
      <c r="N255" s="52">
        <f>IF(B255="","",IF(_xlfn.MAXIFS('JOBS'!$B$5:$B$1504,'JOBS'!$E$5:$E$1504,B255,'JOBS'!$O$5:$O$1504,"Completed")=0,"",_xlfn.MAXIFS('JOBS'!$B$5:$B$1504,'JOBS'!$E$5:$E$1504,B255,'JOBS'!$O$5:$O$1504,"Completed")))</f>
        <v/>
      </c>
      <c r="O255" s="54">
        <f>IF(B255="","",IFERROR(AVERAGEIFS('JOBS'!$L$5:$L$1504,'JOBS'!$E$5:$E$1504,B255,'JOBS'!$O$5:$O$1504,"Completed"),""))</f>
        <v/>
      </c>
    </row>
    <row r="256">
      <c r="A256" s="46" t="inlineStr">
        <is>
          <t>P-252</t>
        </is>
      </c>
      <c r="B256" s="38" t="n"/>
      <c r="C256" s="38" t="n"/>
      <c r="D256" s="38" t="n"/>
      <c r="E256" s="38" t="n"/>
      <c r="F256" s="56" t="n"/>
      <c r="G256" s="57" t="n"/>
      <c r="H256" s="58" t="n"/>
      <c r="I256" s="38" t="n"/>
      <c r="J256" s="38" t="n"/>
      <c r="K256" s="38" t="n"/>
      <c r="L256" s="38" t="n"/>
      <c r="M256" s="53">
        <f>IF(B256="","",COUNTIFS('JOBS'!$E$5:$E$1504,B256,'JOBS'!$O$5:$O$1504,"Completed"))</f>
        <v/>
      </c>
      <c r="N256" s="52">
        <f>IF(B256="","",IF(_xlfn.MAXIFS('JOBS'!$B$5:$B$1504,'JOBS'!$E$5:$E$1504,B256,'JOBS'!$O$5:$O$1504,"Completed")=0,"",_xlfn.MAXIFS('JOBS'!$B$5:$B$1504,'JOBS'!$E$5:$E$1504,B256,'JOBS'!$O$5:$O$1504,"Completed")))</f>
        <v/>
      </c>
      <c r="O256" s="54">
        <f>IF(B256="","",IFERROR(AVERAGEIFS('JOBS'!$L$5:$L$1504,'JOBS'!$E$5:$E$1504,B256,'JOBS'!$O$5:$O$1504,"Completed"),""))</f>
        <v/>
      </c>
    </row>
    <row r="257">
      <c r="A257" s="46" t="inlineStr">
        <is>
          <t>P-253</t>
        </is>
      </c>
      <c r="B257" s="38" t="n"/>
      <c r="C257" s="38" t="n"/>
      <c r="D257" s="38" t="n"/>
      <c r="E257" s="38" t="n"/>
      <c r="F257" s="56" t="n"/>
      <c r="G257" s="57" t="n"/>
      <c r="H257" s="58" t="n"/>
      <c r="I257" s="38" t="n"/>
      <c r="J257" s="38" t="n"/>
      <c r="K257" s="38" t="n"/>
      <c r="L257" s="38" t="n"/>
      <c r="M257" s="53">
        <f>IF(B257="","",COUNTIFS('JOBS'!$E$5:$E$1504,B257,'JOBS'!$O$5:$O$1504,"Completed"))</f>
        <v/>
      </c>
      <c r="N257" s="52">
        <f>IF(B257="","",IF(_xlfn.MAXIFS('JOBS'!$B$5:$B$1504,'JOBS'!$E$5:$E$1504,B257,'JOBS'!$O$5:$O$1504,"Completed")=0,"",_xlfn.MAXIFS('JOBS'!$B$5:$B$1504,'JOBS'!$E$5:$E$1504,B257,'JOBS'!$O$5:$O$1504,"Completed")))</f>
        <v/>
      </c>
      <c r="O257" s="54">
        <f>IF(B257="","",IFERROR(AVERAGEIFS('JOBS'!$L$5:$L$1504,'JOBS'!$E$5:$E$1504,B257,'JOBS'!$O$5:$O$1504,"Completed"),""))</f>
        <v/>
      </c>
    </row>
    <row r="258">
      <c r="A258" s="46" t="inlineStr">
        <is>
          <t>P-254</t>
        </is>
      </c>
      <c r="B258" s="38" t="n"/>
      <c r="C258" s="38" t="n"/>
      <c r="D258" s="38" t="n"/>
      <c r="E258" s="38" t="n"/>
      <c r="F258" s="56" t="n"/>
      <c r="G258" s="57" t="n"/>
      <c r="H258" s="58" t="n"/>
      <c r="I258" s="38" t="n"/>
      <c r="J258" s="38" t="n"/>
      <c r="K258" s="38" t="n"/>
      <c r="L258" s="38" t="n"/>
      <c r="M258" s="53">
        <f>IF(B258="","",COUNTIFS('JOBS'!$E$5:$E$1504,B258,'JOBS'!$O$5:$O$1504,"Completed"))</f>
        <v/>
      </c>
      <c r="N258" s="52">
        <f>IF(B258="","",IF(_xlfn.MAXIFS('JOBS'!$B$5:$B$1504,'JOBS'!$E$5:$E$1504,B258,'JOBS'!$O$5:$O$1504,"Completed")=0,"",_xlfn.MAXIFS('JOBS'!$B$5:$B$1504,'JOBS'!$E$5:$E$1504,B258,'JOBS'!$O$5:$O$1504,"Completed")))</f>
        <v/>
      </c>
      <c r="O258" s="54">
        <f>IF(B258="","",IFERROR(AVERAGEIFS('JOBS'!$L$5:$L$1504,'JOBS'!$E$5:$E$1504,B258,'JOBS'!$O$5:$O$1504,"Completed"),""))</f>
        <v/>
      </c>
    </row>
    <row r="259">
      <c r="A259" s="46" t="inlineStr">
        <is>
          <t>P-255</t>
        </is>
      </c>
      <c r="B259" s="38" t="n"/>
      <c r="C259" s="38" t="n"/>
      <c r="D259" s="38" t="n"/>
      <c r="E259" s="38" t="n"/>
      <c r="F259" s="56" t="n"/>
      <c r="G259" s="57" t="n"/>
      <c r="H259" s="58" t="n"/>
      <c r="I259" s="38" t="n"/>
      <c r="J259" s="38" t="n"/>
      <c r="K259" s="38" t="n"/>
      <c r="L259" s="38" t="n"/>
      <c r="M259" s="53">
        <f>IF(B259="","",COUNTIFS('JOBS'!$E$5:$E$1504,B259,'JOBS'!$O$5:$O$1504,"Completed"))</f>
        <v/>
      </c>
      <c r="N259" s="52">
        <f>IF(B259="","",IF(_xlfn.MAXIFS('JOBS'!$B$5:$B$1504,'JOBS'!$E$5:$E$1504,B259,'JOBS'!$O$5:$O$1504,"Completed")=0,"",_xlfn.MAXIFS('JOBS'!$B$5:$B$1504,'JOBS'!$E$5:$E$1504,B259,'JOBS'!$O$5:$O$1504,"Completed")))</f>
        <v/>
      </c>
      <c r="O259" s="54">
        <f>IF(B259="","",IFERROR(AVERAGEIFS('JOBS'!$L$5:$L$1504,'JOBS'!$E$5:$E$1504,B259,'JOBS'!$O$5:$O$1504,"Completed"),""))</f>
        <v/>
      </c>
    </row>
    <row r="260">
      <c r="A260" s="46" t="inlineStr">
        <is>
          <t>P-256</t>
        </is>
      </c>
      <c r="B260" s="38" t="n"/>
      <c r="C260" s="38" t="n"/>
      <c r="D260" s="38" t="n"/>
      <c r="E260" s="38" t="n"/>
      <c r="F260" s="56" t="n"/>
      <c r="G260" s="57" t="n"/>
      <c r="H260" s="58" t="n"/>
      <c r="I260" s="38" t="n"/>
      <c r="J260" s="38" t="n"/>
      <c r="K260" s="38" t="n"/>
      <c r="L260" s="38" t="n"/>
      <c r="M260" s="53">
        <f>IF(B260="","",COUNTIFS('JOBS'!$E$5:$E$1504,B260,'JOBS'!$O$5:$O$1504,"Completed"))</f>
        <v/>
      </c>
      <c r="N260" s="52">
        <f>IF(B260="","",IF(_xlfn.MAXIFS('JOBS'!$B$5:$B$1504,'JOBS'!$E$5:$E$1504,B260,'JOBS'!$O$5:$O$1504,"Completed")=0,"",_xlfn.MAXIFS('JOBS'!$B$5:$B$1504,'JOBS'!$E$5:$E$1504,B260,'JOBS'!$O$5:$O$1504,"Completed")))</f>
        <v/>
      </c>
      <c r="O260" s="54">
        <f>IF(B260="","",IFERROR(AVERAGEIFS('JOBS'!$L$5:$L$1504,'JOBS'!$E$5:$E$1504,B260,'JOBS'!$O$5:$O$1504,"Completed"),""))</f>
        <v/>
      </c>
    </row>
    <row r="261">
      <c r="A261" s="46" t="inlineStr">
        <is>
          <t>P-257</t>
        </is>
      </c>
      <c r="B261" s="38" t="n"/>
      <c r="C261" s="38" t="n"/>
      <c r="D261" s="38" t="n"/>
      <c r="E261" s="38" t="n"/>
      <c r="F261" s="56" t="n"/>
      <c r="G261" s="57" t="n"/>
      <c r="H261" s="58" t="n"/>
      <c r="I261" s="38" t="n"/>
      <c r="J261" s="38" t="n"/>
      <c r="K261" s="38" t="n"/>
      <c r="L261" s="38" t="n"/>
      <c r="M261" s="53">
        <f>IF(B261="","",COUNTIFS('JOBS'!$E$5:$E$1504,B261,'JOBS'!$O$5:$O$1504,"Completed"))</f>
        <v/>
      </c>
      <c r="N261" s="52">
        <f>IF(B261="","",IF(_xlfn.MAXIFS('JOBS'!$B$5:$B$1504,'JOBS'!$E$5:$E$1504,B261,'JOBS'!$O$5:$O$1504,"Completed")=0,"",_xlfn.MAXIFS('JOBS'!$B$5:$B$1504,'JOBS'!$E$5:$E$1504,B261,'JOBS'!$O$5:$O$1504,"Completed")))</f>
        <v/>
      </c>
      <c r="O261" s="54">
        <f>IF(B261="","",IFERROR(AVERAGEIFS('JOBS'!$L$5:$L$1504,'JOBS'!$E$5:$E$1504,B261,'JOBS'!$O$5:$O$1504,"Completed"),""))</f>
        <v/>
      </c>
    </row>
    <row r="262">
      <c r="A262" s="46" t="inlineStr">
        <is>
          <t>P-258</t>
        </is>
      </c>
      <c r="B262" s="38" t="n"/>
      <c r="C262" s="38" t="n"/>
      <c r="D262" s="38" t="n"/>
      <c r="E262" s="38" t="n"/>
      <c r="F262" s="56" t="n"/>
      <c r="G262" s="57" t="n"/>
      <c r="H262" s="58" t="n"/>
      <c r="I262" s="38" t="n"/>
      <c r="J262" s="38" t="n"/>
      <c r="K262" s="38" t="n"/>
      <c r="L262" s="38" t="n"/>
      <c r="M262" s="53">
        <f>IF(B262="","",COUNTIFS('JOBS'!$E$5:$E$1504,B262,'JOBS'!$O$5:$O$1504,"Completed"))</f>
        <v/>
      </c>
      <c r="N262" s="52">
        <f>IF(B262="","",IF(_xlfn.MAXIFS('JOBS'!$B$5:$B$1504,'JOBS'!$E$5:$E$1504,B262,'JOBS'!$O$5:$O$1504,"Completed")=0,"",_xlfn.MAXIFS('JOBS'!$B$5:$B$1504,'JOBS'!$E$5:$E$1504,B262,'JOBS'!$O$5:$O$1504,"Completed")))</f>
        <v/>
      </c>
      <c r="O262" s="54">
        <f>IF(B262="","",IFERROR(AVERAGEIFS('JOBS'!$L$5:$L$1504,'JOBS'!$E$5:$E$1504,B262,'JOBS'!$O$5:$O$1504,"Completed"),""))</f>
        <v/>
      </c>
    </row>
    <row r="263">
      <c r="A263" s="46" t="inlineStr">
        <is>
          <t>P-259</t>
        </is>
      </c>
      <c r="B263" s="38" t="n"/>
      <c r="C263" s="38" t="n"/>
      <c r="D263" s="38" t="n"/>
      <c r="E263" s="38" t="n"/>
      <c r="F263" s="56" t="n"/>
      <c r="G263" s="57" t="n"/>
      <c r="H263" s="58" t="n"/>
      <c r="I263" s="38" t="n"/>
      <c r="J263" s="38" t="n"/>
      <c r="K263" s="38" t="n"/>
      <c r="L263" s="38" t="n"/>
      <c r="M263" s="53">
        <f>IF(B263="","",COUNTIFS('JOBS'!$E$5:$E$1504,B263,'JOBS'!$O$5:$O$1504,"Completed"))</f>
        <v/>
      </c>
      <c r="N263" s="52">
        <f>IF(B263="","",IF(_xlfn.MAXIFS('JOBS'!$B$5:$B$1504,'JOBS'!$E$5:$E$1504,B263,'JOBS'!$O$5:$O$1504,"Completed")=0,"",_xlfn.MAXIFS('JOBS'!$B$5:$B$1504,'JOBS'!$E$5:$E$1504,B263,'JOBS'!$O$5:$O$1504,"Completed")))</f>
        <v/>
      </c>
      <c r="O263" s="54">
        <f>IF(B263="","",IFERROR(AVERAGEIFS('JOBS'!$L$5:$L$1504,'JOBS'!$E$5:$E$1504,B263,'JOBS'!$O$5:$O$1504,"Completed"),""))</f>
        <v/>
      </c>
    </row>
    <row r="264">
      <c r="A264" s="46" t="inlineStr">
        <is>
          <t>P-260</t>
        </is>
      </c>
      <c r="B264" s="38" t="n"/>
      <c r="C264" s="38" t="n"/>
      <c r="D264" s="38" t="n"/>
      <c r="E264" s="38" t="n"/>
      <c r="F264" s="56" t="n"/>
      <c r="G264" s="57" t="n"/>
      <c r="H264" s="58" t="n"/>
      <c r="I264" s="38" t="n"/>
      <c r="J264" s="38" t="n"/>
      <c r="K264" s="38" t="n"/>
      <c r="L264" s="38" t="n"/>
      <c r="M264" s="53">
        <f>IF(B264="","",COUNTIFS('JOBS'!$E$5:$E$1504,B264,'JOBS'!$O$5:$O$1504,"Completed"))</f>
        <v/>
      </c>
      <c r="N264" s="52">
        <f>IF(B264="","",IF(_xlfn.MAXIFS('JOBS'!$B$5:$B$1504,'JOBS'!$E$5:$E$1504,B264,'JOBS'!$O$5:$O$1504,"Completed")=0,"",_xlfn.MAXIFS('JOBS'!$B$5:$B$1504,'JOBS'!$E$5:$E$1504,B264,'JOBS'!$O$5:$O$1504,"Completed")))</f>
        <v/>
      </c>
      <c r="O264" s="54">
        <f>IF(B264="","",IFERROR(AVERAGEIFS('JOBS'!$L$5:$L$1504,'JOBS'!$E$5:$E$1504,B264,'JOBS'!$O$5:$O$1504,"Completed"),""))</f>
        <v/>
      </c>
    </row>
    <row r="265">
      <c r="A265" s="46" t="inlineStr">
        <is>
          <t>P-261</t>
        </is>
      </c>
      <c r="B265" s="38" t="n"/>
      <c r="C265" s="38" t="n"/>
      <c r="D265" s="38" t="n"/>
      <c r="E265" s="38" t="n"/>
      <c r="F265" s="56" t="n"/>
      <c r="G265" s="57" t="n"/>
      <c r="H265" s="58" t="n"/>
      <c r="I265" s="38" t="n"/>
      <c r="J265" s="38" t="n"/>
      <c r="K265" s="38" t="n"/>
      <c r="L265" s="38" t="n"/>
      <c r="M265" s="53">
        <f>IF(B265="","",COUNTIFS('JOBS'!$E$5:$E$1504,B265,'JOBS'!$O$5:$O$1504,"Completed"))</f>
        <v/>
      </c>
      <c r="N265" s="52">
        <f>IF(B265="","",IF(_xlfn.MAXIFS('JOBS'!$B$5:$B$1504,'JOBS'!$E$5:$E$1504,B265,'JOBS'!$O$5:$O$1504,"Completed")=0,"",_xlfn.MAXIFS('JOBS'!$B$5:$B$1504,'JOBS'!$E$5:$E$1504,B265,'JOBS'!$O$5:$O$1504,"Completed")))</f>
        <v/>
      </c>
      <c r="O265" s="54">
        <f>IF(B265="","",IFERROR(AVERAGEIFS('JOBS'!$L$5:$L$1504,'JOBS'!$E$5:$E$1504,B265,'JOBS'!$O$5:$O$1504,"Completed"),""))</f>
        <v/>
      </c>
    </row>
    <row r="266">
      <c r="A266" s="46" t="inlineStr">
        <is>
          <t>P-262</t>
        </is>
      </c>
      <c r="B266" s="38" t="n"/>
      <c r="C266" s="38" t="n"/>
      <c r="D266" s="38" t="n"/>
      <c r="E266" s="38" t="n"/>
      <c r="F266" s="56" t="n"/>
      <c r="G266" s="57" t="n"/>
      <c r="H266" s="58" t="n"/>
      <c r="I266" s="38" t="n"/>
      <c r="J266" s="38" t="n"/>
      <c r="K266" s="38" t="n"/>
      <c r="L266" s="38" t="n"/>
      <c r="M266" s="53">
        <f>IF(B266="","",COUNTIFS('JOBS'!$E$5:$E$1504,B266,'JOBS'!$O$5:$O$1504,"Completed"))</f>
        <v/>
      </c>
      <c r="N266" s="52">
        <f>IF(B266="","",IF(_xlfn.MAXIFS('JOBS'!$B$5:$B$1504,'JOBS'!$E$5:$E$1504,B266,'JOBS'!$O$5:$O$1504,"Completed")=0,"",_xlfn.MAXIFS('JOBS'!$B$5:$B$1504,'JOBS'!$E$5:$E$1504,B266,'JOBS'!$O$5:$O$1504,"Completed")))</f>
        <v/>
      </c>
      <c r="O266" s="54">
        <f>IF(B266="","",IFERROR(AVERAGEIFS('JOBS'!$L$5:$L$1504,'JOBS'!$E$5:$E$1504,B266,'JOBS'!$O$5:$O$1504,"Completed"),""))</f>
        <v/>
      </c>
    </row>
    <row r="267">
      <c r="A267" s="46" t="inlineStr">
        <is>
          <t>P-263</t>
        </is>
      </c>
      <c r="B267" s="38" t="n"/>
      <c r="C267" s="38" t="n"/>
      <c r="D267" s="38" t="n"/>
      <c r="E267" s="38" t="n"/>
      <c r="F267" s="56" t="n"/>
      <c r="G267" s="57" t="n"/>
      <c r="H267" s="58" t="n"/>
      <c r="I267" s="38" t="n"/>
      <c r="J267" s="38" t="n"/>
      <c r="K267" s="38" t="n"/>
      <c r="L267" s="38" t="n"/>
      <c r="M267" s="53">
        <f>IF(B267="","",COUNTIFS('JOBS'!$E$5:$E$1504,B267,'JOBS'!$O$5:$O$1504,"Completed"))</f>
        <v/>
      </c>
      <c r="N267" s="52">
        <f>IF(B267="","",IF(_xlfn.MAXIFS('JOBS'!$B$5:$B$1504,'JOBS'!$E$5:$E$1504,B267,'JOBS'!$O$5:$O$1504,"Completed")=0,"",_xlfn.MAXIFS('JOBS'!$B$5:$B$1504,'JOBS'!$E$5:$E$1504,B267,'JOBS'!$O$5:$O$1504,"Completed")))</f>
        <v/>
      </c>
      <c r="O267" s="54">
        <f>IF(B267="","",IFERROR(AVERAGEIFS('JOBS'!$L$5:$L$1504,'JOBS'!$E$5:$E$1504,B267,'JOBS'!$O$5:$O$1504,"Completed"),""))</f>
        <v/>
      </c>
    </row>
    <row r="268">
      <c r="A268" s="46" t="inlineStr">
        <is>
          <t>P-264</t>
        </is>
      </c>
      <c r="B268" s="38" t="n"/>
      <c r="C268" s="38" t="n"/>
      <c r="D268" s="38" t="n"/>
      <c r="E268" s="38" t="n"/>
      <c r="F268" s="56" t="n"/>
      <c r="G268" s="57" t="n"/>
      <c r="H268" s="58" t="n"/>
      <c r="I268" s="38" t="n"/>
      <c r="J268" s="38" t="n"/>
      <c r="K268" s="38" t="n"/>
      <c r="L268" s="38" t="n"/>
      <c r="M268" s="53">
        <f>IF(B268="","",COUNTIFS('JOBS'!$E$5:$E$1504,B268,'JOBS'!$O$5:$O$1504,"Completed"))</f>
        <v/>
      </c>
      <c r="N268" s="52">
        <f>IF(B268="","",IF(_xlfn.MAXIFS('JOBS'!$B$5:$B$1504,'JOBS'!$E$5:$E$1504,B268,'JOBS'!$O$5:$O$1504,"Completed")=0,"",_xlfn.MAXIFS('JOBS'!$B$5:$B$1504,'JOBS'!$E$5:$E$1504,B268,'JOBS'!$O$5:$O$1504,"Completed")))</f>
        <v/>
      </c>
      <c r="O268" s="54">
        <f>IF(B268="","",IFERROR(AVERAGEIFS('JOBS'!$L$5:$L$1504,'JOBS'!$E$5:$E$1504,B268,'JOBS'!$O$5:$O$1504,"Completed"),""))</f>
        <v/>
      </c>
    </row>
    <row r="269">
      <c r="A269" s="46" t="inlineStr">
        <is>
          <t>P-265</t>
        </is>
      </c>
      <c r="B269" s="38" t="n"/>
      <c r="C269" s="38" t="n"/>
      <c r="D269" s="38" t="n"/>
      <c r="E269" s="38" t="n"/>
      <c r="F269" s="56" t="n"/>
      <c r="G269" s="57" t="n"/>
      <c r="H269" s="58" t="n"/>
      <c r="I269" s="38" t="n"/>
      <c r="J269" s="38" t="n"/>
      <c r="K269" s="38" t="n"/>
      <c r="L269" s="38" t="n"/>
      <c r="M269" s="53">
        <f>IF(B269="","",COUNTIFS('JOBS'!$E$5:$E$1504,B269,'JOBS'!$O$5:$O$1504,"Completed"))</f>
        <v/>
      </c>
      <c r="N269" s="52">
        <f>IF(B269="","",IF(_xlfn.MAXIFS('JOBS'!$B$5:$B$1504,'JOBS'!$E$5:$E$1504,B269,'JOBS'!$O$5:$O$1504,"Completed")=0,"",_xlfn.MAXIFS('JOBS'!$B$5:$B$1504,'JOBS'!$E$5:$E$1504,B269,'JOBS'!$O$5:$O$1504,"Completed")))</f>
        <v/>
      </c>
      <c r="O269" s="54">
        <f>IF(B269="","",IFERROR(AVERAGEIFS('JOBS'!$L$5:$L$1504,'JOBS'!$E$5:$E$1504,B269,'JOBS'!$O$5:$O$1504,"Completed"),""))</f>
        <v/>
      </c>
    </row>
    <row r="270">
      <c r="A270" s="46" t="inlineStr">
        <is>
          <t>P-266</t>
        </is>
      </c>
      <c r="B270" s="38" t="n"/>
      <c r="C270" s="38" t="n"/>
      <c r="D270" s="38" t="n"/>
      <c r="E270" s="38" t="n"/>
      <c r="F270" s="56" t="n"/>
      <c r="G270" s="57" t="n"/>
      <c r="H270" s="58" t="n"/>
      <c r="I270" s="38" t="n"/>
      <c r="J270" s="38" t="n"/>
      <c r="K270" s="38" t="n"/>
      <c r="L270" s="38" t="n"/>
      <c r="M270" s="53">
        <f>IF(B270="","",COUNTIFS('JOBS'!$E$5:$E$1504,B270,'JOBS'!$O$5:$O$1504,"Completed"))</f>
        <v/>
      </c>
      <c r="N270" s="52">
        <f>IF(B270="","",IF(_xlfn.MAXIFS('JOBS'!$B$5:$B$1504,'JOBS'!$E$5:$E$1504,B270,'JOBS'!$O$5:$O$1504,"Completed")=0,"",_xlfn.MAXIFS('JOBS'!$B$5:$B$1504,'JOBS'!$E$5:$E$1504,B270,'JOBS'!$O$5:$O$1504,"Completed")))</f>
        <v/>
      </c>
      <c r="O270" s="54">
        <f>IF(B270="","",IFERROR(AVERAGEIFS('JOBS'!$L$5:$L$1504,'JOBS'!$E$5:$E$1504,B270,'JOBS'!$O$5:$O$1504,"Completed"),""))</f>
        <v/>
      </c>
    </row>
    <row r="271">
      <c r="A271" s="46" t="inlineStr">
        <is>
          <t>P-267</t>
        </is>
      </c>
      <c r="B271" s="38" t="n"/>
      <c r="C271" s="38" t="n"/>
      <c r="D271" s="38" t="n"/>
      <c r="E271" s="38" t="n"/>
      <c r="F271" s="56" t="n"/>
      <c r="G271" s="57" t="n"/>
      <c r="H271" s="58" t="n"/>
      <c r="I271" s="38" t="n"/>
      <c r="J271" s="38" t="n"/>
      <c r="K271" s="38" t="n"/>
      <c r="L271" s="38" t="n"/>
      <c r="M271" s="53">
        <f>IF(B271="","",COUNTIFS('JOBS'!$E$5:$E$1504,B271,'JOBS'!$O$5:$O$1504,"Completed"))</f>
        <v/>
      </c>
      <c r="N271" s="52">
        <f>IF(B271="","",IF(_xlfn.MAXIFS('JOBS'!$B$5:$B$1504,'JOBS'!$E$5:$E$1504,B271,'JOBS'!$O$5:$O$1504,"Completed")=0,"",_xlfn.MAXIFS('JOBS'!$B$5:$B$1504,'JOBS'!$E$5:$E$1504,B271,'JOBS'!$O$5:$O$1504,"Completed")))</f>
        <v/>
      </c>
      <c r="O271" s="54">
        <f>IF(B271="","",IFERROR(AVERAGEIFS('JOBS'!$L$5:$L$1504,'JOBS'!$E$5:$E$1504,B271,'JOBS'!$O$5:$O$1504,"Completed"),""))</f>
        <v/>
      </c>
    </row>
    <row r="272">
      <c r="A272" s="46" t="inlineStr">
        <is>
          <t>P-268</t>
        </is>
      </c>
      <c r="B272" s="38" t="n"/>
      <c r="C272" s="38" t="n"/>
      <c r="D272" s="38" t="n"/>
      <c r="E272" s="38" t="n"/>
      <c r="F272" s="56" t="n"/>
      <c r="G272" s="57" t="n"/>
      <c r="H272" s="58" t="n"/>
      <c r="I272" s="38" t="n"/>
      <c r="J272" s="38" t="n"/>
      <c r="K272" s="38" t="n"/>
      <c r="L272" s="38" t="n"/>
      <c r="M272" s="53">
        <f>IF(B272="","",COUNTIFS('JOBS'!$E$5:$E$1504,B272,'JOBS'!$O$5:$O$1504,"Completed"))</f>
        <v/>
      </c>
      <c r="N272" s="52">
        <f>IF(B272="","",IF(_xlfn.MAXIFS('JOBS'!$B$5:$B$1504,'JOBS'!$E$5:$E$1504,B272,'JOBS'!$O$5:$O$1504,"Completed")=0,"",_xlfn.MAXIFS('JOBS'!$B$5:$B$1504,'JOBS'!$E$5:$E$1504,B272,'JOBS'!$O$5:$O$1504,"Completed")))</f>
        <v/>
      </c>
      <c r="O272" s="54">
        <f>IF(B272="","",IFERROR(AVERAGEIFS('JOBS'!$L$5:$L$1504,'JOBS'!$E$5:$E$1504,B272,'JOBS'!$O$5:$O$1504,"Completed"),""))</f>
        <v/>
      </c>
    </row>
    <row r="273">
      <c r="A273" s="46" t="inlineStr">
        <is>
          <t>P-269</t>
        </is>
      </c>
      <c r="B273" s="38" t="n"/>
      <c r="C273" s="38" t="n"/>
      <c r="D273" s="38" t="n"/>
      <c r="E273" s="38" t="n"/>
      <c r="F273" s="56" t="n"/>
      <c r="G273" s="57" t="n"/>
      <c r="H273" s="58" t="n"/>
      <c r="I273" s="38" t="n"/>
      <c r="J273" s="38" t="n"/>
      <c r="K273" s="38" t="n"/>
      <c r="L273" s="38" t="n"/>
      <c r="M273" s="53">
        <f>IF(B273="","",COUNTIFS('JOBS'!$E$5:$E$1504,B273,'JOBS'!$O$5:$O$1504,"Completed"))</f>
        <v/>
      </c>
      <c r="N273" s="52">
        <f>IF(B273="","",IF(_xlfn.MAXIFS('JOBS'!$B$5:$B$1504,'JOBS'!$E$5:$E$1504,B273,'JOBS'!$O$5:$O$1504,"Completed")=0,"",_xlfn.MAXIFS('JOBS'!$B$5:$B$1504,'JOBS'!$E$5:$E$1504,B273,'JOBS'!$O$5:$O$1504,"Completed")))</f>
        <v/>
      </c>
      <c r="O273" s="54">
        <f>IF(B273="","",IFERROR(AVERAGEIFS('JOBS'!$L$5:$L$1504,'JOBS'!$E$5:$E$1504,B273,'JOBS'!$O$5:$O$1504,"Completed"),""))</f>
        <v/>
      </c>
    </row>
    <row r="274">
      <c r="A274" s="46" t="inlineStr">
        <is>
          <t>P-270</t>
        </is>
      </c>
      <c r="B274" s="38" t="n"/>
      <c r="C274" s="38" t="n"/>
      <c r="D274" s="38" t="n"/>
      <c r="E274" s="38" t="n"/>
      <c r="F274" s="56" t="n"/>
      <c r="G274" s="57" t="n"/>
      <c r="H274" s="58" t="n"/>
      <c r="I274" s="38" t="n"/>
      <c r="J274" s="38" t="n"/>
      <c r="K274" s="38" t="n"/>
      <c r="L274" s="38" t="n"/>
      <c r="M274" s="53">
        <f>IF(B274="","",COUNTIFS('JOBS'!$E$5:$E$1504,B274,'JOBS'!$O$5:$O$1504,"Completed"))</f>
        <v/>
      </c>
      <c r="N274" s="52">
        <f>IF(B274="","",IF(_xlfn.MAXIFS('JOBS'!$B$5:$B$1504,'JOBS'!$E$5:$E$1504,B274,'JOBS'!$O$5:$O$1504,"Completed")=0,"",_xlfn.MAXIFS('JOBS'!$B$5:$B$1504,'JOBS'!$E$5:$E$1504,B274,'JOBS'!$O$5:$O$1504,"Completed")))</f>
        <v/>
      </c>
      <c r="O274" s="54">
        <f>IF(B274="","",IFERROR(AVERAGEIFS('JOBS'!$L$5:$L$1504,'JOBS'!$E$5:$E$1504,B274,'JOBS'!$O$5:$O$1504,"Completed"),""))</f>
        <v/>
      </c>
    </row>
    <row r="275">
      <c r="A275" s="46" t="inlineStr">
        <is>
          <t>P-271</t>
        </is>
      </c>
      <c r="B275" s="38" t="n"/>
      <c r="C275" s="38" t="n"/>
      <c r="D275" s="38" t="n"/>
      <c r="E275" s="38" t="n"/>
      <c r="F275" s="56" t="n"/>
      <c r="G275" s="57" t="n"/>
      <c r="H275" s="58" t="n"/>
      <c r="I275" s="38" t="n"/>
      <c r="J275" s="38" t="n"/>
      <c r="K275" s="38" t="n"/>
      <c r="L275" s="38" t="n"/>
      <c r="M275" s="53">
        <f>IF(B275="","",COUNTIFS('JOBS'!$E$5:$E$1504,B275,'JOBS'!$O$5:$O$1504,"Completed"))</f>
        <v/>
      </c>
      <c r="N275" s="52">
        <f>IF(B275="","",IF(_xlfn.MAXIFS('JOBS'!$B$5:$B$1504,'JOBS'!$E$5:$E$1504,B275,'JOBS'!$O$5:$O$1504,"Completed")=0,"",_xlfn.MAXIFS('JOBS'!$B$5:$B$1504,'JOBS'!$E$5:$E$1504,B275,'JOBS'!$O$5:$O$1504,"Completed")))</f>
        <v/>
      </c>
      <c r="O275" s="54">
        <f>IF(B275="","",IFERROR(AVERAGEIFS('JOBS'!$L$5:$L$1504,'JOBS'!$E$5:$E$1504,B275,'JOBS'!$O$5:$O$1504,"Completed"),""))</f>
        <v/>
      </c>
    </row>
    <row r="276">
      <c r="A276" s="46" t="inlineStr">
        <is>
          <t>P-272</t>
        </is>
      </c>
      <c r="B276" s="38" t="n"/>
      <c r="C276" s="38" t="n"/>
      <c r="D276" s="38" t="n"/>
      <c r="E276" s="38" t="n"/>
      <c r="F276" s="56" t="n"/>
      <c r="G276" s="57" t="n"/>
      <c r="H276" s="58" t="n"/>
      <c r="I276" s="38" t="n"/>
      <c r="J276" s="38" t="n"/>
      <c r="K276" s="38" t="n"/>
      <c r="L276" s="38" t="n"/>
      <c r="M276" s="53">
        <f>IF(B276="","",COUNTIFS('JOBS'!$E$5:$E$1504,B276,'JOBS'!$O$5:$O$1504,"Completed"))</f>
        <v/>
      </c>
      <c r="N276" s="52">
        <f>IF(B276="","",IF(_xlfn.MAXIFS('JOBS'!$B$5:$B$1504,'JOBS'!$E$5:$E$1504,B276,'JOBS'!$O$5:$O$1504,"Completed")=0,"",_xlfn.MAXIFS('JOBS'!$B$5:$B$1504,'JOBS'!$E$5:$E$1504,B276,'JOBS'!$O$5:$O$1504,"Completed")))</f>
        <v/>
      </c>
      <c r="O276" s="54">
        <f>IF(B276="","",IFERROR(AVERAGEIFS('JOBS'!$L$5:$L$1504,'JOBS'!$E$5:$E$1504,B276,'JOBS'!$O$5:$O$1504,"Completed"),""))</f>
        <v/>
      </c>
    </row>
    <row r="277">
      <c r="A277" s="46" t="inlineStr">
        <is>
          <t>P-273</t>
        </is>
      </c>
      <c r="B277" s="38" t="n"/>
      <c r="C277" s="38" t="n"/>
      <c r="D277" s="38" t="n"/>
      <c r="E277" s="38" t="n"/>
      <c r="F277" s="56" t="n"/>
      <c r="G277" s="57" t="n"/>
      <c r="H277" s="58" t="n"/>
      <c r="I277" s="38" t="n"/>
      <c r="J277" s="38" t="n"/>
      <c r="K277" s="38" t="n"/>
      <c r="L277" s="38" t="n"/>
      <c r="M277" s="53">
        <f>IF(B277="","",COUNTIFS('JOBS'!$E$5:$E$1504,B277,'JOBS'!$O$5:$O$1504,"Completed"))</f>
        <v/>
      </c>
      <c r="N277" s="52">
        <f>IF(B277="","",IF(_xlfn.MAXIFS('JOBS'!$B$5:$B$1504,'JOBS'!$E$5:$E$1504,B277,'JOBS'!$O$5:$O$1504,"Completed")=0,"",_xlfn.MAXIFS('JOBS'!$B$5:$B$1504,'JOBS'!$E$5:$E$1504,B277,'JOBS'!$O$5:$O$1504,"Completed")))</f>
        <v/>
      </c>
      <c r="O277" s="54">
        <f>IF(B277="","",IFERROR(AVERAGEIFS('JOBS'!$L$5:$L$1504,'JOBS'!$E$5:$E$1504,B277,'JOBS'!$O$5:$O$1504,"Completed"),""))</f>
        <v/>
      </c>
    </row>
    <row r="278">
      <c r="A278" s="46" t="inlineStr">
        <is>
          <t>P-274</t>
        </is>
      </c>
      <c r="B278" s="38" t="n"/>
      <c r="C278" s="38" t="n"/>
      <c r="D278" s="38" t="n"/>
      <c r="E278" s="38" t="n"/>
      <c r="F278" s="56" t="n"/>
      <c r="G278" s="57" t="n"/>
      <c r="H278" s="58" t="n"/>
      <c r="I278" s="38" t="n"/>
      <c r="J278" s="38" t="n"/>
      <c r="K278" s="38" t="n"/>
      <c r="L278" s="38" t="n"/>
      <c r="M278" s="53">
        <f>IF(B278="","",COUNTIFS('JOBS'!$E$5:$E$1504,B278,'JOBS'!$O$5:$O$1504,"Completed"))</f>
        <v/>
      </c>
      <c r="N278" s="52">
        <f>IF(B278="","",IF(_xlfn.MAXIFS('JOBS'!$B$5:$B$1504,'JOBS'!$E$5:$E$1504,B278,'JOBS'!$O$5:$O$1504,"Completed")=0,"",_xlfn.MAXIFS('JOBS'!$B$5:$B$1504,'JOBS'!$E$5:$E$1504,B278,'JOBS'!$O$5:$O$1504,"Completed")))</f>
        <v/>
      </c>
      <c r="O278" s="54">
        <f>IF(B278="","",IFERROR(AVERAGEIFS('JOBS'!$L$5:$L$1504,'JOBS'!$E$5:$E$1504,B278,'JOBS'!$O$5:$O$1504,"Completed"),""))</f>
        <v/>
      </c>
    </row>
    <row r="279">
      <c r="A279" s="46" t="inlineStr">
        <is>
          <t>P-275</t>
        </is>
      </c>
      <c r="B279" s="38" t="n"/>
      <c r="C279" s="38" t="n"/>
      <c r="D279" s="38" t="n"/>
      <c r="E279" s="38" t="n"/>
      <c r="F279" s="56" t="n"/>
      <c r="G279" s="57" t="n"/>
      <c r="H279" s="58" t="n"/>
      <c r="I279" s="38" t="n"/>
      <c r="J279" s="38" t="n"/>
      <c r="K279" s="38" t="n"/>
      <c r="L279" s="38" t="n"/>
      <c r="M279" s="53">
        <f>IF(B279="","",COUNTIFS('JOBS'!$E$5:$E$1504,B279,'JOBS'!$O$5:$O$1504,"Completed"))</f>
        <v/>
      </c>
      <c r="N279" s="52">
        <f>IF(B279="","",IF(_xlfn.MAXIFS('JOBS'!$B$5:$B$1504,'JOBS'!$E$5:$E$1504,B279,'JOBS'!$O$5:$O$1504,"Completed")=0,"",_xlfn.MAXIFS('JOBS'!$B$5:$B$1504,'JOBS'!$E$5:$E$1504,B279,'JOBS'!$O$5:$O$1504,"Completed")))</f>
        <v/>
      </c>
      <c r="O279" s="54">
        <f>IF(B279="","",IFERROR(AVERAGEIFS('JOBS'!$L$5:$L$1504,'JOBS'!$E$5:$E$1504,B279,'JOBS'!$O$5:$O$1504,"Completed"),""))</f>
        <v/>
      </c>
    </row>
    <row r="280">
      <c r="A280" s="46" t="inlineStr">
        <is>
          <t>P-276</t>
        </is>
      </c>
      <c r="B280" s="38" t="n"/>
      <c r="C280" s="38" t="n"/>
      <c r="D280" s="38" t="n"/>
      <c r="E280" s="38" t="n"/>
      <c r="F280" s="56" t="n"/>
      <c r="G280" s="57" t="n"/>
      <c r="H280" s="58" t="n"/>
      <c r="I280" s="38" t="n"/>
      <c r="J280" s="38" t="n"/>
      <c r="K280" s="38" t="n"/>
      <c r="L280" s="38" t="n"/>
      <c r="M280" s="53">
        <f>IF(B280="","",COUNTIFS('JOBS'!$E$5:$E$1504,B280,'JOBS'!$O$5:$O$1504,"Completed"))</f>
        <v/>
      </c>
      <c r="N280" s="52">
        <f>IF(B280="","",IF(_xlfn.MAXIFS('JOBS'!$B$5:$B$1504,'JOBS'!$E$5:$E$1504,B280,'JOBS'!$O$5:$O$1504,"Completed")=0,"",_xlfn.MAXIFS('JOBS'!$B$5:$B$1504,'JOBS'!$E$5:$E$1504,B280,'JOBS'!$O$5:$O$1504,"Completed")))</f>
        <v/>
      </c>
      <c r="O280" s="54">
        <f>IF(B280="","",IFERROR(AVERAGEIFS('JOBS'!$L$5:$L$1504,'JOBS'!$E$5:$E$1504,B280,'JOBS'!$O$5:$O$1504,"Completed"),""))</f>
        <v/>
      </c>
    </row>
    <row r="281">
      <c r="A281" s="46" t="inlineStr">
        <is>
          <t>P-277</t>
        </is>
      </c>
      <c r="B281" s="38" t="n"/>
      <c r="C281" s="38" t="n"/>
      <c r="D281" s="38" t="n"/>
      <c r="E281" s="38" t="n"/>
      <c r="F281" s="56" t="n"/>
      <c r="G281" s="57" t="n"/>
      <c r="H281" s="58" t="n"/>
      <c r="I281" s="38" t="n"/>
      <c r="J281" s="38" t="n"/>
      <c r="K281" s="38" t="n"/>
      <c r="L281" s="38" t="n"/>
      <c r="M281" s="53">
        <f>IF(B281="","",COUNTIFS('JOBS'!$E$5:$E$1504,B281,'JOBS'!$O$5:$O$1504,"Completed"))</f>
        <v/>
      </c>
      <c r="N281" s="52">
        <f>IF(B281="","",IF(_xlfn.MAXIFS('JOBS'!$B$5:$B$1504,'JOBS'!$E$5:$E$1504,B281,'JOBS'!$O$5:$O$1504,"Completed")=0,"",_xlfn.MAXIFS('JOBS'!$B$5:$B$1504,'JOBS'!$E$5:$E$1504,B281,'JOBS'!$O$5:$O$1504,"Completed")))</f>
        <v/>
      </c>
      <c r="O281" s="54">
        <f>IF(B281="","",IFERROR(AVERAGEIFS('JOBS'!$L$5:$L$1504,'JOBS'!$E$5:$E$1504,B281,'JOBS'!$O$5:$O$1504,"Completed"),""))</f>
        <v/>
      </c>
    </row>
    <row r="282">
      <c r="A282" s="46" t="inlineStr">
        <is>
          <t>P-278</t>
        </is>
      </c>
      <c r="B282" s="38" t="n"/>
      <c r="C282" s="38" t="n"/>
      <c r="D282" s="38" t="n"/>
      <c r="E282" s="38" t="n"/>
      <c r="F282" s="56" t="n"/>
      <c r="G282" s="57" t="n"/>
      <c r="H282" s="58" t="n"/>
      <c r="I282" s="38" t="n"/>
      <c r="J282" s="38" t="n"/>
      <c r="K282" s="38" t="n"/>
      <c r="L282" s="38" t="n"/>
      <c r="M282" s="53">
        <f>IF(B282="","",COUNTIFS('JOBS'!$E$5:$E$1504,B282,'JOBS'!$O$5:$O$1504,"Completed"))</f>
        <v/>
      </c>
      <c r="N282" s="52">
        <f>IF(B282="","",IF(_xlfn.MAXIFS('JOBS'!$B$5:$B$1504,'JOBS'!$E$5:$E$1504,B282,'JOBS'!$O$5:$O$1504,"Completed")=0,"",_xlfn.MAXIFS('JOBS'!$B$5:$B$1504,'JOBS'!$E$5:$E$1504,B282,'JOBS'!$O$5:$O$1504,"Completed")))</f>
        <v/>
      </c>
      <c r="O282" s="54">
        <f>IF(B282="","",IFERROR(AVERAGEIFS('JOBS'!$L$5:$L$1504,'JOBS'!$E$5:$E$1504,B282,'JOBS'!$O$5:$O$1504,"Completed"),""))</f>
        <v/>
      </c>
    </row>
    <row r="283">
      <c r="A283" s="46" t="inlineStr">
        <is>
          <t>P-279</t>
        </is>
      </c>
      <c r="B283" s="38" t="n"/>
      <c r="C283" s="38" t="n"/>
      <c r="D283" s="38" t="n"/>
      <c r="E283" s="38" t="n"/>
      <c r="F283" s="56" t="n"/>
      <c r="G283" s="57" t="n"/>
      <c r="H283" s="58" t="n"/>
      <c r="I283" s="38" t="n"/>
      <c r="J283" s="38" t="n"/>
      <c r="K283" s="38" t="n"/>
      <c r="L283" s="38" t="n"/>
      <c r="M283" s="53">
        <f>IF(B283="","",COUNTIFS('JOBS'!$E$5:$E$1504,B283,'JOBS'!$O$5:$O$1504,"Completed"))</f>
        <v/>
      </c>
      <c r="N283" s="52">
        <f>IF(B283="","",IF(_xlfn.MAXIFS('JOBS'!$B$5:$B$1504,'JOBS'!$E$5:$E$1504,B283,'JOBS'!$O$5:$O$1504,"Completed")=0,"",_xlfn.MAXIFS('JOBS'!$B$5:$B$1504,'JOBS'!$E$5:$E$1504,B283,'JOBS'!$O$5:$O$1504,"Completed")))</f>
        <v/>
      </c>
      <c r="O283" s="54">
        <f>IF(B283="","",IFERROR(AVERAGEIFS('JOBS'!$L$5:$L$1504,'JOBS'!$E$5:$E$1504,B283,'JOBS'!$O$5:$O$1504,"Completed"),""))</f>
        <v/>
      </c>
    </row>
    <row r="284">
      <c r="A284" s="46" t="inlineStr">
        <is>
          <t>P-280</t>
        </is>
      </c>
      <c r="B284" s="38" t="n"/>
      <c r="C284" s="38" t="n"/>
      <c r="D284" s="38" t="n"/>
      <c r="E284" s="38" t="n"/>
      <c r="F284" s="56" t="n"/>
      <c r="G284" s="57" t="n"/>
      <c r="H284" s="58" t="n"/>
      <c r="I284" s="38" t="n"/>
      <c r="J284" s="38" t="n"/>
      <c r="K284" s="38" t="n"/>
      <c r="L284" s="38" t="n"/>
      <c r="M284" s="53">
        <f>IF(B284="","",COUNTIFS('JOBS'!$E$5:$E$1504,B284,'JOBS'!$O$5:$O$1504,"Completed"))</f>
        <v/>
      </c>
      <c r="N284" s="52">
        <f>IF(B284="","",IF(_xlfn.MAXIFS('JOBS'!$B$5:$B$1504,'JOBS'!$E$5:$E$1504,B284,'JOBS'!$O$5:$O$1504,"Completed")=0,"",_xlfn.MAXIFS('JOBS'!$B$5:$B$1504,'JOBS'!$E$5:$E$1504,B284,'JOBS'!$O$5:$O$1504,"Completed")))</f>
        <v/>
      </c>
      <c r="O284" s="54">
        <f>IF(B284="","",IFERROR(AVERAGEIFS('JOBS'!$L$5:$L$1504,'JOBS'!$E$5:$E$1504,B284,'JOBS'!$O$5:$O$1504,"Completed"),""))</f>
        <v/>
      </c>
    </row>
    <row r="285">
      <c r="A285" s="46" t="inlineStr">
        <is>
          <t>P-281</t>
        </is>
      </c>
      <c r="B285" s="38" t="n"/>
      <c r="C285" s="38" t="n"/>
      <c r="D285" s="38" t="n"/>
      <c r="E285" s="38" t="n"/>
      <c r="F285" s="56" t="n"/>
      <c r="G285" s="57" t="n"/>
      <c r="H285" s="58" t="n"/>
      <c r="I285" s="38" t="n"/>
      <c r="J285" s="38" t="n"/>
      <c r="K285" s="38" t="n"/>
      <c r="L285" s="38" t="n"/>
      <c r="M285" s="53">
        <f>IF(B285="","",COUNTIFS('JOBS'!$E$5:$E$1504,B285,'JOBS'!$O$5:$O$1504,"Completed"))</f>
        <v/>
      </c>
      <c r="N285" s="52">
        <f>IF(B285="","",IF(_xlfn.MAXIFS('JOBS'!$B$5:$B$1504,'JOBS'!$E$5:$E$1504,B285,'JOBS'!$O$5:$O$1504,"Completed")=0,"",_xlfn.MAXIFS('JOBS'!$B$5:$B$1504,'JOBS'!$E$5:$E$1504,B285,'JOBS'!$O$5:$O$1504,"Completed")))</f>
        <v/>
      </c>
      <c r="O285" s="54">
        <f>IF(B285="","",IFERROR(AVERAGEIFS('JOBS'!$L$5:$L$1504,'JOBS'!$E$5:$E$1504,B285,'JOBS'!$O$5:$O$1504,"Completed"),""))</f>
        <v/>
      </c>
    </row>
    <row r="286">
      <c r="A286" s="46" t="inlineStr">
        <is>
          <t>P-282</t>
        </is>
      </c>
      <c r="B286" s="38" t="n"/>
      <c r="C286" s="38" t="n"/>
      <c r="D286" s="38" t="n"/>
      <c r="E286" s="38" t="n"/>
      <c r="F286" s="56" t="n"/>
      <c r="G286" s="57" t="n"/>
      <c r="H286" s="58" t="n"/>
      <c r="I286" s="38" t="n"/>
      <c r="J286" s="38" t="n"/>
      <c r="K286" s="38" t="n"/>
      <c r="L286" s="38" t="n"/>
      <c r="M286" s="53">
        <f>IF(B286="","",COUNTIFS('JOBS'!$E$5:$E$1504,B286,'JOBS'!$O$5:$O$1504,"Completed"))</f>
        <v/>
      </c>
      <c r="N286" s="52">
        <f>IF(B286="","",IF(_xlfn.MAXIFS('JOBS'!$B$5:$B$1504,'JOBS'!$E$5:$E$1504,B286,'JOBS'!$O$5:$O$1504,"Completed")=0,"",_xlfn.MAXIFS('JOBS'!$B$5:$B$1504,'JOBS'!$E$5:$E$1504,B286,'JOBS'!$O$5:$O$1504,"Completed")))</f>
        <v/>
      </c>
      <c r="O286" s="54">
        <f>IF(B286="","",IFERROR(AVERAGEIFS('JOBS'!$L$5:$L$1504,'JOBS'!$E$5:$E$1504,B286,'JOBS'!$O$5:$O$1504,"Completed"),""))</f>
        <v/>
      </c>
    </row>
    <row r="287">
      <c r="A287" s="46" t="inlineStr">
        <is>
          <t>P-283</t>
        </is>
      </c>
      <c r="B287" s="38" t="n"/>
      <c r="C287" s="38" t="n"/>
      <c r="D287" s="38" t="n"/>
      <c r="E287" s="38" t="n"/>
      <c r="F287" s="56" t="n"/>
      <c r="G287" s="57" t="n"/>
      <c r="H287" s="58" t="n"/>
      <c r="I287" s="38" t="n"/>
      <c r="J287" s="38" t="n"/>
      <c r="K287" s="38" t="n"/>
      <c r="L287" s="38" t="n"/>
      <c r="M287" s="53">
        <f>IF(B287="","",COUNTIFS('JOBS'!$E$5:$E$1504,B287,'JOBS'!$O$5:$O$1504,"Completed"))</f>
        <v/>
      </c>
      <c r="N287" s="52">
        <f>IF(B287="","",IF(_xlfn.MAXIFS('JOBS'!$B$5:$B$1504,'JOBS'!$E$5:$E$1504,B287,'JOBS'!$O$5:$O$1504,"Completed")=0,"",_xlfn.MAXIFS('JOBS'!$B$5:$B$1504,'JOBS'!$E$5:$E$1504,B287,'JOBS'!$O$5:$O$1504,"Completed")))</f>
        <v/>
      </c>
      <c r="O287" s="54">
        <f>IF(B287="","",IFERROR(AVERAGEIFS('JOBS'!$L$5:$L$1504,'JOBS'!$E$5:$E$1504,B287,'JOBS'!$O$5:$O$1504,"Completed"),""))</f>
        <v/>
      </c>
    </row>
    <row r="288">
      <c r="A288" s="46" t="inlineStr">
        <is>
          <t>P-284</t>
        </is>
      </c>
      <c r="B288" s="38" t="n"/>
      <c r="C288" s="38" t="n"/>
      <c r="D288" s="38" t="n"/>
      <c r="E288" s="38" t="n"/>
      <c r="F288" s="56" t="n"/>
      <c r="G288" s="57" t="n"/>
      <c r="H288" s="58" t="n"/>
      <c r="I288" s="38" t="n"/>
      <c r="J288" s="38" t="n"/>
      <c r="K288" s="38" t="n"/>
      <c r="L288" s="38" t="n"/>
      <c r="M288" s="53">
        <f>IF(B288="","",COUNTIFS('JOBS'!$E$5:$E$1504,B288,'JOBS'!$O$5:$O$1504,"Completed"))</f>
        <v/>
      </c>
      <c r="N288" s="52">
        <f>IF(B288="","",IF(_xlfn.MAXIFS('JOBS'!$B$5:$B$1504,'JOBS'!$E$5:$E$1504,B288,'JOBS'!$O$5:$O$1504,"Completed")=0,"",_xlfn.MAXIFS('JOBS'!$B$5:$B$1504,'JOBS'!$E$5:$E$1504,B288,'JOBS'!$O$5:$O$1504,"Completed")))</f>
        <v/>
      </c>
      <c r="O288" s="54">
        <f>IF(B288="","",IFERROR(AVERAGEIFS('JOBS'!$L$5:$L$1504,'JOBS'!$E$5:$E$1504,B288,'JOBS'!$O$5:$O$1504,"Completed"),""))</f>
        <v/>
      </c>
    </row>
    <row r="289">
      <c r="A289" s="46" t="inlineStr">
        <is>
          <t>P-285</t>
        </is>
      </c>
      <c r="B289" s="38" t="n"/>
      <c r="C289" s="38" t="n"/>
      <c r="D289" s="38" t="n"/>
      <c r="E289" s="38" t="n"/>
      <c r="F289" s="56" t="n"/>
      <c r="G289" s="57" t="n"/>
      <c r="H289" s="58" t="n"/>
      <c r="I289" s="38" t="n"/>
      <c r="J289" s="38" t="n"/>
      <c r="K289" s="38" t="n"/>
      <c r="L289" s="38" t="n"/>
      <c r="M289" s="53">
        <f>IF(B289="","",COUNTIFS('JOBS'!$E$5:$E$1504,B289,'JOBS'!$O$5:$O$1504,"Completed"))</f>
        <v/>
      </c>
      <c r="N289" s="52">
        <f>IF(B289="","",IF(_xlfn.MAXIFS('JOBS'!$B$5:$B$1504,'JOBS'!$E$5:$E$1504,B289,'JOBS'!$O$5:$O$1504,"Completed")=0,"",_xlfn.MAXIFS('JOBS'!$B$5:$B$1504,'JOBS'!$E$5:$E$1504,B289,'JOBS'!$O$5:$O$1504,"Completed")))</f>
        <v/>
      </c>
      <c r="O289" s="54">
        <f>IF(B289="","",IFERROR(AVERAGEIFS('JOBS'!$L$5:$L$1504,'JOBS'!$E$5:$E$1504,B289,'JOBS'!$O$5:$O$1504,"Completed"),""))</f>
        <v/>
      </c>
    </row>
    <row r="290">
      <c r="A290" s="46" t="inlineStr">
        <is>
          <t>P-286</t>
        </is>
      </c>
      <c r="B290" s="38" t="n"/>
      <c r="C290" s="38" t="n"/>
      <c r="D290" s="38" t="n"/>
      <c r="E290" s="38" t="n"/>
      <c r="F290" s="56" t="n"/>
      <c r="G290" s="57" t="n"/>
      <c r="H290" s="58" t="n"/>
      <c r="I290" s="38" t="n"/>
      <c r="J290" s="38" t="n"/>
      <c r="K290" s="38" t="n"/>
      <c r="L290" s="38" t="n"/>
      <c r="M290" s="53">
        <f>IF(B290="","",COUNTIFS('JOBS'!$E$5:$E$1504,B290,'JOBS'!$O$5:$O$1504,"Completed"))</f>
        <v/>
      </c>
      <c r="N290" s="52">
        <f>IF(B290="","",IF(_xlfn.MAXIFS('JOBS'!$B$5:$B$1504,'JOBS'!$E$5:$E$1504,B290,'JOBS'!$O$5:$O$1504,"Completed")=0,"",_xlfn.MAXIFS('JOBS'!$B$5:$B$1504,'JOBS'!$E$5:$E$1504,B290,'JOBS'!$O$5:$O$1504,"Completed")))</f>
        <v/>
      </c>
      <c r="O290" s="54">
        <f>IF(B290="","",IFERROR(AVERAGEIFS('JOBS'!$L$5:$L$1504,'JOBS'!$E$5:$E$1504,B290,'JOBS'!$O$5:$O$1504,"Completed"),""))</f>
        <v/>
      </c>
    </row>
    <row r="291">
      <c r="A291" s="46" t="inlineStr">
        <is>
          <t>P-287</t>
        </is>
      </c>
      <c r="B291" s="38" t="n"/>
      <c r="C291" s="38" t="n"/>
      <c r="D291" s="38" t="n"/>
      <c r="E291" s="38" t="n"/>
      <c r="F291" s="56" t="n"/>
      <c r="G291" s="57" t="n"/>
      <c r="H291" s="58" t="n"/>
      <c r="I291" s="38" t="n"/>
      <c r="J291" s="38" t="n"/>
      <c r="K291" s="38" t="n"/>
      <c r="L291" s="38" t="n"/>
      <c r="M291" s="53">
        <f>IF(B291="","",COUNTIFS('JOBS'!$E$5:$E$1504,B291,'JOBS'!$O$5:$O$1504,"Completed"))</f>
        <v/>
      </c>
      <c r="N291" s="52">
        <f>IF(B291="","",IF(_xlfn.MAXIFS('JOBS'!$B$5:$B$1504,'JOBS'!$E$5:$E$1504,B291,'JOBS'!$O$5:$O$1504,"Completed")=0,"",_xlfn.MAXIFS('JOBS'!$B$5:$B$1504,'JOBS'!$E$5:$E$1504,B291,'JOBS'!$O$5:$O$1504,"Completed")))</f>
        <v/>
      </c>
      <c r="O291" s="54">
        <f>IF(B291="","",IFERROR(AVERAGEIFS('JOBS'!$L$5:$L$1504,'JOBS'!$E$5:$E$1504,B291,'JOBS'!$O$5:$O$1504,"Completed"),""))</f>
        <v/>
      </c>
    </row>
    <row r="292">
      <c r="A292" s="46" t="inlineStr">
        <is>
          <t>P-288</t>
        </is>
      </c>
      <c r="B292" s="38" t="n"/>
      <c r="C292" s="38" t="n"/>
      <c r="D292" s="38" t="n"/>
      <c r="E292" s="38" t="n"/>
      <c r="F292" s="56" t="n"/>
      <c r="G292" s="57" t="n"/>
      <c r="H292" s="58" t="n"/>
      <c r="I292" s="38" t="n"/>
      <c r="J292" s="38" t="n"/>
      <c r="K292" s="38" t="n"/>
      <c r="L292" s="38" t="n"/>
      <c r="M292" s="53">
        <f>IF(B292="","",COUNTIFS('JOBS'!$E$5:$E$1504,B292,'JOBS'!$O$5:$O$1504,"Completed"))</f>
        <v/>
      </c>
      <c r="N292" s="52">
        <f>IF(B292="","",IF(_xlfn.MAXIFS('JOBS'!$B$5:$B$1504,'JOBS'!$E$5:$E$1504,B292,'JOBS'!$O$5:$O$1504,"Completed")=0,"",_xlfn.MAXIFS('JOBS'!$B$5:$B$1504,'JOBS'!$E$5:$E$1504,B292,'JOBS'!$O$5:$O$1504,"Completed")))</f>
        <v/>
      </c>
      <c r="O292" s="54">
        <f>IF(B292="","",IFERROR(AVERAGEIFS('JOBS'!$L$5:$L$1504,'JOBS'!$E$5:$E$1504,B292,'JOBS'!$O$5:$O$1504,"Completed"),""))</f>
        <v/>
      </c>
    </row>
    <row r="293">
      <c r="A293" s="46" t="inlineStr">
        <is>
          <t>P-289</t>
        </is>
      </c>
      <c r="B293" s="38" t="n"/>
      <c r="C293" s="38" t="n"/>
      <c r="D293" s="38" t="n"/>
      <c r="E293" s="38" t="n"/>
      <c r="F293" s="56" t="n"/>
      <c r="G293" s="57" t="n"/>
      <c r="H293" s="58" t="n"/>
      <c r="I293" s="38" t="n"/>
      <c r="J293" s="38" t="n"/>
      <c r="K293" s="38" t="n"/>
      <c r="L293" s="38" t="n"/>
      <c r="M293" s="53">
        <f>IF(B293="","",COUNTIFS('JOBS'!$E$5:$E$1504,B293,'JOBS'!$O$5:$O$1504,"Completed"))</f>
        <v/>
      </c>
      <c r="N293" s="52">
        <f>IF(B293="","",IF(_xlfn.MAXIFS('JOBS'!$B$5:$B$1504,'JOBS'!$E$5:$E$1504,B293,'JOBS'!$O$5:$O$1504,"Completed")=0,"",_xlfn.MAXIFS('JOBS'!$B$5:$B$1504,'JOBS'!$E$5:$E$1504,B293,'JOBS'!$O$5:$O$1504,"Completed")))</f>
        <v/>
      </c>
      <c r="O293" s="54">
        <f>IF(B293="","",IFERROR(AVERAGEIFS('JOBS'!$L$5:$L$1504,'JOBS'!$E$5:$E$1504,B293,'JOBS'!$O$5:$O$1504,"Completed"),""))</f>
        <v/>
      </c>
    </row>
    <row r="294">
      <c r="A294" s="46" t="inlineStr">
        <is>
          <t>P-290</t>
        </is>
      </c>
      <c r="B294" s="38" t="n"/>
      <c r="C294" s="38" t="n"/>
      <c r="D294" s="38" t="n"/>
      <c r="E294" s="38" t="n"/>
      <c r="F294" s="56" t="n"/>
      <c r="G294" s="57" t="n"/>
      <c r="H294" s="58" t="n"/>
      <c r="I294" s="38" t="n"/>
      <c r="J294" s="38" t="n"/>
      <c r="K294" s="38" t="n"/>
      <c r="L294" s="38" t="n"/>
      <c r="M294" s="53">
        <f>IF(B294="","",COUNTIFS('JOBS'!$E$5:$E$1504,B294,'JOBS'!$O$5:$O$1504,"Completed"))</f>
        <v/>
      </c>
      <c r="N294" s="52">
        <f>IF(B294="","",IF(_xlfn.MAXIFS('JOBS'!$B$5:$B$1504,'JOBS'!$E$5:$E$1504,B294,'JOBS'!$O$5:$O$1504,"Completed")=0,"",_xlfn.MAXIFS('JOBS'!$B$5:$B$1504,'JOBS'!$E$5:$E$1504,B294,'JOBS'!$O$5:$O$1504,"Completed")))</f>
        <v/>
      </c>
      <c r="O294" s="54">
        <f>IF(B294="","",IFERROR(AVERAGEIFS('JOBS'!$L$5:$L$1504,'JOBS'!$E$5:$E$1504,B294,'JOBS'!$O$5:$O$1504,"Completed"),""))</f>
        <v/>
      </c>
    </row>
    <row r="295">
      <c r="A295" s="46" t="inlineStr">
        <is>
          <t>P-291</t>
        </is>
      </c>
      <c r="B295" s="38" t="n"/>
      <c r="C295" s="38" t="n"/>
      <c r="D295" s="38" t="n"/>
      <c r="E295" s="38" t="n"/>
      <c r="F295" s="56" t="n"/>
      <c r="G295" s="57" t="n"/>
      <c r="H295" s="58" t="n"/>
      <c r="I295" s="38" t="n"/>
      <c r="J295" s="38" t="n"/>
      <c r="K295" s="38" t="n"/>
      <c r="L295" s="38" t="n"/>
      <c r="M295" s="53">
        <f>IF(B295="","",COUNTIFS('JOBS'!$E$5:$E$1504,B295,'JOBS'!$O$5:$O$1504,"Completed"))</f>
        <v/>
      </c>
      <c r="N295" s="52">
        <f>IF(B295="","",IF(_xlfn.MAXIFS('JOBS'!$B$5:$B$1504,'JOBS'!$E$5:$E$1504,B295,'JOBS'!$O$5:$O$1504,"Completed")=0,"",_xlfn.MAXIFS('JOBS'!$B$5:$B$1504,'JOBS'!$E$5:$E$1504,B295,'JOBS'!$O$5:$O$1504,"Completed")))</f>
        <v/>
      </c>
      <c r="O295" s="54">
        <f>IF(B295="","",IFERROR(AVERAGEIFS('JOBS'!$L$5:$L$1504,'JOBS'!$E$5:$E$1504,B295,'JOBS'!$O$5:$O$1504,"Completed"),""))</f>
        <v/>
      </c>
    </row>
    <row r="296">
      <c r="A296" s="46" t="inlineStr">
        <is>
          <t>P-292</t>
        </is>
      </c>
      <c r="B296" s="38" t="n"/>
      <c r="C296" s="38" t="n"/>
      <c r="D296" s="38" t="n"/>
      <c r="E296" s="38" t="n"/>
      <c r="F296" s="56" t="n"/>
      <c r="G296" s="57" t="n"/>
      <c r="H296" s="58" t="n"/>
      <c r="I296" s="38" t="n"/>
      <c r="J296" s="38" t="n"/>
      <c r="K296" s="38" t="n"/>
      <c r="L296" s="38" t="n"/>
      <c r="M296" s="53">
        <f>IF(B296="","",COUNTIFS('JOBS'!$E$5:$E$1504,B296,'JOBS'!$O$5:$O$1504,"Completed"))</f>
        <v/>
      </c>
      <c r="N296" s="52">
        <f>IF(B296="","",IF(_xlfn.MAXIFS('JOBS'!$B$5:$B$1504,'JOBS'!$E$5:$E$1504,B296,'JOBS'!$O$5:$O$1504,"Completed")=0,"",_xlfn.MAXIFS('JOBS'!$B$5:$B$1504,'JOBS'!$E$5:$E$1504,B296,'JOBS'!$O$5:$O$1504,"Completed")))</f>
        <v/>
      </c>
      <c r="O296" s="54">
        <f>IF(B296="","",IFERROR(AVERAGEIFS('JOBS'!$L$5:$L$1504,'JOBS'!$E$5:$E$1504,B296,'JOBS'!$O$5:$O$1504,"Completed"),""))</f>
        <v/>
      </c>
    </row>
    <row r="297">
      <c r="A297" s="46" t="inlineStr">
        <is>
          <t>P-293</t>
        </is>
      </c>
      <c r="B297" s="38" t="n"/>
      <c r="C297" s="38" t="n"/>
      <c r="D297" s="38" t="n"/>
      <c r="E297" s="38" t="n"/>
      <c r="F297" s="56" t="n"/>
      <c r="G297" s="57" t="n"/>
      <c r="H297" s="58" t="n"/>
      <c r="I297" s="38" t="n"/>
      <c r="J297" s="38" t="n"/>
      <c r="K297" s="38" t="n"/>
      <c r="L297" s="38" t="n"/>
      <c r="M297" s="53">
        <f>IF(B297="","",COUNTIFS('JOBS'!$E$5:$E$1504,B297,'JOBS'!$O$5:$O$1504,"Completed"))</f>
        <v/>
      </c>
      <c r="N297" s="52">
        <f>IF(B297="","",IF(_xlfn.MAXIFS('JOBS'!$B$5:$B$1504,'JOBS'!$E$5:$E$1504,B297,'JOBS'!$O$5:$O$1504,"Completed")=0,"",_xlfn.MAXIFS('JOBS'!$B$5:$B$1504,'JOBS'!$E$5:$E$1504,B297,'JOBS'!$O$5:$O$1504,"Completed")))</f>
        <v/>
      </c>
      <c r="O297" s="54">
        <f>IF(B297="","",IFERROR(AVERAGEIFS('JOBS'!$L$5:$L$1504,'JOBS'!$E$5:$E$1504,B297,'JOBS'!$O$5:$O$1504,"Completed"),""))</f>
        <v/>
      </c>
    </row>
    <row r="298">
      <c r="A298" s="46" t="inlineStr">
        <is>
          <t>P-294</t>
        </is>
      </c>
      <c r="B298" s="38" t="n"/>
      <c r="C298" s="38" t="n"/>
      <c r="D298" s="38" t="n"/>
      <c r="E298" s="38" t="n"/>
      <c r="F298" s="56" t="n"/>
      <c r="G298" s="57" t="n"/>
      <c r="H298" s="58" t="n"/>
      <c r="I298" s="38" t="n"/>
      <c r="J298" s="38" t="n"/>
      <c r="K298" s="38" t="n"/>
      <c r="L298" s="38" t="n"/>
      <c r="M298" s="53">
        <f>IF(B298="","",COUNTIFS('JOBS'!$E$5:$E$1504,B298,'JOBS'!$O$5:$O$1504,"Completed"))</f>
        <v/>
      </c>
      <c r="N298" s="52">
        <f>IF(B298="","",IF(_xlfn.MAXIFS('JOBS'!$B$5:$B$1504,'JOBS'!$E$5:$E$1504,B298,'JOBS'!$O$5:$O$1504,"Completed")=0,"",_xlfn.MAXIFS('JOBS'!$B$5:$B$1504,'JOBS'!$E$5:$E$1504,B298,'JOBS'!$O$5:$O$1504,"Completed")))</f>
        <v/>
      </c>
      <c r="O298" s="54">
        <f>IF(B298="","",IFERROR(AVERAGEIFS('JOBS'!$L$5:$L$1504,'JOBS'!$E$5:$E$1504,B298,'JOBS'!$O$5:$O$1504,"Completed"),""))</f>
        <v/>
      </c>
    </row>
    <row r="299">
      <c r="A299" s="46" t="inlineStr">
        <is>
          <t>P-295</t>
        </is>
      </c>
      <c r="B299" s="38" t="n"/>
      <c r="C299" s="38" t="n"/>
      <c r="D299" s="38" t="n"/>
      <c r="E299" s="38" t="n"/>
      <c r="F299" s="56" t="n"/>
      <c r="G299" s="57" t="n"/>
      <c r="H299" s="58" t="n"/>
      <c r="I299" s="38" t="n"/>
      <c r="J299" s="38" t="n"/>
      <c r="K299" s="38" t="n"/>
      <c r="L299" s="38" t="n"/>
      <c r="M299" s="53">
        <f>IF(B299="","",COUNTIFS('JOBS'!$E$5:$E$1504,B299,'JOBS'!$O$5:$O$1504,"Completed"))</f>
        <v/>
      </c>
      <c r="N299" s="52">
        <f>IF(B299="","",IF(_xlfn.MAXIFS('JOBS'!$B$5:$B$1504,'JOBS'!$E$5:$E$1504,B299,'JOBS'!$O$5:$O$1504,"Completed")=0,"",_xlfn.MAXIFS('JOBS'!$B$5:$B$1504,'JOBS'!$E$5:$E$1504,B299,'JOBS'!$O$5:$O$1504,"Completed")))</f>
        <v/>
      </c>
      <c r="O299" s="54">
        <f>IF(B299="","",IFERROR(AVERAGEIFS('JOBS'!$L$5:$L$1504,'JOBS'!$E$5:$E$1504,B299,'JOBS'!$O$5:$O$1504,"Completed"),""))</f>
        <v/>
      </c>
    </row>
    <row r="300">
      <c r="A300" s="46" t="inlineStr">
        <is>
          <t>P-296</t>
        </is>
      </c>
      <c r="B300" s="38" t="n"/>
      <c r="C300" s="38" t="n"/>
      <c r="D300" s="38" t="n"/>
      <c r="E300" s="38" t="n"/>
      <c r="F300" s="56" t="n"/>
      <c r="G300" s="57" t="n"/>
      <c r="H300" s="58" t="n"/>
      <c r="I300" s="38" t="n"/>
      <c r="J300" s="38" t="n"/>
      <c r="K300" s="38" t="n"/>
      <c r="L300" s="38" t="n"/>
      <c r="M300" s="53">
        <f>IF(B300="","",COUNTIFS('JOBS'!$E$5:$E$1504,B300,'JOBS'!$O$5:$O$1504,"Completed"))</f>
        <v/>
      </c>
      <c r="N300" s="52">
        <f>IF(B300="","",IF(_xlfn.MAXIFS('JOBS'!$B$5:$B$1504,'JOBS'!$E$5:$E$1504,B300,'JOBS'!$O$5:$O$1504,"Completed")=0,"",_xlfn.MAXIFS('JOBS'!$B$5:$B$1504,'JOBS'!$E$5:$E$1504,B300,'JOBS'!$O$5:$O$1504,"Completed")))</f>
        <v/>
      </c>
      <c r="O300" s="54">
        <f>IF(B300="","",IFERROR(AVERAGEIFS('JOBS'!$L$5:$L$1504,'JOBS'!$E$5:$E$1504,B300,'JOBS'!$O$5:$O$1504,"Completed"),""))</f>
        <v/>
      </c>
    </row>
    <row r="301">
      <c r="A301" s="46" t="inlineStr">
        <is>
          <t>P-297</t>
        </is>
      </c>
      <c r="B301" s="38" t="n"/>
      <c r="C301" s="38" t="n"/>
      <c r="D301" s="38" t="n"/>
      <c r="E301" s="38" t="n"/>
      <c r="F301" s="56" t="n"/>
      <c r="G301" s="57" t="n"/>
      <c r="H301" s="58" t="n"/>
      <c r="I301" s="38" t="n"/>
      <c r="J301" s="38" t="n"/>
      <c r="K301" s="38" t="n"/>
      <c r="L301" s="38" t="n"/>
      <c r="M301" s="53">
        <f>IF(B301="","",COUNTIFS('JOBS'!$E$5:$E$1504,B301,'JOBS'!$O$5:$O$1504,"Completed"))</f>
        <v/>
      </c>
      <c r="N301" s="52">
        <f>IF(B301="","",IF(_xlfn.MAXIFS('JOBS'!$B$5:$B$1504,'JOBS'!$E$5:$E$1504,B301,'JOBS'!$O$5:$O$1504,"Completed")=0,"",_xlfn.MAXIFS('JOBS'!$B$5:$B$1504,'JOBS'!$E$5:$E$1504,B301,'JOBS'!$O$5:$O$1504,"Completed")))</f>
        <v/>
      </c>
      <c r="O301" s="54">
        <f>IF(B301="","",IFERROR(AVERAGEIFS('JOBS'!$L$5:$L$1504,'JOBS'!$E$5:$E$1504,B301,'JOBS'!$O$5:$O$1504,"Completed"),""))</f>
        <v/>
      </c>
    </row>
    <row r="302">
      <c r="A302" s="46" t="inlineStr">
        <is>
          <t>P-298</t>
        </is>
      </c>
      <c r="B302" s="38" t="n"/>
      <c r="C302" s="38" t="n"/>
      <c r="D302" s="38" t="n"/>
      <c r="E302" s="38" t="n"/>
      <c r="F302" s="56" t="n"/>
      <c r="G302" s="57" t="n"/>
      <c r="H302" s="58" t="n"/>
      <c r="I302" s="38" t="n"/>
      <c r="J302" s="38" t="n"/>
      <c r="K302" s="38" t="n"/>
      <c r="L302" s="38" t="n"/>
      <c r="M302" s="53">
        <f>IF(B302="","",COUNTIFS('JOBS'!$E$5:$E$1504,B302,'JOBS'!$O$5:$O$1504,"Completed"))</f>
        <v/>
      </c>
      <c r="N302" s="52">
        <f>IF(B302="","",IF(_xlfn.MAXIFS('JOBS'!$B$5:$B$1504,'JOBS'!$E$5:$E$1504,B302,'JOBS'!$O$5:$O$1504,"Completed")=0,"",_xlfn.MAXIFS('JOBS'!$B$5:$B$1504,'JOBS'!$E$5:$E$1504,B302,'JOBS'!$O$5:$O$1504,"Completed")))</f>
        <v/>
      </c>
      <c r="O302" s="54">
        <f>IF(B302="","",IFERROR(AVERAGEIFS('JOBS'!$L$5:$L$1504,'JOBS'!$E$5:$E$1504,B302,'JOBS'!$O$5:$O$1504,"Completed"),""))</f>
        <v/>
      </c>
    </row>
    <row r="303">
      <c r="A303" s="46" t="inlineStr">
        <is>
          <t>P-299</t>
        </is>
      </c>
      <c r="B303" s="38" t="n"/>
      <c r="C303" s="38" t="n"/>
      <c r="D303" s="38" t="n"/>
      <c r="E303" s="38" t="n"/>
      <c r="F303" s="56" t="n"/>
      <c r="G303" s="57" t="n"/>
      <c r="H303" s="58" t="n"/>
      <c r="I303" s="38" t="n"/>
      <c r="J303" s="38" t="n"/>
      <c r="K303" s="38" t="n"/>
      <c r="L303" s="38" t="n"/>
      <c r="M303" s="53">
        <f>IF(B303="","",COUNTIFS('JOBS'!$E$5:$E$1504,B303,'JOBS'!$O$5:$O$1504,"Completed"))</f>
        <v/>
      </c>
      <c r="N303" s="52">
        <f>IF(B303="","",IF(_xlfn.MAXIFS('JOBS'!$B$5:$B$1504,'JOBS'!$E$5:$E$1504,B303,'JOBS'!$O$5:$O$1504,"Completed")=0,"",_xlfn.MAXIFS('JOBS'!$B$5:$B$1504,'JOBS'!$E$5:$E$1504,B303,'JOBS'!$O$5:$O$1504,"Completed")))</f>
        <v/>
      </c>
      <c r="O303" s="54">
        <f>IF(B303="","",IFERROR(AVERAGEIFS('JOBS'!$L$5:$L$1504,'JOBS'!$E$5:$E$1504,B303,'JOBS'!$O$5:$O$1504,"Completed"),""))</f>
        <v/>
      </c>
    </row>
    <row r="304">
      <c r="A304" s="46" t="inlineStr">
        <is>
          <t>P-300</t>
        </is>
      </c>
      <c r="B304" s="38" t="n"/>
      <c r="C304" s="38" t="n"/>
      <c r="D304" s="38" t="n"/>
      <c r="E304" s="38" t="n"/>
      <c r="F304" s="56" t="n"/>
      <c r="G304" s="57" t="n"/>
      <c r="H304" s="58" t="n"/>
      <c r="I304" s="38" t="n"/>
      <c r="J304" s="38" t="n"/>
      <c r="K304" s="38" t="n"/>
      <c r="L304" s="38" t="n"/>
      <c r="M304" s="53">
        <f>IF(B304="","",COUNTIFS('JOBS'!$E$5:$E$1504,B304,'JOBS'!$O$5:$O$1504,"Completed"))</f>
        <v/>
      </c>
      <c r="N304" s="52">
        <f>IF(B304="","",IF(_xlfn.MAXIFS('JOBS'!$B$5:$B$1504,'JOBS'!$E$5:$E$1504,B304,'JOBS'!$O$5:$O$1504,"Completed")=0,"",_xlfn.MAXIFS('JOBS'!$B$5:$B$1504,'JOBS'!$E$5:$E$1504,B304,'JOBS'!$O$5:$O$1504,"Completed")))</f>
        <v/>
      </c>
      <c r="O304" s="54">
        <f>IF(B304="","",IFERROR(AVERAGEIFS('JOBS'!$L$5:$L$1504,'JOBS'!$E$5:$E$1504,B304,'JOBS'!$O$5:$O$1504,"Completed"),""))</f>
        <v/>
      </c>
    </row>
    <row r="305">
      <c r="A305" s="46" t="inlineStr">
        <is>
          <t>P-301</t>
        </is>
      </c>
      <c r="B305" s="38" t="n"/>
      <c r="C305" s="38" t="n"/>
      <c r="D305" s="38" t="n"/>
      <c r="E305" s="38" t="n"/>
      <c r="F305" s="56" t="n"/>
      <c r="G305" s="57" t="n"/>
      <c r="H305" s="58" t="n"/>
      <c r="I305" s="38" t="n"/>
      <c r="J305" s="38" t="n"/>
      <c r="K305" s="38" t="n"/>
      <c r="L305" s="38" t="n"/>
      <c r="M305" s="53">
        <f>IF(B305="","",COUNTIFS('JOBS'!$E$5:$E$1504,B305,'JOBS'!$O$5:$O$1504,"Completed"))</f>
        <v/>
      </c>
      <c r="N305" s="52">
        <f>IF(B305="","",IF(_xlfn.MAXIFS('JOBS'!$B$5:$B$1504,'JOBS'!$E$5:$E$1504,B305,'JOBS'!$O$5:$O$1504,"Completed")=0,"",_xlfn.MAXIFS('JOBS'!$B$5:$B$1504,'JOBS'!$E$5:$E$1504,B305,'JOBS'!$O$5:$O$1504,"Completed")))</f>
        <v/>
      </c>
      <c r="O305" s="54">
        <f>IF(B305="","",IFERROR(AVERAGEIFS('JOBS'!$L$5:$L$1504,'JOBS'!$E$5:$E$1504,B305,'JOBS'!$O$5:$O$1504,"Completed"),""))</f>
        <v/>
      </c>
    </row>
    <row r="306">
      <c r="A306" s="46" t="inlineStr">
        <is>
          <t>P-302</t>
        </is>
      </c>
      <c r="B306" s="38" t="n"/>
      <c r="C306" s="38" t="n"/>
      <c r="D306" s="38" t="n"/>
      <c r="E306" s="38" t="n"/>
      <c r="F306" s="56" t="n"/>
      <c r="G306" s="57" t="n"/>
      <c r="H306" s="58" t="n"/>
      <c r="I306" s="38" t="n"/>
      <c r="J306" s="38" t="n"/>
      <c r="K306" s="38" t="n"/>
      <c r="L306" s="38" t="n"/>
      <c r="M306" s="53">
        <f>IF(B306="","",COUNTIFS('JOBS'!$E$5:$E$1504,B306,'JOBS'!$O$5:$O$1504,"Completed"))</f>
        <v/>
      </c>
      <c r="N306" s="52">
        <f>IF(B306="","",IF(_xlfn.MAXIFS('JOBS'!$B$5:$B$1504,'JOBS'!$E$5:$E$1504,B306,'JOBS'!$O$5:$O$1504,"Completed")=0,"",_xlfn.MAXIFS('JOBS'!$B$5:$B$1504,'JOBS'!$E$5:$E$1504,B306,'JOBS'!$O$5:$O$1504,"Completed")))</f>
        <v/>
      </c>
      <c r="O306" s="54">
        <f>IF(B306="","",IFERROR(AVERAGEIFS('JOBS'!$L$5:$L$1504,'JOBS'!$E$5:$E$1504,B306,'JOBS'!$O$5:$O$1504,"Completed"),""))</f>
        <v/>
      </c>
    </row>
    <row r="307">
      <c r="A307" s="46" t="inlineStr">
        <is>
          <t>P-303</t>
        </is>
      </c>
      <c r="B307" s="38" t="n"/>
      <c r="C307" s="38" t="n"/>
      <c r="D307" s="38" t="n"/>
      <c r="E307" s="38" t="n"/>
      <c r="F307" s="56" t="n"/>
      <c r="G307" s="57" t="n"/>
      <c r="H307" s="58" t="n"/>
      <c r="I307" s="38" t="n"/>
      <c r="J307" s="38" t="n"/>
      <c r="K307" s="38" t="n"/>
      <c r="L307" s="38" t="n"/>
      <c r="M307" s="53">
        <f>IF(B307="","",COUNTIFS('JOBS'!$E$5:$E$1504,B307,'JOBS'!$O$5:$O$1504,"Completed"))</f>
        <v/>
      </c>
      <c r="N307" s="52">
        <f>IF(B307="","",IF(_xlfn.MAXIFS('JOBS'!$B$5:$B$1504,'JOBS'!$E$5:$E$1504,B307,'JOBS'!$O$5:$O$1504,"Completed")=0,"",_xlfn.MAXIFS('JOBS'!$B$5:$B$1504,'JOBS'!$E$5:$E$1504,B307,'JOBS'!$O$5:$O$1504,"Completed")))</f>
        <v/>
      </c>
      <c r="O307" s="54">
        <f>IF(B307="","",IFERROR(AVERAGEIFS('JOBS'!$L$5:$L$1504,'JOBS'!$E$5:$E$1504,B307,'JOBS'!$O$5:$O$1504,"Completed"),""))</f>
        <v/>
      </c>
    </row>
    <row r="308">
      <c r="A308" s="46" t="inlineStr">
        <is>
          <t>P-304</t>
        </is>
      </c>
      <c r="B308" s="38" t="n"/>
      <c r="C308" s="38" t="n"/>
      <c r="D308" s="38" t="n"/>
      <c r="E308" s="38" t="n"/>
      <c r="F308" s="56" t="n"/>
      <c r="G308" s="57" t="n"/>
      <c r="H308" s="58" t="n"/>
      <c r="I308" s="38" t="n"/>
      <c r="J308" s="38" t="n"/>
      <c r="K308" s="38" t="n"/>
      <c r="L308" s="38" t="n"/>
      <c r="M308" s="53">
        <f>IF(B308="","",COUNTIFS('JOBS'!$E$5:$E$1504,B308,'JOBS'!$O$5:$O$1504,"Completed"))</f>
        <v/>
      </c>
      <c r="N308" s="52">
        <f>IF(B308="","",IF(_xlfn.MAXIFS('JOBS'!$B$5:$B$1504,'JOBS'!$E$5:$E$1504,B308,'JOBS'!$O$5:$O$1504,"Completed")=0,"",_xlfn.MAXIFS('JOBS'!$B$5:$B$1504,'JOBS'!$E$5:$E$1504,B308,'JOBS'!$O$5:$O$1504,"Completed")))</f>
        <v/>
      </c>
      <c r="O308" s="54">
        <f>IF(B308="","",IFERROR(AVERAGEIFS('JOBS'!$L$5:$L$1504,'JOBS'!$E$5:$E$1504,B308,'JOBS'!$O$5:$O$1504,"Completed"),""))</f>
        <v/>
      </c>
    </row>
    <row r="309">
      <c r="A309" s="46" t="inlineStr">
        <is>
          <t>P-305</t>
        </is>
      </c>
      <c r="B309" s="38" t="n"/>
      <c r="C309" s="38" t="n"/>
      <c r="D309" s="38" t="n"/>
      <c r="E309" s="38" t="n"/>
      <c r="F309" s="56" t="n"/>
      <c r="G309" s="57" t="n"/>
      <c r="H309" s="58" t="n"/>
      <c r="I309" s="38" t="n"/>
      <c r="J309" s="38" t="n"/>
      <c r="K309" s="38" t="n"/>
      <c r="L309" s="38" t="n"/>
      <c r="M309" s="53">
        <f>IF(B309="","",COUNTIFS('JOBS'!$E$5:$E$1504,B309,'JOBS'!$O$5:$O$1504,"Completed"))</f>
        <v/>
      </c>
      <c r="N309" s="52">
        <f>IF(B309="","",IF(_xlfn.MAXIFS('JOBS'!$B$5:$B$1504,'JOBS'!$E$5:$E$1504,B309,'JOBS'!$O$5:$O$1504,"Completed")=0,"",_xlfn.MAXIFS('JOBS'!$B$5:$B$1504,'JOBS'!$E$5:$E$1504,B309,'JOBS'!$O$5:$O$1504,"Completed")))</f>
        <v/>
      </c>
      <c r="O309" s="54">
        <f>IF(B309="","",IFERROR(AVERAGEIFS('JOBS'!$L$5:$L$1504,'JOBS'!$E$5:$E$1504,B309,'JOBS'!$O$5:$O$1504,"Completed"),""))</f>
        <v/>
      </c>
    </row>
    <row r="310">
      <c r="A310" s="46" t="inlineStr">
        <is>
          <t>P-306</t>
        </is>
      </c>
      <c r="B310" s="38" t="n"/>
      <c r="C310" s="38" t="n"/>
      <c r="D310" s="38" t="n"/>
      <c r="E310" s="38" t="n"/>
      <c r="F310" s="56" t="n"/>
      <c r="G310" s="57" t="n"/>
      <c r="H310" s="58" t="n"/>
      <c r="I310" s="38" t="n"/>
      <c r="J310" s="38" t="n"/>
      <c r="K310" s="38" t="n"/>
      <c r="L310" s="38" t="n"/>
      <c r="M310" s="53">
        <f>IF(B310="","",COUNTIFS('JOBS'!$E$5:$E$1504,B310,'JOBS'!$O$5:$O$1504,"Completed"))</f>
        <v/>
      </c>
      <c r="N310" s="52">
        <f>IF(B310="","",IF(_xlfn.MAXIFS('JOBS'!$B$5:$B$1504,'JOBS'!$E$5:$E$1504,B310,'JOBS'!$O$5:$O$1504,"Completed")=0,"",_xlfn.MAXIFS('JOBS'!$B$5:$B$1504,'JOBS'!$E$5:$E$1504,B310,'JOBS'!$O$5:$O$1504,"Completed")))</f>
        <v/>
      </c>
      <c r="O310" s="54">
        <f>IF(B310="","",IFERROR(AVERAGEIFS('JOBS'!$L$5:$L$1504,'JOBS'!$E$5:$E$1504,B310,'JOBS'!$O$5:$O$1504,"Completed"),""))</f>
        <v/>
      </c>
    </row>
    <row r="311">
      <c r="A311" s="46" t="inlineStr">
        <is>
          <t>P-307</t>
        </is>
      </c>
      <c r="B311" s="38" t="n"/>
      <c r="C311" s="38" t="n"/>
      <c r="D311" s="38" t="n"/>
      <c r="E311" s="38" t="n"/>
      <c r="F311" s="56" t="n"/>
      <c r="G311" s="57" t="n"/>
      <c r="H311" s="58" t="n"/>
      <c r="I311" s="38" t="n"/>
      <c r="J311" s="38" t="n"/>
      <c r="K311" s="38" t="n"/>
      <c r="L311" s="38" t="n"/>
      <c r="M311" s="53">
        <f>IF(B311="","",COUNTIFS('JOBS'!$E$5:$E$1504,B311,'JOBS'!$O$5:$O$1504,"Completed"))</f>
        <v/>
      </c>
      <c r="N311" s="52">
        <f>IF(B311="","",IF(_xlfn.MAXIFS('JOBS'!$B$5:$B$1504,'JOBS'!$E$5:$E$1504,B311,'JOBS'!$O$5:$O$1504,"Completed")=0,"",_xlfn.MAXIFS('JOBS'!$B$5:$B$1504,'JOBS'!$E$5:$E$1504,B311,'JOBS'!$O$5:$O$1504,"Completed")))</f>
        <v/>
      </c>
      <c r="O311" s="54">
        <f>IF(B311="","",IFERROR(AVERAGEIFS('JOBS'!$L$5:$L$1504,'JOBS'!$E$5:$E$1504,B311,'JOBS'!$O$5:$O$1504,"Completed"),""))</f>
        <v/>
      </c>
    </row>
    <row r="312">
      <c r="A312" s="46" t="inlineStr">
        <is>
          <t>P-308</t>
        </is>
      </c>
      <c r="B312" s="38" t="n"/>
      <c r="C312" s="38" t="n"/>
      <c r="D312" s="38" t="n"/>
      <c r="E312" s="38" t="n"/>
      <c r="F312" s="56" t="n"/>
      <c r="G312" s="57" t="n"/>
      <c r="H312" s="58" t="n"/>
      <c r="I312" s="38" t="n"/>
      <c r="J312" s="38" t="n"/>
      <c r="K312" s="38" t="n"/>
      <c r="L312" s="38" t="n"/>
      <c r="M312" s="53">
        <f>IF(B312="","",COUNTIFS('JOBS'!$E$5:$E$1504,B312,'JOBS'!$O$5:$O$1504,"Completed"))</f>
        <v/>
      </c>
      <c r="N312" s="52">
        <f>IF(B312="","",IF(_xlfn.MAXIFS('JOBS'!$B$5:$B$1504,'JOBS'!$E$5:$E$1504,B312,'JOBS'!$O$5:$O$1504,"Completed")=0,"",_xlfn.MAXIFS('JOBS'!$B$5:$B$1504,'JOBS'!$E$5:$E$1504,B312,'JOBS'!$O$5:$O$1504,"Completed")))</f>
        <v/>
      </c>
      <c r="O312" s="54">
        <f>IF(B312="","",IFERROR(AVERAGEIFS('JOBS'!$L$5:$L$1504,'JOBS'!$E$5:$E$1504,B312,'JOBS'!$O$5:$O$1504,"Completed"),""))</f>
        <v/>
      </c>
    </row>
    <row r="313">
      <c r="A313" s="46" t="inlineStr">
        <is>
          <t>P-309</t>
        </is>
      </c>
      <c r="B313" s="38" t="n"/>
      <c r="C313" s="38" t="n"/>
      <c r="D313" s="38" t="n"/>
      <c r="E313" s="38" t="n"/>
      <c r="F313" s="56" t="n"/>
      <c r="G313" s="57" t="n"/>
      <c r="H313" s="58" t="n"/>
      <c r="I313" s="38" t="n"/>
      <c r="J313" s="38" t="n"/>
      <c r="K313" s="38" t="n"/>
      <c r="L313" s="38" t="n"/>
      <c r="M313" s="53">
        <f>IF(B313="","",COUNTIFS('JOBS'!$E$5:$E$1504,B313,'JOBS'!$O$5:$O$1504,"Completed"))</f>
        <v/>
      </c>
      <c r="N313" s="52">
        <f>IF(B313="","",IF(_xlfn.MAXIFS('JOBS'!$B$5:$B$1504,'JOBS'!$E$5:$E$1504,B313,'JOBS'!$O$5:$O$1504,"Completed")=0,"",_xlfn.MAXIFS('JOBS'!$B$5:$B$1504,'JOBS'!$E$5:$E$1504,B313,'JOBS'!$O$5:$O$1504,"Completed")))</f>
        <v/>
      </c>
      <c r="O313" s="54">
        <f>IF(B313="","",IFERROR(AVERAGEIFS('JOBS'!$L$5:$L$1504,'JOBS'!$E$5:$E$1504,B313,'JOBS'!$O$5:$O$1504,"Completed"),""))</f>
        <v/>
      </c>
    </row>
    <row r="314">
      <c r="A314" s="46" t="inlineStr">
        <is>
          <t>P-310</t>
        </is>
      </c>
      <c r="B314" s="38" t="n"/>
      <c r="C314" s="38" t="n"/>
      <c r="D314" s="38" t="n"/>
      <c r="E314" s="38" t="n"/>
      <c r="F314" s="56" t="n"/>
      <c r="G314" s="57" t="n"/>
      <c r="H314" s="58" t="n"/>
      <c r="I314" s="38" t="n"/>
      <c r="J314" s="38" t="n"/>
      <c r="K314" s="38" t="n"/>
      <c r="L314" s="38" t="n"/>
      <c r="M314" s="53">
        <f>IF(B314="","",COUNTIFS('JOBS'!$E$5:$E$1504,B314,'JOBS'!$O$5:$O$1504,"Completed"))</f>
        <v/>
      </c>
      <c r="N314" s="52">
        <f>IF(B314="","",IF(_xlfn.MAXIFS('JOBS'!$B$5:$B$1504,'JOBS'!$E$5:$E$1504,B314,'JOBS'!$O$5:$O$1504,"Completed")=0,"",_xlfn.MAXIFS('JOBS'!$B$5:$B$1504,'JOBS'!$E$5:$E$1504,B314,'JOBS'!$O$5:$O$1504,"Completed")))</f>
        <v/>
      </c>
      <c r="O314" s="54">
        <f>IF(B314="","",IFERROR(AVERAGEIFS('JOBS'!$L$5:$L$1504,'JOBS'!$E$5:$E$1504,B314,'JOBS'!$O$5:$O$1504,"Completed"),""))</f>
        <v/>
      </c>
    </row>
    <row r="315">
      <c r="A315" s="46" t="inlineStr">
        <is>
          <t>P-311</t>
        </is>
      </c>
      <c r="B315" s="38" t="n"/>
      <c r="C315" s="38" t="n"/>
      <c r="D315" s="38" t="n"/>
      <c r="E315" s="38" t="n"/>
      <c r="F315" s="56" t="n"/>
      <c r="G315" s="57" t="n"/>
      <c r="H315" s="58" t="n"/>
      <c r="I315" s="38" t="n"/>
      <c r="J315" s="38" t="n"/>
      <c r="K315" s="38" t="n"/>
      <c r="L315" s="38" t="n"/>
      <c r="M315" s="53">
        <f>IF(B315="","",COUNTIFS('JOBS'!$E$5:$E$1504,B315,'JOBS'!$O$5:$O$1504,"Completed"))</f>
        <v/>
      </c>
      <c r="N315" s="52">
        <f>IF(B315="","",IF(_xlfn.MAXIFS('JOBS'!$B$5:$B$1504,'JOBS'!$E$5:$E$1504,B315,'JOBS'!$O$5:$O$1504,"Completed")=0,"",_xlfn.MAXIFS('JOBS'!$B$5:$B$1504,'JOBS'!$E$5:$E$1504,B315,'JOBS'!$O$5:$O$1504,"Completed")))</f>
        <v/>
      </c>
      <c r="O315" s="54">
        <f>IF(B315="","",IFERROR(AVERAGEIFS('JOBS'!$L$5:$L$1504,'JOBS'!$E$5:$E$1504,B315,'JOBS'!$O$5:$O$1504,"Completed"),""))</f>
        <v/>
      </c>
    </row>
    <row r="316">
      <c r="A316" s="46" t="inlineStr">
        <is>
          <t>P-312</t>
        </is>
      </c>
      <c r="B316" s="38" t="n"/>
      <c r="C316" s="38" t="n"/>
      <c r="D316" s="38" t="n"/>
      <c r="E316" s="38" t="n"/>
      <c r="F316" s="56" t="n"/>
      <c r="G316" s="57" t="n"/>
      <c r="H316" s="58" t="n"/>
      <c r="I316" s="38" t="n"/>
      <c r="J316" s="38" t="n"/>
      <c r="K316" s="38" t="n"/>
      <c r="L316" s="38" t="n"/>
      <c r="M316" s="53">
        <f>IF(B316="","",COUNTIFS('JOBS'!$E$5:$E$1504,B316,'JOBS'!$O$5:$O$1504,"Completed"))</f>
        <v/>
      </c>
      <c r="N316" s="52">
        <f>IF(B316="","",IF(_xlfn.MAXIFS('JOBS'!$B$5:$B$1504,'JOBS'!$E$5:$E$1504,B316,'JOBS'!$O$5:$O$1504,"Completed")=0,"",_xlfn.MAXIFS('JOBS'!$B$5:$B$1504,'JOBS'!$E$5:$E$1504,B316,'JOBS'!$O$5:$O$1504,"Completed")))</f>
        <v/>
      </c>
      <c r="O316" s="54">
        <f>IF(B316="","",IFERROR(AVERAGEIFS('JOBS'!$L$5:$L$1504,'JOBS'!$E$5:$E$1504,B316,'JOBS'!$O$5:$O$1504,"Completed"),""))</f>
        <v/>
      </c>
    </row>
    <row r="317">
      <c r="A317" s="46" t="inlineStr">
        <is>
          <t>P-313</t>
        </is>
      </c>
      <c r="B317" s="38" t="n"/>
      <c r="C317" s="38" t="n"/>
      <c r="D317" s="38" t="n"/>
      <c r="E317" s="38" t="n"/>
      <c r="F317" s="56" t="n"/>
      <c r="G317" s="57" t="n"/>
      <c r="H317" s="58" t="n"/>
      <c r="I317" s="38" t="n"/>
      <c r="J317" s="38" t="n"/>
      <c r="K317" s="38" t="n"/>
      <c r="L317" s="38" t="n"/>
      <c r="M317" s="53">
        <f>IF(B317="","",COUNTIFS('JOBS'!$E$5:$E$1504,B317,'JOBS'!$O$5:$O$1504,"Completed"))</f>
        <v/>
      </c>
      <c r="N317" s="52">
        <f>IF(B317="","",IF(_xlfn.MAXIFS('JOBS'!$B$5:$B$1504,'JOBS'!$E$5:$E$1504,B317,'JOBS'!$O$5:$O$1504,"Completed")=0,"",_xlfn.MAXIFS('JOBS'!$B$5:$B$1504,'JOBS'!$E$5:$E$1504,B317,'JOBS'!$O$5:$O$1504,"Completed")))</f>
        <v/>
      </c>
      <c r="O317" s="54">
        <f>IF(B317="","",IFERROR(AVERAGEIFS('JOBS'!$L$5:$L$1504,'JOBS'!$E$5:$E$1504,B317,'JOBS'!$O$5:$O$1504,"Completed"),""))</f>
        <v/>
      </c>
    </row>
    <row r="318">
      <c r="A318" s="46" t="inlineStr">
        <is>
          <t>P-314</t>
        </is>
      </c>
      <c r="B318" s="38" t="n"/>
      <c r="C318" s="38" t="n"/>
      <c r="D318" s="38" t="n"/>
      <c r="E318" s="38" t="n"/>
      <c r="F318" s="56" t="n"/>
      <c r="G318" s="57" t="n"/>
      <c r="H318" s="58" t="n"/>
      <c r="I318" s="38" t="n"/>
      <c r="J318" s="38" t="n"/>
      <c r="K318" s="38" t="n"/>
      <c r="L318" s="38" t="n"/>
      <c r="M318" s="53">
        <f>IF(B318="","",COUNTIFS('JOBS'!$E$5:$E$1504,B318,'JOBS'!$O$5:$O$1504,"Completed"))</f>
        <v/>
      </c>
      <c r="N318" s="52">
        <f>IF(B318="","",IF(_xlfn.MAXIFS('JOBS'!$B$5:$B$1504,'JOBS'!$E$5:$E$1504,B318,'JOBS'!$O$5:$O$1504,"Completed")=0,"",_xlfn.MAXIFS('JOBS'!$B$5:$B$1504,'JOBS'!$E$5:$E$1504,B318,'JOBS'!$O$5:$O$1504,"Completed")))</f>
        <v/>
      </c>
      <c r="O318" s="54">
        <f>IF(B318="","",IFERROR(AVERAGEIFS('JOBS'!$L$5:$L$1504,'JOBS'!$E$5:$E$1504,B318,'JOBS'!$O$5:$O$1504,"Completed"),""))</f>
        <v/>
      </c>
    </row>
    <row r="319">
      <c r="A319" s="46" t="inlineStr">
        <is>
          <t>P-315</t>
        </is>
      </c>
      <c r="B319" s="38" t="n"/>
      <c r="C319" s="38" t="n"/>
      <c r="D319" s="38" t="n"/>
      <c r="E319" s="38" t="n"/>
      <c r="F319" s="56" t="n"/>
      <c r="G319" s="57" t="n"/>
      <c r="H319" s="58" t="n"/>
      <c r="I319" s="38" t="n"/>
      <c r="J319" s="38" t="n"/>
      <c r="K319" s="38" t="n"/>
      <c r="L319" s="38" t="n"/>
      <c r="M319" s="53">
        <f>IF(B319="","",COUNTIFS('JOBS'!$E$5:$E$1504,B319,'JOBS'!$O$5:$O$1504,"Completed"))</f>
        <v/>
      </c>
      <c r="N319" s="52">
        <f>IF(B319="","",IF(_xlfn.MAXIFS('JOBS'!$B$5:$B$1504,'JOBS'!$E$5:$E$1504,B319,'JOBS'!$O$5:$O$1504,"Completed")=0,"",_xlfn.MAXIFS('JOBS'!$B$5:$B$1504,'JOBS'!$E$5:$E$1504,B319,'JOBS'!$O$5:$O$1504,"Completed")))</f>
        <v/>
      </c>
      <c r="O319" s="54">
        <f>IF(B319="","",IFERROR(AVERAGEIFS('JOBS'!$L$5:$L$1504,'JOBS'!$E$5:$E$1504,B319,'JOBS'!$O$5:$O$1504,"Completed"),""))</f>
        <v/>
      </c>
    </row>
    <row r="320">
      <c r="A320" s="46" t="inlineStr">
        <is>
          <t>P-316</t>
        </is>
      </c>
      <c r="B320" s="38" t="n"/>
      <c r="C320" s="38" t="n"/>
      <c r="D320" s="38" t="n"/>
      <c r="E320" s="38" t="n"/>
      <c r="F320" s="56" t="n"/>
      <c r="G320" s="57" t="n"/>
      <c r="H320" s="58" t="n"/>
      <c r="I320" s="38" t="n"/>
      <c r="J320" s="38" t="n"/>
      <c r="K320" s="38" t="n"/>
      <c r="L320" s="38" t="n"/>
      <c r="M320" s="53">
        <f>IF(B320="","",COUNTIFS('JOBS'!$E$5:$E$1504,B320,'JOBS'!$O$5:$O$1504,"Completed"))</f>
        <v/>
      </c>
      <c r="N320" s="52">
        <f>IF(B320="","",IF(_xlfn.MAXIFS('JOBS'!$B$5:$B$1504,'JOBS'!$E$5:$E$1504,B320,'JOBS'!$O$5:$O$1504,"Completed")=0,"",_xlfn.MAXIFS('JOBS'!$B$5:$B$1504,'JOBS'!$E$5:$E$1504,B320,'JOBS'!$O$5:$O$1504,"Completed")))</f>
        <v/>
      </c>
      <c r="O320" s="54">
        <f>IF(B320="","",IFERROR(AVERAGEIFS('JOBS'!$L$5:$L$1504,'JOBS'!$E$5:$E$1504,B320,'JOBS'!$O$5:$O$1504,"Completed"),""))</f>
        <v/>
      </c>
    </row>
    <row r="321">
      <c r="A321" s="46" t="inlineStr">
        <is>
          <t>P-317</t>
        </is>
      </c>
      <c r="B321" s="38" t="n"/>
      <c r="C321" s="38" t="n"/>
      <c r="D321" s="38" t="n"/>
      <c r="E321" s="38" t="n"/>
      <c r="F321" s="56" t="n"/>
      <c r="G321" s="57" t="n"/>
      <c r="H321" s="58" t="n"/>
      <c r="I321" s="38" t="n"/>
      <c r="J321" s="38" t="n"/>
      <c r="K321" s="38" t="n"/>
      <c r="L321" s="38" t="n"/>
      <c r="M321" s="53">
        <f>IF(B321="","",COUNTIFS('JOBS'!$E$5:$E$1504,B321,'JOBS'!$O$5:$O$1504,"Completed"))</f>
        <v/>
      </c>
      <c r="N321" s="52">
        <f>IF(B321="","",IF(_xlfn.MAXIFS('JOBS'!$B$5:$B$1504,'JOBS'!$E$5:$E$1504,B321,'JOBS'!$O$5:$O$1504,"Completed")=0,"",_xlfn.MAXIFS('JOBS'!$B$5:$B$1504,'JOBS'!$E$5:$E$1504,B321,'JOBS'!$O$5:$O$1504,"Completed")))</f>
        <v/>
      </c>
      <c r="O321" s="54">
        <f>IF(B321="","",IFERROR(AVERAGEIFS('JOBS'!$L$5:$L$1504,'JOBS'!$E$5:$E$1504,B321,'JOBS'!$O$5:$O$1504,"Completed"),""))</f>
        <v/>
      </c>
    </row>
    <row r="322">
      <c r="A322" s="46" t="inlineStr">
        <is>
          <t>P-318</t>
        </is>
      </c>
      <c r="B322" s="38" t="n"/>
      <c r="C322" s="38" t="n"/>
      <c r="D322" s="38" t="n"/>
      <c r="E322" s="38" t="n"/>
      <c r="F322" s="56" t="n"/>
      <c r="G322" s="57" t="n"/>
      <c r="H322" s="58" t="n"/>
      <c r="I322" s="38" t="n"/>
      <c r="J322" s="38" t="n"/>
      <c r="K322" s="38" t="n"/>
      <c r="L322" s="38" t="n"/>
      <c r="M322" s="53">
        <f>IF(B322="","",COUNTIFS('JOBS'!$E$5:$E$1504,B322,'JOBS'!$O$5:$O$1504,"Completed"))</f>
        <v/>
      </c>
      <c r="N322" s="52">
        <f>IF(B322="","",IF(_xlfn.MAXIFS('JOBS'!$B$5:$B$1504,'JOBS'!$E$5:$E$1504,B322,'JOBS'!$O$5:$O$1504,"Completed")=0,"",_xlfn.MAXIFS('JOBS'!$B$5:$B$1504,'JOBS'!$E$5:$E$1504,B322,'JOBS'!$O$5:$O$1504,"Completed")))</f>
        <v/>
      </c>
      <c r="O322" s="54">
        <f>IF(B322="","",IFERROR(AVERAGEIFS('JOBS'!$L$5:$L$1504,'JOBS'!$E$5:$E$1504,B322,'JOBS'!$O$5:$O$1504,"Completed"),""))</f>
        <v/>
      </c>
    </row>
    <row r="323">
      <c r="A323" s="46" t="inlineStr">
        <is>
          <t>P-319</t>
        </is>
      </c>
      <c r="B323" s="38" t="n"/>
      <c r="C323" s="38" t="n"/>
      <c r="D323" s="38" t="n"/>
      <c r="E323" s="38" t="n"/>
      <c r="F323" s="56" t="n"/>
      <c r="G323" s="57" t="n"/>
      <c r="H323" s="58" t="n"/>
      <c r="I323" s="38" t="n"/>
      <c r="J323" s="38" t="n"/>
      <c r="K323" s="38" t="n"/>
      <c r="L323" s="38" t="n"/>
      <c r="M323" s="53">
        <f>IF(B323="","",COUNTIFS('JOBS'!$E$5:$E$1504,B323,'JOBS'!$O$5:$O$1504,"Completed"))</f>
        <v/>
      </c>
      <c r="N323" s="52">
        <f>IF(B323="","",IF(_xlfn.MAXIFS('JOBS'!$B$5:$B$1504,'JOBS'!$E$5:$E$1504,B323,'JOBS'!$O$5:$O$1504,"Completed")=0,"",_xlfn.MAXIFS('JOBS'!$B$5:$B$1504,'JOBS'!$E$5:$E$1504,B323,'JOBS'!$O$5:$O$1504,"Completed")))</f>
        <v/>
      </c>
      <c r="O323" s="54">
        <f>IF(B323="","",IFERROR(AVERAGEIFS('JOBS'!$L$5:$L$1504,'JOBS'!$E$5:$E$1504,B323,'JOBS'!$O$5:$O$1504,"Completed"),""))</f>
        <v/>
      </c>
    </row>
    <row r="324">
      <c r="A324" s="46" t="inlineStr">
        <is>
          <t>P-320</t>
        </is>
      </c>
      <c r="B324" s="38" t="n"/>
      <c r="C324" s="38" t="n"/>
      <c r="D324" s="38" t="n"/>
      <c r="E324" s="38" t="n"/>
      <c r="F324" s="56" t="n"/>
      <c r="G324" s="57" t="n"/>
      <c r="H324" s="58" t="n"/>
      <c r="I324" s="38" t="n"/>
      <c r="J324" s="38" t="n"/>
      <c r="K324" s="38" t="n"/>
      <c r="L324" s="38" t="n"/>
      <c r="M324" s="53">
        <f>IF(B324="","",COUNTIFS('JOBS'!$E$5:$E$1504,B324,'JOBS'!$O$5:$O$1504,"Completed"))</f>
        <v/>
      </c>
      <c r="N324" s="52">
        <f>IF(B324="","",IF(_xlfn.MAXIFS('JOBS'!$B$5:$B$1504,'JOBS'!$E$5:$E$1504,B324,'JOBS'!$O$5:$O$1504,"Completed")=0,"",_xlfn.MAXIFS('JOBS'!$B$5:$B$1504,'JOBS'!$E$5:$E$1504,B324,'JOBS'!$O$5:$O$1504,"Completed")))</f>
        <v/>
      </c>
      <c r="O324" s="54">
        <f>IF(B324="","",IFERROR(AVERAGEIFS('JOBS'!$L$5:$L$1504,'JOBS'!$E$5:$E$1504,B324,'JOBS'!$O$5:$O$1504,"Completed"),""))</f>
        <v/>
      </c>
    </row>
    <row r="325">
      <c r="A325" s="46" t="inlineStr">
        <is>
          <t>P-321</t>
        </is>
      </c>
      <c r="B325" s="38" t="n"/>
      <c r="C325" s="38" t="n"/>
      <c r="D325" s="38" t="n"/>
      <c r="E325" s="38" t="n"/>
      <c r="F325" s="56" t="n"/>
      <c r="G325" s="57" t="n"/>
      <c r="H325" s="58" t="n"/>
      <c r="I325" s="38" t="n"/>
      <c r="J325" s="38" t="n"/>
      <c r="K325" s="38" t="n"/>
      <c r="L325" s="38" t="n"/>
      <c r="M325" s="53">
        <f>IF(B325="","",COUNTIFS('JOBS'!$E$5:$E$1504,B325,'JOBS'!$O$5:$O$1504,"Completed"))</f>
        <v/>
      </c>
      <c r="N325" s="52">
        <f>IF(B325="","",IF(_xlfn.MAXIFS('JOBS'!$B$5:$B$1504,'JOBS'!$E$5:$E$1504,B325,'JOBS'!$O$5:$O$1504,"Completed")=0,"",_xlfn.MAXIFS('JOBS'!$B$5:$B$1504,'JOBS'!$E$5:$E$1504,B325,'JOBS'!$O$5:$O$1504,"Completed")))</f>
        <v/>
      </c>
      <c r="O325" s="54">
        <f>IF(B325="","",IFERROR(AVERAGEIFS('JOBS'!$L$5:$L$1504,'JOBS'!$E$5:$E$1504,B325,'JOBS'!$O$5:$O$1504,"Completed"),""))</f>
        <v/>
      </c>
    </row>
    <row r="326">
      <c r="A326" s="46" t="inlineStr">
        <is>
          <t>P-322</t>
        </is>
      </c>
      <c r="B326" s="38" t="n"/>
      <c r="C326" s="38" t="n"/>
      <c r="D326" s="38" t="n"/>
      <c r="E326" s="38" t="n"/>
      <c r="F326" s="56" t="n"/>
      <c r="G326" s="57" t="n"/>
      <c r="H326" s="58" t="n"/>
      <c r="I326" s="38" t="n"/>
      <c r="J326" s="38" t="n"/>
      <c r="K326" s="38" t="n"/>
      <c r="L326" s="38" t="n"/>
      <c r="M326" s="53">
        <f>IF(B326="","",COUNTIFS('JOBS'!$E$5:$E$1504,B326,'JOBS'!$O$5:$O$1504,"Completed"))</f>
        <v/>
      </c>
      <c r="N326" s="52">
        <f>IF(B326="","",IF(_xlfn.MAXIFS('JOBS'!$B$5:$B$1504,'JOBS'!$E$5:$E$1504,B326,'JOBS'!$O$5:$O$1504,"Completed")=0,"",_xlfn.MAXIFS('JOBS'!$B$5:$B$1504,'JOBS'!$E$5:$E$1504,B326,'JOBS'!$O$5:$O$1504,"Completed")))</f>
        <v/>
      </c>
      <c r="O326" s="54">
        <f>IF(B326="","",IFERROR(AVERAGEIFS('JOBS'!$L$5:$L$1504,'JOBS'!$E$5:$E$1504,B326,'JOBS'!$O$5:$O$1504,"Completed"),""))</f>
        <v/>
      </c>
    </row>
    <row r="327">
      <c r="A327" s="46" t="inlineStr">
        <is>
          <t>P-323</t>
        </is>
      </c>
      <c r="B327" s="38" t="n"/>
      <c r="C327" s="38" t="n"/>
      <c r="D327" s="38" t="n"/>
      <c r="E327" s="38" t="n"/>
      <c r="F327" s="56" t="n"/>
      <c r="G327" s="57" t="n"/>
      <c r="H327" s="58" t="n"/>
      <c r="I327" s="38" t="n"/>
      <c r="J327" s="38" t="n"/>
      <c r="K327" s="38" t="n"/>
      <c r="L327" s="38" t="n"/>
      <c r="M327" s="53">
        <f>IF(B327="","",COUNTIFS('JOBS'!$E$5:$E$1504,B327,'JOBS'!$O$5:$O$1504,"Completed"))</f>
        <v/>
      </c>
      <c r="N327" s="52">
        <f>IF(B327="","",IF(_xlfn.MAXIFS('JOBS'!$B$5:$B$1504,'JOBS'!$E$5:$E$1504,B327,'JOBS'!$O$5:$O$1504,"Completed")=0,"",_xlfn.MAXIFS('JOBS'!$B$5:$B$1504,'JOBS'!$E$5:$E$1504,B327,'JOBS'!$O$5:$O$1504,"Completed")))</f>
        <v/>
      </c>
      <c r="O327" s="54">
        <f>IF(B327="","",IFERROR(AVERAGEIFS('JOBS'!$L$5:$L$1504,'JOBS'!$E$5:$E$1504,B327,'JOBS'!$O$5:$O$1504,"Completed"),""))</f>
        <v/>
      </c>
    </row>
    <row r="328">
      <c r="A328" s="46" t="inlineStr">
        <is>
          <t>P-324</t>
        </is>
      </c>
      <c r="B328" s="38" t="n"/>
      <c r="C328" s="38" t="n"/>
      <c r="D328" s="38" t="n"/>
      <c r="E328" s="38" t="n"/>
      <c r="F328" s="56" t="n"/>
      <c r="G328" s="57" t="n"/>
      <c r="H328" s="58" t="n"/>
      <c r="I328" s="38" t="n"/>
      <c r="J328" s="38" t="n"/>
      <c r="K328" s="38" t="n"/>
      <c r="L328" s="38" t="n"/>
      <c r="M328" s="53">
        <f>IF(B328="","",COUNTIFS('JOBS'!$E$5:$E$1504,B328,'JOBS'!$O$5:$O$1504,"Completed"))</f>
        <v/>
      </c>
      <c r="N328" s="52">
        <f>IF(B328="","",IF(_xlfn.MAXIFS('JOBS'!$B$5:$B$1504,'JOBS'!$E$5:$E$1504,B328,'JOBS'!$O$5:$O$1504,"Completed")=0,"",_xlfn.MAXIFS('JOBS'!$B$5:$B$1504,'JOBS'!$E$5:$E$1504,B328,'JOBS'!$O$5:$O$1504,"Completed")))</f>
        <v/>
      </c>
      <c r="O328" s="54">
        <f>IF(B328="","",IFERROR(AVERAGEIFS('JOBS'!$L$5:$L$1504,'JOBS'!$E$5:$E$1504,B328,'JOBS'!$O$5:$O$1504,"Completed"),""))</f>
        <v/>
      </c>
    </row>
    <row r="329">
      <c r="A329" s="46" t="inlineStr">
        <is>
          <t>P-325</t>
        </is>
      </c>
      <c r="B329" s="38" t="n"/>
      <c r="C329" s="38" t="n"/>
      <c r="D329" s="38" t="n"/>
      <c r="E329" s="38" t="n"/>
      <c r="F329" s="56" t="n"/>
      <c r="G329" s="57" t="n"/>
      <c r="H329" s="58" t="n"/>
      <c r="I329" s="38" t="n"/>
      <c r="J329" s="38" t="n"/>
      <c r="K329" s="38" t="n"/>
      <c r="L329" s="38" t="n"/>
      <c r="M329" s="53">
        <f>IF(B329="","",COUNTIFS('JOBS'!$E$5:$E$1504,B329,'JOBS'!$O$5:$O$1504,"Completed"))</f>
        <v/>
      </c>
      <c r="N329" s="52">
        <f>IF(B329="","",IF(_xlfn.MAXIFS('JOBS'!$B$5:$B$1504,'JOBS'!$E$5:$E$1504,B329,'JOBS'!$O$5:$O$1504,"Completed")=0,"",_xlfn.MAXIFS('JOBS'!$B$5:$B$1504,'JOBS'!$E$5:$E$1504,B329,'JOBS'!$O$5:$O$1504,"Completed")))</f>
        <v/>
      </c>
      <c r="O329" s="54">
        <f>IF(B329="","",IFERROR(AVERAGEIFS('JOBS'!$L$5:$L$1504,'JOBS'!$E$5:$E$1504,B329,'JOBS'!$O$5:$O$1504,"Completed"),""))</f>
        <v/>
      </c>
    </row>
    <row r="330">
      <c r="A330" s="46" t="inlineStr">
        <is>
          <t>P-326</t>
        </is>
      </c>
      <c r="B330" s="38" t="n"/>
      <c r="C330" s="38" t="n"/>
      <c r="D330" s="38" t="n"/>
      <c r="E330" s="38" t="n"/>
      <c r="F330" s="56" t="n"/>
      <c r="G330" s="57" t="n"/>
      <c r="H330" s="58" t="n"/>
      <c r="I330" s="38" t="n"/>
      <c r="J330" s="38" t="n"/>
      <c r="K330" s="38" t="n"/>
      <c r="L330" s="38" t="n"/>
      <c r="M330" s="53">
        <f>IF(B330="","",COUNTIFS('JOBS'!$E$5:$E$1504,B330,'JOBS'!$O$5:$O$1504,"Completed"))</f>
        <v/>
      </c>
      <c r="N330" s="52">
        <f>IF(B330="","",IF(_xlfn.MAXIFS('JOBS'!$B$5:$B$1504,'JOBS'!$E$5:$E$1504,B330,'JOBS'!$O$5:$O$1504,"Completed")=0,"",_xlfn.MAXIFS('JOBS'!$B$5:$B$1504,'JOBS'!$E$5:$E$1504,B330,'JOBS'!$O$5:$O$1504,"Completed")))</f>
        <v/>
      </c>
      <c r="O330" s="54">
        <f>IF(B330="","",IFERROR(AVERAGEIFS('JOBS'!$L$5:$L$1504,'JOBS'!$E$5:$E$1504,B330,'JOBS'!$O$5:$O$1504,"Completed"),""))</f>
        <v/>
      </c>
    </row>
    <row r="331">
      <c r="A331" s="46" t="inlineStr">
        <is>
          <t>P-327</t>
        </is>
      </c>
      <c r="B331" s="38" t="n"/>
      <c r="C331" s="38" t="n"/>
      <c r="D331" s="38" t="n"/>
      <c r="E331" s="38" t="n"/>
      <c r="F331" s="56" t="n"/>
      <c r="G331" s="57" t="n"/>
      <c r="H331" s="58" t="n"/>
      <c r="I331" s="38" t="n"/>
      <c r="J331" s="38" t="n"/>
      <c r="K331" s="38" t="n"/>
      <c r="L331" s="38" t="n"/>
      <c r="M331" s="53">
        <f>IF(B331="","",COUNTIFS('JOBS'!$E$5:$E$1504,B331,'JOBS'!$O$5:$O$1504,"Completed"))</f>
        <v/>
      </c>
      <c r="N331" s="52">
        <f>IF(B331="","",IF(_xlfn.MAXIFS('JOBS'!$B$5:$B$1504,'JOBS'!$E$5:$E$1504,B331,'JOBS'!$O$5:$O$1504,"Completed")=0,"",_xlfn.MAXIFS('JOBS'!$B$5:$B$1504,'JOBS'!$E$5:$E$1504,B331,'JOBS'!$O$5:$O$1504,"Completed")))</f>
        <v/>
      </c>
      <c r="O331" s="54">
        <f>IF(B331="","",IFERROR(AVERAGEIFS('JOBS'!$L$5:$L$1504,'JOBS'!$E$5:$E$1504,B331,'JOBS'!$O$5:$O$1504,"Completed"),""))</f>
        <v/>
      </c>
    </row>
    <row r="332">
      <c r="A332" s="46" t="inlineStr">
        <is>
          <t>P-328</t>
        </is>
      </c>
      <c r="B332" s="38" t="n"/>
      <c r="C332" s="38" t="n"/>
      <c r="D332" s="38" t="n"/>
      <c r="E332" s="38" t="n"/>
      <c r="F332" s="56" t="n"/>
      <c r="G332" s="57" t="n"/>
      <c r="H332" s="58" t="n"/>
      <c r="I332" s="38" t="n"/>
      <c r="J332" s="38" t="n"/>
      <c r="K332" s="38" t="n"/>
      <c r="L332" s="38" t="n"/>
      <c r="M332" s="53">
        <f>IF(B332="","",COUNTIFS('JOBS'!$E$5:$E$1504,B332,'JOBS'!$O$5:$O$1504,"Completed"))</f>
        <v/>
      </c>
      <c r="N332" s="52">
        <f>IF(B332="","",IF(_xlfn.MAXIFS('JOBS'!$B$5:$B$1504,'JOBS'!$E$5:$E$1504,B332,'JOBS'!$O$5:$O$1504,"Completed")=0,"",_xlfn.MAXIFS('JOBS'!$B$5:$B$1504,'JOBS'!$E$5:$E$1504,B332,'JOBS'!$O$5:$O$1504,"Completed")))</f>
        <v/>
      </c>
      <c r="O332" s="54">
        <f>IF(B332="","",IFERROR(AVERAGEIFS('JOBS'!$L$5:$L$1504,'JOBS'!$E$5:$E$1504,B332,'JOBS'!$O$5:$O$1504,"Completed"),""))</f>
        <v/>
      </c>
    </row>
    <row r="333">
      <c r="A333" s="46" t="inlineStr">
        <is>
          <t>P-329</t>
        </is>
      </c>
      <c r="B333" s="38" t="n"/>
      <c r="C333" s="38" t="n"/>
      <c r="D333" s="38" t="n"/>
      <c r="E333" s="38" t="n"/>
      <c r="F333" s="56" t="n"/>
      <c r="G333" s="57" t="n"/>
      <c r="H333" s="58" t="n"/>
      <c r="I333" s="38" t="n"/>
      <c r="J333" s="38" t="n"/>
      <c r="K333" s="38" t="n"/>
      <c r="L333" s="38" t="n"/>
      <c r="M333" s="53">
        <f>IF(B333="","",COUNTIFS('JOBS'!$E$5:$E$1504,B333,'JOBS'!$O$5:$O$1504,"Completed"))</f>
        <v/>
      </c>
      <c r="N333" s="52">
        <f>IF(B333="","",IF(_xlfn.MAXIFS('JOBS'!$B$5:$B$1504,'JOBS'!$E$5:$E$1504,B333,'JOBS'!$O$5:$O$1504,"Completed")=0,"",_xlfn.MAXIFS('JOBS'!$B$5:$B$1504,'JOBS'!$E$5:$E$1504,B333,'JOBS'!$O$5:$O$1504,"Completed")))</f>
        <v/>
      </c>
      <c r="O333" s="54">
        <f>IF(B333="","",IFERROR(AVERAGEIFS('JOBS'!$L$5:$L$1504,'JOBS'!$E$5:$E$1504,B333,'JOBS'!$O$5:$O$1504,"Completed"),""))</f>
        <v/>
      </c>
    </row>
    <row r="334">
      <c r="A334" s="46" t="inlineStr">
        <is>
          <t>P-330</t>
        </is>
      </c>
      <c r="B334" s="38" t="n"/>
      <c r="C334" s="38" t="n"/>
      <c r="D334" s="38" t="n"/>
      <c r="E334" s="38" t="n"/>
      <c r="F334" s="56" t="n"/>
      <c r="G334" s="57" t="n"/>
      <c r="H334" s="58" t="n"/>
      <c r="I334" s="38" t="n"/>
      <c r="J334" s="38" t="n"/>
      <c r="K334" s="38" t="n"/>
      <c r="L334" s="38" t="n"/>
      <c r="M334" s="53">
        <f>IF(B334="","",COUNTIFS('JOBS'!$E$5:$E$1504,B334,'JOBS'!$O$5:$O$1504,"Completed"))</f>
        <v/>
      </c>
      <c r="N334" s="52">
        <f>IF(B334="","",IF(_xlfn.MAXIFS('JOBS'!$B$5:$B$1504,'JOBS'!$E$5:$E$1504,B334,'JOBS'!$O$5:$O$1504,"Completed")=0,"",_xlfn.MAXIFS('JOBS'!$B$5:$B$1504,'JOBS'!$E$5:$E$1504,B334,'JOBS'!$O$5:$O$1504,"Completed")))</f>
        <v/>
      </c>
      <c r="O334" s="54">
        <f>IF(B334="","",IFERROR(AVERAGEIFS('JOBS'!$L$5:$L$1504,'JOBS'!$E$5:$E$1504,B334,'JOBS'!$O$5:$O$1504,"Completed"),""))</f>
        <v/>
      </c>
    </row>
    <row r="335">
      <c r="A335" s="46" t="inlineStr">
        <is>
          <t>P-331</t>
        </is>
      </c>
      <c r="B335" s="38" t="n"/>
      <c r="C335" s="38" t="n"/>
      <c r="D335" s="38" t="n"/>
      <c r="E335" s="38" t="n"/>
      <c r="F335" s="56" t="n"/>
      <c r="G335" s="57" t="n"/>
      <c r="H335" s="58" t="n"/>
      <c r="I335" s="38" t="n"/>
      <c r="J335" s="38" t="n"/>
      <c r="K335" s="38" t="n"/>
      <c r="L335" s="38" t="n"/>
      <c r="M335" s="53">
        <f>IF(B335="","",COUNTIFS('JOBS'!$E$5:$E$1504,B335,'JOBS'!$O$5:$O$1504,"Completed"))</f>
        <v/>
      </c>
      <c r="N335" s="52">
        <f>IF(B335="","",IF(_xlfn.MAXIFS('JOBS'!$B$5:$B$1504,'JOBS'!$E$5:$E$1504,B335,'JOBS'!$O$5:$O$1504,"Completed")=0,"",_xlfn.MAXIFS('JOBS'!$B$5:$B$1504,'JOBS'!$E$5:$E$1504,B335,'JOBS'!$O$5:$O$1504,"Completed")))</f>
        <v/>
      </c>
      <c r="O335" s="54">
        <f>IF(B335="","",IFERROR(AVERAGEIFS('JOBS'!$L$5:$L$1504,'JOBS'!$E$5:$E$1504,B335,'JOBS'!$O$5:$O$1504,"Completed"),""))</f>
        <v/>
      </c>
    </row>
    <row r="336">
      <c r="A336" s="46" t="inlineStr">
        <is>
          <t>P-332</t>
        </is>
      </c>
      <c r="B336" s="38" t="n"/>
      <c r="C336" s="38" t="n"/>
      <c r="D336" s="38" t="n"/>
      <c r="E336" s="38" t="n"/>
      <c r="F336" s="56" t="n"/>
      <c r="G336" s="57" t="n"/>
      <c r="H336" s="58" t="n"/>
      <c r="I336" s="38" t="n"/>
      <c r="J336" s="38" t="n"/>
      <c r="K336" s="38" t="n"/>
      <c r="L336" s="38" t="n"/>
      <c r="M336" s="53">
        <f>IF(B336="","",COUNTIFS('JOBS'!$E$5:$E$1504,B336,'JOBS'!$O$5:$O$1504,"Completed"))</f>
        <v/>
      </c>
      <c r="N336" s="52">
        <f>IF(B336="","",IF(_xlfn.MAXIFS('JOBS'!$B$5:$B$1504,'JOBS'!$E$5:$E$1504,B336,'JOBS'!$O$5:$O$1504,"Completed")=0,"",_xlfn.MAXIFS('JOBS'!$B$5:$B$1504,'JOBS'!$E$5:$E$1504,B336,'JOBS'!$O$5:$O$1504,"Completed")))</f>
        <v/>
      </c>
      <c r="O336" s="54">
        <f>IF(B336="","",IFERROR(AVERAGEIFS('JOBS'!$L$5:$L$1504,'JOBS'!$E$5:$E$1504,B336,'JOBS'!$O$5:$O$1504,"Completed"),""))</f>
        <v/>
      </c>
    </row>
    <row r="337">
      <c r="A337" s="46" t="inlineStr">
        <is>
          <t>P-333</t>
        </is>
      </c>
      <c r="B337" s="38" t="n"/>
      <c r="C337" s="38" t="n"/>
      <c r="D337" s="38" t="n"/>
      <c r="E337" s="38" t="n"/>
      <c r="F337" s="56" t="n"/>
      <c r="G337" s="57" t="n"/>
      <c r="H337" s="58" t="n"/>
      <c r="I337" s="38" t="n"/>
      <c r="J337" s="38" t="n"/>
      <c r="K337" s="38" t="n"/>
      <c r="L337" s="38" t="n"/>
      <c r="M337" s="53">
        <f>IF(B337="","",COUNTIFS('JOBS'!$E$5:$E$1504,B337,'JOBS'!$O$5:$O$1504,"Completed"))</f>
        <v/>
      </c>
      <c r="N337" s="52">
        <f>IF(B337="","",IF(_xlfn.MAXIFS('JOBS'!$B$5:$B$1504,'JOBS'!$E$5:$E$1504,B337,'JOBS'!$O$5:$O$1504,"Completed")=0,"",_xlfn.MAXIFS('JOBS'!$B$5:$B$1504,'JOBS'!$E$5:$E$1504,B337,'JOBS'!$O$5:$O$1504,"Completed")))</f>
        <v/>
      </c>
      <c r="O337" s="54">
        <f>IF(B337="","",IFERROR(AVERAGEIFS('JOBS'!$L$5:$L$1504,'JOBS'!$E$5:$E$1504,B337,'JOBS'!$O$5:$O$1504,"Completed"),""))</f>
        <v/>
      </c>
    </row>
    <row r="338">
      <c r="A338" s="46" t="inlineStr">
        <is>
          <t>P-334</t>
        </is>
      </c>
      <c r="B338" s="38" t="n"/>
      <c r="C338" s="38" t="n"/>
      <c r="D338" s="38" t="n"/>
      <c r="E338" s="38" t="n"/>
      <c r="F338" s="56" t="n"/>
      <c r="G338" s="57" t="n"/>
      <c r="H338" s="58" t="n"/>
      <c r="I338" s="38" t="n"/>
      <c r="J338" s="38" t="n"/>
      <c r="K338" s="38" t="n"/>
      <c r="L338" s="38" t="n"/>
      <c r="M338" s="53">
        <f>IF(B338="","",COUNTIFS('JOBS'!$E$5:$E$1504,B338,'JOBS'!$O$5:$O$1504,"Completed"))</f>
        <v/>
      </c>
      <c r="N338" s="52">
        <f>IF(B338="","",IF(_xlfn.MAXIFS('JOBS'!$B$5:$B$1504,'JOBS'!$E$5:$E$1504,B338,'JOBS'!$O$5:$O$1504,"Completed")=0,"",_xlfn.MAXIFS('JOBS'!$B$5:$B$1504,'JOBS'!$E$5:$E$1504,B338,'JOBS'!$O$5:$O$1504,"Completed")))</f>
        <v/>
      </c>
      <c r="O338" s="54">
        <f>IF(B338="","",IFERROR(AVERAGEIFS('JOBS'!$L$5:$L$1504,'JOBS'!$E$5:$E$1504,B338,'JOBS'!$O$5:$O$1504,"Completed"),""))</f>
        <v/>
      </c>
    </row>
    <row r="339">
      <c r="A339" s="46" t="inlineStr">
        <is>
          <t>P-335</t>
        </is>
      </c>
      <c r="B339" s="38" t="n"/>
      <c r="C339" s="38" t="n"/>
      <c r="D339" s="38" t="n"/>
      <c r="E339" s="38" t="n"/>
      <c r="F339" s="56" t="n"/>
      <c r="G339" s="57" t="n"/>
      <c r="H339" s="58" t="n"/>
      <c r="I339" s="38" t="n"/>
      <c r="J339" s="38" t="n"/>
      <c r="K339" s="38" t="n"/>
      <c r="L339" s="38" t="n"/>
      <c r="M339" s="53">
        <f>IF(B339="","",COUNTIFS('JOBS'!$E$5:$E$1504,B339,'JOBS'!$O$5:$O$1504,"Completed"))</f>
        <v/>
      </c>
      <c r="N339" s="52">
        <f>IF(B339="","",IF(_xlfn.MAXIFS('JOBS'!$B$5:$B$1504,'JOBS'!$E$5:$E$1504,B339,'JOBS'!$O$5:$O$1504,"Completed")=0,"",_xlfn.MAXIFS('JOBS'!$B$5:$B$1504,'JOBS'!$E$5:$E$1504,B339,'JOBS'!$O$5:$O$1504,"Completed")))</f>
        <v/>
      </c>
      <c r="O339" s="54">
        <f>IF(B339="","",IFERROR(AVERAGEIFS('JOBS'!$L$5:$L$1504,'JOBS'!$E$5:$E$1504,B339,'JOBS'!$O$5:$O$1504,"Completed"),""))</f>
        <v/>
      </c>
    </row>
    <row r="340">
      <c r="A340" s="46" t="inlineStr">
        <is>
          <t>P-336</t>
        </is>
      </c>
      <c r="B340" s="38" t="n"/>
      <c r="C340" s="38" t="n"/>
      <c r="D340" s="38" t="n"/>
      <c r="E340" s="38" t="n"/>
      <c r="F340" s="56" t="n"/>
      <c r="G340" s="57" t="n"/>
      <c r="H340" s="58" t="n"/>
      <c r="I340" s="38" t="n"/>
      <c r="J340" s="38" t="n"/>
      <c r="K340" s="38" t="n"/>
      <c r="L340" s="38" t="n"/>
      <c r="M340" s="53">
        <f>IF(B340="","",COUNTIFS('JOBS'!$E$5:$E$1504,B340,'JOBS'!$O$5:$O$1504,"Completed"))</f>
        <v/>
      </c>
      <c r="N340" s="52">
        <f>IF(B340="","",IF(_xlfn.MAXIFS('JOBS'!$B$5:$B$1504,'JOBS'!$E$5:$E$1504,B340,'JOBS'!$O$5:$O$1504,"Completed")=0,"",_xlfn.MAXIFS('JOBS'!$B$5:$B$1504,'JOBS'!$E$5:$E$1504,B340,'JOBS'!$O$5:$O$1504,"Completed")))</f>
        <v/>
      </c>
      <c r="O340" s="54">
        <f>IF(B340="","",IFERROR(AVERAGEIFS('JOBS'!$L$5:$L$1504,'JOBS'!$E$5:$E$1504,B340,'JOBS'!$O$5:$O$1504,"Completed"),""))</f>
        <v/>
      </c>
    </row>
    <row r="341">
      <c r="A341" s="46" t="inlineStr">
        <is>
          <t>P-337</t>
        </is>
      </c>
      <c r="B341" s="38" t="n"/>
      <c r="C341" s="38" t="n"/>
      <c r="D341" s="38" t="n"/>
      <c r="E341" s="38" t="n"/>
      <c r="F341" s="56" t="n"/>
      <c r="G341" s="57" t="n"/>
      <c r="H341" s="58" t="n"/>
      <c r="I341" s="38" t="n"/>
      <c r="J341" s="38" t="n"/>
      <c r="K341" s="38" t="n"/>
      <c r="L341" s="38" t="n"/>
      <c r="M341" s="53">
        <f>IF(B341="","",COUNTIFS('JOBS'!$E$5:$E$1504,B341,'JOBS'!$O$5:$O$1504,"Completed"))</f>
        <v/>
      </c>
      <c r="N341" s="52">
        <f>IF(B341="","",IF(_xlfn.MAXIFS('JOBS'!$B$5:$B$1504,'JOBS'!$E$5:$E$1504,B341,'JOBS'!$O$5:$O$1504,"Completed")=0,"",_xlfn.MAXIFS('JOBS'!$B$5:$B$1504,'JOBS'!$E$5:$E$1504,B341,'JOBS'!$O$5:$O$1504,"Completed")))</f>
        <v/>
      </c>
      <c r="O341" s="54">
        <f>IF(B341="","",IFERROR(AVERAGEIFS('JOBS'!$L$5:$L$1504,'JOBS'!$E$5:$E$1504,B341,'JOBS'!$O$5:$O$1504,"Completed"),""))</f>
        <v/>
      </c>
    </row>
    <row r="342">
      <c r="A342" s="46" t="inlineStr">
        <is>
          <t>P-338</t>
        </is>
      </c>
      <c r="B342" s="38" t="n"/>
      <c r="C342" s="38" t="n"/>
      <c r="D342" s="38" t="n"/>
      <c r="E342" s="38" t="n"/>
      <c r="F342" s="56" t="n"/>
      <c r="G342" s="57" t="n"/>
      <c r="H342" s="58" t="n"/>
      <c r="I342" s="38" t="n"/>
      <c r="J342" s="38" t="n"/>
      <c r="K342" s="38" t="n"/>
      <c r="L342" s="38" t="n"/>
      <c r="M342" s="53">
        <f>IF(B342="","",COUNTIFS('JOBS'!$E$5:$E$1504,B342,'JOBS'!$O$5:$O$1504,"Completed"))</f>
        <v/>
      </c>
      <c r="N342" s="52">
        <f>IF(B342="","",IF(_xlfn.MAXIFS('JOBS'!$B$5:$B$1504,'JOBS'!$E$5:$E$1504,B342,'JOBS'!$O$5:$O$1504,"Completed")=0,"",_xlfn.MAXIFS('JOBS'!$B$5:$B$1504,'JOBS'!$E$5:$E$1504,B342,'JOBS'!$O$5:$O$1504,"Completed")))</f>
        <v/>
      </c>
      <c r="O342" s="54">
        <f>IF(B342="","",IFERROR(AVERAGEIFS('JOBS'!$L$5:$L$1504,'JOBS'!$E$5:$E$1504,B342,'JOBS'!$O$5:$O$1504,"Completed"),""))</f>
        <v/>
      </c>
    </row>
    <row r="343">
      <c r="A343" s="46" t="inlineStr">
        <is>
          <t>P-339</t>
        </is>
      </c>
      <c r="B343" s="38" t="n"/>
      <c r="C343" s="38" t="n"/>
      <c r="D343" s="38" t="n"/>
      <c r="E343" s="38" t="n"/>
      <c r="F343" s="56" t="n"/>
      <c r="G343" s="57" t="n"/>
      <c r="H343" s="58" t="n"/>
      <c r="I343" s="38" t="n"/>
      <c r="J343" s="38" t="n"/>
      <c r="K343" s="38" t="n"/>
      <c r="L343" s="38" t="n"/>
      <c r="M343" s="53">
        <f>IF(B343="","",COUNTIFS('JOBS'!$E$5:$E$1504,B343,'JOBS'!$O$5:$O$1504,"Completed"))</f>
        <v/>
      </c>
      <c r="N343" s="52">
        <f>IF(B343="","",IF(_xlfn.MAXIFS('JOBS'!$B$5:$B$1504,'JOBS'!$E$5:$E$1504,B343,'JOBS'!$O$5:$O$1504,"Completed")=0,"",_xlfn.MAXIFS('JOBS'!$B$5:$B$1504,'JOBS'!$E$5:$E$1504,B343,'JOBS'!$O$5:$O$1504,"Completed")))</f>
        <v/>
      </c>
      <c r="O343" s="54">
        <f>IF(B343="","",IFERROR(AVERAGEIFS('JOBS'!$L$5:$L$1504,'JOBS'!$E$5:$E$1504,B343,'JOBS'!$O$5:$O$1504,"Completed"),""))</f>
        <v/>
      </c>
    </row>
    <row r="344">
      <c r="A344" s="46" t="inlineStr">
        <is>
          <t>P-340</t>
        </is>
      </c>
      <c r="B344" s="38" t="n"/>
      <c r="C344" s="38" t="n"/>
      <c r="D344" s="38" t="n"/>
      <c r="E344" s="38" t="n"/>
      <c r="F344" s="56" t="n"/>
      <c r="G344" s="57" t="n"/>
      <c r="H344" s="58" t="n"/>
      <c r="I344" s="38" t="n"/>
      <c r="J344" s="38" t="n"/>
      <c r="K344" s="38" t="n"/>
      <c r="L344" s="38" t="n"/>
      <c r="M344" s="53">
        <f>IF(B344="","",COUNTIFS('JOBS'!$E$5:$E$1504,B344,'JOBS'!$O$5:$O$1504,"Completed"))</f>
        <v/>
      </c>
      <c r="N344" s="52">
        <f>IF(B344="","",IF(_xlfn.MAXIFS('JOBS'!$B$5:$B$1504,'JOBS'!$E$5:$E$1504,B344,'JOBS'!$O$5:$O$1504,"Completed")=0,"",_xlfn.MAXIFS('JOBS'!$B$5:$B$1504,'JOBS'!$E$5:$E$1504,B344,'JOBS'!$O$5:$O$1504,"Completed")))</f>
        <v/>
      </c>
      <c r="O344" s="54">
        <f>IF(B344="","",IFERROR(AVERAGEIFS('JOBS'!$L$5:$L$1504,'JOBS'!$E$5:$E$1504,B344,'JOBS'!$O$5:$O$1504,"Completed"),""))</f>
        <v/>
      </c>
    </row>
    <row r="345">
      <c r="A345" s="46" t="inlineStr">
        <is>
          <t>P-341</t>
        </is>
      </c>
      <c r="B345" s="38" t="n"/>
      <c r="C345" s="38" t="n"/>
      <c r="D345" s="38" t="n"/>
      <c r="E345" s="38" t="n"/>
      <c r="F345" s="56" t="n"/>
      <c r="G345" s="57" t="n"/>
      <c r="H345" s="58" t="n"/>
      <c r="I345" s="38" t="n"/>
      <c r="J345" s="38" t="n"/>
      <c r="K345" s="38" t="n"/>
      <c r="L345" s="38" t="n"/>
      <c r="M345" s="53">
        <f>IF(B345="","",COUNTIFS('JOBS'!$E$5:$E$1504,B345,'JOBS'!$O$5:$O$1504,"Completed"))</f>
        <v/>
      </c>
      <c r="N345" s="52">
        <f>IF(B345="","",IF(_xlfn.MAXIFS('JOBS'!$B$5:$B$1504,'JOBS'!$E$5:$E$1504,B345,'JOBS'!$O$5:$O$1504,"Completed")=0,"",_xlfn.MAXIFS('JOBS'!$B$5:$B$1504,'JOBS'!$E$5:$E$1504,B345,'JOBS'!$O$5:$O$1504,"Completed")))</f>
        <v/>
      </c>
      <c r="O345" s="54">
        <f>IF(B345="","",IFERROR(AVERAGEIFS('JOBS'!$L$5:$L$1504,'JOBS'!$E$5:$E$1504,B345,'JOBS'!$O$5:$O$1504,"Completed"),""))</f>
        <v/>
      </c>
    </row>
    <row r="346">
      <c r="A346" s="46" t="inlineStr">
        <is>
          <t>P-342</t>
        </is>
      </c>
      <c r="B346" s="38" t="n"/>
      <c r="C346" s="38" t="n"/>
      <c r="D346" s="38" t="n"/>
      <c r="E346" s="38" t="n"/>
      <c r="F346" s="56" t="n"/>
      <c r="G346" s="57" t="n"/>
      <c r="H346" s="58" t="n"/>
      <c r="I346" s="38" t="n"/>
      <c r="J346" s="38" t="n"/>
      <c r="K346" s="38" t="n"/>
      <c r="L346" s="38" t="n"/>
      <c r="M346" s="53">
        <f>IF(B346="","",COUNTIFS('JOBS'!$E$5:$E$1504,B346,'JOBS'!$O$5:$O$1504,"Completed"))</f>
        <v/>
      </c>
      <c r="N346" s="52">
        <f>IF(B346="","",IF(_xlfn.MAXIFS('JOBS'!$B$5:$B$1504,'JOBS'!$E$5:$E$1504,B346,'JOBS'!$O$5:$O$1504,"Completed")=0,"",_xlfn.MAXIFS('JOBS'!$B$5:$B$1504,'JOBS'!$E$5:$E$1504,B346,'JOBS'!$O$5:$O$1504,"Completed")))</f>
        <v/>
      </c>
      <c r="O346" s="54">
        <f>IF(B346="","",IFERROR(AVERAGEIFS('JOBS'!$L$5:$L$1504,'JOBS'!$E$5:$E$1504,B346,'JOBS'!$O$5:$O$1504,"Completed"),""))</f>
        <v/>
      </c>
    </row>
    <row r="347">
      <c r="A347" s="46" t="inlineStr">
        <is>
          <t>P-343</t>
        </is>
      </c>
      <c r="B347" s="38" t="n"/>
      <c r="C347" s="38" t="n"/>
      <c r="D347" s="38" t="n"/>
      <c r="E347" s="38" t="n"/>
      <c r="F347" s="56" t="n"/>
      <c r="G347" s="57" t="n"/>
      <c r="H347" s="58" t="n"/>
      <c r="I347" s="38" t="n"/>
      <c r="J347" s="38" t="n"/>
      <c r="K347" s="38" t="n"/>
      <c r="L347" s="38" t="n"/>
      <c r="M347" s="53">
        <f>IF(B347="","",COUNTIFS('JOBS'!$E$5:$E$1504,B347,'JOBS'!$O$5:$O$1504,"Completed"))</f>
        <v/>
      </c>
      <c r="N347" s="52">
        <f>IF(B347="","",IF(_xlfn.MAXIFS('JOBS'!$B$5:$B$1504,'JOBS'!$E$5:$E$1504,B347,'JOBS'!$O$5:$O$1504,"Completed")=0,"",_xlfn.MAXIFS('JOBS'!$B$5:$B$1504,'JOBS'!$E$5:$E$1504,B347,'JOBS'!$O$5:$O$1504,"Completed")))</f>
        <v/>
      </c>
      <c r="O347" s="54">
        <f>IF(B347="","",IFERROR(AVERAGEIFS('JOBS'!$L$5:$L$1504,'JOBS'!$E$5:$E$1504,B347,'JOBS'!$O$5:$O$1504,"Completed"),""))</f>
        <v/>
      </c>
    </row>
    <row r="348">
      <c r="A348" s="46" t="inlineStr">
        <is>
          <t>P-344</t>
        </is>
      </c>
      <c r="B348" s="38" t="n"/>
      <c r="C348" s="38" t="n"/>
      <c r="D348" s="38" t="n"/>
      <c r="E348" s="38" t="n"/>
      <c r="F348" s="56" t="n"/>
      <c r="G348" s="57" t="n"/>
      <c r="H348" s="58" t="n"/>
      <c r="I348" s="38" t="n"/>
      <c r="J348" s="38" t="n"/>
      <c r="K348" s="38" t="n"/>
      <c r="L348" s="38" t="n"/>
      <c r="M348" s="53">
        <f>IF(B348="","",COUNTIFS('JOBS'!$E$5:$E$1504,B348,'JOBS'!$O$5:$O$1504,"Completed"))</f>
        <v/>
      </c>
      <c r="N348" s="52">
        <f>IF(B348="","",IF(_xlfn.MAXIFS('JOBS'!$B$5:$B$1504,'JOBS'!$E$5:$E$1504,B348,'JOBS'!$O$5:$O$1504,"Completed")=0,"",_xlfn.MAXIFS('JOBS'!$B$5:$B$1504,'JOBS'!$E$5:$E$1504,B348,'JOBS'!$O$5:$O$1504,"Completed")))</f>
        <v/>
      </c>
      <c r="O348" s="54">
        <f>IF(B348="","",IFERROR(AVERAGEIFS('JOBS'!$L$5:$L$1504,'JOBS'!$E$5:$E$1504,B348,'JOBS'!$O$5:$O$1504,"Completed"),""))</f>
        <v/>
      </c>
    </row>
    <row r="349">
      <c r="A349" s="46" t="inlineStr">
        <is>
          <t>P-345</t>
        </is>
      </c>
      <c r="B349" s="38" t="n"/>
      <c r="C349" s="38" t="n"/>
      <c r="D349" s="38" t="n"/>
      <c r="E349" s="38" t="n"/>
      <c r="F349" s="56" t="n"/>
      <c r="G349" s="57" t="n"/>
      <c r="H349" s="58" t="n"/>
      <c r="I349" s="38" t="n"/>
      <c r="J349" s="38" t="n"/>
      <c r="K349" s="38" t="n"/>
      <c r="L349" s="38" t="n"/>
      <c r="M349" s="53">
        <f>IF(B349="","",COUNTIFS('JOBS'!$E$5:$E$1504,B349,'JOBS'!$O$5:$O$1504,"Completed"))</f>
        <v/>
      </c>
      <c r="N349" s="52">
        <f>IF(B349="","",IF(_xlfn.MAXIFS('JOBS'!$B$5:$B$1504,'JOBS'!$E$5:$E$1504,B349,'JOBS'!$O$5:$O$1504,"Completed")=0,"",_xlfn.MAXIFS('JOBS'!$B$5:$B$1504,'JOBS'!$E$5:$E$1504,B349,'JOBS'!$O$5:$O$1504,"Completed")))</f>
        <v/>
      </c>
      <c r="O349" s="54">
        <f>IF(B349="","",IFERROR(AVERAGEIFS('JOBS'!$L$5:$L$1504,'JOBS'!$E$5:$E$1504,B349,'JOBS'!$O$5:$O$1504,"Completed"),""))</f>
        <v/>
      </c>
    </row>
    <row r="350">
      <c r="A350" s="46" t="inlineStr">
        <is>
          <t>P-346</t>
        </is>
      </c>
      <c r="B350" s="38" t="n"/>
      <c r="C350" s="38" t="n"/>
      <c r="D350" s="38" t="n"/>
      <c r="E350" s="38" t="n"/>
      <c r="F350" s="56" t="n"/>
      <c r="G350" s="57" t="n"/>
      <c r="H350" s="58" t="n"/>
      <c r="I350" s="38" t="n"/>
      <c r="J350" s="38" t="n"/>
      <c r="K350" s="38" t="n"/>
      <c r="L350" s="38" t="n"/>
      <c r="M350" s="53">
        <f>IF(B350="","",COUNTIFS('JOBS'!$E$5:$E$1504,B350,'JOBS'!$O$5:$O$1504,"Completed"))</f>
        <v/>
      </c>
      <c r="N350" s="52">
        <f>IF(B350="","",IF(_xlfn.MAXIFS('JOBS'!$B$5:$B$1504,'JOBS'!$E$5:$E$1504,B350,'JOBS'!$O$5:$O$1504,"Completed")=0,"",_xlfn.MAXIFS('JOBS'!$B$5:$B$1504,'JOBS'!$E$5:$E$1504,B350,'JOBS'!$O$5:$O$1504,"Completed")))</f>
        <v/>
      </c>
      <c r="O350" s="54">
        <f>IF(B350="","",IFERROR(AVERAGEIFS('JOBS'!$L$5:$L$1504,'JOBS'!$E$5:$E$1504,B350,'JOBS'!$O$5:$O$1504,"Completed"),""))</f>
        <v/>
      </c>
    </row>
    <row r="351">
      <c r="A351" s="46" t="inlineStr">
        <is>
          <t>P-347</t>
        </is>
      </c>
      <c r="B351" s="38" t="n"/>
      <c r="C351" s="38" t="n"/>
      <c r="D351" s="38" t="n"/>
      <c r="E351" s="38" t="n"/>
      <c r="F351" s="56" t="n"/>
      <c r="G351" s="57" t="n"/>
      <c r="H351" s="58" t="n"/>
      <c r="I351" s="38" t="n"/>
      <c r="J351" s="38" t="n"/>
      <c r="K351" s="38" t="n"/>
      <c r="L351" s="38" t="n"/>
      <c r="M351" s="53">
        <f>IF(B351="","",COUNTIFS('JOBS'!$E$5:$E$1504,B351,'JOBS'!$O$5:$O$1504,"Completed"))</f>
        <v/>
      </c>
      <c r="N351" s="52">
        <f>IF(B351="","",IF(_xlfn.MAXIFS('JOBS'!$B$5:$B$1504,'JOBS'!$E$5:$E$1504,B351,'JOBS'!$O$5:$O$1504,"Completed")=0,"",_xlfn.MAXIFS('JOBS'!$B$5:$B$1504,'JOBS'!$E$5:$E$1504,B351,'JOBS'!$O$5:$O$1504,"Completed")))</f>
        <v/>
      </c>
      <c r="O351" s="54">
        <f>IF(B351="","",IFERROR(AVERAGEIFS('JOBS'!$L$5:$L$1504,'JOBS'!$E$5:$E$1504,B351,'JOBS'!$O$5:$O$1504,"Completed"),""))</f>
        <v/>
      </c>
    </row>
    <row r="352">
      <c r="A352" s="46" t="inlineStr">
        <is>
          <t>P-348</t>
        </is>
      </c>
      <c r="B352" s="38" t="n"/>
      <c r="C352" s="38" t="n"/>
      <c r="D352" s="38" t="n"/>
      <c r="E352" s="38" t="n"/>
      <c r="F352" s="56" t="n"/>
      <c r="G352" s="57" t="n"/>
      <c r="H352" s="58" t="n"/>
      <c r="I352" s="38" t="n"/>
      <c r="J352" s="38" t="n"/>
      <c r="K352" s="38" t="n"/>
      <c r="L352" s="38" t="n"/>
      <c r="M352" s="53">
        <f>IF(B352="","",COUNTIFS('JOBS'!$E$5:$E$1504,B352,'JOBS'!$O$5:$O$1504,"Completed"))</f>
        <v/>
      </c>
      <c r="N352" s="52">
        <f>IF(B352="","",IF(_xlfn.MAXIFS('JOBS'!$B$5:$B$1504,'JOBS'!$E$5:$E$1504,B352,'JOBS'!$O$5:$O$1504,"Completed")=0,"",_xlfn.MAXIFS('JOBS'!$B$5:$B$1504,'JOBS'!$E$5:$E$1504,B352,'JOBS'!$O$5:$O$1504,"Completed")))</f>
        <v/>
      </c>
      <c r="O352" s="54">
        <f>IF(B352="","",IFERROR(AVERAGEIFS('JOBS'!$L$5:$L$1504,'JOBS'!$E$5:$E$1504,B352,'JOBS'!$O$5:$O$1504,"Completed"),""))</f>
        <v/>
      </c>
    </row>
    <row r="353">
      <c r="A353" s="46" t="inlineStr">
        <is>
          <t>P-349</t>
        </is>
      </c>
      <c r="B353" s="38" t="n"/>
      <c r="C353" s="38" t="n"/>
      <c r="D353" s="38" t="n"/>
      <c r="E353" s="38" t="n"/>
      <c r="F353" s="56" t="n"/>
      <c r="G353" s="57" t="n"/>
      <c r="H353" s="58" t="n"/>
      <c r="I353" s="38" t="n"/>
      <c r="J353" s="38" t="n"/>
      <c r="K353" s="38" t="n"/>
      <c r="L353" s="38" t="n"/>
      <c r="M353" s="53">
        <f>IF(B353="","",COUNTIFS('JOBS'!$E$5:$E$1504,B353,'JOBS'!$O$5:$O$1504,"Completed"))</f>
        <v/>
      </c>
      <c r="N353" s="52">
        <f>IF(B353="","",IF(_xlfn.MAXIFS('JOBS'!$B$5:$B$1504,'JOBS'!$E$5:$E$1504,B353,'JOBS'!$O$5:$O$1504,"Completed")=0,"",_xlfn.MAXIFS('JOBS'!$B$5:$B$1504,'JOBS'!$E$5:$E$1504,B353,'JOBS'!$O$5:$O$1504,"Completed")))</f>
        <v/>
      </c>
      <c r="O353" s="54">
        <f>IF(B353="","",IFERROR(AVERAGEIFS('JOBS'!$L$5:$L$1504,'JOBS'!$E$5:$E$1504,B353,'JOBS'!$O$5:$O$1504,"Completed"),""))</f>
        <v/>
      </c>
    </row>
    <row r="354">
      <c r="A354" s="46" t="inlineStr">
        <is>
          <t>P-350</t>
        </is>
      </c>
      <c r="B354" s="38" t="n"/>
      <c r="C354" s="38" t="n"/>
      <c r="D354" s="38" t="n"/>
      <c r="E354" s="38" t="n"/>
      <c r="F354" s="56" t="n"/>
      <c r="G354" s="57" t="n"/>
      <c r="H354" s="58" t="n"/>
      <c r="I354" s="38" t="n"/>
      <c r="J354" s="38" t="n"/>
      <c r="K354" s="38" t="n"/>
      <c r="L354" s="38" t="n"/>
      <c r="M354" s="53">
        <f>IF(B354="","",COUNTIFS('JOBS'!$E$5:$E$1504,B354,'JOBS'!$O$5:$O$1504,"Completed"))</f>
        <v/>
      </c>
      <c r="N354" s="52">
        <f>IF(B354="","",IF(_xlfn.MAXIFS('JOBS'!$B$5:$B$1504,'JOBS'!$E$5:$E$1504,B354,'JOBS'!$O$5:$O$1504,"Completed")=0,"",_xlfn.MAXIFS('JOBS'!$B$5:$B$1504,'JOBS'!$E$5:$E$1504,B354,'JOBS'!$O$5:$O$1504,"Completed")))</f>
        <v/>
      </c>
      <c r="O354" s="54">
        <f>IF(B354="","",IFERROR(AVERAGEIFS('JOBS'!$L$5:$L$1504,'JOBS'!$E$5:$E$1504,B354,'JOBS'!$O$5:$O$1504,"Completed"),""))</f>
        <v/>
      </c>
    </row>
    <row r="355">
      <c r="A355" s="46" t="inlineStr">
        <is>
          <t>P-351</t>
        </is>
      </c>
      <c r="B355" s="38" t="n"/>
      <c r="C355" s="38" t="n"/>
      <c r="D355" s="38" t="n"/>
      <c r="E355" s="38" t="n"/>
      <c r="F355" s="56" t="n"/>
      <c r="G355" s="57" t="n"/>
      <c r="H355" s="58" t="n"/>
      <c r="I355" s="38" t="n"/>
      <c r="J355" s="38" t="n"/>
      <c r="K355" s="38" t="n"/>
      <c r="L355" s="38" t="n"/>
      <c r="M355" s="53">
        <f>IF(B355="","",COUNTIFS('JOBS'!$E$5:$E$1504,B355,'JOBS'!$O$5:$O$1504,"Completed"))</f>
        <v/>
      </c>
      <c r="N355" s="52">
        <f>IF(B355="","",IF(_xlfn.MAXIFS('JOBS'!$B$5:$B$1504,'JOBS'!$E$5:$E$1504,B355,'JOBS'!$O$5:$O$1504,"Completed")=0,"",_xlfn.MAXIFS('JOBS'!$B$5:$B$1504,'JOBS'!$E$5:$E$1504,B355,'JOBS'!$O$5:$O$1504,"Completed")))</f>
        <v/>
      </c>
      <c r="O355" s="54">
        <f>IF(B355="","",IFERROR(AVERAGEIFS('JOBS'!$L$5:$L$1504,'JOBS'!$E$5:$E$1504,B355,'JOBS'!$O$5:$O$1504,"Completed"),""))</f>
        <v/>
      </c>
    </row>
    <row r="356">
      <c r="A356" s="46" t="inlineStr">
        <is>
          <t>P-352</t>
        </is>
      </c>
      <c r="B356" s="38" t="n"/>
      <c r="C356" s="38" t="n"/>
      <c r="D356" s="38" t="n"/>
      <c r="E356" s="38" t="n"/>
      <c r="F356" s="56" t="n"/>
      <c r="G356" s="57" t="n"/>
      <c r="H356" s="58" t="n"/>
      <c r="I356" s="38" t="n"/>
      <c r="J356" s="38" t="n"/>
      <c r="K356" s="38" t="n"/>
      <c r="L356" s="38" t="n"/>
      <c r="M356" s="53">
        <f>IF(B356="","",COUNTIFS('JOBS'!$E$5:$E$1504,B356,'JOBS'!$O$5:$O$1504,"Completed"))</f>
        <v/>
      </c>
      <c r="N356" s="52">
        <f>IF(B356="","",IF(_xlfn.MAXIFS('JOBS'!$B$5:$B$1504,'JOBS'!$E$5:$E$1504,B356,'JOBS'!$O$5:$O$1504,"Completed")=0,"",_xlfn.MAXIFS('JOBS'!$B$5:$B$1504,'JOBS'!$E$5:$E$1504,B356,'JOBS'!$O$5:$O$1504,"Completed")))</f>
        <v/>
      </c>
      <c r="O356" s="54">
        <f>IF(B356="","",IFERROR(AVERAGEIFS('JOBS'!$L$5:$L$1504,'JOBS'!$E$5:$E$1504,B356,'JOBS'!$O$5:$O$1504,"Completed"),""))</f>
        <v/>
      </c>
    </row>
    <row r="357">
      <c r="A357" s="46" t="inlineStr">
        <is>
          <t>P-353</t>
        </is>
      </c>
      <c r="B357" s="38" t="n"/>
      <c r="C357" s="38" t="n"/>
      <c r="D357" s="38" t="n"/>
      <c r="E357" s="38" t="n"/>
      <c r="F357" s="56" t="n"/>
      <c r="G357" s="57" t="n"/>
      <c r="H357" s="58" t="n"/>
      <c r="I357" s="38" t="n"/>
      <c r="J357" s="38" t="n"/>
      <c r="K357" s="38" t="n"/>
      <c r="L357" s="38" t="n"/>
      <c r="M357" s="53">
        <f>IF(B357="","",COUNTIFS('JOBS'!$E$5:$E$1504,B357,'JOBS'!$O$5:$O$1504,"Completed"))</f>
        <v/>
      </c>
      <c r="N357" s="52">
        <f>IF(B357="","",IF(_xlfn.MAXIFS('JOBS'!$B$5:$B$1504,'JOBS'!$E$5:$E$1504,B357,'JOBS'!$O$5:$O$1504,"Completed")=0,"",_xlfn.MAXIFS('JOBS'!$B$5:$B$1504,'JOBS'!$E$5:$E$1504,B357,'JOBS'!$O$5:$O$1504,"Completed")))</f>
        <v/>
      </c>
      <c r="O357" s="54">
        <f>IF(B357="","",IFERROR(AVERAGEIFS('JOBS'!$L$5:$L$1504,'JOBS'!$E$5:$E$1504,B357,'JOBS'!$O$5:$O$1504,"Completed"),""))</f>
        <v/>
      </c>
    </row>
    <row r="358">
      <c r="A358" s="46" t="inlineStr">
        <is>
          <t>P-354</t>
        </is>
      </c>
      <c r="B358" s="38" t="n"/>
      <c r="C358" s="38" t="n"/>
      <c r="D358" s="38" t="n"/>
      <c r="E358" s="38" t="n"/>
      <c r="F358" s="56" t="n"/>
      <c r="G358" s="57" t="n"/>
      <c r="H358" s="58" t="n"/>
      <c r="I358" s="38" t="n"/>
      <c r="J358" s="38" t="n"/>
      <c r="K358" s="38" t="n"/>
      <c r="L358" s="38" t="n"/>
      <c r="M358" s="53">
        <f>IF(B358="","",COUNTIFS('JOBS'!$E$5:$E$1504,B358,'JOBS'!$O$5:$O$1504,"Completed"))</f>
        <v/>
      </c>
      <c r="N358" s="52">
        <f>IF(B358="","",IF(_xlfn.MAXIFS('JOBS'!$B$5:$B$1504,'JOBS'!$E$5:$E$1504,B358,'JOBS'!$O$5:$O$1504,"Completed")=0,"",_xlfn.MAXIFS('JOBS'!$B$5:$B$1504,'JOBS'!$E$5:$E$1504,B358,'JOBS'!$O$5:$O$1504,"Completed")))</f>
        <v/>
      </c>
      <c r="O358" s="54">
        <f>IF(B358="","",IFERROR(AVERAGEIFS('JOBS'!$L$5:$L$1504,'JOBS'!$E$5:$E$1504,B358,'JOBS'!$O$5:$O$1504,"Completed"),""))</f>
        <v/>
      </c>
    </row>
    <row r="359">
      <c r="A359" s="46" t="inlineStr">
        <is>
          <t>P-355</t>
        </is>
      </c>
      <c r="B359" s="38" t="n"/>
      <c r="C359" s="38" t="n"/>
      <c r="D359" s="38" t="n"/>
      <c r="E359" s="38" t="n"/>
      <c r="F359" s="56" t="n"/>
      <c r="G359" s="57" t="n"/>
      <c r="H359" s="58" t="n"/>
      <c r="I359" s="38" t="n"/>
      <c r="J359" s="38" t="n"/>
      <c r="K359" s="38" t="n"/>
      <c r="L359" s="38" t="n"/>
      <c r="M359" s="53">
        <f>IF(B359="","",COUNTIFS('JOBS'!$E$5:$E$1504,B359,'JOBS'!$O$5:$O$1504,"Completed"))</f>
        <v/>
      </c>
      <c r="N359" s="52">
        <f>IF(B359="","",IF(_xlfn.MAXIFS('JOBS'!$B$5:$B$1504,'JOBS'!$E$5:$E$1504,B359,'JOBS'!$O$5:$O$1504,"Completed")=0,"",_xlfn.MAXIFS('JOBS'!$B$5:$B$1504,'JOBS'!$E$5:$E$1504,B359,'JOBS'!$O$5:$O$1504,"Completed")))</f>
        <v/>
      </c>
      <c r="O359" s="54">
        <f>IF(B359="","",IFERROR(AVERAGEIFS('JOBS'!$L$5:$L$1504,'JOBS'!$E$5:$E$1504,B359,'JOBS'!$O$5:$O$1504,"Completed"),""))</f>
        <v/>
      </c>
    </row>
    <row r="360">
      <c r="A360" s="46" t="inlineStr">
        <is>
          <t>P-356</t>
        </is>
      </c>
      <c r="B360" s="38" t="n"/>
      <c r="C360" s="38" t="n"/>
      <c r="D360" s="38" t="n"/>
      <c r="E360" s="38" t="n"/>
      <c r="F360" s="56" t="n"/>
      <c r="G360" s="57" t="n"/>
      <c r="H360" s="58" t="n"/>
      <c r="I360" s="38" t="n"/>
      <c r="J360" s="38" t="n"/>
      <c r="K360" s="38" t="n"/>
      <c r="L360" s="38" t="n"/>
      <c r="M360" s="53">
        <f>IF(B360="","",COUNTIFS('JOBS'!$E$5:$E$1504,B360,'JOBS'!$O$5:$O$1504,"Completed"))</f>
        <v/>
      </c>
      <c r="N360" s="52">
        <f>IF(B360="","",IF(_xlfn.MAXIFS('JOBS'!$B$5:$B$1504,'JOBS'!$E$5:$E$1504,B360,'JOBS'!$O$5:$O$1504,"Completed")=0,"",_xlfn.MAXIFS('JOBS'!$B$5:$B$1504,'JOBS'!$E$5:$E$1504,B360,'JOBS'!$O$5:$O$1504,"Completed")))</f>
        <v/>
      </c>
      <c r="O360" s="54">
        <f>IF(B360="","",IFERROR(AVERAGEIFS('JOBS'!$L$5:$L$1504,'JOBS'!$E$5:$E$1504,B360,'JOBS'!$O$5:$O$1504,"Completed"),""))</f>
        <v/>
      </c>
    </row>
    <row r="361">
      <c r="A361" s="46" t="inlineStr">
        <is>
          <t>P-357</t>
        </is>
      </c>
      <c r="B361" s="38" t="n"/>
      <c r="C361" s="38" t="n"/>
      <c r="D361" s="38" t="n"/>
      <c r="E361" s="38" t="n"/>
      <c r="F361" s="56" t="n"/>
      <c r="G361" s="57" t="n"/>
      <c r="H361" s="58" t="n"/>
      <c r="I361" s="38" t="n"/>
      <c r="J361" s="38" t="n"/>
      <c r="K361" s="38" t="n"/>
      <c r="L361" s="38" t="n"/>
      <c r="M361" s="53">
        <f>IF(B361="","",COUNTIFS('JOBS'!$E$5:$E$1504,B361,'JOBS'!$O$5:$O$1504,"Completed"))</f>
        <v/>
      </c>
      <c r="N361" s="52">
        <f>IF(B361="","",IF(_xlfn.MAXIFS('JOBS'!$B$5:$B$1504,'JOBS'!$E$5:$E$1504,B361,'JOBS'!$O$5:$O$1504,"Completed")=0,"",_xlfn.MAXIFS('JOBS'!$B$5:$B$1504,'JOBS'!$E$5:$E$1504,B361,'JOBS'!$O$5:$O$1504,"Completed")))</f>
        <v/>
      </c>
      <c r="O361" s="54">
        <f>IF(B361="","",IFERROR(AVERAGEIFS('JOBS'!$L$5:$L$1504,'JOBS'!$E$5:$E$1504,B361,'JOBS'!$O$5:$O$1504,"Completed"),""))</f>
        <v/>
      </c>
    </row>
    <row r="362">
      <c r="A362" s="46" t="inlineStr">
        <is>
          <t>P-358</t>
        </is>
      </c>
      <c r="B362" s="38" t="n"/>
      <c r="C362" s="38" t="n"/>
      <c r="D362" s="38" t="n"/>
      <c r="E362" s="38" t="n"/>
      <c r="F362" s="56" t="n"/>
      <c r="G362" s="57" t="n"/>
      <c r="H362" s="58" t="n"/>
      <c r="I362" s="38" t="n"/>
      <c r="J362" s="38" t="n"/>
      <c r="K362" s="38" t="n"/>
      <c r="L362" s="38" t="n"/>
      <c r="M362" s="53">
        <f>IF(B362="","",COUNTIFS('JOBS'!$E$5:$E$1504,B362,'JOBS'!$O$5:$O$1504,"Completed"))</f>
        <v/>
      </c>
      <c r="N362" s="52">
        <f>IF(B362="","",IF(_xlfn.MAXIFS('JOBS'!$B$5:$B$1504,'JOBS'!$E$5:$E$1504,B362,'JOBS'!$O$5:$O$1504,"Completed")=0,"",_xlfn.MAXIFS('JOBS'!$B$5:$B$1504,'JOBS'!$E$5:$E$1504,B362,'JOBS'!$O$5:$O$1504,"Completed")))</f>
        <v/>
      </c>
      <c r="O362" s="54">
        <f>IF(B362="","",IFERROR(AVERAGEIFS('JOBS'!$L$5:$L$1504,'JOBS'!$E$5:$E$1504,B362,'JOBS'!$O$5:$O$1504,"Completed"),""))</f>
        <v/>
      </c>
    </row>
    <row r="363">
      <c r="A363" s="46" t="inlineStr">
        <is>
          <t>P-359</t>
        </is>
      </c>
      <c r="B363" s="38" t="n"/>
      <c r="C363" s="38" t="n"/>
      <c r="D363" s="38" t="n"/>
      <c r="E363" s="38" t="n"/>
      <c r="F363" s="56" t="n"/>
      <c r="G363" s="57" t="n"/>
      <c r="H363" s="58" t="n"/>
      <c r="I363" s="38" t="n"/>
      <c r="J363" s="38" t="n"/>
      <c r="K363" s="38" t="n"/>
      <c r="L363" s="38" t="n"/>
      <c r="M363" s="53">
        <f>IF(B363="","",COUNTIFS('JOBS'!$E$5:$E$1504,B363,'JOBS'!$O$5:$O$1504,"Completed"))</f>
        <v/>
      </c>
      <c r="N363" s="52">
        <f>IF(B363="","",IF(_xlfn.MAXIFS('JOBS'!$B$5:$B$1504,'JOBS'!$E$5:$E$1504,B363,'JOBS'!$O$5:$O$1504,"Completed")=0,"",_xlfn.MAXIFS('JOBS'!$B$5:$B$1504,'JOBS'!$E$5:$E$1504,B363,'JOBS'!$O$5:$O$1504,"Completed")))</f>
        <v/>
      </c>
      <c r="O363" s="54">
        <f>IF(B363="","",IFERROR(AVERAGEIFS('JOBS'!$L$5:$L$1504,'JOBS'!$E$5:$E$1504,B363,'JOBS'!$O$5:$O$1504,"Completed"),""))</f>
        <v/>
      </c>
    </row>
    <row r="364">
      <c r="A364" s="46" t="inlineStr">
        <is>
          <t>P-360</t>
        </is>
      </c>
      <c r="B364" s="38" t="n"/>
      <c r="C364" s="38" t="n"/>
      <c r="D364" s="38" t="n"/>
      <c r="E364" s="38" t="n"/>
      <c r="F364" s="56" t="n"/>
      <c r="G364" s="57" t="n"/>
      <c r="H364" s="58" t="n"/>
      <c r="I364" s="38" t="n"/>
      <c r="J364" s="38" t="n"/>
      <c r="K364" s="38" t="n"/>
      <c r="L364" s="38" t="n"/>
      <c r="M364" s="53">
        <f>IF(B364="","",COUNTIFS('JOBS'!$E$5:$E$1504,B364,'JOBS'!$O$5:$O$1504,"Completed"))</f>
        <v/>
      </c>
      <c r="N364" s="52">
        <f>IF(B364="","",IF(_xlfn.MAXIFS('JOBS'!$B$5:$B$1504,'JOBS'!$E$5:$E$1504,B364,'JOBS'!$O$5:$O$1504,"Completed")=0,"",_xlfn.MAXIFS('JOBS'!$B$5:$B$1504,'JOBS'!$E$5:$E$1504,B364,'JOBS'!$O$5:$O$1504,"Completed")))</f>
        <v/>
      </c>
      <c r="O364" s="54">
        <f>IF(B364="","",IFERROR(AVERAGEIFS('JOBS'!$L$5:$L$1504,'JOBS'!$E$5:$E$1504,B364,'JOBS'!$O$5:$O$1504,"Completed"),""))</f>
        <v/>
      </c>
    </row>
    <row r="365">
      <c r="A365" s="46" t="inlineStr">
        <is>
          <t>P-361</t>
        </is>
      </c>
      <c r="B365" s="38" t="n"/>
      <c r="C365" s="38" t="n"/>
      <c r="D365" s="38" t="n"/>
      <c r="E365" s="38" t="n"/>
      <c r="F365" s="56" t="n"/>
      <c r="G365" s="57" t="n"/>
      <c r="H365" s="58" t="n"/>
      <c r="I365" s="38" t="n"/>
      <c r="J365" s="38" t="n"/>
      <c r="K365" s="38" t="n"/>
      <c r="L365" s="38" t="n"/>
      <c r="M365" s="53">
        <f>IF(B365="","",COUNTIFS('JOBS'!$E$5:$E$1504,B365,'JOBS'!$O$5:$O$1504,"Completed"))</f>
        <v/>
      </c>
      <c r="N365" s="52">
        <f>IF(B365="","",IF(_xlfn.MAXIFS('JOBS'!$B$5:$B$1504,'JOBS'!$E$5:$E$1504,B365,'JOBS'!$O$5:$O$1504,"Completed")=0,"",_xlfn.MAXIFS('JOBS'!$B$5:$B$1504,'JOBS'!$E$5:$E$1504,B365,'JOBS'!$O$5:$O$1504,"Completed")))</f>
        <v/>
      </c>
      <c r="O365" s="54">
        <f>IF(B365="","",IFERROR(AVERAGEIFS('JOBS'!$L$5:$L$1504,'JOBS'!$E$5:$E$1504,B365,'JOBS'!$O$5:$O$1504,"Completed"),""))</f>
        <v/>
      </c>
    </row>
    <row r="366">
      <c r="A366" s="46" t="inlineStr">
        <is>
          <t>P-362</t>
        </is>
      </c>
      <c r="B366" s="38" t="n"/>
      <c r="C366" s="38" t="n"/>
      <c r="D366" s="38" t="n"/>
      <c r="E366" s="38" t="n"/>
      <c r="F366" s="56" t="n"/>
      <c r="G366" s="57" t="n"/>
      <c r="H366" s="58" t="n"/>
      <c r="I366" s="38" t="n"/>
      <c r="J366" s="38" t="n"/>
      <c r="K366" s="38" t="n"/>
      <c r="L366" s="38" t="n"/>
      <c r="M366" s="53">
        <f>IF(B366="","",COUNTIFS('JOBS'!$E$5:$E$1504,B366,'JOBS'!$O$5:$O$1504,"Completed"))</f>
        <v/>
      </c>
      <c r="N366" s="52">
        <f>IF(B366="","",IF(_xlfn.MAXIFS('JOBS'!$B$5:$B$1504,'JOBS'!$E$5:$E$1504,B366,'JOBS'!$O$5:$O$1504,"Completed")=0,"",_xlfn.MAXIFS('JOBS'!$B$5:$B$1504,'JOBS'!$E$5:$E$1504,B366,'JOBS'!$O$5:$O$1504,"Completed")))</f>
        <v/>
      </c>
      <c r="O366" s="54">
        <f>IF(B366="","",IFERROR(AVERAGEIFS('JOBS'!$L$5:$L$1504,'JOBS'!$E$5:$E$1504,B366,'JOBS'!$O$5:$O$1504,"Completed"),""))</f>
        <v/>
      </c>
    </row>
    <row r="367">
      <c r="A367" s="46" t="inlineStr">
        <is>
          <t>P-363</t>
        </is>
      </c>
      <c r="B367" s="38" t="n"/>
      <c r="C367" s="38" t="n"/>
      <c r="D367" s="38" t="n"/>
      <c r="E367" s="38" t="n"/>
      <c r="F367" s="56" t="n"/>
      <c r="G367" s="57" t="n"/>
      <c r="H367" s="58" t="n"/>
      <c r="I367" s="38" t="n"/>
      <c r="J367" s="38" t="n"/>
      <c r="K367" s="38" t="n"/>
      <c r="L367" s="38" t="n"/>
      <c r="M367" s="53">
        <f>IF(B367="","",COUNTIFS('JOBS'!$E$5:$E$1504,B367,'JOBS'!$O$5:$O$1504,"Completed"))</f>
        <v/>
      </c>
      <c r="N367" s="52">
        <f>IF(B367="","",IF(_xlfn.MAXIFS('JOBS'!$B$5:$B$1504,'JOBS'!$E$5:$E$1504,B367,'JOBS'!$O$5:$O$1504,"Completed")=0,"",_xlfn.MAXIFS('JOBS'!$B$5:$B$1504,'JOBS'!$E$5:$E$1504,B367,'JOBS'!$O$5:$O$1504,"Completed")))</f>
        <v/>
      </c>
      <c r="O367" s="54">
        <f>IF(B367="","",IFERROR(AVERAGEIFS('JOBS'!$L$5:$L$1504,'JOBS'!$E$5:$E$1504,B367,'JOBS'!$O$5:$O$1504,"Completed"),""))</f>
        <v/>
      </c>
    </row>
    <row r="368">
      <c r="A368" s="46" t="inlineStr">
        <is>
          <t>P-364</t>
        </is>
      </c>
      <c r="B368" s="38" t="n"/>
      <c r="C368" s="38" t="n"/>
      <c r="D368" s="38" t="n"/>
      <c r="E368" s="38" t="n"/>
      <c r="F368" s="56" t="n"/>
      <c r="G368" s="57" t="n"/>
      <c r="H368" s="58" t="n"/>
      <c r="I368" s="38" t="n"/>
      <c r="J368" s="38" t="n"/>
      <c r="K368" s="38" t="n"/>
      <c r="L368" s="38" t="n"/>
      <c r="M368" s="53">
        <f>IF(B368="","",COUNTIFS('JOBS'!$E$5:$E$1504,B368,'JOBS'!$O$5:$O$1504,"Completed"))</f>
        <v/>
      </c>
      <c r="N368" s="52">
        <f>IF(B368="","",IF(_xlfn.MAXIFS('JOBS'!$B$5:$B$1504,'JOBS'!$E$5:$E$1504,B368,'JOBS'!$O$5:$O$1504,"Completed")=0,"",_xlfn.MAXIFS('JOBS'!$B$5:$B$1504,'JOBS'!$E$5:$E$1504,B368,'JOBS'!$O$5:$O$1504,"Completed")))</f>
        <v/>
      </c>
      <c r="O368" s="54">
        <f>IF(B368="","",IFERROR(AVERAGEIFS('JOBS'!$L$5:$L$1504,'JOBS'!$E$5:$E$1504,B368,'JOBS'!$O$5:$O$1504,"Completed"),""))</f>
        <v/>
      </c>
    </row>
    <row r="369">
      <c r="A369" s="46" t="inlineStr">
        <is>
          <t>P-365</t>
        </is>
      </c>
      <c r="B369" s="38" t="n"/>
      <c r="C369" s="38" t="n"/>
      <c r="D369" s="38" t="n"/>
      <c r="E369" s="38" t="n"/>
      <c r="F369" s="56" t="n"/>
      <c r="G369" s="57" t="n"/>
      <c r="H369" s="58" t="n"/>
      <c r="I369" s="38" t="n"/>
      <c r="J369" s="38" t="n"/>
      <c r="K369" s="38" t="n"/>
      <c r="L369" s="38" t="n"/>
      <c r="M369" s="53">
        <f>IF(B369="","",COUNTIFS('JOBS'!$E$5:$E$1504,B369,'JOBS'!$O$5:$O$1504,"Completed"))</f>
        <v/>
      </c>
      <c r="N369" s="52">
        <f>IF(B369="","",IF(_xlfn.MAXIFS('JOBS'!$B$5:$B$1504,'JOBS'!$E$5:$E$1504,B369,'JOBS'!$O$5:$O$1504,"Completed")=0,"",_xlfn.MAXIFS('JOBS'!$B$5:$B$1504,'JOBS'!$E$5:$E$1504,B369,'JOBS'!$O$5:$O$1504,"Completed")))</f>
        <v/>
      </c>
      <c r="O369" s="54">
        <f>IF(B369="","",IFERROR(AVERAGEIFS('JOBS'!$L$5:$L$1504,'JOBS'!$E$5:$E$1504,B369,'JOBS'!$O$5:$O$1504,"Completed"),""))</f>
        <v/>
      </c>
    </row>
    <row r="370">
      <c r="A370" s="46" t="inlineStr">
        <is>
          <t>P-366</t>
        </is>
      </c>
      <c r="B370" s="38" t="n"/>
      <c r="C370" s="38" t="n"/>
      <c r="D370" s="38" t="n"/>
      <c r="E370" s="38" t="n"/>
      <c r="F370" s="56" t="n"/>
      <c r="G370" s="57" t="n"/>
      <c r="H370" s="58" t="n"/>
      <c r="I370" s="38" t="n"/>
      <c r="J370" s="38" t="n"/>
      <c r="K370" s="38" t="n"/>
      <c r="L370" s="38" t="n"/>
      <c r="M370" s="53">
        <f>IF(B370="","",COUNTIFS('JOBS'!$E$5:$E$1504,B370,'JOBS'!$O$5:$O$1504,"Completed"))</f>
        <v/>
      </c>
      <c r="N370" s="52">
        <f>IF(B370="","",IF(_xlfn.MAXIFS('JOBS'!$B$5:$B$1504,'JOBS'!$E$5:$E$1504,B370,'JOBS'!$O$5:$O$1504,"Completed")=0,"",_xlfn.MAXIFS('JOBS'!$B$5:$B$1504,'JOBS'!$E$5:$E$1504,B370,'JOBS'!$O$5:$O$1504,"Completed")))</f>
        <v/>
      </c>
      <c r="O370" s="54">
        <f>IF(B370="","",IFERROR(AVERAGEIFS('JOBS'!$L$5:$L$1504,'JOBS'!$E$5:$E$1504,B370,'JOBS'!$O$5:$O$1504,"Completed"),""))</f>
        <v/>
      </c>
    </row>
    <row r="371">
      <c r="A371" s="46" t="inlineStr">
        <is>
          <t>P-367</t>
        </is>
      </c>
      <c r="B371" s="38" t="n"/>
      <c r="C371" s="38" t="n"/>
      <c r="D371" s="38" t="n"/>
      <c r="E371" s="38" t="n"/>
      <c r="F371" s="56" t="n"/>
      <c r="G371" s="57" t="n"/>
      <c r="H371" s="58" t="n"/>
      <c r="I371" s="38" t="n"/>
      <c r="J371" s="38" t="n"/>
      <c r="K371" s="38" t="n"/>
      <c r="L371" s="38" t="n"/>
      <c r="M371" s="53">
        <f>IF(B371="","",COUNTIFS('JOBS'!$E$5:$E$1504,B371,'JOBS'!$O$5:$O$1504,"Completed"))</f>
        <v/>
      </c>
      <c r="N371" s="52">
        <f>IF(B371="","",IF(_xlfn.MAXIFS('JOBS'!$B$5:$B$1504,'JOBS'!$E$5:$E$1504,B371,'JOBS'!$O$5:$O$1504,"Completed")=0,"",_xlfn.MAXIFS('JOBS'!$B$5:$B$1504,'JOBS'!$E$5:$E$1504,B371,'JOBS'!$O$5:$O$1504,"Completed")))</f>
        <v/>
      </c>
      <c r="O371" s="54">
        <f>IF(B371="","",IFERROR(AVERAGEIFS('JOBS'!$L$5:$L$1504,'JOBS'!$E$5:$E$1504,B371,'JOBS'!$O$5:$O$1504,"Completed"),""))</f>
        <v/>
      </c>
    </row>
    <row r="372">
      <c r="A372" s="46" t="inlineStr">
        <is>
          <t>P-368</t>
        </is>
      </c>
      <c r="B372" s="38" t="n"/>
      <c r="C372" s="38" t="n"/>
      <c r="D372" s="38" t="n"/>
      <c r="E372" s="38" t="n"/>
      <c r="F372" s="56" t="n"/>
      <c r="G372" s="57" t="n"/>
      <c r="H372" s="58" t="n"/>
      <c r="I372" s="38" t="n"/>
      <c r="J372" s="38" t="n"/>
      <c r="K372" s="38" t="n"/>
      <c r="L372" s="38" t="n"/>
      <c r="M372" s="53">
        <f>IF(B372="","",COUNTIFS('JOBS'!$E$5:$E$1504,B372,'JOBS'!$O$5:$O$1504,"Completed"))</f>
        <v/>
      </c>
      <c r="N372" s="52">
        <f>IF(B372="","",IF(_xlfn.MAXIFS('JOBS'!$B$5:$B$1504,'JOBS'!$E$5:$E$1504,B372,'JOBS'!$O$5:$O$1504,"Completed")=0,"",_xlfn.MAXIFS('JOBS'!$B$5:$B$1504,'JOBS'!$E$5:$E$1504,B372,'JOBS'!$O$5:$O$1504,"Completed")))</f>
        <v/>
      </c>
      <c r="O372" s="54">
        <f>IF(B372="","",IFERROR(AVERAGEIFS('JOBS'!$L$5:$L$1504,'JOBS'!$E$5:$E$1504,B372,'JOBS'!$O$5:$O$1504,"Completed"),""))</f>
        <v/>
      </c>
    </row>
    <row r="373">
      <c r="A373" s="46" t="inlineStr">
        <is>
          <t>P-369</t>
        </is>
      </c>
      <c r="B373" s="38" t="n"/>
      <c r="C373" s="38" t="n"/>
      <c r="D373" s="38" t="n"/>
      <c r="E373" s="38" t="n"/>
      <c r="F373" s="56" t="n"/>
      <c r="G373" s="57" t="n"/>
      <c r="H373" s="58" t="n"/>
      <c r="I373" s="38" t="n"/>
      <c r="J373" s="38" t="n"/>
      <c r="K373" s="38" t="n"/>
      <c r="L373" s="38" t="n"/>
      <c r="M373" s="53">
        <f>IF(B373="","",COUNTIFS('JOBS'!$E$5:$E$1504,B373,'JOBS'!$O$5:$O$1504,"Completed"))</f>
        <v/>
      </c>
      <c r="N373" s="52">
        <f>IF(B373="","",IF(_xlfn.MAXIFS('JOBS'!$B$5:$B$1504,'JOBS'!$E$5:$E$1504,B373,'JOBS'!$O$5:$O$1504,"Completed")=0,"",_xlfn.MAXIFS('JOBS'!$B$5:$B$1504,'JOBS'!$E$5:$E$1504,B373,'JOBS'!$O$5:$O$1504,"Completed")))</f>
        <v/>
      </c>
      <c r="O373" s="54">
        <f>IF(B373="","",IFERROR(AVERAGEIFS('JOBS'!$L$5:$L$1504,'JOBS'!$E$5:$E$1504,B373,'JOBS'!$O$5:$O$1504,"Completed"),""))</f>
        <v/>
      </c>
    </row>
    <row r="374">
      <c r="A374" s="46" t="inlineStr">
        <is>
          <t>P-370</t>
        </is>
      </c>
      <c r="B374" s="38" t="n"/>
      <c r="C374" s="38" t="n"/>
      <c r="D374" s="38" t="n"/>
      <c r="E374" s="38" t="n"/>
      <c r="F374" s="56" t="n"/>
      <c r="G374" s="57" t="n"/>
      <c r="H374" s="58" t="n"/>
      <c r="I374" s="38" t="n"/>
      <c r="J374" s="38" t="n"/>
      <c r="K374" s="38" t="n"/>
      <c r="L374" s="38" t="n"/>
      <c r="M374" s="53">
        <f>IF(B374="","",COUNTIFS('JOBS'!$E$5:$E$1504,B374,'JOBS'!$O$5:$O$1504,"Completed"))</f>
        <v/>
      </c>
      <c r="N374" s="52">
        <f>IF(B374="","",IF(_xlfn.MAXIFS('JOBS'!$B$5:$B$1504,'JOBS'!$E$5:$E$1504,B374,'JOBS'!$O$5:$O$1504,"Completed")=0,"",_xlfn.MAXIFS('JOBS'!$B$5:$B$1504,'JOBS'!$E$5:$E$1504,B374,'JOBS'!$O$5:$O$1504,"Completed")))</f>
        <v/>
      </c>
      <c r="O374" s="54">
        <f>IF(B374="","",IFERROR(AVERAGEIFS('JOBS'!$L$5:$L$1504,'JOBS'!$E$5:$E$1504,B374,'JOBS'!$O$5:$O$1504,"Completed"),""))</f>
        <v/>
      </c>
    </row>
    <row r="375">
      <c r="A375" s="46" t="inlineStr">
        <is>
          <t>P-371</t>
        </is>
      </c>
      <c r="B375" s="38" t="n"/>
      <c r="C375" s="38" t="n"/>
      <c r="D375" s="38" t="n"/>
      <c r="E375" s="38" t="n"/>
      <c r="F375" s="56" t="n"/>
      <c r="G375" s="57" t="n"/>
      <c r="H375" s="58" t="n"/>
      <c r="I375" s="38" t="n"/>
      <c r="J375" s="38" t="n"/>
      <c r="K375" s="38" t="n"/>
      <c r="L375" s="38" t="n"/>
      <c r="M375" s="53">
        <f>IF(B375="","",COUNTIFS('JOBS'!$E$5:$E$1504,B375,'JOBS'!$O$5:$O$1504,"Completed"))</f>
        <v/>
      </c>
      <c r="N375" s="52">
        <f>IF(B375="","",IF(_xlfn.MAXIFS('JOBS'!$B$5:$B$1504,'JOBS'!$E$5:$E$1504,B375,'JOBS'!$O$5:$O$1504,"Completed")=0,"",_xlfn.MAXIFS('JOBS'!$B$5:$B$1504,'JOBS'!$E$5:$E$1504,B375,'JOBS'!$O$5:$O$1504,"Completed")))</f>
        <v/>
      </c>
      <c r="O375" s="54">
        <f>IF(B375="","",IFERROR(AVERAGEIFS('JOBS'!$L$5:$L$1504,'JOBS'!$E$5:$E$1504,B375,'JOBS'!$O$5:$O$1504,"Completed"),""))</f>
        <v/>
      </c>
    </row>
    <row r="376">
      <c r="A376" s="46" t="inlineStr">
        <is>
          <t>P-372</t>
        </is>
      </c>
      <c r="B376" s="38" t="n"/>
      <c r="C376" s="38" t="n"/>
      <c r="D376" s="38" t="n"/>
      <c r="E376" s="38" t="n"/>
      <c r="F376" s="56" t="n"/>
      <c r="G376" s="57" t="n"/>
      <c r="H376" s="58" t="n"/>
      <c r="I376" s="38" t="n"/>
      <c r="J376" s="38" t="n"/>
      <c r="K376" s="38" t="n"/>
      <c r="L376" s="38" t="n"/>
      <c r="M376" s="53">
        <f>IF(B376="","",COUNTIFS('JOBS'!$E$5:$E$1504,B376,'JOBS'!$O$5:$O$1504,"Completed"))</f>
        <v/>
      </c>
      <c r="N376" s="52">
        <f>IF(B376="","",IF(_xlfn.MAXIFS('JOBS'!$B$5:$B$1504,'JOBS'!$E$5:$E$1504,B376,'JOBS'!$O$5:$O$1504,"Completed")=0,"",_xlfn.MAXIFS('JOBS'!$B$5:$B$1504,'JOBS'!$E$5:$E$1504,B376,'JOBS'!$O$5:$O$1504,"Completed")))</f>
        <v/>
      </c>
      <c r="O376" s="54">
        <f>IF(B376="","",IFERROR(AVERAGEIFS('JOBS'!$L$5:$L$1504,'JOBS'!$E$5:$E$1504,B376,'JOBS'!$O$5:$O$1504,"Completed"),""))</f>
        <v/>
      </c>
    </row>
    <row r="377">
      <c r="A377" s="46" t="inlineStr">
        <is>
          <t>P-373</t>
        </is>
      </c>
      <c r="B377" s="38" t="n"/>
      <c r="C377" s="38" t="n"/>
      <c r="D377" s="38" t="n"/>
      <c r="E377" s="38" t="n"/>
      <c r="F377" s="56" t="n"/>
      <c r="G377" s="57" t="n"/>
      <c r="H377" s="58" t="n"/>
      <c r="I377" s="38" t="n"/>
      <c r="J377" s="38" t="n"/>
      <c r="K377" s="38" t="n"/>
      <c r="L377" s="38" t="n"/>
      <c r="M377" s="53">
        <f>IF(B377="","",COUNTIFS('JOBS'!$E$5:$E$1504,B377,'JOBS'!$O$5:$O$1504,"Completed"))</f>
        <v/>
      </c>
      <c r="N377" s="52">
        <f>IF(B377="","",IF(_xlfn.MAXIFS('JOBS'!$B$5:$B$1504,'JOBS'!$E$5:$E$1504,B377,'JOBS'!$O$5:$O$1504,"Completed")=0,"",_xlfn.MAXIFS('JOBS'!$B$5:$B$1504,'JOBS'!$E$5:$E$1504,B377,'JOBS'!$O$5:$O$1504,"Completed")))</f>
        <v/>
      </c>
      <c r="O377" s="54">
        <f>IF(B377="","",IFERROR(AVERAGEIFS('JOBS'!$L$5:$L$1504,'JOBS'!$E$5:$E$1504,B377,'JOBS'!$O$5:$O$1504,"Completed"),""))</f>
        <v/>
      </c>
    </row>
    <row r="378">
      <c r="A378" s="46" t="inlineStr">
        <is>
          <t>P-374</t>
        </is>
      </c>
      <c r="B378" s="38" t="n"/>
      <c r="C378" s="38" t="n"/>
      <c r="D378" s="38" t="n"/>
      <c r="E378" s="38" t="n"/>
      <c r="F378" s="56" t="n"/>
      <c r="G378" s="57" t="n"/>
      <c r="H378" s="58" t="n"/>
      <c r="I378" s="38" t="n"/>
      <c r="J378" s="38" t="n"/>
      <c r="K378" s="38" t="n"/>
      <c r="L378" s="38" t="n"/>
      <c r="M378" s="53">
        <f>IF(B378="","",COUNTIFS('JOBS'!$E$5:$E$1504,B378,'JOBS'!$O$5:$O$1504,"Completed"))</f>
        <v/>
      </c>
      <c r="N378" s="52">
        <f>IF(B378="","",IF(_xlfn.MAXIFS('JOBS'!$B$5:$B$1504,'JOBS'!$E$5:$E$1504,B378,'JOBS'!$O$5:$O$1504,"Completed")=0,"",_xlfn.MAXIFS('JOBS'!$B$5:$B$1504,'JOBS'!$E$5:$E$1504,B378,'JOBS'!$O$5:$O$1504,"Completed")))</f>
        <v/>
      </c>
      <c r="O378" s="54">
        <f>IF(B378="","",IFERROR(AVERAGEIFS('JOBS'!$L$5:$L$1504,'JOBS'!$E$5:$E$1504,B378,'JOBS'!$O$5:$O$1504,"Completed"),""))</f>
        <v/>
      </c>
    </row>
    <row r="379">
      <c r="A379" s="46" t="inlineStr">
        <is>
          <t>P-375</t>
        </is>
      </c>
      <c r="B379" s="38" t="n"/>
      <c r="C379" s="38" t="n"/>
      <c r="D379" s="38" t="n"/>
      <c r="E379" s="38" t="n"/>
      <c r="F379" s="56" t="n"/>
      <c r="G379" s="57" t="n"/>
      <c r="H379" s="58" t="n"/>
      <c r="I379" s="38" t="n"/>
      <c r="J379" s="38" t="n"/>
      <c r="K379" s="38" t="n"/>
      <c r="L379" s="38" t="n"/>
      <c r="M379" s="53">
        <f>IF(B379="","",COUNTIFS('JOBS'!$E$5:$E$1504,B379,'JOBS'!$O$5:$O$1504,"Completed"))</f>
        <v/>
      </c>
      <c r="N379" s="52">
        <f>IF(B379="","",IF(_xlfn.MAXIFS('JOBS'!$B$5:$B$1504,'JOBS'!$E$5:$E$1504,B379,'JOBS'!$O$5:$O$1504,"Completed")=0,"",_xlfn.MAXIFS('JOBS'!$B$5:$B$1504,'JOBS'!$E$5:$E$1504,B379,'JOBS'!$O$5:$O$1504,"Completed")))</f>
        <v/>
      </c>
      <c r="O379" s="54">
        <f>IF(B379="","",IFERROR(AVERAGEIFS('JOBS'!$L$5:$L$1504,'JOBS'!$E$5:$E$1504,B379,'JOBS'!$O$5:$O$1504,"Completed"),""))</f>
        <v/>
      </c>
    </row>
    <row r="380">
      <c r="A380" s="46" t="inlineStr">
        <is>
          <t>P-376</t>
        </is>
      </c>
      <c r="B380" s="38" t="n"/>
      <c r="C380" s="38" t="n"/>
      <c r="D380" s="38" t="n"/>
      <c r="E380" s="38" t="n"/>
      <c r="F380" s="56" t="n"/>
      <c r="G380" s="57" t="n"/>
      <c r="H380" s="58" t="n"/>
      <c r="I380" s="38" t="n"/>
      <c r="J380" s="38" t="n"/>
      <c r="K380" s="38" t="n"/>
      <c r="L380" s="38" t="n"/>
      <c r="M380" s="53">
        <f>IF(B380="","",COUNTIFS('JOBS'!$E$5:$E$1504,B380,'JOBS'!$O$5:$O$1504,"Completed"))</f>
        <v/>
      </c>
      <c r="N380" s="52">
        <f>IF(B380="","",IF(_xlfn.MAXIFS('JOBS'!$B$5:$B$1504,'JOBS'!$E$5:$E$1504,B380,'JOBS'!$O$5:$O$1504,"Completed")=0,"",_xlfn.MAXIFS('JOBS'!$B$5:$B$1504,'JOBS'!$E$5:$E$1504,B380,'JOBS'!$O$5:$O$1504,"Completed")))</f>
        <v/>
      </c>
      <c r="O380" s="54">
        <f>IF(B380="","",IFERROR(AVERAGEIFS('JOBS'!$L$5:$L$1504,'JOBS'!$E$5:$E$1504,B380,'JOBS'!$O$5:$O$1504,"Completed"),""))</f>
        <v/>
      </c>
    </row>
    <row r="381">
      <c r="A381" s="46" t="inlineStr">
        <is>
          <t>P-377</t>
        </is>
      </c>
      <c r="B381" s="38" t="n"/>
      <c r="C381" s="38" t="n"/>
      <c r="D381" s="38" t="n"/>
      <c r="E381" s="38" t="n"/>
      <c r="F381" s="56" t="n"/>
      <c r="G381" s="57" t="n"/>
      <c r="H381" s="58" t="n"/>
      <c r="I381" s="38" t="n"/>
      <c r="J381" s="38" t="n"/>
      <c r="K381" s="38" t="n"/>
      <c r="L381" s="38" t="n"/>
      <c r="M381" s="53">
        <f>IF(B381="","",COUNTIFS('JOBS'!$E$5:$E$1504,B381,'JOBS'!$O$5:$O$1504,"Completed"))</f>
        <v/>
      </c>
      <c r="N381" s="52">
        <f>IF(B381="","",IF(_xlfn.MAXIFS('JOBS'!$B$5:$B$1504,'JOBS'!$E$5:$E$1504,B381,'JOBS'!$O$5:$O$1504,"Completed")=0,"",_xlfn.MAXIFS('JOBS'!$B$5:$B$1504,'JOBS'!$E$5:$E$1504,B381,'JOBS'!$O$5:$O$1504,"Completed")))</f>
        <v/>
      </c>
      <c r="O381" s="54">
        <f>IF(B381="","",IFERROR(AVERAGEIFS('JOBS'!$L$5:$L$1504,'JOBS'!$E$5:$E$1504,B381,'JOBS'!$O$5:$O$1504,"Completed"),""))</f>
        <v/>
      </c>
    </row>
    <row r="382">
      <c r="A382" s="46" t="inlineStr">
        <is>
          <t>P-378</t>
        </is>
      </c>
      <c r="B382" s="38" t="n"/>
      <c r="C382" s="38" t="n"/>
      <c r="D382" s="38" t="n"/>
      <c r="E382" s="38" t="n"/>
      <c r="F382" s="56" t="n"/>
      <c r="G382" s="57" t="n"/>
      <c r="H382" s="58" t="n"/>
      <c r="I382" s="38" t="n"/>
      <c r="J382" s="38" t="n"/>
      <c r="K382" s="38" t="n"/>
      <c r="L382" s="38" t="n"/>
      <c r="M382" s="53">
        <f>IF(B382="","",COUNTIFS('JOBS'!$E$5:$E$1504,B382,'JOBS'!$O$5:$O$1504,"Completed"))</f>
        <v/>
      </c>
      <c r="N382" s="52">
        <f>IF(B382="","",IF(_xlfn.MAXIFS('JOBS'!$B$5:$B$1504,'JOBS'!$E$5:$E$1504,B382,'JOBS'!$O$5:$O$1504,"Completed")=0,"",_xlfn.MAXIFS('JOBS'!$B$5:$B$1504,'JOBS'!$E$5:$E$1504,B382,'JOBS'!$O$5:$O$1504,"Completed")))</f>
        <v/>
      </c>
      <c r="O382" s="54">
        <f>IF(B382="","",IFERROR(AVERAGEIFS('JOBS'!$L$5:$L$1504,'JOBS'!$E$5:$E$1504,B382,'JOBS'!$O$5:$O$1504,"Completed"),""))</f>
        <v/>
      </c>
    </row>
    <row r="383">
      <c r="A383" s="46" t="inlineStr">
        <is>
          <t>P-379</t>
        </is>
      </c>
      <c r="B383" s="38" t="n"/>
      <c r="C383" s="38" t="n"/>
      <c r="D383" s="38" t="n"/>
      <c r="E383" s="38" t="n"/>
      <c r="F383" s="56" t="n"/>
      <c r="G383" s="57" t="n"/>
      <c r="H383" s="58" t="n"/>
      <c r="I383" s="38" t="n"/>
      <c r="J383" s="38" t="n"/>
      <c r="K383" s="38" t="n"/>
      <c r="L383" s="38" t="n"/>
      <c r="M383" s="53">
        <f>IF(B383="","",COUNTIFS('JOBS'!$E$5:$E$1504,B383,'JOBS'!$O$5:$O$1504,"Completed"))</f>
        <v/>
      </c>
      <c r="N383" s="52">
        <f>IF(B383="","",IF(_xlfn.MAXIFS('JOBS'!$B$5:$B$1504,'JOBS'!$E$5:$E$1504,B383,'JOBS'!$O$5:$O$1504,"Completed")=0,"",_xlfn.MAXIFS('JOBS'!$B$5:$B$1504,'JOBS'!$E$5:$E$1504,B383,'JOBS'!$O$5:$O$1504,"Completed")))</f>
        <v/>
      </c>
      <c r="O383" s="54">
        <f>IF(B383="","",IFERROR(AVERAGEIFS('JOBS'!$L$5:$L$1504,'JOBS'!$E$5:$E$1504,B383,'JOBS'!$O$5:$O$1504,"Completed"),""))</f>
        <v/>
      </c>
    </row>
    <row r="384">
      <c r="A384" s="46" t="inlineStr">
        <is>
          <t>P-380</t>
        </is>
      </c>
      <c r="B384" s="38" t="n"/>
      <c r="C384" s="38" t="n"/>
      <c r="D384" s="38" t="n"/>
      <c r="E384" s="38" t="n"/>
      <c r="F384" s="56" t="n"/>
      <c r="G384" s="57" t="n"/>
      <c r="H384" s="58" t="n"/>
      <c r="I384" s="38" t="n"/>
      <c r="J384" s="38" t="n"/>
      <c r="K384" s="38" t="n"/>
      <c r="L384" s="38" t="n"/>
      <c r="M384" s="53">
        <f>IF(B384="","",COUNTIFS('JOBS'!$E$5:$E$1504,B384,'JOBS'!$O$5:$O$1504,"Completed"))</f>
        <v/>
      </c>
      <c r="N384" s="52">
        <f>IF(B384="","",IF(_xlfn.MAXIFS('JOBS'!$B$5:$B$1504,'JOBS'!$E$5:$E$1504,B384,'JOBS'!$O$5:$O$1504,"Completed")=0,"",_xlfn.MAXIFS('JOBS'!$B$5:$B$1504,'JOBS'!$E$5:$E$1504,B384,'JOBS'!$O$5:$O$1504,"Completed")))</f>
        <v/>
      </c>
      <c r="O384" s="54">
        <f>IF(B384="","",IFERROR(AVERAGEIFS('JOBS'!$L$5:$L$1504,'JOBS'!$E$5:$E$1504,B384,'JOBS'!$O$5:$O$1504,"Completed"),""))</f>
        <v/>
      </c>
    </row>
    <row r="385">
      <c r="A385" s="46" t="inlineStr">
        <is>
          <t>P-381</t>
        </is>
      </c>
      <c r="B385" s="38" t="n"/>
      <c r="C385" s="38" t="n"/>
      <c r="D385" s="38" t="n"/>
      <c r="E385" s="38" t="n"/>
      <c r="F385" s="56" t="n"/>
      <c r="G385" s="57" t="n"/>
      <c r="H385" s="58" t="n"/>
      <c r="I385" s="38" t="n"/>
      <c r="J385" s="38" t="n"/>
      <c r="K385" s="38" t="n"/>
      <c r="L385" s="38" t="n"/>
      <c r="M385" s="53">
        <f>IF(B385="","",COUNTIFS('JOBS'!$E$5:$E$1504,B385,'JOBS'!$O$5:$O$1504,"Completed"))</f>
        <v/>
      </c>
      <c r="N385" s="52">
        <f>IF(B385="","",IF(_xlfn.MAXIFS('JOBS'!$B$5:$B$1504,'JOBS'!$E$5:$E$1504,B385,'JOBS'!$O$5:$O$1504,"Completed")=0,"",_xlfn.MAXIFS('JOBS'!$B$5:$B$1504,'JOBS'!$E$5:$E$1504,B385,'JOBS'!$O$5:$O$1504,"Completed")))</f>
        <v/>
      </c>
      <c r="O385" s="54">
        <f>IF(B385="","",IFERROR(AVERAGEIFS('JOBS'!$L$5:$L$1504,'JOBS'!$E$5:$E$1504,B385,'JOBS'!$O$5:$O$1504,"Completed"),""))</f>
        <v/>
      </c>
    </row>
    <row r="386">
      <c r="A386" s="46" t="inlineStr">
        <is>
          <t>P-382</t>
        </is>
      </c>
      <c r="B386" s="38" t="n"/>
      <c r="C386" s="38" t="n"/>
      <c r="D386" s="38" t="n"/>
      <c r="E386" s="38" t="n"/>
      <c r="F386" s="56" t="n"/>
      <c r="G386" s="57" t="n"/>
      <c r="H386" s="58" t="n"/>
      <c r="I386" s="38" t="n"/>
      <c r="J386" s="38" t="n"/>
      <c r="K386" s="38" t="n"/>
      <c r="L386" s="38" t="n"/>
      <c r="M386" s="53">
        <f>IF(B386="","",COUNTIFS('JOBS'!$E$5:$E$1504,B386,'JOBS'!$O$5:$O$1504,"Completed"))</f>
        <v/>
      </c>
      <c r="N386" s="52">
        <f>IF(B386="","",IF(_xlfn.MAXIFS('JOBS'!$B$5:$B$1504,'JOBS'!$E$5:$E$1504,B386,'JOBS'!$O$5:$O$1504,"Completed")=0,"",_xlfn.MAXIFS('JOBS'!$B$5:$B$1504,'JOBS'!$E$5:$E$1504,B386,'JOBS'!$O$5:$O$1504,"Completed")))</f>
        <v/>
      </c>
      <c r="O386" s="54">
        <f>IF(B386="","",IFERROR(AVERAGEIFS('JOBS'!$L$5:$L$1504,'JOBS'!$E$5:$E$1504,B386,'JOBS'!$O$5:$O$1504,"Completed"),""))</f>
        <v/>
      </c>
    </row>
    <row r="387">
      <c r="A387" s="46" t="inlineStr">
        <is>
          <t>P-383</t>
        </is>
      </c>
      <c r="B387" s="38" t="n"/>
      <c r="C387" s="38" t="n"/>
      <c r="D387" s="38" t="n"/>
      <c r="E387" s="38" t="n"/>
      <c r="F387" s="56" t="n"/>
      <c r="G387" s="57" t="n"/>
      <c r="H387" s="58" t="n"/>
      <c r="I387" s="38" t="n"/>
      <c r="J387" s="38" t="n"/>
      <c r="K387" s="38" t="n"/>
      <c r="L387" s="38" t="n"/>
      <c r="M387" s="53">
        <f>IF(B387="","",COUNTIFS('JOBS'!$E$5:$E$1504,B387,'JOBS'!$O$5:$O$1504,"Completed"))</f>
        <v/>
      </c>
      <c r="N387" s="52">
        <f>IF(B387="","",IF(_xlfn.MAXIFS('JOBS'!$B$5:$B$1504,'JOBS'!$E$5:$E$1504,B387,'JOBS'!$O$5:$O$1504,"Completed")=0,"",_xlfn.MAXIFS('JOBS'!$B$5:$B$1504,'JOBS'!$E$5:$E$1504,B387,'JOBS'!$O$5:$O$1504,"Completed")))</f>
        <v/>
      </c>
      <c r="O387" s="54">
        <f>IF(B387="","",IFERROR(AVERAGEIFS('JOBS'!$L$5:$L$1504,'JOBS'!$E$5:$E$1504,B387,'JOBS'!$O$5:$O$1504,"Completed"),""))</f>
        <v/>
      </c>
    </row>
    <row r="388">
      <c r="A388" s="46" t="inlineStr">
        <is>
          <t>P-384</t>
        </is>
      </c>
      <c r="B388" s="38" t="n"/>
      <c r="C388" s="38" t="n"/>
      <c r="D388" s="38" t="n"/>
      <c r="E388" s="38" t="n"/>
      <c r="F388" s="56" t="n"/>
      <c r="G388" s="57" t="n"/>
      <c r="H388" s="58" t="n"/>
      <c r="I388" s="38" t="n"/>
      <c r="J388" s="38" t="n"/>
      <c r="K388" s="38" t="n"/>
      <c r="L388" s="38" t="n"/>
      <c r="M388" s="53">
        <f>IF(B388="","",COUNTIFS('JOBS'!$E$5:$E$1504,B388,'JOBS'!$O$5:$O$1504,"Completed"))</f>
        <v/>
      </c>
      <c r="N388" s="52">
        <f>IF(B388="","",IF(_xlfn.MAXIFS('JOBS'!$B$5:$B$1504,'JOBS'!$E$5:$E$1504,B388,'JOBS'!$O$5:$O$1504,"Completed")=0,"",_xlfn.MAXIFS('JOBS'!$B$5:$B$1504,'JOBS'!$E$5:$E$1504,B388,'JOBS'!$O$5:$O$1504,"Completed")))</f>
        <v/>
      </c>
      <c r="O388" s="54">
        <f>IF(B388="","",IFERROR(AVERAGEIFS('JOBS'!$L$5:$L$1504,'JOBS'!$E$5:$E$1504,B388,'JOBS'!$O$5:$O$1504,"Completed"),""))</f>
        <v/>
      </c>
    </row>
    <row r="389">
      <c r="A389" s="46" t="inlineStr">
        <is>
          <t>P-385</t>
        </is>
      </c>
      <c r="B389" s="38" t="n"/>
      <c r="C389" s="38" t="n"/>
      <c r="D389" s="38" t="n"/>
      <c r="E389" s="38" t="n"/>
      <c r="F389" s="56" t="n"/>
      <c r="G389" s="57" t="n"/>
      <c r="H389" s="58" t="n"/>
      <c r="I389" s="38" t="n"/>
      <c r="J389" s="38" t="n"/>
      <c r="K389" s="38" t="n"/>
      <c r="L389" s="38" t="n"/>
      <c r="M389" s="53">
        <f>IF(B389="","",COUNTIFS('JOBS'!$E$5:$E$1504,B389,'JOBS'!$O$5:$O$1504,"Completed"))</f>
        <v/>
      </c>
      <c r="N389" s="52">
        <f>IF(B389="","",IF(_xlfn.MAXIFS('JOBS'!$B$5:$B$1504,'JOBS'!$E$5:$E$1504,B389,'JOBS'!$O$5:$O$1504,"Completed")=0,"",_xlfn.MAXIFS('JOBS'!$B$5:$B$1504,'JOBS'!$E$5:$E$1504,B389,'JOBS'!$O$5:$O$1504,"Completed")))</f>
        <v/>
      </c>
      <c r="O389" s="54">
        <f>IF(B389="","",IFERROR(AVERAGEIFS('JOBS'!$L$5:$L$1504,'JOBS'!$E$5:$E$1504,B389,'JOBS'!$O$5:$O$1504,"Completed"),""))</f>
        <v/>
      </c>
    </row>
    <row r="390">
      <c r="A390" s="46" t="inlineStr">
        <is>
          <t>P-386</t>
        </is>
      </c>
      <c r="B390" s="38" t="n"/>
      <c r="C390" s="38" t="n"/>
      <c r="D390" s="38" t="n"/>
      <c r="E390" s="38" t="n"/>
      <c r="F390" s="56" t="n"/>
      <c r="G390" s="57" t="n"/>
      <c r="H390" s="58" t="n"/>
      <c r="I390" s="38" t="n"/>
      <c r="J390" s="38" t="n"/>
      <c r="K390" s="38" t="n"/>
      <c r="L390" s="38" t="n"/>
      <c r="M390" s="53">
        <f>IF(B390="","",COUNTIFS('JOBS'!$E$5:$E$1504,B390,'JOBS'!$O$5:$O$1504,"Completed"))</f>
        <v/>
      </c>
      <c r="N390" s="52">
        <f>IF(B390="","",IF(_xlfn.MAXIFS('JOBS'!$B$5:$B$1504,'JOBS'!$E$5:$E$1504,B390,'JOBS'!$O$5:$O$1504,"Completed")=0,"",_xlfn.MAXIFS('JOBS'!$B$5:$B$1504,'JOBS'!$E$5:$E$1504,B390,'JOBS'!$O$5:$O$1504,"Completed")))</f>
        <v/>
      </c>
      <c r="O390" s="54">
        <f>IF(B390="","",IFERROR(AVERAGEIFS('JOBS'!$L$5:$L$1504,'JOBS'!$E$5:$E$1504,B390,'JOBS'!$O$5:$O$1504,"Completed"),""))</f>
        <v/>
      </c>
    </row>
    <row r="391">
      <c r="A391" s="46" t="inlineStr">
        <is>
          <t>P-387</t>
        </is>
      </c>
      <c r="B391" s="38" t="n"/>
      <c r="C391" s="38" t="n"/>
      <c r="D391" s="38" t="n"/>
      <c r="E391" s="38" t="n"/>
      <c r="F391" s="56" t="n"/>
      <c r="G391" s="57" t="n"/>
      <c r="H391" s="58" t="n"/>
      <c r="I391" s="38" t="n"/>
      <c r="J391" s="38" t="n"/>
      <c r="K391" s="38" t="n"/>
      <c r="L391" s="38" t="n"/>
      <c r="M391" s="53">
        <f>IF(B391="","",COUNTIFS('JOBS'!$E$5:$E$1504,B391,'JOBS'!$O$5:$O$1504,"Completed"))</f>
        <v/>
      </c>
      <c r="N391" s="52">
        <f>IF(B391="","",IF(_xlfn.MAXIFS('JOBS'!$B$5:$B$1504,'JOBS'!$E$5:$E$1504,B391,'JOBS'!$O$5:$O$1504,"Completed")=0,"",_xlfn.MAXIFS('JOBS'!$B$5:$B$1504,'JOBS'!$E$5:$E$1504,B391,'JOBS'!$O$5:$O$1504,"Completed")))</f>
        <v/>
      </c>
      <c r="O391" s="54">
        <f>IF(B391="","",IFERROR(AVERAGEIFS('JOBS'!$L$5:$L$1504,'JOBS'!$E$5:$E$1504,B391,'JOBS'!$O$5:$O$1504,"Completed"),""))</f>
        <v/>
      </c>
    </row>
    <row r="392">
      <c r="A392" s="46" t="inlineStr">
        <is>
          <t>P-388</t>
        </is>
      </c>
      <c r="B392" s="38" t="n"/>
      <c r="C392" s="38" t="n"/>
      <c r="D392" s="38" t="n"/>
      <c r="E392" s="38" t="n"/>
      <c r="F392" s="56" t="n"/>
      <c r="G392" s="57" t="n"/>
      <c r="H392" s="58" t="n"/>
      <c r="I392" s="38" t="n"/>
      <c r="J392" s="38" t="n"/>
      <c r="K392" s="38" t="n"/>
      <c r="L392" s="38" t="n"/>
      <c r="M392" s="53">
        <f>IF(B392="","",COUNTIFS('JOBS'!$E$5:$E$1504,B392,'JOBS'!$O$5:$O$1504,"Completed"))</f>
        <v/>
      </c>
      <c r="N392" s="52">
        <f>IF(B392="","",IF(_xlfn.MAXIFS('JOBS'!$B$5:$B$1504,'JOBS'!$E$5:$E$1504,B392,'JOBS'!$O$5:$O$1504,"Completed")=0,"",_xlfn.MAXIFS('JOBS'!$B$5:$B$1504,'JOBS'!$E$5:$E$1504,B392,'JOBS'!$O$5:$O$1504,"Completed")))</f>
        <v/>
      </c>
      <c r="O392" s="54">
        <f>IF(B392="","",IFERROR(AVERAGEIFS('JOBS'!$L$5:$L$1504,'JOBS'!$E$5:$E$1504,B392,'JOBS'!$O$5:$O$1504,"Completed"),""))</f>
        <v/>
      </c>
    </row>
    <row r="393">
      <c r="A393" s="46" t="inlineStr">
        <is>
          <t>P-389</t>
        </is>
      </c>
      <c r="B393" s="38" t="n"/>
      <c r="C393" s="38" t="n"/>
      <c r="D393" s="38" t="n"/>
      <c r="E393" s="38" t="n"/>
      <c r="F393" s="56" t="n"/>
      <c r="G393" s="57" t="n"/>
      <c r="H393" s="58" t="n"/>
      <c r="I393" s="38" t="n"/>
      <c r="J393" s="38" t="n"/>
      <c r="K393" s="38" t="n"/>
      <c r="L393" s="38" t="n"/>
      <c r="M393" s="53">
        <f>IF(B393="","",COUNTIFS('JOBS'!$E$5:$E$1504,B393,'JOBS'!$O$5:$O$1504,"Completed"))</f>
        <v/>
      </c>
      <c r="N393" s="52">
        <f>IF(B393="","",IF(_xlfn.MAXIFS('JOBS'!$B$5:$B$1504,'JOBS'!$E$5:$E$1504,B393,'JOBS'!$O$5:$O$1504,"Completed")=0,"",_xlfn.MAXIFS('JOBS'!$B$5:$B$1504,'JOBS'!$E$5:$E$1504,B393,'JOBS'!$O$5:$O$1504,"Completed")))</f>
        <v/>
      </c>
      <c r="O393" s="54">
        <f>IF(B393="","",IFERROR(AVERAGEIFS('JOBS'!$L$5:$L$1504,'JOBS'!$E$5:$E$1504,B393,'JOBS'!$O$5:$O$1504,"Completed"),""))</f>
        <v/>
      </c>
    </row>
    <row r="394">
      <c r="A394" s="46" t="inlineStr">
        <is>
          <t>P-390</t>
        </is>
      </c>
      <c r="B394" s="38" t="n"/>
      <c r="C394" s="38" t="n"/>
      <c r="D394" s="38" t="n"/>
      <c r="E394" s="38" t="n"/>
      <c r="F394" s="56" t="n"/>
      <c r="G394" s="57" t="n"/>
      <c r="H394" s="58" t="n"/>
      <c r="I394" s="38" t="n"/>
      <c r="J394" s="38" t="n"/>
      <c r="K394" s="38" t="n"/>
      <c r="L394" s="38" t="n"/>
      <c r="M394" s="53">
        <f>IF(B394="","",COUNTIFS('JOBS'!$E$5:$E$1504,B394,'JOBS'!$O$5:$O$1504,"Completed"))</f>
        <v/>
      </c>
      <c r="N394" s="52">
        <f>IF(B394="","",IF(_xlfn.MAXIFS('JOBS'!$B$5:$B$1504,'JOBS'!$E$5:$E$1504,B394,'JOBS'!$O$5:$O$1504,"Completed")=0,"",_xlfn.MAXIFS('JOBS'!$B$5:$B$1504,'JOBS'!$E$5:$E$1504,B394,'JOBS'!$O$5:$O$1504,"Completed")))</f>
        <v/>
      </c>
      <c r="O394" s="54">
        <f>IF(B394="","",IFERROR(AVERAGEIFS('JOBS'!$L$5:$L$1504,'JOBS'!$E$5:$E$1504,B394,'JOBS'!$O$5:$O$1504,"Completed"),""))</f>
        <v/>
      </c>
    </row>
    <row r="395">
      <c r="A395" s="46" t="inlineStr">
        <is>
          <t>P-391</t>
        </is>
      </c>
      <c r="B395" s="38" t="n"/>
      <c r="C395" s="38" t="n"/>
      <c r="D395" s="38" t="n"/>
      <c r="E395" s="38" t="n"/>
      <c r="F395" s="56" t="n"/>
      <c r="G395" s="57" t="n"/>
      <c r="H395" s="58" t="n"/>
      <c r="I395" s="38" t="n"/>
      <c r="J395" s="38" t="n"/>
      <c r="K395" s="38" t="n"/>
      <c r="L395" s="38" t="n"/>
      <c r="M395" s="53">
        <f>IF(B395="","",COUNTIFS('JOBS'!$E$5:$E$1504,B395,'JOBS'!$O$5:$O$1504,"Completed"))</f>
        <v/>
      </c>
      <c r="N395" s="52">
        <f>IF(B395="","",IF(_xlfn.MAXIFS('JOBS'!$B$5:$B$1504,'JOBS'!$E$5:$E$1504,B395,'JOBS'!$O$5:$O$1504,"Completed")=0,"",_xlfn.MAXIFS('JOBS'!$B$5:$B$1504,'JOBS'!$E$5:$E$1504,B395,'JOBS'!$O$5:$O$1504,"Completed")))</f>
        <v/>
      </c>
      <c r="O395" s="54">
        <f>IF(B395="","",IFERROR(AVERAGEIFS('JOBS'!$L$5:$L$1504,'JOBS'!$E$5:$E$1504,B395,'JOBS'!$O$5:$O$1504,"Completed"),""))</f>
        <v/>
      </c>
    </row>
    <row r="396">
      <c r="A396" s="46" t="inlineStr">
        <is>
          <t>P-392</t>
        </is>
      </c>
      <c r="B396" s="38" t="n"/>
      <c r="C396" s="38" t="n"/>
      <c r="D396" s="38" t="n"/>
      <c r="E396" s="38" t="n"/>
      <c r="F396" s="56" t="n"/>
      <c r="G396" s="57" t="n"/>
      <c r="H396" s="58" t="n"/>
      <c r="I396" s="38" t="n"/>
      <c r="J396" s="38" t="n"/>
      <c r="K396" s="38" t="n"/>
      <c r="L396" s="38" t="n"/>
      <c r="M396" s="53">
        <f>IF(B396="","",COUNTIFS('JOBS'!$E$5:$E$1504,B396,'JOBS'!$O$5:$O$1504,"Completed"))</f>
        <v/>
      </c>
      <c r="N396" s="52">
        <f>IF(B396="","",IF(_xlfn.MAXIFS('JOBS'!$B$5:$B$1504,'JOBS'!$E$5:$E$1504,B396,'JOBS'!$O$5:$O$1504,"Completed")=0,"",_xlfn.MAXIFS('JOBS'!$B$5:$B$1504,'JOBS'!$E$5:$E$1504,B396,'JOBS'!$O$5:$O$1504,"Completed")))</f>
        <v/>
      </c>
      <c r="O396" s="54">
        <f>IF(B396="","",IFERROR(AVERAGEIFS('JOBS'!$L$5:$L$1504,'JOBS'!$E$5:$E$1504,B396,'JOBS'!$O$5:$O$1504,"Completed"),""))</f>
        <v/>
      </c>
    </row>
    <row r="397">
      <c r="A397" s="46" t="inlineStr">
        <is>
          <t>P-393</t>
        </is>
      </c>
      <c r="B397" s="38" t="n"/>
      <c r="C397" s="38" t="n"/>
      <c r="D397" s="38" t="n"/>
      <c r="E397" s="38" t="n"/>
      <c r="F397" s="56" t="n"/>
      <c r="G397" s="57" t="n"/>
      <c r="H397" s="58" t="n"/>
      <c r="I397" s="38" t="n"/>
      <c r="J397" s="38" t="n"/>
      <c r="K397" s="38" t="n"/>
      <c r="L397" s="38" t="n"/>
      <c r="M397" s="53">
        <f>IF(B397="","",COUNTIFS('JOBS'!$E$5:$E$1504,B397,'JOBS'!$O$5:$O$1504,"Completed"))</f>
        <v/>
      </c>
      <c r="N397" s="52">
        <f>IF(B397="","",IF(_xlfn.MAXIFS('JOBS'!$B$5:$B$1504,'JOBS'!$E$5:$E$1504,B397,'JOBS'!$O$5:$O$1504,"Completed")=0,"",_xlfn.MAXIFS('JOBS'!$B$5:$B$1504,'JOBS'!$E$5:$E$1504,B397,'JOBS'!$O$5:$O$1504,"Completed")))</f>
        <v/>
      </c>
      <c r="O397" s="54">
        <f>IF(B397="","",IFERROR(AVERAGEIFS('JOBS'!$L$5:$L$1504,'JOBS'!$E$5:$E$1504,B397,'JOBS'!$O$5:$O$1504,"Completed"),""))</f>
        <v/>
      </c>
    </row>
    <row r="398">
      <c r="A398" s="46" t="inlineStr">
        <is>
          <t>P-394</t>
        </is>
      </c>
      <c r="B398" s="38" t="n"/>
      <c r="C398" s="38" t="n"/>
      <c r="D398" s="38" t="n"/>
      <c r="E398" s="38" t="n"/>
      <c r="F398" s="56" t="n"/>
      <c r="G398" s="57" t="n"/>
      <c r="H398" s="58" t="n"/>
      <c r="I398" s="38" t="n"/>
      <c r="J398" s="38" t="n"/>
      <c r="K398" s="38" t="n"/>
      <c r="L398" s="38" t="n"/>
      <c r="M398" s="53">
        <f>IF(B398="","",COUNTIFS('JOBS'!$E$5:$E$1504,B398,'JOBS'!$O$5:$O$1504,"Completed"))</f>
        <v/>
      </c>
      <c r="N398" s="52">
        <f>IF(B398="","",IF(_xlfn.MAXIFS('JOBS'!$B$5:$B$1504,'JOBS'!$E$5:$E$1504,B398,'JOBS'!$O$5:$O$1504,"Completed")=0,"",_xlfn.MAXIFS('JOBS'!$B$5:$B$1504,'JOBS'!$E$5:$E$1504,B398,'JOBS'!$O$5:$O$1504,"Completed")))</f>
        <v/>
      </c>
      <c r="O398" s="54">
        <f>IF(B398="","",IFERROR(AVERAGEIFS('JOBS'!$L$5:$L$1504,'JOBS'!$E$5:$E$1504,B398,'JOBS'!$O$5:$O$1504,"Completed"),""))</f>
        <v/>
      </c>
    </row>
    <row r="399">
      <c r="A399" s="46" t="inlineStr">
        <is>
          <t>P-395</t>
        </is>
      </c>
      <c r="B399" s="38" t="n"/>
      <c r="C399" s="38" t="n"/>
      <c r="D399" s="38" t="n"/>
      <c r="E399" s="38" t="n"/>
      <c r="F399" s="56" t="n"/>
      <c r="G399" s="57" t="n"/>
      <c r="H399" s="58" t="n"/>
      <c r="I399" s="38" t="n"/>
      <c r="J399" s="38" t="n"/>
      <c r="K399" s="38" t="n"/>
      <c r="L399" s="38" t="n"/>
      <c r="M399" s="53">
        <f>IF(B399="","",COUNTIFS('JOBS'!$E$5:$E$1504,B399,'JOBS'!$O$5:$O$1504,"Completed"))</f>
        <v/>
      </c>
      <c r="N399" s="52">
        <f>IF(B399="","",IF(_xlfn.MAXIFS('JOBS'!$B$5:$B$1504,'JOBS'!$E$5:$E$1504,B399,'JOBS'!$O$5:$O$1504,"Completed")=0,"",_xlfn.MAXIFS('JOBS'!$B$5:$B$1504,'JOBS'!$E$5:$E$1504,B399,'JOBS'!$O$5:$O$1504,"Completed")))</f>
        <v/>
      </c>
      <c r="O399" s="54">
        <f>IF(B399="","",IFERROR(AVERAGEIFS('JOBS'!$L$5:$L$1504,'JOBS'!$E$5:$E$1504,B399,'JOBS'!$O$5:$O$1504,"Completed"),""))</f>
        <v/>
      </c>
    </row>
    <row r="400">
      <c r="A400" s="46" t="inlineStr">
        <is>
          <t>P-396</t>
        </is>
      </c>
      <c r="B400" s="38" t="n"/>
      <c r="C400" s="38" t="n"/>
      <c r="D400" s="38" t="n"/>
      <c r="E400" s="38" t="n"/>
      <c r="F400" s="56" t="n"/>
      <c r="G400" s="57" t="n"/>
      <c r="H400" s="58" t="n"/>
      <c r="I400" s="38" t="n"/>
      <c r="J400" s="38" t="n"/>
      <c r="K400" s="38" t="n"/>
      <c r="L400" s="38" t="n"/>
      <c r="M400" s="53">
        <f>IF(B400="","",COUNTIFS('JOBS'!$E$5:$E$1504,B400,'JOBS'!$O$5:$O$1504,"Completed"))</f>
        <v/>
      </c>
      <c r="N400" s="52">
        <f>IF(B400="","",IF(_xlfn.MAXIFS('JOBS'!$B$5:$B$1504,'JOBS'!$E$5:$E$1504,B400,'JOBS'!$O$5:$O$1504,"Completed")=0,"",_xlfn.MAXIFS('JOBS'!$B$5:$B$1504,'JOBS'!$E$5:$E$1504,B400,'JOBS'!$O$5:$O$1504,"Completed")))</f>
        <v/>
      </c>
      <c r="O400" s="54">
        <f>IF(B400="","",IFERROR(AVERAGEIFS('JOBS'!$L$5:$L$1504,'JOBS'!$E$5:$E$1504,B400,'JOBS'!$O$5:$O$1504,"Completed"),""))</f>
        <v/>
      </c>
    </row>
    <row r="401">
      <c r="A401" s="46" t="inlineStr">
        <is>
          <t>P-397</t>
        </is>
      </c>
      <c r="B401" s="38" t="n"/>
      <c r="C401" s="38" t="n"/>
      <c r="D401" s="38" t="n"/>
      <c r="E401" s="38" t="n"/>
      <c r="F401" s="56" t="n"/>
      <c r="G401" s="57" t="n"/>
      <c r="H401" s="58" t="n"/>
      <c r="I401" s="38" t="n"/>
      <c r="J401" s="38" t="n"/>
      <c r="K401" s="38" t="n"/>
      <c r="L401" s="38" t="n"/>
      <c r="M401" s="53">
        <f>IF(B401="","",COUNTIFS('JOBS'!$E$5:$E$1504,B401,'JOBS'!$O$5:$O$1504,"Completed"))</f>
        <v/>
      </c>
      <c r="N401" s="52">
        <f>IF(B401="","",IF(_xlfn.MAXIFS('JOBS'!$B$5:$B$1504,'JOBS'!$E$5:$E$1504,B401,'JOBS'!$O$5:$O$1504,"Completed")=0,"",_xlfn.MAXIFS('JOBS'!$B$5:$B$1504,'JOBS'!$E$5:$E$1504,B401,'JOBS'!$O$5:$O$1504,"Completed")))</f>
        <v/>
      </c>
      <c r="O401" s="54">
        <f>IF(B401="","",IFERROR(AVERAGEIFS('JOBS'!$L$5:$L$1504,'JOBS'!$E$5:$E$1504,B401,'JOBS'!$O$5:$O$1504,"Completed"),""))</f>
        <v/>
      </c>
    </row>
    <row r="402">
      <c r="A402" s="46" t="inlineStr">
        <is>
          <t>P-398</t>
        </is>
      </c>
      <c r="B402" s="38" t="n"/>
      <c r="C402" s="38" t="n"/>
      <c r="D402" s="38" t="n"/>
      <c r="E402" s="38" t="n"/>
      <c r="F402" s="56" t="n"/>
      <c r="G402" s="57" t="n"/>
      <c r="H402" s="58" t="n"/>
      <c r="I402" s="38" t="n"/>
      <c r="J402" s="38" t="n"/>
      <c r="K402" s="38" t="n"/>
      <c r="L402" s="38" t="n"/>
      <c r="M402" s="53">
        <f>IF(B402="","",COUNTIFS('JOBS'!$E$5:$E$1504,B402,'JOBS'!$O$5:$O$1504,"Completed"))</f>
        <v/>
      </c>
      <c r="N402" s="52">
        <f>IF(B402="","",IF(_xlfn.MAXIFS('JOBS'!$B$5:$B$1504,'JOBS'!$E$5:$E$1504,B402,'JOBS'!$O$5:$O$1504,"Completed")=0,"",_xlfn.MAXIFS('JOBS'!$B$5:$B$1504,'JOBS'!$E$5:$E$1504,B402,'JOBS'!$O$5:$O$1504,"Completed")))</f>
        <v/>
      </c>
      <c r="O402" s="54">
        <f>IF(B402="","",IFERROR(AVERAGEIFS('JOBS'!$L$5:$L$1504,'JOBS'!$E$5:$E$1504,B402,'JOBS'!$O$5:$O$1504,"Completed"),""))</f>
        <v/>
      </c>
    </row>
    <row r="403">
      <c r="A403" s="46" t="inlineStr">
        <is>
          <t>P-399</t>
        </is>
      </c>
      <c r="B403" s="38" t="n"/>
      <c r="C403" s="38" t="n"/>
      <c r="D403" s="38" t="n"/>
      <c r="E403" s="38" t="n"/>
      <c r="F403" s="56" t="n"/>
      <c r="G403" s="57" t="n"/>
      <c r="H403" s="58" t="n"/>
      <c r="I403" s="38" t="n"/>
      <c r="J403" s="38" t="n"/>
      <c r="K403" s="38" t="n"/>
      <c r="L403" s="38" t="n"/>
      <c r="M403" s="53">
        <f>IF(B403="","",COUNTIFS('JOBS'!$E$5:$E$1504,B403,'JOBS'!$O$5:$O$1504,"Completed"))</f>
        <v/>
      </c>
      <c r="N403" s="52">
        <f>IF(B403="","",IF(_xlfn.MAXIFS('JOBS'!$B$5:$B$1504,'JOBS'!$E$5:$E$1504,B403,'JOBS'!$O$5:$O$1504,"Completed")=0,"",_xlfn.MAXIFS('JOBS'!$B$5:$B$1504,'JOBS'!$E$5:$E$1504,B403,'JOBS'!$O$5:$O$1504,"Completed")))</f>
        <v/>
      </c>
      <c r="O403" s="54">
        <f>IF(B403="","",IFERROR(AVERAGEIFS('JOBS'!$L$5:$L$1504,'JOBS'!$E$5:$E$1504,B403,'JOBS'!$O$5:$O$1504,"Completed"),""))</f>
        <v/>
      </c>
    </row>
    <row r="404">
      <c r="A404" s="46" t="inlineStr">
        <is>
          <t>P-400</t>
        </is>
      </c>
      <c r="B404" s="38" t="n"/>
      <c r="C404" s="38" t="n"/>
      <c r="D404" s="38" t="n"/>
      <c r="E404" s="38" t="n"/>
      <c r="F404" s="56" t="n"/>
      <c r="G404" s="57" t="n"/>
      <c r="H404" s="58" t="n"/>
      <c r="I404" s="38" t="n"/>
      <c r="J404" s="38" t="n"/>
      <c r="K404" s="38" t="n"/>
      <c r="L404" s="38" t="n"/>
      <c r="M404" s="53">
        <f>IF(B404="","",COUNTIFS('JOBS'!$E$5:$E$1504,B404,'JOBS'!$O$5:$O$1504,"Completed"))</f>
        <v/>
      </c>
      <c r="N404" s="52">
        <f>IF(B404="","",IF(_xlfn.MAXIFS('JOBS'!$B$5:$B$1504,'JOBS'!$E$5:$E$1504,B404,'JOBS'!$O$5:$O$1504,"Completed")=0,"",_xlfn.MAXIFS('JOBS'!$B$5:$B$1504,'JOBS'!$E$5:$E$1504,B404,'JOBS'!$O$5:$O$1504,"Completed")))</f>
        <v/>
      </c>
      <c r="O404" s="54">
        <f>IF(B404="","",IFERROR(AVERAGEIFS('JOBS'!$L$5:$L$1504,'JOBS'!$E$5:$E$1504,B404,'JOBS'!$O$5:$O$1504,"Completed"),""))</f>
        <v/>
      </c>
    </row>
  </sheetData>
  <autoFilter ref="A4:O404"/>
  <mergeCells count="2">
    <mergeCell ref="A1:O1"/>
    <mergeCell ref="A2:O2"/>
  </mergeCells>
  <dataValidations count="2">
    <dataValidation sqref="C5:C404" showDropDown="0" showInputMessage="0" showErrorMessage="0" allowBlank="1" type="list">
      <formula1>='CUSTOMERS'!$B$5:$B$404</formula1>
    </dataValidation>
    <dataValidation sqref="E5:E404" showDropDown="0" showInputMessage="0" showErrorMessage="0" allowBlank="1" type="list">
      <formula1>='SETTINGS'!$Q$5:$Q$24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6.xml><?xml version="1.0" encoding="utf-8"?>
<worksheet xmlns="http://schemas.openxmlformats.org/spreadsheetml/2006/main">
  <sheetPr>
    <tabColor rgb="002A5D8F"/>
    <outlinePr summaryBelow="1" summaryRight="1"/>
    <pageSetUpPr fitToPage="1"/>
  </sheetPr>
  <dimension ref="A1:H43"/>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12" customWidth="1" min="4" max="4"/>
    <col width="3" customWidth="1" min="5" max="5"/>
    <col width="36" customWidth="1" min="6" max="6"/>
    <col width="18" customWidth="1" min="7" max="7"/>
    <col width="30" customWidth="1" min="8" max="8"/>
  </cols>
  <sheetData>
    <row r="1" ht="34" customHeight="1">
      <c r="A1" s="42" t="inlineStr">
        <is>
          <t>QUOTE BUILDER  +  PROFIT ENGINE</t>
        </is>
      </c>
      <c r="B1" s="1" t="n"/>
      <c r="C1" s="1" t="n"/>
      <c r="D1" s="1" t="n"/>
      <c r="E1" s="1" t="n"/>
      <c r="F1" s="1" t="n"/>
      <c r="G1" s="1" t="n"/>
      <c r="H1" s="1" t="n"/>
    </row>
    <row r="2" ht="30" customHeight="1">
      <c r="A2" s="43" t="inlineStr">
        <is>
          <t>Enter the job details on the left. The right side shows the price, your costs, gross profit and margin. All assumptions come from PRICING and SETTINGS and can be overridden here. Results are estimates from YOUR assumptions — not market rates.</t>
        </is>
      </c>
    </row>
    <row r="3" ht="18" customHeight="1">
      <c r="A3" s="24" t="inlineStr">
        <is>
          <t>← Start Here</t>
        </is>
      </c>
      <c r="B3" s="24" t="inlineStr">
        <is>
          <t>Dashboard →</t>
        </is>
      </c>
    </row>
    <row r="5">
      <c r="A5" s="5" t="inlineStr">
        <is>
          <t>JOB DETAILS</t>
        </is>
      </c>
      <c r="B5" s="6" t="n"/>
      <c r="C5" s="6" t="n"/>
      <c r="D5" s="6" t="n"/>
      <c r="F5" s="5" t="inlineStr">
        <is>
          <t>RESULTS  (automatic)</t>
        </is>
      </c>
      <c r="G5" s="6" t="n"/>
      <c r="H5" s="6" t="n"/>
    </row>
    <row r="6">
      <c r="A6" s="59" t="inlineStr">
        <is>
          <t>Quote date</t>
        </is>
      </c>
      <c r="B6" s="60" t="n">
        <v>46295</v>
      </c>
      <c r="C6" s="61" t="n"/>
      <c r="D6" s="61" t="n"/>
      <c r="F6" s="62" t="inlineStr">
        <is>
          <t>TIME</t>
        </is>
      </c>
    </row>
    <row r="7">
      <c r="A7" s="59" t="inlineStr">
        <is>
          <t>Customer name</t>
        </is>
      </c>
      <c r="B7" s="63" t="inlineStr">
        <is>
          <t>Avery Collins</t>
        </is>
      </c>
      <c r="C7" s="61" t="n"/>
      <c r="D7" s="61" t="n"/>
      <c r="F7" s="59" t="inlineStr">
        <is>
          <t>Estimated labor hours (model, before add-ons)</t>
        </is>
      </c>
      <c r="G7" s="64">
        <f>IFERROR(ROUND(($B$10/INDEX('PRICING'!$C$7:$C$16,MATCH($B$9,'PRICING'!$A$7:$A$16,0))+$B$11*INDEX('PRICING'!$D$7:$D$16,MATCH($B$9,'PRICING'!$A$7:$A$16,0))/60+$B$12*INDEX('PRICING'!$E$7:$E$16,MATCH($B$9,'PRICING'!$A$7:$A$16,0))/60+INDEX('PRICING'!$F$7:$F$16,MATCH($B$9,'PRICING'!$A$7:$A$16,0))/60)*IFERROR(INDEX('PRICING'!$B$20:$B$24,MATCH($B$13,'PRICING'!$A$20:$A$24,0)),1),2),0)</f>
        <v/>
      </c>
    </row>
    <row r="8">
      <c r="A8" s="59" t="inlineStr">
        <is>
          <t>Property address</t>
        </is>
      </c>
      <c r="B8" s="63" t="inlineStr">
        <is>
          <t>14 Birch Lane, Sampletown</t>
        </is>
      </c>
      <c r="C8" s="61" t="n"/>
      <c r="D8" s="61" t="n"/>
      <c r="F8" s="59" t="inlineStr">
        <is>
          <t>Labor hours used (incl. add-ons)</t>
        </is>
      </c>
      <c r="G8" s="64">
        <f>IF(N(B16)&gt;0,B16,G7)+SUM(D25:D30)/60</f>
        <v/>
      </c>
    </row>
    <row r="9">
      <c r="A9" s="59" t="inlineStr">
        <is>
          <t>Cleaning type</t>
        </is>
      </c>
      <c r="B9" s="63" t="inlineStr">
        <is>
          <t>Deep Clean</t>
        </is>
      </c>
      <c r="C9" s="61" t="n"/>
      <c r="D9" s="61" t="n"/>
      <c r="F9" s="59" t="inlineStr">
        <is>
          <t>Time on site with your crew (hours)</t>
        </is>
      </c>
      <c r="G9" s="64">
        <f>IFERROR(G8/MAX(1,N(B15)),0)</f>
        <v/>
      </c>
    </row>
    <row r="10">
      <c r="A10" s="59" t="inlineStr">
        <is>
          <t>Square footage</t>
        </is>
      </c>
      <c r="B10" s="65" t="n">
        <v>2200</v>
      </c>
      <c r="C10" s="61" t="n"/>
      <c r="D10" s="61" t="n"/>
      <c r="F10" s="62" t="inlineStr">
        <is>
          <t>PRICE</t>
        </is>
      </c>
    </row>
    <row r="11">
      <c r="A11" s="59" t="inlineStr">
        <is>
          <t>Bedrooms</t>
        </is>
      </c>
      <c r="B11" s="66" t="n">
        <v>3</v>
      </c>
      <c r="C11" s="61" t="n"/>
      <c r="D11" s="61" t="n"/>
      <c r="F11" s="59" t="inlineStr">
        <is>
          <t>Billing rate used ($ per labor hour)</t>
        </is>
      </c>
      <c r="G11" s="67">
        <f>IF(N(B17)&gt;0,B17,IFERROR(INDEX('PRICING'!$B$7:$B$16,MATCH($B$9,'PRICING'!$A$7:$A$16,0)),0))</f>
        <v/>
      </c>
    </row>
    <row r="12">
      <c r="A12" s="59" t="inlineStr">
        <is>
          <t>Bathrooms</t>
        </is>
      </c>
      <c r="B12" s="68" t="n">
        <v>2.5</v>
      </c>
      <c r="C12" s="61" t="n"/>
      <c r="D12" s="61" t="n"/>
      <c r="F12" s="59" t="inlineStr">
        <is>
          <t>Base service price</t>
        </is>
      </c>
      <c r="G12" s="67">
        <f>IF(G7=0,0,MAX(MinJob,ROUND(IF(N(B16)&gt;0,B16,G7)*G11,2)))</f>
        <v/>
      </c>
    </row>
    <row r="13">
      <c r="A13" s="59" t="inlineStr">
        <is>
          <t>Property condition</t>
        </is>
      </c>
      <c r="B13" s="63" t="inlineStr">
        <is>
          <t>Average</t>
        </is>
      </c>
      <c r="C13" s="61" t="n"/>
      <c r="D13" s="61" t="n"/>
      <c r="F13" s="59" t="inlineStr">
        <is>
          <t>Frequency discount</t>
        </is>
      </c>
      <c r="G13" s="67">
        <f>-ROUND(G12*IFERROR(INDEX('PRICING'!$B$28:$B$33,MATCH(B14,'PRICING'!$A$28:$A$33,0)),0),2)</f>
        <v/>
      </c>
    </row>
    <row r="14">
      <c r="A14" s="59" t="inlineStr">
        <is>
          <t>Frequency</t>
        </is>
      </c>
      <c r="B14" s="63" t="inlineStr">
        <is>
          <t>One-time</t>
        </is>
      </c>
      <c r="C14" s="61" t="n"/>
      <c r="D14" s="61" t="n"/>
      <c r="F14" s="59" t="inlineStr">
        <is>
          <t>Add-ons</t>
        </is>
      </c>
      <c r="G14" s="67">
        <f>SUM(C25:C30)</f>
        <v/>
      </c>
    </row>
    <row r="15">
      <c r="A15" s="59" t="inlineStr">
        <is>
          <t>Number of workers</t>
        </is>
      </c>
      <c r="B15" s="66" t="n">
        <v>2</v>
      </c>
      <c r="C15" s="61" t="n"/>
      <c r="D15" s="61" t="n"/>
      <c r="F15" s="59" t="inlineStr">
        <is>
          <t>Manual discount</t>
        </is>
      </c>
      <c r="G15" s="67">
        <f>-N(B33)</f>
        <v/>
      </c>
    </row>
    <row r="16">
      <c r="A16" s="59" t="inlineStr">
        <is>
          <t>Labor hours override (optional)</t>
        </is>
      </c>
      <c r="B16" s="69" t="n"/>
      <c r="C16" s="61" t="n"/>
      <c r="D16" s="61" t="n"/>
      <c r="F16" s="70" t="inlineStr">
        <is>
          <t>PRICE BEFORE TAX</t>
        </is>
      </c>
      <c r="G16" s="71">
        <f>MAX(0,G12+G13+G14+G15)</f>
        <v/>
      </c>
    </row>
    <row r="17">
      <c r="A17" s="59" t="inlineStr">
        <is>
          <t>Billing rate per labor hour override (optional)</t>
        </is>
      </c>
      <c r="B17" s="72" t="n"/>
      <c r="C17" s="61" t="n"/>
      <c r="D17" s="61" t="n"/>
      <c r="F17" s="59" t="inlineStr">
        <is>
          <t>Sales tax</t>
        </is>
      </c>
      <c r="G17" s="67">
        <f>ROUND(G16*N(B34),2)</f>
        <v/>
      </c>
    </row>
    <row r="18">
      <c r="A18" s="59" t="inlineStr">
        <is>
          <t>Worker pay rate ($/hr)</t>
        </is>
      </c>
      <c r="B18" s="72">
        <f>PayRate</f>
        <v/>
      </c>
      <c r="C18" s="61" t="n"/>
      <c r="D18" s="61" t="n"/>
      <c r="F18" s="70" t="inlineStr">
        <is>
          <t>CUSTOMER TOTAL</t>
        </is>
      </c>
      <c r="G18" s="71">
        <f>G16+G17</f>
        <v/>
      </c>
    </row>
    <row r="19">
      <c r="A19" s="59" t="inlineStr">
        <is>
          <t>Supplies cost override (optional)</t>
        </is>
      </c>
      <c r="B19" s="72" t="n"/>
      <c r="C19" s="61" t="n"/>
      <c r="D19" s="61" t="n"/>
      <c r="F19" s="62" t="inlineStr">
        <is>
          <t>DIRECT COSTS</t>
        </is>
      </c>
    </row>
    <row r="20">
      <c r="A20" s="59" t="inlineStr">
        <is>
          <t>Round-trip distance (miles)</t>
        </is>
      </c>
      <c r="B20" s="73" t="n">
        <v>12</v>
      </c>
      <c r="C20" s="61" t="n"/>
      <c r="D20" s="61" t="n"/>
      <c r="F20" s="59" t="inlineStr">
        <is>
          <t>Labor cost (hours × pay × (1 + extra labor %))</t>
        </is>
      </c>
      <c r="G20" s="67">
        <f>ROUND(G8*N(B18)*(1+Burden),2)</f>
        <v/>
      </c>
    </row>
    <row r="21">
      <c r="A21" s="59" t="inlineStr">
        <is>
          <t>Paid travel time per worker (minutes)</t>
        </is>
      </c>
      <c r="B21" s="66">
        <f>TravelMin</f>
        <v/>
      </c>
      <c r="C21" s="61" t="n"/>
      <c r="D21" s="61" t="n"/>
      <c r="F21" s="59" t="inlineStr">
        <is>
          <t>Paid travel time</t>
        </is>
      </c>
      <c r="G21" s="67">
        <f>ROUND(N(B21)/60*MAX(1,N(B15))*N(B18)*(1+Burden),2)</f>
        <v/>
      </c>
    </row>
    <row r="22">
      <c r="A22" s="41" t="inlineStr">
        <is>
          <t>Formulas in B18 and B21 pull your SETTINGS defaults — type over them to override for this quote.</t>
        </is>
      </c>
      <c r="F22" s="59" t="inlineStr">
        <is>
          <t>Vehicle cost (miles × your rate)</t>
        </is>
      </c>
      <c r="G22" s="67">
        <f>ROUND(N(B20)*MileRate,2)</f>
        <v/>
      </c>
    </row>
    <row r="23">
      <c r="A23" s="5" t="inlineStr">
        <is>
          <t>ADD-ONS</t>
        </is>
      </c>
      <c r="B23" s="6" t="n"/>
      <c r="C23" s="6" t="n"/>
      <c r="D23" s="6" t="n"/>
      <c r="F23" s="59" t="inlineStr">
        <is>
          <t>Supplies</t>
        </is>
      </c>
      <c r="G23" s="67">
        <f>IF(B19&lt;&gt;"",N(B19),ROUND(G8*SupHr*IFERROR(INDEX('PRICING'!$G$7:$G$16,MATCH($B$9,'PRICING'!$A$7:$A$16,0)),1),2))</f>
        <v/>
      </c>
    </row>
    <row r="24">
      <c r="A24" s="74" t="inlineStr">
        <is>
          <t>Add-on</t>
        </is>
      </c>
      <c r="B24" s="74" t="inlineStr">
        <is>
          <t>Quantity</t>
        </is>
      </c>
      <c r="C24" s="75" t="inlineStr">
        <is>
          <t>Price</t>
        </is>
      </c>
      <c r="D24" s="75" t="inlineStr">
        <is>
          <t>Minutes</t>
        </is>
      </c>
      <c r="F24" s="59" t="inlineStr">
        <is>
          <t>Add-on direct costs</t>
        </is>
      </c>
      <c r="G24" s="67">
        <f>IF(OR(A25="",N(B25)=0),0,B25*IFERROR(INDEX('PRICING'!$D$37:$D$51,MATCH(A25,'PRICING'!$A$37:$A$51,0)),0))+IF(OR(A26="",N(B26)=0),0,B26*IFERROR(INDEX('PRICING'!$D$37:$D$51,MATCH(A26,'PRICING'!$A$37:$A$51,0)),0))+IF(OR(A27="",N(B27)=0),0,B27*IFERROR(INDEX('PRICING'!$D$37:$D$51,MATCH(A27,'PRICING'!$A$37:$A$51,0)),0))+IF(OR(A28="",N(B28)=0),0,B28*IFERROR(INDEX('PRICING'!$D$37:$D$51,MATCH(A28,'PRICING'!$A$37:$A$51,0)),0))+IF(OR(A29="",N(B29)=0),0,B29*IFERROR(INDEX('PRICING'!$D$37:$D$51,MATCH(A29,'PRICING'!$A$37:$A$51,0)),0))+IF(OR(A30="",N(B30)=0),0,B30*IFERROR(INDEX('PRICING'!$D$37:$D$51,MATCH(A30,'PRICING'!$A$37:$A$51,0)),0))</f>
        <v/>
      </c>
    </row>
    <row r="25">
      <c r="A25" s="76" t="inlineStr">
        <is>
          <t>Inside oven</t>
        </is>
      </c>
      <c r="B25" s="77" t="n">
        <v>1</v>
      </c>
      <c r="C25" s="78">
        <f>IF(OR(A25="",N(B25)=0),0,B25*IFERROR(INDEX('PRICING'!$B$37:$B$51,MATCH(A25,'PRICING'!$A$37:$A$51,0)),0))</f>
        <v/>
      </c>
      <c r="D25" s="79">
        <f>IF(OR(A25="",N(B25)=0),0,B25*IFERROR(INDEX('PRICING'!$C$37:$C$51,MATCH(A25,'PRICING'!$A$37:$A$51,0)),0))</f>
        <v/>
      </c>
      <c r="F25" s="59" t="inlineStr">
        <is>
          <t>Payment processing fee</t>
        </is>
      </c>
      <c r="G25" s="67">
        <f>IF(B35="Yes",ROUND(G18*FeePct,2),0)</f>
        <v/>
      </c>
    </row>
    <row r="26">
      <c r="A26" s="76" t="inlineStr">
        <is>
          <t>Inside refrigerator</t>
        </is>
      </c>
      <c r="B26" s="77" t="n">
        <v>1</v>
      </c>
      <c r="C26" s="78">
        <f>IF(OR(A26="",N(B26)=0),0,B26*IFERROR(INDEX('PRICING'!$B$37:$B$51,MATCH(A26,'PRICING'!$A$37:$A$51,0)),0))</f>
        <v/>
      </c>
      <c r="D26" s="79">
        <f>IF(OR(A26="",N(B26)=0),0,B26*IFERROR(INDEX('PRICING'!$C$37:$C$51,MATCH(A26,'PRICING'!$A$37:$A$51,0)),0))</f>
        <v/>
      </c>
      <c r="F26" s="70" t="inlineStr">
        <is>
          <t>TOTAL DIRECT COSTS</t>
        </is>
      </c>
      <c r="G26" s="71">
        <f>SUM(G20:G25)</f>
        <v/>
      </c>
    </row>
    <row r="27">
      <c r="A27" s="76" t="inlineStr">
        <is>
          <t>Interior windows (per 10)</t>
        </is>
      </c>
      <c r="B27" s="77" t="n">
        <v>1</v>
      </c>
      <c r="C27" s="78">
        <f>IF(OR(A27="",N(B27)=0),0,B27*IFERROR(INDEX('PRICING'!$B$37:$B$51,MATCH(A27,'PRICING'!$A$37:$A$51,0)),0))</f>
        <v/>
      </c>
      <c r="D27" s="79">
        <f>IF(OR(A27="",N(B27)=0),0,B27*IFERROR(INDEX('PRICING'!$C$37:$C$51,MATCH(A27,'PRICING'!$A$37:$A$51,0)),0))</f>
        <v/>
      </c>
      <c r="F27" s="62" t="inlineStr">
        <is>
          <t>PROFIT</t>
        </is>
      </c>
    </row>
    <row r="28">
      <c r="A28" s="76" t="n"/>
      <c r="B28" s="77" t="n"/>
      <c r="C28" s="78">
        <f>IF(OR(A28="",N(B28)=0),0,B28*IFERROR(INDEX('PRICING'!$B$37:$B$51,MATCH(A28,'PRICING'!$A$37:$A$51,0)),0))</f>
        <v/>
      </c>
      <c r="D28" s="79">
        <f>IF(OR(A28="",N(B28)=0),0,B28*IFERROR(INDEX('PRICING'!$C$37:$C$51,MATCH(A28,'PRICING'!$A$37:$A$51,0)),0))</f>
        <v/>
      </c>
      <c r="F28" s="70" t="inlineStr">
        <is>
          <t>GROSS PROFIT</t>
        </is>
      </c>
      <c r="G28" s="71">
        <f>G16-G26</f>
        <v/>
      </c>
    </row>
    <row r="29">
      <c r="A29" s="76" t="n"/>
      <c r="B29" s="77" t="n"/>
      <c r="C29" s="78">
        <f>IF(OR(A29="",N(B29)=0),0,B29*IFERROR(INDEX('PRICING'!$B$37:$B$51,MATCH(A29,'PRICING'!$A$37:$A$51,0)),0))</f>
        <v/>
      </c>
      <c r="D29" s="79">
        <f>IF(OR(A29="",N(B29)=0),0,B29*IFERROR(INDEX('PRICING'!$C$37:$C$51,MATCH(A29,'PRICING'!$A$37:$A$51,0)),0))</f>
        <v/>
      </c>
      <c r="F29" s="70" t="inlineStr">
        <is>
          <t>GROSS MARGIN %</t>
        </is>
      </c>
      <c r="G29" s="80">
        <f>IF(G16=0,0,G28/G16)</f>
        <v/>
      </c>
    </row>
    <row r="30">
      <c r="A30" s="76" t="n"/>
      <c r="B30" s="77" t="n"/>
      <c r="C30" s="78">
        <f>IF(OR(A30="",N(B30)=0),0,B30*IFERROR(INDEX('PRICING'!$B$37:$B$51,MATCH(A30,'PRICING'!$A$37:$A$51,0)),0))</f>
        <v/>
      </c>
      <c r="D30" s="79">
        <f>IF(OR(A30="",N(B30)=0),0,B30*IFERROR(INDEX('PRICING'!$C$37:$C$51,MATCH(A30,'PRICING'!$A$37:$A$51,0)),0))</f>
        <v/>
      </c>
      <c r="F30" s="59" t="inlineStr">
        <is>
          <t>Revenue per labor hour</t>
        </is>
      </c>
      <c r="G30" s="67">
        <f>IF(G8=0,0,G16/G8)</f>
        <v/>
      </c>
    </row>
    <row r="31">
      <c r="F31" s="59" t="inlineStr">
        <is>
          <t>Gross profit per labor hour</t>
        </is>
      </c>
      <c r="G31" s="67">
        <f>IF(G8=0,0,G28/G8)</f>
        <v/>
      </c>
    </row>
    <row r="32">
      <c r="A32" s="5" t="inlineStr">
        <is>
          <t>DISCOUNT &amp; TAX</t>
        </is>
      </c>
      <c r="B32" s="6" t="n"/>
      <c r="C32" s="6" t="n"/>
      <c r="D32" s="6" t="n"/>
      <c r="F32" s="59" t="inlineStr">
        <is>
          <t>Break-even price (before tax)</t>
        </is>
      </c>
      <c r="G32" s="67">
        <f>IFERROR(ROUND((G26-G25)/(1-IF(B35="Yes",FeePct*(1+N(B34)),0)),2),0)</f>
        <v/>
      </c>
    </row>
    <row r="33">
      <c r="A33" s="59" t="inlineStr">
        <is>
          <t>Manual discount ($)</t>
        </is>
      </c>
      <c r="B33" s="72" t="n">
        <v>0</v>
      </c>
      <c r="F33" s="59" t="inlineStr">
        <is>
          <t>Price needed for your target margin</t>
        </is>
      </c>
      <c r="G33" s="67">
        <f>IFERROR(ROUND((G26-G25)/(1-TargetMargin-IF(B35="Yes",FeePct*(1+N(B34)),0)),2),0)</f>
        <v/>
      </c>
    </row>
    <row r="34">
      <c r="A34" s="59" t="inlineStr">
        <is>
          <t>Sales tax % (only if it applies to you)</t>
        </is>
      </c>
      <c r="B34" s="81">
        <f>TaxDefault</f>
        <v/>
      </c>
      <c r="F34" s="59" t="inlineStr">
        <is>
          <t>Monthly value if recurring</t>
        </is>
      </c>
      <c r="G34" s="67">
        <f>IFERROR(G16*INDEX('PRICING'!$D$28:$D$33,MATCH(B14,'PRICING'!$A$28:$A$33,0)),0)</f>
        <v/>
      </c>
    </row>
    <row r="35">
      <c r="A35" s="59" t="inlineStr">
        <is>
          <t>Customer pays by card/online (adds fee to costs)?</t>
        </is>
      </c>
      <c r="B35" s="63" t="inlineStr">
        <is>
          <t>Yes</t>
        </is>
      </c>
      <c r="F35" s="59" t="inlineStr">
        <is>
          <t>Margin check</t>
        </is>
      </c>
      <c r="G35" s="82">
        <f>IF(G16=0,"Enter job details",IF(G28&lt;0,"Below break-even — raise price or reduce hours",IF(G29&lt;TargetMargin,"Below your target margin","Meets your target margin")))</f>
        <v/>
      </c>
    </row>
    <row r="36">
      <c r="F36" s="59" t="inlineStr">
        <is>
          <t>Overhead share (labor hours × SETTINGS rate)</t>
        </is>
      </c>
      <c r="G36" s="67">
        <f>ROUND(G8*OverheadHr,2)</f>
        <v/>
      </c>
    </row>
    <row r="37">
      <c r="F37" s="59" t="inlineStr">
        <is>
          <t>Est. profit after overhead share</t>
        </is>
      </c>
      <c r="G37" s="67">
        <f>G28-G36</f>
        <v/>
      </c>
    </row>
    <row r="38">
      <c r="A38" s="5" t="inlineStr">
        <is>
          <t>QUOTE SUMMARY  —  copy into your quote, the LEADS sheet, or AI Workflow 02</t>
        </is>
      </c>
      <c r="B38" s="6" t="n"/>
      <c r="C38" s="6" t="n"/>
      <c r="D38" s="6" t="n"/>
      <c r="E38" s="6" t="n"/>
      <c r="F38" s="6" t="n"/>
      <c r="G38" s="6" t="n"/>
      <c r="H38" s="6" t="n"/>
    </row>
    <row r="39" ht="22" customHeight="1">
      <c r="A39" s="83">
        <f>IF(G16=0,"Enter job details above.","Quote for "&amp;IF(B7="","[customer]",B7)&amp;" at "&amp;IF(B8="","[address]",B8)&amp;": "&amp;B9&amp;", "&amp;TEXT(B10,"#,##0")&amp;" sq ft, "&amp;B11&amp;" bd / "&amp;B12&amp;" ba, "&amp;LOWER(B13)&amp;" condition, "&amp;LOWER(B14)&amp;". "&amp;"Crew of "&amp;B15&amp;", about "&amp;TEXT(G9,"0.0")&amp;" hours on site. Add-ons: "&amp;IF(G14=0,"none",TEXT(G14,"$#,##0.00"))&amp;". "&amp;"Price before tax "&amp;TEXT(G16,"$#,##0.00")&amp;IF(G17&gt;0,", tax "&amp;TEXT(G17,"$#,##0.00"),"")&amp;", total "&amp;TEXT(G18,"$#,##0.00")&amp;".")</f>
        <v/>
      </c>
    </row>
    <row r="40"/>
    <row r="41"/>
    <row r="43">
      <c r="A43" s="41" t="inlineStr">
        <is>
          <t>How to use: price shown is what YOUR assumptions produce. Compare it to what you know about your local market, then decide. Copy the price-before-tax into the LEADS Quote Value column when you send the quote.</t>
        </is>
      </c>
    </row>
  </sheetData>
  <mergeCells count="22">
    <mergeCell ref="B11:D11"/>
    <mergeCell ref="B14:D14"/>
    <mergeCell ref="B8:D8"/>
    <mergeCell ref="B17:D17"/>
    <mergeCell ref="B13:D13"/>
    <mergeCell ref="A1:H1"/>
    <mergeCell ref="A39:H41"/>
    <mergeCell ref="B34:D34"/>
    <mergeCell ref="B10:D10"/>
    <mergeCell ref="B19:D19"/>
    <mergeCell ref="B9:D9"/>
    <mergeCell ref="B15:D15"/>
    <mergeCell ref="B6:D6"/>
    <mergeCell ref="B20:D20"/>
    <mergeCell ref="B33:D33"/>
    <mergeCell ref="A2:H2"/>
    <mergeCell ref="B35:D35"/>
    <mergeCell ref="B7:D7"/>
    <mergeCell ref="B16:D16"/>
    <mergeCell ref="B18:D18"/>
    <mergeCell ref="B21:D21"/>
    <mergeCell ref="B12:D12"/>
  </mergeCells>
  <conditionalFormatting sqref="G35">
    <cfRule type="expression" priority="1" dxfId="0">
      <formula>LEFT(G35,5)="Below"</formula>
    </cfRule>
    <cfRule type="expression" priority="2" dxfId="3">
      <formula>G35="Meets your target margin"</formula>
    </cfRule>
  </conditionalFormatting>
  <conditionalFormatting sqref="G28">
    <cfRule type="expression" priority="3" dxfId="0">
      <formula>G28&lt;0</formula>
    </cfRule>
  </conditionalFormatting>
  <conditionalFormatting sqref="G29">
    <cfRule type="expression" priority="4" dxfId="2">
      <formula>AND(G16&gt;0,G29&lt;TargetMargin)</formula>
    </cfRule>
  </conditionalFormatting>
  <dataValidations count="5">
    <dataValidation sqref="B9" showDropDown="0" showInputMessage="0" showErrorMessage="0" allowBlank="1" type="list">
      <formula1>='PRICING'!$A$7:$A$16</formula1>
    </dataValidation>
    <dataValidation sqref="B13" showDropDown="0" showInputMessage="0" showErrorMessage="0" allowBlank="1" type="list">
      <formula1>='PRICING'!$A$20:$A$24</formula1>
    </dataValidation>
    <dataValidation sqref="B14" showDropDown="0" showInputMessage="0" showErrorMessage="0" allowBlank="1" type="list">
      <formula1>='PRICING'!$A$28:$A$33</formula1>
    </dataValidation>
    <dataValidation sqref="A25 A26 A27 A28 A29 A30" showDropDown="0" showInputMessage="0" showErrorMessage="0" allowBlank="1" type="list">
      <formula1>='PRICING'!$A$37:$A$51</formula1>
    </dataValidation>
    <dataValidation sqref="B35" showDropDown="0" showInputMessage="0" showErrorMessage="0" allowBlank="0" type="list">
      <formula1>"Yes,No"</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7.xml><?xml version="1.0" encoding="utf-8"?>
<worksheet xmlns="http://schemas.openxmlformats.org/spreadsheetml/2006/main">
  <sheetPr>
    <tabColor rgb="002A5D8F"/>
    <outlinePr summaryBelow="1" summaryRight="1"/>
    <pageSetUpPr fitToPage="1"/>
  </sheetPr>
  <dimension ref="A1:I64"/>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4" customWidth="1" min="4" max="4"/>
    <col width="14" customWidth="1" min="5" max="5"/>
    <col width="13" customWidth="1" min="6" max="6"/>
    <col width="14" customWidth="1" min="7" max="7"/>
    <col width="14" customWidth="1" min="8" max="8"/>
    <col width="40" customWidth="1" min="9" max="9"/>
  </cols>
  <sheetData>
    <row r="1" ht="34" customHeight="1">
      <c r="A1" s="42" t="inlineStr">
        <is>
          <t>PRICING CALCULATOR</t>
        </is>
      </c>
      <c r="B1" s="1" t="n"/>
      <c r="C1" s="1" t="n"/>
      <c r="D1" s="1" t="n"/>
      <c r="E1" s="1" t="n"/>
      <c r="F1" s="1" t="n"/>
      <c r="G1" s="1" t="n"/>
      <c r="H1" s="1" t="n"/>
      <c r="I1" s="1" t="n"/>
    </row>
    <row r="2" ht="30" customHeight="1">
      <c r="A2" s="43" t="inlineStr">
        <is>
          <t>Your pricing assumptions. Every number is an EXAMPLE starting point — replace them with your own. These are not market rates or recommendations.</t>
        </is>
      </c>
    </row>
    <row r="3" ht="18" customHeight="1">
      <c r="A3" s="24" t="inlineStr">
        <is>
          <t>← Start Here</t>
        </is>
      </c>
      <c r="B3" s="24" t="inlineStr">
        <is>
          <t>Dashboard →</t>
        </is>
      </c>
    </row>
    <row r="5">
      <c r="A5" s="5" t="inlineStr">
        <is>
          <t>1. CLEANING TYPES  —  how long each type takes and what you bill per labor hour</t>
        </is>
      </c>
      <c r="B5" s="6" t="n"/>
      <c r="C5" s="6" t="n"/>
      <c r="D5" s="6" t="n"/>
      <c r="E5" s="6" t="n"/>
      <c r="F5" s="6" t="n"/>
      <c r="G5" s="6" t="n"/>
      <c r="H5" s="6" t="n"/>
      <c r="I5" s="6" t="n"/>
    </row>
    <row r="6" ht="36" customHeight="1">
      <c r="A6" s="44" t="inlineStr">
        <is>
          <t>Cleaning Type</t>
        </is>
      </c>
      <c r="B6" s="44" t="inlineStr">
        <is>
          <t>Billing Rate per Labor Hr ($)</t>
        </is>
      </c>
      <c r="C6" s="44" t="inlineStr">
        <is>
          <t>Sq Ft Cleaned per Labor Hr</t>
        </is>
      </c>
      <c r="D6" s="44" t="inlineStr">
        <is>
          <t>Minutes per Bedroom</t>
        </is>
      </c>
      <c r="E6" s="44" t="inlineStr">
        <is>
          <t>Minutes per Bathroom</t>
        </is>
      </c>
      <c r="F6" s="44" t="inlineStr">
        <is>
          <t>Setup Minutes per Job</t>
        </is>
      </c>
      <c r="G6" s="44" t="inlineStr">
        <is>
          <t>Supplies Multiplier</t>
        </is>
      </c>
      <c r="H6" s="45" t="inlineStr">
        <is>
          <t>Example: 2,000 sq ft, 3 bd / 2 ba (hrs)</t>
        </is>
      </c>
      <c r="I6" s="45" t="inlineStr">
        <is>
          <t>Notes</t>
        </is>
      </c>
    </row>
    <row r="7">
      <c r="A7" s="70" t="inlineStr">
        <is>
          <t>Standard Clean</t>
        </is>
      </c>
      <c r="B7" s="84" t="n">
        <v>50</v>
      </c>
      <c r="C7" s="85" t="n">
        <v>800</v>
      </c>
      <c r="D7" s="86" t="n">
        <v>5</v>
      </c>
      <c r="E7" s="86" t="n">
        <v>15</v>
      </c>
      <c r="F7" s="86" t="n">
        <v>10</v>
      </c>
      <c r="G7" s="87" t="n">
        <v>1</v>
      </c>
      <c r="H7" s="88">
        <f>IF(A7="","",IFERROR(ROUND((2000/INDEX('PRICING'!$C$7:$C$16,MATCH(A7,'PRICING'!$A$7:$A$16,0))+3*INDEX('PRICING'!$D$7:$D$16,MATCH(A7,'PRICING'!$A$7:$A$16,0))/60+2*INDEX('PRICING'!$E$7:$E$16,MATCH(A7,'PRICING'!$A$7:$A$16,0))/60+INDEX('PRICING'!$F$7:$F$16,MATCH(A7,'PRICING'!$A$7:$A$16,0))/60),2),""))</f>
        <v/>
      </c>
      <c r="I7" s="89" t="inlineStr">
        <is>
          <t>Routine maintenance clean</t>
        </is>
      </c>
    </row>
    <row r="8">
      <c r="A8" s="70" t="inlineStr">
        <is>
          <t>Deep Clean</t>
        </is>
      </c>
      <c r="B8" s="84" t="n">
        <v>55</v>
      </c>
      <c r="C8" s="85" t="n">
        <v>400</v>
      </c>
      <c r="D8" s="86" t="n">
        <v>10</v>
      </c>
      <c r="E8" s="86" t="n">
        <v>30</v>
      </c>
      <c r="F8" s="86" t="n">
        <v>15</v>
      </c>
      <c r="G8" s="87" t="n">
        <v>1.5</v>
      </c>
      <c r="H8" s="88">
        <f>IF(A8="","",IFERROR(ROUND((2000/INDEX('PRICING'!$C$7:$C$16,MATCH(A8,'PRICING'!$A$7:$A$16,0))+3*INDEX('PRICING'!$D$7:$D$16,MATCH(A8,'PRICING'!$A$7:$A$16,0))/60+2*INDEX('PRICING'!$E$7:$E$16,MATCH(A8,'PRICING'!$A$7:$A$16,0))/60+INDEX('PRICING'!$F$7:$F$16,MATCH(A8,'PRICING'!$A$7:$A$16,0))/60),2),""))</f>
        <v/>
      </c>
      <c r="I8" s="89" t="inlineStr">
        <is>
          <t>Detail work: baseboards, buildup, fixtures</t>
        </is>
      </c>
    </row>
    <row r="9">
      <c r="A9" s="70" t="inlineStr">
        <is>
          <t>Move-In/Move-Out</t>
        </is>
      </c>
      <c r="B9" s="84" t="n">
        <v>55</v>
      </c>
      <c r="C9" s="85" t="n">
        <v>350</v>
      </c>
      <c r="D9" s="86" t="n">
        <v>15</v>
      </c>
      <c r="E9" s="86" t="n">
        <v>40</v>
      </c>
      <c r="F9" s="86" t="n">
        <v>20</v>
      </c>
      <c r="G9" s="87" t="n">
        <v>1.6</v>
      </c>
      <c r="H9" s="88">
        <f>IF(A9="","",IFERROR(ROUND((2000/INDEX('PRICING'!$C$7:$C$16,MATCH(A9,'PRICING'!$A$7:$A$16,0))+3*INDEX('PRICING'!$D$7:$D$16,MATCH(A9,'PRICING'!$A$7:$A$16,0))/60+2*INDEX('PRICING'!$E$7:$E$16,MATCH(A9,'PRICING'!$A$7:$A$16,0))/60+INDEX('PRICING'!$F$7:$F$16,MATCH(A9,'PRICING'!$A$7:$A$16,0))/60),2),""))</f>
        <v/>
      </c>
      <c r="I9" s="89" t="inlineStr">
        <is>
          <t>Empty home, inside cabinets &amp; appliances as add-ons</t>
        </is>
      </c>
    </row>
    <row r="10">
      <c r="A10" s="70" t="inlineStr">
        <is>
          <t>Airbnb Turnover</t>
        </is>
      </c>
      <c r="B10" s="84" t="n">
        <v>50</v>
      </c>
      <c r="C10" s="85" t="n">
        <v>900</v>
      </c>
      <c r="D10" s="86" t="n">
        <v>10</v>
      </c>
      <c r="E10" s="86" t="n">
        <v>20</v>
      </c>
      <c r="F10" s="86" t="n">
        <v>15</v>
      </c>
      <c r="G10" s="87" t="n">
        <v>1.2</v>
      </c>
      <c r="H10" s="88">
        <f>IF(A10="","",IFERROR(ROUND((2000/INDEX('PRICING'!$C$7:$C$16,MATCH(A10,'PRICING'!$A$7:$A$16,0))+3*INDEX('PRICING'!$D$7:$D$16,MATCH(A10,'PRICING'!$A$7:$A$16,0))/60+2*INDEX('PRICING'!$E$7:$E$16,MATCH(A10,'PRICING'!$A$7:$A$16,0))/60+INDEX('PRICING'!$F$7:$F$16,MATCH(A10,'PRICING'!$A$7:$A$16,0))/60),2),""))</f>
        <v/>
      </c>
      <c r="I10" s="89" t="inlineStr">
        <is>
          <t>Reset + staging; laundry/restock as add-ons</t>
        </is>
      </c>
    </row>
    <row r="11">
      <c r="A11" s="70" t="inlineStr">
        <is>
          <t>Commercial Clean</t>
        </is>
      </c>
      <c r="B11" s="84" t="n">
        <v>45</v>
      </c>
      <c r="C11" s="85" t="n">
        <v>2500</v>
      </c>
      <c r="D11" s="86" t="n">
        <v>0</v>
      </c>
      <c r="E11" s="86" t="n">
        <v>20</v>
      </c>
      <c r="F11" s="86" t="n">
        <v>15</v>
      </c>
      <c r="G11" s="87" t="n">
        <v>0.8</v>
      </c>
      <c r="H11" s="88">
        <f>IF(A11="","",IFERROR(ROUND((2000/INDEX('PRICING'!$C$7:$C$16,MATCH(A11,'PRICING'!$A$7:$A$16,0))+3*INDEX('PRICING'!$D$7:$D$16,MATCH(A11,'PRICING'!$A$7:$A$16,0))/60+2*INDEX('PRICING'!$E$7:$E$16,MATCH(A11,'PRICING'!$A$7:$A$16,0))/60+INDEX('PRICING'!$F$7:$F$16,MATCH(A11,'PRICING'!$A$7:$A$16,0))/60),2),""))</f>
        <v/>
      </c>
      <c r="I11" s="89" t="inlineStr">
        <is>
          <t>Use 'bathrooms' for restrooms; bedrooms = 0</t>
        </is>
      </c>
    </row>
    <row r="12">
      <c r="A12" s="70" t="n"/>
      <c r="B12" s="84" t="n"/>
      <c r="C12" s="85" t="n"/>
      <c r="D12" s="86" t="n"/>
      <c r="E12" s="86" t="n"/>
      <c r="F12" s="86" t="n"/>
      <c r="G12" s="87" t="n"/>
      <c r="H12" s="88">
        <f>IF(A12="","",IFERROR(ROUND((2000/INDEX('PRICING'!$C$7:$C$16,MATCH(A12,'PRICING'!$A$7:$A$16,0))+3*INDEX('PRICING'!$D$7:$D$16,MATCH(A12,'PRICING'!$A$7:$A$16,0))/60+2*INDEX('PRICING'!$E$7:$E$16,MATCH(A12,'PRICING'!$A$7:$A$16,0))/60+INDEX('PRICING'!$F$7:$F$16,MATCH(A12,'PRICING'!$A$7:$A$16,0))/60),2),""))</f>
        <v/>
      </c>
      <c r="I12" s="89" t="n"/>
    </row>
    <row r="13">
      <c r="A13" s="70" t="n"/>
      <c r="B13" s="84" t="n"/>
      <c r="C13" s="85" t="n"/>
      <c r="D13" s="86" t="n"/>
      <c r="E13" s="86" t="n"/>
      <c r="F13" s="86" t="n"/>
      <c r="G13" s="87" t="n"/>
      <c r="H13" s="88">
        <f>IF(A13="","",IFERROR(ROUND((2000/INDEX('PRICING'!$C$7:$C$16,MATCH(A13,'PRICING'!$A$7:$A$16,0))+3*INDEX('PRICING'!$D$7:$D$16,MATCH(A13,'PRICING'!$A$7:$A$16,0))/60+2*INDEX('PRICING'!$E$7:$E$16,MATCH(A13,'PRICING'!$A$7:$A$16,0))/60+INDEX('PRICING'!$F$7:$F$16,MATCH(A13,'PRICING'!$A$7:$A$16,0))/60),2),""))</f>
        <v/>
      </c>
      <c r="I13" s="89" t="n"/>
    </row>
    <row r="14">
      <c r="A14" s="70" t="n"/>
      <c r="B14" s="84" t="n"/>
      <c r="C14" s="85" t="n"/>
      <c r="D14" s="86" t="n"/>
      <c r="E14" s="86" t="n"/>
      <c r="F14" s="86" t="n"/>
      <c r="G14" s="87" t="n"/>
      <c r="H14" s="88">
        <f>IF(A14="","",IFERROR(ROUND((2000/INDEX('PRICING'!$C$7:$C$16,MATCH(A14,'PRICING'!$A$7:$A$16,0))+3*INDEX('PRICING'!$D$7:$D$16,MATCH(A14,'PRICING'!$A$7:$A$16,0))/60+2*INDEX('PRICING'!$E$7:$E$16,MATCH(A14,'PRICING'!$A$7:$A$16,0))/60+INDEX('PRICING'!$F$7:$F$16,MATCH(A14,'PRICING'!$A$7:$A$16,0))/60),2),""))</f>
        <v/>
      </c>
      <c r="I14" s="89" t="n"/>
    </row>
    <row r="15">
      <c r="A15" s="70" t="n"/>
      <c r="B15" s="84" t="n"/>
      <c r="C15" s="85" t="n"/>
      <c r="D15" s="86" t="n"/>
      <c r="E15" s="86" t="n"/>
      <c r="F15" s="86" t="n"/>
      <c r="G15" s="87" t="n"/>
      <c r="H15" s="88">
        <f>IF(A15="","",IFERROR(ROUND((2000/INDEX('PRICING'!$C$7:$C$16,MATCH(A15,'PRICING'!$A$7:$A$16,0))+3*INDEX('PRICING'!$D$7:$D$16,MATCH(A15,'PRICING'!$A$7:$A$16,0))/60+2*INDEX('PRICING'!$E$7:$E$16,MATCH(A15,'PRICING'!$A$7:$A$16,0))/60+INDEX('PRICING'!$F$7:$F$16,MATCH(A15,'PRICING'!$A$7:$A$16,0))/60),2),""))</f>
        <v/>
      </c>
      <c r="I15" s="89" t="n"/>
    </row>
    <row r="16">
      <c r="A16" s="70" t="n"/>
      <c r="B16" s="84" t="n"/>
      <c r="C16" s="85" t="n"/>
      <c r="D16" s="86" t="n"/>
      <c r="E16" s="86" t="n"/>
      <c r="F16" s="86" t="n"/>
      <c r="G16" s="87" t="n"/>
      <c r="H16" s="88">
        <f>IF(A16="","",IFERROR(ROUND((2000/INDEX('PRICING'!$C$7:$C$16,MATCH(A16,'PRICING'!$A$7:$A$16,0))+3*INDEX('PRICING'!$D$7:$D$16,MATCH(A16,'PRICING'!$A$7:$A$16,0))/60+2*INDEX('PRICING'!$E$7:$E$16,MATCH(A16,'PRICING'!$A$7:$A$16,0))/60+INDEX('PRICING'!$F$7:$F$16,MATCH(A16,'PRICING'!$A$7:$A$16,0))/60),2),""))</f>
        <v/>
      </c>
      <c r="I16" s="89" t="n"/>
    </row>
    <row r="17">
      <c r="A17" s="41" t="inlineStr">
        <is>
          <t>Add your own service types in the blank rows (e.g., Post-Construction). They appear in every Service dropdown.</t>
        </is>
      </c>
    </row>
    <row r="18">
      <c r="A18" s="5" t="inlineStr">
        <is>
          <t>2. PROPERTY CONDITION  —  multiplies estimated time</t>
        </is>
      </c>
      <c r="B18" s="6" t="n"/>
      <c r="C18" s="6" t="n"/>
    </row>
    <row r="19" ht="36" customHeight="1">
      <c r="A19" s="44" t="inlineStr">
        <is>
          <t>Condition</t>
        </is>
      </c>
      <c r="B19" s="44" t="inlineStr">
        <is>
          <t>Time Multiplier</t>
        </is>
      </c>
    </row>
    <row r="20">
      <c r="A20" s="70" t="inlineStr">
        <is>
          <t>Light</t>
        </is>
      </c>
      <c r="B20" s="90" t="n">
        <v>0.9</v>
      </c>
    </row>
    <row r="21">
      <c r="A21" s="70" t="inlineStr">
        <is>
          <t>Average</t>
        </is>
      </c>
      <c r="B21" s="90" t="n">
        <v>1</v>
      </c>
    </row>
    <row r="22">
      <c r="A22" s="70" t="inlineStr">
        <is>
          <t>Heavy</t>
        </is>
      </c>
      <c r="B22" s="90" t="n">
        <v>1.25</v>
      </c>
    </row>
    <row r="23">
      <c r="A23" s="70" t="inlineStr">
        <is>
          <t>Very heavy</t>
        </is>
      </c>
      <c r="B23" s="90" t="n">
        <v>1.5</v>
      </c>
    </row>
    <row r="24">
      <c r="A24" s="70" t="n"/>
      <c r="B24" s="90" t="n"/>
    </row>
    <row r="26">
      <c r="A26" s="5" t="inlineStr">
        <is>
          <t>3. FREQUENCY  —  recurring discount and visit spacing</t>
        </is>
      </c>
      <c r="B26" s="6" t="n"/>
      <c r="C26" s="6" t="n"/>
      <c r="D26" s="6" t="n"/>
    </row>
    <row r="27" ht="36" customHeight="1">
      <c r="A27" s="44" t="inlineStr">
        <is>
          <t>Frequency</t>
        </is>
      </c>
      <c r="B27" s="44" t="inlineStr">
        <is>
          <t>Discount %</t>
        </is>
      </c>
      <c r="C27" s="44" t="inlineStr">
        <is>
          <t>Days Between Visits</t>
        </is>
      </c>
      <c r="D27" s="44" t="inlineStr">
        <is>
          <t>Visits per Month</t>
        </is>
      </c>
    </row>
    <row r="28">
      <c r="A28" s="70" t="inlineStr">
        <is>
          <t>One-time</t>
        </is>
      </c>
      <c r="B28" s="91" t="n">
        <v>0</v>
      </c>
      <c r="C28" s="86" t="n">
        <v>0</v>
      </c>
      <c r="D28" s="87" t="n">
        <v>0</v>
      </c>
    </row>
    <row r="29">
      <c r="A29" s="70" t="inlineStr">
        <is>
          <t>Weekly</t>
        </is>
      </c>
      <c r="B29" s="91" t="n">
        <v>0.15</v>
      </c>
      <c r="C29" s="86" t="n">
        <v>7</v>
      </c>
      <c r="D29" s="87" t="n">
        <v>4.33</v>
      </c>
    </row>
    <row r="30">
      <c r="A30" s="70" t="inlineStr">
        <is>
          <t>Biweekly</t>
        </is>
      </c>
      <c r="B30" s="91" t="n">
        <v>0.1</v>
      </c>
      <c r="C30" s="86" t="n">
        <v>14</v>
      </c>
      <c r="D30" s="87" t="n">
        <v>2.17</v>
      </c>
    </row>
    <row r="31">
      <c r="A31" s="70" t="inlineStr">
        <is>
          <t>Every 3 weeks</t>
        </is>
      </c>
      <c r="B31" s="91" t="n">
        <v>0.07000000000000001</v>
      </c>
      <c r="C31" s="86" t="n">
        <v>21</v>
      </c>
      <c r="D31" s="87" t="n">
        <v>1.44</v>
      </c>
    </row>
    <row r="32">
      <c r="A32" s="70" t="inlineStr">
        <is>
          <t>Every 4 weeks</t>
        </is>
      </c>
      <c r="B32" s="91" t="n">
        <v>0.05</v>
      </c>
      <c r="C32" s="86" t="n">
        <v>28</v>
      </c>
      <c r="D32" s="87" t="n">
        <v>1.08</v>
      </c>
    </row>
    <row r="33">
      <c r="A33" s="70" t="inlineStr">
        <is>
          <t>Monthly</t>
        </is>
      </c>
      <c r="B33" s="91" t="n">
        <v>0.05</v>
      </c>
      <c r="C33" s="86" t="n">
        <v>30</v>
      </c>
      <c r="D33" s="87" t="n">
        <v>1</v>
      </c>
    </row>
    <row r="34">
      <c r="A34" s="41" t="inlineStr">
        <is>
          <t>Keep 'One-time' in the first row. 'Monthly' visits are scheduled by calendar month.</t>
        </is>
      </c>
    </row>
    <row r="35">
      <c r="A35" s="5" t="inlineStr">
        <is>
          <t>4. ADD-ONS  —  price, time and direct cost per unit</t>
        </is>
      </c>
      <c r="B35" s="6" t="n"/>
      <c r="C35" s="6" t="n"/>
      <c r="D35" s="6" t="n"/>
    </row>
    <row r="36" ht="36" customHeight="1">
      <c r="A36" s="44" t="inlineStr">
        <is>
          <t>Add-On</t>
        </is>
      </c>
      <c r="B36" s="44" t="inlineStr">
        <is>
          <t>Price per Unit ($)</t>
        </is>
      </c>
      <c r="C36" s="44" t="inlineStr">
        <is>
          <t>Minutes per Unit</t>
        </is>
      </c>
      <c r="D36" s="44" t="inlineStr">
        <is>
          <t>Direct Cost per Unit ($)</t>
        </is>
      </c>
    </row>
    <row r="37">
      <c r="A37" s="70" t="inlineStr">
        <is>
          <t>Inside oven</t>
        </is>
      </c>
      <c r="B37" s="84" t="n">
        <v>35</v>
      </c>
      <c r="C37" s="86" t="n">
        <v>30</v>
      </c>
      <c r="D37" s="84" t="n">
        <v>1</v>
      </c>
    </row>
    <row r="38">
      <c r="A38" s="70" t="inlineStr">
        <is>
          <t>Inside refrigerator</t>
        </is>
      </c>
      <c r="B38" s="84" t="n">
        <v>35</v>
      </c>
      <c r="C38" s="86" t="n">
        <v>30</v>
      </c>
      <c r="D38" s="84" t="n">
        <v>1</v>
      </c>
    </row>
    <row r="39">
      <c r="A39" s="70" t="inlineStr">
        <is>
          <t>Interior windows (per 10)</t>
        </is>
      </c>
      <c r="B39" s="84" t="n">
        <v>40</v>
      </c>
      <c r="C39" s="86" t="n">
        <v>45</v>
      </c>
      <c r="D39" s="84" t="n">
        <v>1</v>
      </c>
    </row>
    <row r="40">
      <c r="A40" s="70" t="inlineStr">
        <is>
          <t>Baseboards detail</t>
        </is>
      </c>
      <c r="B40" s="84" t="n">
        <v>30</v>
      </c>
      <c r="C40" s="86" t="n">
        <v>30</v>
      </c>
      <c r="D40" s="84" t="n">
        <v>0.5</v>
      </c>
    </row>
    <row r="41">
      <c r="A41" s="70" t="inlineStr">
        <is>
          <t>Inside cabinets</t>
        </is>
      </c>
      <c r="B41" s="84" t="n">
        <v>40</v>
      </c>
      <c r="C41" s="86" t="n">
        <v>45</v>
      </c>
      <c r="D41" s="84" t="n">
        <v>1</v>
      </c>
    </row>
    <row r="42">
      <c r="A42" s="70" t="inlineStr">
        <is>
          <t>Laundry (per load)</t>
        </is>
      </c>
      <c r="B42" s="84" t="n">
        <v>15</v>
      </c>
      <c r="C42" s="86" t="n">
        <v>10</v>
      </c>
      <c r="D42" s="84" t="n">
        <v>0.75</v>
      </c>
    </row>
    <row r="43">
      <c r="A43" s="70" t="inlineStr">
        <is>
          <t>Bed linen change (per bed)</t>
        </is>
      </c>
      <c r="B43" s="84" t="n">
        <v>10</v>
      </c>
      <c r="C43" s="86" t="n">
        <v>10</v>
      </c>
      <c r="D43" s="84" t="n">
        <v>0</v>
      </c>
    </row>
    <row r="44">
      <c r="A44" s="70" t="inlineStr">
        <is>
          <t>Balcony / patio</t>
        </is>
      </c>
      <c r="B44" s="84" t="n">
        <v>25</v>
      </c>
      <c r="C44" s="86" t="n">
        <v>20</v>
      </c>
      <c r="D44" s="84" t="n">
        <v>0.5</v>
      </c>
    </row>
    <row r="45">
      <c r="A45" s="70" t="inlineStr">
        <is>
          <t>Garage sweep</t>
        </is>
      </c>
      <c r="B45" s="84" t="n">
        <v>30</v>
      </c>
      <c r="C45" s="86" t="n">
        <v>25</v>
      </c>
      <c r="D45" s="84" t="n">
        <v>0.5</v>
      </c>
    </row>
    <row r="46">
      <c r="A46" s="70" t="inlineStr">
        <is>
          <t>Wall spot cleaning</t>
        </is>
      </c>
      <c r="B46" s="84" t="n">
        <v>25</v>
      </c>
      <c r="C46" s="86" t="n">
        <v>20</v>
      </c>
      <c r="D46" s="84" t="n">
        <v>0.5</v>
      </c>
    </row>
    <row r="47">
      <c r="A47" s="70" t="inlineStr">
        <is>
          <t>Restock supplies (STR)</t>
        </is>
      </c>
      <c r="B47" s="84" t="n">
        <v>15</v>
      </c>
      <c r="C47" s="86" t="n">
        <v>10</v>
      </c>
      <c r="D47" s="84" t="n">
        <v>0</v>
      </c>
    </row>
    <row r="48">
      <c r="A48" s="70" t="n"/>
      <c r="B48" s="84" t="n"/>
      <c r="C48" s="86" t="n"/>
      <c r="D48" s="84" t="n"/>
    </row>
    <row r="49">
      <c r="A49" s="70" t="n"/>
      <c r="B49" s="84" t="n"/>
      <c r="C49" s="86" t="n"/>
      <c r="D49" s="84" t="n"/>
    </row>
    <row r="50">
      <c r="A50" s="70" t="n"/>
      <c r="B50" s="84" t="n"/>
      <c r="C50" s="86" t="n"/>
      <c r="D50" s="84" t="n"/>
    </row>
    <row r="51">
      <c r="A51" s="70" t="n"/>
      <c r="B51" s="84" t="n"/>
      <c r="C51" s="86" t="n"/>
      <c r="D51" s="84" t="n"/>
    </row>
    <row r="53">
      <c r="A53" s="5" t="inlineStr">
        <is>
          <t>5. RATE CARD  —  one-time base prices from your assumptions (before add-ons, discounts, tax)</t>
        </is>
      </c>
      <c r="B53" s="6" t="n"/>
      <c r="C53" s="6" t="n"/>
      <c r="D53" s="6" t="n"/>
      <c r="E53" s="6" t="n"/>
      <c r="F53" s="6" t="n"/>
      <c r="G53" s="6" t="n"/>
      <c r="H53" s="6" t="n"/>
      <c r="I53" s="6" t="n"/>
    </row>
    <row r="54">
      <c r="A54" s="70" t="inlineStr">
        <is>
          <t>Condition for rate card</t>
        </is>
      </c>
      <c r="B54" s="10" t="inlineStr">
        <is>
          <t>Average</t>
        </is>
      </c>
      <c r="C54" s="70" t="inlineStr">
        <is>
          <t>Recurring frequency to compare</t>
        </is>
      </c>
      <c r="D54" s="10" t="inlineStr">
        <is>
          <t>Biweekly</t>
        </is>
      </c>
    </row>
    <row r="55" ht="36" customHeight="1">
      <c r="A55" s="44" t="inlineStr">
        <is>
          <t>Sq Ft</t>
        </is>
      </c>
      <c r="B55" s="44" t="inlineStr">
        <is>
          <t>Bedrooms</t>
        </is>
      </c>
      <c r="C55" s="44" t="inlineStr">
        <is>
          <t>Bathrooms</t>
        </is>
      </c>
      <c r="D55" s="45">
        <f>A7</f>
        <v/>
      </c>
      <c r="E55" s="45">
        <f>A8</f>
        <v/>
      </c>
      <c r="F55" s="45">
        <f>A9</f>
        <v/>
      </c>
      <c r="G55" s="45">
        <f>A10</f>
        <v/>
      </c>
      <c r="H55" s="45">
        <f>"Standard at "&amp;D54</f>
        <v/>
      </c>
      <c r="I55" s="45" t="inlineStr">
        <is>
          <t>Standard Monthly Value</t>
        </is>
      </c>
    </row>
    <row r="56">
      <c r="A56" s="92" t="n">
        <v>800</v>
      </c>
      <c r="B56" s="86" t="n">
        <v>1</v>
      </c>
      <c r="C56" s="86" t="n">
        <v>1</v>
      </c>
      <c r="D56" s="93">
        <f>IFERROR(MAX(MinJob,ROUND(($A56/INDEX('PRICING'!$C$7:$C$16,MATCH(D$55,'PRICING'!$A$7:$A$16,0))+$B56*INDEX('PRICING'!$D$7:$D$16,MATCH(D$55,'PRICING'!$A$7:$A$16,0))/60+$C56*INDEX('PRICING'!$E$7:$E$16,MATCH(D$55,'PRICING'!$A$7:$A$16,0))/60+INDEX('PRICING'!$F$7:$F$16,MATCH(D$55,'PRICING'!$A$7:$A$16,0))/60)*IFERROR(INDEX('PRICING'!$B$20:$B$24,MATCH($B$54,'PRICING'!$A$20:$A$24,0)),1)*INDEX('PRICING'!$B$7:$B$16,MATCH(D$55,'PRICING'!$A$7:$A$16,0)),0)),"")</f>
        <v/>
      </c>
      <c r="E56" s="93">
        <f>IFERROR(MAX(MinJob,ROUND(($A56/INDEX('PRICING'!$C$7:$C$16,MATCH(E$55,'PRICING'!$A$7:$A$16,0))+$B56*INDEX('PRICING'!$D$7:$D$16,MATCH(E$55,'PRICING'!$A$7:$A$16,0))/60+$C56*INDEX('PRICING'!$E$7:$E$16,MATCH(E$55,'PRICING'!$A$7:$A$16,0))/60+INDEX('PRICING'!$F$7:$F$16,MATCH(E$55,'PRICING'!$A$7:$A$16,0))/60)*IFERROR(INDEX('PRICING'!$B$20:$B$24,MATCH($B$54,'PRICING'!$A$20:$A$24,0)),1)*INDEX('PRICING'!$B$7:$B$16,MATCH(E$55,'PRICING'!$A$7:$A$16,0)),0)),"")</f>
        <v/>
      </c>
      <c r="F56" s="93">
        <f>IFERROR(MAX(MinJob,ROUND(($A56/INDEX('PRICING'!$C$7:$C$16,MATCH(F$55,'PRICING'!$A$7:$A$16,0))+$B56*INDEX('PRICING'!$D$7:$D$16,MATCH(F$55,'PRICING'!$A$7:$A$16,0))/60+$C56*INDEX('PRICING'!$E$7:$E$16,MATCH(F$55,'PRICING'!$A$7:$A$16,0))/60+INDEX('PRICING'!$F$7:$F$16,MATCH(F$55,'PRICING'!$A$7:$A$16,0))/60)*IFERROR(INDEX('PRICING'!$B$20:$B$24,MATCH($B$54,'PRICING'!$A$20:$A$24,0)),1)*INDEX('PRICING'!$B$7:$B$16,MATCH(F$55,'PRICING'!$A$7:$A$16,0)),0)),"")</f>
        <v/>
      </c>
      <c r="G56" s="93">
        <f>IFERROR(MAX(MinJob,ROUND(($A56/INDEX('PRICING'!$C$7:$C$16,MATCH(G$55,'PRICING'!$A$7:$A$16,0))+$B56*INDEX('PRICING'!$D$7:$D$16,MATCH(G$55,'PRICING'!$A$7:$A$16,0))/60+$C56*INDEX('PRICING'!$E$7:$E$16,MATCH(G$55,'PRICING'!$A$7:$A$16,0))/60+INDEX('PRICING'!$F$7:$F$16,MATCH(G$55,'PRICING'!$A$7:$A$16,0))/60)*IFERROR(INDEX('PRICING'!$B$20:$B$24,MATCH($B$54,'PRICING'!$A$20:$A$24,0)),1)*INDEX('PRICING'!$B$7:$B$16,MATCH(G$55,'PRICING'!$A$7:$A$16,0)),0)),"")</f>
        <v/>
      </c>
      <c r="H56" s="93">
        <f>IFERROR(ROUND(D56*(1-INDEX('PRICING'!$B$28:$B$33,MATCH($D$54,'PRICING'!$A$28:$A$33,0))),0),"")</f>
        <v/>
      </c>
      <c r="I56" s="93">
        <f>IFERROR(H56*INDEX('PRICING'!$D$28:$D$33,MATCH($D$54,'PRICING'!$A$28:$A$33,0)),"")</f>
        <v/>
      </c>
    </row>
    <row r="57">
      <c r="A57" s="92" t="n">
        <v>1000</v>
      </c>
      <c r="B57" s="86" t="n">
        <v>2</v>
      </c>
      <c r="C57" s="86" t="n">
        <v>1</v>
      </c>
      <c r="D57" s="93">
        <f>IFERROR(MAX(MinJob,ROUND(($A57/INDEX('PRICING'!$C$7:$C$16,MATCH(D$55,'PRICING'!$A$7:$A$16,0))+$B57*INDEX('PRICING'!$D$7:$D$16,MATCH(D$55,'PRICING'!$A$7:$A$16,0))/60+$C57*INDEX('PRICING'!$E$7:$E$16,MATCH(D$55,'PRICING'!$A$7:$A$16,0))/60+INDEX('PRICING'!$F$7:$F$16,MATCH(D$55,'PRICING'!$A$7:$A$16,0))/60)*IFERROR(INDEX('PRICING'!$B$20:$B$24,MATCH($B$54,'PRICING'!$A$20:$A$24,0)),1)*INDEX('PRICING'!$B$7:$B$16,MATCH(D$55,'PRICING'!$A$7:$A$16,0)),0)),"")</f>
        <v/>
      </c>
      <c r="E57" s="93">
        <f>IFERROR(MAX(MinJob,ROUND(($A57/INDEX('PRICING'!$C$7:$C$16,MATCH(E$55,'PRICING'!$A$7:$A$16,0))+$B57*INDEX('PRICING'!$D$7:$D$16,MATCH(E$55,'PRICING'!$A$7:$A$16,0))/60+$C57*INDEX('PRICING'!$E$7:$E$16,MATCH(E$55,'PRICING'!$A$7:$A$16,0))/60+INDEX('PRICING'!$F$7:$F$16,MATCH(E$55,'PRICING'!$A$7:$A$16,0))/60)*IFERROR(INDEX('PRICING'!$B$20:$B$24,MATCH($B$54,'PRICING'!$A$20:$A$24,0)),1)*INDEX('PRICING'!$B$7:$B$16,MATCH(E$55,'PRICING'!$A$7:$A$16,0)),0)),"")</f>
        <v/>
      </c>
      <c r="F57" s="93">
        <f>IFERROR(MAX(MinJob,ROUND(($A57/INDEX('PRICING'!$C$7:$C$16,MATCH(F$55,'PRICING'!$A$7:$A$16,0))+$B57*INDEX('PRICING'!$D$7:$D$16,MATCH(F$55,'PRICING'!$A$7:$A$16,0))/60+$C57*INDEX('PRICING'!$E$7:$E$16,MATCH(F$55,'PRICING'!$A$7:$A$16,0))/60+INDEX('PRICING'!$F$7:$F$16,MATCH(F$55,'PRICING'!$A$7:$A$16,0))/60)*IFERROR(INDEX('PRICING'!$B$20:$B$24,MATCH($B$54,'PRICING'!$A$20:$A$24,0)),1)*INDEX('PRICING'!$B$7:$B$16,MATCH(F$55,'PRICING'!$A$7:$A$16,0)),0)),"")</f>
        <v/>
      </c>
      <c r="G57" s="93">
        <f>IFERROR(MAX(MinJob,ROUND(($A57/INDEX('PRICING'!$C$7:$C$16,MATCH(G$55,'PRICING'!$A$7:$A$16,0))+$B57*INDEX('PRICING'!$D$7:$D$16,MATCH(G$55,'PRICING'!$A$7:$A$16,0))/60+$C57*INDEX('PRICING'!$E$7:$E$16,MATCH(G$55,'PRICING'!$A$7:$A$16,0))/60+INDEX('PRICING'!$F$7:$F$16,MATCH(G$55,'PRICING'!$A$7:$A$16,0))/60)*IFERROR(INDEX('PRICING'!$B$20:$B$24,MATCH($B$54,'PRICING'!$A$20:$A$24,0)),1)*INDEX('PRICING'!$B$7:$B$16,MATCH(G$55,'PRICING'!$A$7:$A$16,0)),0)),"")</f>
        <v/>
      </c>
      <c r="H57" s="93">
        <f>IFERROR(ROUND(D57*(1-INDEX('PRICING'!$B$28:$B$33,MATCH($D$54,'PRICING'!$A$28:$A$33,0))),0),"")</f>
        <v/>
      </c>
      <c r="I57" s="93">
        <f>IFERROR(H57*INDEX('PRICING'!$D$28:$D$33,MATCH($D$54,'PRICING'!$A$28:$A$33,0)),"")</f>
        <v/>
      </c>
    </row>
    <row r="58">
      <c r="A58" s="92" t="n">
        <v>1500</v>
      </c>
      <c r="B58" s="86" t="n">
        <v>3</v>
      </c>
      <c r="C58" s="86" t="n">
        <v>2</v>
      </c>
      <c r="D58" s="93">
        <f>IFERROR(MAX(MinJob,ROUND(($A58/INDEX('PRICING'!$C$7:$C$16,MATCH(D$55,'PRICING'!$A$7:$A$16,0))+$B58*INDEX('PRICING'!$D$7:$D$16,MATCH(D$55,'PRICING'!$A$7:$A$16,0))/60+$C58*INDEX('PRICING'!$E$7:$E$16,MATCH(D$55,'PRICING'!$A$7:$A$16,0))/60+INDEX('PRICING'!$F$7:$F$16,MATCH(D$55,'PRICING'!$A$7:$A$16,0))/60)*IFERROR(INDEX('PRICING'!$B$20:$B$24,MATCH($B$54,'PRICING'!$A$20:$A$24,0)),1)*INDEX('PRICING'!$B$7:$B$16,MATCH(D$55,'PRICING'!$A$7:$A$16,0)),0)),"")</f>
        <v/>
      </c>
      <c r="E58" s="93">
        <f>IFERROR(MAX(MinJob,ROUND(($A58/INDEX('PRICING'!$C$7:$C$16,MATCH(E$55,'PRICING'!$A$7:$A$16,0))+$B58*INDEX('PRICING'!$D$7:$D$16,MATCH(E$55,'PRICING'!$A$7:$A$16,0))/60+$C58*INDEX('PRICING'!$E$7:$E$16,MATCH(E$55,'PRICING'!$A$7:$A$16,0))/60+INDEX('PRICING'!$F$7:$F$16,MATCH(E$55,'PRICING'!$A$7:$A$16,0))/60)*IFERROR(INDEX('PRICING'!$B$20:$B$24,MATCH($B$54,'PRICING'!$A$20:$A$24,0)),1)*INDEX('PRICING'!$B$7:$B$16,MATCH(E$55,'PRICING'!$A$7:$A$16,0)),0)),"")</f>
        <v/>
      </c>
      <c r="F58" s="93">
        <f>IFERROR(MAX(MinJob,ROUND(($A58/INDEX('PRICING'!$C$7:$C$16,MATCH(F$55,'PRICING'!$A$7:$A$16,0))+$B58*INDEX('PRICING'!$D$7:$D$16,MATCH(F$55,'PRICING'!$A$7:$A$16,0))/60+$C58*INDEX('PRICING'!$E$7:$E$16,MATCH(F$55,'PRICING'!$A$7:$A$16,0))/60+INDEX('PRICING'!$F$7:$F$16,MATCH(F$55,'PRICING'!$A$7:$A$16,0))/60)*IFERROR(INDEX('PRICING'!$B$20:$B$24,MATCH($B$54,'PRICING'!$A$20:$A$24,0)),1)*INDEX('PRICING'!$B$7:$B$16,MATCH(F$55,'PRICING'!$A$7:$A$16,0)),0)),"")</f>
        <v/>
      </c>
      <c r="G58" s="93">
        <f>IFERROR(MAX(MinJob,ROUND(($A58/INDEX('PRICING'!$C$7:$C$16,MATCH(G$55,'PRICING'!$A$7:$A$16,0))+$B58*INDEX('PRICING'!$D$7:$D$16,MATCH(G$55,'PRICING'!$A$7:$A$16,0))/60+$C58*INDEX('PRICING'!$E$7:$E$16,MATCH(G$55,'PRICING'!$A$7:$A$16,0))/60+INDEX('PRICING'!$F$7:$F$16,MATCH(G$55,'PRICING'!$A$7:$A$16,0))/60)*IFERROR(INDEX('PRICING'!$B$20:$B$24,MATCH($B$54,'PRICING'!$A$20:$A$24,0)),1)*INDEX('PRICING'!$B$7:$B$16,MATCH(G$55,'PRICING'!$A$7:$A$16,0)),0)),"")</f>
        <v/>
      </c>
      <c r="H58" s="93">
        <f>IFERROR(ROUND(D58*(1-INDEX('PRICING'!$B$28:$B$33,MATCH($D$54,'PRICING'!$A$28:$A$33,0))),0),"")</f>
        <v/>
      </c>
      <c r="I58" s="93">
        <f>IFERROR(H58*INDEX('PRICING'!$D$28:$D$33,MATCH($D$54,'PRICING'!$A$28:$A$33,0)),"")</f>
        <v/>
      </c>
    </row>
    <row r="59">
      <c r="A59" s="92" t="n">
        <v>2000</v>
      </c>
      <c r="B59" s="86" t="n">
        <v>3</v>
      </c>
      <c r="C59" s="86" t="n">
        <v>2</v>
      </c>
      <c r="D59" s="93">
        <f>IFERROR(MAX(MinJob,ROUND(($A59/INDEX('PRICING'!$C$7:$C$16,MATCH(D$55,'PRICING'!$A$7:$A$16,0))+$B59*INDEX('PRICING'!$D$7:$D$16,MATCH(D$55,'PRICING'!$A$7:$A$16,0))/60+$C59*INDEX('PRICING'!$E$7:$E$16,MATCH(D$55,'PRICING'!$A$7:$A$16,0))/60+INDEX('PRICING'!$F$7:$F$16,MATCH(D$55,'PRICING'!$A$7:$A$16,0))/60)*IFERROR(INDEX('PRICING'!$B$20:$B$24,MATCH($B$54,'PRICING'!$A$20:$A$24,0)),1)*INDEX('PRICING'!$B$7:$B$16,MATCH(D$55,'PRICING'!$A$7:$A$16,0)),0)),"")</f>
        <v/>
      </c>
      <c r="E59" s="93">
        <f>IFERROR(MAX(MinJob,ROUND(($A59/INDEX('PRICING'!$C$7:$C$16,MATCH(E$55,'PRICING'!$A$7:$A$16,0))+$B59*INDEX('PRICING'!$D$7:$D$16,MATCH(E$55,'PRICING'!$A$7:$A$16,0))/60+$C59*INDEX('PRICING'!$E$7:$E$16,MATCH(E$55,'PRICING'!$A$7:$A$16,0))/60+INDEX('PRICING'!$F$7:$F$16,MATCH(E$55,'PRICING'!$A$7:$A$16,0))/60)*IFERROR(INDEX('PRICING'!$B$20:$B$24,MATCH($B$54,'PRICING'!$A$20:$A$24,0)),1)*INDEX('PRICING'!$B$7:$B$16,MATCH(E$55,'PRICING'!$A$7:$A$16,0)),0)),"")</f>
        <v/>
      </c>
      <c r="F59" s="93">
        <f>IFERROR(MAX(MinJob,ROUND(($A59/INDEX('PRICING'!$C$7:$C$16,MATCH(F$55,'PRICING'!$A$7:$A$16,0))+$B59*INDEX('PRICING'!$D$7:$D$16,MATCH(F$55,'PRICING'!$A$7:$A$16,0))/60+$C59*INDEX('PRICING'!$E$7:$E$16,MATCH(F$55,'PRICING'!$A$7:$A$16,0))/60+INDEX('PRICING'!$F$7:$F$16,MATCH(F$55,'PRICING'!$A$7:$A$16,0))/60)*IFERROR(INDEX('PRICING'!$B$20:$B$24,MATCH($B$54,'PRICING'!$A$20:$A$24,0)),1)*INDEX('PRICING'!$B$7:$B$16,MATCH(F$55,'PRICING'!$A$7:$A$16,0)),0)),"")</f>
        <v/>
      </c>
      <c r="G59" s="93">
        <f>IFERROR(MAX(MinJob,ROUND(($A59/INDEX('PRICING'!$C$7:$C$16,MATCH(G$55,'PRICING'!$A$7:$A$16,0))+$B59*INDEX('PRICING'!$D$7:$D$16,MATCH(G$55,'PRICING'!$A$7:$A$16,0))/60+$C59*INDEX('PRICING'!$E$7:$E$16,MATCH(G$55,'PRICING'!$A$7:$A$16,0))/60+INDEX('PRICING'!$F$7:$F$16,MATCH(G$55,'PRICING'!$A$7:$A$16,0))/60)*IFERROR(INDEX('PRICING'!$B$20:$B$24,MATCH($B$54,'PRICING'!$A$20:$A$24,0)),1)*INDEX('PRICING'!$B$7:$B$16,MATCH(G$55,'PRICING'!$A$7:$A$16,0)),0)),"")</f>
        <v/>
      </c>
      <c r="H59" s="93">
        <f>IFERROR(ROUND(D59*(1-INDEX('PRICING'!$B$28:$B$33,MATCH($D$54,'PRICING'!$A$28:$A$33,0))),0),"")</f>
        <v/>
      </c>
      <c r="I59" s="93">
        <f>IFERROR(H59*INDEX('PRICING'!$D$28:$D$33,MATCH($D$54,'PRICING'!$A$28:$A$33,0)),"")</f>
        <v/>
      </c>
    </row>
    <row r="60">
      <c r="A60" s="92" t="n">
        <v>2500</v>
      </c>
      <c r="B60" s="86" t="n">
        <v>4</v>
      </c>
      <c r="C60" s="86" t="n">
        <v>3</v>
      </c>
      <c r="D60" s="93">
        <f>IFERROR(MAX(MinJob,ROUND(($A60/INDEX('PRICING'!$C$7:$C$16,MATCH(D$55,'PRICING'!$A$7:$A$16,0))+$B60*INDEX('PRICING'!$D$7:$D$16,MATCH(D$55,'PRICING'!$A$7:$A$16,0))/60+$C60*INDEX('PRICING'!$E$7:$E$16,MATCH(D$55,'PRICING'!$A$7:$A$16,0))/60+INDEX('PRICING'!$F$7:$F$16,MATCH(D$55,'PRICING'!$A$7:$A$16,0))/60)*IFERROR(INDEX('PRICING'!$B$20:$B$24,MATCH($B$54,'PRICING'!$A$20:$A$24,0)),1)*INDEX('PRICING'!$B$7:$B$16,MATCH(D$55,'PRICING'!$A$7:$A$16,0)),0)),"")</f>
        <v/>
      </c>
      <c r="E60" s="93">
        <f>IFERROR(MAX(MinJob,ROUND(($A60/INDEX('PRICING'!$C$7:$C$16,MATCH(E$55,'PRICING'!$A$7:$A$16,0))+$B60*INDEX('PRICING'!$D$7:$D$16,MATCH(E$55,'PRICING'!$A$7:$A$16,0))/60+$C60*INDEX('PRICING'!$E$7:$E$16,MATCH(E$55,'PRICING'!$A$7:$A$16,0))/60+INDEX('PRICING'!$F$7:$F$16,MATCH(E$55,'PRICING'!$A$7:$A$16,0))/60)*IFERROR(INDEX('PRICING'!$B$20:$B$24,MATCH($B$54,'PRICING'!$A$20:$A$24,0)),1)*INDEX('PRICING'!$B$7:$B$16,MATCH(E$55,'PRICING'!$A$7:$A$16,0)),0)),"")</f>
        <v/>
      </c>
      <c r="F60" s="93">
        <f>IFERROR(MAX(MinJob,ROUND(($A60/INDEX('PRICING'!$C$7:$C$16,MATCH(F$55,'PRICING'!$A$7:$A$16,0))+$B60*INDEX('PRICING'!$D$7:$D$16,MATCH(F$55,'PRICING'!$A$7:$A$16,0))/60+$C60*INDEX('PRICING'!$E$7:$E$16,MATCH(F$55,'PRICING'!$A$7:$A$16,0))/60+INDEX('PRICING'!$F$7:$F$16,MATCH(F$55,'PRICING'!$A$7:$A$16,0))/60)*IFERROR(INDEX('PRICING'!$B$20:$B$24,MATCH($B$54,'PRICING'!$A$20:$A$24,0)),1)*INDEX('PRICING'!$B$7:$B$16,MATCH(F$55,'PRICING'!$A$7:$A$16,0)),0)),"")</f>
        <v/>
      </c>
      <c r="G60" s="93">
        <f>IFERROR(MAX(MinJob,ROUND(($A60/INDEX('PRICING'!$C$7:$C$16,MATCH(G$55,'PRICING'!$A$7:$A$16,0))+$B60*INDEX('PRICING'!$D$7:$D$16,MATCH(G$55,'PRICING'!$A$7:$A$16,0))/60+$C60*INDEX('PRICING'!$E$7:$E$16,MATCH(G$55,'PRICING'!$A$7:$A$16,0))/60+INDEX('PRICING'!$F$7:$F$16,MATCH(G$55,'PRICING'!$A$7:$A$16,0))/60)*IFERROR(INDEX('PRICING'!$B$20:$B$24,MATCH($B$54,'PRICING'!$A$20:$A$24,0)),1)*INDEX('PRICING'!$B$7:$B$16,MATCH(G$55,'PRICING'!$A$7:$A$16,0)),0)),"")</f>
        <v/>
      </c>
      <c r="H60" s="93">
        <f>IFERROR(ROUND(D60*(1-INDEX('PRICING'!$B$28:$B$33,MATCH($D$54,'PRICING'!$A$28:$A$33,0))),0),"")</f>
        <v/>
      </c>
      <c r="I60" s="93">
        <f>IFERROR(H60*INDEX('PRICING'!$D$28:$D$33,MATCH($D$54,'PRICING'!$A$28:$A$33,0)),"")</f>
        <v/>
      </c>
    </row>
    <row r="61">
      <c r="A61" s="92" t="n">
        <v>3000</v>
      </c>
      <c r="B61" s="86" t="n">
        <v>4</v>
      </c>
      <c r="C61" s="86" t="n">
        <v>3</v>
      </c>
      <c r="D61" s="93">
        <f>IFERROR(MAX(MinJob,ROUND(($A61/INDEX('PRICING'!$C$7:$C$16,MATCH(D$55,'PRICING'!$A$7:$A$16,0))+$B61*INDEX('PRICING'!$D$7:$D$16,MATCH(D$55,'PRICING'!$A$7:$A$16,0))/60+$C61*INDEX('PRICING'!$E$7:$E$16,MATCH(D$55,'PRICING'!$A$7:$A$16,0))/60+INDEX('PRICING'!$F$7:$F$16,MATCH(D$55,'PRICING'!$A$7:$A$16,0))/60)*IFERROR(INDEX('PRICING'!$B$20:$B$24,MATCH($B$54,'PRICING'!$A$20:$A$24,0)),1)*INDEX('PRICING'!$B$7:$B$16,MATCH(D$55,'PRICING'!$A$7:$A$16,0)),0)),"")</f>
        <v/>
      </c>
      <c r="E61" s="93">
        <f>IFERROR(MAX(MinJob,ROUND(($A61/INDEX('PRICING'!$C$7:$C$16,MATCH(E$55,'PRICING'!$A$7:$A$16,0))+$B61*INDEX('PRICING'!$D$7:$D$16,MATCH(E$55,'PRICING'!$A$7:$A$16,0))/60+$C61*INDEX('PRICING'!$E$7:$E$16,MATCH(E$55,'PRICING'!$A$7:$A$16,0))/60+INDEX('PRICING'!$F$7:$F$16,MATCH(E$55,'PRICING'!$A$7:$A$16,0))/60)*IFERROR(INDEX('PRICING'!$B$20:$B$24,MATCH($B$54,'PRICING'!$A$20:$A$24,0)),1)*INDEX('PRICING'!$B$7:$B$16,MATCH(E$55,'PRICING'!$A$7:$A$16,0)),0)),"")</f>
        <v/>
      </c>
      <c r="F61" s="93">
        <f>IFERROR(MAX(MinJob,ROUND(($A61/INDEX('PRICING'!$C$7:$C$16,MATCH(F$55,'PRICING'!$A$7:$A$16,0))+$B61*INDEX('PRICING'!$D$7:$D$16,MATCH(F$55,'PRICING'!$A$7:$A$16,0))/60+$C61*INDEX('PRICING'!$E$7:$E$16,MATCH(F$55,'PRICING'!$A$7:$A$16,0))/60+INDEX('PRICING'!$F$7:$F$16,MATCH(F$55,'PRICING'!$A$7:$A$16,0))/60)*IFERROR(INDEX('PRICING'!$B$20:$B$24,MATCH($B$54,'PRICING'!$A$20:$A$24,0)),1)*INDEX('PRICING'!$B$7:$B$16,MATCH(F$55,'PRICING'!$A$7:$A$16,0)),0)),"")</f>
        <v/>
      </c>
      <c r="G61" s="93">
        <f>IFERROR(MAX(MinJob,ROUND(($A61/INDEX('PRICING'!$C$7:$C$16,MATCH(G$55,'PRICING'!$A$7:$A$16,0))+$B61*INDEX('PRICING'!$D$7:$D$16,MATCH(G$55,'PRICING'!$A$7:$A$16,0))/60+$C61*INDEX('PRICING'!$E$7:$E$16,MATCH(G$55,'PRICING'!$A$7:$A$16,0))/60+INDEX('PRICING'!$F$7:$F$16,MATCH(G$55,'PRICING'!$A$7:$A$16,0))/60)*IFERROR(INDEX('PRICING'!$B$20:$B$24,MATCH($B$54,'PRICING'!$A$20:$A$24,0)),1)*INDEX('PRICING'!$B$7:$B$16,MATCH(G$55,'PRICING'!$A$7:$A$16,0)),0)),"")</f>
        <v/>
      </c>
      <c r="H61" s="93">
        <f>IFERROR(ROUND(D61*(1-INDEX('PRICING'!$B$28:$B$33,MATCH($D$54,'PRICING'!$A$28:$A$33,0))),0),"")</f>
        <v/>
      </c>
      <c r="I61" s="93">
        <f>IFERROR(H61*INDEX('PRICING'!$D$28:$D$33,MATCH($D$54,'PRICING'!$A$28:$A$33,0)),"")</f>
        <v/>
      </c>
    </row>
    <row r="62">
      <c r="A62" s="92" t="n">
        <v>3500</v>
      </c>
      <c r="B62" s="86" t="n">
        <v>5</v>
      </c>
      <c r="C62" s="86" t="n">
        <v>4</v>
      </c>
      <c r="D62" s="93">
        <f>IFERROR(MAX(MinJob,ROUND(($A62/INDEX('PRICING'!$C$7:$C$16,MATCH(D$55,'PRICING'!$A$7:$A$16,0))+$B62*INDEX('PRICING'!$D$7:$D$16,MATCH(D$55,'PRICING'!$A$7:$A$16,0))/60+$C62*INDEX('PRICING'!$E$7:$E$16,MATCH(D$55,'PRICING'!$A$7:$A$16,0))/60+INDEX('PRICING'!$F$7:$F$16,MATCH(D$55,'PRICING'!$A$7:$A$16,0))/60)*IFERROR(INDEX('PRICING'!$B$20:$B$24,MATCH($B$54,'PRICING'!$A$20:$A$24,0)),1)*INDEX('PRICING'!$B$7:$B$16,MATCH(D$55,'PRICING'!$A$7:$A$16,0)),0)),"")</f>
        <v/>
      </c>
      <c r="E62" s="93">
        <f>IFERROR(MAX(MinJob,ROUND(($A62/INDEX('PRICING'!$C$7:$C$16,MATCH(E$55,'PRICING'!$A$7:$A$16,0))+$B62*INDEX('PRICING'!$D$7:$D$16,MATCH(E$55,'PRICING'!$A$7:$A$16,0))/60+$C62*INDEX('PRICING'!$E$7:$E$16,MATCH(E$55,'PRICING'!$A$7:$A$16,0))/60+INDEX('PRICING'!$F$7:$F$16,MATCH(E$55,'PRICING'!$A$7:$A$16,0))/60)*IFERROR(INDEX('PRICING'!$B$20:$B$24,MATCH($B$54,'PRICING'!$A$20:$A$24,0)),1)*INDEX('PRICING'!$B$7:$B$16,MATCH(E$55,'PRICING'!$A$7:$A$16,0)),0)),"")</f>
        <v/>
      </c>
      <c r="F62" s="93">
        <f>IFERROR(MAX(MinJob,ROUND(($A62/INDEX('PRICING'!$C$7:$C$16,MATCH(F$55,'PRICING'!$A$7:$A$16,0))+$B62*INDEX('PRICING'!$D$7:$D$16,MATCH(F$55,'PRICING'!$A$7:$A$16,0))/60+$C62*INDEX('PRICING'!$E$7:$E$16,MATCH(F$55,'PRICING'!$A$7:$A$16,0))/60+INDEX('PRICING'!$F$7:$F$16,MATCH(F$55,'PRICING'!$A$7:$A$16,0))/60)*IFERROR(INDEX('PRICING'!$B$20:$B$24,MATCH($B$54,'PRICING'!$A$20:$A$24,0)),1)*INDEX('PRICING'!$B$7:$B$16,MATCH(F$55,'PRICING'!$A$7:$A$16,0)),0)),"")</f>
        <v/>
      </c>
      <c r="G62" s="93">
        <f>IFERROR(MAX(MinJob,ROUND(($A62/INDEX('PRICING'!$C$7:$C$16,MATCH(G$55,'PRICING'!$A$7:$A$16,0))+$B62*INDEX('PRICING'!$D$7:$D$16,MATCH(G$55,'PRICING'!$A$7:$A$16,0))/60+$C62*INDEX('PRICING'!$E$7:$E$16,MATCH(G$55,'PRICING'!$A$7:$A$16,0))/60+INDEX('PRICING'!$F$7:$F$16,MATCH(G$55,'PRICING'!$A$7:$A$16,0))/60)*IFERROR(INDEX('PRICING'!$B$20:$B$24,MATCH($B$54,'PRICING'!$A$20:$A$24,0)),1)*INDEX('PRICING'!$B$7:$B$16,MATCH(G$55,'PRICING'!$A$7:$A$16,0)),0)),"")</f>
        <v/>
      </c>
      <c r="H62" s="93">
        <f>IFERROR(ROUND(D62*(1-INDEX('PRICING'!$B$28:$B$33,MATCH($D$54,'PRICING'!$A$28:$A$33,0))),0),"")</f>
        <v/>
      </c>
      <c r="I62" s="93">
        <f>IFERROR(H62*INDEX('PRICING'!$D$28:$D$33,MATCH($D$54,'PRICING'!$A$28:$A$33,0)),"")</f>
        <v/>
      </c>
    </row>
    <row r="63">
      <c r="A63" s="92" t="n">
        <v>4000</v>
      </c>
      <c r="B63" s="86" t="n">
        <v>5</v>
      </c>
      <c r="C63" s="86" t="n">
        <v>4</v>
      </c>
      <c r="D63" s="93">
        <f>IFERROR(MAX(MinJob,ROUND(($A63/INDEX('PRICING'!$C$7:$C$16,MATCH(D$55,'PRICING'!$A$7:$A$16,0))+$B63*INDEX('PRICING'!$D$7:$D$16,MATCH(D$55,'PRICING'!$A$7:$A$16,0))/60+$C63*INDEX('PRICING'!$E$7:$E$16,MATCH(D$55,'PRICING'!$A$7:$A$16,0))/60+INDEX('PRICING'!$F$7:$F$16,MATCH(D$55,'PRICING'!$A$7:$A$16,0))/60)*IFERROR(INDEX('PRICING'!$B$20:$B$24,MATCH($B$54,'PRICING'!$A$20:$A$24,0)),1)*INDEX('PRICING'!$B$7:$B$16,MATCH(D$55,'PRICING'!$A$7:$A$16,0)),0)),"")</f>
        <v/>
      </c>
      <c r="E63" s="93">
        <f>IFERROR(MAX(MinJob,ROUND(($A63/INDEX('PRICING'!$C$7:$C$16,MATCH(E$55,'PRICING'!$A$7:$A$16,0))+$B63*INDEX('PRICING'!$D$7:$D$16,MATCH(E$55,'PRICING'!$A$7:$A$16,0))/60+$C63*INDEX('PRICING'!$E$7:$E$16,MATCH(E$55,'PRICING'!$A$7:$A$16,0))/60+INDEX('PRICING'!$F$7:$F$16,MATCH(E$55,'PRICING'!$A$7:$A$16,0))/60)*IFERROR(INDEX('PRICING'!$B$20:$B$24,MATCH($B$54,'PRICING'!$A$20:$A$24,0)),1)*INDEX('PRICING'!$B$7:$B$16,MATCH(E$55,'PRICING'!$A$7:$A$16,0)),0)),"")</f>
        <v/>
      </c>
      <c r="F63" s="93">
        <f>IFERROR(MAX(MinJob,ROUND(($A63/INDEX('PRICING'!$C$7:$C$16,MATCH(F$55,'PRICING'!$A$7:$A$16,0))+$B63*INDEX('PRICING'!$D$7:$D$16,MATCH(F$55,'PRICING'!$A$7:$A$16,0))/60+$C63*INDEX('PRICING'!$E$7:$E$16,MATCH(F$55,'PRICING'!$A$7:$A$16,0))/60+INDEX('PRICING'!$F$7:$F$16,MATCH(F$55,'PRICING'!$A$7:$A$16,0))/60)*IFERROR(INDEX('PRICING'!$B$20:$B$24,MATCH($B$54,'PRICING'!$A$20:$A$24,0)),1)*INDEX('PRICING'!$B$7:$B$16,MATCH(F$55,'PRICING'!$A$7:$A$16,0)),0)),"")</f>
        <v/>
      </c>
      <c r="G63" s="93">
        <f>IFERROR(MAX(MinJob,ROUND(($A63/INDEX('PRICING'!$C$7:$C$16,MATCH(G$55,'PRICING'!$A$7:$A$16,0))+$B63*INDEX('PRICING'!$D$7:$D$16,MATCH(G$55,'PRICING'!$A$7:$A$16,0))/60+$C63*INDEX('PRICING'!$E$7:$E$16,MATCH(G$55,'PRICING'!$A$7:$A$16,0))/60+INDEX('PRICING'!$F$7:$F$16,MATCH(G$55,'PRICING'!$A$7:$A$16,0))/60)*IFERROR(INDEX('PRICING'!$B$20:$B$24,MATCH($B$54,'PRICING'!$A$20:$A$24,0)),1)*INDEX('PRICING'!$B$7:$B$16,MATCH(G$55,'PRICING'!$A$7:$A$16,0)),0)),"")</f>
        <v/>
      </c>
      <c r="H63" s="93">
        <f>IFERROR(ROUND(D63*(1-INDEX('PRICING'!$B$28:$B$33,MATCH($D$54,'PRICING'!$A$28:$A$33,0))),0),"")</f>
        <v/>
      </c>
      <c r="I63" s="93">
        <f>IFERROR(H63*INDEX('PRICING'!$D$28:$D$33,MATCH($D$54,'PRICING'!$A$28:$A$33,0)),"")</f>
        <v/>
      </c>
    </row>
    <row r="64">
      <c r="A64" s="41" t="inlineStr">
        <is>
          <t>Rate card uses: time = (sq ft ÷ sq ft per hr + bedrooms × min + bathrooms × min + setup) × condition; price = MAX(minimum job price, time × billing rate). Edit rows 56–63 to match the homes you usually quote.</t>
        </is>
      </c>
    </row>
  </sheetData>
  <mergeCells count="2">
    <mergeCell ref="A1:I1"/>
    <mergeCell ref="A2:I2"/>
  </mergeCells>
  <dataValidations count="2">
    <dataValidation sqref="B54" showDropDown="0" showInputMessage="0" showErrorMessage="0" allowBlank="0" type="list">
      <formula1>='PRICING'!$A$20:$A$24</formula1>
    </dataValidation>
    <dataValidation sqref="D54" showDropDown="0" showInputMessage="0" showErrorMessage="0" allowBlank="0" type="list">
      <formula1>='PRICING'!$A$29:$A$33</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8.xml><?xml version="1.0" encoding="utf-8"?>
<worksheet xmlns="http://schemas.openxmlformats.org/spreadsheetml/2006/main">
  <sheetPr>
    <tabColor rgb="002BB3A3"/>
    <outlinePr summaryBelow="1" summaryRight="1"/>
    <pageSetUpPr fitToPage="1"/>
  </sheetPr>
  <dimension ref="A1:AL150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0" customWidth="1" min="4" max="4"/>
    <col width="24" customWidth="1" min="5" max="5"/>
    <col width="17" customWidth="1" min="6" max="6"/>
    <col width="13" customWidth="1" min="7" max="7"/>
    <col width="16"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26"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4" customWidth="1" min="35" max="35"/>
    <col width="13" customWidth="1" min="36" max="36"/>
    <col width="13" customWidth="1" min="37" max="37"/>
    <col width="13" customWidth="1" min="38" max="38"/>
  </cols>
  <sheetData>
    <row r="1" ht="34" customHeight="1">
      <c r="A1" s="42" t="inlineStr">
        <is>
          <t>JOBS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row>
    <row r="2" ht="30" customHeight="1">
      <c r="A2" s="43" t="inlineStr">
        <is>
          <t>Every job, one row. Fill the white columns; payment status, costs and estimated profit are automatic. Link recurring visits with a Plan ID. Log payments in REVENUE and trips in MILEAGE.</t>
        </is>
      </c>
    </row>
    <row r="3" ht="18" customHeight="1">
      <c r="A3" s="24" t="inlineStr">
        <is>
          <t>← Start Here</t>
        </is>
      </c>
      <c r="B3" s="24" t="inlineStr">
        <is>
          <t>Dashboard →</t>
        </is>
      </c>
    </row>
    <row r="4" ht="42" customHeight="1">
      <c r="A4" s="44" t="inlineStr">
        <is>
          <t>Job ID</t>
        </is>
      </c>
      <c r="B4" s="44" t="inlineStr">
        <is>
          <t>Date</t>
        </is>
      </c>
      <c r="C4" s="44" t="inlineStr">
        <is>
          <t>Start Time</t>
        </is>
      </c>
      <c r="D4" s="44" t="inlineStr">
        <is>
          <t>Customer</t>
        </is>
      </c>
      <c r="E4" s="44" t="inlineStr">
        <is>
          <t>Property</t>
        </is>
      </c>
      <c r="F4" s="44" t="inlineStr">
        <is>
          <t>Service</t>
        </is>
      </c>
      <c r="G4" s="44" t="inlineStr">
        <is>
          <t>Recurring Plan ID</t>
        </is>
      </c>
      <c r="H4" s="44" t="inlineStr">
        <is>
          <t>Assigned Worker (lead)</t>
        </is>
      </c>
      <c r="I4" s="44" t="inlineStr">
        <is>
          <t>Crew Size</t>
        </is>
      </c>
      <c r="J4" s="44" t="inlineStr">
        <is>
          <t>Est. Labor Hrs (optional)</t>
        </is>
      </c>
      <c r="K4" s="44" t="inlineStr">
        <is>
          <t>Actual Labor Hrs</t>
        </is>
      </c>
      <c r="L4" s="44" t="inlineStr">
        <is>
          <t>Price (before tax)</t>
        </is>
      </c>
      <c r="M4" s="44" t="inlineStr">
        <is>
          <t>Tax %</t>
        </is>
      </c>
      <c r="N4" s="44" t="inlineStr">
        <is>
          <t>Supplies $ (blank = auto)</t>
        </is>
      </c>
      <c r="O4" s="44" t="inlineStr">
        <is>
          <t>Status</t>
        </is>
      </c>
      <c r="P4" s="44" t="inlineStr">
        <is>
          <t>Notes</t>
        </is>
      </c>
      <c r="Q4" s="45" t="inlineStr">
        <is>
          <t>Auto Est. Hrs ⚙</t>
        </is>
      </c>
      <c r="R4" s="45" t="inlineStr">
        <is>
          <t>Labor Hrs Used ⚙</t>
        </is>
      </c>
      <c r="S4" s="45" t="inlineStr">
        <is>
          <t>Invoice Total ⚙</t>
        </is>
      </c>
      <c r="T4" s="45" t="inlineStr">
        <is>
          <t>Paid ⚙</t>
        </is>
      </c>
      <c r="U4" s="45" t="inlineStr">
        <is>
          <t>Balance Due ⚙</t>
        </is>
      </c>
      <c r="V4" s="45" t="inlineStr">
        <is>
          <t>Payment Status ⚙</t>
        </is>
      </c>
      <c r="W4" s="45" t="inlineStr">
        <is>
          <t>Pay Rate Used ⚙</t>
        </is>
      </c>
      <c r="X4" s="45" t="inlineStr">
        <is>
          <t>Labor Cost ⚙</t>
        </is>
      </c>
      <c r="Y4" s="45" t="inlineStr">
        <is>
          <t>Supplies Cost ⚙</t>
        </is>
      </c>
      <c r="Z4" s="45" t="inlineStr">
        <is>
          <t>Miles (from MILEAGE) ⚙</t>
        </is>
      </c>
      <c r="AA4" s="45" t="inlineStr">
        <is>
          <t>Vehicle Cost ⚙</t>
        </is>
      </c>
      <c r="AB4" s="45" t="inlineStr">
        <is>
          <t>Payment Fees ⚙</t>
        </is>
      </c>
      <c r="AC4" s="45" t="inlineStr">
        <is>
          <t>Gross Profit (est.) ⚙</t>
        </is>
      </c>
      <c r="AD4" s="45" t="inlineStr">
        <is>
          <t>Gross Margin ⚙</t>
        </is>
      </c>
      <c r="AE4" s="45" t="inlineStr">
        <is>
          <t>Revenue / Labor Hr ⚙</t>
        </is>
      </c>
      <c r="AF4" s="45" t="inlineStr">
        <is>
          <t>Hours Over (+) / Under (−) ⚙</t>
        </is>
      </c>
      <c r="AG4" s="45" t="inlineStr">
        <is>
          <t>QC Score ⚙</t>
        </is>
      </c>
      <c r="AH4" s="45" t="inlineStr">
        <is>
          <t>Month ⚙</t>
        </is>
      </c>
      <c r="AI4" s="45" t="inlineStr">
        <is>
          <t>Customer Type ⚙</t>
        </is>
      </c>
      <c r="AJ4" s="45" t="inlineStr">
        <is>
          <t>Sort Time ⚙</t>
        </is>
      </c>
      <c r="AK4" s="45" t="inlineStr">
        <is>
          <t>Schedule Key ⚙</t>
        </is>
      </c>
      <c r="AL4" s="45" t="inlineStr">
        <is>
          <t>Unpaid Order ⚙</t>
        </is>
      </c>
    </row>
    <row r="5">
      <c r="A5" s="46" t="inlineStr">
        <is>
          <t>J-0001</t>
        </is>
      </c>
      <c r="B5" s="47" t="n">
        <v>46031</v>
      </c>
      <c r="C5" s="94" t="n">
        <v>0.3333333333333333</v>
      </c>
      <c r="D5" s="38" t="inlineStr">
        <is>
          <t>Dana Collins</t>
        </is>
      </c>
      <c r="E5" s="38" t="inlineStr">
        <is>
          <t>84 Hawthorn Road, Lakeview (fictional)</t>
        </is>
      </c>
      <c r="F5" s="38" t="inlineStr">
        <is>
          <t>Deep Clean</t>
        </is>
      </c>
      <c r="G5" s="38" t="n"/>
      <c r="H5" s="38" t="inlineStr">
        <is>
          <t>Maria Lopez</t>
        </is>
      </c>
      <c r="I5" s="57" t="n">
        <v>2</v>
      </c>
      <c r="J5" s="95" t="n"/>
      <c r="K5" s="95" t="n">
        <v>9.199999999999999</v>
      </c>
      <c r="L5" s="48" t="n">
        <v>450</v>
      </c>
      <c r="M5" s="96" t="n">
        <v>0</v>
      </c>
      <c r="N5" s="48" t="n"/>
      <c r="O5" s="38" t="inlineStr">
        <is>
          <t>Completed</t>
        </is>
      </c>
      <c r="P5" s="38" t="inlineStr">
        <is>
          <t>Initial deep clean</t>
        </is>
      </c>
      <c r="Q5" s="97">
        <f>IF(OR(F5="",E5=""),"",IFERROR(IF(INDEX('PROPERTIES'!$F$5:$F$404,MATCH(E5,'PROPERTIES'!$B$5:$B$404,0))=0,"",ROUND((INDEX('PROPERTIES'!$F$5:$F$404,MATCH(E5,'PROPERTIES'!$B$5:$B$404,0))/INDEX('PRICING'!$C$7:$C$16,MATCH(F5,'PRICING'!$A$7:$A$16,0))+INDEX('PROPERTIES'!$G$5:$G$404,MATCH(E5,'PROPERTIES'!$B$5:$B$404,0))*INDEX('PRICING'!$D$7:$D$16,MATCH(F5,'PRICING'!$A$7:$A$16,0))/60+INDEX('PROPERTIES'!$H$5:$H$404,MATCH(E5,'PROPERTIES'!$B$5:$B$404,0))*INDEX('PRICING'!$E$7:$E$16,MATCH(F5,'PRICING'!$A$7:$A$16,0))/60+INDEX('PRICING'!$F$7:$F$16,MATCH(F5,'PRICING'!$A$7:$A$16,0))/60),2)),""))</f>
        <v/>
      </c>
      <c r="R5" s="97">
        <f>IF(B5="","",IF(N(K5)&gt;0,K5,IF(N(J5)&gt;0,J5,N(Q5))))</f>
        <v/>
      </c>
      <c r="S5" s="55">
        <f>IF(L5="","",ROUND(L5*(1+N(M5)),2))</f>
        <v/>
      </c>
      <c r="T5" s="55">
        <f>IF(B5="","",SUMIFS('REVENUE'!$C$5:$C$1504,'REVENUE'!$B$5:$B$1504,A5))</f>
        <v/>
      </c>
      <c r="U5" s="55">
        <f>IF(B5="","",IF(O5="Completed",MAX(0,N(S5)-T5),""))</f>
        <v/>
      </c>
      <c r="V5" s="49">
        <f>IF(B5="","",IF(O5&lt;&gt;"Completed",IF(T5&gt;0,"Deposit","—"),IF(U5&lt;=0.005,"Paid",IF(T5&gt;0,"Partial","Unpaid"))))</f>
        <v/>
      </c>
      <c r="W5" s="55">
        <f>IF(B5="","",IFERROR(1/(1/INDEX('STAFF &amp; TASKS'!$C$5:$C$24,MATCH(H5,'STAFF &amp; TASKS'!$A$5:$A$24,0))),PayRate))</f>
        <v/>
      </c>
      <c r="X5" s="55">
        <f>IF(B5="","",IF(OR(O5="Cancelled",O5="No-Show"),"",ROUND(R5*W5*(1+Burden),2)))</f>
        <v/>
      </c>
      <c r="Y5" s="55">
        <f>IF(B5="","",IF(OR(O5="Cancelled",O5="No-Show"),"",IF(N5&lt;&gt;"",N5,ROUND(R5*SupHr*IFERROR(INDEX('PRICING'!$G$7:$G$16,MATCH(F5,'PRICING'!$A$7:$A$16,0)),1),2))))</f>
        <v/>
      </c>
      <c r="Z5" s="98">
        <f>IF(B5="","",SUMIFS('MILEAGE'!$J$5:$J$1504,'MILEAGE'!$B$5:$B$1504,A5))</f>
        <v/>
      </c>
      <c r="AA5" s="55">
        <f>IF(B5="","",ROUND(Z5*MileRate,2))</f>
        <v/>
      </c>
      <c r="AB5" s="55">
        <f>IF(B5="","",SUMIFS('REVENUE'!$J$5:$J$1504,'REVENUE'!$B$5:$B$1504,A5))</f>
        <v/>
      </c>
      <c r="AC5" s="55">
        <f>IF(L5="","",IF(OR(O5="Cancelled",O5="No-Show"),"",L5-N(X5)-N(Y5)-AA5-AB5))</f>
        <v/>
      </c>
      <c r="AD5" s="99">
        <f>IF(OR(AC5="",N(L5)=0),"",AC5/L5)</f>
        <v/>
      </c>
      <c r="AE5" s="55">
        <f>IF(OR(AC5="",N(R5)=0),"",L5/R5)</f>
        <v/>
      </c>
      <c r="AF5" s="100">
        <f>IF(OR(N(K5)=0,N(J5)+N(Q5)=0),"",K5-IF(N(J5)&gt;0,J5,Q5))</f>
        <v/>
      </c>
      <c r="AG5" s="99">
        <f>IF(B5="","",IFERROR(AVERAGEIFS('QUALITY CONTROL'!$M$5:$M$304,'QUALITY CONTROL'!$B$5:$B$304,A5),""))</f>
        <v/>
      </c>
      <c r="AH5" s="51">
        <f>IF(B5="","",DATE(YEAR(B5),MONTH(B5),1))</f>
        <v/>
      </c>
      <c r="AI5" s="49">
        <f>IF(D5="","",IFERROR(INDEX('CUSTOMERS'!$E$5:$E$404,MATCH(D5,'CUSTOMERS'!$B$5:$B$404,0)),""))</f>
        <v/>
      </c>
      <c r="AJ5" s="49">
        <f>IF(B5="","",N(C5))</f>
        <v/>
      </c>
      <c r="AK5" s="49">
        <f>IF(OR(B5="",O5="Cancelled",O5="Rescheduled"),"",B5&amp;"|"&amp;(COUNTIFS('JOBS'!$B$5:$B$1504,B5,'JOBS'!$AJ$5:$AJ$1504,"&lt;"&amp;AJ5,'JOBS'!$O$5:$O$1504,"&lt;&gt;Cancelled",'JOBS'!$O$5:$O$1504,"&lt;&gt;Rescheduled")+COUNTIFS($B$5:B5,B5,$AJ$5:AJ5,AJ5,$O$5:O5,"&lt;&gt;Cancelled",$O$5:O5,"&lt;&gt;Rescheduled")))</f>
        <v/>
      </c>
      <c r="AL5" s="49">
        <f>IF(N(U5)&lt;=0.005,"",COUNTIFS('JOBS'!$U$5:$U$1504,"&gt;0.005",'JOBS'!$B$5:$B$1504,"&lt;"&amp;B5)+COUNTIFS($U$5:U5,"&gt;0.005",$B$5:B5,B5))</f>
        <v/>
      </c>
    </row>
    <row r="6">
      <c r="A6" s="46" t="inlineStr">
        <is>
          <t>J-0002</t>
        </is>
      </c>
      <c r="B6" s="47" t="n">
        <v>46036</v>
      </c>
      <c r="C6" s="94" t="n">
        <v>0.3333333333333333</v>
      </c>
      <c r="D6" s="38" t="inlineStr">
        <is>
          <t>Lane Northcott</t>
        </is>
      </c>
      <c r="E6" s="38" t="inlineStr">
        <is>
          <t>102 Hawthorn Road, Lakeview (fictional)</t>
        </is>
      </c>
      <c r="F6" s="38" t="inlineStr">
        <is>
          <t>Deep Clean</t>
        </is>
      </c>
      <c r="G6" s="38" t="n"/>
      <c r="H6" s="38" t="inlineStr">
        <is>
          <t>Maria Lopez</t>
        </is>
      </c>
      <c r="I6" s="57" t="n">
        <v>2</v>
      </c>
      <c r="J6" s="95" t="n"/>
      <c r="K6" s="95" t="n">
        <v>7.23</v>
      </c>
      <c r="L6" s="48" t="n">
        <v>345</v>
      </c>
      <c r="M6" s="96" t="n">
        <v>0</v>
      </c>
      <c r="N6" s="48" t="n"/>
      <c r="O6" s="38" t="inlineStr">
        <is>
          <t>Completed</t>
        </is>
      </c>
      <c r="P6" s="38" t="inlineStr">
        <is>
          <t>Initial deep clean</t>
        </is>
      </c>
      <c r="Q6" s="97">
        <f>IF(OR(F6="",E6=""),"",IFERROR(IF(INDEX('PROPERTIES'!$F$5:$F$404,MATCH(E6,'PROPERTIES'!$B$5:$B$404,0))=0,"",ROUND((INDEX('PROPERTIES'!$F$5:$F$404,MATCH(E6,'PROPERTIES'!$B$5:$B$404,0))/INDEX('PRICING'!$C$7:$C$16,MATCH(F6,'PRICING'!$A$7:$A$16,0))+INDEX('PROPERTIES'!$G$5:$G$404,MATCH(E6,'PROPERTIES'!$B$5:$B$404,0))*INDEX('PRICING'!$D$7:$D$16,MATCH(F6,'PRICING'!$A$7:$A$16,0))/60+INDEX('PROPERTIES'!$H$5:$H$404,MATCH(E6,'PROPERTIES'!$B$5:$B$404,0))*INDEX('PRICING'!$E$7:$E$16,MATCH(F6,'PRICING'!$A$7:$A$16,0))/60+INDEX('PRICING'!$F$7:$F$16,MATCH(F6,'PRICING'!$A$7:$A$16,0))/60),2)),""))</f>
        <v/>
      </c>
      <c r="R6" s="97">
        <f>IF(B6="","",IF(N(K6)&gt;0,K6,IF(N(J6)&gt;0,J6,N(Q6))))</f>
        <v/>
      </c>
      <c r="S6" s="55">
        <f>IF(L6="","",ROUND(L6*(1+N(M6)),2))</f>
        <v/>
      </c>
      <c r="T6" s="55">
        <f>IF(B6="","",SUMIFS('REVENUE'!$C$5:$C$1504,'REVENUE'!$B$5:$B$1504,A6))</f>
        <v/>
      </c>
      <c r="U6" s="55">
        <f>IF(B6="","",IF(O6="Completed",MAX(0,N(S6)-T6),""))</f>
        <v/>
      </c>
      <c r="V6" s="49">
        <f>IF(B6="","",IF(O6&lt;&gt;"Completed",IF(T6&gt;0,"Deposit","—"),IF(U6&lt;=0.005,"Paid",IF(T6&gt;0,"Partial","Unpaid"))))</f>
        <v/>
      </c>
      <c r="W6" s="55">
        <f>IF(B6="","",IFERROR(1/(1/INDEX('STAFF &amp; TASKS'!$C$5:$C$24,MATCH(H6,'STAFF &amp; TASKS'!$A$5:$A$24,0))),PayRate))</f>
        <v/>
      </c>
      <c r="X6" s="55">
        <f>IF(B6="","",IF(OR(O6="Cancelled",O6="No-Show"),"",ROUND(R6*W6*(1+Burden),2)))</f>
        <v/>
      </c>
      <c r="Y6" s="55">
        <f>IF(B6="","",IF(OR(O6="Cancelled",O6="No-Show"),"",IF(N6&lt;&gt;"",N6,ROUND(R6*SupHr*IFERROR(INDEX('PRICING'!$G$7:$G$16,MATCH(F6,'PRICING'!$A$7:$A$16,0)),1),2))))</f>
        <v/>
      </c>
      <c r="Z6" s="98">
        <f>IF(B6="","",SUMIFS('MILEAGE'!$J$5:$J$1504,'MILEAGE'!$B$5:$B$1504,A6))</f>
        <v/>
      </c>
      <c r="AA6" s="55">
        <f>IF(B6="","",ROUND(Z6*MileRate,2))</f>
        <v/>
      </c>
      <c r="AB6" s="55">
        <f>IF(B6="","",SUMIFS('REVENUE'!$J$5:$J$1504,'REVENUE'!$B$5:$B$1504,A6))</f>
        <v/>
      </c>
      <c r="AC6" s="55">
        <f>IF(L6="","",IF(OR(O6="Cancelled",O6="No-Show"),"",L6-N(X6)-N(Y6)-AA6-AB6))</f>
        <v/>
      </c>
      <c r="AD6" s="99">
        <f>IF(OR(AC6="",N(L6)=0),"",AC6/L6)</f>
        <v/>
      </c>
      <c r="AE6" s="55">
        <f>IF(OR(AC6="",N(R6)=0),"",L6/R6)</f>
        <v/>
      </c>
      <c r="AF6" s="100">
        <f>IF(OR(N(K6)=0,N(J6)+N(Q6)=0),"",K6-IF(N(J6)&gt;0,J6,Q6))</f>
        <v/>
      </c>
      <c r="AG6" s="99">
        <f>IF(B6="","",IFERROR(AVERAGEIFS('QUALITY CONTROL'!$M$5:$M$304,'QUALITY CONTROL'!$B$5:$B$304,A6),""))</f>
        <v/>
      </c>
      <c r="AH6" s="51">
        <f>IF(B6="","",DATE(YEAR(B6),MONTH(B6),1))</f>
        <v/>
      </c>
      <c r="AI6" s="49">
        <f>IF(D6="","",IFERROR(INDEX('CUSTOMERS'!$E$5:$E$404,MATCH(D6,'CUSTOMERS'!$B$5:$B$404,0)),""))</f>
        <v/>
      </c>
      <c r="AJ6" s="49">
        <f>IF(B6="","",N(C6))</f>
        <v/>
      </c>
      <c r="AK6" s="49">
        <f>IF(OR(B6="",O6="Cancelled",O6="Rescheduled"),"",B6&amp;"|"&amp;(COUNTIFS('JOBS'!$B$5:$B$1504,B6,'JOBS'!$AJ$5:$AJ$1504,"&lt;"&amp;AJ6,'JOBS'!$O$5:$O$1504,"&lt;&gt;Cancelled",'JOBS'!$O$5:$O$1504,"&lt;&gt;Rescheduled")+COUNTIFS($B$5:B6,B6,$AJ$5:AJ6,AJ6,$O$5:O6,"&lt;&gt;Cancelled",$O$5:O6,"&lt;&gt;Rescheduled")))</f>
        <v/>
      </c>
      <c r="AL6" s="49">
        <f>IF(N(U6)&lt;=0.005,"",COUNTIFS('JOBS'!$U$5:$U$1504,"&gt;0.005",'JOBS'!$B$5:$B$1504,"&lt;"&amp;B6)+COUNTIFS($U$5:U6,"&gt;0.005",$B$5:B6,B6))</f>
        <v/>
      </c>
    </row>
    <row r="7">
      <c r="A7" s="46" t="inlineStr">
        <is>
          <t>J-0003</t>
        </is>
      </c>
      <c r="B7" s="47" t="n">
        <v>46038</v>
      </c>
      <c r="C7" s="94" t="n">
        <v>0.5208333333333334</v>
      </c>
      <c r="D7" s="38" t="inlineStr">
        <is>
          <t>Dana Collins</t>
        </is>
      </c>
      <c r="E7" s="38" t="inlineStr">
        <is>
          <t>84 Hawthorn Road, Lakeview (fictional)</t>
        </is>
      </c>
      <c r="F7" s="38" t="inlineStr">
        <is>
          <t>Standard Clean</t>
        </is>
      </c>
      <c r="G7" s="38" t="inlineStr">
        <is>
          <t>R-006</t>
        </is>
      </c>
      <c r="H7" s="38" t="inlineStr">
        <is>
          <t>Dana Whitfield</t>
        </is>
      </c>
      <c r="I7" s="57" t="n">
        <v>1</v>
      </c>
      <c r="J7" s="95" t="n"/>
      <c r="K7" s="95" t="n">
        <v>4.61</v>
      </c>
      <c r="L7" s="48" t="n">
        <v>195</v>
      </c>
      <c r="M7" s="96" t="n">
        <v>0</v>
      </c>
      <c r="N7" s="48" t="n"/>
      <c r="O7" s="38" t="inlineStr">
        <is>
          <t>Completed</t>
        </is>
      </c>
      <c r="P7" s="38" t="inlineStr"/>
      <c r="Q7" s="97">
        <f>IF(OR(F7="",E7=""),"",IFERROR(IF(INDEX('PROPERTIES'!$F$5:$F$404,MATCH(E7,'PROPERTIES'!$B$5:$B$404,0))=0,"",ROUND((INDEX('PROPERTIES'!$F$5:$F$404,MATCH(E7,'PROPERTIES'!$B$5:$B$404,0))/INDEX('PRICING'!$C$7:$C$16,MATCH(F7,'PRICING'!$A$7:$A$16,0))+INDEX('PROPERTIES'!$G$5:$G$404,MATCH(E7,'PROPERTIES'!$B$5:$B$404,0))*INDEX('PRICING'!$D$7:$D$16,MATCH(F7,'PRICING'!$A$7:$A$16,0))/60+INDEX('PROPERTIES'!$H$5:$H$404,MATCH(E7,'PROPERTIES'!$B$5:$B$404,0))*INDEX('PRICING'!$E$7:$E$16,MATCH(F7,'PRICING'!$A$7:$A$16,0))/60+INDEX('PRICING'!$F$7:$F$16,MATCH(F7,'PRICING'!$A$7:$A$16,0))/60),2)),""))</f>
        <v/>
      </c>
      <c r="R7" s="97">
        <f>IF(B7="","",IF(N(K7)&gt;0,K7,IF(N(J7)&gt;0,J7,N(Q7))))</f>
        <v/>
      </c>
      <c r="S7" s="55">
        <f>IF(L7="","",ROUND(L7*(1+N(M7)),2))</f>
        <v/>
      </c>
      <c r="T7" s="55">
        <f>IF(B7="","",SUMIFS('REVENUE'!$C$5:$C$1504,'REVENUE'!$B$5:$B$1504,A7))</f>
        <v/>
      </c>
      <c r="U7" s="55">
        <f>IF(B7="","",IF(O7="Completed",MAX(0,N(S7)-T7),""))</f>
        <v/>
      </c>
      <c r="V7" s="49">
        <f>IF(B7="","",IF(O7&lt;&gt;"Completed",IF(T7&gt;0,"Deposit","—"),IF(U7&lt;=0.005,"Paid",IF(T7&gt;0,"Partial","Unpaid"))))</f>
        <v/>
      </c>
      <c r="W7" s="55">
        <f>IF(B7="","",IFERROR(1/(1/INDEX('STAFF &amp; TASKS'!$C$5:$C$24,MATCH(H7,'STAFF &amp; TASKS'!$A$5:$A$24,0))),PayRate))</f>
        <v/>
      </c>
      <c r="X7" s="55">
        <f>IF(B7="","",IF(OR(O7="Cancelled",O7="No-Show"),"",ROUND(R7*W7*(1+Burden),2)))</f>
        <v/>
      </c>
      <c r="Y7" s="55">
        <f>IF(B7="","",IF(OR(O7="Cancelled",O7="No-Show"),"",IF(N7&lt;&gt;"",N7,ROUND(R7*SupHr*IFERROR(INDEX('PRICING'!$G$7:$G$16,MATCH(F7,'PRICING'!$A$7:$A$16,0)),1),2))))</f>
        <v/>
      </c>
      <c r="Z7" s="98">
        <f>IF(B7="","",SUMIFS('MILEAGE'!$J$5:$J$1504,'MILEAGE'!$B$5:$B$1504,A7))</f>
        <v/>
      </c>
      <c r="AA7" s="55">
        <f>IF(B7="","",ROUND(Z7*MileRate,2))</f>
        <v/>
      </c>
      <c r="AB7" s="55">
        <f>IF(B7="","",SUMIFS('REVENUE'!$J$5:$J$1504,'REVENUE'!$B$5:$B$1504,A7))</f>
        <v/>
      </c>
      <c r="AC7" s="55">
        <f>IF(L7="","",IF(OR(O7="Cancelled",O7="No-Show"),"",L7-N(X7)-N(Y7)-AA7-AB7))</f>
        <v/>
      </c>
      <c r="AD7" s="99">
        <f>IF(OR(AC7="",N(L7)=0),"",AC7/L7)</f>
        <v/>
      </c>
      <c r="AE7" s="55">
        <f>IF(OR(AC7="",N(R7)=0),"",L7/R7)</f>
        <v/>
      </c>
      <c r="AF7" s="100">
        <f>IF(OR(N(K7)=0,N(J7)+N(Q7)=0),"",K7-IF(N(J7)&gt;0,J7,Q7))</f>
        <v/>
      </c>
      <c r="AG7" s="99">
        <f>IF(B7="","",IFERROR(AVERAGEIFS('QUALITY CONTROL'!$M$5:$M$304,'QUALITY CONTROL'!$B$5:$B$304,A7),""))</f>
        <v/>
      </c>
      <c r="AH7" s="51">
        <f>IF(B7="","",DATE(YEAR(B7),MONTH(B7),1))</f>
        <v/>
      </c>
      <c r="AI7" s="49">
        <f>IF(D7="","",IFERROR(INDEX('CUSTOMERS'!$E$5:$E$404,MATCH(D7,'CUSTOMERS'!$B$5:$B$404,0)),""))</f>
        <v/>
      </c>
      <c r="AJ7" s="49">
        <f>IF(B7="","",N(C7))</f>
        <v/>
      </c>
      <c r="AK7" s="49">
        <f>IF(OR(B7="",O7="Cancelled",O7="Rescheduled"),"",B7&amp;"|"&amp;(COUNTIFS('JOBS'!$B$5:$B$1504,B7,'JOBS'!$AJ$5:$AJ$1504,"&lt;"&amp;AJ7,'JOBS'!$O$5:$O$1504,"&lt;&gt;Cancelled",'JOBS'!$O$5:$O$1504,"&lt;&gt;Rescheduled")+COUNTIFS($B$5:B7,B7,$AJ$5:AJ7,AJ7,$O$5:O7,"&lt;&gt;Cancelled",$O$5:O7,"&lt;&gt;Rescheduled")))</f>
        <v/>
      </c>
      <c r="AL7" s="49">
        <f>IF(N(U7)&lt;=0.005,"",COUNTIFS('JOBS'!$U$5:$U$1504,"&gt;0.005",'JOBS'!$B$5:$B$1504,"&lt;"&amp;B7)+COUNTIFS($U$5:U7,"&gt;0.005",$B$5:B7,B7))</f>
        <v/>
      </c>
    </row>
    <row r="8">
      <c r="A8" s="46" t="inlineStr">
        <is>
          <t>J-0004</t>
        </is>
      </c>
      <c r="B8" s="47" t="n">
        <v>46043</v>
      </c>
      <c r="C8" s="94" t="n">
        <v>0.5208333333333334</v>
      </c>
      <c r="D8" s="38" t="inlineStr">
        <is>
          <t>Dana Oakes</t>
        </is>
      </c>
      <c r="E8" s="38" t="inlineStr">
        <is>
          <t>666 Juniper Street, North Sampletown</t>
        </is>
      </c>
      <c r="F8" s="38" t="inlineStr">
        <is>
          <t>Airbnb Turnover</t>
        </is>
      </c>
      <c r="G8" s="38" t="n"/>
      <c r="H8" s="38" t="inlineStr">
        <is>
          <t>Kevin Osei</t>
        </is>
      </c>
      <c r="I8" s="57" t="n">
        <v>1</v>
      </c>
      <c r="J8" s="95" t="n"/>
      <c r="K8" s="95" t="n">
        <v>1.69</v>
      </c>
      <c r="L8" s="48" t="n">
        <v>135</v>
      </c>
      <c r="M8" s="96" t="n">
        <v>0</v>
      </c>
      <c r="N8" s="48" t="n"/>
      <c r="O8" s="38" t="inlineStr">
        <is>
          <t>Completed</t>
        </is>
      </c>
      <c r="P8" s="38" t="inlineStr">
        <is>
          <t>Includes laundry</t>
        </is>
      </c>
      <c r="Q8" s="97">
        <f>IF(OR(F8="",E8=""),"",IFERROR(IF(INDEX('PROPERTIES'!$F$5:$F$404,MATCH(E8,'PROPERTIES'!$B$5:$B$404,0))=0,"",ROUND((INDEX('PROPERTIES'!$F$5:$F$404,MATCH(E8,'PROPERTIES'!$B$5:$B$404,0))/INDEX('PRICING'!$C$7:$C$16,MATCH(F8,'PRICING'!$A$7:$A$16,0))+INDEX('PROPERTIES'!$G$5:$G$404,MATCH(E8,'PROPERTIES'!$B$5:$B$404,0))*INDEX('PRICING'!$D$7:$D$16,MATCH(F8,'PRICING'!$A$7:$A$16,0))/60+INDEX('PROPERTIES'!$H$5:$H$404,MATCH(E8,'PROPERTIES'!$B$5:$B$404,0))*INDEX('PRICING'!$E$7:$E$16,MATCH(F8,'PRICING'!$A$7:$A$16,0))/60+INDEX('PRICING'!$F$7:$F$16,MATCH(F8,'PRICING'!$A$7:$A$16,0))/60),2)),""))</f>
        <v/>
      </c>
      <c r="R8" s="97">
        <f>IF(B8="","",IF(N(K8)&gt;0,K8,IF(N(J8)&gt;0,J8,N(Q8))))</f>
        <v/>
      </c>
      <c r="S8" s="55">
        <f>IF(L8="","",ROUND(L8*(1+N(M8)),2))</f>
        <v/>
      </c>
      <c r="T8" s="55">
        <f>IF(B8="","",SUMIFS('REVENUE'!$C$5:$C$1504,'REVENUE'!$B$5:$B$1504,A8))</f>
        <v/>
      </c>
      <c r="U8" s="55">
        <f>IF(B8="","",IF(O8="Completed",MAX(0,N(S8)-T8),""))</f>
        <v/>
      </c>
      <c r="V8" s="49">
        <f>IF(B8="","",IF(O8&lt;&gt;"Completed",IF(T8&gt;0,"Deposit","—"),IF(U8&lt;=0.005,"Paid",IF(T8&gt;0,"Partial","Unpaid"))))</f>
        <v/>
      </c>
      <c r="W8" s="55">
        <f>IF(B8="","",IFERROR(1/(1/INDEX('STAFF &amp; TASKS'!$C$5:$C$24,MATCH(H8,'STAFF &amp; TASKS'!$A$5:$A$24,0))),PayRate))</f>
        <v/>
      </c>
      <c r="X8" s="55">
        <f>IF(B8="","",IF(OR(O8="Cancelled",O8="No-Show"),"",ROUND(R8*W8*(1+Burden),2)))</f>
        <v/>
      </c>
      <c r="Y8" s="55">
        <f>IF(B8="","",IF(OR(O8="Cancelled",O8="No-Show"),"",IF(N8&lt;&gt;"",N8,ROUND(R8*SupHr*IFERROR(INDEX('PRICING'!$G$7:$G$16,MATCH(F8,'PRICING'!$A$7:$A$16,0)),1),2))))</f>
        <v/>
      </c>
      <c r="Z8" s="98">
        <f>IF(B8="","",SUMIFS('MILEAGE'!$J$5:$J$1504,'MILEAGE'!$B$5:$B$1504,A8))</f>
        <v/>
      </c>
      <c r="AA8" s="55">
        <f>IF(B8="","",ROUND(Z8*MileRate,2))</f>
        <v/>
      </c>
      <c r="AB8" s="55">
        <f>IF(B8="","",SUMIFS('REVENUE'!$J$5:$J$1504,'REVENUE'!$B$5:$B$1504,A8))</f>
        <v/>
      </c>
      <c r="AC8" s="55">
        <f>IF(L8="","",IF(OR(O8="Cancelled",O8="No-Show"),"",L8-N(X8)-N(Y8)-AA8-AB8))</f>
        <v/>
      </c>
      <c r="AD8" s="99">
        <f>IF(OR(AC8="",N(L8)=0),"",AC8/L8)</f>
        <v/>
      </c>
      <c r="AE8" s="55">
        <f>IF(OR(AC8="",N(R8)=0),"",L8/R8)</f>
        <v/>
      </c>
      <c r="AF8" s="100">
        <f>IF(OR(N(K8)=0,N(J8)+N(Q8)=0),"",K8-IF(N(J8)&gt;0,J8,Q8))</f>
        <v/>
      </c>
      <c r="AG8" s="99">
        <f>IF(B8="","",IFERROR(AVERAGEIFS('QUALITY CONTROL'!$M$5:$M$304,'QUALITY CONTROL'!$B$5:$B$304,A8),""))</f>
        <v/>
      </c>
      <c r="AH8" s="51">
        <f>IF(B8="","",DATE(YEAR(B8),MONTH(B8),1))</f>
        <v/>
      </c>
      <c r="AI8" s="49">
        <f>IF(D8="","",IFERROR(INDEX('CUSTOMERS'!$E$5:$E$404,MATCH(D8,'CUSTOMERS'!$B$5:$B$404,0)),""))</f>
        <v/>
      </c>
      <c r="AJ8" s="49">
        <f>IF(B8="","",N(C8))</f>
        <v/>
      </c>
      <c r="AK8" s="49">
        <f>IF(OR(B8="",O8="Cancelled",O8="Rescheduled"),"",B8&amp;"|"&amp;(COUNTIFS('JOBS'!$B$5:$B$1504,B8,'JOBS'!$AJ$5:$AJ$1504,"&lt;"&amp;AJ8,'JOBS'!$O$5:$O$1504,"&lt;&gt;Cancelled",'JOBS'!$O$5:$O$1504,"&lt;&gt;Rescheduled")+COUNTIFS($B$5:B8,B8,$AJ$5:AJ8,AJ8,$O$5:O8,"&lt;&gt;Cancelled",$O$5:O8,"&lt;&gt;Rescheduled")))</f>
        <v/>
      </c>
      <c r="AL8" s="49">
        <f>IF(N(U8)&lt;=0.005,"",COUNTIFS('JOBS'!$U$5:$U$1504,"&gt;0.005",'JOBS'!$B$5:$B$1504,"&lt;"&amp;B8)+COUNTIFS($U$5:U8,"&gt;0.005",$B$5:B8,B8))</f>
        <v/>
      </c>
    </row>
    <row r="9">
      <c r="A9" s="46" t="inlineStr">
        <is>
          <t>J-0005</t>
        </is>
      </c>
      <c r="B9" s="47" t="n">
        <v>46043</v>
      </c>
      <c r="C9" s="94" t="n">
        <v>0.5416666666666666</v>
      </c>
      <c r="D9" s="38" t="inlineStr">
        <is>
          <t>Lane Northcott</t>
        </is>
      </c>
      <c r="E9" s="38" t="inlineStr">
        <is>
          <t>102 Hawthorn Road, Lakeview (fictional)</t>
        </is>
      </c>
      <c r="F9" s="38" t="inlineStr">
        <is>
          <t>Standard Clean</t>
        </is>
      </c>
      <c r="G9" s="38" t="inlineStr">
        <is>
          <t>R-010</t>
        </is>
      </c>
      <c r="H9" s="38" t="inlineStr">
        <is>
          <t>Dana Whitfield</t>
        </is>
      </c>
      <c r="I9" s="57" t="n">
        <v>1</v>
      </c>
      <c r="J9" s="95" t="n"/>
      <c r="K9" s="95" t="n">
        <v>3.16</v>
      </c>
      <c r="L9" s="48" t="n">
        <v>150</v>
      </c>
      <c r="M9" s="96" t="n">
        <v>0</v>
      </c>
      <c r="N9" s="48" t="n"/>
      <c r="O9" s="38" t="inlineStr">
        <is>
          <t>Completed</t>
        </is>
      </c>
      <c r="P9" s="38" t="inlineStr"/>
      <c r="Q9" s="97">
        <f>IF(OR(F9="",E9=""),"",IFERROR(IF(INDEX('PROPERTIES'!$F$5:$F$404,MATCH(E9,'PROPERTIES'!$B$5:$B$404,0))=0,"",ROUND((INDEX('PROPERTIES'!$F$5:$F$404,MATCH(E9,'PROPERTIES'!$B$5:$B$404,0))/INDEX('PRICING'!$C$7:$C$16,MATCH(F9,'PRICING'!$A$7:$A$16,0))+INDEX('PROPERTIES'!$G$5:$G$404,MATCH(E9,'PROPERTIES'!$B$5:$B$404,0))*INDEX('PRICING'!$D$7:$D$16,MATCH(F9,'PRICING'!$A$7:$A$16,0))/60+INDEX('PROPERTIES'!$H$5:$H$404,MATCH(E9,'PROPERTIES'!$B$5:$B$404,0))*INDEX('PRICING'!$E$7:$E$16,MATCH(F9,'PRICING'!$A$7:$A$16,0))/60+INDEX('PRICING'!$F$7:$F$16,MATCH(F9,'PRICING'!$A$7:$A$16,0))/60),2)),""))</f>
        <v/>
      </c>
      <c r="R9" s="97">
        <f>IF(B9="","",IF(N(K9)&gt;0,K9,IF(N(J9)&gt;0,J9,N(Q9))))</f>
        <v/>
      </c>
      <c r="S9" s="55">
        <f>IF(L9="","",ROUND(L9*(1+N(M9)),2))</f>
        <v/>
      </c>
      <c r="T9" s="55">
        <f>IF(B9="","",SUMIFS('REVENUE'!$C$5:$C$1504,'REVENUE'!$B$5:$B$1504,A9))</f>
        <v/>
      </c>
      <c r="U9" s="55">
        <f>IF(B9="","",IF(O9="Completed",MAX(0,N(S9)-T9),""))</f>
        <v/>
      </c>
      <c r="V9" s="49">
        <f>IF(B9="","",IF(O9&lt;&gt;"Completed",IF(T9&gt;0,"Deposit","—"),IF(U9&lt;=0.005,"Paid",IF(T9&gt;0,"Partial","Unpaid"))))</f>
        <v/>
      </c>
      <c r="W9" s="55">
        <f>IF(B9="","",IFERROR(1/(1/INDEX('STAFF &amp; TASKS'!$C$5:$C$24,MATCH(H9,'STAFF &amp; TASKS'!$A$5:$A$24,0))),PayRate))</f>
        <v/>
      </c>
      <c r="X9" s="55">
        <f>IF(B9="","",IF(OR(O9="Cancelled",O9="No-Show"),"",ROUND(R9*W9*(1+Burden),2)))</f>
        <v/>
      </c>
      <c r="Y9" s="55">
        <f>IF(B9="","",IF(OR(O9="Cancelled",O9="No-Show"),"",IF(N9&lt;&gt;"",N9,ROUND(R9*SupHr*IFERROR(INDEX('PRICING'!$G$7:$G$16,MATCH(F9,'PRICING'!$A$7:$A$16,0)),1),2))))</f>
        <v/>
      </c>
      <c r="Z9" s="98">
        <f>IF(B9="","",SUMIFS('MILEAGE'!$J$5:$J$1504,'MILEAGE'!$B$5:$B$1504,A9))</f>
        <v/>
      </c>
      <c r="AA9" s="55">
        <f>IF(B9="","",ROUND(Z9*MileRate,2))</f>
        <v/>
      </c>
      <c r="AB9" s="55">
        <f>IF(B9="","",SUMIFS('REVENUE'!$J$5:$J$1504,'REVENUE'!$B$5:$B$1504,A9))</f>
        <v/>
      </c>
      <c r="AC9" s="55">
        <f>IF(L9="","",IF(OR(O9="Cancelled",O9="No-Show"),"",L9-N(X9)-N(Y9)-AA9-AB9))</f>
        <v/>
      </c>
      <c r="AD9" s="99">
        <f>IF(OR(AC9="",N(L9)=0),"",AC9/L9)</f>
        <v/>
      </c>
      <c r="AE9" s="55">
        <f>IF(OR(AC9="",N(R9)=0),"",L9/R9)</f>
        <v/>
      </c>
      <c r="AF9" s="100">
        <f>IF(OR(N(K9)=0,N(J9)+N(Q9)=0),"",K9-IF(N(J9)&gt;0,J9,Q9))</f>
        <v/>
      </c>
      <c r="AG9" s="99">
        <f>IF(B9="","",IFERROR(AVERAGEIFS('QUALITY CONTROL'!$M$5:$M$304,'QUALITY CONTROL'!$B$5:$B$304,A9),""))</f>
        <v/>
      </c>
      <c r="AH9" s="51">
        <f>IF(B9="","",DATE(YEAR(B9),MONTH(B9),1))</f>
        <v/>
      </c>
      <c r="AI9" s="49">
        <f>IF(D9="","",IFERROR(INDEX('CUSTOMERS'!$E$5:$E$404,MATCH(D9,'CUSTOMERS'!$B$5:$B$404,0)),""))</f>
        <v/>
      </c>
      <c r="AJ9" s="49">
        <f>IF(B9="","",N(C9))</f>
        <v/>
      </c>
      <c r="AK9" s="49">
        <f>IF(OR(B9="",O9="Cancelled",O9="Rescheduled"),"",B9&amp;"|"&amp;(COUNTIFS('JOBS'!$B$5:$B$1504,B9,'JOBS'!$AJ$5:$AJ$1504,"&lt;"&amp;AJ9,'JOBS'!$O$5:$O$1504,"&lt;&gt;Cancelled",'JOBS'!$O$5:$O$1504,"&lt;&gt;Rescheduled")+COUNTIFS($B$5:B9,B9,$AJ$5:AJ9,AJ9,$O$5:O9,"&lt;&gt;Cancelled",$O$5:O9,"&lt;&gt;Rescheduled")))</f>
        <v/>
      </c>
      <c r="AL9" s="49">
        <f>IF(N(U9)&lt;=0.005,"",COUNTIFS('JOBS'!$U$5:$U$1504,"&gt;0.005",'JOBS'!$B$5:$B$1504,"&lt;"&amp;B9)+COUNTIFS($U$5:U9,"&gt;0.005",$B$5:B9,B9))</f>
        <v/>
      </c>
    </row>
    <row r="10">
      <c r="A10" s="46" t="inlineStr">
        <is>
          <t>J-0006</t>
        </is>
      </c>
      <c r="B10" s="47" t="n">
        <v>46045</v>
      </c>
      <c r="C10" s="94" t="n">
        <v>0.4791666666666667</v>
      </c>
      <c r="D10" s="38" t="inlineStr">
        <is>
          <t>Blake Oakes</t>
        </is>
      </c>
      <c r="E10" s="38" t="inlineStr">
        <is>
          <t>654 Willow Way, North Sampletown</t>
        </is>
      </c>
      <c r="F10" s="38" t="inlineStr">
        <is>
          <t>Airbnb Turnover</t>
        </is>
      </c>
      <c r="G10" s="38" t="n"/>
      <c r="H10" s="38" t="inlineStr">
        <is>
          <t>Kevin Osei</t>
        </is>
      </c>
      <c r="I10" s="57" t="n">
        <v>1</v>
      </c>
      <c r="J10" s="95" t="n"/>
      <c r="K10" s="95" t="n"/>
      <c r="L10" s="48" t="n">
        <v>135</v>
      </c>
      <c r="M10" s="96" t="n">
        <v>0</v>
      </c>
      <c r="N10" s="48" t="n"/>
      <c r="O10" s="38" t="inlineStr">
        <is>
          <t>Cancelled</t>
        </is>
      </c>
      <c r="P10" s="38" t="inlineStr">
        <is>
          <t>Includes laundry</t>
        </is>
      </c>
      <c r="Q10" s="97">
        <f>IF(OR(F10="",E10=""),"",IFERROR(IF(INDEX('PROPERTIES'!$F$5:$F$404,MATCH(E10,'PROPERTIES'!$B$5:$B$404,0))=0,"",ROUND((INDEX('PROPERTIES'!$F$5:$F$404,MATCH(E10,'PROPERTIES'!$B$5:$B$404,0))/INDEX('PRICING'!$C$7:$C$16,MATCH(F10,'PRICING'!$A$7:$A$16,0))+INDEX('PROPERTIES'!$G$5:$G$404,MATCH(E10,'PROPERTIES'!$B$5:$B$404,0))*INDEX('PRICING'!$D$7:$D$16,MATCH(F10,'PRICING'!$A$7:$A$16,0))/60+INDEX('PROPERTIES'!$H$5:$H$404,MATCH(E10,'PROPERTIES'!$B$5:$B$404,0))*INDEX('PRICING'!$E$7:$E$16,MATCH(F10,'PRICING'!$A$7:$A$16,0))/60+INDEX('PRICING'!$F$7:$F$16,MATCH(F10,'PRICING'!$A$7:$A$16,0))/60),2)),""))</f>
        <v/>
      </c>
      <c r="R10" s="97">
        <f>IF(B10="","",IF(N(K10)&gt;0,K10,IF(N(J10)&gt;0,J10,N(Q10))))</f>
        <v/>
      </c>
      <c r="S10" s="55">
        <f>IF(L10="","",ROUND(L10*(1+N(M10)),2))</f>
        <v/>
      </c>
      <c r="T10" s="55">
        <f>IF(B10="","",SUMIFS('REVENUE'!$C$5:$C$1504,'REVENUE'!$B$5:$B$1504,A10))</f>
        <v/>
      </c>
      <c r="U10" s="55">
        <f>IF(B10="","",IF(O10="Completed",MAX(0,N(S10)-T10),""))</f>
        <v/>
      </c>
      <c r="V10" s="49">
        <f>IF(B10="","",IF(O10&lt;&gt;"Completed",IF(T10&gt;0,"Deposit","—"),IF(U10&lt;=0.005,"Paid",IF(T10&gt;0,"Partial","Unpaid"))))</f>
        <v/>
      </c>
      <c r="W10" s="55">
        <f>IF(B10="","",IFERROR(1/(1/INDEX('STAFF &amp; TASKS'!$C$5:$C$24,MATCH(H10,'STAFF &amp; TASKS'!$A$5:$A$24,0))),PayRate))</f>
        <v/>
      </c>
      <c r="X10" s="55">
        <f>IF(B10="","",IF(OR(O10="Cancelled",O10="No-Show"),"",ROUND(R10*W10*(1+Burden),2)))</f>
        <v/>
      </c>
      <c r="Y10" s="55">
        <f>IF(B10="","",IF(OR(O10="Cancelled",O10="No-Show"),"",IF(N10&lt;&gt;"",N10,ROUND(R10*SupHr*IFERROR(INDEX('PRICING'!$G$7:$G$16,MATCH(F10,'PRICING'!$A$7:$A$16,0)),1),2))))</f>
        <v/>
      </c>
      <c r="Z10" s="98">
        <f>IF(B10="","",SUMIFS('MILEAGE'!$J$5:$J$1504,'MILEAGE'!$B$5:$B$1504,A10))</f>
        <v/>
      </c>
      <c r="AA10" s="55">
        <f>IF(B10="","",ROUND(Z10*MileRate,2))</f>
        <v/>
      </c>
      <c r="AB10" s="55">
        <f>IF(B10="","",SUMIFS('REVENUE'!$J$5:$J$1504,'REVENUE'!$B$5:$B$1504,A10))</f>
        <v/>
      </c>
      <c r="AC10" s="55">
        <f>IF(L10="","",IF(OR(O10="Cancelled",O10="No-Show"),"",L10-N(X10)-N(Y10)-AA10-AB10))</f>
        <v/>
      </c>
      <c r="AD10" s="99">
        <f>IF(OR(AC10="",N(L10)=0),"",AC10/L10)</f>
        <v/>
      </c>
      <c r="AE10" s="55">
        <f>IF(OR(AC10="",N(R10)=0),"",L10/R10)</f>
        <v/>
      </c>
      <c r="AF10" s="100">
        <f>IF(OR(N(K10)=0,N(J10)+N(Q10)=0),"",K10-IF(N(J10)&gt;0,J10,Q10))</f>
        <v/>
      </c>
      <c r="AG10" s="99">
        <f>IF(B10="","",IFERROR(AVERAGEIFS('QUALITY CONTROL'!$M$5:$M$304,'QUALITY CONTROL'!$B$5:$B$304,A10),""))</f>
        <v/>
      </c>
      <c r="AH10" s="51">
        <f>IF(B10="","",DATE(YEAR(B10),MONTH(B10),1))</f>
        <v/>
      </c>
      <c r="AI10" s="49">
        <f>IF(D10="","",IFERROR(INDEX('CUSTOMERS'!$E$5:$E$404,MATCH(D10,'CUSTOMERS'!$B$5:$B$404,0)),""))</f>
        <v/>
      </c>
      <c r="AJ10" s="49">
        <f>IF(B10="","",N(C10))</f>
        <v/>
      </c>
      <c r="AK10" s="49">
        <f>IF(OR(B10="",O10="Cancelled",O10="Rescheduled"),"",B10&amp;"|"&amp;(COUNTIFS('JOBS'!$B$5:$B$1504,B10,'JOBS'!$AJ$5:$AJ$1504,"&lt;"&amp;AJ10,'JOBS'!$O$5:$O$1504,"&lt;&gt;Cancelled",'JOBS'!$O$5:$O$1504,"&lt;&gt;Rescheduled")+COUNTIFS($B$5:B10,B10,$AJ$5:AJ10,AJ10,$O$5:O10,"&lt;&gt;Cancelled",$O$5:O10,"&lt;&gt;Rescheduled")))</f>
        <v/>
      </c>
      <c r="AL10" s="49">
        <f>IF(N(U10)&lt;=0.005,"",COUNTIFS('JOBS'!$U$5:$U$1504,"&gt;0.005",'JOBS'!$B$5:$B$1504,"&lt;"&amp;B10)+COUNTIFS($U$5:U10,"&gt;0.005",$B$5:B10,B10))</f>
        <v/>
      </c>
    </row>
    <row r="11">
      <c r="A11" s="46" t="inlineStr">
        <is>
          <t>J-0007</t>
        </is>
      </c>
      <c r="B11" s="47" t="n">
        <v>46047</v>
      </c>
      <c r="C11" s="94" t="n">
        <v>0.3333333333333333</v>
      </c>
      <c r="D11" s="38" t="inlineStr">
        <is>
          <t>Emerson Holloway</t>
        </is>
      </c>
      <c r="E11" s="38" t="inlineStr">
        <is>
          <t>192 Birch Lane, North Sampletown</t>
        </is>
      </c>
      <c r="F11" s="38" t="inlineStr">
        <is>
          <t>Airbnb Turnover</t>
        </is>
      </c>
      <c r="G11" s="38" t="n"/>
      <c r="H11" s="38" t="inlineStr">
        <is>
          <t>Kevin Osei</t>
        </is>
      </c>
      <c r="I11" s="57" t="n">
        <v>1</v>
      </c>
      <c r="J11" s="95" t="n"/>
      <c r="K11" s="95" t="n">
        <v>2.67</v>
      </c>
      <c r="L11" s="48" t="n">
        <v>150</v>
      </c>
      <c r="M11" s="96" t="n">
        <v>0</v>
      </c>
      <c r="N11" s="48" t="n"/>
      <c r="O11" s="38" t="inlineStr">
        <is>
          <t>Completed</t>
        </is>
      </c>
      <c r="P11" s="38" t="inlineStr">
        <is>
          <t>Includes laundry</t>
        </is>
      </c>
      <c r="Q11" s="97">
        <f>IF(OR(F11="",E11=""),"",IFERROR(IF(INDEX('PROPERTIES'!$F$5:$F$404,MATCH(E11,'PROPERTIES'!$B$5:$B$404,0))=0,"",ROUND((INDEX('PROPERTIES'!$F$5:$F$404,MATCH(E11,'PROPERTIES'!$B$5:$B$404,0))/INDEX('PRICING'!$C$7:$C$16,MATCH(F11,'PRICING'!$A$7:$A$16,0))+INDEX('PROPERTIES'!$G$5:$G$404,MATCH(E11,'PROPERTIES'!$B$5:$B$404,0))*INDEX('PRICING'!$D$7:$D$16,MATCH(F11,'PRICING'!$A$7:$A$16,0))/60+INDEX('PROPERTIES'!$H$5:$H$404,MATCH(E11,'PROPERTIES'!$B$5:$B$404,0))*INDEX('PRICING'!$E$7:$E$16,MATCH(F11,'PRICING'!$A$7:$A$16,0))/60+INDEX('PRICING'!$F$7:$F$16,MATCH(F11,'PRICING'!$A$7:$A$16,0))/60),2)),""))</f>
        <v/>
      </c>
      <c r="R11" s="97">
        <f>IF(B11="","",IF(N(K11)&gt;0,K11,IF(N(J11)&gt;0,J11,N(Q11))))</f>
        <v/>
      </c>
      <c r="S11" s="55">
        <f>IF(L11="","",ROUND(L11*(1+N(M11)),2))</f>
        <v/>
      </c>
      <c r="T11" s="55">
        <f>IF(B11="","",SUMIFS('REVENUE'!$C$5:$C$1504,'REVENUE'!$B$5:$B$1504,A11))</f>
        <v/>
      </c>
      <c r="U11" s="55">
        <f>IF(B11="","",IF(O11="Completed",MAX(0,N(S11)-T11),""))</f>
        <v/>
      </c>
      <c r="V11" s="49">
        <f>IF(B11="","",IF(O11&lt;&gt;"Completed",IF(T11&gt;0,"Deposit","—"),IF(U11&lt;=0.005,"Paid",IF(T11&gt;0,"Partial","Unpaid"))))</f>
        <v/>
      </c>
      <c r="W11" s="55">
        <f>IF(B11="","",IFERROR(1/(1/INDEX('STAFF &amp; TASKS'!$C$5:$C$24,MATCH(H11,'STAFF &amp; TASKS'!$A$5:$A$24,0))),PayRate))</f>
        <v/>
      </c>
      <c r="X11" s="55">
        <f>IF(B11="","",IF(OR(O11="Cancelled",O11="No-Show"),"",ROUND(R11*W11*(1+Burden),2)))</f>
        <v/>
      </c>
      <c r="Y11" s="55">
        <f>IF(B11="","",IF(OR(O11="Cancelled",O11="No-Show"),"",IF(N11&lt;&gt;"",N11,ROUND(R11*SupHr*IFERROR(INDEX('PRICING'!$G$7:$G$16,MATCH(F11,'PRICING'!$A$7:$A$16,0)),1),2))))</f>
        <v/>
      </c>
      <c r="Z11" s="98">
        <f>IF(B11="","",SUMIFS('MILEAGE'!$J$5:$J$1504,'MILEAGE'!$B$5:$B$1504,A11))</f>
        <v/>
      </c>
      <c r="AA11" s="55">
        <f>IF(B11="","",ROUND(Z11*MileRate,2))</f>
        <v/>
      </c>
      <c r="AB11" s="55">
        <f>IF(B11="","",SUMIFS('REVENUE'!$J$5:$J$1504,'REVENUE'!$B$5:$B$1504,A11))</f>
        <v/>
      </c>
      <c r="AC11" s="55">
        <f>IF(L11="","",IF(OR(O11="Cancelled",O11="No-Show"),"",L11-N(X11)-N(Y11)-AA11-AB11))</f>
        <v/>
      </c>
      <c r="AD11" s="99">
        <f>IF(OR(AC11="",N(L11)=0),"",AC11/L11)</f>
        <v/>
      </c>
      <c r="AE11" s="55">
        <f>IF(OR(AC11="",N(R11)=0),"",L11/R11)</f>
        <v/>
      </c>
      <c r="AF11" s="100">
        <f>IF(OR(N(K11)=0,N(J11)+N(Q11)=0),"",K11-IF(N(J11)&gt;0,J11,Q11))</f>
        <v/>
      </c>
      <c r="AG11" s="99">
        <f>IF(B11="","",IFERROR(AVERAGEIFS('QUALITY CONTROL'!$M$5:$M$304,'QUALITY CONTROL'!$B$5:$B$304,A11),""))</f>
        <v/>
      </c>
      <c r="AH11" s="51">
        <f>IF(B11="","",DATE(YEAR(B11),MONTH(B11),1))</f>
        <v/>
      </c>
      <c r="AI11" s="49">
        <f>IF(D11="","",IFERROR(INDEX('CUSTOMERS'!$E$5:$E$404,MATCH(D11,'CUSTOMERS'!$B$5:$B$404,0)),""))</f>
        <v/>
      </c>
      <c r="AJ11" s="49">
        <f>IF(B11="","",N(C11))</f>
        <v/>
      </c>
      <c r="AK11" s="49">
        <f>IF(OR(B11="",O11="Cancelled",O11="Rescheduled"),"",B11&amp;"|"&amp;(COUNTIFS('JOBS'!$B$5:$B$1504,B11,'JOBS'!$AJ$5:$AJ$1504,"&lt;"&amp;AJ11,'JOBS'!$O$5:$O$1504,"&lt;&gt;Cancelled",'JOBS'!$O$5:$O$1504,"&lt;&gt;Rescheduled")+COUNTIFS($B$5:B11,B11,$AJ$5:AJ11,AJ11,$O$5:O11,"&lt;&gt;Cancelled",$O$5:O11,"&lt;&gt;Rescheduled")))</f>
        <v/>
      </c>
      <c r="AL11" s="49">
        <f>IF(N(U11)&lt;=0.005,"",COUNTIFS('JOBS'!$U$5:$U$1504,"&gt;0.005",'JOBS'!$B$5:$B$1504,"&lt;"&amp;B11)+COUNTIFS($U$5:U11,"&gt;0.005",$B$5:B11,B11))</f>
        <v/>
      </c>
    </row>
    <row r="12">
      <c r="A12" s="46" t="inlineStr">
        <is>
          <t>J-0008</t>
        </is>
      </c>
      <c r="B12" s="47" t="n">
        <v>46048</v>
      </c>
      <c r="C12" s="94" t="n">
        <v>0.625</v>
      </c>
      <c r="D12" s="38" t="inlineStr">
        <is>
          <t>Taylor Quigley</t>
        </is>
      </c>
      <c r="E12" s="38" t="inlineStr">
        <is>
          <t>667 Willow Way, Sampletown</t>
        </is>
      </c>
      <c r="F12" s="38" t="inlineStr">
        <is>
          <t>Deep Clean</t>
        </is>
      </c>
      <c r="G12" s="38" t="n"/>
      <c r="H12" s="38" t="inlineStr">
        <is>
          <t>Maria Lopez</t>
        </is>
      </c>
      <c r="I12" s="57" t="n">
        <v>2</v>
      </c>
      <c r="J12" s="95" t="n"/>
      <c r="K12" s="95" t="n">
        <v>5.82</v>
      </c>
      <c r="L12" s="48" t="n">
        <v>330</v>
      </c>
      <c r="M12" s="96" t="n">
        <v>0</v>
      </c>
      <c r="N12" s="48" t="n"/>
      <c r="O12" s="38" t="inlineStr">
        <is>
          <t>Completed</t>
        </is>
      </c>
      <c r="P12" s="38" t="inlineStr">
        <is>
          <t>Initial deep clean</t>
        </is>
      </c>
      <c r="Q12" s="97">
        <f>IF(OR(F12="",E12=""),"",IFERROR(IF(INDEX('PROPERTIES'!$F$5:$F$404,MATCH(E12,'PROPERTIES'!$B$5:$B$404,0))=0,"",ROUND((INDEX('PROPERTIES'!$F$5:$F$404,MATCH(E12,'PROPERTIES'!$B$5:$B$404,0))/INDEX('PRICING'!$C$7:$C$16,MATCH(F12,'PRICING'!$A$7:$A$16,0))+INDEX('PROPERTIES'!$G$5:$G$404,MATCH(E12,'PROPERTIES'!$B$5:$B$404,0))*INDEX('PRICING'!$D$7:$D$16,MATCH(F12,'PRICING'!$A$7:$A$16,0))/60+INDEX('PROPERTIES'!$H$5:$H$404,MATCH(E12,'PROPERTIES'!$B$5:$B$404,0))*INDEX('PRICING'!$E$7:$E$16,MATCH(F12,'PRICING'!$A$7:$A$16,0))/60+INDEX('PRICING'!$F$7:$F$16,MATCH(F12,'PRICING'!$A$7:$A$16,0))/60),2)),""))</f>
        <v/>
      </c>
      <c r="R12" s="97">
        <f>IF(B12="","",IF(N(K12)&gt;0,K12,IF(N(J12)&gt;0,J12,N(Q12))))</f>
        <v/>
      </c>
      <c r="S12" s="55">
        <f>IF(L12="","",ROUND(L12*(1+N(M12)),2))</f>
        <v/>
      </c>
      <c r="T12" s="55">
        <f>IF(B12="","",SUMIFS('REVENUE'!$C$5:$C$1504,'REVENUE'!$B$5:$B$1504,A12))</f>
        <v/>
      </c>
      <c r="U12" s="55">
        <f>IF(B12="","",IF(O12="Completed",MAX(0,N(S12)-T12),""))</f>
        <v/>
      </c>
      <c r="V12" s="49">
        <f>IF(B12="","",IF(O12&lt;&gt;"Completed",IF(T12&gt;0,"Deposit","—"),IF(U12&lt;=0.005,"Paid",IF(T12&gt;0,"Partial","Unpaid"))))</f>
        <v/>
      </c>
      <c r="W12" s="55">
        <f>IF(B12="","",IFERROR(1/(1/INDEX('STAFF &amp; TASKS'!$C$5:$C$24,MATCH(H12,'STAFF &amp; TASKS'!$A$5:$A$24,0))),PayRate))</f>
        <v/>
      </c>
      <c r="X12" s="55">
        <f>IF(B12="","",IF(OR(O12="Cancelled",O12="No-Show"),"",ROUND(R12*W12*(1+Burden),2)))</f>
        <v/>
      </c>
      <c r="Y12" s="55">
        <f>IF(B12="","",IF(OR(O12="Cancelled",O12="No-Show"),"",IF(N12&lt;&gt;"",N12,ROUND(R12*SupHr*IFERROR(INDEX('PRICING'!$G$7:$G$16,MATCH(F12,'PRICING'!$A$7:$A$16,0)),1),2))))</f>
        <v/>
      </c>
      <c r="Z12" s="98">
        <f>IF(B12="","",SUMIFS('MILEAGE'!$J$5:$J$1504,'MILEAGE'!$B$5:$B$1504,A12))</f>
        <v/>
      </c>
      <c r="AA12" s="55">
        <f>IF(B12="","",ROUND(Z12*MileRate,2))</f>
        <v/>
      </c>
      <c r="AB12" s="55">
        <f>IF(B12="","",SUMIFS('REVENUE'!$J$5:$J$1504,'REVENUE'!$B$5:$B$1504,A12))</f>
        <v/>
      </c>
      <c r="AC12" s="55">
        <f>IF(L12="","",IF(OR(O12="Cancelled",O12="No-Show"),"",L12-N(X12)-N(Y12)-AA12-AB12))</f>
        <v/>
      </c>
      <c r="AD12" s="99">
        <f>IF(OR(AC12="",N(L12)=0),"",AC12/L12)</f>
        <v/>
      </c>
      <c r="AE12" s="55">
        <f>IF(OR(AC12="",N(R12)=0),"",L12/R12)</f>
        <v/>
      </c>
      <c r="AF12" s="100">
        <f>IF(OR(N(K12)=0,N(J12)+N(Q12)=0),"",K12-IF(N(J12)&gt;0,J12,Q12))</f>
        <v/>
      </c>
      <c r="AG12" s="99">
        <f>IF(B12="","",IFERROR(AVERAGEIFS('QUALITY CONTROL'!$M$5:$M$304,'QUALITY CONTROL'!$B$5:$B$304,A12),""))</f>
        <v/>
      </c>
      <c r="AH12" s="51">
        <f>IF(B12="","",DATE(YEAR(B12),MONTH(B12),1))</f>
        <v/>
      </c>
      <c r="AI12" s="49">
        <f>IF(D12="","",IFERROR(INDEX('CUSTOMERS'!$E$5:$E$404,MATCH(D12,'CUSTOMERS'!$B$5:$B$404,0)),""))</f>
        <v/>
      </c>
      <c r="AJ12" s="49">
        <f>IF(B12="","",N(C12))</f>
        <v/>
      </c>
      <c r="AK12" s="49">
        <f>IF(OR(B12="",O12="Cancelled",O12="Rescheduled"),"",B12&amp;"|"&amp;(COUNTIFS('JOBS'!$B$5:$B$1504,B12,'JOBS'!$AJ$5:$AJ$1504,"&lt;"&amp;AJ12,'JOBS'!$O$5:$O$1504,"&lt;&gt;Cancelled",'JOBS'!$O$5:$O$1504,"&lt;&gt;Rescheduled")+COUNTIFS($B$5:B12,B12,$AJ$5:AJ12,AJ12,$O$5:O12,"&lt;&gt;Cancelled",$O$5:O12,"&lt;&gt;Rescheduled")))</f>
        <v/>
      </c>
      <c r="AL12" s="49">
        <f>IF(N(U12)&lt;=0.005,"",COUNTIFS('JOBS'!$U$5:$U$1504,"&gt;0.005",'JOBS'!$B$5:$B$1504,"&lt;"&amp;B12)+COUNTIFS($U$5:U12,"&gt;0.005",$B$5:B12,B12))</f>
        <v/>
      </c>
    </row>
    <row r="13">
      <c r="A13" s="46" t="inlineStr">
        <is>
          <t>J-0009</t>
        </is>
      </c>
      <c r="B13" s="47" t="n">
        <v>46049</v>
      </c>
      <c r="C13" s="94" t="n">
        <v>0.4166666666666667</v>
      </c>
      <c r="D13" s="38" t="inlineStr">
        <is>
          <t>Parker Lockhart</t>
        </is>
      </c>
      <c r="E13" s="38" t="inlineStr">
        <is>
          <t>412 Linden Place, Sampletown</t>
        </is>
      </c>
      <c r="F13" s="38" t="inlineStr">
        <is>
          <t>Airbnb Turnover</t>
        </is>
      </c>
      <c r="G13" s="38" t="n"/>
      <c r="H13" s="38" t="inlineStr">
        <is>
          <t>Kevin Osei</t>
        </is>
      </c>
      <c r="I13" s="57" t="n">
        <v>1</v>
      </c>
      <c r="J13" s="95" t="n"/>
      <c r="K13" s="95" t="n">
        <v>2.16</v>
      </c>
      <c r="L13" s="48" t="n">
        <v>150</v>
      </c>
      <c r="M13" s="96" t="n">
        <v>0</v>
      </c>
      <c r="N13" s="48" t="n"/>
      <c r="O13" s="38" t="inlineStr">
        <is>
          <t>Completed</t>
        </is>
      </c>
      <c r="P13" s="38" t="inlineStr">
        <is>
          <t>Includes laundry</t>
        </is>
      </c>
      <c r="Q13" s="97">
        <f>IF(OR(F13="",E13=""),"",IFERROR(IF(INDEX('PROPERTIES'!$F$5:$F$404,MATCH(E13,'PROPERTIES'!$B$5:$B$404,0))=0,"",ROUND((INDEX('PROPERTIES'!$F$5:$F$404,MATCH(E13,'PROPERTIES'!$B$5:$B$404,0))/INDEX('PRICING'!$C$7:$C$16,MATCH(F13,'PRICING'!$A$7:$A$16,0))+INDEX('PROPERTIES'!$G$5:$G$404,MATCH(E13,'PROPERTIES'!$B$5:$B$404,0))*INDEX('PRICING'!$D$7:$D$16,MATCH(F13,'PRICING'!$A$7:$A$16,0))/60+INDEX('PROPERTIES'!$H$5:$H$404,MATCH(E13,'PROPERTIES'!$B$5:$B$404,0))*INDEX('PRICING'!$E$7:$E$16,MATCH(F13,'PRICING'!$A$7:$A$16,0))/60+INDEX('PRICING'!$F$7:$F$16,MATCH(F13,'PRICING'!$A$7:$A$16,0))/60),2)),""))</f>
        <v/>
      </c>
      <c r="R13" s="97">
        <f>IF(B13="","",IF(N(K13)&gt;0,K13,IF(N(J13)&gt;0,J13,N(Q13))))</f>
        <v/>
      </c>
      <c r="S13" s="55">
        <f>IF(L13="","",ROUND(L13*(1+N(M13)),2))</f>
        <v/>
      </c>
      <c r="T13" s="55">
        <f>IF(B13="","",SUMIFS('REVENUE'!$C$5:$C$1504,'REVENUE'!$B$5:$B$1504,A13))</f>
        <v/>
      </c>
      <c r="U13" s="55">
        <f>IF(B13="","",IF(O13="Completed",MAX(0,N(S13)-T13),""))</f>
        <v/>
      </c>
      <c r="V13" s="49">
        <f>IF(B13="","",IF(O13&lt;&gt;"Completed",IF(T13&gt;0,"Deposit","—"),IF(U13&lt;=0.005,"Paid",IF(T13&gt;0,"Partial","Unpaid"))))</f>
        <v/>
      </c>
      <c r="W13" s="55">
        <f>IF(B13="","",IFERROR(1/(1/INDEX('STAFF &amp; TASKS'!$C$5:$C$24,MATCH(H13,'STAFF &amp; TASKS'!$A$5:$A$24,0))),PayRate))</f>
        <v/>
      </c>
      <c r="X13" s="55">
        <f>IF(B13="","",IF(OR(O13="Cancelled",O13="No-Show"),"",ROUND(R13*W13*(1+Burden),2)))</f>
        <v/>
      </c>
      <c r="Y13" s="55">
        <f>IF(B13="","",IF(OR(O13="Cancelled",O13="No-Show"),"",IF(N13&lt;&gt;"",N13,ROUND(R13*SupHr*IFERROR(INDEX('PRICING'!$G$7:$G$16,MATCH(F13,'PRICING'!$A$7:$A$16,0)),1),2))))</f>
        <v/>
      </c>
      <c r="Z13" s="98">
        <f>IF(B13="","",SUMIFS('MILEAGE'!$J$5:$J$1504,'MILEAGE'!$B$5:$B$1504,A13))</f>
        <v/>
      </c>
      <c r="AA13" s="55">
        <f>IF(B13="","",ROUND(Z13*MileRate,2))</f>
        <v/>
      </c>
      <c r="AB13" s="55">
        <f>IF(B13="","",SUMIFS('REVENUE'!$J$5:$J$1504,'REVENUE'!$B$5:$B$1504,A13))</f>
        <v/>
      </c>
      <c r="AC13" s="55">
        <f>IF(L13="","",IF(OR(O13="Cancelled",O13="No-Show"),"",L13-N(X13)-N(Y13)-AA13-AB13))</f>
        <v/>
      </c>
      <c r="AD13" s="99">
        <f>IF(OR(AC13="",N(L13)=0),"",AC13/L13)</f>
        <v/>
      </c>
      <c r="AE13" s="55">
        <f>IF(OR(AC13="",N(R13)=0),"",L13/R13)</f>
        <v/>
      </c>
      <c r="AF13" s="100">
        <f>IF(OR(N(K13)=0,N(J13)+N(Q13)=0),"",K13-IF(N(J13)&gt;0,J13,Q13))</f>
        <v/>
      </c>
      <c r="AG13" s="99">
        <f>IF(B13="","",IFERROR(AVERAGEIFS('QUALITY CONTROL'!$M$5:$M$304,'QUALITY CONTROL'!$B$5:$B$304,A13),""))</f>
        <v/>
      </c>
      <c r="AH13" s="51">
        <f>IF(B13="","",DATE(YEAR(B13),MONTH(B13),1))</f>
        <v/>
      </c>
      <c r="AI13" s="49">
        <f>IF(D13="","",IFERROR(INDEX('CUSTOMERS'!$E$5:$E$404,MATCH(D13,'CUSTOMERS'!$B$5:$B$404,0)),""))</f>
        <v/>
      </c>
      <c r="AJ13" s="49">
        <f>IF(B13="","",N(C13))</f>
        <v/>
      </c>
      <c r="AK13" s="49">
        <f>IF(OR(B13="",O13="Cancelled",O13="Rescheduled"),"",B13&amp;"|"&amp;(COUNTIFS('JOBS'!$B$5:$B$1504,B13,'JOBS'!$AJ$5:$AJ$1504,"&lt;"&amp;AJ13,'JOBS'!$O$5:$O$1504,"&lt;&gt;Cancelled",'JOBS'!$O$5:$O$1504,"&lt;&gt;Rescheduled")+COUNTIFS($B$5:B13,B13,$AJ$5:AJ13,AJ13,$O$5:O13,"&lt;&gt;Cancelled",$O$5:O13,"&lt;&gt;Rescheduled")))</f>
        <v/>
      </c>
      <c r="AL13" s="49">
        <f>IF(N(U13)&lt;=0.005,"",COUNTIFS('JOBS'!$U$5:$U$1504,"&gt;0.005",'JOBS'!$B$5:$B$1504,"&lt;"&amp;B13)+COUNTIFS($U$5:U13,"&gt;0.005",$B$5:B13,B13))</f>
        <v/>
      </c>
    </row>
    <row r="14">
      <c r="A14" s="46" t="inlineStr">
        <is>
          <t>J-0010</t>
        </is>
      </c>
      <c r="B14" s="47" t="n">
        <v>46049</v>
      </c>
      <c r="C14" s="94" t="n">
        <v>0.4791666666666667</v>
      </c>
      <c r="D14" s="38" t="inlineStr">
        <is>
          <t>Lane Ivers</t>
        </is>
      </c>
      <c r="E14" s="38" t="inlineStr">
        <is>
          <t>497 Aspen Drive, Sampletown</t>
        </is>
      </c>
      <c r="F14" s="38" t="inlineStr">
        <is>
          <t>Deep Clean</t>
        </is>
      </c>
      <c r="G14" s="38" t="n"/>
      <c r="H14" s="38" t="inlineStr">
        <is>
          <t>Maria Lopez</t>
        </is>
      </c>
      <c r="I14" s="57" t="n">
        <v>2</v>
      </c>
      <c r="J14" s="95" t="n"/>
      <c r="K14" s="95" t="n">
        <v>8.6</v>
      </c>
      <c r="L14" s="48" t="n">
        <v>450</v>
      </c>
      <c r="M14" s="96" t="n">
        <v>0</v>
      </c>
      <c r="N14" s="48" t="n"/>
      <c r="O14" s="38" t="inlineStr">
        <is>
          <t>Completed</t>
        </is>
      </c>
      <c r="P14" s="38" t="inlineStr">
        <is>
          <t>Initial deep clean</t>
        </is>
      </c>
      <c r="Q14" s="97">
        <f>IF(OR(F14="",E14=""),"",IFERROR(IF(INDEX('PROPERTIES'!$F$5:$F$404,MATCH(E14,'PROPERTIES'!$B$5:$B$404,0))=0,"",ROUND((INDEX('PROPERTIES'!$F$5:$F$404,MATCH(E14,'PROPERTIES'!$B$5:$B$404,0))/INDEX('PRICING'!$C$7:$C$16,MATCH(F14,'PRICING'!$A$7:$A$16,0))+INDEX('PROPERTIES'!$G$5:$G$404,MATCH(E14,'PROPERTIES'!$B$5:$B$404,0))*INDEX('PRICING'!$D$7:$D$16,MATCH(F14,'PRICING'!$A$7:$A$16,0))/60+INDEX('PROPERTIES'!$H$5:$H$404,MATCH(E14,'PROPERTIES'!$B$5:$B$404,0))*INDEX('PRICING'!$E$7:$E$16,MATCH(F14,'PRICING'!$A$7:$A$16,0))/60+INDEX('PRICING'!$F$7:$F$16,MATCH(F14,'PRICING'!$A$7:$A$16,0))/60),2)),""))</f>
        <v/>
      </c>
      <c r="R14" s="97">
        <f>IF(B14="","",IF(N(K14)&gt;0,K14,IF(N(J14)&gt;0,J14,N(Q14))))</f>
        <v/>
      </c>
      <c r="S14" s="55">
        <f>IF(L14="","",ROUND(L14*(1+N(M14)),2))</f>
        <v/>
      </c>
      <c r="T14" s="55">
        <f>IF(B14="","",SUMIFS('REVENUE'!$C$5:$C$1504,'REVENUE'!$B$5:$B$1504,A14))</f>
        <v/>
      </c>
      <c r="U14" s="55">
        <f>IF(B14="","",IF(O14="Completed",MAX(0,N(S14)-T14),""))</f>
        <v/>
      </c>
      <c r="V14" s="49">
        <f>IF(B14="","",IF(O14&lt;&gt;"Completed",IF(T14&gt;0,"Deposit","—"),IF(U14&lt;=0.005,"Paid",IF(T14&gt;0,"Partial","Unpaid"))))</f>
        <v/>
      </c>
      <c r="W14" s="55">
        <f>IF(B14="","",IFERROR(1/(1/INDEX('STAFF &amp; TASKS'!$C$5:$C$24,MATCH(H14,'STAFF &amp; TASKS'!$A$5:$A$24,0))),PayRate))</f>
        <v/>
      </c>
      <c r="X14" s="55">
        <f>IF(B14="","",IF(OR(O14="Cancelled",O14="No-Show"),"",ROUND(R14*W14*(1+Burden),2)))</f>
        <v/>
      </c>
      <c r="Y14" s="55">
        <f>IF(B14="","",IF(OR(O14="Cancelled",O14="No-Show"),"",IF(N14&lt;&gt;"",N14,ROUND(R14*SupHr*IFERROR(INDEX('PRICING'!$G$7:$G$16,MATCH(F14,'PRICING'!$A$7:$A$16,0)),1),2))))</f>
        <v/>
      </c>
      <c r="Z14" s="98">
        <f>IF(B14="","",SUMIFS('MILEAGE'!$J$5:$J$1504,'MILEAGE'!$B$5:$B$1504,A14))</f>
        <v/>
      </c>
      <c r="AA14" s="55">
        <f>IF(B14="","",ROUND(Z14*MileRate,2))</f>
        <v/>
      </c>
      <c r="AB14" s="55">
        <f>IF(B14="","",SUMIFS('REVENUE'!$J$5:$J$1504,'REVENUE'!$B$5:$B$1504,A14))</f>
        <v/>
      </c>
      <c r="AC14" s="55">
        <f>IF(L14="","",IF(OR(O14="Cancelled",O14="No-Show"),"",L14-N(X14)-N(Y14)-AA14-AB14))</f>
        <v/>
      </c>
      <c r="AD14" s="99">
        <f>IF(OR(AC14="",N(L14)=0),"",AC14/L14)</f>
        <v/>
      </c>
      <c r="AE14" s="55">
        <f>IF(OR(AC14="",N(R14)=0),"",L14/R14)</f>
        <v/>
      </c>
      <c r="AF14" s="100">
        <f>IF(OR(N(K14)=0,N(J14)+N(Q14)=0),"",K14-IF(N(J14)&gt;0,J14,Q14))</f>
        <v/>
      </c>
      <c r="AG14" s="99">
        <f>IF(B14="","",IFERROR(AVERAGEIFS('QUALITY CONTROL'!$M$5:$M$304,'QUALITY CONTROL'!$B$5:$B$304,A14),""))</f>
        <v/>
      </c>
      <c r="AH14" s="51">
        <f>IF(B14="","",DATE(YEAR(B14),MONTH(B14),1))</f>
        <v/>
      </c>
      <c r="AI14" s="49">
        <f>IF(D14="","",IFERROR(INDEX('CUSTOMERS'!$E$5:$E$404,MATCH(D14,'CUSTOMERS'!$B$5:$B$404,0)),""))</f>
        <v/>
      </c>
      <c r="AJ14" s="49">
        <f>IF(B14="","",N(C14))</f>
        <v/>
      </c>
      <c r="AK14" s="49">
        <f>IF(OR(B14="",O14="Cancelled",O14="Rescheduled"),"",B14&amp;"|"&amp;(COUNTIFS('JOBS'!$B$5:$B$1504,B14,'JOBS'!$AJ$5:$AJ$1504,"&lt;"&amp;AJ14,'JOBS'!$O$5:$O$1504,"&lt;&gt;Cancelled",'JOBS'!$O$5:$O$1504,"&lt;&gt;Rescheduled")+COUNTIFS($B$5:B14,B14,$AJ$5:AJ14,AJ14,$O$5:O14,"&lt;&gt;Cancelled",$O$5:O14,"&lt;&gt;Rescheduled")))</f>
        <v/>
      </c>
      <c r="AL14" s="49">
        <f>IF(N(U14)&lt;=0.005,"",COUNTIFS('JOBS'!$U$5:$U$1504,"&gt;0.005",'JOBS'!$B$5:$B$1504,"&lt;"&amp;B14)+COUNTIFS($U$5:U14,"&gt;0.005",$B$5:B14,B14))</f>
        <v/>
      </c>
    </row>
    <row r="15">
      <c r="A15" s="46" t="inlineStr">
        <is>
          <t>J-0011</t>
        </is>
      </c>
      <c r="B15" s="47" t="n">
        <v>46053</v>
      </c>
      <c r="C15" s="94" t="n">
        <v>0.5208333333333334</v>
      </c>
      <c r="D15" s="38" t="inlineStr">
        <is>
          <t>Wren Porter</t>
        </is>
      </c>
      <c r="E15" s="38" t="inlineStr">
        <is>
          <t>685 Alder Lane, North Sampletown</t>
        </is>
      </c>
      <c r="F15" s="38" t="inlineStr">
        <is>
          <t>Deep Clean</t>
        </is>
      </c>
      <c r="G15" s="38" t="n"/>
      <c r="H15" s="38" t="inlineStr">
        <is>
          <t>Maria Lopez</t>
        </is>
      </c>
      <c r="I15" s="57" t="n">
        <v>2</v>
      </c>
      <c r="J15" s="95" t="n"/>
      <c r="K15" s="95" t="n">
        <v>13.32</v>
      </c>
      <c r="L15" s="48" t="n">
        <v>685</v>
      </c>
      <c r="M15" s="96" t="n">
        <v>0</v>
      </c>
      <c r="N15" s="48" t="n"/>
      <c r="O15" s="38" t="inlineStr">
        <is>
          <t>Completed</t>
        </is>
      </c>
      <c r="P15" s="38" t="inlineStr"/>
      <c r="Q15" s="97">
        <f>IF(OR(F15="",E15=""),"",IFERROR(IF(INDEX('PROPERTIES'!$F$5:$F$404,MATCH(E15,'PROPERTIES'!$B$5:$B$404,0))=0,"",ROUND((INDEX('PROPERTIES'!$F$5:$F$404,MATCH(E15,'PROPERTIES'!$B$5:$B$404,0))/INDEX('PRICING'!$C$7:$C$16,MATCH(F15,'PRICING'!$A$7:$A$16,0))+INDEX('PROPERTIES'!$G$5:$G$404,MATCH(E15,'PROPERTIES'!$B$5:$B$404,0))*INDEX('PRICING'!$D$7:$D$16,MATCH(F15,'PRICING'!$A$7:$A$16,0))/60+INDEX('PROPERTIES'!$H$5:$H$404,MATCH(E15,'PROPERTIES'!$B$5:$B$404,0))*INDEX('PRICING'!$E$7:$E$16,MATCH(F15,'PRICING'!$A$7:$A$16,0))/60+INDEX('PRICING'!$F$7:$F$16,MATCH(F15,'PRICING'!$A$7:$A$16,0))/60),2)),""))</f>
        <v/>
      </c>
      <c r="R15" s="97">
        <f>IF(B15="","",IF(N(K15)&gt;0,K15,IF(N(J15)&gt;0,J15,N(Q15))))</f>
        <v/>
      </c>
      <c r="S15" s="55">
        <f>IF(L15="","",ROUND(L15*(1+N(M15)),2))</f>
        <v/>
      </c>
      <c r="T15" s="55">
        <f>IF(B15="","",SUMIFS('REVENUE'!$C$5:$C$1504,'REVENUE'!$B$5:$B$1504,A15))</f>
        <v/>
      </c>
      <c r="U15" s="55">
        <f>IF(B15="","",IF(O15="Completed",MAX(0,N(S15)-T15),""))</f>
        <v/>
      </c>
      <c r="V15" s="49">
        <f>IF(B15="","",IF(O15&lt;&gt;"Completed",IF(T15&gt;0,"Deposit","—"),IF(U15&lt;=0.005,"Paid",IF(T15&gt;0,"Partial","Unpaid"))))</f>
        <v/>
      </c>
      <c r="W15" s="55">
        <f>IF(B15="","",IFERROR(1/(1/INDEX('STAFF &amp; TASKS'!$C$5:$C$24,MATCH(H15,'STAFF &amp; TASKS'!$A$5:$A$24,0))),PayRate))</f>
        <v/>
      </c>
      <c r="X15" s="55">
        <f>IF(B15="","",IF(OR(O15="Cancelled",O15="No-Show"),"",ROUND(R15*W15*(1+Burden),2)))</f>
        <v/>
      </c>
      <c r="Y15" s="55">
        <f>IF(B15="","",IF(OR(O15="Cancelled",O15="No-Show"),"",IF(N15&lt;&gt;"",N15,ROUND(R15*SupHr*IFERROR(INDEX('PRICING'!$G$7:$G$16,MATCH(F15,'PRICING'!$A$7:$A$16,0)),1),2))))</f>
        <v/>
      </c>
      <c r="Z15" s="98">
        <f>IF(B15="","",SUMIFS('MILEAGE'!$J$5:$J$1504,'MILEAGE'!$B$5:$B$1504,A15))</f>
        <v/>
      </c>
      <c r="AA15" s="55">
        <f>IF(B15="","",ROUND(Z15*MileRate,2))</f>
        <v/>
      </c>
      <c r="AB15" s="55">
        <f>IF(B15="","",SUMIFS('REVENUE'!$J$5:$J$1504,'REVENUE'!$B$5:$B$1504,A15))</f>
        <v/>
      </c>
      <c r="AC15" s="55">
        <f>IF(L15="","",IF(OR(O15="Cancelled",O15="No-Show"),"",L15-N(X15)-N(Y15)-AA15-AB15))</f>
        <v/>
      </c>
      <c r="AD15" s="99">
        <f>IF(OR(AC15="",N(L15)=0),"",AC15/L15)</f>
        <v/>
      </c>
      <c r="AE15" s="55">
        <f>IF(OR(AC15="",N(R15)=0),"",L15/R15)</f>
        <v/>
      </c>
      <c r="AF15" s="100">
        <f>IF(OR(N(K15)=0,N(J15)+N(Q15)=0),"",K15-IF(N(J15)&gt;0,J15,Q15))</f>
        <v/>
      </c>
      <c r="AG15" s="99">
        <f>IF(B15="","",IFERROR(AVERAGEIFS('QUALITY CONTROL'!$M$5:$M$304,'QUALITY CONTROL'!$B$5:$B$304,A15),""))</f>
        <v/>
      </c>
      <c r="AH15" s="51">
        <f>IF(B15="","",DATE(YEAR(B15),MONTH(B15),1))</f>
        <v/>
      </c>
      <c r="AI15" s="49">
        <f>IF(D15="","",IFERROR(INDEX('CUSTOMERS'!$E$5:$E$404,MATCH(D15,'CUSTOMERS'!$B$5:$B$404,0)),""))</f>
        <v/>
      </c>
      <c r="AJ15" s="49">
        <f>IF(B15="","",N(C15))</f>
        <v/>
      </c>
      <c r="AK15" s="49">
        <f>IF(OR(B15="",O15="Cancelled",O15="Rescheduled"),"",B15&amp;"|"&amp;(COUNTIFS('JOBS'!$B$5:$B$1504,B15,'JOBS'!$AJ$5:$AJ$1504,"&lt;"&amp;AJ15,'JOBS'!$O$5:$O$1504,"&lt;&gt;Cancelled",'JOBS'!$O$5:$O$1504,"&lt;&gt;Rescheduled")+COUNTIFS($B$5:B15,B15,$AJ$5:AJ15,AJ15,$O$5:O15,"&lt;&gt;Cancelled",$O$5:O15,"&lt;&gt;Rescheduled")))</f>
        <v/>
      </c>
      <c r="AL15" s="49">
        <f>IF(N(U15)&lt;=0.005,"",COUNTIFS('JOBS'!$U$5:$U$1504,"&gt;0.005",'JOBS'!$B$5:$B$1504,"&lt;"&amp;B15)+COUNTIFS($U$5:U15,"&gt;0.005",$B$5:B15,B15))</f>
        <v/>
      </c>
    </row>
    <row r="16">
      <c r="A16" s="46" t="inlineStr">
        <is>
          <t>J-0012</t>
        </is>
      </c>
      <c r="B16" s="47" t="n">
        <v>46054</v>
      </c>
      <c r="C16" s="94" t="n">
        <v>0.5833333333333334</v>
      </c>
      <c r="D16" s="38" t="inlineStr">
        <is>
          <t>Blake Oakes</t>
        </is>
      </c>
      <c r="E16" s="38" t="inlineStr">
        <is>
          <t>654 Willow Way, North Sampletown</t>
        </is>
      </c>
      <c r="F16" s="38" t="inlineStr">
        <is>
          <t>Airbnb Turnover</t>
        </is>
      </c>
      <c r="G16" s="38" t="n"/>
      <c r="H16" s="38" t="inlineStr">
        <is>
          <t>Kevin Osei</t>
        </is>
      </c>
      <c r="I16" s="57" t="n">
        <v>1</v>
      </c>
      <c r="J16" s="95" t="n"/>
      <c r="K16" s="95" t="n">
        <v>1.48</v>
      </c>
      <c r="L16" s="48" t="n">
        <v>135</v>
      </c>
      <c r="M16" s="96" t="n">
        <v>0</v>
      </c>
      <c r="N16" s="48" t="n"/>
      <c r="O16" s="38" t="inlineStr">
        <is>
          <t>Completed</t>
        </is>
      </c>
      <c r="P16" s="38" t="inlineStr">
        <is>
          <t>Includes laundry</t>
        </is>
      </c>
      <c r="Q16" s="97">
        <f>IF(OR(F16="",E16=""),"",IFERROR(IF(INDEX('PROPERTIES'!$F$5:$F$404,MATCH(E16,'PROPERTIES'!$B$5:$B$404,0))=0,"",ROUND((INDEX('PROPERTIES'!$F$5:$F$404,MATCH(E16,'PROPERTIES'!$B$5:$B$404,0))/INDEX('PRICING'!$C$7:$C$16,MATCH(F16,'PRICING'!$A$7:$A$16,0))+INDEX('PROPERTIES'!$G$5:$G$404,MATCH(E16,'PROPERTIES'!$B$5:$B$404,0))*INDEX('PRICING'!$D$7:$D$16,MATCH(F16,'PRICING'!$A$7:$A$16,0))/60+INDEX('PROPERTIES'!$H$5:$H$404,MATCH(E16,'PROPERTIES'!$B$5:$B$404,0))*INDEX('PRICING'!$E$7:$E$16,MATCH(F16,'PRICING'!$A$7:$A$16,0))/60+INDEX('PRICING'!$F$7:$F$16,MATCH(F16,'PRICING'!$A$7:$A$16,0))/60),2)),""))</f>
        <v/>
      </c>
      <c r="R16" s="97">
        <f>IF(B16="","",IF(N(K16)&gt;0,K16,IF(N(J16)&gt;0,J16,N(Q16))))</f>
        <v/>
      </c>
      <c r="S16" s="55">
        <f>IF(L16="","",ROUND(L16*(1+N(M16)),2))</f>
        <v/>
      </c>
      <c r="T16" s="55">
        <f>IF(B16="","",SUMIFS('REVENUE'!$C$5:$C$1504,'REVENUE'!$B$5:$B$1504,A16))</f>
        <v/>
      </c>
      <c r="U16" s="55">
        <f>IF(B16="","",IF(O16="Completed",MAX(0,N(S16)-T16),""))</f>
        <v/>
      </c>
      <c r="V16" s="49">
        <f>IF(B16="","",IF(O16&lt;&gt;"Completed",IF(T16&gt;0,"Deposit","—"),IF(U16&lt;=0.005,"Paid",IF(T16&gt;0,"Partial","Unpaid"))))</f>
        <v/>
      </c>
      <c r="W16" s="55">
        <f>IF(B16="","",IFERROR(1/(1/INDEX('STAFF &amp; TASKS'!$C$5:$C$24,MATCH(H16,'STAFF &amp; TASKS'!$A$5:$A$24,0))),PayRate))</f>
        <v/>
      </c>
      <c r="X16" s="55">
        <f>IF(B16="","",IF(OR(O16="Cancelled",O16="No-Show"),"",ROUND(R16*W16*(1+Burden),2)))</f>
        <v/>
      </c>
      <c r="Y16" s="55">
        <f>IF(B16="","",IF(OR(O16="Cancelled",O16="No-Show"),"",IF(N16&lt;&gt;"",N16,ROUND(R16*SupHr*IFERROR(INDEX('PRICING'!$G$7:$G$16,MATCH(F16,'PRICING'!$A$7:$A$16,0)),1),2))))</f>
        <v/>
      </c>
      <c r="Z16" s="98">
        <f>IF(B16="","",SUMIFS('MILEAGE'!$J$5:$J$1504,'MILEAGE'!$B$5:$B$1504,A16))</f>
        <v/>
      </c>
      <c r="AA16" s="55">
        <f>IF(B16="","",ROUND(Z16*MileRate,2))</f>
        <v/>
      </c>
      <c r="AB16" s="55">
        <f>IF(B16="","",SUMIFS('REVENUE'!$J$5:$J$1504,'REVENUE'!$B$5:$B$1504,A16))</f>
        <v/>
      </c>
      <c r="AC16" s="55">
        <f>IF(L16="","",IF(OR(O16="Cancelled",O16="No-Show"),"",L16-N(X16)-N(Y16)-AA16-AB16))</f>
        <v/>
      </c>
      <c r="AD16" s="99">
        <f>IF(OR(AC16="",N(L16)=0),"",AC16/L16)</f>
        <v/>
      </c>
      <c r="AE16" s="55">
        <f>IF(OR(AC16="",N(R16)=0),"",L16/R16)</f>
        <v/>
      </c>
      <c r="AF16" s="100">
        <f>IF(OR(N(K16)=0,N(J16)+N(Q16)=0),"",K16-IF(N(J16)&gt;0,J16,Q16))</f>
        <v/>
      </c>
      <c r="AG16" s="99">
        <f>IF(B16="","",IFERROR(AVERAGEIFS('QUALITY CONTROL'!$M$5:$M$304,'QUALITY CONTROL'!$B$5:$B$304,A16),""))</f>
        <v/>
      </c>
      <c r="AH16" s="51">
        <f>IF(B16="","",DATE(YEAR(B16),MONTH(B16),1))</f>
        <v/>
      </c>
      <c r="AI16" s="49">
        <f>IF(D16="","",IFERROR(INDEX('CUSTOMERS'!$E$5:$E$404,MATCH(D16,'CUSTOMERS'!$B$5:$B$404,0)),""))</f>
        <v/>
      </c>
      <c r="AJ16" s="49">
        <f>IF(B16="","",N(C16))</f>
        <v/>
      </c>
      <c r="AK16" s="49">
        <f>IF(OR(B16="",O16="Cancelled",O16="Rescheduled"),"",B16&amp;"|"&amp;(COUNTIFS('JOBS'!$B$5:$B$1504,B16,'JOBS'!$AJ$5:$AJ$1504,"&lt;"&amp;AJ16,'JOBS'!$O$5:$O$1504,"&lt;&gt;Cancelled",'JOBS'!$O$5:$O$1504,"&lt;&gt;Rescheduled")+COUNTIFS($B$5:B16,B16,$AJ$5:AJ16,AJ16,$O$5:O16,"&lt;&gt;Cancelled",$O$5:O16,"&lt;&gt;Rescheduled")))</f>
        <v/>
      </c>
      <c r="AL16" s="49">
        <f>IF(N(U16)&lt;=0.005,"",COUNTIFS('JOBS'!$U$5:$U$1504,"&gt;0.005",'JOBS'!$B$5:$B$1504,"&lt;"&amp;B16)+COUNTIFS($U$5:U16,"&gt;0.005",$B$5:B16,B16))</f>
        <v/>
      </c>
    </row>
    <row r="17">
      <c r="A17" s="46" t="inlineStr">
        <is>
          <t>J-0013</t>
        </is>
      </c>
      <c r="B17" s="47" t="n">
        <v>46055</v>
      </c>
      <c r="C17" s="94" t="n">
        <v>0.5833333333333334</v>
      </c>
      <c r="D17" s="38" t="inlineStr">
        <is>
          <t>Taylor Quigley</t>
        </is>
      </c>
      <c r="E17" s="38" t="inlineStr">
        <is>
          <t>667 Willow Way, Sampletown</t>
        </is>
      </c>
      <c r="F17" s="38" t="inlineStr">
        <is>
          <t>Standard Clean</t>
        </is>
      </c>
      <c r="G17" s="38" t="inlineStr">
        <is>
          <t>R-009</t>
        </is>
      </c>
      <c r="H17" s="38" t="inlineStr">
        <is>
          <t>Maria Lopez</t>
        </is>
      </c>
      <c r="I17" s="57" t="n">
        <v>1</v>
      </c>
      <c r="J17" s="95" t="n"/>
      <c r="K17" s="95" t="n">
        <v>3.22</v>
      </c>
      <c r="L17" s="48" t="n">
        <v>145</v>
      </c>
      <c r="M17" s="96" t="n">
        <v>0</v>
      </c>
      <c r="N17" s="48" t="n"/>
      <c r="O17" s="38" t="inlineStr">
        <is>
          <t>Completed</t>
        </is>
      </c>
      <c r="P17" s="38" t="inlineStr"/>
      <c r="Q17" s="97">
        <f>IF(OR(F17="",E17=""),"",IFERROR(IF(INDEX('PROPERTIES'!$F$5:$F$404,MATCH(E17,'PROPERTIES'!$B$5:$B$404,0))=0,"",ROUND((INDEX('PROPERTIES'!$F$5:$F$404,MATCH(E17,'PROPERTIES'!$B$5:$B$404,0))/INDEX('PRICING'!$C$7:$C$16,MATCH(F17,'PRICING'!$A$7:$A$16,0))+INDEX('PROPERTIES'!$G$5:$G$404,MATCH(E17,'PROPERTIES'!$B$5:$B$404,0))*INDEX('PRICING'!$D$7:$D$16,MATCH(F17,'PRICING'!$A$7:$A$16,0))/60+INDEX('PROPERTIES'!$H$5:$H$404,MATCH(E17,'PROPERTIES'!$B$5:$B$404,0))*INDEX('PRICING'!$E$7:$E$16,MATCH(F17,'PRICING'!$A$7:$A$16,0))/60+INDEX('PRICING'!$F$7:$F$16,MATCH(F17,'PRICING'!$A$7:$A$16,0))/60),2)),""))</f>
        <v/>
      </c>
      <c r="R17" s="97">
        <f>IF(B17="","",IF(N(K17)&gt;0,K17,IF(N(J17)&gt;0,J17,N(Q17))))</f>
        <v/>
      </c>
      <c r="S17" s="55">
        <f>IF(L17="","",ROUND(L17*(1+N(M17)),2))</f>
        <v/>
      </c>
      <c r="T17" s="55">
        <f>IF(B17="","",SUMIFS('REVENUE'!$C$5:$C$1504,'REVENUE'!$B$5:$B$1504,A17))</f>
        <v/>
      </c>
      <c r="U17" s="55">
        <f>IF(B17="","",IF(O17="Completed",MAX(0,N(S17)-T17),""))</f>
        <v/>
      </c>
      <c r="V17" s="49">
        <f>IF(B17="","",IF(O17&lt;&gt;"Completed",IF(T17&gt;0,"Deposit","—"),IF(U17&lt;=0.005,"Paid",IF(T17&gt;0,"Partial","Unpaid"))))</f>
        <v/>
      </c>
      <c r="W17" s="55">
        <f>IF(B17="","",IFERROR(1/(1/INDEX('STAFF &amp; TASKS'!$C$5:$C$24,MATCH(H17,'STAFF &amp; TASKS'!$A$5:$A$24,0))),PayRate))</f>
        <v/>
      </c>
      <c r="X17" s="55">
        <f>IF(B17="","",IF(OR(O17="Cancelled",O17="No-Show"),"",ROUND(R17*W17*(1+Burden),2)))</f>
        <v/>
      </c>
      <c r="Y17" s="55">
        <f>IF(B17="","",IF(OR(O17="Cancelled",O17="No-Show"),"",IF(N17&lt;&gt;"",N17,ROUND(R17*SupHr*IFERROR(INDEX('PRICING'!$G$7:$G$16,MATCH(F17,'PRICING'!$A$7:$A$16,0)),1),2))))</f>
        <v/>
      </c>
      <c r="Z17" s="98">
        <f>IF(B17="","",SUMIFS('MILEAGE'!$J$5:$J$1504,'MILEAGE'!$B$5:$B$1504,A17))</f>
        <v/>
      </c>
      <c r="AA17" s="55">
        <f>IF(B17="","",ROUND(Z17*MileRate,2))</f>
        <v/>
      </c>
      <c r="AB17" s="55">
        <f>IF(B17="","",SUMIFS('REVENUE'!$J$5:$J$1504,'REVENUE'!$B$5:$B$1504,A17))</f>
        <v/>
      </c>
      <c r="AC17" s="55">
        <f>IF(L17="","",IF(OR(O17="Cancelled",O17="No-Show"),"",L17-N(X17)-N(Y17)-AA17-AB17))</f>
        <v/>
      </c>
      <c r="AD17" s="99">
        <f>IF(OR(AC17="",N(L17)=0),"",AC17/L17)</f>
        <v/>
      </c>
      <c r="AE17" s="55">
        <f>IF(OR(AC17="",N(R17)=0),"",L17/R17)</f>
        <v/>
      </c>
      <c r="AF17" s="100">
        <f>IF(OR(N(K17)=0,N(J17)+N(Q17)=0),"",K17-IF(N(J17)&gt;0,J17,Q17))</f>
        <v/>
      </c>
      <c r="AG17" s="99">
        <f>IF(B17="","",IFERROR(AVERAGEIFS('QUALITY CONTROL'!$M$5:$M$304,'QUALITY CONTROL'!$B$5:$B$304,A17),""))</f>
        <v/>
      </c>
      <c r="AH17" s="51">
        <f>IF(B17="","",DATE(YEAR(B17),MONTH(B17),1))</f>
        <v/>
      </c>
      <c r="AI17" s="49">
        <f>IF(D17="","",IFERROR(INDEX('CUSTOMERS'!$E$5:$E$404,MATCH(D17,'CUSTOMERS'!$B$5:$B$404,0)),""))</f>
        <v/>
      </c>
      <c r="AJ17" s="49">
        <f>IF(B17="","",N(C17))</f>
        <v/>
      </c>
      <c r="AK17" s="49">
        <f>IF(OR(B17="",O17="Cancelled",O17="Rescheduled"),"",B17&amp;"|"&amp;(COUNTIFS('JOBS'!$B$5:$B$1504,B17,'JOBS'!$AJ$5:$AJ$1504,"&lt;"&amp;AJ17,'JOBS'!$O$5:$O$1504,"&lt;&gt;Cancelled",'JOBS'!$O$5:$O$1504,"&lt;&gt;Rescheduled")+COUNTIFS($B$5:B17,B17,$AJ$5:AJ17,AJ17,$O$5:O17,"&lt;&gt;Cancelled",$O$5:O17,"&lt;&gt;Rescheduled")))</f>
        <v/>
      </c>
      <c r="AL17" s="49">
        <f>IF(N(U17)&lt;=0.005,"",COUNTIFS('JOBS'!$U$5:$U$1504,"&gt;0.005",'JOBS'!$B$5:$B$1504,"&lt;"&amp;B17)+COUNTIFS($U$5:U17,"&gt;0.005",$B$5:B17,B17))</f>
        <v/>
      </c>
    </row>
    <row r="18">
      <c r="A18" s="46" t="inlineStr">
        <is>
          <t>J-0014</t>
        </is>
      </c>
      <c r="B18" s="47" t="n">
        <v>46056</v>
      </c>
      <c r="C18" s="94" t="n">
        <v>0.3541666666666667</v>
      </c>
      <c r="D18" s="38" t="inlineStr">
        <is>
          <t>Lane Ivers</t>
        </is>
      </c>
      <c r="E18" s="38" t="inlineStr">
        <is>
          <t>497 Aspen Drive, Sampletown</t>
        </is>
      </c>
      <c r="F18" s="38" t="inlineStr">
        <is>
          <t>Standard Clean</t>
        </is>
      </c>
      <c r="G18" s="38" t="inlineStr">
        <is>
          <t>R-001</t>
        </is>
      </c>
      <c r="H18" s="38" t="inlineStr">
        <is>
          <t>Maria Lopez</t>
        </is>
      </c>
      <c r="I18" s="57" t="n">
        <v>1</v>
      </c>
      <c r="J18" s="95" t="n"/>
      <c r="K18" s="95" t="n">
        <v>3.55</v>
      </c>
      <c r="L18" s="48" t="n">
        <v>175</v>
      </c>
      <c r="M18" s="96" t="n">
        <v>0</v>
      </c>
      <c r="N18" s="48" t="n"/>
      <c r="O18" s="38" t="inlineStr">
        <is>
          <t>Completed</t>
        </is>
      </c>
      <c r="P18" s="38" t="inlineStr"/>
      <c r="Q18" s="97">
        <f>IF(OR(F18="",E18=""),"",IFERROR(IF(INDEX('PROPERTIES'!$F$5:$F$404,MATCH(E18,'PROPERTIES'!$B$5:$B$404,0))=0,"",ROUND((INDEX('PROPERTIES'!$F$5:$F$404,MATCH(E18,'PROPERTIES'!$B$5:$B$404,0))/INDEX('PRICING'!$C$7:$C$16,MATCH(F18,'PRICING'!$A$7:$A$16,0))+INDEX('PROPERTIES'!$G$5:$G$404,MATCH(E18,'PROPERTIES'!$B$5:$B$404,0))*INDEX('PRICING'!$D$7:$D$16,MATCH(F18,'PRICING'!$A$7:$A$16,0))/60+INDEX('PROPERTIES'!$H$5:$H$404,MATCH(E18,'PROPERTIES'!$B$5:$B$404,0))*INDEX('PRICING'!$E$7:$E$16,MATCH(F18,'PRICING'!$A$7:$A$16,0))/60+INDEX('PRICING'!$F$7:$F$16,MATCH(F18,'PRICING'!$A$7:$A$16,0))/60),2)),""))</f>
        <v/>
      </c>
      <c r="R18" s="97">
        <f>IF(B18="","",IF(N(K18)&gt;0,K18,IF(N(J18)&gt;0,J18,N(Q18))))</f>
        <v/>
      </c>
      <c r="S18" s="55">
        <f>IF(L18="","",ROUND(L18*(1+N(M18)),2))</f>
        <v/>
      </c>
      <c r="T18" s="55">
        <f>IF(B18="","",SUMIFS('REVENUE'!$C$5:$C$1504,'REVENUE'!$B$5:$B$1504,A18))</f>
        <v/>
      </c>
      <c r="U18" s="55">
        <f>IF(B18="","",IF(O18="Completed",MAX(0,N(S18)-T18),""))</f>
        <v/>
      </c>
      <c r="V18" s="49">
        <f>IF(B18="","",IF(O18&lt;&gt;"Completed",IF(T18&gt;0,"Deposit","—"),IF(U18&lt;=0.005,"Paid",IF(T18&gt;0,"Partial","Unpaid"))))</f>
        <v/>
      </c>
      <c r="W18" s="55">
        <f>IF(B18="","",IFERROR(1/(1/INDEX('STAFF &amp; TASKS'!$C$5:$C$24,MATCH(H18,'STAFF &amp; TASKS'!$A$5:$A$24,0))),PayRate))</f>
        <v/>
      </c>
      <c r="X18" s="55">
        <f>IF(B18="","",IF(OR(O18="Cancelled",O18="No-Show"),"",ROUND(R18*W18*(1+Burden),2)))</f>
        <v/>
      </c>
      <c r="Y18" s="55">
        <f>IF(B18="","",IF(OR(O18="Cancelled",O18="No-Show"),"",IF(N18&lt;&gt;"",N18,ROUND(R18*SupHr*IFERROR(INDEX('PRICING'!$G$7:$G$16,MATCH(F18,'PRICING'!$A$7:$A$16,0)),1),2))))</f>
        <v/>
      </c>
      <c r="Z18" s="98">
        <f>IF(B18="","",SUMIFS('MILEAGE'!$J$5:$J$1504,'MILEAGE'!$B$5:$B$1504,A18))</f>
        <v/>
      </c>
      <c r="AA18" s="55">
        <f>IF(B18="","",ROUND(Z18*MileRate,2))</f>
        <v/>
      </c>
      <c r="AB18" s="55">
        <f>IF(B18="","",SUMIFS('REVENUE'!$J$5:$J$1504,'REVENUE'!$B$5:$B$1504,A18))</f>
        <v/>
      </c>
      <c r="AC18" s="55">
        <f>IF(L18="","",IF(OR(O18="Cancelled",O18="No-Show"),"",L18-N(X18)-N(Y18)-AA18-AB18))</f>
        <v/>
      </c>
      <c r="AD18" s="99">
        <f>IF(OR(AC18="",N(L18)=0),"",AC18/L18)</f>
        <v/>
      </c>
      <c r="AE18" s="55">
        <f>IF(OR(AC18="",N(R18)=0),"",L18/R18)</f>
        <v/>
      </c>
      <c r="AF18" s="100">
        <f>IF(OR(N(K18)=0,N(J18)+N(Q18)=0),"",K18-IF(N(J18)&gt;0,J18,Q18))</f>
        <v/>
      </c>
      <c r="AG18" s="99">
        <f>IF(B18="","",IFERROR(AVERAGEIFS('QUALITY CONTROL'!$M$5:$M$304,'QUALITY CONTROL'!$B$5:$B$304,A18),""))</f>
        <v/>
      </c>
      <c r="AH18" s="51">
        <f>IF(B18="","",DATE(YEAR(B18),MONTH(B18),1))</f>
        <v/>
      </c>
      <c r="AI18" s="49">
        <f>IF(D18="","",IFERROR(INDEX('CUSTOMERS'!$E$5:$E$404,MATCH(D18,'CUSTOMERS'!$B$5:$B$404,0)),""))</f>
        <v/>
      </c>
      <c r="AJ18" s="49">
        <f>IF(B18="","",N(C18))</f>
        <v/>
      </c>
      <c r="AK18" s="49">
        <f>IF(OR(B18="",O18="Cancelled",O18="Rescheduled"),"",B18&amp;"|"&amp;(COUNTIFS('JOBS'!$B$5:$B$1504,B18,'JOBS'!$AJ$5:$AJ$1504,"&lt;"&amp;AJ18,'JOBS'!$O$5:$O$1504,"&lt;&gt;Cancelled",'JOBS'!$O$5:$O$1504,"&lt;&gt;Rescheduled")+COUNTIFS($B$5:B18,B18,$AJ$5:AJ18,AJ18,$O$5:O18,"&lt;&gt;Cancelled",$O$5:O18,"&lt;&gt;Rescheduled")))</f>
        <v/>
      </c>
      <c r="AL18" s="49">
        <f>IF(N(U18)&lt;=0.005,"",COUNTIFS('JOBS'!$U$5:$U$1504,"&gt;0.005",'JOBS'!$B$5:$B$1504,"&lt;"&amp;B18)+COUNTIFS($U$5:U18,"&gt;0.005",$B$5:B18,B18))</f>
        <v/>
      </c>
    </row>
    <row r="19">
      <c r="A19" s="46" t="inlineStr">
        <is>
          <t>J-0015</t>
        </is>
      </c>
      <c r="B19" s="47" t="n">
        <v>46059</v>
      </c>
      <c r="C19" s="94" t="n">
        <v>0.375</v>
      </c>
      <c r="D19" s="38" t="inlineStr">
        <is>
          <t>Brightside Dental Studio (sample)</t>
        </is>
      </c>
      <c r="E19" s="38" t="inlineStr">
        <is>
          <t>738 Cedar Court, North Sampletown</t>
        </is>
      </c>
      <c r="F19" s="38" t="inlineStr">
        <is>
          <t>Commercial Clean</t>
        </is>
      </c>
      <c r="G19" s="38" t="inlineStr">
        <is>
          <t>R-011</t>
        </is>
      </c>
      <c r="H19" s="38" t="inlineStr">
        <is>
          <t>Kevin Osei</t>
        </is>
      </c>
      <c r="I19" s="57" t="n">
        <v>2</v>
      </c>
      <c r="J19" s="95" t="n"/>
      <c r="K19" s="95" t="n">
        <v>1.65</v>
      </c>
      <c r="L19" s="48" t="n">
        <v>100</v>
      </c>
      <c r="M19" s="96" t="n">
        <v>0</v>
      </c>
      <c r="N19" s="48" t="n"/>
      <c r="O19" s="38" t="inlineStr">
        <is>
          <t>Completed</t>
        </is>
      </c>
      <c r="P19" s="38" t="inlineStr"/>
      <c r="Q19" s="97">
        <f>IF(OR(F19="",E19=""),"",IFERROR(IF(INDEX('PROPERTIES'!$F$5:$F$404,MATCH(E19,'PROPERTIES'!$B$5:$B$404,0))=0,"",ROUND((INDEX('PROPERTIES'!$F$5:$F$404,MATCH(E19,'PROPERTIES'!$B$5:$B$404,0))/INDEX('PRICING'!$C$7:$C$16,MATCH(F19,'PRICING'!$A$7:$A$16,0))+INDEX('PROPERTIES'!$G$5:$G$404,MATCH(E19,'PROPERTIES'!$B$5:$B$404,0))*INDEX('PRICING'!$D$7:$D$16,MATCH(F19,'PRICING'!$A$7:$A$16,0))/60+INDEX('PROPERTIES'!$H$5:$H$404,MATCH(E19,'PROPERTIES'!$B$5:$B$404,0))*INDEX('PRICING'!$E$7:$E$16,MATCH(F19,'PRICING'!$A$7:$A$16,0))/60+INDEX('PRICING'!$F$7:$F$16,MATCH(F19,'PRICING'!$A$7:$A$16,0))/60),2)),""))</f>
        <v/>
      </c>
      <c r="R19" s="97">
        <f>IF(B19="","",IF(N(K19)&gt;0,K19,IF(N(J19)&gt;0,J19,N(Q19))))</f>
        <v/>
      </c>
      <c r="S19" s="55">
        <f>IF(L19="","",ROUND(L19*(1+N(M19)),2))</f>
        <v/>
      </c>
      <c r="T19" s="55">
        <f>IF(B19="","",SUMIFS('REVENUE'!$C$5:$C$1504,'REVENUE'!$B$5:$B$1504,A19))</f>
        <v/>
      </c>
      <c r="U19" s="55">
        <f>IF(B19="","",IF(O19="Completed",MAX(0,N(S19)-T19),""))</f>
        <v/>
      </c>
      <c r="V19" s="49">
        <f>IF(B19="","",IF(O19&lt;&gt;"Completed",IF(T19&gt;0,"Deposit","—"),IF(U19&lt;=0.005,"Paid",IF(T19&gt;0,"Partial","Unpaid"))))</f>
        <v/>
      </c>
      <c r="W19" s="55">
        <f>IF(B19="","",IFERROR(1/(1/INDEX('STAFF &amp; TASKS'!$C$5:$C$24,MATCH(H19,'STAFF &amp; TASKS'!$A$5:$A$24,0))),PayRate))</f>
        <v/>
      </c>
      <c r="X19" s="55">
        <f>IF(B19="","",IF(OR(O19="Cancelled",O19="No-Show"),"",ROUND(R19*W19*(1+Burden),2)))</f>
        <v/>
      </c>
      <c r="Y19" s="55">
        <f>IF(B19="","",IF(OR(O19="Cancelled",O19="No-Show"),"",IF(N19&lt;&gt;"",N19,ROUND(R19*SupHr*IFERROR(INDEX('PRICING'!$G$7:$G$16,MATCH(F19,'PRICING'!$A$7:$A$16,0)),1),2))))</f>
        <v/>
      </c>
      <c r="Z19" s="98">
        <f>IF(B19="","",SUMIFS('MILEAGE'!$J$5:$J$1504,'MILEAGE'!$B$5:$B$1504,A19))</f>
        <v/>
      </c>
      <c r="AA19" s="55">
        <f>IF(B19="","",ROUND(Z19*MileRate,2))</f>
        <v/>
      </c>
      <c r="AB19" s="55">
        <f>IF(B19="","",SUMIFS('REVENUE'!$J$5:$J$1504,'REVENUE'!$B$5:$B$1504,A19))</f>
        <v/>
      </c>
      <c r="AC19" s="55">
        <f>IF(L19="","",IF(OR(O19="Cancelled",O19="No-Show"),"",L19-N(X19)-N(Y19)-AA19-AB19))</f>
        <v/>
      </c>
      <c r="AD19" s="99">
        <f>IF(OR(AC19="",N(L19)=0),"",AC19/L19)</f>
        <v/>
      </c>
      <c r="AE19" s="55">
        <f>IF(OR(AC19="",N(R19)=0),"",L19/R19)</f>
        <v/>
      </c>
      <c r="AF19" s="100">
        <f>IF(OR(N(K19)=0,N(J19)+N(Q19)=0),"",K19-IF(N(J19)&gt;0,J19,Q19))</f>
        <v/>
      </c>
      <c r="AG19" s="99">
        <f>IF(B19="","",IFERROR(AVERAGEIFS('QUALITY CONTROL'!$M$5:$M$304,'QUALITY CONTROL'!$B$5:$B$304,A19),""))</f>
        <v/>
      </c>
      <c r="AH19" s="51">
        <f>IF(B19="","",DATE(YEAR(B19),MONTH(B19),1))</f>
        <v/>
      </c>
      <c r="AI19" s="49">
        <f>IF(D19="","",IFERROR(INDEX('CUSTOMERS'!$E$5:$E$404,MATCH(D19,'CUSTOMERS'!$B$5:$B$404,0)),""))</f>
        <v/>
      </c>
      <c r="AJ19" s="49">
        <f>IF(B19="","",N(C19))</f>
        <v/>
      </c>
      <c r="AK19" s="49">
        <f>IF(OR(B19="",O19="Cancelled",O19="Rescheduled"),"",B19&amp;"|"&amp;(COUNTIFS('JOBS'!$B$5:$B$1504,B19,'JOBS'!$AJ$5:$AJ$1504,"&lt;"&amp;AJ19,'JOBS'!$O$5:$O$1504,"&lt;&gt;Cancelled",'JOBS'!$O$5:$O$1504,"&lt;&gt;Rescheduled")+COUNTIFS($B$5:B19,B19,$AJ$5:AJ19,AJ19,$O$5:O19,"&lt;&gt;Cancelled",$O$5:O19,"&lt;&gt;Rescheduled")))</f>
        <v/>
      </c>
      <c r="AL19" s="49">
        <f>IF(N(U19)&lt;=0.005,"",COUNTIFS('JOBS'!$U$5:$U$1504,"&gt;0.005",'JOBS'!$B$5:$B$1504,"&lt;"&amp;B19)+COUNTIFS($U$5:U19,"&gt;0.005",$B$5:B19,B19))</f>
        <v/>
      </c>
    </row>
    <row r="20">
      <c r="A20" s="46" t="inlineStr">
        <is>
          <t>J-0016</t>
        </is>
      </c>
      <c r="B20" s="47" t="n">
        <v>46060</v>
      </c>
      <c r="C20" s="94" t="n">
        <v>0.5208333333333334</v>
      </c>
      <c r="D20" s="38" t="inlineStr">
        <is>
          <t>Dana Oakes</t>
        </is>
      </c>
      <c r="E20" s="38" t="inlineStr">
        <is>
          <t>666 Juniper Street, North Sampletown</t>
        </is>
      </c>
      <c r="F20" s="38" t="inlineStr">
        <is>
          <t>Airbnb Turnover</t>
        </is>
      </c>
      <c r="G20" s="38" t="n"/>
      <c r="H20" s="38" t="inlineStr">
        <is>
          <t>Kevin Osei</t>
        </is>
      </c>
      <c r="I20" s="57" t="n">
        <v>1</v>
      </c>
      <c r="J20" s="95" t="n"/>
      <c r="K20" s="95" t="n">
        <v>1.59</v>
      </c>
      <c r="L20" s="48" t="n">
        <v>135</v>
      </c>
      <c r="M20" s="96" t="n">
        <v>0</v>
      </c>
      <c r="N20" s="48" t="n"/>
      <c r="O20" s="38" t="inlineStr">
        <is>
          <t>Completed</t>
        </is>
      </c>
      <c r="P20" s="38" t="inlineStr">
        <is>
          <t>Includes laundry</t>
        </is>
      </c>
      <c r="Q20" s="97">
        <f>IF(OR(F20="",E20=""),"",IFERROR(IF(INDEX('PROPERTIES'!$F$5:$F$404,MATCH(E20,'PROPERTIES'!$B$5:$B$404,0))=0,"",ROUND((INDEX('PROPERTIES'!$F$5:$F$404,MATCH(E20,'PROPERTIES'!$B$5:$B$404,0))/INDEX('PRICING'!$C$7:$C$16,MATCH(F20,'PRICING'!$A$7:$A$16,0))+INDEX('PROPERTIES'!$G$5:$G$404,MATCH(E20,'PROPERTIES'!$B$5:$B$404,0))*INDEX('PRICING'!$D$7:$D$16,MATCH(F20,'PRICING'!$A$7:$A$16,0))/60+INDEX('PROPERTIES'!$H$5:$H$404,MATCH(E20,'PROPERTIES'!$B$5:$B$404,0))*INDEX('PRICING'!$E$7:$E$16,MATCH(F20,'PRICING'!$A$7:$A$16,0))/60+INDEX('PRICING'!$F$7:$F$16,MATCH(F20,'PRICING'!$A$7:$A$16,0))/60),2)),""))</f>
        <v/>
      </c>
      <c r="R20" s="97">
        <f>IF(B20="","",IF(N(K20)&gt;0,K20,IF(N(J20)&gt;0,J20,N(Q20))))</f>
        <v/>
      </c>
      <c r="S20" s="55">
        <f>IF(L20="","",ROUND(L20*(1+N(M20)),2))</f>
        <v/>
      </c>
      <c r="T20" s="55">
        <f>IF(B20="","",SUMIFS('REVENUE'!$C$5:$C$1504,'REVENUE'!$B$5:$B$1504,A20))</f>
        <v/>
      </c>
      <c r="U20" s="55">
        <f>IF(B20="","",IF(O20="Completed",MAX(0,N(S20)-T20),""))</f>
        <v/>
      </c>
      <c r="V20" s="49">
        <f>IF(B20="","",IF(O20&lt;&gt;"Completed",IF(T20&gt;0,"Deposit","—"),IF(U20&lt;=0.005,"Paid",IF(T20&gt;0,"Partial","Unpaid"))))</f>
        <v/>
      </c>
      <c r="W20" s="55">
        <f>IF(B20="","",IFERROR(1/(1/INDEX('STAFF &amp; TASKS'!$C$5:$C$24,MATCH(H20,'STAFF &amp; TASKS'!$A$5:$A$24,0))),PayRate))</f>
        <v/>
      </c>
      <c r="X20" s="55">
        <f>IF(B20="","",IF(OR(O20="Cancelled",O20="No-Show"),"",ROUND(R20*W20*(1+Burden),2)))</f>
        <v/>
      </c>
      <c r="Y20" s="55">
        <f>IF(B20="","",IF(OR(O20="Cancelled",O20="No-Show"),"",IF(N20&lt;&gt;"",N20,ROUND(R20*SupHr*IFERROR(INDEX('PRICING'!$G$7:$G$16,MATCH(F20,'PRICING'!$A$7:$A$16,0)),1),2))))</f>
        <v/>
      </c>
      <c r="Z20" s="98">
        <f>IF(B20="","",SUMIFS('MILEAGE'!$J$5:$J$1504,'MILEAGE'!$B$5:$B$1504,A20))</f>
        <v/>
      </c>
      <c r="AA20" s="55">
        <f>IF(B20="","",ROUND(Z20*MileRate,2))</f>
        <v/>
      </c>
      <c r="AB20" s="55">
        <f>IF(B20="","",SUMIFS('REVENUE'!$J$5:$J$1504,'REVENUE'!$B$5:$B$1504,A20))</f>
        <v/>
      </c>
      <c r="AC20" s="55">
        <f>IF(L20="","",IF(OR(O20="Cancelled",O20="No-Show"),"",L20-N(X20)-N(Y20)-AA20-AB20))</f>
        <v/>
      </c>
      <c r="AD20" s="99">
        <f>IF(OR(AC20="",N(L20)=0),"",AC20/L20)</f>
        <v/>
      </c>
      <c r="AE20" s="55">
        <f>IF(OR(AC20="",N(R20)=0),"",L20/R20)</f>
        <v/>
      </c>
      <c r="AF20" s="100">
        <f>IF(OR(N(K20)=0,N(J20)+N(Q20)=0),"",K20-IF(N(J20)&gt;0,J20,Q20))</f>
        <v/>
      </c>
      <c r="AG20" s="99">
        <f>IF(B20="","",IFERROR(AVERAGEIFS('QUALITY CONTROL'!$M$5:$M$304,'QUALITY CONTROL'!$B$5:$B$304,A20),""))</f>
        <v/>
      </c>
      <c r="AH20" s="51">
        <f>IF(B20="","",DATE(YEAR(B20),MONTH(B20),1))</f>
        <v/>
      </c>
      <c r="AI20" s="49">
        <f>IF(D20="","",IFERROR(INDEX('CUSTOMERS'!$E$5:$E$404,MATCH(D20,'CUSTOMERS'!$B$5:$B$404,0)),""))</f>
        <v/>
      </c>
      <c r="AJ20" s="49">
        <f>IF(B20="","",N(C20))</f>
        <v/>
      </c>
      <c r="AK20" s="49">
        <f>IF(OR(B20="",O20="Cancelled",O20="Rescheduled"),"",B20&amp;"|"&amp;(COUNTIFS('JOBS'!$B$5:$B$1504,B20,'JOBS'!$AJ$5:$AJ$1504,"&lt;"&amp;AJ20,'JOBS'!$O$5:$O$1504,"&lt;&gt;Cancelled",'JOBS'!$O$5:$O$1504,"&lt;&gt;Rescheduled")+COUNTIFS($B$5:B20,B20,$AJ$5:AJ20,AJ20,$O$5:O20,"&lt;&gt;Cancelled",$O$5:O20,"&lt;&gt;Rescheduled")))</f>
        <v/>
      </c>
      <c r="AL20" s="49">
        <f>IF(N(U20)&lt;=0.005,"",COUNTIFS('JOBS'!$U$5:$U$1504,"&gt;0.005",'JOBS'!$B$5:$B$1504,"&lt;"&amp;B20)+COUNTIFS($U$5:U20,"&gt;0.005",$B$5:B20,B20))</f>
        <v/>
      </c>
    </row>
    <row r="21">
      <c r="A21" s="46" t="inlineStr">
        <is>
          <t>J-0017</t>
        </is>
      </c>
      <c r="B21" s="47" t="n">
        <v>46063</v>
      </c>
      <c r="C21" s="94" t="n">
        <v>0.625</v>
      </c>
      <c r="D21" s="38" t="inlineStr">
        <is>
          <t>Lane Ivers</t>
        </is>
      </c>
      <c r="E21" s="38" t="inlineStr">
        <is>
          <t>497 Aspen Drive, Sampletown</t>
        </is>
      </c>
      <c r="F21" s="38" t="inlineStr">
        <is>
          <t>Standard Clean</t>
        </is>
      </c>
      <c r="G21" s="38" t="inlineStr">
        <is>
          <t>R-001</t>
        </is>
      </c>
      <c r="H21" s="38" t="inlineStr">
        <is>
          <t>Maria Lopez</t>
        </is>
      </c>
      <c r="I21" s="57" t="n">
        <v>1</v>
      </c>
      <c r="J21" s="95" t="n"/>
      <c r="K21" s="95" t="n">
        <v>3.56</v>
      </c>
      <c r="L21" s="48" t="n">
        <v>175</v>
      </c>
      <c r="M21" s="96" t="n">
        <v>0</v>
      </c>
      <c r="N21" s="48" t="n"/>
      <c r="O21" s="38" t="inlineStr">
        <is>
          <t>Completed</t>
        </is>
      </c>
      <c r="P21" s="38" t="inlineStr"/>
      <c r="Q21" s="97">
        <f>IF(OR(F21="",E21=""),"",IFERROR(IF(INDEX('PROPERTIES'!$F$5:$F$404,MATCH(E21,'PROPERTIES'!$B$5:$B$404,0))=0,"",ROUND((INDEX('PROPERTIES'!$F$5:$F$404,MATCH(E21,'PROPERTIES'!$B$5:$B$404,0))/INDEX('PRICING'!$C$7:$C$16,MATCH(F21,'PRICING'!$A$7:$A$16,0))+INDEX('PROPERTIES'!$G$5:$G$404,MATCH(E21,'PROPERTIES'!$B$5:$B$404,0))*INDEX('PRICING'!$D$7:$D$16,MATCH(F21,'PRICING'!$A$7:$A$16,0))/60+INDEX('PROPERTIES'!$H$5:$H$404,MATCH(E21,'PROPERTIES'!$B$5:$B$404,0))*INDEX('PRICING'!$E$7:$E$16,MATCH(F21,'PRICING'!$A$7:$A$16,0))/60+INDEX('PRICING'!$F$7:$F$16,MATCH(F21,'PRICING'!$A$7:$A$16,0))/60),2)),""))</f>
        <v/>
      </c>
      <c r="R21" s="97">
        <f>IF(B21="","",IF(N(K21)&gt;0,K21,IF(N(J21)&gt;0,J21,N(Q21))))</f>
        <v/>
      </c>
      <c r="S21" s="55">
        <f>IF(L21="","",ROUND(L21*(1+N(M21)),2))</f>
        <v/>
      </c>
      <c r="T21" s="55">
        <f>IF(B21="","",SUMIFS('REVENUE'!$C$5:$C$1504,'REVENUE'!$B$5:$B$1504,A21))</f>
        <v/>
      </c>
      <c r="U21" s="55">
        <f>IF(B21="","",IF(O21="Completed",MAX(0,N(S21)-T21),""))</f>
        <v/>
      </c>
      <c r="V21" s="49">
        <f>IF(B21="","",IF(O21&lt;&gt;"Completed",IF(T21&gt;0,"Deposit","—"),IF(U21&lt;=0.005,"Paid",IF(T21&gt;0,"Partial","Unpaid"))))</f>
        <v/>
      </c>
      <c r="W21" s="55">
        <f>IF(B21="","",IFERROR(1/(1/INDEX('STAFF &amp; TASKS'!$C$5:$C$24,MATCH(H21,'STAFF &amp; TASKS'!$A$5:$A$24,0))),PayRate))</f>
        <v/>
      </c>
      <c r="X21" s="55">
        <f>IF(B21="","",IF(OR(O21="Cancelled",O21="No-Show"),"",ROUND(R21*W21*(1+Burden),2)))</f>
        <v/>
      </c>
      <c r="Y21" s="55">
        <f>IF(B21="","",IF(OR(O21="Cancelled",O21="No-Show"),"",IF(N21&lt;&gt;"",N21,ROUND(R21*SupHr*IFERROR(INDEX('PRICING'!$G$7:$G$16,MATCH(F21,'PRICING'!$A$7:$A$16,0)),1),2))))</f>
        <v/>
      </c>
      <c r="Z21" s="98">
        <f>IF(B21="","",SUMIFS('MILEAGE'!$J$5:$J$1504,'MILEAGE'!$B$5:$B$1504,A21))</f>
        <v/>
      </c>
      <c r="AA21" s="55">
        <f>IF(B21="","",ROUND(Z21*MileRate,2))</f>
        <v/>
      </c>
      <c r="AB21" s="55">
        <f>IF(B21="","",SUMIFS('REVENUE'!$J$5:$J$1504,'REVENUE'!$B$5:$B$1504,A21))</f>
        <v/>
      </c>
      <c r="AC21" s="55">
        <f>IF(L21="","",IF(OR(O21="Cancelled",O21="No-Show"),"",L21-N(X21)-N(Y21)-AA21-AB21))</f>
        <v/>
      </c>
      <c r="AD21" s="99">
        <f>IF(OR(AC21="",N(L21)=0),"",AC21/L21)</f>
        <v/>
      </c>
      <c r="AE21" s="55">
        <f>IF(OR(AC21="",N(R21)=0),"",L21/R21)</f>
        <v/>
      </c>
      <c r="AF21" s="100">
        <f>IF(OR(N(K21)=0,N(J21)+N(Q21)=0),"",K21-IF(N(J21)&gt;0,J21,Q21))</f>
        <v/>
      </c>
      <c r="AG21" s="99">
        <f>IF(B21="","",IFERROR(AVERAGEIFS('QUALITY CONTROL'!$M$5:$M$304,'QUALITY CONTROL'!$B$5:$B$304,A21),""))</f>
        <v/>
      </c>
      <c r="AH21" s="51">
        <f>IF(B21="","",DATE(YEAR(B21),MONTH(B21),1))</f>
        <v/>
      </c>
      <c r="AI21" s="49">
        <f>IF(D21="","",IFERROR(INDEX('CUSTOMERS'!$E$5:$E$404,MATCH(D21,'CUSTOMERS'!$B$5:$B$404,0)),""))</f>
        <v/>
      </c>
      <c r="AJ21" s="49">
        <f>IF(B21="","",N(C21))</f>
        <v/>
      </c>
      <c r="AK21" s="49">
        <f>IF(OR(B21="",O21="Cancelled",O21="Rescheduled"),"",B21&amp;"|"&amp;(COUNTIFS('JOBS'!$B$5:$B$1504,B21,'JOBS'!$AJ$5:$AJ$1504,"&lt;"&amp;AJ21,'JOBS'!$O$5:$O$1504,"&lt;&gt;Cancelled",'JOBS'!$O$5:$O$1504,"&lt;&gt;Rescheduled")+COUNTIFS($B$5:B21,B21,$AJ$5:AJ21,AJ21,$O$5:O21,"&lt;&gt;Cancelled",$O$5:O21,"&lt;&gt;Rescheduled")))</f>
        <v/>
      </c>
      <c r="AL21" s="49">
        <f>IF(N(U21)&lt;=0.005,"",COUNTIFS('JOBS'!$U$5:$U$1504,"&gt;0.005",'JOBS'!$B$5:$B$1504,"&lt;"&amp;B21)+COUNTIFS($U$5:U21,"&gt;0.005",$B$5:B21,B21))</f>
        <v/>
      </c>
    </row>
    <row r="22">
      <c r="A22" s="46" t="inlineStr">
        <is>
          <t>J-0018</t>
        </is>
      </c>
      <c r="B22" s="47" t="n">
        <v>46065</v>
      </c>
      <c r="C22" s="94" t="n">
        <v>0.5416666666666666</v>
      </c>
      <c r="D22" s="38" t="inlineStr">
        <is>
          <t>Emerson Holloway</t>
        </is>
      </c>
      <c r="E22" s="38" t="inlineStr">
        <is>
          <t>192 Birch Lane, North Sampletown</t>
        </is>
      </c>
      <c r="F22" s="38" t="inlineStr">
        <is>
          <t>Airbnb Turnover</t>
        </is>
      </c>
      <c r="G22" s="38" t="n"/>
      <c r="H22" s="38" t="inlineStr">
        <is>
          <t>Kevin Osei</t>
        </is>
      </c>
      <c r="I22" s="57" t="n">
        <v>1</v>
      </c>
      <c r="J22" s="95" t="n"/>
      <c r="K22" s="95" t="n">
        <v>2.36</v>
      </c>
      <c r="L22" s="48" t="n">
        <v>150</v>
      </c>
      <c r="M22" s="96" t="n">
        <v>0</v>
      </c>
      <c r="N22" s="48" t="n"/>
      <c r="O22" s="38" t="inlineStr">
        <is>
          <t>Completed</t>
        </is>
      </c>
      <c r="P22" s="38" t="inlineStr">
        <is>
          <t>Includes laundry</t>
        </is>
      </c>
      <c r="Q22" s="97">
        <f>IF(OR(F22="",E22=""),"",IFERROR(IF(INDEX('PROPERTIES'!$F$5:$F$404,MATCH(E22,'PROPERTIES'!$B$5:$B$404,0))=0,"",ROUND((INDEX('PROPERTIES'!$F$5:$F$404,MATCH(E22,'PROPERTIES'!$B$5:$B$404,0))/INDEX('PRICING'!$C$7:$C$16,MATCH(F22,'PRICING'!$A$7:$A$16,0))+INDEX('PROPERTIES'!$G$5:$G$404,MATCH(E22,'PROPERTIES'!$B$5:$B$404,0))*INDEX('PRICING'!$D$7:$D$16,MATCH(F22,'PRICING'!$A$7:$A$16,0))/60+INDEX('PROPERTIES'!$H$5:$H$404,MATCH(E22,'PROPERTIES'!$B$5:$B$404,0))*INDEX('PRICING'!$E$7:$E$16,MATCH(F22,'PRICING'!$A$7:$A$16,0))/60+INDEX('PRICING'!$F$7:$F$16,MATCH(F22,'PRICING'!$A$7:$A$16,0))/60),2)),""))</f>
        <v/>
      </c>
      <c r="R22" s="97">
        <f>IF(B22="","",IF(N(K22)&gt;0,K22,IF(N(J22)&gt;0,J22,N(Q22))))</f>
        <v/>
      </c>
      <c r="S22" s="55">
        <f>IF(L22="","",ROUND(L22*(1+N(M22)),2))</f>
        <v/>
      </c>
      <c r="T22" s="55">
        <f>IF(B22="","",SUMIFS('REVENUE'!$C$5:$C$1504,'REVENUE'!$B$5:$B$1504,A22))</f>
        <v/>
      </c>
      <c r="U22" s="55">
        <f>IF(B22="","",IF(O22="Completed",MAX(0,N(S22)-T22),""))</f>
        <v/>
      </c>
      <c r="V22" s="49">
        <f>IF(B22="","",IF(O22&lt;&gt;"Completed",IF(T22&gt;0,"Deposit","—"),IF(U22&lt;=0.005,"Paid",IF(T22&gt;0,"Partial","Unpaid"))))</f>
        <v/>
      </c>
      <c r="W22" s="55">
        <f>IF(B22="","",IFERROR(1/(1/INDEX('STAFF &amp; TASKS'!$C$5:$C$24,MATCH(H22,'STAFF &amp; TASKS'!$A$5:$A$24,0))),PayRate))</f>
        <v/>
      </c>
      <c r="X22" s="55">
        <f>IF(B22="","",IF(OR(O22="Cancelled",O22="No-Show"),"",ROUND(R22*W22*(1+Burden),2)))</f>
        <v/>
      </c>
      <c r="Y22" s="55">
        <f>IF(B22="","",IF(OR(O22="Cancelled",O22="No-Show"),"",IF(N22&lt;&gt;"",N22,ROUND(R22*SupHr*IFERROR(INDEX('PRICING'!$G$7:$G$16,MATCH(F22,'PRICING'!$A$7:$A$16,0)),1),2))))</f>
        <v/>
      </c>
      <c r="Z22" s="98">
        <f>IF(B22="","",SUMIFS('MILEAGE'!$J$5:$J$1504,'MILEAGE'!$B$5:$B$1504,A22))</f>
        <v/>
      </c>
      <c r="AA22" s="55">
        <f>IF(B22="","",ROUND(Z22*MileRate,2))</f>
        <v/>
      </c>
      <c r="AB22" s="55">
        <f>IF(B22="","",SUMIFS('REVENUE'!$J$5:$J$1504,'REVENUE'!$B$5:$B$1504,A22))</f>
        <v/>
      </c>
      <c r="AC22" s="55">
        <f>IF(L22="","",IF(OR(O22="Cancelled",O22="No-Show"),"",L22-N(X22)-N(Y22)-AA22-AB22))</f>
        <v/>
      </c>
      <c r="AD22" s="99">
        <f>IF(OR(AC22="",N(L22)=0),"",AC22/L22)</f>
        <v/>
      </c>
      <c r="AE22" s="55">
        <f>IF(OR(AC22="",N(R22)=0),"",L22/R22)</f>
        <v/>
      </c>
      <c r="AF22" s="100">
        <f>IF(OR(N(K22)=0,N(J22)+N(Q22)=0),"",K22-IF(N(J22)&gt;0,J22,Q22))</f>
        <v/>
      </c>
      <c r="AG22" s="99">
        <f>IF(B22="","",IFERROR(AVERAGEIFS('QUALITY CONTROL'!$M$5:$M$304,'QUALITY CONTROL'!$B$5:$B$304,A22),""))</f>
        <v/>
      </c>
      <c r="AH22" s="51">
        <f>IF(B22="","",DATE(YEAR(B22),MONTH(B22),1))</f>
        <v/>
      </c>
      <c r="AI22" s="49">
        <f>IF(D22="","",IFERROR(INDEX('CUSTOMERS'!$E$5:$E$404,MATCH(D22,'CUSTOMERS'!$B$5:$B$404,0)),""))</f>
        <v/>
      </c>
      <c r="AJ22" s="49">
        <f>IF(B22="","",N(C22))</f>
        <v/>
      </c>
      <c r="AK22" s="49">
        <f>IF(OR(B22="",O22="Cancelled",O22="Rescheduled"),"",B22&amp;"|"&amp;(COUNTIFS('JOBS'!$B$5:$B$1504,B22,'JOBS'!$AJ$5:$AJ$1504,"&lt;"&amp;AJ22,'JOBS'!$O$5:$O$1504,"&lt;&gt;Cancelled",'JOBS'!$O$5:$O$1504,"&lt;&gt;Rescheduled")+COUNTIFS($B$5:B22,B22,$AJ$5:AJ22,AJ22,$O$5:O22,"&lt;&gt;Cancelled",$O$5:O22,"&lt;&gt;Rescheduled")))</f>
        <v/>
      </c>
      <c r="AL22" s="49">
        <f>IF(N(U22)&lt;=0.005,"",COUNTIFS('JOBS'!$U$5:$U$1504,"&gt;0.005",'JOBS'!$B$5:$B$1504,"&lt;"&amp;B22)+COUNTIFS($U$5:U22,"&gt;0.005",$B$5:B22,B22))</f>
        <v/>
      </c>
    </row>
    <row r="23">
      <c r="A23" s="46" t="inlineStr">
        <is>
          <t>J-0019</t>
        </is>
      </c>
      <c r="B23" s="47" t="n">
        <v>46066</v>
      </c>
      <c r="C23" s="94" t="n">
        <v>0.5416666666666666</v>
      </c>
      <c r="D23" s="38" t="inlineStr">
        <is>
          <t>Dana Collins</t>
        </is>
      </c>
      <c r="E23" s="38" t="inlineStr">
        <is>
          <t>84 Hawthorn Road, Lakeview (fictional)</t>
        </is>
      </c>
      <c r="F23" s="38" t="inlineStr">
        <is>
          <t>Standard Clean</t>
        </is>
      </c>
      <c r="G23" s="38" t="inlineStr">
        <is>
          <t>R-006</t>
        </is>
      </c>
      <c r="H23" s="38" t="inlineStr">
        <is>
          <t>Dana Whitfield</t>
        </is>
      </c>
      <c r="I23" s="57" t="n">
        <v>1</v>
      </c>
      <c r="J23" s="95" t="n"/>
      <c r="K23" s="95" t="n">
        <v>4.89</v>
      </c>
      <c r="L23" s="48" t="n">
        <v>195</v>
      </c>
      <c r="M23" s="96" t="n">
        <v>0</v>
      </c>
      <c r="N23" s="48" t="n"/>
      <c r="O23" s="38" t="inlineStr">
        <is>
          <t>Completed</t>
        </is>
      </c>
      <c r="P23" s="38" t="inlineStr"/>
      <c r="Q23" s="97">
        <f>IF(OR(F23="",E23=""),"",IFERROR(IF(INDEX('PROPERTIES'!$F$5:$F$404,MATCH(E23,'PROPERTIES'!$B$5:$B$404,0))=0,"",ROUND((INDEX('PROPERTIES'!$F$5:$F$404,MATCH(E23,'PROPERTIES'!$B$5:$B$404,0))/INDEX('PRICING'!$C$7:$C$16,MATCH(F23,'PRICING'!$A$7:$A$16,0))+INDEX('PROPERTIES'!$G$5:$G$404,MATCH(E23,'PROPERTIES'!$B$5:$B$404,0))*INDEX('PRICING'!$D$7:$D$16,MATCH(F23,'PRICING'!$A$7:$A$16,0))/60+INDEX('PROPERTIES'!$H$5:$H$404,MATCH(E23,'PROPERTIES'!$B$5:$B$404,0))*INDEX('PRICING'!$E$7:$E$16,MATCH(F23,'PRICING'!$A$7:$A$16,0))/60+INDEX('PRICING'!$F$7:$F$16,MATCH(F23,'PRICING'!$A$7:$A$16,0))/60),2)),""))</f>
        <v/>
      </c>
      <c r="R23" s="97">
        <f>IF(B23="","",IF(N(K23)&gt;0,K23,IF(N(J23)&gt;0,J23,N(Q23))))</f>
        <v/>
      </c>
      <c r="S23" s="55">
        <f>IF(L23="","",ROUND(L23*(1+N(M23)),2))</f>
        <v/>
      </c>
      <c r="T23" s="55">
        <f>IF(B23="","",SUMIFS('REVENUE'!$C$5:$C$1504,'REVENUE'!$B$5:$B$1504,A23))</f>
        <v/>
      </c>
      <c r="U23" s="55">
        <f>IF(B23="","",IF(O23="Completed",MAX(0,N(S23)-T23),""))</f>
        <v/>
      </c>
      <c r="V23" s="49">
        <f>IF(B23="","",IF(O23&lt;&gt;"Completed",IF(T23&gt;0,"Deposit","—"),IF(U23&lt;=0.005,"Paid",IF(T23&gt;0,"Partial","Unpaid"))))</f>
        <v/>
      </c>
      <c r="W23" s="55">
        <f>IF(B23="","",IFERROR(1/(1/INDEX('STAFF &amp; TASKS'!$C$5:$C$24,MATCH(H23,'STAFF &amp; TASKS'!$A$5:$A$24,0))),PayRate))</f>
        <v/>
      </c>
      <c r="X23" s="55">
        <f>IF(B23="","",IF(OR(O23="Cancelled",O23="No-Show"),"",ROUND(R23*W23*(1+Burden),2)))</f>
        <v/>
      </c>
      <c r="Y23" s="55">
        <f>IF(B23="","",IF(OR(O23="Cancelled",O23="No-Show"),"",IF(N23&lt;&gt;"",N23,ROUND(R23*SupHr*IFERROR(INDEX('PRICING'!$G$7:$G$16,MATCH(F23,'PRICING'!$A$7:$A$16,0)),1),2))))</f>
        <v/>
      </c>
      <c r="Z23" s="98">
        <f>IF(B23="","",SUMIFS('MILEAGE'!$J$5:$J$1504,'MILEAGE'!$B$5:$B$1504,A23))</f>
        <v/>
      </c>
      <c r="AA23" s="55">
        <f>IF(B23="","",ROUND(Z23*MileRate,2))</f>
        <v/>
      </c>
      <c r="AB23" s="55">
        <f>IF(B23="","",SUMIFS('REVENUE'!$J$5:$J$1504,'REVENUE'!$B$5:$B$1504,A23))</f>
        <v/>
      </c>
      <c r="AC23" s="55">
        <f>IF(L23="","",IF(OR(O23="Cancelled",O23="No-Show"),"",L23-N(X23)-N(Y23)-AA23-AB23))</f>
        <v/>
      </c>
      <c r="AD23" s="99">
        <f>IF(OR(AC23="",N(L23)=0),"",AC23/L23)</f>
        <v/>
      </c>
      <c r="AE23" s="55">
        <f>IF(OR(AC23="",N(R23)=0),"",L23/R23)</f>
        <v/>
      </c>
      <c r="AF23" s="100">
        <f>IF(OR(N(K23)=0,N(J23)+N(Q23)=0),"",K23-IF(N(J23)&gt;0,J23,Q23))</f>
        <v/>
      </c>
      <c r="AG23" s="99">
        <f>IF(B23="","",IFERROR(AVERAGEIFS('QUALITY CONTROL'!$M$5:$M$304,'QUALITY CONTROL'!$B$5:$B$304,A23),""))</f>
        <v/>
      </c>
      <c r="AH23" s="51">
        <f>IF(B23="","",DATE(YEAR(B23),MONTH(B23),1))</f>
        <v/>
      </c>
      <c r="AI23" s="49">
        <f>IF(D23="","",IFERROR(INDEX('CUSTOMERS'!$E$5:$E$404,MATCH(D23,'CUSTOMERS'!$B$5:$B$404,0)),""))</f>
        <v/>
      </c>
      <c r="AJ23" s="49">
        <f>IF(B23="","",N(C23))</f>
        <v/>
      </c>
      <c r="AK23" s="49">
        <f>IF(OR(B23="",O23="Cancelled",O23="Rescheduled"),"",B23&amp;"|"&amp;(COUNTIFS('JOBS'!$B$5:$B$1504,B23,'JOBS'!$AJ$5:$AJ$1504,"&lt;"&amp;AJ23,'JOBS'!$O$5:$O$1504,"&lt;&gt;Cancelled",'JOBS'!$O$5:$O$1504,"&lt;&gt;Rescheduled")+COUNTIFS($B$5:B23,B23,$AJ$5:AJ23,AJ23,$O$5:O23,"&lt;&gt;Cancelled",$O$5:O23,"&lt;&gt;Rescheduled")))</f>
        <v/>
      </c>
      <c r="AL23" s="49">
        <f>IF(N(U23)&lt;=0.005,"",COUNTIFS('JOBS'!$U$5:$U$1504,"&gt;0.005",'JOBS'!$B$5:$B$1504,"&lt;"&amp;B23)+COUNTIFS($U$5:U23,"&gt;0.005",$B$5:B23,B23))</f>
        <v/>
      </c>
    </row>
    <row r="24">
      <c r="A24" s="46" t="inlineStr">
        <is>
          <t>J-0020</t>
        </is>
      </c>
      <c r="B24" s="47" t="n">
        <v>46066</v>
      </c>
      <c r="C24" s="94" t="n">
        <v>0.5416666666666666</v>
      </c>
      <c r="D24" s="38" t="inlineStr">
        <is>
          <t>Brightside Dental Studio (sample)</t>
        </is>
      </c>
      <c r="E24" s="38" t="inlineStr">
        <is>
          <t>738 Cedar Court, North Sampletown</t>
        </is>
      </c>
      <c r="F24" s="38" t="inlineStr">
        <is>
          <t>Commercial Clean</t>
        </is>
      </c>
      <c r="G24" s="38" t="inlineStr">
        <is>
          <t>R-011</t>
        </is>
      </c>
      <c r="H24" s="38" t="inlineStr">
        <is>
          <t>Kevin Osei</t>
        </is>
      </c>
      <c r="I24" s="57" t="n">
        <v>2</v>
      </c>
      <c r="J24" s="95" t="n"/>
      <c r="K24" s="95" t="n">
        <v>2.16</v>
      </c>
      <c r="L24" s="48" t="n">
        <v>100</v>
      </c>
      <c r="M24" s="96" t="n">
        <v>0</v>
      </c>
      <c r="N24" s="48" t="n"/>
      <c r="O24" s="38" t="inlineStr">
        <is>
          <t>Completed</t>
        </is>
      </c>
      <c r="P24" s="38" t="inlineStr"/>
      <c r="Q24" s="97">
        <f>IF(OR(F24="",E24=""),"",IFERROR(IF(INDEX('PROPERTIES'!$F$5:$F$404,MATCH(E24,'PROPERTIES'!$B$5:$B$404,0))=0,"",ROUND((INDEX('PROPERTIES'!$F$5:$F$404,MATCH(E24,'PROPERTIES'!$B$5:$B$404,0))/INDEX('PRICING'!$C$7:$C$16,MATCH(F24,'PRICING'!$A$7:$A$16,0))+INDEX('PROPERTIES'!$G$5:$G$404,MATCH(E24,'PROPERTIES'!$B$5:$B$404,0))*INDEX('PRICING'!$D$7:$D$16,MATCH(F24,'PRICING'!$A$7:$A$16,0))/60+INDEX('PROPERTIES'!$H$5:$H$404,MATCH(E24,'PROPERTIES'!$B$5:$B$404,0))*INDEX('PRICING'!$E$7:$E$16,MATCH(F24,'PRICING'!$A$7:$A$16,0))/60+INDEX('PRICING'!$F$7:$F$16,MATCH(F24,'PRICING'!$A$7:$A$16,0))/60),2)),""))</f>
        <v/>
      </c>
      <c r="R24" s="97">
        <f>IF(B24="","",IF(N(K24)&gt;0,K24,IF(N(J24)&gt;0,J24,N(Q24))))</f>
        <v/>
      </c>
      <c r="S24" s="55">
        <f>IF(L24="","",ROUND(L24*(1+N(M24)),2))</f>
        <v/>
      </c>
      <c r="T24" s="55">
        <f>IF(B24="","",SUMIFS('REVENUE'!$C$5:$C$1504,'REVENUE'!$B$5:$B$1504,A24))</f>
        <v/>
      </c>
      <c r="U24" s="55">
        <f>IF(B24="","",IF(O24="Completed",MAX(0,N(S24)-T24),""))</f>
        <v/>
      </c>
      <c r="V24" s="49">
        <f>IF(B24="","",IF(O24&lt;&gt;"Completed",IF(T24&gt;0,"Deposit","—"),IF(U24&lt;=0.005,"Paid",IF(T24&gt;0,"Partial","Unpaid"))))</f>
        <v/>
      </c>
      <c r="W24" s="55">
        <f>IF(B24="","",IFERROR(1/(1/INDEX('STAFF &amp; TASKS'!$C$5:$C$24,MATCH(H24,'STAFF &amp; TASKS'!$A$5:$A$24,0))),PayRate))</f>
        <v/>
      </c>
      <c r="X24" s="55">
        <f>IF(B24="","",IF(OR(O24="Cancelled",O24="No-Show"),"",ROUND(R24*W24*(1+Burden),2)))</f>
        <v/>
      </c>
      <c r="Y24" s="55">
        <f>IF(B24="","",IF(OR(O24="Cancelled",O24="No-Show"),"",IF(N24&lt;&gt;"",N24,ROUND(R24*SupHr*IFERROR(INDEX('PRICING'!$G$7:$G$16,MATCH(F24,'PRICING'!$A$7:$A$16,0)),1),2))))</f>
        <v/>
      </c>
      <c r="Z24" s="98">
        <f>IF(B24="","",SUMIFS('MILEAGE'!$J$5:$J$1504,'MILEAGE'!$B$5:$B$1504,A24))</f>
        <v/>
      </c>
      <c r="AA24" s="55">
        <f>IF(B24="","",ROUND(Z24*MileRate,2))</f>
        <v/>
      </c>
      <c r="AB24" s="55">
        <f>IF(B24="","",SUMIFS('REVENUE'!$J$5:$J$1504,'REVENUE'!$B$5:$B$1504,A24))</f>
        <v/>
      </c>
      <c r="AC24" s="55">
        <f>IF(L24="","",IF(OR(O24="Cancelled",O24="No-Show"),"",L24-N(X24)-N(Y24)-AA24-AB24))</f>
        <v/>
      </c>
      <c r="AD24" s="99">
        <f>IF(OR(AC24="",N(L24)=0),"",AC24/L24)</f>
        <v/>
      </c>
      <c r="AE24" s="55">
        <f>IF(OR(AC24="",N(R24)=0),"",L24/R24)</f>
        <v/>
      </c>
      <c r="AF24" s="100">
        <f>IF(OR(N(K24)=0,N(J24)+N(Q24)=0),"",K24-IF(N(J24)&gt;0,J24,Q24))</f>
        <v/>
      </c>
      <c r="AG24" s="99">
        <f>IF(B24="","",IFERROR(AVERAGEIFS('QUALITY CONTROL'!$M$5:$M$304,'QUALITY CONTROL'!$B$5:$B$304,A24),""))</f>
        <v/>
      </c>
      <c r="AH24" s="51">
        <f>IF(B24="","",DATE(YEAR(B24),MONTH(B24),1))</f>
        <v/>
      </c>
      <c r="AI24" s="49">
        <f>IF(D24="","",IFERROR(INDEX('CUSTOMERS'!$E$5:$E$404,MATCH(D24,'CUSTOMERS'!$B$5:$B$404,0)),""))</f>
        <v/>
      </c>
      <c r="AJ24" s="49">
        <f>IF(B24="","",N(C24))</f>
        <v/>
      </c>
      <c r="AK24" s="49">
        <f>IF(OR(B24="",O24="Cancelled",O24="Rescheduled"),"",B24&amp;"|"&amp;(COUNTIFS('JOBS'!$B$5:$B$1504,B24,'JOBS'!$AJ$5:$AJ$1504,"&lt;"&amp;AJ24,'JOBS'!$O$5:$O$1504,"&lt;&gt;Cancelled",'JOBS'!$O$5:$O$1504,"&lt;&gt;Rescheduled")+COUNTIFS($B$5:B24,B24,$AJ$5:AJ24,AJ24,$O$5:O24,"&lt;&gt;Cancelled",$O$5:O24,"&lt;&gt;Rescheduled")))</f>
        <v/>
      </c>
      <c r="AL24" s="49">
        <f>IF(N(U24)&lt;=0.005,"",COUNTIFS('JOBS'!$U$5:$U$1504,"&gt;0.005",'JOBS'!$B$5:$B$1504,"&lt;"&amp;B24)+COUNTIFS($U$5:U24,"&gt;0.005",$B$5:B24,B24))</f>
        <v/>
      </c>
    </row>
    <row r="25">
      <c r="A25" s="46" t="inlineStr">
        <is>
          <t>J-0021</t>
        </is>
      </c>
      <c r="B25" s="47" t="n">
        <v>46067</v>
      </c>
      <c r="C25" s="94" t="n">
        <v>0.3333333333333333</v>
      </c>
      <c r="D25" s="38" t="inlineStr">
        <is>
          <t>Parker Lockhart</t>
        </is>
      </c>
      <c r="E25" s="38" t="inlineStr">
        <is>
          <t>412 Linden Place, Sampletown</t>
        </is>
      </c>
      <c r="F25" s="38" t="inlineStr">
        <is>
          <t>Airbnb Turnover</t>
        </is>
      </c>
      <c r="G25" s="38" t="n"/>
      <c r="H25" s="38" t="inlineStr">
        <is>
          <t>Kevin Osei</t>
        </is>
      </c>
      <c r="I25" s="57" t="n">
        <v>1</v>
      </c>
      <c r="J25" s="95" t="n"/>
      <c r="K25" s="95" t="n">
        <v>1.96</v>
      </c>
      <c r="L25" s="48" t="n">
        <v>150</v>
      </c>
      <c r="M25" s="96" t="n">
        <v>0</v>
      </c>
      <c r="N25" s="48" t="n"/>
      <c r="O25" s="38" t="inlineStr">
        <is>
          <t>Completed</t>
        </is>
      </c>
      <c r="P25" s="38" t="inlineStr">
        <is>
          <t>Includes laundry</t>
        </is>
      </c>
      <c r="Q25" s="97">
        <f>IF(OR(F25="",E25=""),"",IFERROR(IF(INDEX('PROPERTIES'!$F$5:$F$404,MATCH(E25,'PROPERTIES'!$B$5:$B$404,0))=0,"",ROUND((INDEX('PROPERTIES'!$F$5:$F$404,MATCH(E25,'PROPERTIES'!$B$5:$B$404,0))/INDEX('PRICING'!$C$7:$C$16,MATCH(F25,'PRICING'!$A$7:$A$16,0))+INDEX('PROPERTIES'!$G$5:$G$404,MATCH(E25,'PROPERTIES'!$B$5:$B$404,0))*INDEX('PRICING'!$D$7:$D$16,MATCH(F25,'PRICING'!$A$7:$A$16,0))/60+INDEX('PROPERTIES'!$H$5:$H$404,MATCH(E25,'PROPERTIES'!$B$5:$B$404,0))*INDEX('PRICING'!$E$7:$E$16,MATCH(F25,'PRICING'!$A$7:$A$16,0))/60+INDEX('PRICING'!$F$7:$F$16,MATCH(F25,'PRICING'!$A$7:$A$16,0))/60),2)),""))</f>
        <v/>
      </c>
      <c r="R25" s="97">
        <f>IF(B25="","",IF(N(K25)&gt;0,K25,IF(N(J25)&gt;0,J25,N(Q25))))</f>
        <v/>
      </c>
      <c r="S25" s="55">
        <f>IF(L25="","",ROUND(L25*(1+N(M25)),2))</f>
        <v/>
      </c>
      <c r="T25" s="55">
        <f>IF(B25="","",SUMIFS('REVENUE'!$C$5:$C$1504,'REVENUE'!$B$5:$B$1504,A25))</f>
        <v/>
      </c>
      <c r="U25" s="55">
        <f>IF(B25="","",IF(O25="Completed",MAX(0,N(S25)-T25),""))</f>
        <v/>
      </c>
      <c r="V25" s="49">
        <f>IF(B25="","",IF(O25&lt;&gt;"Completed",IF(T25&gt;0,"Deposit","—"),IF(U25&lt;=0.005,"Paid",IF(T25&gt;0,"Partial","Unpaid"))))</f>
        <v/>
      </c>
      <c r="W25" s="55">
        <f>IF(B25="","",IFERROR(1/(1/INDEX('STAFF &amp; TASKS'!$C$5:$C$24,MATCH(H25,'STAFF &amp; TASKS'!$A$5:$A$24,0))),PayRate))</f>
        <v/>
      </c>
      <c r="X25" s="55">
        <f>IF(B25="","",IF(OR(O25="Cancelled",O25="No-Show"),"",ROUND(R25*W25*(1+Burden),2)))</f>
        <v/>
      </c>
      <c r="Y25" s="55">
        <f>IF(B25="","",IF(OR(O25="Cancelled",O25="No-Show"),"",IF(N25&lt;&gt;"",N25,ROUND(R25*SupHr*IFERROR(INDEX('PRICING'!$G$7:$G$16,MATCH(F25,'PRICING'!$A$7:$A$16,0)),1),2))))</f>
        <v/>
      </c>
      <c r="Z25" s="98">
        <f>IF(B25="","",SUMIFS('MILEAGE'!$J$5:$J$1504,'MILEAGE'!$B$5:$B$1504,A25))</f>
        <v/>
      </c>
      <c r="AA25" s="55">
        <f>IF(B25="","",ROUND(Z25*MileRate,2))</f>
        <v/>
      </c>
      <c r="AB25" s="55">
        <f>IF(B25="","",SUMIFS('REVENUE'!$J$5:$J$1504,'REVENUE'!$B$5:$B$1504,A25))</f>
        <v/>
      </c>
      <c r="AC25" s="55">
        <f>IF(L25="","",IF(OR(O25="Cancelled",O25="No-Show"),"",L25-N(X25)-N(Y25)-AA25-AB25))</f>
        <v/>
      </c>
      <c r="AD25" s="99">
        <f>IF(OR(AC25="",N(L25)=0),"",AC25/L25)</f>
        <v/>
      </c>
      <c r="AE25" s="55">
        <f>IF(OR(AC25="",N(R25)=0),"",L25/R25)</f>
        <v/>
      </c>
      <c r="AF25" s="100">
        <f>IF(OR(N(K25)=0,N(J25)+N(Q25)=0),"",K25-IF(N(J25)&gt;0,J25,Q25))</f>
        <v/>
      </c>
      <c r="AG25" s="99">
        <f>IF(B25="","",IFERROR(AVERAGEIFS('QUALITY CONTROL'!$M$5:$M$304,'QUALITY CONTROL'!$B$5:$B$304,A25),""))</f>
        <v/>
      </c>
      <c r="AH25" s="51">
        <f>IF(B25="","",DATE(YEAR(B25),MONTH(B25),1))</f>
        <v/>
      </c>
      <c r="AI25" s="49">
        <f>IF(D25="","",IFERROR(INDEX('CUSTOMERS'!$E$5:$E$404,MATCH(D25,'CUSTOMERS'!$B$5:$B$404,0)),""))</f>
        <v/>
      </c>
      <c r="AJ25" s="49">
        <f>IF(B25="","",N(C25))</f>
        <v/>
      </c>
      <c r="AK25" s="49">
        <f>IF(OR(B25="",O25="Cancelled",O25="Rescheduled"),"",B25&amp;"|"&amp;(COUNTIFS('JOBS'!$B$5:$B$1504,B25,'JOBS'!$AJ$5:$AJ$1504,"&lt;"&amp;AJ25,'JOBS'!$O$5:$O$1504,"&lt;&gt;Cancelled",'JOBS'!$O$5:$O$1504,"&lt;&gt;Rescheduled")+COUNTIFS($B$5:B25,B25,$AJ$5:AJ25,AJ25,$O$5:O25,"&lt;&gt;Cancelled",$O$5:O25,"&lt;&gt;Rescheduled")))</f>
        <v/>
      </c>
      <c r="AL25" s="49">
        <f>IF(N(U25)&lt;=0.005,"",COUNTIFS('JOBS'!$U$5:$U$1504,"&gt;0.005",'JOBS'!$B$5:$B$1504,"&lt;"&amp;B25)+COUNTIFS($U$5:U25,"&gt;0.005",$B$5:B25,B25))</f>
        <v/>
      </c>
    </row>
    <row r="26">
      <c r="A26" s="46" t="inlineStr">
        <is>
          <t>J-0022</t>
        </is>
      </c>
      <c r="B26" s="47" t="n">
        <v>46069</v>
      </c>
      <c r="C26" s="94" t="n">
        <v>0.375</v>
      </c>
      <c r="D26" s="38" t="inlineStr">
        <is>
          <t>Dana Oakes</t>
        </is>
      </c>
      <c r="E26" s="38" t="inlineStr">
        <is>
          <t>666 Juniper Street, North Sampletown</t>
        </is>
      </c>
      <c r="F26" s="38" t="inlineStr">
        <is>
          <t>Airbnb Turnover</t>
        </is>
      </c>
      <c r="G26" s="38" t="n"/>
      <c r="H26" s="38" t="inlineStr">
        <is>
          <t>Kevin Osei</t>
        </is>
      </c>
      <c r="I26" s="57" t="n">
        <v>1</v>
      </c>
      <c r="J26" s="95" t="n"/>
      <c r="K26" s="95" t="n">
        <v>1.46</v>
      </c>
      <c r="L26" s="48" t="n">
        <v>135</v>
      </c>
      <c r="M26" s="96" t="n">
        <v>0</v>
      </c>
      <c r="N26" s="48" t="n"/>
      <c r="O26" s="38" t="inlineStr">
        <is>
          <t>Completed</t>
        </is>
      </c>
      <c r="P26" s="38" t="inlineStr">
        <is>
          <t>Includes laundry</t>
        </is>
      </c>
      <c r="Q26" s="97">
        <f>IF(OR(F26="",E26=""),"",IFERROR(IF(INDEX('PROPERTIES'!$F$5:$F$404,MATCH(E26,'PROPERTIES'!$B$5:$B$404,0))=0,"",ROUND((INDEX('PROPERTIES'!$F$5:$F$404,MATCH(E26,'PROPERTIES'!$B$5:$B$404,0))/INDEX('PRICING'!$C$7:$C$16,MATCH(F26,'PRICING'!$A$7:$A$16,0))+INDEX('PROPERTIES'!$G$5:$G$404,MATCH(E26,'PROPERTIES'!$B$5:$B$404,0))*INDEX('PRICING'!$D$7:$D$16,MATCH(F26,'PRICING'!$A$7:$A$16,0))/60+INDEX('PROPERTIES'!$H$5:$H$404,MATCH(E26,'PROPERTIES'!$B$5:$B$404,0))*INDEX('PRICING'!$E$7:$E$16,MATCH(F26,'PRICING'!$A$7:$A$16,0))/60+INDEX('PRICING'!$F$7:$F$16,MATCH(F26,'PRICING'!$A$7:$A$16,0))/60),2)),""))</f>
        <v/>
      </c>
      <c r="R26" s="97">
        <f>IF(B26="","",IF(N(K26)&gt;0,K26,IF(N(J26)&gt;0,J26,N(Q26))))</f>
        <v/>
      </c>
      <c r="S26" s="55">
        <f>IF(L26="","",ROUND(L26*(1+N(M26)),2))</f>
        <v/>
      </c>
      <c r="T26" s="55">
        <f>IF(B26="","",SUMIFS('REVENUE'!$C$5:$C$1504,'REVENUE'!$B$5:$B$1504,A26))</f>
        <v/>
      </c>
      <c r="U26" s="55">
        <f>IF(B26="","",IF(O26="Completed",MAX(0,N(S26)-T26),""))</f>
        <v/>
      </c>
      <c r="V26" s="49">
        <f>IF(B26="","",IF(O26&lt;&gt;"Completed",IF(T26&gt;0,"Deposit","—"),IF(U26&lt;=0.005,"Paid",IF(T26&gt;0,"Partial","Unpaid"))))</f>
        <v/>
      </c>
      <c r="W26" s="55">
        <f>IF(B26="","",IFERROR(1/(1/INDEX('STAFF &amp; TASKS'!$C$5:$C$24,MATCH(H26,'STAFF &amp; TASKS'!$A$5:$A$24,0))),PayRate))</f>
        <v/>
      </c>
      <c r="X26" s="55">
        <f>IF(B26="","",IF(OR(O26="Cancelled",O26="No-Show"),"",ROUND(R26*W26*(1+Burden),2)))</f>
        <v/>
      </c>
      <c r="Y26" s="55">
        <f>IF(B26="","",IF(OR(O26="Cancelled",O26="No-Show"),"",IF(N26&lt;&gt;"",N26,ROUND(R26*SupHr*IFERROR(INDEX('PRICING'!$G$7:$G$16,MATCH(F26,'PRICING'!$A$7:$A$16,0)),1),2))))</f>
        <v/>
      </c>
      <c r="Z26" s="98">
        <f>IF(B26="","",SUMIFS('MILEAGE'!$J$5:$J$1504,'MILEAGE'!$B$5:$B$1504,A26))</f>
        <v/>
      </c>
      <c r="AA26" s="55">
        <f>IF(B26="","",ROUND(Z26*MileRate,2))</f>
        <v/>
      </c>
      <c r="AB26" s="55">
        <f>IF(B26="","",SUMIFS('REVENUE'!$J$5:$J$1504,'REVENUE'!$B$5:$B$1504,A26))</f>
        <v/>
      </c>
      <c r="AC26" s="55">
        <f>IF(L26="","",IF(OR(O26="Cancelled",O26="No-Show"),"",L26-N(X26)-N(Y26)-AA26-AB26))</f>
        <v/>
      </c>
      <c r="AD26" s="99">
        <f>IF(OR(AC26="",N(L26)=0),"",AC26/L26)</f>
        <v/>
      </c>
      <c r="AE26" s="55">
        <f>IF(OR(AC26="",N(R26)=0),"",L26/R26)</f>
        <v/>
      </c>
      <c r="AF26" s="100">
        <f>IF(OR(N(K26)=0,N(J26)+N(Q26)=0),"",K26-IF(N(J26)&gt;0,J26,Q26))</f>
        <v/>
      </c>
      <c r="AG26" s="99">
        <f>IF(B26="","",IFERROR(AVERAGEIFS('QUALITY CONTROL'!$M$5:$M$304,'QUALITY CONTROL'!$B$5:$B$304,A26),""))</f>
        <v/>
      </c>
      <c r="AH26" s="51">
        <f>IF(B26="","",DATE(YEAR(B26),MONTH(B26),1))</f>
        <v/>
      </c>
      <c r="AI26" s="49">
        <f>IF(D26="","",IFERROR(INDEX('CUSTOMERS'!$E$5:$E$404,MATCH(D26,'CUSTOMERS'!$B$5:$B$404,0)),""))</f>
        <v/>
      </c>
      <c r="AJ26" s="49">
        <f>IF(B26="","",N(C26))</f>
        <v/>
      </c>
      <c r="AK26" s="49">
        <f>IF(OR(B26="",O26="Cancelled",O26="Rescheduled"),"",B26&amp;"|"&amp;(COUNTIFS('JOBS'!$B$5:$B$1504,B26,'JOBS'!$AJ$5:$AJ$1504,"&lt;"&amp;AJ26,'JOBS'!$O$5:$O$1504,"&lt;&gt;Cancelled",'JOBS'!$O$5:$O$1504,"&lt;&gt;Rescheduled")+COUNTIFS($B$5:B26,B26,$AJ$5:AJ26,AJ26,$O$5:O26,"&lt;&gt;Cancelled",$O$5:O26,"&lt;&gt;Rescheduled")))</f>
        <v/>
      </c>
      <c r="AL26" s="49">
        <f>IF(N(U26)&lt;=0.005,"",COUNTIFS('JOBS'!$U$5:$U$1504,"&gt;0.005",'JOBS'!$B$5:$B$1504,"&lt;"&amp;B26)+COUNTIFS($U$5:U26,"&gt;0.005",$B$5:B26,B26))</f>
        <v/>
      </c>
    </row>
    <row r="27">
      <c r="A27" s="46" t="inlineStr">
        <is>
          <t>J-0023</t>
        </is>
      </c>
      <c r="B27" s="47" t="n">
        <v>46070</v>
      </c>
      <c r="C27" s="94" t="n">
        <v>0.375</v>
      </c>
      <c r="D27" s="38" t="inlineStr">
        <is>
          <t>Lane Ivers</t>
        </is>
      </c>
      <c r="E27" s="38" t="inlineStr">
        <is>
          <t>497 Aspen Drive, Sampletown</t>
        </is>
      </c>
      <c r="F27" s="38" t="inlineStr">
        <is>
          <t>Standard Clean</t>
        </is>
      </c>
      <c r="G27" s="38" t="inlineStr">
        <is>
          <t>R-001</t>
        </is>
      </c>
      <c r="H27" s="38" t="inlineStr">
        <is>
          <t>Maria Lopez</t>
        </is>
      </c>
      <c r="I27" s="57" t="n">
        <v>1</v>
      </c>
      <c r="J27" s="95" t="n"/>
      <c r="K27" s="95" t="n">
        <v>4.71</v>
      </c>
      <c r="L27" s="48" t="n">
        <v>175</v>
      </c>
      <c r="M27" s="96" t="n">
        <v>0</v>
      </c>
      <c r="N27" s="48" t="n"/>
      <c r="O27" s="38" t="inlineStr">
        <is>
          <t>Completed</t>
        </is>
      </c>
      <c r="P27" s="38" t="inlineStr"/>
      <c r="Q27" s="97">
        <f>IF(OR(F27="",E27=""),"",IFERROR(IF(INDEX('PROPERTIES'!$F$5:$F$404,MATCH(E27,'PROPERTIES'!$B$5:$B$404,0))=0,"",ROUND((INDEX('PROPERTIES'!$F$5:$F$404,MATCH(E27,'PROPERTIES'!$B$5:$B$404,0))/INDEX('PRICING'!$C$7:$C$16,MATCH(F27,'PRICING'!$A$7:$A$16,0))+INDEX('PROPERTIES'!$G$5:$G$404,MATCH(E27,'PROPERTIES'!$B$5:$B$404,0))*INDEX('PRICING'!$D$7:$D$16,MATCH(F27,'PRICING'!$A$7:$A$16,0))/60+INDEX('PROPERTIES'!$H$5:$H$404,MATCH(E27,'PROPERTIES'!$B$5:$B$404,0))*INDEX('PRICING'!$E$7:$E$16,MATCH(F27,'PRICING'!$A$7:$A$16,0))/60+INDEX('PRICING'!$F$7:$F$16,MATCH(F27,'PRICING'!$A$7:$A$16,0))/60),2)),""))</f>
        <v/>
      </c>
      <c r="R27" s="97">
        <f>IF(B27="","",IF(N(K27)&gt;0,K27,IF(N(J27)&gt;0,J27,N(Q27))))</f>
        <v/>
      </c>
      <c r="S27" s="55">
        <f>IF(L27="","",ROUND(L27*(1+N(M27)),2))</f>
        <v/>
      </c>
      <c r="T27" s="55">
        <f>IF(B27="","",SUMIFS('REVENUE'!$C$5:$C$1504,'REVENUE'!$B$5:$B$1504,A27))</f>
        <v/>
      </c>
      <c r="U27" s="55">
        <f>IF(B27="","",IF(O27="Completed",MAX(0,N(S27)-T27),""))</f>
        <v/>
      </c>
      <c r="V27" s="49">
        <f>IF(B27="","",IF(O27&lt;&gt;"Completed",IF(T27&gt;0,"Deposit","—"),IF(U27&lt;=0.005,"Paid",IF(T27&gt;0,"Partial","Unpaid"))))</f>
        <v/>
      </c>
      <c r="W27" s="55">
        <f>IF(B27="","",IFERROR(1/(1/INDEX('STAFF &amp; TASKS'!$C$5:$C$24,MATCH(H27,'STAFF &amp; TASKS'!$A$5:$A$24,0))),PayRate))</f>
        <v/>
      </c>
      <c r="X27" s="55">
        <f>IF(B27="","",IF(OR(O27="Cancelled",O27="No-Show"),"",ROUND(R27*W27*(1+Burden),2)))</f>
        <v/>
      </c>
      <c r="Y27" s="55">
        <f>IF(B27="","",IF(OR(O27="Cancelled",O27="No-Show"),"",IF(N27&lt;&gt;"",N27,ROUND(R27*SupHr*IFERROR(INDEX('PRICING'!$G$7:$G$16,MATCH(F27,'PRICING'!$A$7:$A$16,0)),1),2))))</f>
        <v/>
      </c>
      <c r="Z27" s="98">
        <f>IF(B27="","",SUMIFS('MILEAGE'!$J$5:$J$1504,'MILEAGE'!$B$5:$B$1504,A27))</f>
        <v/>
      </c>
      <c r="AA27" s="55">
        <f>IF(B27="","",ROUND(Z27*MileRate,2))</f>
        <v/>
      </c>
      <c r="AB27" s="55">
        <f>IF(B27="","",SUMIFS('REVENUE'!$J$5:$J$1504,'REVENUE'!$B$5:$B$1504,A27))</f>
        <v/>
      </c>
      <c r="AC27" s="55">
        <f>IF(L27="","",IF(OR(O27="Cancelled",O27="No-Show"),"",L27-N(X27)-N(Y27)-AA27-AB27))</f>
        <v/>
      </c>
      <c r="AD27" s="99">
        <f>IF(OR(AC27="",N(L27)=0),"",AC27/L27)</f>
        <v/>
      </c>
      <c r="AE27" s="55">
        <f>IF(OR(AC27="",N(R27)=0),"",L27/R27)</f>
        <v/>
      </c>
      <c r="AF27" s="100">
        <f>IF(OR(N(K27)=0,N(J27)+N(Q27)=0),"",K27-IF(N(J27)&gt;0,J27,Q27))</f>
        <v/>
      </c>
      <c r="AG27" s="99">
        <f>IF(B27="","",IFERROR(AVERAGEIFS('QUALITY CONTROL'!$M$5:$M$304,'QUALITY CONTROL'!$B$5:$B$304,A27),""))</f>
        <v/>
      </c>
      <c r="AH27" s="51">
        <f>IF(B27="","",DATE(YEAR(B27),MONTH(B27),1))</f>
        <v/>
      </c>
      <c r="AI27" s="49">
        <f>IF(D27="","",IFERROR(INDEX('CUSTOMERS'!$E$5:$E$404,MATCH(D27,'CUSTOMERS'!$B$5:$B$404,0)),""))</f>
        <v/>
      </c>
      <c r="AJ27" s="49">
        <f>IF(B27="","",N(C27))</f>
        <v/>
      </c>
      <c r="AK27" s="49">
        <f>IF(OR(B27="",O27="Cancelled",O27="Rescheduled"),"",B27&amp;"|"&amp;(COUNTIFS('JOBS'!$B$5:$B$1504,B27,'JOBS'!$AJ$5:$AJ$1504,"&lt;"&amp;AJ27,'JOBS'!$O$5:$O$1504,"&lt;&gt;Cancelled",'JOBS'!$O$5:$O$1504,"&lt;&gt;Rescheduled")+COUNTIFS($B$5:B27,B27,$AJ$5:AJ27,AJ27,$O$5:O27,"&lt;&gt;Cancelled",$O$5:O27,"&lt;&gt;Rescheduled")))</f>
        <v/>
      </c>
      <c r="AL27" s="49">
        <f>IF(N(U27)&lt;=0.005,"",COUNTIFS('JOBS'!$U$5:$U$1504,"&gt;0.005",'JOBS'!$B$5:$B$1504,"&lt;"&amp;B27)+COUNTIFS($U$5:U27,"&gt;0.005",$B$5:B27,B27))</f>
        <v/>
      </c>
    </row>
    <row r="28">
      <c r="A28" s="46" t="inlineStr">
        <is>
          <t>J-0024</t>
        </is>
      </c>
      <c r="B28" s="47" t="n">
        <v>46071</v>
      </c>
      <c r="C28" s="94" t="n">
        <v>0.4166666666666667</v>
      </c>
      <c r="D28" s="38" t="inlineStr">
        <is>
          <t>Blake Oakes</t>
        </is>
      </c>
      <c r="E28" s="38" t="inlineStr">
        <is>
          <t>654 Willow Way, North Sampletown</t>
        </is>
      </c>
      <c r="F28" s="38" t="inlineStr">
        <is>
          <t>Airbnb Turnover</t>
        </is>
      </c>
      <c r="G28" s="38" t="n"/>
      <c r="H28" s="38" t="inlineStr">
        <is>
          <t>Kevin Osei</t>
        </is>
      </c>
      <c r="I28" s="57" t="n">
        <v>1</v>
      </c>
      <c r="J28" s="95" t="n"/>
      <c r="K28" s="95" t="n">
        <v>1.66</v>
      </c>
      <c r="L28" s="48" t="n">
        <v>135</v>
      </c>
      <c r="M28" s="96" t="n">
        <v>0</v>
      </c>
      <c r="N28" s="48" t="n"/>
      <c r="O28" s="38" t="inlineStr">
        <is>
          <t>Completed</t>
        </is>
      </c>
      <c r="P28" s="38" t="inlineStr">
        <is>
          <t>Includes laundry</t>
        </is>
      </c>
      <c r="Q28" s="97">
        <f>IF(OR(F28="",E28=""),"",IFERROR(IF(INDEX('PROPERTIES'!$F$5:$F$404,MATCH(E28,'PROPERTIES'!$B$5:$B$404,0))=0,"",ROUND((INDEX('PROPERTIES'!$F$5:$F$404,MATCH(E28,'PROPERTIES'!$B$5:$B$404,0))/INDEX('PRICING'!$C$7:$C$16,MATCH(F28,'PRICING'!$A$7:$A$16,0))+INDEX('PROPERTIES'!$G$5:$G$404,MATCH(E28,'PROPERTIES'!$B$5:$B$404,0))*INDEX('PRICING'!$D$7:$D$16,MATCH(F28,'PRICING'!$A$7:$A$16,0))/60+INDEX('PROPERTIES'!$H$5:$H$404,MATCH(E28,'PROPERTIES'!$B$5:$B$404,0))*INDEX('PRICING'!$E$7:$E$16,MATCH(F28,'PRICING'!$A$7:$A$16,0))/60+INDEX('PRICING'!$F$7:$F$16,MATCH(F28,'PRICING'!$A$7:$A$16,0))/60),2)),""))</f>
        <v/>
      </c>
      <c r="R28" s="97">
        <f>IF(B28="","",IF(N(K28)&gt;0,K28,IF(N(J28)&gt;0,J28,N(Q28))))</f>
        <v/>
      </c>
      <c r="S28" s="55">
        <f>IF(L28="","",ROUND(L28*(1+N(M28)),2))</f>
        <v/>
      </c>
      <c r="T28" s="55">
        <f>IF(B28="","",SUMIFS('REVENUE'!$C$5:$C$1504,'REVENUE'!$B$5:$B$1504,A28))</f>
        <v/>
      </c>
      <c r="U28" s="55">
        <f>IF(B28="","",IF(O28="Completed",MAX(0,N(S28)-T28),""))</f>
        <v/>
      </c>
      <c r="V28" s="49">
        <f>IF(B28="","",IF(O28&lt;&gt;"Completed",IF(T28&gt;0,"Deposit","—"),IF(U28&lt;=0.005,"Paid",IF(T28&gt;0,"Partial","Unpaid"))))</f>
        <v/>
      </c>
      <c r="W28" s="55">
        <f>IF(B28="","",IFERROR(1/(1/INDEX('STAFF &amp; TASKS'!$C$5:$C$24,MATCH(H28,'STAFF &amp; TASKS'!$A$5:$A$24,0))),PayRate))</f>
        <v/>
      </c>
      <c r="X28" s="55">
        <f>IF(B28="","",IF(OR(O28="Cancelled",O28="No-Show"),"",ROUND(R28*W28*(1+Burden),2)))</f>
        <v/>
      </c>
      <c r="Y28" s="55">
        <f>IF(B28="","",IF(OR(O28="Cancelled",O28="No-Show"),"",IF(N28&lt;&gt;"",N28,ROUND(R28*SupHr*IFERROR(INDEX('PRICING'!$G$7:$G$16,MATCH(F28,'PRICING'!$A$7:$A$16,0)),1),2))))</f>
        <v/>
      </c>
      <c r="Z28" s="98">
        <f>IF(B28="","",SUMIFS('MILEAGE'!$J$5:$J$1504,'MILEAGE'!$B$5:$B$1504,A28))</f>
        <v/>
      </c>
      <c r="AA28" s="55">
        <f>IF(B28="","",ROUND(Z28*MileRate,2))</f>
        <v/>
      </c>
      <c r="AB28" s="55">
        <f>IF(B28="","",SUMIFS('REVENUE'!$J$5:$J$1504,'REVENUE'!$B$5:$B$1504,A28))</f>
        <v/>
      </c>
      <c r="AC28" s="55">
        <f>IF(L28="","",IF(OR(O28="Cancelled",O28="No-Show"),"",L28-N(X28)-N(Y28)-AA28-AB28))</f>
        <v/>
      </c>
      <c r="AD28" s="99">
        <f>IF(OR(AC28="",N(L28)=0),"",AC28/L28)</f>
        <v/>
      </c>
      <c r="AE28" s="55">
        <f>IF(OR(AC28="",N(R28)=0),"",L28/R28)</f>
        <v/>
      </c>
      <c r="AF28" s="100">
        <f>IF(OR(N(K28)=0,N(J28)+N(Q28)=0),"",K28-IF(N(J28)&gt;0,J28,Q28))</f>
        <v/>
      </c>
      <c r="AG28" s="99">
        <f>IF(B28="","",IFERROR(AVERAGEIFS('QUALITY CONTROL'!$M$5:$M$304,'QUALITY CONTROL'!$B$5:$B$304,A28),""))</f>
        <v/>
      </c>
      <c r="AH28" s="51">
        <f>IF(B28="","",DATE(YEAR(B28),MONTH(B28),1))</f>
        <v/>
      </c>
      <c r="AI28" s="49">
        <f>IF(D28="","",IFERROR(INDEX('CUSTOMERS'!$E$5:$E$404,MATCH(D28,'CUSTOMERS'!$B$5:$B$404,0)),""))</f>
        <v/>
      </c>
      <c r="AJ28" s="49">
        <f>IF(B28="","",N(C28))</f>
        <v/>
      </c>
      <c r="AK28" s="49">
        <f>IF(OR(B28="",O28="Cancelled",O28="Rescheduled"),"",B28&amp;"|"&amp;(COUNTIFS('JOBS'!$B$5:$B$1504,B28,'JOBS'!$AJ$5:$AJ$1504,"&lt;"&amp;AJ28,'JOBS'!$O$5:$O$1504,"&lt;&gt;Cancelled",'JOBS'!$O$5:$O$1504,"&lt;&gt;Rescheduled")+COUNTIFS($B$5:B28,B28,$AJ$5:AJ28,AJ28,$O$5:O28,"&lt;&gt;Cancelled",$O$5:O28,"&lt;&gt;Rescheduled")))</f>
        <v/>
      </c>
      <c r="AL28" s="49">
        <f>IF(N(U28)&lt;=0.005,"",COUNTIFS('JOBS'!$U$5:$U$1504,"&gt;0.005",'JOBS'!$B$5:$B$1504,"&lt;"&amp;B28)+COUNTIFS($U$5:U28,"&gt;0.005",$B$5:B28,B28))</f>
        <v/>
      </c>
    </row>
    <row r="29">
      <c r="A29" s="46" t="inlineStr">
        <is>
          <t>J-0025</t>
        </is>
      </c>
      <c r="B29" s="47" t="n">
        <v>46073</v>
      </c>
      <c r="C29" s="94" t="n">
        <v>0.625</v>
      </c>
      <c r="D29" s="38" t="inlineStr">
        <is>
          <t>Brightside Dental Studio (sample)</t>
        </is>
      </c>
      <c r="E29" s="38" t="inlineStr">
        <is>
          <t>738 Cedar Court, North Sampletown</t>
        </is>
      </c>
      <c r="F29" s="38" t="inlineStr">
        <is>
          <t>Commercial Clean</t>
        </is>
      </c>
      <c r="G29" s="38" t="inlineStr">
        <is>
          <t>R-011</t>
        </is>
      </c>
      <c r="H29" s="38" t="inlineStr">
        <is>
          <t>Kevin Osei</t>
        </is>
      </c>
      <c r="I29" s="57" t="n">
        <v>2</v>
      </c>
      <c r="J29" s="95" t="n"/>
      <c r="K29" s="95" t="n">
        <v>1.75</v>
      </c>
      <c r="L29" s="48" t="n">
        <v>100</v>
      </c>
      <c r="M29" s="96" t="n">
        <v>0</v>
      </c>
      <c r="N29" s="48" t="n"/>
      <c r="O29" s="38" t="inlineStr">
        <is>
          <t>Completed</t>
        </is>
      </c>
      <c r="P29" s="38" t="inlineStr"/>
      <c r="Q29" s="97">
        <f>IF(OR(F29="",E29=""),"",IFERROR(IF(INDEX('PROPERTIES'!$F$5:$F$404,MATCH(E29,'PROPERTIES'!$B$5:$B$404,0))=0,"",ROUND((INDEX('PROPERTIES'!$F$5:$F$404,MATCH(E29,'PROPERTIES'!$B$5:$B$404,0))/INDEX('PRICING'!$C$7:$C$16,MATCH(F29,'PRICING'!$A$7:$A$16,0))+INDEX('PROPERTIES'!$G$5:$G$404,MATCH(E29,'PROPERTIES'!$B$5:$B$404,0))*INDEX('PRICING'!$D$7:$D$16,MATCH(F29,'PRICING'!$A$7:$A$16,0))/60+INDEX('PROPERTIES'!$H$5:$H$404,MATCH(E29,'PROPERTIES'!$B$5:$B$404,0))*INDEX('PRICING'!$E$7:$E$16,MATCH(F29,'PRICING'!$A$7:$A$16,0))/60+INDEX('PRICING'!$F$7:$F$16,MATCH(F29,'PRICING'!$A$7:$A$16,0))/60),2)),""))</f>
        <v/>
      </c>
      <c r="R29" s="97">
        <f>IF(B29="","",IF(N(K29)&gt;0,K29,IF(N(J29)&gt;0,J29,N(Q29))))</f>
        <v/>
      </c>
      <c r="S29" s="55">
        <f>IF(L29="","",ROUND(L29*(1+N(M29)),2))</f>
        <v/>
      </c>
      <c r="T29" s="55">
        <f>IF(B29="","",SUMIFS('REVENUE'!$C$5:$C$1504,'REVENUE'!$B$5:$B$1504,A29))</f>
        <v/>
      </c>
      <c r="U29" s="55">
        <f>IF(B29="","",IF(O29="Completed",MAX(0,N(S29)-T29),""))</f>
        <v/>
      </c>
      <c r="V29" s="49">
        <f>IF(B29="","",IF(O29&lt;&gt;"Completed",IF(T29&gt;0,"Deposit","—"),IF(U29&lt;=0.005,"Paid",IF(T29&gt;0,"Partial","Unpaid"))))</f>
        <v/>
      </c>
      <c r="W29" s="55">
        <f>IF(B29="","",IFERROR(1/(1/INDEX('STAFF &amp; TASKS'!$C$5:$C$24,MATCH(H29,'STAFF &amp; TASKS'!$A$5:$A$24,0))),PayRate))</f>
        <v/>
      </c>
      <c r="X29" s="55">
        <f>IF(B29="","",IF(OR(O29="Cancelled",O29="No-Show"),"",ROUND(R29*W29*(1+Burden),2)))</f>
        <v/>
      </c>
      <c r="Y29" s="55">
        <f>IF(B29="","",IF(OR(O29="Cancelled",O29="No-Show"),"",IF(N29&lt;&gt;"",N29,ROUND(R29*SupHr*IFERROR(INDEX('PRICING'!$G$7:$G$16,MATCH(F29,'PRICING'!$A$7:$A$16,0)),1),2))))</f>
        <v/>
      </c>
      <c r="Z29" s="98">
        <f>IF(B29="","",SUMIFS('MILEAGE'!$J$5:$J$1504,'MILEAGE'!$B$5:$B$1504,A29))</f>
        <v/>
      </c>
      <c r="AA29" s="55">
        <f>IF(B29="","",ROUND(Z29*MileRate,2))</f>
        <v/>
      </c>
      <c r="AB29" s="55">
        <f>IF(B29="","",SUMIFS('REVENUE'!$J$5:$J$1504,'REVENUE'!$B$5:$B$1504,A29))</f>
        <v/>
      </c>
      <c r="AC29" s="55">
        <f>IF(L29="","",IF(OR(O29="Cancelled",O29="No-Show"),"",L29-N(X29)-N(Y29)-AA29-AB29))</f>
        <v/>
      </c>
      <c r="AD29" s="99">
        <f>IF(OR(AC29="",N(L29)=0),"",AC29/L29)</f>
        <v/>
      </c>
      <c r="AE29" s="55">
        <f>IF(OR(AC29="",N(R29)=0),"",L29/R29)</f>
        <v/>
      </c>
      <c r="AF29" s="100">
        <f>IF(OR(N(K29)=0,N(J29)+N(Q29)=0),"",K29-IF(N(J29)&gt;0,J29,Q29))</f>
        <v/>
      </c>
      <c r="AG29" s="99">
        <f>IF(B29="","",IFERROR(AVERAGEIFS('QUALITY CONTROL'!$M$5:$M$304,'QUALITY CONTROL'!$B$5:$B$304,A29),""))</f>
        <v/>
      </c>
      <c r="AH29" s="51">
        <f>IF(B29="","",DATE(YEAR(B29),MONTH(B29),1))</f>
        <v/>
      </c>
      <c r="AI29" s="49">
        <f>IF(D29="","",IFERROR(INDEX('CUSTOMERS'!$E$5:$E$404,MATCH(D29,'CUSTOMERS'!$B$5:$B$404,0)),""))</f>
        <v/>
      </c>
      <c r="AJ29" s="49">
        <f>IF(B29="","",N(C29))</f>
        <v/>
      </c>
      <c r="AK29" s="49">
        <f>IF(OR(B29="",O29="Cancelled",O29="Rescheduled"),"",B29&amp;"|"&amp;(COUNTIFS('JOBS'!$B$5:$B$1504,B29,'JOBS'!$AJ$5:$AJ$1504,"&lt;"&amp;AJ29,'JOBS'!$O$5:$O$1504,"&lt;&gt;Cancelled",'JOBS'!$O$5:$O$1504,"&lt;&gt;Rescheduled")+COUNTIFS($B$5:B29,B29,$AJ$5:AJ29,AJ29,$O$5:O29,"&lt;&gt;Cancelled",$O$5:O29,"&lt;&gt;Rescheduled")))</f>
        <v/>
      </c>
      <c r="AL29" s="49">
        <f>IF(N(U29)&lt;=0.005,"",COUNTIFS('JOBS'!$U$5:$U$1504,"&gt;0.005",'JOBS'!$B$5:$B$1504,"&lt;"&amp;B29)+COUNTIFS($U$5:U29,"&gt;0.005",$B$5:B29,B29))</f>
        <v/>
      </c>
    </row>
    <row r="30">
      <c r="A30" s="46" t="inlineStr">
        <is>
          <t>J-0026</t>
        </is>
      </c>
      <c r="B30" s="47" t="n">
        <v>46074</v>
      </c>
      <c r="C30" s="94" t="n">
        <v>0.5208333333333334</v>
      </c>
      <c r="D30" s="38" t="inlineStr">
        <is>
          <t>Lane Northcott</t>
        </is>
      </c>
      <c r="E30" s="38" t="inlineStr">
        <is>
          <t>102 Hawthorn Road, Lakeview (fictional)</t>
        </is>
      </c>
      <c r="F30" s="38" t="inlineStr">
        <is>
          <t>Standard Clean</t>
        </is>
      </c>
      <c r="G30" s="38" t="inlineStr">
        <is>
          <t>R-010</t>
        </is>
      </c>
      <c r="H30" s="38" t="inlineStr">
        <is>
          <t>Dana Whitfield</t>
        </is>
      </c>
      <c r="I30" s="57" t="n">
        <v>1</v>
      </c>
      <c r="J30" s="95" t="n"/>
      <c r="K30" s="95" t="n">
        <v>3.56</v>
      </c>
      <c r="L30" s="48" t="n">
        <v>150</v>
      </c>
      <c r="M30" s="96" t="n">
        <v>0</v>
      </c>
      <c r="N30" s="48" t="n"/>
      <c r="O30" s="38" t="inlineStr">
        <is>
          <t>Completed</t>
        </is>
      </c>
      <c r="P30" s="38" t="inlineStr"/>
      <c r="Q30" s="97">
        <f>IF(OR(F30="",E30=""),"",IFERROR(IF(INDEX('PROPERTIES'!$F$5:$F$404,MATCH(E30,'PROPERTIES'!$B$5:$B$404,0))=0,"",ROUND((INDEX('PROPERTIES'!$F$5:$F$404,MATCH(E30,'PROPERTIES'!$B$5:$B$404,0))/INDEX('PRICING'!$C$7:$C$16,MATCH(F30,'PRICING'!$A$7:$A$16,0))+INDEX('PROPERTIES'!$G$5:$G$404,MATCH(E30,'PROPERTIES'!$B$5:$B$404,0))*INDEX('PRICING'!$D$7:$D$16,MATCH(F30,'PRICING'!$A$7:$A$16,0))/60+INDEX('PROPERTIES'!$H$5:$H$404,MATCH(E30,'PROPERTIES'!$B$5:$B$404,0))*INDEX('PRICING'!$E$7:$E$16,MATCH(F30,'PRICING'!$A$7:$A$16,0))/60+INDEX('PRICING'!$F$7:$F$16,MATCH(F30,'PRICING'!$A$7:$A$16,0))/60),2)),""))</f>
        <v/>
      </c>
      <c r="R30" s="97">
        <f>IF(B30="","",IF(N(K30)&gt;0,K30,IF(N(J30)&gt;0,J30,N(Q30))))</f>
        <v/>
      </c>
      <c r="S30" s="55">
        <f>IF(L30="","",ROUND(L30*(1+N(M30)),2))</f>
        <v/>
      </c>
      <c r="T30" s="55">
        <f>IF(B30="","",SUMIFS('REVENUE'!$C$5:$C$1504,'REVENUE'!$B$5:$B$1504,A30))</f>
        <v/>
      </c>
      <c r="U30" s="55">
        <f>IF(B30="","",IF(O30="Completed",MAX(0,N(S30)-T30),""))</f>
        <v/>
      </c>
      <c r="V30" s="49">
        <f>IF(B30="","",IF(O30&lt;&gt;"Completed",IF(T30&gt;0,"Deposit","—"),IF(U30&lt;=0.005,"Paid",IF(T30&gt;0,"Partial","Unpaid"))))</f>
        <v/>
      </c>
      <c r="W30" s="55">
        <f>IF(B30="","",IFERROR(1/(1/INDEX('STAFF &amp; TASKS'!$C$5:$C$24,MATCH(H30,'STAFF &amp; TASKS'!$A$5:$A$24,0))),PayRate))</f>
        <v/>
      </c>
      <c r="X30" s="55">
        <f>IF(B30="","",IF(OR(O30="Cancelled",O30="No-Show"),"",ROUND(R30*W30*(1+Burden),2)))</f>
        <v/>
      </c>
      <c r="Y30" s="55">
        <f>IF(B30="","",IF(OR(O30="Cancelled",O30="No-Show"),"",IF(N30&lt;&gt;"",N30,ROUND(R30*SupHr*IFERROR(INDEX('PRICING'!$G$7:$G$16,MATCH(F30,'PRICING'!$A$7:$A$16,0)),1),2))))</f>
        <v/>
      </c>
      <c r="Z30" s="98">
        <f>IF(B30="","",SUMIFS('MILEAGE'!$J$5:$J$1504,'MILEAGE'!$B$5:$B$1504,A30))</f>
        <v/>
      </c>
      <c r="AA30" s="55">
        <f>IF(B30="","",ROUND(Z30*MileRate,2))</f>
        <v/>
      </c>
      <c r="AB30" s="55">
        <f>IF(B30="","",SUMIFS('REVENUE'!$J$5:$J$1504,'REVENUE'!$B$5:$B$1504,A30))</f>
        <v/>
      </c>
      <c r="AC30" s="55">
        <f>IF(L30="","",IF(OR(O30="Cancelled",O30="No-Show"),"",L30-N(X30)-N(Y30)-AA30-AB30))</f>
        <v/>
      </c>
      <c r="AD30" s="99">
        <f>IF(OR(AC30="",N(L30)=0),"",AC30/L30)</f>
        <v/>
      </c>
      <c r="AE30" s="55">
        <f>IF(OR(AC30="",N(R30)=0),"",L30/R30)</f>
        <v/>
      </c>
      <c r="AF30" s="100">
        <f>IF(OR(N(K30)=0,N(J30)+N(Q30)=0),"",K30-IF(N(J30)&gt;0,J30,Q30))</f>
        <v/>
      </c>
      <c r="AG30" s="99">
        <f>IF(B30="","",IFERROR(AVERAGEIFS('QUALITY CONTROL'!$M$5:$M$304,'QUALITY CONTROL'!$B$5:$B$304,A30),""))</f>
        <v/>
      </c>
      <c r="AH30" s="51">
        <f>IF(B30="","",DATE(YEAR(B30),MONTH(B30),1))</f>
        <v/>
      </c>
      <c r="AI30" s="49">
        <f>IF(D30="","",IFERROR(INDEX('CUSTOMERS'!$E$5:$E$404,MATCH(D30,'CUSTOMERS'!$B$5:$B$404,0)),""))</f>
        <v/>
      </c>
      <c r="AJ30" s="49">
        <f>IF(B30="","",N(C30))</f>
        <v/>
      </c>
      <c r="AK30" s="49">
        <f>IF(OR(B30="",O30="Cancelled",O30="Rescheduled"),"",B30&amp;"|"&amp;(COUNTIFS('JOBS'!$B$5:$B$1504,B30,'JOBS'!$AJ$5:$AJ$1504,"&lt;"&amp;AJ30,'JOBS'!$O$5:$O$1504,"&lt;&gt;Cancelled",'JOBS'!$O$5:$O$1504,"&lt;&gt;Rescheduled")+COUNTIFS($B$5:B30,B30,$AJ$5:AJ30,AJ30,$O$5:O30,"&lt;&gt;Cancelled",$O$5:O30,"&lt;&gt;Rescheduled")))</f>
        <v/>
      </c>
      <c r="AL30" s="49">
        <f>IF(N(U30)&lt;=0.005,"",COUNTIFS('JOBS'!$U$5:$U$1504,"&gt;0.005",'JOBS'!$B$5:$B$1504,"&lt;"&amp;B30)+COUNTIFS($U$5:U30,"&gt;0.005",$B$5:B30,B30))</f>
        <v/>
      </c>
    </row>
    <row r="31">
      <c r="A31" s="46" t="inlineStr">
        <is>
          <t>J-0027</t>
        </is>
      </c>
      <c r="B31" s="47" t="n">
        <v>46077</v>
      </c>
      <c r="C31" s="94" t="n">
        <v>0.625</v>
      </c>
      <c r="D31" s="38" t="inlineStr">
        <is>
          <t>Lane Ivers</t>
        </is>
      </c>
      <c r="E31" s="38" t="inlineStr">
        <is>
          <t>497 Aspen Drive, Sampletown</t>
        </is>
      </c>
      <c r="F31" s="38" t="inlineStr">
        <is>
          <t>Standard Clean</t>
        </is>
      </c>
      <c r="G31" s="38" t="inlineStr">
        <is>
          <t>R-001</t>
        </is>
      </c>
      <c r="H31" s="38" t="inlineStr">
        <is>
          <t>Maria Lopez</t>
        </is>
      </c>
      <c r="I31" s="57" t="n">
        <v>1</v>
      </c>
      <c r="J31" s="95" t="n"/>
      <c r="K31" s="95" t="n">
        <v>5.03</v>
      </c>
      <c r="L31" s="48" t="n">
        <v>175</v>
      </c>
      <c r="M31" s="96" t="n">
        <v>0</v>
      </c>
      <c r="N31" s="48" t="n"/>
      <c r="O31" s="38" t="inlineStr">
        <is>
          <t>Completed</t>
        </is>
      </c>
      <c r="P31" s="38" t="inlineStr"/>
      <c r="Q31" s="97">
        <f>IF(OR(F31="",E31=""),"",IFERROR(IF(INDEX('PROPERTIES'!$F$5:$F$404,MATCH(E31,'PROPERTIES'!$B$5:$B$404,0))=0,"",ROUND((INDEX('PROPERTIES'!$F$5:$F$404,MATCH(E31,'PROPERTIES'!$B$5:$B$404,0))/INDEX('PRICING'!$C$7:$C$16,MATCH(F31,'PRICING'!$A$7:$A$16,0))+INDEX('PROPERTIES'!$G$5:$G$404,MATCH(E31,'PROPERTIES'!$B$5:$B$404,0))*INDEX('PRICING'!$D$7:$D$16,MATCH(F31,'PRICING'!$A$7:$A$16,0))/60+INDEX('PROPERTIES'!$H$5:$H$404,MATCH(E31,'PROPERTIES'!$B$5:$B$404,0))*INDEX('PRICING'!$E$7:$E$16,MATCH(F31,'PRICING'!$A$7:$A$16,0))/60+INDEX('PRICING'!$F$7:$F$16,MATCH(F31,'PRICING'!$A$7:$A$16,0))/60),2)),""))</f>
        <v/>
      </c>
      <c r="R31" s="97">
        <f>IF(B31="","",IF(N(K31)&gt;0,K31,IF(N(J31)&gt;0,J31,N(Q31))))</f>
        <v/>
      </c>
      <c r="S31" s="55">
        <f>IF(L31="","",ROUND(L31*(1+N(M31)),2))</f>
        <v/>
      </c>
      <c r="T31" s="55">
        <f>IF(B31="","",SUMIFS('REVENUE'!$C$5:$C$1504,'REVENUE'!$B$5:$B$1504,A31))</f>
        <v/>
      </c>
      <c r="U31" s="55">
        <f>IF(B31="","",IF(O31="Completed",MAX(0,N(S31)-T31),""))</f>
        <v/>
      </c>
      <c r="V31" s="49">
        <f>IF(B31="","",IF(O31&lt;&gt;"Completed",IF(T31&gt;0,"Deposit","—"),IF(U31&lt;=0.005,"Paid",IF(T31&gt;0,"Partial","Unpaid"))))</f>
        <v/>
      </c>
      <c r="W31" s="55">
        <f>IF(B31="","",IFERROR(1/(1/INDEX('STAFF &amp; TASKS'!$C$5:$C$24,MATCH(H31,'STAFF &amp; TASKS'!$A$5:$A$24,0))),PayRate))</f>
        <v/>
      </c>
      <c r="X31" s="55">
        <f>IF(B31="","",IF(OR(O31="Cancelled",O31="No-Show"),"",ROUND(R31*W31*(1+Burden),2)))</f>
        <v/>
      </c>
      <c r="Y31" s="55">
        <f>IF(B31="","",IF(OR(O31="Cancelled",O31="No-Show"),"",IF(N31&lt;&gt;"",N31,ROUND(R31*SupHr*IFERROR(INDEX('PRICING'!$G$7:$G$16,MATCH(F31,'PRICING'!$A$7:$A$16,0)),1),2))))</f>
        <v/>
      </c>
      <c r="Z31" s="98">
        <f>IF(B31="","",SUMIFS('MILEAGE'!$J$5:$J$1504,'MILEAGE'!$B$5:$B$1504,A31))</f>
        <v/>
      </c>
      <c r="AA31" s="55">
        <f>IF(B31="","",ROUND(Z31*MileRate,2))</f>
        <v/>
      </c>
      <c r="AB31" s="55">
        <f>IF(B31="","",SUMIFS('REVENUE'!$J$5:$J$1504,'REVENUE'!$B$5:$B$1504,A31))</f>
        <v/>
      </c>
      <c r="AC31" s="55">
        <f>IF(L31="","",IF(OR(O31="Cancelled",O31="No-Show"),"",L31-N(X31)-N(Y31)-AA31-AB31))</f>
        <v/>
      </c>
      <c r="AD31" s="99">
        <f>IF(OR(AC31="",N(L31)=0),"",AC31/L31)</f>
        <v/>
      </c>
      <c r="AE31" s="55">
        <f>IF(OR(AC31="",N(R31)=0),"",L31/R31)</f>
        <v/>
      </c>
      <c r="AF31" s="100">
        <f>IF(OR(N(K31)=0,N(J31)+N(Q31)=0),"",K31-IF(N(J31)&gt;0,J31,Q31))</f>
        <v/>
      </c>
      <c r="AG31" s="99">
        <f>IF(B31="","",IFERROR(AVERAGEIFS('QUALITY CONTROL'!$M$5:$M$304,'QUALITY CONTROL'!$B$5:$B$304,A31),""))</f>
        <v/>
      </c>
      <c r="AH31" s="51">
        <f>IF(B31="","",DATE(YEAR(B31),MONTH(B31),1))</f>
        <v/>
      </c>
      <c r="AI31" s="49">
        <f>IF(D31="","",IFERROR(INDEX('CUSTOMERS'!$E$5:$E$404,MATCH(D31,'CUSTOMERS'!$B$5:$B$404,0)),""))</f>
        <v/>
      </c>
      <c r="AJ31" s="49">
        <f>IF(B31="","",N(C31))</f>
        <v/>
      </c>
      <c r="AK31" s="49">
        <f>IF(OR(B31="",O31="Cancelled",O31="Rescheduled"),"",B31&amp;"|"&amp;(COUNTIFS('JOBS'!$B$5:$B$1504,B31,'JOBS'!$AJ$5:$AJ$1504,"&lt;"&amp;AJ31,'JOBS'!$O$5:$O$1504,"&lt;&gt;Cancelled",'JOBS'!$O$5:$O$1504,"&lt;&gt;Rescheduled")+COUNTIFS($B$5:B31,B31,$AJ$5:AJ31,AJ31,$O$5:O31,"&lt;&gt;Cancelled",$O$5:O31,"&lt;&gt;Rescheduled")))</f>
        <v/>
      </c>
      <c r="AL31" s="49">
        <f>IF(N(U31)&lt;=0.005,"",COUNTIFS('JOBS'!$U$5:$U$1504,"&gt;0.005",'JOBS'!$B$5:$B$1504,"&lt;"&amp;B31)+COUNTIFS($U$5:U31,"&gt;0.005",$B$5:B31,B31))</f>
        <v/>
      </c>
    </row>
    <row r="32">
      <c r="A32" s="46" t="inlineStr">
        <is>
          <t>J-0028</t>
        </is>
      </c>
      <c r="B32" s="47" t="n">
        <v>46080</v>
      </c>
      <c r="C32" s="94" t="n">
        <v>0.5208333333333334</v>
      </c>
      <c r="D32" s="38" t="inlineStr">
        <is>
          <t>Brightside Dental Studio (sample)</t>
        </is>
      </c>
      <c r="E32" s="38" t="inlineStr">
        <is>
          <t>738 Cedar Court, North Sampletown</t>
        </is>
      </c>
      <c r="F32" s="38" t="inlineStr">
        <is>
          <t>Commercial Clean</t>
        </is>
      </c>
      <c r="G32" s="38" t="inlineStr">
        <is>
          <t>R-011</t>
        </is>
      </c>
      <c r="H32" s="38" t="inlineStr">
        <is>
          <t>Kevin Osei</t>
        </is>
      </c>
      <c r="I32" s="57" t="n">
        <v>2</v>
      </c>
      <c r="J32" s="95" t="n"/>
      <c r="K32" s="95" t="n">
        <v>1.91</v>
      </c>
      <c r="L32" s="48" t="n">
        <v>100</v>
      </c>
      <c r="M32" s="96" t="n">
        <v>0</v>
      </c>
      <c r="N32" s="48" t="n"/>
      <c r="O32" s="38" t="inlineStr">
        <is>
          <t>Completed</t>
        </is>
      </c>
      <c r="P32" s="38" t="inlineStr"/>
      <c r="Q32" s="97">
        <f>IF(OR(F32="",E32=""),"",IFERROR(IF(INDEX('PROPERTIES'!$F$5:$F$404,MATCH(E32,'PROPERTIES'!$B$5:$B$404,0))=0,"",ROUND((INDEX('PROPERTIES'!$F$5:$F$404,MATCH(E32,'PROPERTIES'!$B$5:$B$404,0))/INDEX('PRICING'!$C$7:$C$16,MATCH(F32,'PRICING'!$A$7:$A$16,0))+INDEX('PROPERTIES'!$G$5:$G$404,MATCH(E32,'PROPERTIES'!$B$5:$B$404,0))*INDEX('PRICING'!$D$7:$D$16,MATCH(F32,'PRICING'!$A$7:$A$16,0))/60+INDEX('PROPERTIES'!$H$5:$H$404,MATCH(E32,'PROPERTIES'!$B$5:$B$404,0))*INDEX('PRICING'!$E$7:$E$16,MATCH(F32,'PRICING'!$A$7:$A$16,0))/60+INDEX('PRICING'!$F$7:$F$16,MATCH(F32,'PRICING'!$A$7:$A$16,0))/60),2)),""))</f>
        <v/>
      </c>
      <c r="R32" s="97">
        <f>IF(B32="","",IF(N(K32)&gt;0,K32,IF(N(J32)&gt;0,J32,N(Q32))))</f>
        <v/>
      </c>
      <c r="S32" s="55">
        <f>IF(L32="","",ROUND(L32*(1+N(M32)),2))</f>
        <v/>
      </c>
      <c r="T32" s="55">
        <f>IF(B32="","",SUMIFS('REVENUE'!$C$5:$C$1504,'REVENUE'!$B$5:$B$1504,A32))</f>
        <v/>
      </c>
      <c r="U32" s="55">
        <f>IF(B32="","",IF(O32="Completed",MAX(0,N(S32)-T32),""))</f>
        <v/>
      </c>
      <c r="V32" s="49">
        <f>IF(B32="","",IF(O32&lt;&gt;"Completed",IF(T32&gt;0,"Deposit","—"),IF(U32&lt;=0.005,"Paid",IF(T32&gt;0,"Partial","Unpaid"))))</f>
        <v/>
      </c>
      <c r="W32" s="55">
        <f>IF(B32="","",IFERROR(1/(1/INDEX('STAFF &amp; TASKS'!$C$5:$C$24,MATCH(H32,'STAFF &amp; TASKS'!$A$5:$A$24,0))),PayRate))</f>
        <v/>
      </c>
      <c r="X32" s="55">
        <f>IF(B32="","",IF(OR(O32="Cancelled",O32="No-Show"),"",ROUND(R32*W32*(1+Burden),2)))</f>
        <v/>
      </c>
      <c r="Y32" s="55">
        <f>IF(B32="","",IF(OR(O32="Cancelled",O32="No-Show"),"",IF(N32&lt;&gt;"",N32,ROUND(R32*SupHr*IFERROR(INDEX('PRICING'!$G$7:$G$16,MATCH(F32,'PRICING'!$A$7:$A$16,0)),1),2))))</f>
        <v/>
      </c>
      <c r="Z32" s="98">
        <f>IF(B32="","",SUMIFS('MILEAGE'!$J$5:$J$1504,'MILEAGE'!$B$5:$B$1504,A32))</f>
        <v/>
      </c>
      <c r="AA32" s="55">
        <f>IF(B32="","",ROUND(Z32*MileRate,2))</f>
        <v/>
      </c>
      <c r="AB32" s="55">
        <f>IF(B32="","",SUMIFS('REVENUE'!$J$5:$J$1504,'REVENUE'!$B$5:$B$1504,A32))</f>
        <v/>
      </c>
      <c r="AC32" s="55">
        <f>IF(L32="","",IF(OR(O32="Cancelled",O32="No-Show"),"",L32-N(X32)-N(Y32)-AA32-AB32))</f>
        <v/>
      </c>
      <c r="AD32" s="99">
        <f>IF(OR(AC32="",N(L32)=0),"",AC32/L32)</f>
        <v/>
      </c>
      <c r="AE32" s="55">
        <f>IF(OR(AC32="",N(R32)=0),"",L32/R32)</f>
        <v/>
      </c>
      <c r="AF32" s="100">
        <f>IF(OR(N(K32)=0,N(J32)+N(Q32)=0),"",K32-IF(N(J32)&gt;0,J32,Q32))</f>
        <v/>
      </c>
      <c r="AG32" s="99">
        <f>IF(B32="","",IFERROR(AVERAGEIFS('QUALITY CONTROL'!$M$5:$M$304,'QUALITY CONTROL'!$B$5:$B$304,A32),""))</f>
        <v/>
      </c>
      <c r="AH32" s="51">
        <f>IF(B32="","",DATE(YEAR(B32),MONTH(B32),1))</f>
        <v/>
      </c>
      <c r="AI32" s="49">
        <f>IF(D32="","",IFERROR(INDEX('CUSTOMERS'!$E$5:$E$404,MATCH(D32,'CUSTOMERS'!$B$5:$B$404,0)),""))</f>
        <v/>
      </c>
      <c r="AJ32" s="49">
        <f>IF(B32="","",N(C32))</f>
        <v/>
      </c>
      <c r="AK32" s="49">
        <f>IF(OR(B32="",O32="Cancelled",O32="Rescheduled"),"",B32&amp;"|"&amp;(COUNTIFS('JOBS'!$B$5:$B$1504,B32,'JOBS'!$AJ$5:$AJ$1504,"&lt;"&amp;AJ32,'JOBS'!$O$5:$O$1504,"&lt;&gt;Cancelled",'JOBS'!$O$5:$O$1504,"&lt;&gt;Rescheduled")+COUNTIFS($B$5:B32,B32,$AJ$5:AJ32,AJ32,$O$5:O32,"&lt;&gt;Cancelled",$O$5:O32,"&lt;&gt;Rescheduled")))</f>
        <v/>
      </c>
      <c r="AL32" s="49">
        <f>IF(N(U32)&lt;=0.005,"",COUNTIFS('JOBS'!$U$5:$U$1504,"&gt;0.005",'JOBS'!$B$5:$B$1504,"&lt;"&amp;B32)+COUNTIFS($U$5:U32,"&gt;0.005",$B$5:B32,B32))</f>
        <v/>
      </c>
    </row>
    <row r="33">
      <c r="A33" s="46" t="inlineStr">
        <is>
          <t>J-0029</t>
        </is>
      </c>
      <c r="B33" s="47" t="n">
        <v>46080</v>
      </c>
      <c r="C33" s="94" t="n">
        <v>0.5208333333333334</v>
      </c>
      <c r="D33" s="38" t="inlineStr">
        <is>
          <t>Blake Oakes</t>
        </is>
      </c>
      <c r="E33" s="38" t="inlineStr">
        <is>
          <t>654 Willow Way, North Sampletown</t>
        </is>
      </c>
      <c r="F33" s="38" t="inlineStr">
        <is>
          <t>Airbnb Turnover</t>
        </is>
      </c>
      <c r="G33" s="38" t="n"/>
      <c r="H33" s="38" t="inlineStr">
        <is>
          <t>Kevin Osei</t>
        </is>
      </c>
      <c r="I33" s="57" t="n">
        <v>1</v>
      </c>
      <c r="J33" s="95" t="n"/>
      <c r="K33" s="95" t="n">
        <v>1.73</v>
      </c>
      <c r="L33" s="48" t="n">
        <v>135</v>
      </c>
      <c r="M33" s="96" t="n">
        <v>0</v>
      </c>
      <c r="N33" s="48" t="n"/>
      <c r="O33" s="38" t="inlineStr">
        <is>
          <t>Completed</t>
        </is>
      </c>
      <c r="P33" s="38" t="inlineStr">
        <is>
          <t>Includes laundry</t>
        </is>
      </c>
      <c r="Q33" s="97">
        <f>IF(OR(F33="",E33=""),"",IFERROR(IF(INDEX('PROPERTIES'!$F$5:$F$404,MATCH(E33,'PROPERTIES'!$B$5:$B$404,0))=0,"",ROUND((INDEX('PROPERTIES'!$F$5:$F$404,MATCH(E33,'PROPERTIES'!$B$5:$B$404,0))/INDEX('PRICING'!$C$7:$C$16,MATCH(F33,'PRICING'!$A$7:$A$16,0))+INDEX('PROPERTIES'!$G$5:$G$404,MATCH(E33,'PROPERTIES'!$B$5:$B$404,0))*INDEX('PRICING'!$D$7:$D$16,MATCH(F33,'PRICING'!$A$7:$A$16,0))/60+INDEX('PROPERTIES'!$H$5:$H$404,MATCH(E33,'PROPERTIES'!$B$5:$B$404,0))*INDEX('PRICING'!$E$7:$E$16,MATCH(F33,'PRICING'!$A$7:$A$16,0))/60+INDEX('PRICING'!$F$7:$F$16,MATCH(F33,'PRICING'!$A$7:$A$16,0))/60),2)),""))</f>
        <v/>
      </c>
      <c r="R33" s="97">
        <f>IF(B33="","",IF(N(K33)&gt;0,K33,IF(N(J33)&gt;0,J33,N(Q33))))</f>
        <v/>
      </c>
      <c r="S33" s="55">
        <f>IF(L33="","",ROUND(L33*(1+N(M33)),2))</f>
        <v/>
      </c>
      <c r="T33" s="55">
        <f>IF(B33="","",SUMIFS('REVENUE'!$C$5:$C$1504,'REVENUE'!$B$5:$B$1504,A33))</f>
        <v/>
      </c>
      <c r="U33" s="55">
        <f>IF(B33="","",IF(O33="Completed",MAX(0,N(S33)-T33),""))</f>
        <v/>
      </c>
      <c r="V33" s="49">
        <f>IF(B33="","",IF(O33&lt;&gt;"Completed",IF(T33&gt;0,"Deposit","—"),IF(U33&lt;=0.005,"Paid",IF(T33&gt;0,"Partial","Unpaid"))))</f>
        <v/>
      </c>
      <c r="W33" s="55">
        <f>IF(B33="","",IFERROR(1/(1/INDEX('STAFF &amp; TASKS'!$C$5:$C$24,MATCH(H33,'STAFF &amp; TASKS'!$A$5:$A$24,0))),PayRate))</f>
        <v/>
      </c>
      <c r="X33" s="55">
        <f>IF(B33="","",IF(OR(O33="Cancelled",O33="No-Show"),"",ROUND(R33*W33*(1+Burden),2)))</f>
        <v/>
      </c>
      <c r="Y33" s="55">
        <f>IF(B33="","",IF(OR(O33="Cancelled",O33="No-Show"),"",IF(N33&lt;&gt;"",N33,ROUND(R33*SupHr*IFERROR(INDEX('PRICING'!$G$7:$G$16,MATCH(F33,'PRICING'!$A$7:$A$16,0)),1),2))))</f>
        <v/>
      </c>
      <c r="Z33" s="98">
        <f>IF(B33="","",SUMIFS('MILEAGE'!$J$5:$J$1504,'MILEAGE'!$B$5:$B$1504,A33))</f>
        <v/>
      </c>
      <c r="AA33" s="55">
        <f>IF(B33="","",ROUND(Z33*MileRate,2))</f>
        <v/>
      </c>
      <c r="AB33" s="55">
        <f>IF(B33="","",SUMIFS('REVENUE'!$J$5:$J$1504,'REVENUE'!$B$5:$B$1504,A33))</f>
        <v/>
      </c>
      <c r="AC33" s="55">
        <f>IF(L33="","",IF(OR(O33="Cancelled",O33="No-Show"),"",L33-N(X33)-N(Y33)-AA33-AB33))</f>
        <v/>
      </c>
      <c r="AD33" s="99">
        <f>IF(OR(AC33="",N(L33)=0),"",AC33/L33)</f>
        <v/>
      </c>
      <c r="AE33" s="55">
        <f>IF(OR(AC33="",N(R33)=0),"",L33/R33)</f>
        <v/>
      </c>
      <c r="AF33" s="100">
        <f>IF(OR(N(K33)=0,N(J33)+N(Q33)=0),"",K33-IF(N(J33)&gt;0,J33,Q33))</f>
        <v/>
      </c>
      <c r="AG33" s="99">
        <f>IF(B33="","",IFERROR(AVERAGEIFS('QUALITY CONTROL'!$M$5:$M$304,'QUALITY CONTROL'!$B$5:$B$304,A33),""))</f>
        <v/>
      </c>
      <c r="AH33" s="51">
        <f>IF(B33="","",DATE(YEAR(B33),MONTH(B33),1))</f>
        <v/>
      </c>
      <c r="AI33" s="49">
        <f>IF(D33="","",IFERROR(INDEX('CUSTOMERS'!$E$5:$E$404,MATCH(D33,'CUSTOMERS'!$B$5:$B$404,0)),""))</f>
        <v/>
      </c>
      <c r="AJ33" s="49">
        <f>IF(B33="","",N(C33))</f>
        <v/>
      </c>
      <c r="AK33" s="49">
        <f>IF(OR(B33="",O33="Cancelled",O33="Rescheduled"),"",B33&amp;"|"&amp;(COUNTIFS('JOBS'!$B$5:$B$1504,B33,'JOBS'!$AJ$5:$AJ$1504,"&lt;"&amp;AJ33,'JOBS'!$O$5:$O$1504,"&lt;&gt;Cancelled",'JOBS'!$O$5:$O$1504,"&lt;&gt;Rescheduled")+COUNTIFS($B$5:B33,B33,$AJ$5:AJ33,AJ33,$O$5:O33,"&lt;&gt;Cancelled",$O$5:O33,"&lt;&gt;Rescheduled")))</f>
        <v/>
      </c>
      <c r="AL33" s="49">
        <f>IF(N(U33)&lt;=0.005,"",COUNTIFS('JOBS'!$U$5:$U$1504,"&gt;0.005",'JOBS'!$B$5:$B$1504,"&lt;"&amp;B33)+COUNTIFS($U$5:U33,"&gt;0.005",$B$5:B33,B33))</f>
        <v/>
      </c>
    </row>
    <row r="34">
      <c r="A34" s="46" t="inlineStr">
        <is>
          <t>J-0030</t>
        </is>
      </c>
      <c r="B34" s="47" t="n">
        <v>46080</v>
      </c>
      <c r="C34" s="94" t="n">
        <v>0.5416666666666666</v>
      </c>
      <c r="D34" s="38" t="inlineStr">
        <is>
          <t>Crescent Property Group (sample)</t>
        </is>
      </c>
      <c r="E34" s="38" t="inlineStr">
        <is>
          <t>211 Birch Lane, North Sampletown</t>
        </is>
      </c>
      <c r="F34" s="38" t="inlineStr">
        <is>
          <t>Move-In/Move-Out</t>
        </is>
      </c>
      <c r="G34" s="38" t="n"/>
      <c r="H34" s="38" t="inlineStr">
        <is>
          <t>Maria Lopez</t>
        </is>
      </c>
      <c r="I34" s="57" t="n">
        <v>2</v>
      </c>
      <c r="J34" s="95" t="n">
        <v>5.32</v>
      </c>
      <c r="K34" s="95" t="n">
        <v>4.18</v>
      </c>
      <c r="L34" s="48" t="n">
        <v>300</v>
      </c>
      <c r="M34" s="96" t="n">
        <v>0</v>
      </c>
      <c r="N34" s="48" t="n"/>
      <c r="O34" s="38" t="inlineStr">
        <is>
          <t>Completed</t>
        </is>
      </c>
      <c r="P34" s="38" t="inlineStr">
        <is>
          <t>Inside oven, fridge, cabinets</t>
        </is>
      </c>
      <c r="Q34" s="97">
        <f>IF(OR(F34="",E34=""),"",IFERROR(IF(INDEX('PROPERTIES'!$F$5:$F$404,MATCH(E34,'PROPERTIES'!$B$5:$B$404,0))=0,"",ROUND((INDEX('PROPERTIES'!$F$5:$F$404,MATCH(E34,'PROPERTIES'!$B$5:$B$404,0))/INDEX('PRICING'!$C$7:$C$16,MATCH(F34,'PRICING'!$A$7:$A$16,0))+INDEX('PROPERTIES'!$G$5:$G$404,MATCH(E34,'PROPERTIES'!$B$5:$B$404,0))*INDEX('PRICING'!$D$7:$D$16,MATCH(F34,'PRICING'!$A$7:$A$16,0))/60+INDEX('PROPERTIES'!$H$5:$H$404,MATCH(E34,'PROPERTIES'!$B$5:$B$404,0))*INDEX('PRICING'!$E$7:$E$16,MATCH(F34,'PRICING'!$A$7:$A$16,0))/60+INDEX('PRICING'!$F$7:$F$16,MATCH(F34,'PRICING'!$A$7:$A$16,0))/60),2)),""))</f>
        <v/>
      </c>
      <c r="R34" s="97">
        <f>IF(B34="","",IF(N(K34)&gt;0,K34,IF(N(J34)&gt;0,J34,N(Q34))))</f>
        <v/>
      </c>
      <c r="S34" s="55">
        <f>IF(L34="","",ROUND(L34*(1+N(M34)),2))</f>
        <v/>
      </c>
      <c r="T34" s="55">
        <f>IF(B34="","",SUMIFS('REVENUE'!$C$5:$C$1504,'REVENUE'!$B$5:$B$1504,A34))</f>
        <v/>
      </c>
      <c r="U34" s="55">
        <f>IF(B34="","",IF(O34="Completed",MAX(0,N(S34)-T34),""))</f>
        <v/>
      </c>
      <c r="V34" s="49">
        <f>IF(B34="","",IF(O34&lt;&gt;"Completed",IF(T34&gt;0,"Deposit","—"),IF(U34&lt;=0.005,"Paid",IF(T34&gt;0,"Partial","Unpaid"))))</f>
        <v/>
      </c>
      <c r="W34" s="55">
        <f>IF(B34="","",IFERROR(1/(1/INDEX('STAFF &amp; TASKS'!$C$5:$C$24,MATCH(H34,'STAFF &amp; TASKS'!$A$5:$A$24,0))),PayRate))</f>
        <v/>
      </c>
      <c r="X34" s="55">
        <f>IF(B34="","",IF(OR(O34="Cancelled",O34="No-Show"),"",ROUND(R34*W34*(1+Burden),2)))</f>
        <v/>
      </c>
      <c r="Y34" s="55">
        <f>IF(B34="","",IF(OR(O34="Cancelled",O34="No-Show"),"",IF(N34&lt;&gt;"",N34,ROUND(R34*SupHr*IFERROR(INDEX('PRICING'!$G$7:$G$16,MATCH(F34,'PRICING'!$A$7:$A$16,0)),1),2))))</f>
        <v/>
      </c>
      <c r="Z34" s="98">
        <f>IF(B34="","",SUMIFS('MILEAGE'!$J$5:$J$1504,'MILEAGE'!$B$5:$B$1504,A34))</f>
        <v/>
      </c>
      <c r="AA34" s="55">
        <f>IF(B34="","",ROUND(Z34*MileRate,2))</f>
        <v/>
      </c>
      <c r="AB34" s="55">
        <f>IF(B34="","",SUMIFS('REVENUE'!$J$5:$J$1504,'REVENUE'!$B$5:$B$1504,A34))</f>
        <v/>
      </c>
      <c r="AC34" s="55">
        <f>IF(L34="","",IF(OR(O34="Cancelled",O34="No-Show"),"",L34-N(X34)-N(Y34)-AA34-AB34))</f>
        <v/>
      </c>
      <c r="AD34" s="99">
        <f>IF(OR(AC34="",N(L34)=0),"",AC34/L34)</f>
        <v/>
      </c>
      <c r="AE34" s="55">
        <f>IF(OR(AC34="",N(R34)=0),"",L34/R34)</f>
        <v/>
      </c>
      <c r="AF34" s="100">
        <f>IF(OR(N(K34)=0,N(J34)+N(Q34)=0),"",K34-IF(N(J34)&gt;0,J34,Q34))</f>
        <v/>
      </c>
      <c r="AG34" s="99">
        <f>IF(B34="","",IFERROR(AVERAGEIFS('QUALITY CONTROL'!$M$5:$M$304,'QUALITY CONTROL'!$B$5:$B$304,A34),""))</f>
        <v/>
      </c>
      <c r="AH34" s="51">
        <f>IF(B34="","",DATE(YEAR(B34),MONTH(B34),1))</f>
        <v/>
      </c>
      <c r="AI34" s="49">
        <f>IF(D34="","",IFERROR(INDEX('CUSTOMERS'!$E$5:$E$404,MATCH(D34,'CUSTOMERS'!$B$5:$B$404,0)),""))</f>
        <v/>
      </c>
      <c r="AJ34" s="49">
        <f>IF(B34="","",N(C34))</f>
        <v/>
      </c>
      <c r="AK34" s="49">
        <f>IF(OR(B34="",O34="Cancelled",O34="Rescheduled"),"",B34&amp;"|"&amp;(COUNTIFS('JOBS'!$B$5:$B$1504,B34,'JOBS'!$AJ$5:$AJ$1504,"&lt;"&amp;AJ34,'JOBS'!$O$5:$O$1504,"&lt;&gt;Cancelled",'JOBS'!$O$5:$O$1504,"&lt;&gt;Rescheduled")+COUNTIFS($B$5:B34,B34,$AJ$5:AJ34,AJ34,$O$5:O34,"&lt;&gt;Cancelled",$O$5:O34,"&lt;&gt;Rescheduled")))</f>
        <v/>
      </c>
      <c r="AL34" s="49">
        <f>IF(N(U34)&lt;=0.005,"",COUNTIFS('JOBS'!$U$5:$U$1504,"&gt;0.005",'JOBS'!$B$5:$B$1504,"&lt;"&amp;B34)+COUNTIFS($U$5:U34,"&gt;0.005",$B$5:B34,B34))</f>
        <v/>
      </c>
    </row>
    <row r="35">
      <c r="A35" s="46" t="inlineStr">
        <is>
          <t>J-0031</t>
        </is>
      </c>
      <c r="B35" s="47" t="n">
        <v>46083</v>
      </c>
      <c r="C35" s="94" t="n">
        <v>0.3333333333333333</v>
      </c>
      <c r="D35" s="38" t="inlineStr">
        <is>
          <t>Taylor Quigley</t>
        </is>
      </c>
      <c r="E35" s="38" t="inlineStr">
        <is>
          <t>667 Willow Way, Sampletown</t>
        </is>
      </c>
      <c r="F35" s="38" t="inlineStr">
        <is>
          <t>Standard Clean</t>
        </is>
      </c>
      <c r="G35" s="38" t="inlineStr">
        <is>
          <t>R-009</t>
        </is>
      </c>
      <c r="H35" s="38" t="inlineStr">
        <is>
          <t>Maria Lopez</t>
        </is>
      </c>
      <c r="I35" s="57" t="n">
        <v>1</v>
      </c>
      <c r="J35" s="95" t="n"/>
      <c r="K35" s="95" t="n">
        <v>3.11</v>
      </c>
      <c r="L35" s="48" t="n">
        <v>145</v>
      </c>
      <c r="M35" s="96" t="n">
        <v>0</v>
      </c>
      <c r="N35" s="48" t="n"/>
      <c r="O35" s="38" t="inlineStr">
        <is>
          <t>Completed</t>
        </is>
      </c>
      <c r="P35" s="38" t="inlineStr"/>
      <c r="Q35" s="97">
        <f>IF(OR(F35="",E35=""),"",IFERROR(IF(INDEX('PROPERTIES'!$F$5:$F$404,MATCH(E35,'PROPERTIES'!$B$5:$B$404,0))=0,"",ROUND((INDEX('PROPERTIES'!$F$5:$F$404,MATCH(E35,'PROPERTIES'!$B$5:$B$404,0))/INDEX('PRICING'!$C$7:$C$16,MATCH(F35,'PRICING'!$A$7:$A$16,0))+INDEX('PROPERTIES'!$G$5:$G$404,MATCH(E35,'PROPERTIES'!$B$5:$B$404,0))*INDEX('PRICING'!$D$7:$D$16,MATCH(F35,'PRICING'!$A$7:$A$16,0))/60+INDEX('PROPERTIES'!$H$5:$H$404,MATCH(E35,'PROPERTIES'!$B$5:$B$404,0))*INDEX('PRICING'!$E$7:$E$16,MATCH(F35,'PRICING'!$A$7:$A$16,0))/60+INDEX('PRICING'!$F$7:$F$16,MATCH(F35,'PRICING'!$A$7:$A$16,0))/60),2)),""))</f>
        <v/>
      </c>
      <c r="R35" s="97">
        <f>IF(B35="","",IF(N(K35)&gt;0,K35,IF(N(J35)&gt;0,J35,N(Q35))))</f>
        <v/>
      </c>
      <c r="S35" s="55">
        <f>IF(L35="","",ROUND(L35*(1+N(M35)),2))</f>
        <v/>
      </c>
      <c r="T35" s="55">
        <f>IF(B35="","",SUMIFS('REVENUE'!$C$5:$C$1504,'REVENUE'!$B$5:$B$1504,A35))</f>
        <v/>
      </c>
      <c r="U35" s="55">
        <f>IF(B35="","",IF(O35="Completed",MAX(0,N(S35)-T35),""))</f>
        <v/>
      </c>
      <c r="V35" s="49">
        <f>IF(B35="","",IF(O35&lt;&gt;"Completed",IF(T35&gt;0,"Deposit","—"),IF(U35&lt;=0.005,"Paid",IF(T35&gt;0,"Partial","Unpaid"))))</f>
        <v/>
      </c>
      <c r="W35" s="55">
        <f>IF(B35="","",IFERROR(1/(1/INDEX('STAFF &amp; TASKS'!$C$5:$C$24,MATCH(H35,'STAFF &amp; TASKS'!$A$5:$A$24,0))),PayRate))</f>
        <v/>
      </c>
      <c r="X35" s="55">
        <f>IF(B35="","",IF(OR(O35="Cancelled",O35="No-Show"),"",ROUND(R35*W35*(1+Burden),2)))</f>
        <v/>
      </c>
      <c r="Y35" s="55">
        <f>IF(B35="","",IF(OR(O35="Cancelled",O35="No-Show"),"",IF(N35&lt;&gt;"",N35,ROUND(R35*SupHr*IFERROR(INDEX('PRICING'!$G$7:$G$16,MATCH(F35,'PRICING'!$A$7:$A$16,0)),1),2))))</f>
        <v/>
      </c>
      <c r="Z35" s="98">
        <f>IF(B35="","",SUMIFS('MILEAGE'!$J$5:$J$1504,'MILEAGE'!$B$5:$B$1504,A35))</f>
        <v/>
      </c>
      <c r="AA35" s="55">
        <f>IF(B35="","",ROUND(Z35*MileRate,2))</f>
        <v/>
      </c>
      <c r="AB35" s="55">
        <f>IF(B35="","",SUMIFS('REVENUE'!$J$5:$J$1504,'REVENUE'!$B$5:$B$1504,A35))</f>
        <v/>
      </c>
      <c r="AC35" s="55">
        <f>IF(L35="","",IF(OR(O35="Cancelled",O35="No-Show"),"",L35-N(X35)-N(Y35)-AA35-AB35))</f>
        <v/>
      </c>
      <c r="AD35" s="99">
        <f>IF(OR(AC35="",N(L35)=0),"",AC35/L35)</f>
        <v/>
      </c>
      <c r="AE35" s="55">
        <f>IF(OR(AC35="",N(R35)=0),"",L35/R35)</f>
        <v/>
      </c>
      <c r="AF35" s="100">
        <f>IF(OR(N(K35)=0,N(J35)+N(Q35)=0),"",K35-IF(N(J35)&gt;0,J35,Q35))</f>
        <v/>
      </c>
      <c r="AG35" s="99">
        <f>IF(B35="","",IFERROR(AVERAGEIFS('QUALITY CONTROL'!$M$5:$M$304,'QUALITY CONTROL'!$B$5:$B$304,A35),""))</f>
        <v/>
      </c>
      <c r="AH35" s="51">
        <f>IF(B35="","",DATE(YEAR(B35),MONTH(B35),1))</f>
        <v/>
      </c>
      <c r="AI35" s="49">
        <f>IF(D35="","",IFERROR(INDEX('CUSTOMERS'!$E$5:$E$404,MATCH(D35,'CUSTOMERS'!$B$5:$B$404,0)),""))</f>
        <v/>
      </c>
      <c r="AJ35" s="49">
        <f>IF(B35="","",N(C35))</f>
        <v/>
      </c>
      <c r="AK35" s="49">
        <f>IF(OR(B35="",O35="Cancelled",O35="Rescheduled"),"",B35&amp;"|"&amp;(COUNTIFS('JOBS'!$B$5:$B$1504,B35,'JOBS'!$AJ$5:$AJ$1504,"&lt;"&amp;AJ35,'JOBS'!$O$5:$O$1504,"&lt;&gt;Cancelled",'JOBS'!$O$5:$O$1504,"&lt;&gt;Rescheduled")+COUNTIFS($B$5:B35,B35,$AJ$5:AJ35,AJ35,$O$5:O35,"&lt;&gt;Cancelled",$O$5:O35,"&lt;&gt;Rescheduled")))</f>
        <v/>
      </c>
      <c r="AL35" s="49">
        <f>IF(N(U35)&lt;=0.005,"",COUNTIFS('JOBS'!$U$5:$U$1504,"&gt;0.005",'JOBS'!$B$5:$B$1504,"&lt;"&amp;B35)+COUNTIFS($U$5:U35,"&gt;0.005",$B$5:B35,B35))</f>
        <v/>
      </c>
    </row>
    <row r="36">
      <c r="A36" s="46" t="inlineStr">
        <is>
          <t>J-0032</t>
        </is>
      </c>
      <c r="B36" s="47" t="n">
        <v>46083</v>
      </c>
      <c r="C36" s="94" t="n">
        <v>0.4166666666666667</v>
      </c>
      <c r="D36" s="38" t="inlineStr">
        <is>
          <t>Emerson Holloway</t>
        </is>
      </c>
      <c r="E36" s="38" t="inlineStr">
        <is>
          <t>192 Birch Lane, North Sampletown</t>
        </is>
      </c>
      <c r="F36" s="38" t="inlineStr">
        <is>
          <t>Airbnb Turnover</t>
        </is>
      </c>
      <c r="G36" s="38" t="n"/>
      <c r="H36" s="38" t="inlineStr">
        <is>
          <t>Kevin Osei</t>
        </is>
      </c>
      <c r="I36" s="57" t="n">
        <v>1</v>
      </c>
      <c r="J36" s="95" t="n"/>
      <c r="K36" s="95" t="n">
        <v>2.15</v>
      </c>
      <c r="L36" s="48" t="n">
        <v>150</v>
      </c>
      <c r="M36" s="96" t="n">
        <v>0</v>
      </c>
      <c r="N36" s="48" t="n"/>
      <c r="O36" s="38" t="inlineStr">
        <is>
          <t>Completed</t>
        </is>
      </c>
      <c r="P36" s="38" t="inlineStr">
        <is>
          <t>Includes laundry</t>
        </is>
      </c>
      <c r="Q36" s="97">
        <f>IF(OR(F36="",E36=""),"",IFERROR(IF(INDEX('PROPERTIES'!$F$5:$F$404,MATCH(E36,'PROPERTIES'!$B$5:$B$404,0))=0,"",ROUND((INDEX('PROPERTIES'!$F$5:$F$404,MATCH(E36,'PROPERTIES'!$B$5:$B$404,0))/INDEX('PRICING'!$C$7:$C$16,MATCH(F36,'PRICING'!$A$7:$A$16,0))+INDEX('PROPERTIES'!$G$5:$G$404,MATCH(E36,'PROPERTIES'!$B$5:$B$404,0))*INDEX('PRICING'!$D$7:$D$16,MATCH(F36,'PRICING'!$A$7:$A$16,0))/60+INDEX('PROPERTIES'!$H$5:$H$404,MATCH(E36,'PROPERTIES'!$B$5:$B$404,0))*INDEX('PRICING'!$E$7:$E$16,MATCH(F36,'PRICING'!$A$7:$A$16,0))/60+INDEX('PRICING'!$F$7:$F$16,MATCH(F36,'PRICING'!$A$7:$A$16,0))/60),2)),""))</f>
        <v/>
      </c>
      <c r="R36" s="97">
        <f>IF(B36="","",IF(N(K36)&gt;0,K36,IF(N(J36)&gt;0,J36,N(Q36))))</f>
        <v/>
      </c>
      <c r="S36" s="55">
        <f>IF(L36="","",ROUND(L36*(1+N(M36)),2))</f>
        <v/>
      </c>
      <c r="T36" s="55">
        <f>IF(B36="","",SUMIFS('REVENUE'!$C$5:$C$1504,'REVENUE'!$B$5:$B$1504,A36))</f>
        <v/>
      </c>
      <c r="U36" s="55">
        <f>IF(B36="","",IF(O36="Completed",MAX(0,N(S36)-T36),""))</f>
        <v/>
      </c>
      <c r="V36" s="49">
        <f>IF(B36="","",IF(O36&lt;&gt;"Completed",IF(T36&gt;0,"Deposit","—"),IF(U36&lt;=0.005,"Paid",IF(T36&gt;0,"Partial","Unpaid"))))</f>
        <v/>
      </c>
      <c r="W36" s="55">
        <f>IF(B36="","",IFERROR(1/(1/INDEX('STAFF &amp; TASKS'!$C$5:$C$24,MATCH(H36,'STAFF &amp; TASKS'!$A$5:$A$24,0))),PayRate))</f>
        <v/>
      </c>
      <c r="X36" s="55">
        <f>IF(B36="","",IF(OR(O36="Cancelled",O36="No-Show"),"",ROUND(R36*W36*(1+Burden),2)))</f>
        <v/>
      </c>
      <c r="Y36" s="55">
        <f>IF(B36="","",IF(OR(O36="Cancelled",O36="No-Show"),"",IF(N36&lt;&gt;"",N36,ROUND(R36*SupHr*IFERROR(INDEX('PRICING'!$G$7:$G$16,MATCH(F36,'PRICING'!$A$7:$A$16,0)),1),2))))</f>
        <v/>
      </c>
      <c r="Z36" s="98">
        <f>IF(B36="","",SUMIFS('MILEAGE'!$J$5:$J$1504,'MILEAGE'!$B$5:$B$1504,A36))</f>
        <v/>
      </c>
      <c r="AA36" s="55">
        <f>IF(B36="","",ROUND(Z36*MileRate,2))</f>
        <v/>
      </c>
      <c r="AB36" s="55">
        <f>IF(B36="","",SUMIFS('REVENUE'!$J$5:$J$1504,'REVENUE'!$B$5:$B$1504,A36))</f>
        <v/>
      </c>
      <c r="AC36" s="55">
        <f>IF(L36="","",IF(OR(O36="Cancelled",O36="No-Show"),"",L36-N(X36)-N(Y36)-AA36-AB36))</f>
        <v/>
      </c>
      <c r="AD36" s="99">
        <f>IF(OR(AC36="",N(L36)=0),"",AC36/L36)</f>
        <v/>
      </c>
      <c r="AE36" s="55">
        <f>IF(OR(AC36="",N(R36)=0),"",L36/R36)</f>
        <v/>
      </c>
      <c r="AF36" s="100">
        <f>IF(OR(N(K36)=0,N(J36)+N(Q36)=0),"",K36-IF(N(J36)&gt;0,J36,Q36))</f>
        <v/>
      </c>
      <c r="AG36" s="99">
        <f>IF(B36="","",IFERROR(AVERAGEIFS('QUALITY CONTROL'!$M$5:$M$304,'QUALITY CONTROL'!$B$5:$B$304,A36),""))</f>
        <v/>
      </c>
      <c r="AH36" s="51">
        <f>IF(B36="","",DATE(YEAR(B36),MONTH(B36),1))</f>
        <v/>
      </c>
      <c r="AI36" s="49">
        <f>IF(D36="","",IFERROR(INDEX('CUSTOMERS'!$E$5:$E$404,MATCH(D36,'CUSTOMERS'!$B$5:$B$404,0)),""))</f>
        <v/>
      </c>
      <c r="AJ36" s="49">
        <f>IF(B36="","",N(C36))</f>
        <v/>
      </c>
      <c r="AK36" s="49">
        <f>IF(OR(B36="",O36="Cancelled",O36="Rescheduled"),"",B36&amp;"|"&amp;(COUNTIFS('JOBS'!$B$5:$B$1504,B36,'JOBS'!$AJ$5:$AJ$1504,"&lt;"&amp;AJ36,'JOBS'!$O$5:$O$1504,"&lt;&gt;Cancelled",'JOBS'!$O$5:$O$1504,"&lt;&gt;Rescheduled")+COUNTIFS($B$5:B36,B36,$AJ$5:AJ36,AJ36,$O$5:O36,"&lt;&gt;Cancelled",$O$5:O36,"&lt;&gt;Rescheduled")))</f>
        <v/>
      </c>
      <c r="AL36" s="49">
        <f>IF(N(U36)&lt;=0.005,"",COUNTIFS('JOBS'!$U$5:$U$1504,"&gt;0.005",'JOBS'!$B$5:$B$1504,"&lt;"&amp;B36)+COUNTIFS($U$5:U36,"&gt;0.005",$B$5:B36,B36))</f>
        <v/>
      </c>
    </row>
    <row r="37">
      <c r="A37" s="46" t="inlineStr">
        <is>
          <t>J-0033</t>
        </is>
      </c>
      <c r="B37" s="47" t="n">
        <v>46084</v>
      </c>
      <c r="C37" s="94" t="n">
        <v>0.5833333333333334</v>
      </c>
      <c r="D37" s="38" t="inlineStr">
        <is>
          <t>Lane Ivers</t>
        </is>
      </c>
      <c r="E37" s="38" t="inlineStr">
        <is>
          <t>497 Aspen Drive, Sampletown</t>
        </is>
      </c>
      <c r="F37" s="38" t="inlineStr">
        <is>
          <t>Standard Clean</t>
        </is>
      </c>
      <c r="G37" s="38" t="inlineStr">
        <is>
          <t>R-001</t>
        </is>
      </c>
      <c r="H37" s="38" t="inlineStr">
        <is>
          <t>Maria Lopez</t>
        </is>
      </c>
      <c r="I37" s="57" t="n">
        <v>1</v>
      </c>
      <c r="J37" s="95" t="n"/>
      <c r="K37" s="95" t="n">
        <v>4.56</v>
      </c>
      <c r="L37" s="48" t="n">
        <v>175</v>
      </c>
      <c r="M37" s="96" t="n">
        <v>0</v>
      </c>
      <c r="N37" s="48" t="n"/>
      <c r="O37" s="38" t="inlineStr">
        <is>
          <t>Completed</t>
        </is>
      </c>
      <c r="P37" s="38" t="inlineStr"/>
      <c r="Q37" s="97">
        <f>IF(OR(F37="",E37=""),"",IFERROR(IF(INDEX('PROPERTIES'!$F$5:$F$404,MATCH(E37,'PROPERTIES'!$B$5:$B$404,0))=0,"",ROUND((INDEX('PROPERTIES'!$F$5:$F$404,MATCH(E37,'PROPERTIES'!$B$5:$B$404,0))/INDEX('PRICING'!$C$7:$C$16,MATCH(F37,'PRICING'!$A$7:$A$16,0))+INDEX('PROPERTIES'!$G$5:$G$404,MATCH(E37,'PROPERTIES'!$B$5:$B$404,0))*INDEX('PRICING'!$D$7:$D$16,MATCH(F37,'PRICING'!$A$7:$A$16,0))/60+INDEX('PROPERTIES'!$H$5:$H$404,MATCH(E37,'PROPERTIES'!$B$5:$B$404,0))*INDEX('PRICING'!$E$7:$E$16,MATCH(F37,'PRICING'!$A$7:$A$16,0))/60+INDEX('PRICING'!$F$7:$F$16,MATCH(F37,'PRICING'!$A$7:$A$16,0))/60),2)),""))</f>
        <v/>
      </c>
      <c r="R37" s="97">
        <f>IF(B37="","",IF(N(K37)&gt;0,K37,IF(N(J37)&gt;0,J37,N(Q37))))</f>
        <v/>
      </c>
      <c r="S37" s="55">
        <f>IF(L37="","",ROUND(L37*(1+N(M37)),2))</f>
        <v/>
      </c>
      <c r="T37" s="55">
        <f>IF(B37="","",SUMIFS('REVENUE'!$C$5:$C$1504,'REVENUE'!$B$5:$B$1504,A37))</f>
        <v/>
      </c>
      <c r="U37" s="55">
        <f>IF(B37="","",IF(O37="Completed",MAX(0,N(S37)-T37),""))</f>
        <v/>
      </c>
      <c r="V37" s="49">
        <f>IF(B37="","",IF(O37&lt;&gt;"Completed",IF(T37&gt;0,"Deposit","—"),IF(U37&lt;=0.005,"Paid",IF(T37&gt;0,"Partial","Unpaid"))))</f>
        <v/>
      </c>
      <c r="W37" s="55">
        <f>IF(B37="","",IFERROR(1/(1/INDEX('STAFF &amp; TASKS'!$C$5:$C$24,MATCH(H37,'STAFF &amp; TASKS'!$A$5:$A$24,0))),PayRate))</f>
        <v/>
      </c>
      <c r="X37" s="55">
        <f>IF(B37="","",IF(OR(O37="Cancelled",O37="No-Show"),"",ROUND(R37*W37*(1+Burden),2)))</f>
        <v/>
      </c>
      <c r="Y37" s="55">
        <f>IF(B37="","",IF(OR(O37="Cancelled",O37="No-Show"),"",IF(N37&lt;&gt;"",N37,ROUND(R37*SupHr*IFERROR(INDEX('PRICING'!$G$7:$G$16,MATCH(F37,'PRICING'!$A$7:$A$16,0)),1),2))))</f>
        <v/>
      </c>
      <c r="Z37" s="98">
        <f>IF(B37="","",SUMIFS('MILEAGE'!$J$5:$J$1504,'MILEAGE'!$B$5:$B$1504,A37))</f>
        <v/>
      </c>
      <c r="AA37" s="55">
        <f>IF(B37="","",ROUND(Z37*MileRate,2))</f>
        <v/>
      </c>
      <c r="AB37" s="55">
        <f>IF(B37="","",SUMIFS('REVENUE'!$J$5:$J$1504,'REVENUE'!$B$5:$B$1504,A37))</f>
        <v/>
      </c>
      <c r="AC37" s="55">
        <f>IF(L37="","",IF(OR(O37="Cancelled",O37="No-Show"),"",L37-N(X37)-N(Y37)-AA37-AB37))</f>
        <v/>
      </c>
      <c r="AD37" s="99">
        <f>IF(OR(AC37="",N(L37)=0),"",AC37/L37)</f>
        <v/>
      </c>
      <c r="AE37" s="55">
        <f>IF(OR(AC37="",N(R37)=0),"",L37/R37)</f>
        <v/>
      </c>
      <c r="AF37" s="100">
        <f>IF(OR(N(K37)=0,N(J37)+N(Q37)=0),"",K37-IF(N(J37)&gt;0,J37,Q37))</f>
        <v/>
      </c>
      <c r="AG37" s="99">
        <f>IF(B37="","",IFERROR(AVERAGEIFS('QUALITY CONTROL'!$M$5:$M$304,'QUALITY CONTROL'!$B$5:$B$304,A37),""))</f>
        <v/>
      </c>
      <c r="AH37" s="51">
        <f>IF(B37="","",DATE(YEAR(B37),MONTH(B37),1))</f>
        <v/>
      </c>
      <c r="AI37" s="49">
        <f>IF(D37="","",IFERROR(INDEX('CUSTOMERS'!$E$5:$E$404,MATCH(D37,'CUSTOMERS'!$B$5:$B$404,0)),""))</f>
        <v/>
      </c>
      <c r="AJ37" s="49">
        <f>IF(B37="","",N(C37))</f>
        <v/>
      </c>
      <c r="AK37" s="49">
        <f>IF(OR(B37="",O37="Cancelled",O37="Rescheduled"),"",B37&amp;"|"&amp;(COUNTIFS('JOBS'!$B$5:$B$1504,B37,'JOBS'!$AJ$5:$AJ$1504,"&lt;"&amp;AJ37,'JOBS'!$O$5:$O$1504,"&lt;&gt;Cancelled",'JOBS'!$O$5:$O$1504,"&lt;&gt;Rescheduled")+COUNTIFS($B$5:B37,B37,$AJ$5:AJ37,AJ37,$O$5:O37,"&lt;&gt;Cancelled",$O$5:O37,"&lt;&gt;Rescheduled")))</f>
        <v/>
      </c>
      <c r="AL37" s="49">
        <f>IF(N(U37)&lt;=0.005,"",COUNTIFS('JOBS'!$U$5:$U$1504,"&gt;0.005",'JOBS'!$B$5:$B$1504,"&lt;"&amp;B37)+COUNTIFS($U$5:U37,"&gt;0.005",$B$5:B37,B37))</f>
        <v/>
      </c>
    </row>
    <row r="38">
      <c r="A38" s="46" t="inlineStr">
        <is>
          <t>J-0034</t>
        </is>
      </c>
      <c r="B38" s="47" t="n">
        <v>46084</v>
      </c>
      <c r="C38" s="94" t="n">
        <v>0.5833333333333334</v>
      </c>
      <c r="D38" s="38" t="inlineStr">
        <is>
          <t>Dana Oakes</t>
        </is>
      </c>
      <c r="E38" s="38" t="inlineStr">
        <is>
          <t>666 Juniper Street, North Sampletown</t>
        </is>
      </c>
      <c r="F38" s="38" t="inlineStr">
        <is>
          <t>Airbnb Turnover</t>
        </is>
      </c>
      <c r="G38" s="38" t="n"/>
      <c r="H38" s="38" t="inlineStr">
        <is>
          <t>Kevin Osei</t>
        </is>
      </c>
      <c r="I38" s="57" t="n">
        <v>1</v>
      </c>
      <c r="J38" s="95" t="n"/>
      <c r="K38" s="95" t="n">
        <v>1.82</v>
      </c>
      <c r="L38" s="48" t="n">
        <v>135</v>
      </c>
      <c r="M38" s="96" t="n">
        <v>0</v>
      </c>
      <c r="N38" s="48" t="n"/>
      <c r="O38" s="38" t="inlineStr">
        <is>
          <t>Completed</t>
        </is>
      </c>
      <c r="P38" s="38" t="inlineStr">
        <is>
          <t>Includes laundry</t>
        </is>
      </c>
      <c r="Q38" s="97">
        <f>IF(OR(F38="",E38=""),"",IFERROR(IF(INDEX('PROPERTIES'!$F$5:$F$404,MATCH(E38,'PROPERTIES'!$B$5:$B$404,0))=0,"",ROUND((INDEX('PROPERTIES'!$F$5:$F$404,MATCH(E38,'PROPERTIES'!$B$5:$B$404,0))/INDEX('PRICING'!$C$7:$C$16,MATCH(F38,'PRICING'!$A$7:$A$16,0))+INDEX('PROPERTIES'!$G$5:$G$404,MATCH(E38,'PROPERTIES'!$B$5:$B$404,0))*INDEX('PRICING'!$D$7:$D$16,MATCH(F38,'PRICING'!$A$7:$A$16,0))/60+INDEX('PROPERTIES'!$H$5:$H$404,MATCH(E38,'PROPERTIES'!$B$5:$B$404,0))*INDEX('PRICING'!$E$7:$E$16,MATCH(F38,'PRICING'!$A$7:$A$16,0))/60+INDEX('PRICING'!$F$7:$F$16,MATCH(F38,'PRICING'!$A$7:$A$16,0))/60),2)),""))</f>
        <v/>
      </c>
      <c r="R38" s="97">
        <f>IF(B38="","",IF(N(K38)&gt;0,K38,IF(N(J38)&gt;0,J38,N(Q38))))</f>
        <v/>
      </c>
      <c r="S38" s="55">
        <f>IF(L38="","",ROUND(L38*(1+N(M38)),2))</f>
        <v/>
      </c>
      <c r="T38" s="55">
        <f>IF(B38="","",SUMIFS('REVENUE'!$C$5:$C$1504,'REVENUE'!$B$5:$B$1504,A38))</f>
        <v/>
      </c>
      <c r="U38" s="55">
        <f>IF(B38="","",IF(O38="Completed",MAX(0,N(S38)-T38),""))</f>
        <v/>
      </c>
      <c r="V38" s="49">
        <f>IF(B38="","",IF(O38&lt;&gt;"Completed",IF(T38&gt;0,"Deposit","—"),IF(U38&lt;=0.005,"Paid",IF(T38&gt;0,"Partial","Unpaid"))))</f>
        <v/>
      </c>
      <c r="W38" s="55">
        <f>IF(B38="","",IFERROR(1/(1/INDEX('STAFF &amp; TASKS'!$C$5:$C$24,MATCH(H38,'STAFF &amp; TASKS'!$A$5:$A$24,0))),PayRate))</f>
        <v/>
      </c>
      <c r="X38" s="55">
        <f>IF(B38="","",IF(OR(O38="Cancelled",O38="No-Show"),"",ROUND(R38*W38*(1+Burden),2)))</f>
        <v/>
      </c>
      <c r="Y38" s="55">
        <f>IF(B38="","",IF(OR(O38="Cancelled",O38="No-Show"),"",IF(N38&lt;&gt;"",N38,ROUND(R38*SupHr*IFERROR(INDEX('PRICING'!$G$7:$G$16,MATCH(F38,'PRICING'!$A$7:$A$16,0)),1),2))))</f>
        <v/>
      </c>
      <c r="Z38" s="98">
        <f>IF(B38="","",SUMIFS('MILEAGE'!$J$5:$J$1504,'MILEAGE'!$B$5:$B$1504,A38))</f>
        <v/>
      </c>
      <c r="AA38" s="55">
        <f>IF(B38="","",ROUND(Z38*MileRate,2))</f>
        <v/>
      </c>
      <c r="AB38" s="55">
        <f>IF(B38="","",SUMIFS('REVENUE'!$J$5:$J$1504,'REVENUE'!$B$5:$B$1504,A38))</f>
        <v/>
      </c>
      <c r="AC38" s="55">
        <f>IF(L38="","",IF(OR(O38="Cancelled",O38="No-Show"),"",L38-N(X38)-N(Y38)-AA38-AB38))</f>
        <v/>
      </c>
      <c r="AD38" s="99">
        <f>IF(OR(AC38="",N(L38)=0),"",AC38/L38)</f>
        <v/>
      </c>
      <c r="AE38" s="55">
        <f>IF(OR(AC38="",N(R38)=0),"",L38/R38)</f>
        <v/>
      </c>
      <c r="AF38" s="100">
        <f>IF(OR(N(K38)=0,N(J38)+N(Q38)=0),"",K38-IF(N(J38)&gt;0,J38,Q38))</f>
        <v/>
      </c>
      <c r="AG38" s="99">
        <f>IF(B38="","",IFERROR(AVERAGEIFS('QUALITY CONTROL'!$M$5:$M$304,'QUALITY CONTROL'!$B$5:$B$304,A38),""))</f>
        <v/>
      </c>
      <c r="AH38" s="51">
        <f>IF(B38="","",DATE(YEAR(B38),MONTH(B38),1))</f>
        <v/>
      </c>
      <c r="AI38" s="49">
        <f>IF(D38="","",IFERROR(INDEX('CUSTOMERS'!$E$5:$E$404,MATCH(D38,'CUSTOMERS'!$B$5:$B$404,0)),""))</f>
        <v/>
      </c>
      <c r="AJ38" s="49">
        <f>IF(B38="","",N(C38))</f>
        <v/>
      </c>
      <c r="AK38" s="49">
        <f>IF(OR(B38="",O38="Cancelled",O38="Rescheduled"),"",B38&amp;"|"&amp;(COUNTIFS('JOBS'!$B$5:$B$1504,B38,'JOBS'!$AJ$5:$AJ$1504,"&lt;"&amp;AJ38,'JOBS'!$O$5:$O$1504,"&lt;&gt;Cancelled",'JOBS'!$O$5:$O$1504,"&lt;&gt;Rescheduled")+COUNTIFS($B$5:B38,B38,$AJ$5:AJ38,AJ38,$O$5:O38,"&lt;&gt;Cancelled",$O$5:O38,"&lt;&gt;Rescheduled")))</f>
        <v/>
      </c>
      <c r="AL38" s="49">
        <f>IF(N(U38)&lt;=0.005,"",COUNTIFS('JOBS'!$U$5:$U$1504,"&gt;0.005",'JOBS'!$B$5:$B$1504,"&lt;"&amp;B38)+COUNTIFS($U$5:U38,"&gt;0.005",$B$5:B38,B38))</f>
        <v/>
      </c>
    </row>
    <row r="39">
      <c r="A39" s="46" t="inlineStr">
        <is>
          <t>J-0035</t>
        </is>
      </c>
      <c r="B39" s="47" t="n">
        <v>46086</v>
      </c>
      <c r="C39" s="94" t="n">
        <v>0.3541666666666667</v>
      </c>
      <c r="D39" s="38" t="inlineStr">
        <is>
          <t>Peyton Underhill</t>
        </is>
      </c>
      <c r="E39" s="38" t="inlineStr">
        <is>
          <t>897 Elm Terrace, Sampletown</t>
        </is>
      </c>
      <c r="F39" s="38" t="inlineStr">
        <is>
          <t>Deep Clean</t>
        </is>
      </c>
      <c r="G39" s="38" t="n"/>
      <c r="H39" s="38" t="inlineStr">
        <is>
          <t>Maria Lopez</t>
        </is>
      </c>
      <c r="I39" s="57" t="n">
        <v>2</v>
      </c>
      <c r="J39" s="95" t="n"/>
      <c r="K39" s="95" t="n">
        <v>5.88</v>
      </c>
      <c r="L39" s="48" t="n">
        <v>300</v>
      </c>
      <c r="M39" s="96" t="n">
        <v>0</v>
      </c>
      <c r="N39" s="48" t="n"/>
      <c r="O39" s="38" t="inlineStr">
        <is>
          <t>Completed</t>
        </is>
      </c>
      <c r="P39" s="38" t="inlineStr"/>
      <c r="Q39" s="97">
        <f>IF(OR(F39="",E39=""),"",IFERROR(IF(INDEX('PROPERTIES'!$F$5:$F$404,MATCH(E39,'PROPERTIES'!$B$5:$B$404,0))=0,"",ROUND((INDEX('PROPERTIES'!$F$5:$F$404,MATCH(E39,'PROPERTIES'!$B$5:$B$404,0))/INDEX('PRICING'!$C$7:$C$16,MATCH(F39,'PRICING'!$A$7:$A$16,0))+INDEX('PROPERTIES'!$G$5:$G$404,MATCH(E39,'PROPERTIES'!$B$5:$B$404,0))*INDEX('PRICING'!$D$7:$D$16,MATCH(F39,'PRICING'!$A$7:$A$16,0))/60+INDEX('PROPERTIES'!$H$5:$H$404,MATCH(E39,'PROPERTIES'!$B$5:$B$404,0))*INDEX('PRICING'!$E$7:$E$16,MATCH(F39,'PRICING'!$A$7:$A$16,0))/60+INDEX('PRICING'!$F$7:$F$16,MATCH(F39,'PRICING'!$A$7:$A$16,0))/60),2)),""))</f>
        <v/>
      </c>
      <c r="R39" s="97">
        <f>IF(B39="","",IF(N(K39)&gt;0,K39,IF(N(J39)&gt;0,J39,N(Q39))))</f>
        <v/>
      </c>
      <c r="S39" s="55">
        <f>IF(L39="","",ROUND(L39*(1+N(M39)),2))</f>
        <v/>
      </c>
      <c r="T39" s="55">
        <f>IF(B39="","",SUMIFS('REVENUE'!$C$5:$C$1504,'REVENUE'!$B$5:$B$1504,A39))</f>
        <v/>
      </c>
      <c r="U39" s="55">
        <f>IF(B39="","",IF(O39="Completed",MAX(0,N(S39)-T39),""))</f>
        <v/>
      </c>
      <c r="V39" s="49">
        <f>IF(B39="","",IF(O39&lt;&gt;"Completed",IF(T39&gt;0,"Deposit","—"),IF(U39&lt;=0.005,"Paid",IF(T39&gt;0,"Partial","Unpaid"))))</f>
        <v/>
      </c>
      <c r="W39" s="55">
        <f>IF(B39="","",IFERROR(1/(1/INDEX('STAFF &amp; TASKS'!$C$5:$C$24,MATCH(H39,'STAFF &amp; TASKS'!$A$5:$A$24,0))),PayRate))</f>
        <v/>
      </c>
      <c r="X39" s="55">
        <f>IF(B39="","",IF(OR(O39="Cancelled",O39="No-Show"),"",ROUND(R39*W39*(1+Burden),2)))</f>
        <v/>
      </c>
      <c r="Y39" s="55">
        <f>IF(B39="","",IF(OR(O39="Cancelled",O39="No-Show"),"",IF(N39&lt;&gt;"",N39,ROUND(R39*SupHr*IFERROR(INDEX('PRICING'!$G$7:$G$16,MATCH(F39,'PRICING'!$A$7:$A$16,0)),1),2))))</f>
        <v/>
      </c>
      <c r="Z39" s="98">
        <f>IF(B39="","",SUMIFS('MILEAGE'!$J$5:$J$1504,'MILEAGE'!$B$5:$B$1504,A39))</f>
        <v/>
      </c>
      <c r="AA39" s="55">
        <f>IF(B39="","",ROUND(Z39*MileRate,2))</f>
        <v/>
      </c>
      <c r="AB39" s="55">
        <f>IF(B39="","",SUMIFS('REVENUE'!$J$5:$J$1504,'REVENUE'!$B$5:$B$1504,A39))</f>
        <v/>
      </c>
      <c r="AC39" s="55">
        <f>IF(L39="","",IF(OR(O39="Cancelled",O39="No-Show"),"",L39-N(X39)-N(Y39)-AA39-AB39))</f>
        <v/>
      </c>
      <c r="AD39" s="99">
        <f>IF(OR(AC39="",N(L39)=0),"",AC39/L39)</f>
        <v/>
      </c>
      <c r="AE39" s="55">
        <f>IF(OR(AC39="",N(R39)=0),"",L39/R39)</f>
        <v/>
      </c>
      <c r="AF39" s="100">
        <f>IF(OR(N(K39)=0,N(J39)+N(Q39)=0),"",K39-IF(N(J39)&gt;0,J39,Q39))</f>
        <v/>
      </c>
      <c r="AG39" s="99">
        <f>IF(B39="","",IFERROR(AVERAGEIFS('QUALITY CONTROL'!$M$5:$M$304,'QUALITY CONTROL'!$B$5:$B$304,A39),""))</f>
        <v/>
      </c>
      <c r="AH39" s="51">
        <f>IF(B39="","",DATE(YEAR(B39),MONTH(B39),1))</f>
        <v/>
      </c>
      <c r="AI39" s="49">
        <f>IF(D39="","",IFERROR(INDEX('CUSTOMERS'!$E$5:$E$404,MATCH(D39,'CUSTOMERS'!$B$5:$B$404,0)),""))</f>
        <v/>
      </c>
      <c r="AJ39" s="49">
        <f>IF(B39="","",N(C39))</f>
        <v/>
      </c>
      <c r="AK39" s="49">
        <f>IF(OR(B39="",O39="Cancelled",O39="Rescheduled"),"",B39&amp;"|"&amp;(COUNTIFS('JOBS'!$B$5:$B$1504,B39,'JOBS'!$AJ$5:$AJ$1504,"&lt;"&amp;AJ39,'JOBS'!$O$5:$O$1504,"&lt;&gt;Cancelled",'JOBS'!$O$5:$O$1504,"&lt;&gt;Rescheduled")+COUNTIFS($B$5:B39,B39,$AJ$5:AJ39,AJ39,$O$5:O39,"&lt;&gt;Cancelled",$O$5:O39,"&lt;&gt;Rescheduled")))</f>
        <v/>
      </c>
      <c r="AL39" s="49">
        <f>IF(N(U39)&lt;=0.005,"",COUNTIFS('JOBS'!$U$5:$U$1504,"&gt;0.005",'JOBS'!$B$5:$B$1504,"&lt;"&amp;B39)+COUNTIFS($U$5:U39,"&gt;0.005",$B$5:B39,B39))</f>
        <v/>
      </c>
    </row>
    <row r="40">
      <c r="A40" s="46" t="inlineStr">
        <is>
          <t>J-0036</t>
        </is>
      </c>
      <c r="B40" s="47" t="n">
        <v>46087</v>
      </c>
      <c r="C40" s="94" t="n">
        <v>0.375</v>
      </c>
      <c r="D40" s="38" t="inlineStr">
        <is>
          <t>Brightside Dental Studio (sample)</t>
        </is>
      </c>
      <c r="E40" s="38" t="inlineStr">
        <is>
          <t>738 Cedar Court, North Sampletown</t>
        </is>
      </c>
      <c r="F40" s="38" t="inlineStr">
        <is>
          <t>Commercial Clean</t>
        </is>
      </c>
      <c r="G40" s="38" t="inlineStr">
        <is>
          <t>R-011</t>
        </is>
      </c>
      <c r="H40" s="38" t="inlineStr">
        <is>
          <t>Kevin Osei</t>
        </is>
      </c>
      <c r="I40" s="57" t="n">
        <v>2</v>
      </c>
      <c r="J40" s="95" t="n"/>
      <c r="K40" s="95" t="n">
        <v>2.27</v>
      </c>
      <c r="L40" s="48" t="n">
        <v>100</v>
      </c>
      <c r="M40" s="96" t="n">
        <v>0</v>
      </c>
      <c r="N40" s="48" t="n"/>
      <c r="O40" s="38" t="inlineStr">
        <is>
          <t>Completed</t>
        </is>
      </c>
      <c r="P40" s="38" t="inlineStr"/>
      <c r="Q40" s="97">
        <f>IF(OR(F40="",E40=""),"",IFERROR(IF(INDEX('PROPERTIES'!$F$5:$F$404,MATCH(E40,'PROPERTIES'!$B$5:$B$404,0))=0,"",ROUND((INDEX('PROPERTIES'!$F$5:$F$404,MATCH(E40,'PROPERTIES'!$B$5:$B$404,0))/INDEX('PRICING'!$C$7:$C$16,MATCH(F40,'PRICING'!$A$7:$A$16,0))+INDEX('PROPERTIES'!$G$5:$G$404,MATCH(E40,'PROPERTIES'!$B$5:$B$404,0))*INDEX('PRICING'!$D$7:$D$16,MATCH(F40,'PRICING'!$A$7:$A$16,0))/60+INDEX('PROPERTIES'!$H$5:$H$404,MATCH(E40,'PROPERTIES'!$B$5:$B$404,0))*INDEX('PRICING'!$E$7:$E$16,MATCH(F40,'PRICING'!$A$7:$A$16,0))/60+INDEX('PRICING'!$F$7:$F$16,MATCH(F40,'PRICING'!$A$7:$A$16,0))/60),2)),""))</f>
        <v/>
      </c>
      <c r="R40" s="97">
        <f>IF(B40="","",IF(N(K40)&gt;0,K40,IF(N(J40)&gt;0,J40,N(Q40))))</f>
        <v/>
      </c>
      <c r="S40" s="55">
        <f>IF(L40="","",ROUND(L40*(1+N(M40)),2))</f>
        <v/>
      </c>
      <c r="T40" s="55">
        <f>IF(B40="","",SUMIFS('REVENUE'!$C$5:$C$1504,'REVENUE'!$B$5:$B$1504,A40))</f>
        <v/>
      </c>
      <c r="U40" s="55">
        <f>IF(B40="","",IF(O40="Completed",MAX(0,N(S40)-T40),""))</f>
        <v/>
      </c>
      <c r="V40" s="49">
        <f>IF(B40="","",IF(O40&lt;&gt;"Completed",IF(T40&gt;0,"Deposit","—"),IF(U40&lt;=0.005,"Paid",IF(T40&gt;0,"Partial","Unpaid"))))</f>
        <v/>
      </c>
      <c r="W40" s="55">
        <f>IF(B40="","",IFERROR(1/(1/INDEX('STAFF &amp; TASKS'!$C$5:$C$24,MATCH(H40,'STAFF &amp; TASKS'!$A$5:$A$24,0))),PayRate))</f>
        <v/>
      </c>
      <c r="X40" s="55">
        <f>IF(B40="","",IF(OR(O40="Cancelled",O40="No-Show"),"",ROUND(R40*W40*(1+Burden),2)))</f>
        <v/>
      </c>
      <c r="Y40" s="55">
        <f>IF(B40="","",IF(OR(O40="Cancelled",O40="No-Show"),"",IF(N40&lt;&gt;"",N40,ROUND(R40*SupHr*IFERROR(INDEX('PRICING'!$G$7:$G$16,MATCH(F40,'PRICING'!$A$7:$A$16,0)),1),2))))</f>
        <v/>
      </c>
      <c r="Z40" s="98">
        <f>IF(B40="","",SUMIFS('MILEAGE'!$J$5:$J$1504,'MILEAGE'!$B$5:$B$1504,A40))</f>
        <v/>
      </c>
      <c r="AA40" s="55">
        <f>IF(B40="","",ROUND(Z40*MileRate,2))</f>
        <v/>
      </c>
      <c r="AB40" s="55">
        <f>IF(B40="","",SUMIFS('REVENUE'!$J$5:$J$1504,'REVENUE'!$B$5:$B$1504,A40))</f>
        <v/>
      </c>
      <c r="AC40" s="55">
        <f>IF(L40="","",IF(OR(O40="Cancelled",O40="No-Show"),"",L40-N(X40)-N(Y40)-AA40-AB40))</f>
        <v/>
      </c>
      <c r="AD40" s="99">
        <f>IF(OR(AC40="",N(L40)=0),"",AC40/L40)</f>
        <v/>
      </c>
      <c r="AE40" s="55">
        <f>IF(OR(AC40="",N(R40)=0),"",L40/R40)</f>
        <v/>
      </c>
      <c r="AF40" s="100">
        <f>IF(OR(N(K40)=0,N(J40)+N(Q40)=0),"",K40-IF(N(J40)&gt;0,J40,Q40))</f>
        <v/>
      </c>
      <c r="AG40" s="99">
        <f>IF(B40="","",IFERROR(AVERAGEIFS('QUALITY CONTROL'!$M$5:$M$304,'QUALITY CONTROL'!$B$5:$B$304,A40),""))</f>
        <v/>
      </c>
      <c r="AH40" s="51">
        <f>IF(B40="","",DATE(YEAR(B40),MONTH(B40),1))</f>
        <v/>
      </c>
      <c r="AI40" s="49">
        <f>IF(D40="","",IFERROR(INDEX('CUSTOMERS'!$E$5:$E$404,MATCH(D40,'CUSTOMERS'!$B$5:$B$404,0)),""))</f>
        <v/>
      </c>
      <c r="AJ40" s="49">
        <f>IF(B40="","",N(C40))</f>
        <v/>
      </c>
      <c r="AK40" s="49">
        <f>IF(OR(B40="",O40="Cancelled",O40="Rescheduled"),"",B40&amp;"|"&amp;(COUNTIFS('JOBS'!$B$5:$B$1504,B40,'JOBS'!$AJ$5:$AJ$1504,"&lt;"&amp;AJ40,'JOBS'!$O$5:$O$1504,"&lt;&gt;Cancelled",'JOBS'!$O$5:$O$1504,"&lt;&gt;Rescheduled")+COUNTIFS($B$5:B40,B40,$AJ$5:AJ40,AJ40,$O$5:O40,"&lt;&gt;Cancelled",$O$5:O40,"&lt;&gt;Rescheduled")))</f>
        <v/>
      </c>
      <c r="AL40" s="49">
        <f>IF(N(U40)&lt;=0.005,"",COUNTIFS('JOBS'!$U$5:$U$1504,"&gt;0.005",'JOBS'!$B$5:$B$1504,"&lt;"&amp;B40)+COUNTIFS($U$5:U40,"&gt;0.005",$B$5:B40,B40))</f>
        <v/>
      </c>
    </row>
    <row r="41">
      <c r="A41" s="46" t="inlineStr">
        <is>
          <t>J-0037</t>
        </is>
      </c>
      <c r="B41" s="47" t="n">
        <v>46087</v>
      </c>
      <c r="C41" s="94" t="n">
        <v>0.625</v>
      </c>
      <c r="D41" s="38" t="inlineStr">
        <is>
          <t>Parker Lockhart</t>
        </is>
      </c>
      <c r="E41" s="38" t="inlineStr">
        <is>
          <t>412 Linden Place, Sampletown</t>
        </is>
      </c>
      <c r="F41" s="38" t="inlineStr">
        <is>
          <t>Airbnb Turnover</t>
        </is>
      </c>
      <c r="G41" s="38" t="n"/>
      <c r="H41" s="38" t="inlineStr">
        <is>
          <t>Kevin Osei</t>
        </is>
      </c>
      <c r="I41" s="57" t="n">
        <v>1</v>
      </c>
      <c r="J41" s="95" t="n"/>
      <c r="K41" s="95" t="n">
        <v>2.19</v>
      </c>
      <c r="L41" s="48" t="n">
        <v>150</v>
      </c>
      <c r="M41" s="96" t="n">
        <v>0</v>
      </c>
      <c r="N41" s="48" t="n"/>
      <c r="O41" s="38" t="inlineStr">
        <is>
          <t>Completed</t>
        </is>
      </c>
      <c r="P41" s="38" t="inlineStr">
        <is>
          <t>Includes laundry</t>
        </is>
      </c>
      <c r="Q41" s="97">
        <f>IF(OR(F41="",E41=""),"",IFERROR(IF(INDEX('PROPERTIES'!$F$5:$F$404,MATCH(E41,'PROPERTIES'!$B$5:$B$404,0))=0,"",ROUND((INDEX('PROPERTIES'!$F$5:$F$404,MATCH(E41,'PROPERTIES'!$B$5:$B$404,0))/INDEX('PRICING'!$C$7:$C$16,MATCH(F41,'PRICING'!$A$7:$A$16,0))+INDEX('PROPERTIES'!$G$5:$G$404,MATCH(E41,'PROPERTIES'!$B$5:$B$404,0))*INDEX('PRICING'!$D$7:$D$16,MATCH(F41,'PRICING'!$A$7:$A$16,0))/60+INDEX('PROPERTIES'!$H$5:$H$404,MATCH(E41,'PROPERTIES'!$B$5:$B$404,0))*INDEX('PRICING'!$E$7:$E$16,MATCH(F41,'PRICING'!$A$7:$A$16,0))/60+INDEX('PRICING'!$F$7:$F$16,MATCH(F41,'PRICING'!$A$7:$A$16,0))/60),2)),""))</f>
        <v/>
      </c>
      <c r="R41" s="97">
        <f>IF(B41="","",IF(N(K41)&gt;0,K41,IF(N(J41)&gt;0,J41,N(Q41))))</f>
        <v/>
      </c>
      <c r="S41" s="55">
        <f>IF(L41="","",ROUND(L41*(1+N(M41)),2))</f>
        <v/>
      </c>
      <c r="T41" s="55">
        <f>IF(B41="","",SUMIFS('REVENUE'!$C$5:$C$1504,'REVENUE'!$B$5:$B$1504,A41))</f>
        <v/>
      </c>
      <c r="U41" s="55">
        <f>IF(B41="","",IF(O41="Completed",MAX(0,N(S41)-T41),""))</f>
        <v/>
      </c>
      <c r="V41" s="49">
        <f>IF(B41="","",IF(O41&lt;&gt;"Completed",IF(T41&gt;0,"Deposit","—"),IF(U41&lt;=0.005,"Paid",IF(T41&gt;0,"Partial","Unpaid"))))</f>
        <v/>
      </c>
      <c r="W41" s="55">
        <f>IF(B41="","",IFERROR(1/(1/INDEX('STAFF &amp; TASKS'!$C$5:$C$24,MATCH(H41,'STAFF &amp; TASKS'!$A$5:$A$24,0))),PayRate))</f>
        <v/>
      </c>
      <c r="X41" s="55">
        <f>IF(B41="","",IF(OR(O41="Cancelled",O41="No-Show"),"",ROUND(R41*W41*(1+Burden),2)))</f>
        <v/>
      </c>
      <c r="Y41" s="55">
        <f>IF(B41="","",IF(OR(O41="Cancelled",O41="No-Show"),"",IF(N41&lt;&gt;"",N41,ROUND(R41*SupHr*IFERROR(INDEX('PRICING'!$G$7:$G$16,MATCH(F41,'PRICING'!$A$7:$A$16,0)),1),2))))</f>
        <v/>
      </c>
      <c r="Z41" s="98">
        <f>IF(B41="","",SUMIFS('MILEAGE'!$J$5:$J$1504,'MILEAGE'!$B$5:$B$1504,A41))</f>
        <v/>
      </c>
      <c r="AA41" s="55">
        <f>IF(B41="","",ROUND(Z41*MileRate,2))</f>
        <v/>
      </c>
      <c r="AB41" s="55">
        <f>IF(B41="","",SUMIFS('REVENUE'!$J$5:$J$1504,'REVENUE'!$B$5:$B$1504,A41))</f>
        <v/>
      </c>
      <c r="AC41" s="55">
        <f>IF(L41="","",IF(OR(O41="Cancelled",O41="No-Show"),"",L41-N(X41)-N(Y41)-AA41-AB41))</f>
        <v/>
      </c>
      <c r="AD41" s="99">
        <f>IF(OR(AC41="",N(L41)=0),"",AC41/L41)</f>
        <v/>
      </c>
      <c r="AE41" s="55">
        <f>IF(OR(AC41="",N(R41)=0),"",L41/R41)</f>
        <v/>
      </c>
      <c r="AF41" s="100">
        <f>IF(OR(N(K41)=0,N(J41)+N(Q41)=0),"",K41-IF(N(J41)&gt;0,J41,Q41))</f>
        <v/>
      </c>
      <c r="AG41" s="99">
        <f>IF(B41="","",IFERROR(AVERAGEIFS('QUALITY CONTROL'!$M$5:$M$304,'QUALITY CONTROL'!$B$5:$B$304,A41),""))</f>
        <v/>
      </c>
      <c r="AH41" s="51">
        <f>IF(B41="","",DATE(YEAR(B41),MONTH(B41),1))</f>
        <v/>
      </c>
      <c r="AI41" s="49">
        <f>IF(D41="","",IFERROR(INDEX('CUSTOMERS'!$E$5:$E$404,MATCH(D41,'CUSTOMERS'!$B$5:$B$404,0)),""))</f>
        <v/>
      </c>
      <c r="AJ41" s="49">
        <f>IF(B41="","",N(C41))</f>
        <v/>
      </c>
      <c r="AK41" s="49">
        <f>IF(OR(B41="",O41="Cancelled",O41="Rescheduled"),"",B41&amp;"|"&amp;(COUNTIFS('JOBS'!$B$5:$B$1504,B41,'JOBS'!$AJ$5:$AJ$1504,"&lt;"&amp;AJ41,'JOBS'!$O$5:$O$1504,"&lt;&gt;Cancelled",'JOBS'!$O$5:$O$1504,"&lt;&gt;Rescheduled")+COUNTIFS($B$5:B41,B41,$AJ$5:AJ41,AJ41,$O$5:O41,"&lt;&gt;Cancelled",$O$5:O41,"&lt;&gt;Rescheduled")))</f>
        <v/>
      </c>
      <c r="AL41" s="49">
        <f>IF(N(U41)&lt;=0.005,"",COUNTIFS('JOBS'!$U$5:$U$1504,"&gt;0.005",'JOBS'!$B$5:$B$1504,"&lt;"&amp;B41)+COUNTIFS($U$5:U41,"&gt;0.005",$B$5:B41,B41))</f>
        <v/>
      </c>
    </row>
    <row r="42">
      <c r="A42" s="46" t="inlineStr">
        <is>
          <t>J-0038</t>
        </is>
      </c>
      <c r="B42" s="47" t="n">
        <v>46091</v>
      </c>
      <c r="C42" s="94" t="n">
        <v>0.4166666666666667</v>
      </c>
      <c r="D42" s="38" t="inlineStr">
        <is>
          <t>Lane Ivers</t>
        </is>
      </c>
      <c r="E42" s="38" t="inlineStr">
        <is>
          <t>497 Aspen Drive, Sampletown</t>
        </is>
      </c>
      <c r="F42" s="38" t="inlineStr">
        <is>
          <t>Standard Clean</t>
        </is>
      </c>
      <c r="G42" s="38" t="inlineStr">
        <is>
          <t>R-001</t>
        </is>
      </c>
      <c r="H42" s="38" t="inlineStr">
        <is>
          <t>Maria Lopez</t>
        </is>
      </c>
      <c r="I42" s="57" t="n">
        <v>1</v>
      </c>
      <c r="J42" s="95" t="n"/>
      <c r="K42" s="95" t="n">
        <v>4.56</v>
      </c>
      <c r="L42" s="48" t="n">
        <v>175</v>
      </c>
      <c r="M42" s="96" t="n">
        <v>0</v>
      </c>
      <c r="N42" s="48" t="n"/>
      <c r="O42" s="38" t="inlineStr">
        <is>
          <t>Completed</t>
        </is>
      </c>
      <c r="P42" s="38" t="inlineStr"/>
      <c r="Q42" s="97">
        <f>IF(OR(F42="",E42=""),"",IFERROR(IF(INDEX('PROPERTIES'!$F$5:$F$404,MATCH(E42,'PROPERTIES'!$B$5:$B$404,0))=0,"",ROUND((INDEX('PROPERTIES'!$F$5:$F$404,MATCH(E42,'PROPERTIES'!$B$5:$B$404,0))/INDEX('PRICING'!$C$7:$C$16,MATCH(F42,'PRICING'!$A$7:$A$16,0))+INDEX('PROPERTIES'!$G$5:$G$404,MATCH(E42,'PROPERTIES'!$B$5:$B$404,0))*INDEX('PRICING'!$D$7:$D$16,MATCH(F42,'PRICING'!$A$7:$A$16,0))/60+INDEX('PROPERTIES'!$H$5:$H$404,MATCH(E42,'PROPERTIES'!$B$5:$B$404,0))*INDEX('PRICING'!$E$7:$E$16,MATCH(F42,'PRICING'!$A$7:$A$16,0))/60+INDEX('PRICING'!$F$7:$F$16,MATCH(F42,'PRICING'!$A$7:$A$16,0))/60),2)),""))</f>
        <v/>
      </c>
      <c r="R42" s="97">
        <f>IF(B42="","",IF(N(K42)&gt;0,K42,IF(N(J42)&gt;0,J42,N(Q42))))</f>
        <v/>
      </c>
      <c r="S42" s="55">
        <f>IF(L42="","",ROUND(L42*(1+N(M42)),2))</f>
        <v/>
      </c>
      <c r="T42" s="55">
        <f>IF(B42="","",SUMIFS('REVENUE'!$C$5:$C$1504,'REVENUE'!$B$5:$B$1504,A42))</f>
        <v/>
      </c>
      <c r="U42" s="55">
        <f>IF(B42="","",IF(O42="Completed",MAX(0,N(S42)-T42),""))</f>
        <v/>
      </c>
      <c r="V42" s="49">
        <f>IF(B42="","",IF(O42&lt;&gt;"Completed",IF(T42&gt;0,"Deposit","—"),IF(U42&lt;=0.005,"Paid",IF(T42&gt;0,"Partial","Unpaid"))))</f>
        <v/>
      </c>
      <c r="W42" s="55">
        <f>IF(B42="","",IFERROR(1/(1/INDEX('STAFF &amp; TASKS'!$C$5:$C$24,MATCH(H42,'STAFF &amp; TASKS'!$A$5:$A$24,0))),PayRate))</f>
        <v/>
      </c>
      <c r="X42" s="55">
        <f>IF(B42="","",IF(OR(O42="Cancelled",O42="No-Show"),"",ROUND(R42*W42*(1+Burden),2)))</f>
        <v/>
      </c>
      <c r="Y42" s="55">
        <f>IF(B42="","",IF(OR(O42="Cancelled",O42="No-Show"),"",IF(N42&lt;&gt;"",N42,ROUND(R42*SupHr*IFERROR(INDEX('PRICING'!$G$7:$G$16,MATCH(F42,'PRICING'!$A$7:$A$16,0)),1),2))))</f>
        <v/>
      </c>
      <c r="Z42" s="98">
        <f>IF(B42="","",SUMIFS('MILEAGE'!$J$5:$J$1504,'MILEAGE'!$B$5:$B$1504,A42))</f>
        <v/>
      </c>
      <c r="AA42" s="55">
        <f>IF(B42="","",ROUND(Z42*MileRate,2))</f>
        <v/>
      </c>
      <c r="AB42" s="55">
        <f>IF(B42="","",SUMIFS('REVENUE'!$J$5:$J$1504,'REVENUE'!$B$5:$B$1504,A42))</f>
        <v/>
      </c>
      <c r="AC42" s="55">
        <f>IF(L42="","",IF(OR(O42="Cancelled",O42="No-Show"),"",L42-N(X42)-N(Y42)-AA42-AB42))</f>
        <v/>
      </c>
      <c r="AD42" s="99">
        <f>IF(OR(AC42="",N(L42)=0),"",AC42/L42)</f>
        <v/>
      </c>
      <c r="AE42" s="55">
        <f>IF(OR(AC42="",N(R42)=0),"",L42/R42)</f>
        <v/>
      </c>
      <c r="AF42" s="100">
        <f>IF(OR(N(K42)=0,N(J42)+N(Q42)=0),"",K42-IF(N(J42)&gt;0,J42,Q42))</f>
        <v/>
      </c>
      <c r="AG42" s="99">
        <f>IF(B42="","",IFERROR(AVERAGEIFS('QUALITY CONTROL'!$M$5:$M$304,'QUALITY CONTROL'!$B$5:$B$304,A42),""))</f>
        <v/>
      </c>
      <c r="AH42" s="51">
        <f>IF(B42="","",DATE(YEAR(B42),MONTH(B42),1))</f>
        <v/>
      </c>
      <c r="AI42" s="49">
        <f>IF(D42="","",IFERROR(INDEX('CUSTOMERS'!$E$5:$E$404,MATCH(D42,'CUSTOMERS'!$B$5:$B$404,0)),""))</f>
        <v/>
      </c>
      <c r="AJ42" s="49">
        <f>IF(B42="","",N(C42))</f>
        <v/>
      </c>
      <c r="AK42" s="49">
        <f>IF(OR(B42="",O42="Cancelled",O42="Rescheduled"),"",B42&amp;"|"&amp;(COUNTIFS('JOBS'!$B$5:$B$1504,B42,'JOBS'!$AJ$5:$AJ$1504,"&lt;"&amp;AJ42,'JOBS'!$O$5:$O$1504,"&lt;&gt;Cancelled",'JOBS'!$O$5:$O$1504,"&lt;&gt;Rescheduled")+COUNTIFS($B$5:B42,B42,$AJ$5:AJ42,AJ42,$O$5:O42,"&lt;&gt;Cancelled",$O$5:O42,"&lt;&gt;Rescheduled")))</f>
        <v/>
      </c>
      <c r="AL42" s="49">
        <f>IF(N(U42)&lt;=0.005,"",COUNTIFS('JOBS'!$U$5:$U$1504,"&gt;0.005",'JOBS'!$B$5:$B$1504,"&lt;"&amp;B42)+COUNTIFS($U$5:U42,"&gt;0.005",$B$5:B42,B42))</f>
        <v/>
      </c>
    </row>
    <row r="43">
      <c r="A43" s="46" t="inlineStr">
        <is>
          <t>J-0039</t>
        </is>
      </c>
      <c r="B43" s="47" t="n">
        <v>46093</v>
      </c>
      <c r="C43" s="94" t="n">
        <v>0.5833333333333334</v>
      </c>
      <c r="D43" s="38" t="inlineStr">
        <is>
          <t>Blake Oakes</t>
        </is>
      </c>
      <c r="E43" s="38" t="inlineStr">
        <is>
          <t>654 Willow Way, North Sampletown</t>
        </is>
      </c>
      <c r="F43" s="38" t="inlineStr">
        <is>
          <t>Airbnb Turnover</t>
        </is>
      </c>
      <c r="G43" s="38" t="n"/>
      <c r="H43" s="38" t="inlineStr">
        <is>
          <t>Kevin Osei</t>
        </is>
      </c>
      <c r="I43" s="57" t="n">
        <v>1</v>
      </c>
      <c r="J43" s="95" t="n"/>
      <c r="K43" s="95" t="n">
        <v>1.53</v>
      </c>
      <c r="L43" s="48" t="n">
        <v>135</v>
      </c>
      <c r="M43" s="96" t="n">
        <v>0</v>
      </c>
      <c r="N43" s="48" t="n"/>
      <c r="O43" s="38" t="inlineStr">
        <is>
          <t>Completed</t>
        </is>
      </c>
      <c r="P43" s="38" t="inlineStr">
        <is>
          <t>Includes laundry</t>
        </is>
      </c>
      <c r="Q43" s="97">
        <f>IF(OR(F43="",E43=""),"",IFERROR(IF(INDEX('PROPERTIES'!$F$5:$F$404,MATCH(E43,'PROPERTIES'!$B$5:$B$404,0))=0,"",ROUND((INDEX('PROPERTIES'!$F$5:$F$404,MATCH(E43,'PROPERTIES'!$B$5:$B$404,0))/INDEX('PRICING'!$C$7:$C$16,MATCH(F43,'PRICING'!$A$7:$A$16,0))+INDEX('PROPERTIES'!$G$5:$G$404,MATCH(E43,'PROPERTIES'!$B$5:$B$404,0))*INDEX('PRICING'!$D$7:$D$16,MATCH(F43,'PRICING'!$A$7:$A$16,0))/60+INDEX('PROPERTIES'!$H$5:$H$404,MATCH(E43,'PROPERTIES'!$B$5:$B$404,0))*INDEX('PRICING'!$E$7:$E$16,MATCH(F43,'PRICING'!$A$7:$A$16,0))/60+INDEX('PRICING'!$F$7:$F$16,MATCH(F43,'PRICING'!$A$7:$A$16,0))/60),2)),""))</f>
        <v/>
      </c>
      <c r="R43" s="97">
        <f>IF(B43="","",IF(N(K43)&gt;0,K43,IF(N(J43)&gt;0,J43,N(Q43))))</f>
        <v/>
      </c>
      <c r="S43" s="55">
        <f>IF(L43="","",ROUND(L43*(1+N(M43)),2))</f>
        <v/>
      </c>
      <c r="T43" s="55">
        <f>IF(B43="","",SUMIFS('REVENUE'!$C$5:$C$1504,'REVENUE'!$B$5:$B$1504,A43))</f>
        <v/>
      </c>
      <c r="U43" s="55">
        <f>IF(B43="","",IF(O43="Completed",MAX(0,N(S43)-T43),""))</f>
        <v/>
      </c>
      <c r="V43" s="49">
        <f>IF(B43="","",IF(O43&lt;&gt;"Completed",IF(T43&gt;0,"Deposit","—"),IF(U43&lt;=0.005,"Paid",IF(T43&gt;0,"Partial","Unpaid"))))</f>
        <v/>
      </c>
      <c r="W43" s="55">
        <f>IF(B43="","",IFERROR(1/(1/INDEX('STAFF &amp; TASKS'!$C$5:$C$24,MATCH(H43,'STAFF &amp; TASKS'!$A$5:$A$24,0))),PayRate))</f>
        <v/>
      </c>
      <c r="X43" s="55">
        <f>IF(B43="","",IF(OR(O43="Cancelled",O43="No-Show"),"",ROUND(R43*W43*(1+Burden),2)))</f>
        <v/>
      </c>
      <c r="Y43" s="55">
        <f>IF(B43="","",IF(OR(O43="Cancelled",O43="No-Show"),"",IF(N43&lt;&gt;"",N43,ROUND(R43*SupHr*IFERROR(INDEX('PRICING'!$G$7:$G$16,MATCH(F43,'PRICING'!$A$7:$A$16,0)),1),2))))</f>
        <v/>
      </c>
      <c r="Z43" s="98">
        <f>IF(B43="","",SUMIFS('MILEAGE'!$J$5:$J$1504,'MILEAGE'!$B$5:$B$1504,A43))</f>
        <v/>
      </c>
      <c r="AA43" s="55">
        <f>IF(B43="","",ROUND(Z43*MileRate,2))</f>
        <v/>
      </c>
      <c r="AB43" s="55">
        <f>IF(B43="","",SUMIFS('REVENUE'!$J$5:$J$1504,'REVENUE'!$B$5:$B$1504,A43))</f>
        <v/>
      </c>
      <c r="AC43" s="55">
        <f>IF(L43="","",IF(OR(O43="Cancelled",O43="No-Show"),"",L43-N(X43)-N(Y43)-AA43-AB43))</f>
        <v/>
      </c>
      <c r="AD43" s="99">
        <f>IF(OR(AC43="",N(L43)=0),"",AC43/L43)</f>
        <v/>
      </c>
      <c r="AE43" s="55">
        <f>IF(OR(AC43="",N(R43)=0),"",L43/R43)</f>
        <v/>
      </c>
      <c r="AF43" s="100">
        <f>IF(OR(N(K43)=0,N(J43)+N(Q43)=0),"",K43-IF(N(J43)&gt;0,J43,Q43))</f>
        <v/>
      </c>
      <c r="AG43" s="99">
        <f>IF(B43="","",IFERROR(AVERAGEIFS('QUALITY CONTROL'!$M$5:$M$304,'QUALITY CONTROL'!$B$5:$B$304,A43),""))</f>
        <v/>
      </c>
      <c r="AH43" s="51">
        <f>IF(B43="","",DATE(YEAR(B43),MONTH(B43),1))</f>
        <v/>
      </c>
      <c r="AI43" s="49">
        <f>IF(D43="","",IFERROR(INDEX('CUSTOMERS'!$E$5:$E$404,MATCH(D43,'CUSTOMERS'!$B$5:$B$404,0)),""))</f>
        <v/>
      </c>
      <c r="AJ43" s="49">
        <f>IF(B43="","",N(C43))</f>
        <v/>
      </c>
      <c r="AK43" s="49">
        <f>IF(OR(B43="",O43="Cancelled",O43="Rescheduled"),"",B43&amp;"|"&amp;(COUNTIFS('JOBS'!$B$5:$B$1504,B43,'JOBS'!$AJ$5:$AJ$1504,"&lt;"&amp;AJ43,'JOBS'!$O$5:$O$1504,"&lt;&gt;Cancelled",'JOBS'!$O$5:$O$1504,"&lt;&gt;Rescheduled")+COUNTIFS($B$5:B43,B43,$AJ$5:AJ43,AJ43,$O$5:O43,"&lt;&gt;Cancelled",$O$5:O43,"&lt;&gt;Rescheduled")))</f>
        <v/>
      </c>
      <c r="AL43" s="49">
        <f>IF(N(U43)&lt;=0.005,"",COUNTIFS('JOBS'!$U$5:$U$1504,"&gt;0.005",'JOBS'!$B$5:$B$1504,"&lt;"&amp;B43)+COUNTIFS($U$5:U43,"&gt;0.005",$B$5:B43,B43))</f>
        <v/>
      </c>
    </row>
    <row r="44">
      <c r="A44" s="46" t="inlineStr">
        <is>
          <t>J-0040</t>
        </is>
      </c>
      <c r="B44" s="47" t="n">
        <v>46094</v>
      </c>
      <c r="C44" s="94" t="n">
        <v>0.3541666666666667</v>
      </c>
      <c r="D44" s="38" t="inlineStr">
        <is>
          <t>Brightside Dental Studio (sample)</t>
        </is>
      </c>
      <c r="E44" s="38" t="inlineStr">
        <is>
          <t>738 Cedar Court, North Sampletown</t>
        </is>
      </c>
      <c r="F44" s="38" t="inlineStr">
        <is>
          <t>Commercial Clean</t>
        </is>
      </c>
      <c r="G44" s="38" t="inlineStr">
        <is>
          <t>R-011</t>
        </is>
      </c>
      <c r="H44" s="38" t="inlineStr">
        <is>
          <t>Kevin Osei</t>
        </is>
      </c>
      <c r="I44" s="57" t="n">
        <v>2</v>
      </c>
      <c r="J44" s="95" t="n"/>
      <c r="K44" s="95" t="n">
        <v>1.97</v>
      </c>
      <c r="L44" s="48" t="n">
        <v>100</v>
      </c>
      <c r="M44" s="96" t="n">
        <v>0</v>
      </c>
      <c r="N44" s="48" t="n"/>
      <c r="O44" s="38" t="inlineStr">
        <is>
          <t>Completed</t>
        </is>
      </c>
      <c r="P44" s="38" t="inlineStr"/>
      <c r="Q44" s="97">
        <f>IF(OR(F44="",E44=""),"",IFERROR(IF(INDEX('PROPERTIES'!$F$5:$F$404,MATCH(E44,'PROPERTIES'!$B$5:$B$404,0))=0,"",ROUND((INDEX('PROPERTIES'!$F$5:$F$404,MATCH(E44,'PROPERTIES'!$B$5:$B$404,0))/INDEX('PRICING'!$C$7:$C$16,MATCH(F44,'PRICING'!$A$7:$A$16,0))+INDEX('PROPERTIES'!$G$5:$G$404,MATCH(E44,'PROPERTIES'!$B$5:$B$404,0))*INDEX('PRICING'!$D$7:$D$16,MATCH(F44,'PRICING'!$A$7:$A$16,0))/60+INDEX('PROPERTIES'!$H$5:$H$404,MATCH(E44,'PROPERTIES'!$B$5:$B$404,0))*INDEX('PRICING'!$E$7:$E$16,MATCH(F44,'PRICING'!$A$7:$A$16,0))/60+INDEX('PRICING'!$F$7:$F$16,MATCH(F44,'PRICING'!$A$7:$A$16,0))/60),2)),""))</f>
        <v/>
      </c>
      <c r="R44" s="97">
        <f>IF(B44="","",IF(N(K44)&gt;0,K44,IF(N(J44)&gt;0,J44,N(Q44))))</f>
        <v/>
      </c>
      <c r="S44" s="55">
        <f>IF(L44="","",ROUND(L44*(1+N(M44)),2))</f>
        <v/>
      </c>
      <c r="T44" s="55">
        <f>IF(B44="","",SUMIFS('REVENUE'!$C$5:$C$1504,'REVENUE'!$B$5:$B$1504,A44))</f>
        <v/>
      </c>
      <c r="U44" s="55">
        <f>IF(B44="","",IF(O44="Completed",MAX(0,N(S44)-T44),""))</f>
        <v/>
      </c>
      <c r="V44" s="49">
        <f>IF(B44="","",IF(O44&lt;&gt;"Completed",IF(T44&gt;0,"Deposit","—"),IF(U44&lt;=0.005,"Paid",IF(T44&gt;0,"Partial","Unpaid"))))</f>
        <v/>
      </c>
      <c r="W44" s="55">
        <f>IF(B44="","",IFERROR(1/(1/INDEX('STAFF &amp; TASKS'!$C$5:$C$24,MATCH(H44,'STAFF &amp; TASKS'!$A$5:$A$24,0))),PayRate))</f>
        <v/>
      </c>
      <c r="X44" s="55">
        <f>IF(B44="","",IF(OR(O44="Cancelled",O44="No-Show"),"",ROUND(R44*W44*(1+Burden),2)))</f>
        <v/>
      </c>
      <c r="Y44" s="55">
        <f>IF(B44="","",IF(OR(O44="Cancelled",O44="No-Show"),"",IF(N44&lt;&gt;"",N44,ROUND(R44*SupHr*IFERROR(INDEX('PRICING'!$G$7:$G$16,MATCH(F44,'PRICING'!$A$7:$A$16,0)),1),2))))</f>
        <v/>
      </c>
      <c r="Z44" s="98">
        <f>IF(B44="","",SUMIFS('MILEAGE'!$J$5:$J$1504,'MILEAGE'!$B$5:$B$1504,A44))</f>
        <v/>
      </c>
      <c r="AA44" s="55">
        <f>IF(B44="","",ROUND(Z44*MileRate,2))</f>
        <v/>
      </c>
      <c r="AB44" s="55">
        <f>IF(B44="","",SUMIFS('REVENUE'!$J$5:$J$1504,'REVENUE'!$B$5:$B$1504,A44))</f>
        <v/>
      </c>
      <c r="AC44" s="55">
        <f>IF(L44="","",IF(OR(O44="Cancelled",O44="No-Show"),"",L44-N(X44)-N(Y44)-AA44-AB44))</f>
        <v/>
      </c>
      <c r="AD44" s="99">
        <f>IF(OR(AC44="",N(L44)=0),"",AC44/L44)</f>
        <v/>
      </c>
      <c r="AE44" s="55">
        <f>IF(OR(AC44="",N(R44)=0),"",L44/R44)</f>
        <v/>
      </c>
      <c r="AF44" s="100">
        <f>IF(OR(N(K44)=0,N(J44)+N(Q44)=0),"",K44-IF(N(J44)&gt;0,J44,Q44))</f>
        <v/>
      </c>
      <c r="AG44" s="99">
        <f>IF(B44="","",IFERROR(AVERAGEIFS('QUALITY CONTROL'!$M$5:$M$304,'QUALITY CONTROL'!$B$5:$B$304,A44),""))</f>
        <v/>
      </c>
      <c r="AH44" s="51">
        <f>IF(B44="","",DATE(YEAR(B44),MONTH(B44),1))</f>
        <v/>
      </c>
      <c r="AI44" s="49">
        <f>IF(D44="","",IFERROR(INDEX('CUSTOMERS'!$E$5:$E$404,MATCH(D44,'CUSTOMERS'!$B$5:$B$404,0)),""))</f>
        <v/>
      </c>
      <c r="AJ44" s="49">
        <f>IF(B44="","",N(C44))</f>
        <v/>
      </c>
      <c r="AK44" s="49">
        <f>IF(OR(B44="",O44="Cancelled",O44="Rescheduled"),"",B44&amp;"|"&amp;(COUNTIFS('JOBS'!$B$5:$B$1504,B44,'JOBS'!$AJ$5:$AJ$1504,"&lt;"&amp;AJ44,'JOBS'!$O$5:$O$1504,"&lt;&gt;Cancelled",'JOBS'!$O$5:$O$1504,"&lt;&gt;Rescheduled")+COUNTIFS($B$5:B44,B44,$AJ$5:AJ44,AJ44,$O$5:O44,"&lt;&gt;Cancelled",$O$5:O44,"&lt;&gt;Rescheduled")))</f>
        <v/>
      </c>
      <c r="AL44" s="49">
        <f>IF(N(U44)&lt;=0.005,"",COUNTIFS('JOBS'!$U$5:$U$1504,"&gt;0.005",'JOBS'!$B$5:$B$1504,"&lt;"&amp;B44)+COUNTIFS($U$5:U44,"&gt;0.005",$B$5:B44,B44))</f>
        <v/>
      </c>
    </row>
    <row r="45">
      <c r="A45" s="46" t="inlineStr">
        <is>
          <t>J-0041</t>
        </is>
      </c>
      <c r="B45" s="47" t="n">
        <v>46094</v>
      </c>
      <c r="C45" s="94" t="n">
        <v>0.4166666666666667</v>
      </c>
      <c r="D45" s="38" t="inlineStr">
        <is>
          <t>Dana Collins</t>
        </is>
      </c>
      <c r="E45" s="38" t="inlineStr">
        <is>
          <t>84 Hawthorn Road, Lakeview (fictional)</t>
        </is>
      </c>
      <c r="F45" s="38" t="inlineStr">
        <is>
          <t>Standard Clean</t>
        </is>
      </c>
      <c r="G45" s="38" t="inlineStr">
        <is>
          <t>R-006</t>
        </is>
      </c>
      <c r="H45" s="38" t="inlineStr">
        <is>
          <t>Dana Whitfield</t>
        </is>
      </c>
      <c r="I45" s="57" t="n">
        <v>1</v>
      </c>
      <c r="J45" s="95" t="n"/>
      <c r="K45" s="95" t="n">
        <v>3.89</v>
      </c>
      <c r="L45" s="48" t="n">
        <v>195</v>
      </c>
      <c r="M45" s="96" t="n">
        <v>0</v>
      </c>
      <c r="N45" s="48" t="n"/>
      <c r="O45" s="38" t="inlineStr">
        <is>
          <t>Completed</t>
        </is>
      </c>
      <c r="P45" s="38" t="inlineStr"/>
      <c r="Q45" s="97">
        <f>IF(OR(F45="",E45=""),"",IFERROR(IF(INDEX('PROPERTIES'!$F$5:$F$404,MATCH(E45,'PROPERTIES'!$B$5:$B$404,0))=0,"",ROUND((INDEX('PROPERTIES'!$F$5:$F$404,MATCH(E45,'PROPERTIES'!$B$5:$B$404,0))/INDEX('PRICING'!$C$7:$C$16,MATCH(F45,'PRICING'!$A$7:$A$16,0))+INDEX('PROPERTIES'!$G$5:$G$404,MATCH(E45,'PROPERTIES'!$B$5:$B$404,0))*INDEX('PRICING'!$D$7:$D$16,MATCH(F45,'PRICING'!$A$7:$A$16,0))/60+INDEX('PROPERTIES'!$H$5:$H$404,MATCH(E45,'PROPERTIES'!$B$5:$B$404,0))*INDEX('PRICING'!$E$7:$E$16,MATCH(F45,'PRICING'!$A$7:$A$16,0))/60+INDEX('PRICING'!$F$7:$F$16,MATCH(F45,'PRICING'!$A$7:$A$16,0))/60),2)),""))</f>
        <v/>
      </c>
      <c r="R45" s="97">
        <f>IF(B45="","",IF(N(K45)&gt;0,K45,IF(N(J45)&gt;0,J45,N(Q45))))</f>
        <v/>
      </c>
      <c r="S45" s="55">
        <f>IF(L45="","",ROUND(L45*(1+N(M45)),2))</f>
        <v/>
      </c>
      <c r="T45" s="55">
        <f>IF(B45="","",SUMIFS('REVENUE'!$C$5:$C$1504,'REVENUE'!$B$5:$B$1504,A45))</f>
        <v/>
      </c>
      <c r="U45" s="55">
        <f>IF(B45="","",IF(O45="Completed",MAX(0,N(S45)-T45),""))</f>
        <v/>
      </c>
      <c r="V45" s="49">
        <f>IF(B45="","",IF(O45&lt;&gt;"Completed",IF(T45&gt;0,"Deposit","—"),IF(U45&lt;=0.005,"Paid",IF(T45&gt;0,"Partial","Unpaid"))))</f>
        <v/>
      </c>
      <c r="W45" s="55">
        <f>IF(B45="","",IFERROR(1/(1/INDEX('STAFF &amp; TASKS'!$C$5:$C$24,MATCH(H45,'STAFF &amp; TASKS'!$A$5:$A$24,0))),PayRate))</f>
        <v/>
      </c>
      <c r="X45" s="55">
        <f>IF(B45="","",IF(OR(O45="Cancelled",O45="No-Show"),"",ROUND(R45*W45*(1+Burden),2)))</f>
        <v/>
      </c>
      <c r="Y45" s="55">
        <f>IF(B45="","",IF(OR(O45="Cancelled",O45="No-Show"),"",IF(N45&lt;&gt;"",N45,ROUND(R45*SupHr*IFERROR(INDEX('PRICING'!$G$7:$G$16,MATCH(F45,'PRICING'!$A$7:$A$16,0)),1),2))))</f>
        <v/>
      </c>
      <c r="Z45" s="98">
        <f>IF(B45="","",SUMIFS('MILEAGE'!$J$5:$J$1504,'MILEAGE'!$B$5:$B$1504,A45))</f>
        <v/>
      </c>
      <c r="AA45" s="55">
        <f>IF(B45="","",ROUND(Z45*MileRate,2))</f>
        <v/>
      </c>
      <c r="AB45" s="55">
        <f>IF(B45="","",SUMIFS('REVENUE'!$J$5:$J$1504,'REVENUE'!$B$5:$B$1504,A45))</f>
        <v/>
      </c>
      <c r="AC45" s="55">
        <f>IF(L45="","",IF(OR(O45="Cancelled",O45="No-Show"),"",L45-N(X45)-N(Y45)-AA45-AB45))</f>
        <v/>
      </c>
      <c r="AD45" s="99">
        <f>IF(OR(AC45="",N(L45)=0),"",AC45/L45)</f>
        <v/>
      </c>
      <c r="AE45" s="55">
        <f>IF(OR(AC45="",N(R45)=0),"",L45/R45)</f>
        <v/>
      </c>
      <c r="AF45" s="100">
        <f>IF(OR(N(K45)=0,N(J45)+N(Q45)=0),"",K45-IF(N(J45)&gt;0,J45,Q45))</f>
        <v/>
      </c>
      <c r="AG45" s="99">
        <f>IF(B45="","",IFERROR(AVERAGEIFS('QUALITY CONTROL'!$M$5:$M$304,'QUALITY CONTROL'!$B$5:$B$304,A45),""))</f>
        <v/>
      </c>
      <c r="AH45" s="51">
        <f>IF(B45="","",DATE(YEAR(B45),MONTH(B45),1))</f>
        <v/>
      </c>
      <c r="AI45" s="49">
        <f>IF(D45="","",IFERROR(INDEX('CUSTOMERS'!$E$5:$E$404,MATCH(D45,'CUSTOMERS'!$B$5:$B$404,0)),""))</f>
        <v/>
      </c>
      <c r="AJ45" s="49">
        <f>IF(B45="","",N(C45))</f>
        <v/>
      </c>
      <c r="AK45" s="49">
        <f>IF(OR(B45="",O45="Cancelled",O45="Rescheduled"),"",B45&amp;"|"&amp;(COUNTIFS('JOBS'!$B$5:$B$1504,B45,'JOBS'!$AJ$5:$AJ$1504,"&lt;"&amp;AJ45,'JOBS'!$O$5:$O$1504,"&lt;&gt;Cancelled",'JOBS'!$O$5:$O$1504,"&lt;&gt;Rescheduled")+COUNTIFS($B$5:B45,B45,$AJ$5:AJ45,AJ45,$O$5:O45,"&lt;&gt;Cancelled",$O$5:O45,"&lt;&gt;Rescheduled")))</f>
        <v/>
      </c>
      <c r="AL45" s="49">
        <f>IF(N(U45)&lt;=0.005,"",COUNTIFS('JOBS'!$U$5:$U$1504,"&gt;0.005",'JOBS'!$B$5:$B$1504,"&lt;"&amp;B45)+COUNTIFS($U$5:U45,"&gt;0.005",$B$5:B45,B45))</f>
        <v/>
      </c>
    </row>
    <row r="46">
      <c r="A46" s="46" t="inlineStr">
        <is>
          <t>J-0042</t>
        </is>
      </c>
      <c r="B46" s="47" t="n">
        <v>46094</v>
      </c>
      <c r="C46" s="94" t="n">
        <v>0.5416666666666666</v>
      </c>
      <c r="D46" s="38" t="inlineStr">
        <is>
          <t>Rowan Foxworth</t>
        </is>
      </c>
      <c r="E46" s="38" t="inlineStr">
        <is>
          <t>876 Magnolia Circle, North Sampletown</t>
        </is>
      </c>
      <c r="F46" s="38" t="inlineStr">
        <is>
          <t>Deep Clean</t>
        </is>
      </c>
      <c r="G46" s="38" t="n"/>
      <c r="H46" s="38" t="inlineStr">
        <is>
          <t>Maria Lopez</t>
        </is>
      </c>
      <c r="I46" s="57" t="n">
        <v>2</v>
      </c>
      <c r="J46" s="95" t="n"/>
      <c r="K46" s="95" t="n">
        <v>10.94</v>
      </c>
      <c r="L46" s="48" t="n">
        <v>530</v>
      </c>
      <c r="M46" s="96" t="n">
        <v>0</v>
      </c>
      <c r="N46" s="48" t="n"/>
      <c r="O46" s="38" t="inlineStr">
        <is>
          <t>Completed</t>
        </is>
      </c>
      <c r="P46" s="38" t="inlineStr">
        <is>
          <t>Initial deep clean</t>
        </is>
      </c>
      <c r="Q46" s="97">
        <f>IF(OR(F46="",E46=""),"",IFERROR(IF(INDEX('PROPERTIES'!$F$5:$F$404,MATCH(E46,'PROPERTIES'!$B$5:$B$404,0))=0,"",ROUND((INDEX('PROPERTIES'!$F$5:$F$404,MATCH(E46,'PROPERTIES'!$B$5:$B$404,0))/INDEX('PRICING'!$C$7:$C$16,MATCH(F46,'PRICING'!$A$7:$A$16,0))+INDEX('PROPERTIES'!$G$5:$G$404,MATCH(E46,'PROPERTIES'!$B$5:$B$404,0))*INDEX('PRICING'!$D$7:$D$16,MATCH(F46,'PRICING'!$A$7:$A$16,0))/60+INDEX('PROPERTIES'!$H$5:$H$404,MATCH(E46,'PROPERTIES'!$B$5:$B$404,0))*INDEX('PRICING'!$E$7:$E$16,MATCH(F46,'PRICING'!$A$7:$A$16,0))/60+INDEX('PRICING'!$F$7:$F$16,MATCH(F46,'PRICING'!$A$7:$A$16,0))/60),2)),""))</f>
        <v/>
      </c>
      <c r="R46" s="97">
        <f>IF(B46="","",IF(N(K46)&gt;0,K46,IF(N(J46)&gt;0,J46,N(Q46))))</f>
        <v/>
      </c>
      <c r="S46" s="55">
        <f>IF(L46="","",ROUND(L46*(1+N(M46)),2))</f>
        <v/>
      </c>
      <c r="T46" s="55">
        <f>IF(B46="","",SUMIFS('REVENUE'!$C$5:$C$1504,'REVENUE'!$B$5:$B$1504,A46))</f>
        <v/>
      </c>
      <c r="U46" s="55">
        <f>IF(B46="","",IF(O46="Completed",MAX(0,N(S46)-T46),""))</f>
        <v/>
      </c>
      <c r="V46" s="49">
        <f>IF(B46="","",IF(O46&lt;&gt;"Completed",IF(T46&gt;0,"Deposit","—"),IF(U46&lt;=0.005,"Paid",IF(T46&gt;0,"Partial","Unpaid"))))</f>
        <v/>
      </c>
      <c r="W46" s="55">
        <f>IF(B46="","",IFERROR(1/(1/INDEX('STAFF &amp; TASKS'!$C$5:$C$24,MATCH(H46,'STAFF &amp; TASKS'!$A$5:$A$24,0))),PayRate))</f>
        <v/>
      </c>
      <c r="X46" s="55">
        <f>IF(B46="","",IF(OR(O46="Cancelled",O46="No-Show"),"",ROUND(R46*W46*(1+Burden),2)))</f>
        <v/>
      </c>
      <c r="Y46" s="55">
        <f>IF(B46="","",IF(OR(O46="Cancelled",O46="No-Show"),"",IF(N46&lt;&gt;"",N46,ROUND(R46*SupHr*IFERROR(INDEX('PRICING'!$G$7:$G$16,MATCH(F46,'PRICING'!$A$7:$A$16,0)),1),2))))</f>
        <v/>
      </c>
      <c r="Z46" s="98">
        <f>IF(B46="","",SUMIFS('MILEAGE'!$J$5:$J$1504,'MILEAGE'!$B$5:$B$1504,A46))</f>
        <v/>
      </c>
      <c r="AA46" s="55">
        <f>IF(B46="","",ROUND(Z46*MileRate,2))</f>
        <v/>
      </c>
      <c r="AB46" s="55">
        <f>IF(B46="","",SUMIFS('REVENUE'!$J$5:$J$1504,'REVENUE'!$B$5:$B$1504,A46))</f>
        <v/>
      </c>
      <c r="AC46" s="55">
        <f>IF(L46="","",IF(OR(O46="Cancelled",O46="No-Show"),"",L46-N(X46)-N(Y46)-AA46-AB46))</f>
        <v/>
      </c>
      <c r="AD46" s="99">
        <f>IF(OR(AC46="",N(L46)=0),"",AC46/L46)</f>
        <v/>
      </c>
      <c r="AE46" s="55">
        <f>IF(OR(AC46="",N(R46)=0),"",L46/R46)</f>
        <v/>
      </c>
      <c r="AF46" s="100">
        <f>IF(OR(N(K46)=0,N(J46)+N(Q46)=0),"",K46-IF(N(J46)&gt;0,J46,Q46))</f>
        <v/>
      </c>
      <c r="AG46" s="99">
        <f>IF(B46="","",IFERROR(AVERAGEIFS('QUALITY CONTROL'!$M$5:$M$304,'QUALITY CONTROL'!$B$5:$B$304,A46),""))</f>
        <v/>
      </c>
      <c r="AH46" s="51">
        <f>IF(B46="","",DATE(YEAR(B46),MONTH(B46),1))</f>
        <v/>
      </c>
      <c r="AI46" s="49">
        <f>IF(D46="","",IFERROR(INDEX('CUSTOMERS'!$E$5:$E$404,MATCH(D46,'CUSTOMERS'!$B$5:$B$404,0)),""))</f>
        <v/>
      </c>
      <c r="AJ46" s="49">
        <f>IF(B46="","",N(C46))</f>
        <v/>
      </c>
      <c r="AK46" s="49">
        <f>IF(OR(B46="",O46="Cancelled",O46="Rescheduled"),"",B46&amp;"|"&amp;(COUNTIFS('JOBS'!$B$5:$B$1504,B46,'JOBS'!$AJ$5:$AJ$1504,"&lt;"&amp;AJ46,'JOBS'!$O$5:$O$1504,"&lt;&gt;Cancelled",'JOBS'!$O$5:$O$1504,"&lt;&gt;Rescheduled")+COUNTIFS($B$5:B46,B46,$AJ$5:AJ46,AJ46,$O$5:O46,"&lt;&gt;Cancelled",$O$5:O46,"&lt;&gt;Rescheduled")))</f>
        <v/>
      </c>
      <c r="AL46" s="49">
        <f>IF(N(U46)&lt;=0.005,"",COUNTIFS('JOBS'!$U$5:$U$1504,"&gt;0.005",'JOBS'!$B$5:$B$1504,"&lt;"&amp;B46)+COUNTIFS($U$5:U46,"&gt;0.005",$B$5:B46,B46))</f>
        <v/>
      </c>
    </row>
    <row r="47">
      <c r="A47" s="46" t="inlineStr">
        <is>
          <t>J-0043</t>
        </is>
      </c>
      <c r="B47" s="47" t="n">
        <v>46095</v>
      </c>
      <c r="C47" s="94" t="n">
        <v>0.3333333333333333</v>
      </c>
      <c r="D47" s="38" t="inlineStr">
        <is>
          <t>Emerson Holloway</t>
        </is>
      </c>
      <c r="E47" s="38" t="inlineStr">
        <is>
          <t>192 Birch Lane, North Sampletown</t>
        </is>
      </c>
      <c r="F47" s="38" t="inlineStr">
        <is>
          <t>Airbnb Turnover</t>
        </is>
      </c>
      <c r="G47" s="38" t="n"/>
      <c r="H47" s="38" t="inlineStr">
        <is>
          <t>Kevin Osei</t>
        </is>
      </c>
      <c r="I47" s="57" t="n">
        <v>1</v>
      </c>
      <c r="J47" s="95" t="n"/>
      <c r="K47" s="95" t="n">
        <v>2.52</v>
      </c>
      <c r="L47" s="48" t="n">
        <v>150</v>
      </c>
      <c r="M47" s="96" t="n">
        <v>0</v>
      </c>
      <c r="N47" s="48" t="n"/>
      <c r="O47" s="38" t="inlineStr">
        <is>
          <t>Completed</t>
        </is>
      </c>
      <c r="P47" s="38" t="inlineStr">
        <is>
          <t>Includes laundry</t>
        </is>
      </c>
      <c r="Q47" s="97">
        <f>IF(OR(F47="",E47=""),"",IFERROR(IF(INDEX('PROPERTIES'!$F$5:$F$404,MATCH(E47,'PROPERTIES'!$B$5:$B$404,0))=0,"",ROUND((INDEX('PROPERTIES'!$F$5:$F$404,MATCH(E47,'PROPERTIES'!$B$5:$B$404,0))/INDEX('PRICING'!$C$7:$C$16,MATCH(F47,'PRICING'!$A$7:$A$16,0))+INDEX('PROPERTIES'!$G$5:$G$404,MATCH(E47,'PROPERTIES'!$B$5:$B$404,0))*INDEX('PRICING'!$D$7:$D$16,MATCH(F47,'PRICING'!$A$7:$A$16,0))/60+INDEX('PROPERTIES'!$H$5:$H$404,MATCH(E47,'PROPERTIES'!$B$5:$B$404,0))*INDEX('PRICING'!$E$7:$E$16,MATCH(F47,'PRICING'!$A$7:$A$16,0))/60+INDEX('PRICING'!$F$7:$F$16,MATCH(F47,'PRICING'!$A$7:$A$16,0))/60),2)),""))</f>
        <v/>
      </c>
      <c r="R47" s="97">
        <f>IF(B47="","",IF(N(K47)&gt;0,K47,IF(N(J47)&gt;0,J47,N(Q47))))</f>
        <v/>
      </c>
      <c r="S47" s="55">
        <f>IF(L47="","",ROUND(L47*(1+N(M47)),2))</f>
        <v/>
      </c>
      <c r="T47" s="55">
        <f>IF(B47="","",SUMIFS('REVENUE'!$C$5:$C$1504,'REVENUE'!$B$5:$B$1504,A47))</f>
        <v/>
      </c>
      <c r="U47" s="55">
        <f>IF(B47="","",IF(O47="Completed",MAX(0,N(S47)-T47),""))</f>
        <v/>
      </c>
      <c r="V47" s="49">
        <f>IF(B47="","",IF(O47&lt;&gt;"Completed",IF(T47&gt;0,"Deposit","—"),IF(U47&lt;=0.005,"Paid",IF(T47&gt;0,"Partial","Unpaid"))))</f>
        <v/>
      </c>
      <c r="W47" s="55">
        <f>IF(B47="","",IFERROR(1/(1/INDEX('STAFF &amp; TASKS'!$C$5:$C$24,MATCH(H47,'STAFF &amp; TASKS'!$A$5:$A$24,0))),PayRate))</f>
        <v/>
      </c>
      <c r="X47" s="55">
        <f>IF(B47="","",IF(OR(O47="Cancelled",O47="No-Show"),"",ROUND(R47*W47*(1+Burden),2)))</f>
        <v/>
      </c>
      <c r="Y47" s="55">
        <f>IF(B47="","",IF(OR(O47="Cancelled",O47="No-Show"),"",IF(N47&lt;&gt;"",N47,ROUND(R47*SupHr*IFERROR(INDEX('PRICING'!$G$7:$G$16,MATCH(F47,'PRICING'!$A$7:$A$16,0)),1),2))))</f>
        <v/>
      </c>
      <c r="Z47" s="98">
        <f>IF(B47="","",SUMIFS('MILEAGE'!$J$5:$J$1504,'MILEAGE'!$B$5:$B$1504,A47))</f>
        <v/>
      </c>
      <c r="AA47" s="55">
        <f>IF(B47="","",ROUND(Z47*MileRate,2))</f>
        <v/>
      </c>
      <c r="AB47" s="55">
        <f>IF(B47="","",SUMIFS('REVENUE'!$J$5:$J$1504,'REVENUE'!$B$5:$B$1504,A47))</f>
        <v/>
      </c>
      <c r="AC47" s="55">
        <f>IF(L47="","",IF(OR(O47="Cancelled",O47="No-Show"),"",L47-N(X47)-N(Y47)-AA47-AB47))</f>
        <v/>
      </c>
      <c r="AD47" s="99">
        <f>IF(OR(AC47="",N(L47)=0),"",AC47/L47)</f>
        <v/>
      </c>
      <c r="AE47" s="55">
        <f>IF(OR(AC47="",N(R47)=0),"",L47/R47)</f>
        <v/>
      </c>
      <c r="AF47" s="100">
        <f>IF(OR(N(K47)=0,N(J47)+N(Q47)=0),"",K47-IF(N(J47)&gt;0,J47,Q47))</f>
        <v/>
      </c>
      <c r="AG47" s="99">
        <f>IF(B47="","",IFERROR(AVERAGEIFS('QUALITY CONTROL'!$M$5:$M$304,'QUALITY CONTROL'!$B$5:$B$304,A47),""))</f>
        <v/>
      </c>
      <c r="AH47" s="51">
        <f>IF(B47="","",DATE(YEAR(B47),MONTH(B47),1))</f>
        <v/>
      </c>
      <c r="AI47" s="49">
        <f>IF(D47="","",IFERROR(INDEX('CUSTOMERS'!$E$5:$E$404,MATCH(D47,'CUSTOMERS'!$B$5:$B$404,0)),""))</f>
        <v/>
      </c>
      <c r="AJ47" s="49">
        <f>IF(B47="","",N(C47))</f>
        <v/>
      </c>
      <c r="AK47" s="49">
        <f>IF(OR(B47="",O47="Cancelled",O47="Rescheduled"),"",B47&amp;"|"&amp;(COUNTIFS('JOBS'!$B$5:$B$1504,B47,'JOBS'!$AJ$5:$AJ$1504,"&lt;"&amp;AJ47,'JOBS'!$O$5:$O$1504,"&lt;&gt;Cancelled",'JOBS'!$O$5:$O$1504,"&lt;&gt;Rescheduled")+COUNTIFS($B$5:B47,B47,$AJ$5:AJ47,AJ47,$O$5:O47,"&lt;&gt;Cancelled",$O$5:O47,"&lt;&gt;Rescheduled")))</f>
        <v/>
      </c>
      <c r="AL47" s="49">
        <f>IF(N(U47)&lt;=0.005,"",COUNTIFS('JOBS'!$U$5:$U$1504,"&gt;0.005",'JOBS'!$B$5:$B$1504,"&lt;"&amp;B47)+COUNTIFS($U$5:U47,"&gt;0.005",$B$5:B47,B47))</f>
        <v/>
      </c>
    </row>
    <row r="48">
      <c r="A48" s="46" t="inlineStr">
        <is>
          <t>J-0044</t>
        </is>
      </c>
      <c r="B48" s="47" t="n">
        <v>46095</v>
      </c>
      <c r="C48" s="94" t="n">
        <v>0.3541666666666667</v>
      </c>
      <c r="D48" s="38" t="inlineStr">
        <is>
          <t>Rowan Merriweather</t>
        </is>
      </c>
      <c r="E48" s="38" t="inlineStr">
        <is>
          <t>628 Cedar Court, North Sampletown</t>
        </is>
      </c>
      <c r="F48" s="38" t="inlineStr">
        <is>
          <t>Deep Clean</t>
        </is>
      </c>
      <c r="G48" s="38" t="n"/>
      <c r="H48" s="38" t="inlineStr">
        <is>
          <t>Maria Lopez</t>
        </is>
      </c>
      <c r="I48" s="57" t="n">
        <v>2</v>
      </c>
      <c r="J48" s="95" t="n"/>
      <c r="K48" s="95" t="n">
        <v>11.96</v>
      </c>
      <c r="L48" s="48" t="n">
        <v>650</v>
      </c>
      <c r="M48" s="96" t="n">
        <v>0</v>
      </c>
      <c r="N48" s="48" t="n"/>
      <c r="O48" s="38" t="inlineStr">
        <is>
          <t>Completed</t>
        </is>
      </c>
      <c r="P48" s="38" t="inlineStr"/>
      <c r="Q48" s="97">
        <f>IF(OR(F48="",E48=""),"",IFERROR(IF(INDEX('PROPERTIES'!$F$5:$F$404,MATCH(E48,'PROPERTIES'!$B$5:$B$404,0))=0,"",ROUND((INDEX('PROPERTIES'!$F$5:$F$404,MATCH(E48,'PROPERTIES'!$B$5:$B$404,0))/INDEX('PRICING'!$C$7:$C$16,MATCH(F48,'PRICING'!$A$7:$A$16,0))+INDEX('PROPERTIES'!$G$5:$G$404,MATCH(E48,'PROPERTIES'!$B$5:$B$404,0))*INDEX('PRICING'!$D$7:$D$16,MATCH(F48,'PRICING'!$A$7:$A$16,0))/60+INDEX('PROPERTIES'!$H$5:$H$404,MATCH(E48,'PROPERTIES'!$B$5:$B$404,0))*INDEX('PRICING'!$E$7:$E$16,MATCH(F48,'PRICING'!$A$7:$A$16,0))/60+INDEX('PRICING'!$F$7:$F$16,MATCH(F48,'PRICING'!$A$7:$A$16,0))/60),2)),""))</f>
        <v/>
      </c>
      <c r="R48" s="97">
        <f>IF(B48="","",IF(N(K48)&gt;0,K48,IF(N(J48)&gt;0,J48,N(Q48))))</f>
        <v/>
      </c>
      <c r="S48" s="55">
        <f>IF(L48="","",ROUND(L48*(1+N(M48)),2))</f>
        <v/>
      </c>
      <c r="T48" s="55">
        <f>IF(B48="","",SUMIFS('REVENUE'!$C$5:$C$1504,'REVENUE'!$B$5:$B$1504,A48))</f>
        <v/>
      </c>
      <c r="U48" s="55">
        <f>IF(B48="","",IF(O48="Completed",MAX(0,N(S48)-T48),""))</f>
        <v/>
      </c>
      <c r="V48" s="49">
        <f>IF(B48="","",IF(O48&lt;&gt;"Completed",IF(T48&gt;0,"Deposit","—"),IF(U48&lt;=0.005,"Paid",IF(T48&gt;0,"Partial","Unpaid"))))</f>
        <v/>
      </c>
      <c r="W48" s="55">
        <f>IF(B48="","",IFERROR(1/(1/INDEX('STAFF &amp; TASKS'!$C$5:$C$24,MATCH(H48,'STAFF &amp; TASKS'!$A$5:$A$24,0))),PayRate))</f>
        <v/>
      </c>
      <c r="X48" s="55">
        <f>IF(B48="","",IF(OR(O48="Cancelled",O48="No-Show"),"",ROUND(R48*W48*(1+Burden),2)))</f>
        <v/>
      </c>
      <c r="Y48" s="55">
        <f>IF(B48="","",IF(OR(O48="Cancelled",O48="No-Show"),"",IF(N48&lt;&gt;"",N48,ROUND(R48*SupHr*IFERROR(INDEX('PRICING'!$G$7:$G$16,MATCH(F48,'PRICING'!$A$7:$A$16,0)),1),2))))</f>
        <v/>
      </c>
      <c r="Z48" s="98">
        <f>IF(B48="","",SUMIFS('MILEAGE'!$J$5:$J$1504,'MILEAGE'!$B$5:$B$1504,A48))</f>
        <v/>
      </c>
      <c r="AA48" s="55">
        <f>IF(B48="","",ROUND(Z48*MileRate,2))</f>
        <v/>
      </c>
      <c r="AB48" s="55">
        <f>IF(B48="","",SUMIFS('REVENUE'!$J$5:$J$1504,'REVENUE'!$B$5:$B$1504,A48))</f>
        <v/>
      </c>
      <c r="AC48" s="55">
        <f>IF(L48="","",IF(OR(O48="Cancelled",O48="No-Show"),"",L48-N(X48)-N(Y48)-AA48-AB48))</f>
        <v/>
      </c>
      <c r="AD48" s="99">
        <f>IF(OR(AC48="",N(L48)=0),"",AC48/L48)</f>
        <v/>
      </c>
      <c r="AE48" s="55">
        <f>IF(OR(AC48="",N(R48)=0),"",L48/R48)</f>
        <v/>
      </c>
      <c r="AF48" s="100">
        <f>IF(OR(N(K48)=0,N(J48)+N(Q48)=0),"",K48-IF(N(J48)&gt;0,J48,Q48))</f>
        <v/>
      </c>
      <c r="AG48" s="99">
        <f>IF(B48="","",IFERROR(AVERAGEIFS('QUALITY CONTROL'!$M$5:$M$304,'QUALITY CONTROL'!$B$5:$B$304,A48),""))</f>
        <v/>
      </c>
      <c r="AH48" s="51">
        <f>IF(B48="","",DATE(YEAR(B48),MONTH(B48),1))</f>
        <v/>
      </c>
      <c r="AI48" s="49">
        <f>IF(D48="","",IFERROR(INDEX('CUSTOMERS'!$E$5:$E$404,MATCH(D48,'CUSTOMERS'!$B$5:$B$404,0)),""))</f>
        <v/>
      </c>
      <c r="AJ48" s="49">
        <f>IF(B48="","",N(C48))</f>
        <v/>
      </c>
      <c r="AK48" s="49">
        <f>IF(OR(B48="",O48="Cancelled",O48="Rescheduled"),"",B48&amp;"|"&amp;(COUNTIFS('JOBS'!$B$5:$B$1504,B48,'JOBS'!$AJ$5:$AJ$1504,"&lt;"&amp;AJ48,'JOBS'!$O$5:$O$1504,"&lt;&gt;Cancelled",'JOBS'!$O$5:$O$1504,"&lt;&gt;Rescheduled")+COUNTIFS($B$5:B48,B48,$AJ$5:AJ48,AJ48,$O$5:O48,"&lt;&gt;Cancelled",$O$5:O48,"&lt;&gt;Rescheduled")))</f>
        <v/>
      </c>
      <c r="AL48" s="49">
        <f>IF(N(U48)&lt;=0.005,"",COUNTIFS('JOBS'!$U$5:$U$1504,"&gt;0.005",'JOBS'!$B$5:$B$1504,"&lt;"&amp;B48)+COUNTIFS($U$5:U48,"&gt;0.005",$B$5:B48,B48))</f>
        <v/>
      </c>
    </row>
    <row r="49">
      <c r="A49" s="46" t="inlineStr">
        <is>
          <t>J-0045</t>
        </is>
      </c>
      <c r="B49" s="47" t="n">
        <v>46095</v>
      </c>
      <c r="C49" s="94" t="n">
        <v>0.375</v>
      </c>
      <c r="D49" s="38" t="inlineStr">
        <is>
          <t>Harbor Yoga Loft (sample)</t>
        </is>
      </c>
      <c r="E49" s="38" t="inlineStr">
        <is>
          <t>338 Cedar Court, Sampletown</t>
        </is>
      </c>
      <c r="F49" s="38" t="inlineStr">
        <is>
          <t>Commercial Clean</t>
        </is>
      </c>
      <c r="G49" s="38" t="n"/>
      <c r="H49" s="38" t="inlineStr">
        <is>
          <t>Dana Whitfield</t>
        </is>
      </c>
      <c r="I49" s="57" t="n">
        <v>2</v>
      </c>
      <c r="J49" s="95" t="n"/>
      <c r="K49" s="95" t="n">
        <v>1.81</v>
      </c>
      <c r="L49" s="48" t="n">
        <v>160</v>
      </c>
      <c r="M49" s="96" t="n">
        <v>0</v>
      </c>
      <c r="N49" s="48" t="n"/>
      <c r="O49" s="38" t="inlineStr">
        <is>
          <t>Completed</t>
        </is>
      </c>
      <c r="P49" s="38" t="inlineStr"/>
      <c r="Q49" s="97">
        <f>IF(OR(F49="",E49=""),"",IFERROR(IF(INDEX('PROPERTIES'!$F$5:$F$404,MATCH(E49,'PROPERTIES'!$B$5:$B$404,0))=0,"",ROUND((INDEX('PROPERTIES'!$F$5:$F$404,MATCH(E49,'PROPERTIES'!$B$5:$B$404,0))/INDEX('PRICING'!$C$7:$C$16,MATCH(F49,'PRICING'!$A$7:$A$16,0))+INDEX('PROPERTIES'!$G$5:$G$404,MATCH(E49,'PROPERTIES'!$B$5:$B$404,0))*INDEX('PRICING'!$D$7:$D$16,MATCH(F49,'PRICING'!$A$7:$A$16,0))/60+INDEX('PROPERTIES'!$H$5:$H$404,MATCH(E49,'PROPERTIES'!$B$5:$B$404,0))*INDEX('PRICING'!$E$7:$E$16,MATCH(F49,'PRICING'!$A$7:$A$16,0))/60+INDEX('PRICING'!$F$7:$F$16,MATCH(F49,'PRICING'!$A$7:$A$16,0))/60),2)),""))</f>
        <v/>
      </c>
      <c r="R49" s="97">
        <f>IF(B49="","",IF(N(K49)&gt;0,K49,IF(N(J49)&gt;0,J49,N(Q49))))</f>
        <v/>
      </c>
      <c r="S49" s="55">
        <f>IF(L49="","",ROUND(L49*(1+N(M49)),2))</f>
        <v/>
      </c>
      <c r="T49" s="55">
        <f>IF(B49="","",SUMIFS('REVENUE'!$C$5:$C$1504,'REVENUE'!$B$5:$B$1504,A49))</f>
        <v/>
      </c>
      <c r="U49" s="55">
        <f>IF(B49="","",IF(O49="Completed",MAX(0,N(S49)-T49),""))</f>
        <v/>
      </c>
      <c r="V49" s="49">
        <f>IF(B49="","",IF(O49&lt;&gt;"Completed",IF(T49&gt;0,"Deposit","—"),IF(U49&lt;=0.005,"Paid",IF(T49&gt;0,"Partial","Unpaid"))))</f>
        <v/>
      </c>
      <c r="W49" s="55">
        <f>IF(B49="","",IFERROR(1/(1/INDEX('STAFF &amp; TASKS'!$C$5:$C$24,MATCH(H49,'STAFF &amp; TASKS'!$A$5:$A$24,0))),PayRate))</f>
        <v/>
      </c>
      <c r="X49" s="55">
        <f>IF(B49="","",IF(OR(O49="Cancelled",O49="No-Show"),"",ROUND(R49*W49*(1+Burden),2)))</f>
        <v/>
      </c>
      <c r="Y49" s="55">
        <f>IF(B49="","",IF(OR(O49="Cancelled",O49="No-Show"),"",IF(N49&lt;&gt;"",N49,ROUND(R49*SupHr*IFERROR(INDEX('PRICING'!$G$7:$G$16,MATCH(F49,'PRICING'!$A$7:$A$16,0)),1),2))))</f>
        <v/>
      </c>
      <c r="Z49" s="98">
        <f>IF(B49="","",SUMIFS('MILEAGE'!$J$5:$J$1504,'MILEAGE'!$B$5:$B$1504,A49))</f>
        <v/>
      </c>
      <c r="AA49" s="55">
        <f>IF(B49="","",ROUND(Z49*MileRate,2))</f>
        <v/>
      </c>
      <c r="AB49" s="55">
        <f>IF(B49="","",SUMIFS('REVENUE'!$J$5:$J$1504,'REVENUE'!$B$5:$B$1504,A49))</f>
        <v/>
      </c>
      <c r="AC49" s="55">
        <f>IF(L49="","",IF(OR(O49="Cancelled",O49="No-Show"),"",L49-N(X49)-N(Y49)-AA49-AB49))</f>
        <v/>
      </c>
      <c r="AD49" s="99">
        <f>IF(OR(AC49="",N(L49)=0),"",AC49/L49)</f>
        <v/>
      </c>
      <c r="AE49" s="55">
        <f>IF(OR(AC49="",N(R49)=0),"",L49/R49)</f>
        <v/>
      </c>
      <c r="AF49" s="100">
        <f>IF(OR(N(K49)=0,N(J49)+N(Q49)=0),"",K49-IF(N(J49)&gt;0,J49,Q49))</f>
        <v/>
      </c>
      <c r="AG49" s="99">
        <f>IF(B49="","",IFERROR(AVERAGEIFS('QUALITY CONTROL'!$M$5:$M$304,'QUALITY CONTROL'!$B$5:$B$304,A49),""))</f>
        <v/>
      </c>
      <c r="AH49" s="51">
        <f>IF(B49="","",DATE(YEAR(B49),MONTH(B49),1))</f>
        <v/>
      </c>
      <c r="AI49" s="49">
        <f>IF(D49="","",IFERROR(INDEX('CUSTOMERS'!$E$5:$E$404,MATCH(D49,'CUSTOMERS'!$B$5:$B$404,0)),""))</f>
        <v/>
      </c>
      <c r="AJ49" s="49">
        <f>IF(B49="","",N(C49))</f>
        <v/>
      </c>
      <c r="AK49" s="49">
        <f>IF(OR(B49="",O49="Cancelled",O49="Rescheduled"),"",B49&amp;"|"&amp;(COUNTIFS('JOBS'!$B$5:$B$1504,B49,'JOBS'!$AJ$5:$AJ$1504,"&lt;"&amp;AJ49,'JOBS'!$O$5:$O$1504,"&lt;&gt;Cancelled",'JOBS'!$O$5:$O$1504,"&lt;&gt;Rescheduled")+COUNTIFS($B$5:B49,B49,$AJ$5:AJ49,AJ49,$O$5:O49,"&lt;&gt;Cancelled",$O$5:O49,"&lt;&gt;Rescheduled")))</f>
        <v/>
      </c>
      <c r="AL49" s="49">
        <f>IF(N(U49)&lt;=0.005,"",COUNTIFS('JOBS'!$U$5:$U$1504,"&gt;0.005",'JOBS'!$B$5:$B$1504,"&lt;"&amp;B49)+COUNTIFS($U$5:U49,"&gt;0.005",$B$5:B49,B49))</f>
        <v/>
      </c>
    </row>
    <row r="50">
      <c r="A50" s="46" t="inlineStr">
        <is>
          <t>J-0046</t>
        </is>
      </c>
      <c r="B50" s="47" t="n">
        <v>46098</v>
      </c>
      <c r="C50" s="94" t="n">
        <v>0.5416666666666666</v>
      </c>
      <c r="D50" s="38" t="inlineStr">
        <is>
          <t>Dana Oakes</t>
        </is>
      </c>
      <c r="E50" s="38" t="inlineStr">
        <is>
          <t>666 Juniper Street, North Sampletown</t>
        </is>
      </c>
      <c r="F50" s="38" t="inlineStr">
        <is>
          <t>Airbnb Turnover</t>
        </is>
      </c>
      <c r="G50" s="38" t="n"/>
      <c r="H50" s="38" t="inlineStr">
        <is>
          <t>Kevin Osei</t>
        </is>
      </c>
      <c r="I50" s="57" t="n">
        <v>1</v>
      </c>
      <c r="J50" s="95" t="n"/>
      <c r="K50" s="95" t="n">
        <v>1.83</v>
      </c>
      <c r="L50" s="48" t="n">
        <v>135</v>
      </c>
      <c r="M50" s="96" t="n">
        <v>0</v>
      </c>
      <c r="N50" s="48" t="n"/>
      <c r="O50" s="38" t="inlineStr">
        <is>
          <t>Completed</t>
        </is>
      </c>
      <c r="P50" s="38" t="inlineStr">
        <is>
          <t>Includes laundry</t>
        </is>
      </c>
      <c r="Q50" s="97">
        <f>IF(OR(F50="",E50=""),"",IFERROR(IF(INDEX('PROPERTIES'!$F$5:$F$404,MATCH(E50,'PROPERTIES'!$B$5:$B$404,0))=0,"",ROUND((INDEX('PROPERTIES'!$F$5:$F$404,MATCH(E50,'PROPERTIES'!$B$5:$B$404,0))/INDEX('PRICING'!$C$7:$C$16,MATCH(F50,'PRICING'!$A$7:$A$16,0))+INDEX('PROPERTIES'!$G$5:$G$404,MATCH(E50,'PROPERTIES'!$B$5:$B$404,0))*INDEX('PRICING'!$D$7:$D$16,MATCH(F50,'PRICING'!$A$7:$A$16,0))/60+INDEX('PROPERTIES'!$H$5:$H$404,MATCH(E50,'PROPERTIES'!$B$5:$B$404,0))*INDEX('PRICING'!$E$7:$E$16,MATCH(F50,'PRICING'!$A$7:$A$16,0))/60+INDEX('PRICING'!$F$7:$F$16,MATCH(F50,'PRICING'!$A$7:$A$16,0))/60),2)),""))</f>
        <v/>
      </c>
      <c r="R50" s="97">
        <f>IF(B50="","",IF(N(K50)&gt;0,K50,IF(N(J50)&gt;0,J50,N(Q50))))</f>
        <v/>
      </c>
      <c r="S50" s="55">
        <f>IF(L50="","",ROUND(L50*(1+N(M50)),2))</f>
        <v/>
      </c>
      <c r="T50" s="55">
        <f>IF(B50="","",SUMIFS('REVENUE'!$C$5:$C$1504,'REVENUE'!$B$5:$B$1504,A50))</f>
        <v/>
      </c>
      <c r="U50" s="55">
        <f>IF(B50="","",IF(O50="Completed",MAX(0,N(S50)-T50),""))</f>
        <v/>
      </c>
      <c r="V50" s="49">
        <f>IF(B50="","",IF(O50&lt;&gt;"Completed",IF(T50&gt;0,"Deposit","—"),IF(U50&lt;=0.005,"Paid",IF(T50&gt;0,"Partial","Unpaid"))))</f>
        <v/>
      </c>
      <c r="W50" s="55">
        <f>IF(B50="","",IFERROR(1/(1/INDEX('STAFF &amp; TASKS'!$C$5:$C$24,MATCH(H50,'STAFF &amp; TASKS'!$A$5:$A$24,0))),PayRate))</f>
        <v/>
      </c>
      <c r="X50" s="55">
        <f>IF(B50="","",IF(OR(O50="Cancelled",O50="No-Show"),"",ROUND(R50*W50*(1+Burden),2)))</f>
        <v/>
      </c>
      <c r="Y50" s="55">
        <f>IF(B50="","",IF(OR(O50="Cancelled",O50="No-Show"),"",IF(N50&lt;&gt;"",N50,ROUND(R50*SupHr*IFERROR(INDEX('PRICING'!$G$7:$G$16,MATCH(F50,'PRICING'!$A$7:$A$16,0)),1),2))))</f>
        <v/>
      </c>
      <c r="Z50" s="98">
        <f>IF(B50="","",SUMIFS('MILEAGE'!$J$5:$J$1504,'MILEAGE'!$B$5:$B$1504,A50))</f>
        <v/>
      </c>
      <c r="AA50" s="55">
        <f>IF(B50="","",ROUND(Z50*MileRate,2))</f>
        <v/>
      </c>
      <c r="AB50" s="55">
        <f>IF(B50="","",SUMIFS('REVENUE'!$J$5:$J$1504,'REVENUE'!$B$5:$B$1504,A50))</f>
        <v/>
      </c>
      <c r="AC50" s="55">
        <f>IF(L50="","",IF(OR(O50="Cancelled",O50="No-Show"),"",L50-N(X50)-N(Y50)-AA50-AB50))</f>
        <v/>
      </c>
      <c r="AD50" s="99">
        <f>IF(OR(AC50="",N(L50)=0),"",AC50/L50)</f>
        <v/>
      </c>
      <c r="AE50" s="55">
        <f>IF(OR(AC50="",N(R50)=0),"",L50/R50)</f>
        <v/>
      </c>
      <c r="AF50" s="100">
        <f>IF(OR(N(K50)=0,N(J50)+N(Q50)=0),"",K50-IF(N(J50)&gt;0,J50,Q50))</f>
        <v/>
      </c>
      <c r="AG50" s="99">
        <f>IF(B50="","",IFERROR(AVERAGEIFS('QUALITY CONTROL'!$M$5:$M$304,'QUALITY CONTROL'!$B$5:$B$304,A50),""))</f>
        <v/>
      </c>
      <c r="AH50" s="51">
        <f>IF(B50="","",DATE(YEAR(B50),MONTH(B50),1))</f>
        <v/>
      </c>
      <c r="AI50" s="49">
        <f>IF(D50="","",IFERROR(INDEX('CUSTOMERS'!$E$5:$E$404,MATCH(D50,'CUSTOMERS'!$B$5:$B$404,0)),""))</f>
        <v/>
      </c>
      <c r="AJ50" s="49">
        <f>IF(B50="","",N(C50))</f>
        <v/>
      </c>
      <c r="AK50" s="49">
        <f>IF(OR(B50="",O50="Cancelled",O50="Rescheduled"),"",B50&amp;"|"&amp;(COUNTIFS('JOBS'!$B$5:$B$1504,B50,'JOBS'!$AJ$5:$AJ$1504,"&lt;"&amp;AJ50,'JOBS'!$O$5:$O$1504,"&lt;&gt;Cancelled",'JOBS'!$O$5:$O$1504,"&lt;&gt;Rescheduled")+COUNTIFS($B$5:B50,B50,$AJ$5:AJ50,AJ50,$O$5:O50,"&lt;&gt;Cancelled",$O$5:O50,"&lt;&gt;Rescheduled")))</f>
        <v/>
      </c>
      <c r="AL50" s="49">
        <f>IF(N(U50)&lt;=0.005,"",COUNTIFS('JOBS'!$U$5:$U$1504,"&gt;0.005",'JOBS'!$B$5:$B$1504,"&lt;"&amp;B50)+COUNTIFS($U$5:U50,"&gt;0.005",$B$5:B50,B50))</f>
        <v/>
      </c>
    </row>
    <row r="51">
      <c r="A51" s="46" t="inlineStr">
        <is>
          <t>J-0047</t>
        </is>
      </c>
      <c r="B51" s="47" t="n">
        <v>46098</v>
      </c>
      <c r="C51" s="94" t="n">
        <v>0.625</v>
      </c>
      <c r="D51" s="38" t="inlineStr">
        <is>
          <t>Lane Ivers</t>
        </is>
      </c>
      <c r="E51" s="38" t="inlineStr">
        <is>
          <t>497 Aspen Drive, Sampletown</t>
        </is>
      </c>
      <c r="F51" s="38" t="inlineStr">
        <is>
          <t>Standard Clean</t>
        </is>
      </c>
      <c r="G51" s="38" t="inlineStr">
        <is>
          <t>R-001</t>
        </is>
      </c>
      <c r="H51" s="38" t="inlineStr">
        <is>
          <t>Maria Lopez</t>
        </is>
      </c>
      <c r="I51" s="57" t="n">
        <v>1</v>
      </c>
      <c r="J51" s="95" t="n"/>
      <c r="K51" s="95" t="n">
        <v>4.36</v>
      </c>
      <c r="L51" s="48" t="n">
        <v>175</v>
      </c>
      <c r="M51" s="96" t="n">
        <v>0</v>
      </c>
      <c r="N51" s="48" t="n"/>
      <c r="O51" s="38" t="inlineStr">
        <is>
          <t>Completed</t>
        </is>
      </c>
      <c r="P51" s="38" t="inlineStr"/>
      <c r="Q51" s="97">
        <f>IF(OR(F51="",E51=""),"",IFERROR(IF(INDEX('PROPERTIES'!$F$5:$F$404,MATCH(E51,'PROPERTIES'!$B$5:$B$404,0))=0,"",ROUND((INDEX('PROPERTIES'!$F$5:$F$404,MATCH(E51,'PROPERTIES'!$B$5:$B$404,0))/INDEX('PRICING'!$C$7:$C$16,MATCH(F51,'PRICING'!$A$7:$A$16,0))+INDEX('PROPERTIES'!$G$5:$G$404,MATCH(E51,'PROPERTIES'!$B$5:$B$404,0))*INDEX('PRICING'!$D$7:$D$16,MATCH(F51,'PRICING'!$A$7:$A$16,0))/60+INDEX('PROPERTIES'!$H$5:$H$404,MATCH(E51,'PROPERTIES'!$B$5:$B$404,0))*INDEX('PRICING'!$E$7:$E$16,MATCH(F51,'PRICING'!$A$7:$A$16,0))/60+INDEX('PRICING'!$F$7:$F$16,MATCH(F51,'PRICING'!$A$7:$A$16,0))/60),2)),""))</f>
        <v/>
      </c>
      <c r="R51" s="97">
        <f>IF(B51="","",IF(N(K51)&gt;0,K51,IF(N(J51)&gt;0,J51,N(Q51))))</f>
        <v/>
      </c>
      <c r="S51" s="55">
        <f>IF(L51="","",ROUND(L51*(1+N(M51)),2))</f>
        <v/>
      </c>
      <c r="T51" s="55">
        <f>IF(B51="","",SUMIFS('REVENUE'!$C$5:$C$1504,'REVENUE'!$B$5:$B$1504,A51))</f>
        <v/>
      </c>
      <c r="U51" s="55">
        <f>IF(B51="","",IF(O51="Completed",MAX(0,N(S51)-T51),""))</f>
        <v/>
      </c>
      <c r="V51" s="49">
        <f>IF(B51="","",IF(O51&lt;&gt;"Completed",IF(T51&gt;0,"Deposit","—"),IF(U51&lt;=0.005,"Paid",IF(T51&gt;0,"Partial","Unpaid"))))</f>
        <v/>
      </c>
      <c r="W51" s="55">
        <f>IF(B51="","",IFERROR(1/(1/INDEX('STAFF &amp; TASKS'!$C$5:$C$24,MATCH(H51,'STAFF &amp; TASKS'!$A$5:$A$24,0))),PayRate))</f>
        <v/>
      </c>
      <c r="X51" s="55">
        <f>IF(B51="","",IF(OR(O51="Cancelled",O51="No-Show"),"",ROUND(R51*W51*(1+Burden),2)))</f>
        <v/>
      </c>
      <c r="Y51" s="55">
        <f>IF(B51="","",IF(OR(O51="Cancelled",O51="No-Show"),"",IF(N51&lt;&gt;"",N51,ROUND(R51*SupHr*IFERROR(INDEX('PRICING'!$G$7:$G$16,MATCH(F51,'PRICING'!$A$7:$A$16,0)),1),2))))</f>
        <v/>
      </c>
      <c r="Z51" s="98">
        <f>IF(B51="","",SUMIFS('MILEAGE'!$J$5:$J$1504,'MILEAGE'!$B$5:$B$1504,A51))</f>
        <v/>
      </c>
      <c r="AA51" s="55">
        <f>IF(B51="","",ROUND(Z51*MileRate,2))</f>
        <v/>
      </c>
      <c r="AB51" s="55">
        <f>IF(B51="","",SUMIFS('REVENUE'!$J$5:$J$1504,'REVENUE'!$B$5:$B$1504,A51))</f>
        <v/>
      </c>
      <c r="AC51" s="55">
        <f>IF(L51="","",IF(OR(O51="Cancelled",O51="No-Show"),"",L51-N(X51)-N(Y51)-AA51-AB51))</f>
        <v/>
      </c>
      <c r="AD51" s="99">
        <f>IF(OR(AC51="",N(L51)=0),"",AC51/L51)</f>
        <v/>
      </c>
      <c r="AE51" s="55">
        <f>IF(OR(AC51="",N(R51)=0),"",L51/R51)</f>
        <v/>
      </c>
      <c r="AF51" s="100">
        <f>IF(OR(N(K51)=0,N(J51)+N(Q51)=0),"",K51-IF(N(J51)&gt;0,J51,Q51))</f>
        <v/>
      </c>
      <c r="AG51" s="99">
        <f>IF(B51="","",IFERROR(AVERAGEIFS('QUALITY CONTROL'!$M$5:$M$304,'QUALITY CONTROL'!$B$5:$B$304,A51),""))</f>
        <v/>
      </c>
      <c r="AH51" s="51">
        <f>IF(B51="","",DATE(YEAR(B51),MONTH(B51),1))</f>
        <v/>
      </c>
      <c r="AI51" s="49">
        <f>IF(D51="","",IFERROR(INDEX('CUSTOMERS'!$E$5:$E$404,MATCH(D51,'CUSTOMERS'!$B$5:$B$404,0)),""))</f>
        <v/>
      </c>
      <c r="AJ51" s="49">
        <f>IF(B51="","",N(C51))</f>
        <v/>
      </c>
      <c r="AK51" s="49">
        <f>IF(OR(B51="",O51="Cancelled",O51="Rescheduled"),"",B51&amp;"|"&amp;(COUNTIFS('JOBS'!$B$5:$B$1504,B51,'JOBS'!$AJ$5:$AJ$1504,"&lt;"&amp;AJ51,'JOBS'!$O$5:$O$1504,"&lt;&gt;Cancelled",'JOBS'!$O$5:$O$1504,"&lt;&gt;Rescheduled")+COUNTIFS($B$5:B51,B51,$AJ$5:AJ51,AJ51,$O$5:O51,"&lt;&gt;Cancelled",$O$5:O51,"&lt;&gt;Rescheduled")))</f>
        <v/>
      </c>
      <c r="AL51" s="49">
        <f>IF(N(U51)&lt;=0.005,"",COUNTIFS('JOBS'!$U$5:$U$1504,"&gt;0.005",'JOBS'!$B$5:$B$1504,"&lt;"&amp;B51)+COUNTIFS($U$5:U51,"&gt;0.005",$B$5:B51,B51))</f>
        <v/>
      </c>
    </row>
    <row r="52">
      <c r="A52" s="46" t="inlineStr">
        <is>
          <t>J-0048</t>
        </is>
      </c>
      <c r="B52" s="47" t="n">
        <v>46100</v>
      </c>
      <c r="C52" s="94" t="n">
        <v>0.625</v>
      </c>
      <c r="D52" s="38" t="inlineStr">
        <is>
          <t>Parker Lockhart</t>
        </is>
      </c>
      <c r="E52" s="38" t="inlineStr">
        <is>
          <t>412 Linden Place, Sampletown</t>
        </is>
      </c>
      <c r="F52" s="38" t="inlineStr">
        <is>
          <t>Airbnb Turnover</t>
        </is>
      </c>
      <c r="G52" s="38" t="n"/>
      <c r="H52" s="38" t="inlineStr">
        <is>
          <t>Kevin Osei</t>
        </is>
      </c>
      <c r="I52" s="57" t="n">
        <v>1</v>
      </c>
      <c r="J52" s="95" t="n"/>
      <c r="K52" s="95" t="n">
        <v>2.1</v>
      </c>
      <c r="L52" s="48" t="n">
        <v>150</v>
      </c>
      <c r="M52" s="96" t="n">
        <v>0</v>
      </c>
      <c r="N52" s="48" t="n"/>
      <c r="O52" s="38" t="inlineStr">
        <is>
          <t>Completed</t>
        </is>
      </c>
      <c r="P52" s="38" t="inlineStr">
        <is>
          <t>Includes laundry</t>
        </is>
      </c>
      <c r="Q52" s="97">
        <f>IF(OR(F52="",E52=""),"",IFERROR(IF(INDEX('PROPERTIES'!$F$5:$F$404,MATCH(E52,'PROPERTIES'!$B$5:$B$404,0))=0,"",ROUND((INDEX('PROPERTIES'!$F$5:$F$404,MATCH(E52,'PROPERTIES'!$B$5:$B$404,0))/INDEX('PRICING'!$C$7:$C$16,MATCH(F52,'PRICING'!$A$7:$A$16,0))+INDEX('PROPERTIES'!$G$5:$G$404,MATCH(E52,'PROPERTIES'!$B$5:$B$404,0))*INDEX('PRICING'!$D$7:$D$16,MATCH(F52,'PRICING'!$A$7:$A$16,0))/60+INDEX('PROPERTIES'!$H$5:$H$404,MATCH(E52,'PROPERTIES'!$B$5:$B$404,0))*INDEX('PRICING'!$E$7:$E$16,MATCH(F52,'PRICING'!$A$7:$A$16,0))/60+INDEX('PRICING'!$F$7:$F$16,MATCH(F52,'PRICING'!$A$7:$A$16,0))/60),2)),""))</f>
        <v/>
      </c>
      <c r="R52" s="97">
        <f>IF(B52="","",IF(N(K52)&gt;0,K52,IF(N(J52)&gt;0,J52,N(Q52))))</f>
        <v/>
      </c>
      <c r="S52" s="55">
        <f>IF(L52="","",ROUND(L52*(1+N(M52)),2))</f>
        <v/>
      </c>
      <c r="T52" s="55">
        <f>IF(B52="","",SUMIFS('REVENUE'!$C$5:$C$1504,'REVENUE'!$B$5:$B$1504,A52))</f>
        <v/>
      </c>
      <c r="U52" s="55">
        <f>IF(B52="","",IF(O52="Completed",MAX(0,N(S52)-T52),""))</f>
        <v/>
      </c>
      <c r="V52" s="49">
        <f>IF(B52="","",IF(O52&lt;&gt;"Completed",IF(T52&gt;0,"Deposit","—"),IF(U52&lt;=0.005,"Paid",IF(T52&gt;0,"Partial","Unpaid"))))</f>
        <v/>
      </c>
      <c r="W52" s="55">
        <f>IF(B52="","",IFERROR(1/(1/INDEX('STAFF &amp; TASKS'!$C$5:$C$24,MATCH(H52,'STAFF &amp; TASKS'!$A$5:$A$24,0))),PayRate))</f>
        <v/>
      </c>
      <c r="X52" s="55">
        <f>IF(B52="","",IF(OR(O52="Cancelled",O52="No-Show"),"",ROUND(R52*W52*(1+Burden),2)))</f>
        <v/>
      </c>
      <c r="Y52" s="55">
        <f>IF(B52="","",IF(OR(O52="Cancelled",O52="No-Show"),"",IF(N52&lt;&gt;"",N52,ROUND(R52*SupHr*IFERROR(INDEX('PRICING'!$G$7:$G$16,MATCH(F52,'PRICING'!$A$7:$A$16,0)),1),2))))</f>
        <v/>
      </c>
      <c r="Z52" s="98">
        <f>IF(B52="","",SUMIFS('MILEAGE'!$J$5:$J$1504,'MILEAGE'!$B$5:$B$1504,A52))</f>
        <v/>
      </c>
      <c r="AA52" s="55">
        <f>IF(B52="","",ROUND(Z52*MileRate,2))</f>
        <v/>
      </c>
      <c r="AB52" s="55">
        <f>IF(B52="","",SUMIFS('REVENUE'!$J$5:$J$1504,'REVENUE'!$B$5:$B$1504,A52))</f>
        <v/>
      </c>
      <c r="AC52" s="55">
        <f>IF(L52="","",IF(OR(O52="Cancelled",O52="No-Show"),"",L52-N(X52)-N(Y52)-AA52-AB52))</f>
        <v/>
      </c>
      <c r="AD52" s="99">
        <f>IF(OR(AC52="",N(L52)=0),"",AC52/L52)</f>
        <v/>
      </c>
      <c r="AE52" s="55">
        <f>IF(OR(AC52="",N(R52)=0),"",L52/R52)</f>
        <v/>
      </c>
      <c r="AF52" s="100">
        <f>IF(OR(N(K52)=0,N(J52)+N(Q52)=0),"",K52-IF(N(J52)&gt;0,J52,Q52))</f>
        <v/>
      </c>
      <c r="AG52" s="99">
        <f>IF(B52="","",IFERROR(AVERAGEIFS('QUALITY CONTROL'!$M$5:$M$304,'QUALITY CONTROL'!$B$5:$B$304,A52),""))</f>
        <v/>
      </c>
      <c r="AH52" s="51">
        <f>IF(B52="","",DATE(YEAR(B52),MONTH(B52),1))</f>
        <v/>
      </c>
      <c r="AI52" s="49">
        <f>IF(D52="","",IFERROR(INDEX('CUSTOMERS'!$E$5:$E$404,MATCH(D52,'CUSTOMERS'!$B$5:$B$404,0)),""))</f>
        <v/>
      </c>
      <c r="AJ52" s="49">
        <f>IF(B52="","",N(C52))</f>
        <v/>
      </c>
      <c r="AK52" s="49">
        <f>IF(OR(B52="",O52="Cancelled",O52="Rescheduled"),"",B52&amp;"|"&amp;(COUNTIFS('JOBS'!$B$5:$B$1504,B52,'JOBS'!$AJ$5:$AJ$1504,"&lt;"&amp;AJ52,'JOBS'!$O$5:$O$1504,"&lt;&gt;Cancelled",'JOBS'!$O$5:$O$1504,"&lt;&gt;Rescheduled")+COUNTIFS($B$5:B52,B52,$AJ$5:AJ52,AJ52,$O$5:O52,"&lt;&gt;Cancelled",$O$5:O52,"&lt;&gt;Rescheduled")))</f>
        <v/>
      </c>
      <c r="AL52" s="49">
        <f>IF(N(U52)&lt;=0.005,"",COUNTIFS('JOBS'!$U$5:$U$1504,"&gt;0.005",'JOBS'!$B$5:$B$1504,"&lt;"&amp;B52)+COUNTIFS($U$5:U52,"&gt;0.005",$B$5:B52,B52))</f>
        <v/>
      </c>
    </row>
    <row r="53">
      <c r="A53" s="46" t="inlineStr">
        <is>
          <t>J-0049</t>
        </is>
      </c>
      <c r="B53" s="47" t="n">
        <v>46101</v>
      </c>
      <c r="C53" s="94" t="n">
        <v>0.4791666666666667</v>
      </c>
      <c r="D53" s="38" t="inlineStr">
        <is>
          <t>Rowan Foxworth</t>
        </is>
      </c>
      <c r="E53" s="38" t="inlineStr">
        <is>
          <t>876 Magnolia Circle, North Sampletown</t>
        </is>
      </c>
      <c r="F53" s="38" t="inlineStr">
        <is>
          <t>Standard Clean</t>
        </is>
      </c>
      <c r="G53" s="38" t="inlineStr">
        <is>
          <t>R-005</t>
        </is>
      </c>
      <c r="H53" s="38" t="inlineStr">
        <is>
          <t>Maria Lopez</t>
        </is>
      </c>
      <c r="I53" s="57" t="n">
        <v>1</v>
      </c>
      <c r="J53" s="95" t="n"/>
      <c r="K53" s="95" t="n"/>
      <c r="L53" s="48" t="n">
        <v>220</v>
      </c>
      <c r="M53" s="96" t="n">
        <v>0</v>
      </c>
      <c r="N53" s="48" t="n"/>
      <c r="O53" s="38" t="inlineStr">
        <is>
          <t>Rescheduled</t>
        </is>
      </c>
      <c r="P53" s="38" t="inlineStr"/>
      <c r="Q53" s="97">
        <f>IF(OR(F53="",E53=""),"",IFERROR(IF(INDEX('PROPERTIES'!$F$5:$F$404,MATCH(E53,'PROPERTIES'!$B$5:$B$404,0))=0,"",ROUND((INDEX('PROPERTIES'!$F$5:$F$404,MATCH(E53,'PROPERTIES'!$B$5:$B$404,0))/INDEX('PRICING'!$C$7:$C$16,MATCH(F53,'PRICING'!$A$7:$A$16,0))+INDEX('PROPERTIES'!$G$5:$G$404,MATCH(E53,'PROPERTIES'!$B$5:$B$404,0))*INDEX('PRICING'!$D$7:$D$16,MATCH(F53,'PRICING'!$A$7:$A$16,0))/60+INDEX('PROPERTIES'!$H$5:$H$404,MATCH(E53,'PROPERTIES'!$B$5:$B$404,0))*INDEX('PRICING'!$E$7:$E$16,MATCH(F53,'PRICING'!$A$7:$A$16,0))/60+INDEX('PRICING'!$F$7:$F$16,MATCH(F53,'PRICING'!$A$7:$A$16,0))/60),2)),""))</f>
        <v/>
      </c>
      <c r="R53" s="97">
        <f>IF(B53="","",IF(N(K53)&gt;0,K53,IF(N(J53)&gt;0,J53,N(Q53))))</f>
        <v/>
      </c>
      <c r="S53" s="55">
        <f>IF(L53="","",ROUND(L53*(1+N(M53)),2))</f>
        <v/>
      </c>
      <c r="T53" s="55">
        <f>IF(B53="","",SUMIFS('REVENUE'!$C$5:$C$1504,'REVENUE'!$B$5:$B$1504,A53))</f>
        <v/>
      </c>
      <c r="U53" s="55">
        <f>IF(B53="","",IF(O53="Completed",MAX(0,N(S53)-T53),""))</f>
        <v/>
      </c>
      <c r="V53" s="49">
        <f>IF(B53="","",IF(O53&lt;&gt;"Completed",IF(T53&gt;0,"Deposit","—"),IF(U53&lt;=0.005,"Paid",IF(T53&gt;0,"Partial","Unpaid"))))</f>
        <v/>
      </c>
      <c r="W53" s="55">
        <f>IF(B53="","",IFERROR(1/(1/INDEX('STAFF &amp; TASKS'!$C$5:$C$24,MATCH(H53,'STAFF &amp; TASKS'!$A$5:$A$24,0))),PayRate))</f>
        <v/>
      </c>
      <c r="X53" s="55">
        <f>IF(B53="","",IF(OR(O53="Cancelled",O53="No-Show"),"",ROUND(R53*W53*(1+Burden),2)))</f>
        <v/>
      </c>
      <c r="Y53" s="55">
        <f>IF(B53="","",IF(OR(O53="Cancelled",O53="No-Show"),"",IF(N53&lt;&gt;"",N53,ROUND(R53*SupHr*IFERROR(INDEX('PRICING'!$G$7:$G$16,MATCH(F53,'PRICING'!$A$7:$A$16,0)),1),2))))</f>
        <v/>
      </c>
      <c r="Z53" s="98">
        <f>IF(B53="","",SUMIFS('MILEAGE'!$J$5:$J$1504,'MILEAGE'!$B$5:$B$1504,A53))</f>
        <v/>
      </c>
      <c r="AA53" s="55">
        <f>IF(B53="","",ROUND(Z53*MileRate,2))</f>
        <v/>
      </c>
      <c r="AB53" s="55">
        <f>IF(B53="","",SUMIFS('REVENUE'!$J$5:$J$1504,'REVENUE'!$B$5:$B$1504,A53))</f>
        <v/>
      </c>
      <c r="AC53" s="55">
        <f>IF(L53="","",IF(OR(O53="Cancelled",O53="No-Show"),"",L53-N(X53)-N(Y53)-AA53-AB53))</f>
        <v/>
      </c>
      <c r="AD53" s="99">
        <f>IF(OR(AC53="",N(L53)=0),"",AC53/L53)</f>
        <v/>
      </c>
      <c r="AE53" s="55">
        <f>IF(OR(AC53="",N(R53)=0),"",L53/R53)</f>
        <v/>
      </c>
      <c r="AF53" s="100">
        <f>IF(OR(N(K53)=0,N(J53)+N(Q53)=0),"",K53-IF(N(J53)&gt;0,J53,Q53))</f>
        <v/>
      </c>
      <c r="AG53" s="99">
        <f>IF(B53="","",IFERROR(AVERAGEIFS('QUALITY CONTROL'!$M$5:$M$304,'QUALITY CONTROL'!$B$5:$B$304,A53),""))</f>
        <v/>
      </c>
      <c r="AH53" s="51">
        <f>IF(B53="","",DATE(YEAR(B53),MONTH(B53),1))</f>
        <v/>
      </c>
      <c r="AI53" s="49">
        <f>IF(D53="","",IFERROR(INDEX('CUSTOMERS'!$E$5:$E$404,MATCH(D53,'CUSTOMERS'!$B$5:$B$404,0)),""))</f>
        <v/>
      </c>
      <c r="AJ53" s="49">
        <f>IF(B53="","",N(C53))</f>
        <v/>
      </c>
      <c r="AK53" s="49">
        <f>IF(OR(B53="",O53="Cancelled",O53="Rescheduled"),"",B53&amp;"|"&amp;(COUNTIFS('JOBS'!$B$5:$B$1504,B53,'JOBS'!$AJ$5:$AJ$1504,"&lt;"&amp;AJ53,'JOBS'!$O$5:$O$1504,"&lt;&gt;Cancelled",'JOBS'!$O$5:$O$1504,"&lt;&gt;Rescheduled")+COUNTIFS($B$5:B53,B53,$AJ$5:AJ53,AJ53,$O$5:O53,"&lt;&gt;Cancelled",$O$5:O53,"&lt;&gt;Rescheduled")))</f>
        <v/>
      </c>
      <c r="AL53" s="49">
        <f>IF(N(U53)&lt;=0.005,"",COUNTIFS('JOBS'!$U$5:$U$1504,"&gt;0.005",'JOBS'!$B$5:$B$1504,"&lt;"&amp;B53)+COUNTIFS($U$5:U53,"&gt;0.005",$B$5:B53,B53))</f>
        <v/>
      </c>
    </row>
    <row r="54">
      <c r="A54" s="46" t="inlineStr">
        <is>
          <t>J-0050</t>
        </is>
      </c>
      <c r="B54" s="47" t="n">
        <v>46101</v>
      </c>
      <c r="C54" s="94" t="n">
        <v>0.5416666666666666</v>
      </c>
      <c r="D54" s="38" t="inlineStr">
        <is>
          <t>Brightside Dental Studio (sample)</t>
        </is>
      </c>
      <c r="E54" s="38" t="inlineStr">
        <is>
          <t>738 Cedar Court, North Sampletown</t>
        </is>
      </c>
      <c r="F54" s="38" t="inlineStr">
        <is>
          <t>Commercial Clean</t>
        </is>
      </c>
      <c r="G54" s="38" t="inlineStr">
        <is>
          <t>R-011</t>
        </is>
      </c>
      <c r="H54" s="38" t="inlineStr">
        <is>
          <t>Kevin Osei</t>
        </is>
      </c>
      <c r="I54" s="57" t="n">
        <v>2</v>
      </c>
      <c r="J54" s="95" t="n"/>
      <c r="K54" s="95" t="n">
        <v>2.23</v>
      </c>
      <c r="L54" s="48" t="n">
        <v>100</v>
      </c>
      <c r="M54" s="96" t="n">
        <v>0</v>
      </c>
      <c r="N54" s="48" t="n"/>
      <c r="O54" s="38" t="inlineStr">
        <is>
          <t>Completed</t>
        </is>
      </c>
      <c r="P54" s="38" t="inlineStr"/>
      <c r="Q54" s="97">
        <f>IF(OR(F54="",E54=""),"",IFERROR(IF(INDEX('PROPERTIES'!$F$5:$F$404,MATCH(E54,'PROPERTIES'!$B$5:$B$404,0))=0,"",ROUND((INDEX('PROPERTIES'!$F$5:$F$404,MATCH(E54,'PROPERTIES'!$B$5:$B$404,0))/INDEX('PRICING'!$C$7:$C$16,MATCH(F54,'PRICING'!$A$7:$A$16,0))+INDEX('PROPERTIES'!$G$5:$G$404,MATCH(E54,'PROPERTIES'!$B$5:$B$404,0))*INDEX('PRICING'!$D$7:$D$16,MATCH(F54,'PRICING'!$A$7:$A$16,0))/60+INDEX('PROPERTIES'!$H$5:$H$404,MATCH(E54,'PROPERTIES'!$B$5:$B$404,0))*INDEX('PRICING'!$E$7:$E$16,MATCH(F54,'PRICING'!$A$7:$A$16,0))/60+INDEX('PRICING'!$F$7:$F$16,MATCH(F54,'PRICING'!$A$7:$A$16,0))/60),2)),""))</f>
        <v/>
      </c>
      <c r="R54" s="97">
        <f>IF(B54="","",IF(N(K54)&gt;0,K54,IF(N(J54)&gt;0,J54,N(Q54))))</f>
        <v/>
      </c>
      <c r="S54" s="55">
        <f>IF(L54="","",ROUND(L54*(1+N(M54)),2))</f>
        <v/>
      </c>
      <c r="T54" s="55">
        <f>IF(B54="","",SUMIFS('REVENUE'!$C$5:$C$1504,'REVENUE'!$B$5:$B$1504,A54))</f>
        <v/>
      </c>
      <c r="U54" s="55">
        <f>IF(B54="","",IF(O54="Completed",MAX(0,N(S54)-T54),""))</f>
        <v/>
      </c>
      <c r="V54" s="49">
        <f>IF(B54="","",IF(O54&lt;&gt;"Completed",IF(T54&gt;0,"Deposit","—"),IF(U54&lt;=0.005,"Paid",IF(T54&gt;0,"Partial","Unpaid"))))</f>
        <v/>
      </c>
      <c r="W54" s="55">
        <f>IF(B54="","",IFERROR(1/(1/INDEX('STAFF &amp; TASKS'!$C$5:$C$24,MATCH(H54,'STAFF &amp; TASKS'!$A$5:$A$24,0))),PayRate))</f>
        <v/>
      </c>
      <c r="X54" s="55">
        <f>IF(B54="","",IF(OR(O54="Cancelled",O54="No-Show"),"",ROUND(R54*W54*(1+Burden),2)))</f>
        <v/>
      </c>
      <c r="Y54" s="55">
        <f>IF(B54="","",IF(OR(O54="Cancelled",O54="No-Show"),"",IF(N54&lt;&gt;"",N54,ROUND(R54*SupHr*IFERROR(INDEX('PRICING'!$G$7:$G$16,MATCH(F54,'PRICING'!$A$7:$A$16,0)),1),2))))</f>
        <v/>
      </c>
      <c r="Z54" s="98">
        <f>IF(B54="","",SUMIFS('MILEAGE'!$J$5:$J$1504,'MILEAGE'!$B$5:$B$1504,A54))</f>
        <v/>
      </c>
      <c r="AA54" s="55">
        <f>IF(B54="","",ROUND(Z54*MileRate,2))</f>
        <v/>
      </c>
      <c r="AB54" s="55">
        <f>IF(B54="","",SUMIFS('REVENUE'!$J$5:$J$1504,'REVENUE'!$B$5:$B$1504,A54))</f>
        <v/>
      </c>
      <c r="AC54" s="55">
        <f>IF(L54="","",IF(OR(O54="Cancelled",O54="No-Show"),"",L54-N(X54)-N(Y54)-AA54-AB54))</f>
        <v/>
      </c>
      <c r="AD54" s="99">
        <f>IF(OR(AC54="",N(L54)=0),"",AC54/L54)</f>
        <v/>
      </c>
      <c r="AE54" s="55">
        <f>IF(OR(AC54="",N(R54)=0),"",L54/R54)</f>
        <v/>
      </c>
      <c r="AF54" s="100">
        <f>IF(OR(N(K54)=0,N(J54)+N(Q54)=0),"",K54-IF(N(J54)&gt;0,J54,Q54))</f>
        <v/>
      </c>
      <c r="AG54" s="99">
        <f>IF(B54="","",IFERROR(AVERAGEIFS('QUALITY CONTROL'!$M$5:$M$304,'QUALITY CONTROL'!$B$5:$B$304,A54),""))</f>
        <v/>
      </c>
      <c r="AH54" s="51">
        <f>IF(B54="","",DATE(YEAR(B54),MONTH(B54),1))</f>
        <v/>
      </c>
      <c r="AI54" s="49">
        <f>IF(D54="","",IFERROR(INDEX('CUSTOMERS'!$E$5:$E$404,MATCH(D54,'CUSTOMERS'!$B$5:$B$404,0)),""))</f>
        <v/>
      </c>
      <c r="AJ54" s="49">
        <f>IF(B54="","",N(C54))</f>
        <v/>
      </c>
      <c r="AK54" s="49">
        <f>IF(OR(B54="",O54="Cancelled",O54="Rescheduled"),"",B54&amp;"|"&amp;(COUNTIFS('JOBS'!$B$5:$B$1504,B54,'JOBS'!$AJ$5:$AJ$1504,"&lt;"&amp;AJ54,'JOBS'!$O$5:$O$1504,"&lt;&gt;Cancelled",'JOBS'!$O$5:$O$1504,"&lt;&gt;Rescheduled")+COUNTIFS($B$5:B54,B54,$AJ$5:AJ54,AJ54,$O$5:O54,"&lt;&gt;Cancelled",$O$5:O54,"&lt;&gt;Rescheduled")))</f>
        <v/>
      </c>
      <c r="AL54" s="49">
        <f>IF(N(U54)&lt;=0.005,"",COUNTIFS('JOBS'!$U$5:$U$1504,"&gt;0.005",'JOBS'!$B$5:$B$1504,"&lt;"&amp;B54)+COUNTIFS($U$5:U54,"&gt;0.005",$B$5:B54,B54))</f>
        <v/>
      </c>
    </row>
    <row r="55">
      <c r="A55" s="46" t="inlineStr">
        <is>
          <t>J-0051</t>
        </is>
      </c>
      <c r="B55" s="47" t="n">
        <v>46102</v>
      </c>
      <c r="C55" s="94" t="n">
        <v>0.375</v>
      </c>
      <c r="D55" s="38" t="inlineStr">
        <is>
          <t>Lane Northcott</t>
        </is>
      </c>
      <c r="E55" s="38" t="inlineStr">
        <is>
          <t>102 Hawthorn Road, Lakeview (fictional)</t>
        </is>
      </c>
      <c r="F55" s="38" t="inlineStr">
        <is>
          <t>Standard Clean</t>
        </is>
      </c>
      <c r="G55" s="38" t="inlineStr">
        <is>
          <t>R-010</t>
        </is>
      </c>
      <c r="H55" s="38" t="inlineStr">
        <is>
          <t>Dana Whitfield</t>
        </is>
      </c>
      <c r="I55" s="57" t="n">
        <v>1</v>
      </c>
      <c r="J55" s="95" t="n"/>
      <c r="K55" s="95" t="n">
        <v>3.33</v>
      </c>
      <c r="L55" s="48" t="n">
        <v>150</v>
      </c>
      <c r="M55" s="96" t="n">
        <v>0</v>
      </c>
      <c r="N55" s="48" t="n"/>
      <c r="O55" s="38" t="inlineStr">
        <is>
          <t>Completed</t>
        </is>
      </c>
      <c r="P55" s="38" t="inlineStr"/>
      <c r="Q55" s="97">
        <f>IF(OR(F55="",E55=""),"",IFERROR(IF(INDEX('PROPERTIES'!$F$5:$F$404,MATCH(E55,'PROPERTIES'!$B$5:$B$404,0))=0,"",ROUND((INDEX('PROPERTIES'!$F$5:$F$404,MATCH(E55,'PROPERTIES'!$B$5:$B$404,0))/INDEX('PRICING'!$C$7:$C$16,MATCH(F55,'PRICING'!$A$7:$A$16,0))+INDEX('PROPERTIES'!$G$5:$G$404,MATCH(E55,'PROPERTIES'!$B$5:$B$404,0))*INDEX('PRICING'!$D$7:$D$16,MATCH(F55,'PRICING'!$A$7:$A$16,0))/60+INDEX('PROPERTIES'!$H$5:$H$404,MATCH(E55,'PROPERTIES'!$B$5:$B$404,0))*INDEX('PRICING'!$E$7:$E$16,MATCH(F55,'PRICING'!$A$7:$A$16,0))/60+INDEX('PRICING'!$F$7:$F$16,MATCH(F55,'PRICING'!$A$7:$A$16,0))/60),2)),""))</f>
        <v/>
      </c>
      <c r="R55" s="97">
        <f>IF(B55="","",IF(N(K55)&gt;0,K55,IF(N(J55)&gt;0,J55,N(Q55))))</f>
        <v/>
      </c>
      <c r="S55" s="55">
        <f>IF(L55="","",ROUND(L55*(1+N(M55)),2))</f>
        <v/>
      </c>
      <c r="T55" s="55">
        <f>IF(B55="","",SUMIFS('REVENUE'!$C$5:$C$1504,'REVENUE'!$B$5:$B$1504,A55))</f>
        <v/>
      </c>
      <c r="U55" s="55">
        <f>IF(B55="","",IF(O55="Completed",MAX(0,N(S55)-T55),""))</f>
        <v/>
      </c>
      <c r="V55" s="49">
        <f>IF(B55="","",IF(O55&lt;&gt;"Completed",IF(T55&gt;0,"Deposit","—"),IF(U55&lt;=0.005,"Paid",IF(T55&gt;0,"Partial","Unpaid"))))</f>
        <v/>
      </c>
      <c r="W55" s="55">
        <f>IF(B55="","",IFERROR(1/(1/INDEX('STAFF &amp; TASKS'!$C$5:$C$24,MATCH(H55,'STAFF &amp; TASKS'!$A$5:$A$24,0))),PayRate))</f>
        <v/>
      </c>
      <c r="X55" s="55">
        <f>IF(B55="","",IF(OR(O55="Cancelled",O55="No-Show"),"",ROUND(R55*W55*(1+Burden),2)))</f>
        <v/>
      </c>
      <c r="Y55" s="55">
        <f>IF(B55="","",IF(OR(O55="Cancelled",O55="No-Show"),"",IF(N55&lt;&gt;"",N55,ROUND(R55*SupHr*IFERROR(INDEX('PRICING'!$G$7:$G$16,MATCH(F55,'PRICING'!$A$7:$A$16,0)),1),2))))</f>
        <v/>
      </c>
      <c r="Z55" s="98">
        <f>IF(B55="","",SUMIFS('MILEAGE'!$J$5:$J$1504,'MILEAGE'!$B$5:$B$1504,A55))</f>
        <v/>
      </c>
      <c r="AA55" s="55">
        <f>IF(B55="","",ROUND(Z55*MileRate,2))</f>
        <v/>
      </c>
      <c r="AB55" s="55">
        <f>IF(B55="","",SUMIFS('REVENUE'!$J$5:$J$1504,'REVENUE'!$B$5:$B$1504,A55))</f>
        <v/>
      </c>
      <c r="AC55" s="55">
        <f>IF(L55="","",IF(OR(O55="Cancelled",O55="No-Show"),"",L55-N(X55)-N(Y55)-AA55-AB55))</f>
        <v/>
      </c>
      <c r="AD55" s="99">
        <f>IF(OR(AC55="",N(L55)=0),"",AC55/L55)</f>
        <v/>
      </c>
      <c r="AE55" s="55">
        <f>IF(OR(AC55="",N(R55)=0),"",L55/R55)</f>
        <v/>
      </c>
      <c r="AF55" s="100">
        <f>IF(OR(N(K55)=0,N(J55)+N(Q55)=0),"",K55-IF(N(J55)&gt;0,J55,Q55))</f>
        <v/>
      </c>
      <c r="AG55" s="99">
        <f>IF(B55="","",IFERROR(AVERAGEIFS('QUALITY CONTROL'!$M$5:$M$304,'QUALITY CONTROL'!$B$5:$B$304,A55),""))</f>
        <v/>
      </c>
      <c r="AH55" s="51">
        <f>IF(B55="","",DATE(YEAR(B55),MONTH(B55),1))</f>
        <v/>
      </c>
      <c r="AI55" s="49">
        <f>IF(D55="","",IFERROR(INDEX('CUSTOMERS'!$E$5:$E$404,MATCH(D55,'CUSTOMERS'!$B$5:$B$404,0)),""))</f>
        <v/>
      </c>
      <c r="AJ55" s="49">
        <f>IF(B55="","",N(C55))</f>
        <v/>
      </c>
      <c r="AK55" s="49">
        <f>IF(OR(B55="",O55="Cancelled",O55="Rescheduled"),"",B55&amp;"|"&amp;(COUNTIFS('JOBS'!$B$5:$B$1504,B55,'JOBS'!$AJ$5:$AJ$1504,"&lt;"&amp;AJ55,'JOBS'!$O$5:$O$1504,"&lt;&gt;Cancelled",'JOBS'!$O$5:$O$1504,"&lt;&gt;Rescheduled")+COUNTIFS($B$5:B55,B55,$AJ$5:AJ55,AJ55,$O$5:O55,"&lt;&gt;Cancelled",$O$5:O55,"&lt;&gt;Rescheduled")))</f>
        <v/>
      </c>
      <c r="AL55" s="49">
        <f>IF(N(U55)&lt;=0.005,"",COUNTIFS('JOBS'!$U$5:$U$1504,"&gt;0.005",'JOBS'!$B$5:$B$1504,"&lt;"&amp;B55)+COUNTIFS($U$5:U55,"&gt;0.005",$B$5:B55,B55))</f>
        <v/>
      </c>
    </row>
    <row r="56">
      <c r="A56" s="46" t="inlineStr">
        <is>
          <t>J-0052</t>
        </is>
      </c>
      <c r="B56" s="47" t="n">
        <v>46102</v>
      </c>
      <c r="C56" s="94" t="n">
        <v>0.4791666666666667</v>
      </c>
      <c r="D56" s="38" t="inlineStr">
        <is>
          <t>Wren Porter</t>
        </is>
      </c>
      <c r="E56" s="38" t="inlineStr">
        <is>
          <t>685 Alder Lane, North Sampletown</t>
        </is>
      </c>
      <c r="F56" s="38" t="inlineStr">
        <is>
          <t>Standard Clean</t>
        </is>
      </c>
      <c r="G56" s="38" t="n"/>
      <c r="H56" s="38" t="inlineStr">
        <is>
          <t>Maria Lopez</t>
        </is>
      </c>
      <c r="I56" s="57" t="n">
        <v>1</v>
      </c>
      <c r="J56" s="95" t="n"/>
      <c r="K56" s="95" t="n">
        <v>6.88</v>
      </c>
      <c r="L56" s="48" t="n">
        <v>300</v>
      </c>
      <c r="M56" s="96" t="n">
        <v>0</v>
      </c>
      <c r="N56" s="48" t="n"/>
      <c r="O56" s="38" t="inlineStr">
        <is>
          <t>Completed</t>
        </is>
      </c>
      <c r="P56" s="38" t="inlineStr"/>
      <c r="Q56" s="97">
        <f>IF(OR(F56="",E56=""),"",IFERROR(IF(INDEX('PROPERTIES'!$F$5:$F$404,MATCH(E56,'PROPERTIES'!$B$5:$B$404,0))=0,"",ROUND((INDEX('PROPERTIES'!$F$5:$F$404,MATCH(E56,'PROPERTIES'!$B$5:$B$404,0))/INDEX('PRICING'!$C$7:$C$16,MATCH(F56,'PRICING'!$A$7:$A$16,0))+INDEX('PROPERTIES'!$G$5:$G$404,MATCH(E56,'PROPERTIES'!$B$5:$B$404,0))*INDEX('PRICING'!$D$7:$D$16,MATCH(F56,'PRICING'!$A$7:$A$16,0))/60+INDEX('PROPERTIES'!$H$5:$H$404,MATCH(E56,'PROPERTIES'!$B$5:$B$404,0))*INDEX('PRICING'!$E$7:$E$16,MATCH(F56,'PRICING'!$A$7:$A$16,0))/60+INDEX('PRICING'!$F$7:$F$16,MATCH(F56,'PRICING'!$A$7:$A$16,0))/60),2)),""))</f>
        <v/>
      </c>
      <c r="R56" s="97">
        <f>IF(B56="","",IF(N(K56)&gt;0,K56,IF(N(J56)&gt;0,J56,N(Q56))))</f>
        <v/>
      </c>
      <c r="S56" s="55">
        <f>IF(L56="","",ROUND(L56*(1+N(M56)),2))</f>
        <v/>
      </c>
      <c r="T56" s="55">
        <f>IF(B56="","",SUMIFS('REVENUE'!$C$5:$C$1504,'REVENUE'!$B$5:$B$1504,A56))</f>
        <v/>
      </c>
      <c r="U56" s="55">
        <f>IF(B56="","",IF(O56="Completed",MAX(0,N(S56)-T56),""))</f>
        <v/>
      </c>
      <c r="V56" s="49">
        <f>IF(B56="","",IF(O56&lt;&gt;"Completed",IF(T56&gt;0,"Deposit","—"),IF(U56&lt;=0.005,"Paid",IF(T56&gt;0,"Partial","Unpaid"))))</f>
        <v/>
      </c>
      <c r="W56" s="55">
        <f>IF(B56="","",IFERROR(1/(1/INDEX('STAFF &amp; TASKS'!$C$5:$C$24,MATCH(H56,'STAFF &amp; TASKS'!$A$5:$A$24,0))),PayRate))</f>
        <v/>
      </c>
      <c r="X56" s="55">
        <f>IF(B56="","",IF(OR(O56="Cancelled",O56="No-Show"),"",ROUND(R56*W56*(1+Burden),2)))</f>
        <v/>
      </c>
      <c r="Y56" s="55">
        <f>IF(B56="","",IF(OR(O56="Cancelled",O56="No-Show"),"",IF(N56&lt;&gt;"",N56,ROUND(R56*SupHr*IFERROR(INDEX('PRICING'!$G$7:$G$16,MATCH(F56,'PRICING'!$A$7:$A$16,0)),1),2))))</f>
        <v/>
      </c>
      <c r="Z56" s="98">
        <f>IF(B56="","",SUMIFS('MILEAGE'!$J$5:$J$1504,'MILEAGE'!$B$5:$B$1504,A56))</f>
        <v/>
      </c>
      <c r="AA56" s="55">
        <f>IF(B56="","",ROUND(Z56*MileRate,2))</f>
        <v/>
      </c>
      <c r="AB56" s="55">
        <f>IF(B56="","",SUMIFS('REVENUE'!$J$5:$J$1504,'REVENUE'!$B$5:$B$1504,A56))</f>
        <v/>
      </c>
      <c r="AC56" s="55">
        <f>IF(L56="","",IF(OR(O56="Cancelled",O56="No-Show"),"",L56-N(X56)-N(Y56)-AA56-AB56))</f>
        <v/>
      </c>
      <c r="AD56" s="99">
        <f>IF(OR(AC56="",N(L56)=0),"",AC56/L56)</f>
        <v/>
      </c>
      <c r="AE56" s="55">
        <f>IF(OR(AC56="",N(R56)=0),"",L56/R56)</f>
        <v/>
      </c>
      <c r="AF56" s="100">
        <f>IF(OR(N(K56)=0,N(J56)+N(Q56)=0),"",K56-IF(N(J56)&gt;0,J56,Q56))</f>
        <v/>
      </c>
      <c r="AG56" s="99">
        <f>IF(B56="","",IFERROR(AVERAGEIFS('QUALITY CONTROL'!$M$5:$M$304,'QUALITY CONTROL'!$B$5:$B$304,A56),""))</f>
        <v/>
      </c>
      <c r="AH56" s="51">
        <f>IF(B56="","",DATE(YEAR(B56),MONTH(B56),1))</f>
        <v/>
      </c>
      <c r="AI56" s="49">
        <f>IF(D56="","",IFERROR(INDEX('CUSTOMERS'!$E$5:$E$404,MATCH(D56,'CUSTOMERS'!$B$5:$B$404,0)),""))</f>
        <v/>
      </c>
      <c r="AJ56" s="49">
        <f>IF(B56="","",N(C56))</f>
        <v/>
      </c>
      <c r="AK56" s="49">
        <f>IF(OR(B56="",O56="Cancelled",O56="Rescheduled"),"",B56&amp;"|"&amp;(COUNTIFS('JOBS'!$B$5:$B$1504,B56,'JOBS'!$AJ$5:$AJ$1504,"&lt;"&amp;AJ56,'JOBS'!$O$5:$O$1504,"&lt;&gt;Cancelled",'JOBS'!$O$5:$O$1504,"&lt;&gt;Rescheduled")+COUNTIFS($B$5:B56,B56,$AJ$5:AJ56,AJ56,$O$5:O56,"&lt;&gt;Cancelled",$O$5:O56,"&lt;&gt;Rescheduled")))</f>
        <v/>
      </c>
      <c r="AL56" s="49">
        <f>IF(N(U56)&lt;=0.005,"",COUNTIFS('JOBS'!$U$5:$U$1504,"&gt;0.005",'JOBS'!$B$5:$B$1504,"&lt;"&amp;B56)+COUNTIFS($U$5:U56,"&gt;0.005",$B$5:B56,B56))</f>
        <v/>
      </c>
    </row>
    <row r="57">
      <c r="A57" s="46" t="inlineStr">
        <is>
          <t>J-0053</t>
        </is>
      </c>
      <c r="B57" s="47" t="n">
        <v>46105</v>
      </c>
      <c r="C57" s="94" t="n">
        <v>0.3333333333333333</v>
      </c>
      <c r="D57" s="38" t="inlineStr">
        <is>
          <t>Blake Oakes</t>
        </is>
      </c>
      <c r="E57" s="38" t="inlineStr">
        <is>
          <t>654 Willow Way, North Sampletown</t>
        </is>
      </c>
      <c r="F57" s="38" t="inlineStr">
        <is>
          <t>Airbnb Turnover</t>
        </is>
      </c>
      <c r="G57" s="38" t="n"/>
      <c r="H57" s="38" t="inlineStr">
        <is>
          <t>Kevin Osei</t>
        </is>
      </c>
      <c r="I57" s="57" t="n">
        <v>1</v>
      </c>
      <c r="J57" s="95" t="n"/>
      <c r="K57" s="95" t="n">
        <v>1.98</v>
      </c>
      <c r="L57" s="48" t="n">
        <v>135</v>
      </c>
      <c r="M57" s="96" t="n">
        <v>0</v>
      </c>
      <c r="N57" s="48" t="n"/>
      <c r="O57" s="38" t="inlineStr">
        <is>
          <t>Completed</t>
        </is>
      </c>
      <c r="P57" s="38" t="inlineStr">
        <is>
          <t>Includes laundry</t>
        </is>
      </c>
      <c r="Q57" s="97">
        <f>IF(OR(F57="",E57=""),"",IFERROR(IF(INDEX('PROPERTIES'!$F$5:$F$404,MATCH(E57,'PROPERTIES'!$B$5:$B$404,0))=0,"",ROUND((INDEX('PROPERTIES'!$F$5:$F$404,MATCH(E57,'PROPERTIES'!$B$5:$B$404,0))/INDEX('PRICING'!$C$7:$C$16,MATCH(F57,'PRICING'!$A$7:$A$16,0))+INDEX('PROPERTIES'!$G$5:$G$404,MATCH(E57,'PROPERTIES'!$B$5:$B$404,0))*INDEX('PRICING'!$D$7:$D$16,MATCH(F57,'PRICING'!$A$7:$A$16,0))/60+INDEX('PROPERTIES'!$H$5:$H$404,MATCH(E57,'PROPERTIES'!$B$5:$B$404,0))*INDEX('PRICING'!$E$7:$E$16,MATCH(F57,'PRICING'!$A$7:$A$16,0))/60+INDEX('PRICING'!$F$7:$F$16,MATCH(F57,'PRICING'!$A$7:$A$16,0))/60),2)),""))</f>
        <v/>
      </c>
      <c r="R57" s="97">
        <f>IF(B57="","",IF(N(K57)&gt;0,K57,IF(N(J57)&gt;0,J57,N(Q57))))</f>
        <v/>
      </c>
      <c r="S57" s="55">
        <f>IF(L57="","",ROUND(L57*(1+N(M57)),2))</f>
        <v/>
      </c>
      <c r="T57" s="55">
        <f>IF(B57="","",SUMIFS('REVENUE'!$C$5:$C$1504,'REVENUE'!$B$5:$B$1504,A57))</f>
        <v/>
      </c>
      <c r="U57" s="55">
        <f>IF(B57="","",IF(O57="Completed",MAX(0,N(S57)-T57),""))</f>
        <v/>
      </c>
      <c r="V57" s="49">
        <f>IF(B57="","",IF(O57&lt;&gt;"Completed",IF(T57&gt;0,"Deposit","—"),IF(U57&lt;=0.005,"Paid",IF(T57&gt;0,"Partial","Unpaid"))))</f>
        <v/>
      </c>
      <c r="W57" s="55">
        <f>IF(B57="","",IFERROR(1/(1/INDEX('STAFF &amp; TASKS'!$C$5:$C$24,MATCH(H57,'STAFF &amp; TASKS'!$A$5:$A$24,0))),PayRate))</f>
        <v/>
      </c>
      <c r="X57" s="55">
        <f>IF(B57="","",IF(OR(O57="Cancelled",O57="No-Show"),"",ROUND(R57*W57*(1+Burden),2)))</f>
        <v/>
      </c>
      <c r="Y57" s="55">
        <f>IF(B57="","",IF(OR(O57="Cancelled",O57="No-Show"),"",IF(N57&lt;&gt;"",N57,ROUND(R57*SupHr*IFERROR(INDEX('PRICING'!$G$7:$G$16,MATCH(F57,'PRICING'!$A$7:$A$16,0)),1),2))))</f>
        <v/>
      </c>
      <c r="Z57" s="98">
        <f>IF(B57="","",SUMIFS('MILEAGE'!$J$5:$J$1504,'MILEAGE'!$B$5:$B$1504,A57))</f>
        <v/>
      </c>
      <c r="AA57" s="55">
        <f>IF(B57="","",ROUND(Z57*MileRate,2))</f>
        <v/>
      </c>
      <c r="AB57" s="55">
        <f>IF(B57="","",SUMIFS('REVENUE'!$J$5:$J$1504,'REVENUE'!$B$5:$B$1504,A57))</f>
        <v/>
      </c>
      <c r="AC57" s="55">
        <f>IF(L57="","",IF(OR(O57="Cancelled",O57="No-Show"),"",L57-N(X57)-N(Y57)-AA57-AB57))</f>
        <v/>
      </c>
      <c r="AD57" s="99">
        <f>IF(OR(AC57="",N(L57)=0),"",AC57/L57)</f>
        <v/>
      </c>
      <c r="AE57" s="55">
        <f>IF(OR(AC57="",N(R57)=0),"",L57/R57)</f>
        <v/>
      </c>
      <c r="AF57" s="100">
        <f>IF(OR(N(K57)=0,N(J57)+N(Q57)=0),"",K57-IF(N(J57)&gt;0,J57,Q57))</f>
        <v/>
      </c>
      <c r="AG57" s="99">
        <f>IF(B57="","",IFERROR(AVERAGEIFS('QUALITY CONTROL'!$M$5:$M$304,'QUALITY CONTROL'!$B$5:$B$304,A57),""))</f>
        <v/>
      </c>
      <c r="AH57" s="51">
        <f>IF(B57="","",DATE(YEAR(B57),MONTH(B57),1))</f>
        <v/>
      </c>
      <c r="AI57" s="49">
        <f>IF(D57="","",IFERROR(INDEX('CUSTOMERS'!$E$5:$E$404,MATCH(D57,'CUSTOMERS'!$B$5:$B$404,0)),""))</f>
        <v/>
      </c>
      <c r="AJ57" s="49">
        <f>IF(B57="","",N(C57))</f>
        <v/>
      </c>
      <c r="AK57" s="49">
        <f>IF(OR(B57="",O57="Cancelled",O57="Rescheduled"),"",B57&amp;"|"&amp;(COUNTIFS('JOBS'!$B$5:$B$1504,B57,'JOBS'!$AJ$5:$AJ$1504,"&lt;"&amp;AJ57,'JOBS'!$O$5:$O$1504,"&lt;&gt;Cancelled",'JOBS'!$O$5:$O$1504,"&lt;&gt;Rescheduled")+COUNTIFS($B$5:B57,B57,$AJ$5:AJ57,AJ57,$O$5:O57,"&lt;&gt;Cancelled",$O$5:O57,"&lt;&gt;Rescheduled")))</f>
        <v/>
      </c>
      <c r="AL57" s="49">
        <f>IF(N(U57)&lt;=0.005,"",COUNTIFS('JOBS'!$U$5:$U$1504,"&gt;0.005",'JOBS'!$B$5:$B$1504,"&lt;"&amp;B57)+COUNTIFS($U$5:U57,"&gt;0.005",$B$5:B57,B57))</f>
        <v/>
      </c>
    </row>
    <row r="58">
      <c r="A58" s="46" t="inlineStr">
        <is>
          <t>J-0054</t>
        </is>
      </c>
      <c r="B58" s="47" t="n">
        <v>46105</v>
      </c>
      <c r="C58" s="94" t="n">
        <v>0.625</v>
      </c>
      <c r="D58" s="38" t="inlineStr">
        <is>
          <t>Lane Ivers</t>
        </is>
      </c>
      <c r="E58" s="38" t="inlineStr">
        <is>
          <t>497 Aspen Drive, Sampletown</t>
        </is>
      </c>
      <c r="F58" s="38" t="inlineStr">
        <is>
          <t>Standard Clean</t>
        </is>
      </c>
      <c r="G58" s="38" t="inlineStr">
        <is>
          <t>R-001</t>
        </is>
      </c>
      <c r="H58" s="38" t="inlineStr">
        <is>
          <t>Maria Lopez</t>
        </is>
      </c>
      <c r="I58" s="57" t="n">
        <v>1</v>
      </c>
      <c r="J58" s="95" t="n"/>
      <c r="K58" s="95" t="n">
        <v>4.3</v>
      </c>
      <c r="L58" s="48" t="n">
        <v>175</v>
      </c>
      <c r="M58" s="96" t="n">
        <v>0</v>
      </c>
      <c r="N58" s="48" t="n"/>
      <c r="O58" s="38" t="inlineStr">
        <is>
          <t>Completed</t>
        </is>
      </c>
      <c r="P58" s="38" t="inlineStr"/>
      <c r="Q58" s="97">
        <f>IF(OR(F58="",E58=""),"",IFERROR(IF(INDEX('PROPERTIES'!$F$5:$F$404,MATCH(E58,'PROPERTIES'!$B$5:$B$404,0))=0,"",ROUND((INDEX('PROPERTIES'!$F$5:$F$404,MATCH(E58,'PROPERTIES'!$B$5:$B$404,0))/INDEX('PRICING'!$C$7:$C$16,MATCH(F58,'PRICING'!$A$7:$A$16,0))+INDEX('PROPERTIES'!$G$5:$G$404,MATCH(E58,'PROPERTIES'!$B$5:$B$404,0))*INDEX('PRICING'!$D$7:$D$16,MATCH(F58,'PRICING'!$A$7:$A$16,0))/60+INDEX('PROPERTIES'!$H$5:$H$404,MATCH(E58,'PROPERTIES'!$B$5:$B$404,0))*INDEX('PRICING'!$E$7:$E$16,MATCH(F58,'PRICING'!$A$7:$A$16,0))/60+INDEX('PRICING'!$F$7:$F$16,MATCH(F58,'PRICING'!$A$7:$A$16,0))/60),2)),""))</f>
        <v/>
      </c>
      <c r="R58" s="97">
        <f>IF(B58="","",IF(N(K58)&gt;0,K58,IF(N(J58)&gt;0,J58,N(Q58))))</f>
        <v/>
      </c>
      <c r="S58" s="55">
        <f>IF(L58="","",ROUND(L58*(1+N(M58)),2))</f>
        <v/>
      </c>
      <c r="T58" s="55">
        <f>IF(B58="","",SUMIFS('REVENUE'!$C$5:$C$1504,'REVENUE'!$B$5:$B$1504,A58))</f>
        <v/>
      </c>
      <c r="U58" s="55">
        <f>IF(B58="","",IF(O58="Completed",MAX(0,N(S58)-T58),""))</f>
        <v/>
      </c>
      <c r="V58" s="49">
        <f>IF(B58="","",IF(O58&lt;&gt;"Completed",IF(T58&gt;0,"Deposit","—"),IF(U58&lt;=0.005,"Paid",IF(T58&gt;0,"Partial","Unpaid"))))</f>
        <v/>
      </c>
      <c r="W58" s="55">
        <f>IF(B58="","",IFERROR(1/(1/INDEX('STAFF &amp; TASKS'!$C$5:$C$24,MATCH(H58,'STAFF &amp; TASKS'!$A$5:$A$24,0))),PayRate))</f>
        <v/>
      </c>
      <c r="X58" s="55">
        <f>IF(B58="","",IF(OR(O58="Cancelled",O58="No-Show"),"",ROUND(R58*W58*(1+Burden),2)))</f>
        <v/>
      </c>
      <c r="Y58" s="55">
        <f>IF(B58="","",IF(OR(O58="Cancelled",O58="No-Show"),"",IF(N58&lt;&gt;"",N58,ROUND(R58*SupHr*IFERROR(INDEX('PRICING'!$G$7:$G$16,MATCH(F58,'PRICING'!$A$7:$A$16,0)),1),2))))</f>
        <v/>
      </c>
      <c r="Z58" s="98">
        <f>IF(B58="","",SUMIFS('MILEAGE'!$J$5:$J$1504,'MILEAGE'!$B$5:$B$1504,A58))</f>
        <v/>
      </c>
      <c r="AA58" s="55">
        <f>IF(B58="","",ROUND(Z58*MileRate,2))</f>
        <v/>
      </c>
      <c r="AB58" s="55">
        <f>IF(B58="","",SUMIFS('REVENUE'!$J$5:$J$1504,'REVENUE'!$B$5:$B$1504,A58))</f>
        <v/>
      </c>
      <c r="AC58" s="55">
        <f>IF(L58="","",IF(OR(O58="Cancelled",O58="No-Show"),"",L58-N(X58)-N(Y58)-AA58-AB58))</f>
        <v/>
      </c>
      <c r="AD58" s="99">
        <f>IF(OR(AC58="",N(L58)=0),"",AC58/L58)</f>
        <v/>
      </c>
      <c r="AE58" s="55">
        <f>IF(OR(AC58="",N(R58)=0),"",L58/R58)</f>
        <v/>
      </c>
      <c r="AF58" s="100">
        <f>IF(OR(N(K58)=0,N(J58)+N(Q58)=0),"",K58-IF(N(J58)&gt;0,J58,Q58))</f>
        <v/>
      </c>
      <c r="AG58" s="99">
        <f>IF(B58="","",IFERROR(AVERAGEIFS('QUALITY CONTROL'!$M$5:$M$304,'QUALITY CONTROL'!$B$5:$B$304,A58),""))</f>
        <v/>
      </c>
      <c r="AH58" s="51">
        <f>IF(B58="","",DATE(YEAR(B58),MONTH(B58),1))</f>
        <v/>
      </c>
      <c r="AI58" s="49">
        <f>IF(D58="","",IFERROR(INDEX('CUSTOMERS'!$E$5:$E$404,MATCH(D58,'CUSTOMERS'!$B$5:$B$404,0)),""))</f>
        <v/>
      </c>
      <c r="AJ58" s="49">
        <f>IF(B58="","",N(C58))</f>
        <v/>
      </c>
      <c r="AK58" s="49">
        <f>IF(OR(B58="",O58="Cancelled",O58="Rescheduled"),"",B58&amp;"|"&amp;(COUNTIFS('JOBS'!$B$5:$B$1504,B58,'JOBS'!$AJ$5:$AJ$1504,"&lt;"&amp;AJ58,'JOBS'!$O$5:$O$1504,"&lt;&gt;Cancelled",'JOBS'!$O$5:$O$1504,"&lt;&gt;Rescheduled")+COUNTIFS($B$5:B58,B58,$AJ$5:AJ58,AJ58,$O$5:O58,"&lt;&gt;Cancelled",$O$5:O58,"&lt;&gt;Rescheduled")))</f>
        <v/>
      </c>
      <c r="AL58" s="49">
        <f>IF(N(U58)&lt;=0.005,"",COUNTIFS('JOBS'!$U$5:$U$1504,"&gt;0.005",'JOBS'!$B$5:$B$1504,"&lt;"&amp;B58)+COUNTIFS($U$5:U58,"&gt;0.005",$B$5:B58,B58))</f>
        <v/>
      </c>
    </row>
    <row r="59">
      <c r="A59" s="46" t="inlineStr">
        <is>
          <t>J-0055</t>
        </is>
      </c>
      <c r="B59" s="47" t="n">
        <v>46106</v>
      </c>
      <c r="C59" s="94" t="n">
        <v>0.3333333333333333</v>
      </c>
      <c r="D59" s="38" t="inlineStr">
        <is>
          <t>Emerson Holloway</t>
        </is>
      </c>
      <c r="E59" s="38" t="inlineStr">
        <is>
          <t>192 Birch Lane, North Sampletown</t>
        </is>
      </c>
      <c r="F59" s="38" t="inlineStr">
        <is>
          <t>Airbnb Turnover</t>
        </is>
      </c>
      <c r="G59" s="38" t="n"/>
      <c r="H59" s="38" t="inlineStr">
        <is>
          <t>Kevin Osei</t>
        </is>
      </c>
      <c r="I59" s="57" t="n">
        <v>1</v>
      </c>
      <c r="J59" s="95" t="n"/>
      <c r="K59" s="95" t="n">
        <v>2.04</v>
      </c>
      <c r="L59" s="48" t="n">
        <v>150</v>
      </c>
      <c r="M59" s="96" t="n">
        <v>0</v>
      </c>
      <c r="N59" s="48" t="n"/>
      <c r="O59" s="38" t="inlineStr">
        <is>
          <t>Completed</t>
        </is>
      </c>
      <c r="P59" s="38" t="inlineStr">
        <is>
          <t>Includes laundry</t>
        </is>
      </c>
      <c r="Q59" s="97">
        <f>IF(OR(F59="",E59=""),"",IFERROR(IF(INDEX('PROPERTIES'!$F$5:$F$404,MATCH(E59,'PROPERTIES'!$B$5:$B$404,0))=0,"",ROUND((INDEX('PROPERTIES'!$F$5:$F$404,MATCH(E59,'PROPERTIES'!$B$5:$B$404,0))/INDEX('PRICING'!$C$7:$C$16,MATCH(F59,'PRICING'!$A$7:$A$16,0))+INDEX('PROPERTIES'!$G$5:$G$404,MATCH(E59,'PROPERTIES'!$B$5:$B$404,0))*INDEX('PRICING'!$D$7:$D$16,MATCH(F59,'PRICING'!$A$7:$A$16,0))/60+INDEX('PROPERTIES'!$H$5:$H$404,MATCH(E59,'PROPERTIES'!$B$5:$B$404,0))*INDEX('PRICING'!$E$7:$E$16,MATCH(F59,'PRICING'!$A$7:$A$16,0))/60+INDEX('PRICING'!$F$7:$F$16,MATCH(F59,'PRICING'!$A$7:$A$16,0))/60),2)),""))</f>
        <v/>
      </c>
      <c r="R59" s="97">
        <f>IF(B59="","",IF(N(K59)&gt;0,K59,IF(N(J59)&gt;0,J59,N(Q59))))</f>
        <v/>
      </c>
      <c r="S59" s="55">
        <f>IF(L59="","",ROUND(L59*(1+N(M59)),2))</f>
        <v/>
      </c>
      <c r="T59" s="55">
        <f>IF(B59="","",SUMIFS('REVENUE'!$C$5:$C$1504,'REVENUE'!$B$5:$B$1504,A59))</f>
        <v/>
      </c>
      <c r="U59" s="55">
        <f>IF(B59="","",IF(O59="Completed",MAX(0,N(S59)-T59),""))</f>
        <v/>
      </c>
      <c r="V59" s="49">
        <f>IF(B59="","",IF(O59&lt;&gt;"Completed",IF(T59&gt;0,"Deposit","—"),IF(U59&lt;=0.005,"Paid",IF(T59&gt;0,"Partial","Unpaid"))))</f>
        <v/>
      </c>
      <c r="W59" s="55">
        <f>IF(B59="","",IFERROR(1/(1/INDEX('STAFF &amp; TASKS'!$C$5:$C$24,MATCH(H59,'STAFF &amp; TASKS'!$A$5:$A$24,0))),PayRate))</f>
        <v/>
      </c>
      <c r="X59" s="55">
        <f>IF(B59="","",IF(OR(O59="Cancelled",O59="No-Show"),"",ROUND(R59*W59*(1+Burden),2)))</f>
        <v/>
      </c>
      <c r="Y59" s="55">
        <f>IF(B59="","",IF(OR(O59="Cancelled",O59="No-Show"),"",IF(N59&lt;&gt;"",N59,ROUND(R59*SupHr*IFERROR(INDEX('PRICING'!$G$7:$G$16,MATCH(F59,'PRICING'!$A$7:$A$16,0)),1),2))))</f>
        <v/>
      </c>
      <c r="Z59" s="98">
        <f>IF(B59="","",SUMIFS('MILEAGE'!$J$5:$J$1504,'MILEAGE'!$B$5:$B$1504,A59))</f>
        <v/>
      </c>
      <c r="AA59" s="55">
        <f>IF(B59="","",ROUND(Z59*MileRate,2))</f>
        <v/>
      </c>
      <c r="AB59" s="55">
        <f>IF(B59="","",SUMIFS('REVENUE'!$J$5:$J$1504,'REVENUE'!$B$5:$B$1504,A59))</f>
        <v/>
      </c>
      <c r="AC59" s="55">
        <f>IF(L59="","",IF(OR(O59="Cancelled",O59="No-Show"),"",L59-N(X59)-N(Y59)-AA59-AB59))</f>
        <v/>
      </c>
      <c r="AD59" s="99">
        <f>IF(OR(AC59="",N(L59)=0),"",AC59/L59)</f>
        <v/>
      </c>
      <c r="AE59" s="55">
        <f>IF(OR(AC59="",N(R59)=0),"",L59/R59)</f>
        <v/>
      </c>
      <c r="AF59" s="100">
        <f>IF(OR(N(K59)=0,N(J59)+N(Q59)=0),"",K59-IF(N(J59)&gt;0,J59,Q59))</f>
        <v/>
      </c>
      <c r="AG59" s="99">
        <f>IF(B59="","",IFERROR(AVERAGEIFS('QUALITY CONTROL'!$M$5:$M$304,'QUALITY CONTROL'!$B$5:$B$304,A59),""))</f>
        <v/>
      </c>
      <c r="AH59" s="51">
        <f>IF(B59="","",DATE(YEAR(B59),MONTH(B59),1))</f>
        <v/>
      </c>
      <c r="AI59" s="49">
        <f>IF(D59="","",IFERROR(INDEX('CUSTOMERS'!$E$5:$E$404,MATCH(D59,'CUSTOMERS'!$B$5:$B$404,0)),""))</f>
        <v/>
      </c>
      <c r="AJ59" s="49">
        <f>IF(B59="","",N(C59))</f>
        <v/>
      </c>
      <c r="AK59" s="49">
        <f>IF(OR(B59="",O59="Cancelled",O59="Rescheduled"),"",B59&amp;"|"&amp;(COUNTIFS('JOBS'!$B$5:$B$1504,B59,'JOBS'!$AJ$5:$AJ$1504,"&lt;"&amp;AJ59,'JOBS'!$O$5:$O$1504,"&lt;&gt;Cancelled",'JOBS'!$O$5:$O$1504,"&lt;&gt;Rescheduled")+COUNTIFS($B$5:B59,B59,$AJ$5:AJ59,AJ59,$O$5:O59,"&lt;&gt;Cancelled",$O$5:O59,"&lt;&gt;Rescheduled")))</f>
        <v/>
      </c>
      <c r="AL59" s="49">
        <f>IF(N(U59)&lt;=0.005,"",COUNTIFS('JOBS'!$U$5:$U$1504,"&gt;0.005",'JOBS'!$B$5:$B$1504,"&lt;"&amp;B59)+COUNTIFS($U$5:U59,"&gt;0.005",$B$5:B59,B59))</f>
        <v/>
      </c>
    </row>
    <row r="60">
      <c r="A60" s="46" t="inlineStr">
        <is>
          <t>J-0056</t>
        </is>
      </c>
      <c r="B60" s="47" t="n">
        <v>46106</v>
      </c>
      <c r="C60" s="94" t="n">
        <v>0.4166666666666667</v>
      </c>
      <c r="D60" s="38" t="inlineStr">
        <is>
          <t>Logan Porter</t>
        </is>
      </c>
      <c r="E60" s="38" t="inlineStr">
        <is>
          <t>675 Aspen Drive, Lakeview (fictional)</t>
        </is>
      </c>
      <c r="F60" s="38" t="inlineStr">
        <is>
          <t>Deep Clean</t>
        </is>
      </c>
      <c r="G60" s="38" t="n"/>
      <c r="H60" s="38" t="inlineStr">
        <is>
          <t>Maria Lopez</t>
        </is>
      </c>
      <c r="I60" s="57" t="n">
        <v>2</v>
      </c>
      <c r="J60" s="95" t="n"/>
      <c r="K60" s="95" t="n">
        <v>8.699999999999999</v>
      </c>
      <c r="L60" s="48" t="n">
        <v>530</v>
      </c>
      <c r="M60" s="96" t="n">
        <v>0</v>
      </c>
      <c r="N60" s="48" t="n"/>
      <c r="O60" s="38" t="inlineStr">
        <is>
          <t>Completed</t>
        </is>
      </c>
      <c r="P60" s="38" t="inlineStr">
        <is>
          <t>Initial deep clean</t>
        </is>
      </c>
      <c r="Q60" s="97">
        <f>IF(OR(F60="",E60=""),"",IFERROR(IF(INDEX('PROPERTIES'!$F$5:$F$404,MATCH(E60,'PROPERTIES'!$B$5:$B$404,0))=0,"",ROUND((INDEX('PROPERTIES'!$F$5:$F$404,MATCH(E60,'PROPERTIES'!$B$5:$B$404,0))/INDEX('PRICING'!$C$7:$C$16,MATCH(F60,'PRICING'!$A$7:$A$16,0))+INDEX('PROPERTIES'!$G$5:$G$404,MATCH(E60,'PROPERTIES'!$B$5:$B$404,0))*INDEX('PRICING'!$D$7:$D$16,MATCH(F60,'PRICING'!$A$7:$A$16,0))/60+INDEX('PROPERTIES'!$H$5:$H$404,MATCH(E60,'PROPERTIES'!$B$5:$B$404,0))*INDEX('PRICING'!$E$7:$E$16,MATCH(F60,'PRICING'!$A$7:$A$16,0))/60+INDEX('PRICING'!$F$7:$F$16,MATCH(F60,'PRICING'!$A$7:$A$16,0))/60),2)),""))</f>
        <v/>
      </c>
      <c r="R60" s="97">
        <f>IF(B60="","",IF(N(K60)&gt;0,K60,IF(N(J60)&gt;0,J60,N(Q60))))</f>
        <v/>
      </c>
      <c r="S60" s="55">
        <f>IF(L60="","",ROUND(L60*(1+N(M60)),2))</f>
        <v/>
      </c>
      <c r="T60" s="55">
        <f>IF(B60="","",SUMIFS('REVENUE'!$C$5:$C$1504,'REVENUE'!$B$5:$B$1504,A60))</f>
        <v/>
      </c>
      <c r="U60" s="55">
        <f>IF(B60="","",IF(O60="Completed",MAX(0,N(S60)-T60),""))</f>
        <v/>
      </c>
      <c r="V60" s="49">
        <f>IF(B60="","",IF(O60&lt;&gt;"Completed",IF(T60&gt;0,"Deposit","—"),IF(U60&lt;=0.005,"Paid",IF(T60&gt;0,"Partial","Unpaid"))))</f>
        <v/>
      </c>
      <c r="W60" s="55">
        <f>IF(B60="","",IFERROR(1/(1/INDEX('STAFF &amp; TASKS'!$C$5:$C$24,MATCH(H60,'STAFF &amp; TASKS'!$A$5:$A$24,0))),PayRate))</f>
        <v/>
      </c>
      <c r="X60" s="55">
        <f>IF(B60="","",IF(OR(O60="Cancelled",O60="No-Show"),"",ROUND(R60*W60*(1+Burden),2)))</f>
        <v/>
      </c>
      <c r="Y60" s="55">
        <f>IF(B60="","",IF(OR(O60="Cancelled",O60="No-Show"),"",IF(N60&lt;&gt;"",N60,ROUND(R60*SupHr*IFERROR(INDEX('PRICING'!$G$7:$G$16,MATCH(F60,'PRICING'!$A$7:$A$16,0)),1),2))))</f>
        <v/>
      </c>
      <c r="Z60" s="98">
        <f>IF(B60="","",SUMIFS('MILEAGE'!$J$5:$J$1504,'MILEAGE'!$B$5:$B$1504,A60))</f>
        <v/>
      </c>
      <c r="AA60" s="55">
        <f>IF(B60="","",ROUND(Z60*MileRate,2))</f>
        <v/>
      </c>
      <c r="AB60" s="55">
        <f>IF(B60="","",SUMIFS('REVENUE'!$J$5:$J$1504,'REVENUE'!$B$5:$B$1504,A60))</f>
        <v/>
      </c>
      <c r="AC60" s="55">
        <f>IF(L60="","",IF(OR(O60="Cancelled",O60="No-Show"),"",L60-N(X60)-N(Y60)-AA60-AB60))</f>
        <v/>
      </c>
      <c r="AD60" s="99">
        <f>IF(OR(AC60="",N(L60)=0),"",AC60/L60)</f>
        <v/>
      </c>
      <c r="AE60" s="55">
        <f>IF(OR(AC60="",N(R60)=0),"",L60/R60)</f>
        <v/>
      </c>
      <c r="AF60" s="100">
        <f>IF(OR(N(K60)=0,N(J60)+N(Q60)=0),"",K60-IF(N(J60)&gt;0,J60,Q60))</f>
        <v/>
      </c>
      <c r="AG60" s="99">
        <f>IF(B60="","",IFERROR(AVERAGEIFS('QUALITY CONTROL'!$M$5:$M$304,'QUALITY CONTROL'!$B$5:$B$304,A60),""))</f>
        <v/>
      </c>
      <c r="AH60" s="51">
        <f>IF(B60="","",DATE(YEAR(B60),MONTH(B60),1))</f>
        <v/>
      </c>
      <c r="AI60" s="49">
        <f>IF(D60="","",IFERROR(INDEX('CUSTOMERS'!$E$5:$E$404,MATCH(D60,'CUSTOMERS'!$B$5:$B$404,0)),""))</f>
        <v/>
      </c>
      <c r="AJ60" s="49">
        <f>IF(B60="","",N(C60))</f>
        <v/>
      </c>
      <c r="AK60" s="49">
        <f>IF(OR(B60="",O60="Cancelled",O60="Rescheduled"),"",B60&amp;"|"&amp;(COUNTIFS('JOBS'!$B$5:$B$1504,B60,'JOBS'!$AJ$5:$AJ$1504,"&lt;"&amp;AJ60,'JOBS'!$O$5:$O$1504,"&lt;&gt;Cancelled",'JOBS'!$O$5:$O$1504,"&lt;&gt;Rescheduled")+COUNTIFS($B$5:B60,B60,$AJ$5:AJ60,AJ60,$O$5:O60,"&lt;&gt;Cancelled",$O$5:O60,"&lt;&gt;Rescheduled")))</f>
        <v/>
      </c>
      <c r="AL60" s="49">
        <f>IF(N(U60)&lt;=0.005,"",COUNTIFS('JOBS'!$U$5:$U$1504,"&gt;0.005",'JOBS'!$B$5:$B$1504,"&lt;"&amp;B60)+COUNTIFS($U$5:U60,"&gt;0.005",$B$5:B60,B60))</f>
        <v/>
      </c>
    </row>
    <row r="61">
      <c r="A61" s="46" t="inlineStr">
        <is>
          <t>J-0057</t>
        </is>
      </c>
      <c r="B61" s="47" t="n">
        <v>46108</v>
      </c>
      <c r="C61" s="94" t="n">
        <v>0.5208333333333334</v>
      </c>
      <c r="D61" s="38" t="inlineStr">
        <is>
          <t>Brightside Dental Studio (sample)</t>
        </is>
      </c>
      <c r="E61" s="38" t="inlineStr">
        <is>
          <t>738 Cedar Court, North Sampletown</t>
        </is>
      </c>
      <c r="F61" s="38" t="inlineStr">
        <is>
          <t>Commercial Clean</t>
        </is>
      </c>
      <c r="G61" s="38" t="inlineStr">
        <is>
          <t>R-011</t>
        </is>
      </c>
      <c r="H61" s="38" t="inlineStr">
        <is>
          <t>Kevin Osei</t>
        </is>
      </c>
      <c r="I61" s="57" t="n">
        <v>2</v>
      </c>
      <c r="J61" s="95" t="n"/>
      <c r="K61" s="95" t="n">
        <v>2.28</v>
      </c>
      <c r="L61" s="48" t="n">
        <v>100</v>
      </c>
      <c r="M61" s="96" t="n">
        <v>0</v>
      </c>
      <c r="N61" s="48" t="n"/>
      <c r="O61" s="38" t="inlineStr">
        <is>
          <t>Completed</t>
        </is>
      </c>
      <c r="P61" s="38" t="inlineStr"/>
      <c r="Q61" s="97">
        <f>IF(OR(F61="",E61=""),"",IFERROR(IF(INDEX('PROPERTIES'!$F$5:$F$404,MATCH(E61,'PROPERTIES'!$B$5:$B$404,0))=0,"",ROUND((INDEX('PROPERTIES'!$F$5:$F$404,MATCH(E61,'PROPERTIES'!$B$5:$B$404,0))/INDEX('PRICING'!$C$7:$C$16,MATCH(F61,'PRICING'!$A$7:$A$16,0))+INDEX('PROPERTIES'!$G$5:$G$404,MATCH(E61,'PROPERTIES'!$B$5:$B$404,0))*INDEX('PRICING'!$D$7:$D$16,MATCH(F61,'PRICING'!$A$7:$A$16,0))/60+INDEX('PROPERTIES'!$H$5:$H$404,MATCH(E61,'PROPERTIES'!$B$5:$B$404,0))*INDEX('PRICING'!$E$7:$E$16,MATCH(F61,'PRICING'!$A$7:$A$16,0))/60+INDEX('PRICING'!$F$7:$F$16,MATCH(F61,'PRICING'!$A$7:$A$16,0))/60),2)),""))</f>
        <v/>
      </c>
      <c r="R61" s="97">
        <f>IF(B61="","",IF(N(K61)&gt;0,K61,IF(N(J61)&gt;0,J61,N(Q61))))</f>
        <v/>
      </c>
      <c r="S61" s="55">
        <f>IF(L61="","",ROUND(L61*(1+N(M61)),2))</f>
        <v/>
      </c>
      <c r="T61" s="55">
        <f>IF(B61="","",SUMIFS('REVENUE'!$C$5:$C$1504,'REVENUE'!$B$5:$B$1504,A61))</f>
        <v/>
      </c>
      <c r="U61" s="55">
        <f>IF(B61="","",IF(O61="Completed",MAX(0,N(S61)-T61),""))</f>
        <v/>
      </c>
      <c r="V61" s="49">
        <f>IF(B61="","",IF(O61&lt;&gt;"Completed",IF(T61&gt;0,"Deposit","—"),IF(U61&lt;=0.005,"Paid",IF(T61&gt;0,"Partial","Unpaid"))))</f>
        <v/>
      </c>
      <c r="W61" s="55">
        <f>IF(B61="","",IFERROR(1/(1/INDEX('STAFF &amp; TASKS'!$C$5:$C$24,MATCH(H61,'STAFF &amp; TASKS'!$A$5:$A$24,0))),PayRate))</f>
        <v/>
      </c>
      <c r="X61" s="55">
        <f>IF(B61="","",IF(OR(O61="Cancelled",O61="No-Show"),"",ROUND(R61*W61*(1+Burden),2)))</f>
        <v/>
      </c>
      <c r="Y61" s="55">
        <f>IF(B61="","",IF(OR(O61="Cancelled",O61="No-Show"),"",IF(N61&lt;&gt;"",N61,ROUND(R61*SupHr*IFERROR(INDEX('PRICING'!$G$7:$G$16,MATCH(F61,'PRICING'!$A$7:$A$16,0)),1),2))))</f>
        <v/>
      </c>
      <c r="Z61" s="98">
        <f>IF(B61="","",SUMIFS('MILEAGE'!$J$5:$J$1504,'MILEAGE'!$B$5:$B$1504,A61))</f>
        <v/>
      </c>
      <c r="AA61" s="55">
        <f>IF(B61="","",ROUND(Z61*MileRate,2))</f>
        <v/>
      </c>
      <c r="AB61" s="55">
        <f>IF(B61="","",SUMIFS('REVENUE'!$J$5:$J$1504,'REVENUE'!$B$5:$B$1504,A61))</f>
        <v/>
      </c>
      <c r="AC61" s="55">
        <f>IF(L61="","",IF(OR(O61="Cancelled",O61="No-Show"),"",L61-N(X61)-N(Y61)-AA61-AB61))</f>
        <v/>
      </c>
      <c r="AD61" s="99">
        <f>IF(OR(AC61="",N(L61)=0),"",AC61/L61)</f>
        <v/>
      </c>
      <c r="AE61" s="55">
        <f>IF(OR(AC61="",N(R61)=0),"",L61/R61)</f>
        <v/>
      </c>
      <c r="AF61" s="100">
        <f>IF(OR(N(K61)=0,N(J61)+N(Q61)=0),"",K61-IF(N(J61)&gt;0,J61,Q61))</f>
        <v/>
      </c>
      <c r="AG61" s="99">
        <f>IF(B61="","",IFERROR(AVERAGEIFS('QUALITY CONTROL'!$M$5:$M$304,'QUALITY CONTROL'!$B$5:$B$304,A61),""))</f>
        <v/>
      </c>
      <c r="AH61" s="51">
        <f>IF(B61="","",DATE(YEAR(B61),MONTH(B61),1))</f>
        <v/>
      </c>
      <c r="AI61" s="49">
        <f>IF(D61="","",IFERROR(INDEX('CUSTOMERS'!$E$5:$E$404,MATCH(D61,'CUSTOMERS'!$B$5:$B$404,0)),""))</f>
        <v/>
      </c>
      <c r="AJ61" s="49">
        <f>IF(B61="","",N(C61))</f>
        <v/>
      </c>
      <c r="AK61" s="49">
        <f>IF(OR(B61="",O61="Cancelled",O61="Rescheduled"),"",B61&amp;"|"&amp;(COUNTIFS('JOBS'!$B$5:$B$1504,B61,'JOBS'!$AJ$5:$AJ$1504,"&lt;"&amp;AJ61,'JOBS'!$O$5:$O$1504,"&lt;&gt;Cancelled",'JOBS'!$O$5:$O$1504,"&lt;&gt;Rescheduled")+COUNTIFS($B$5:B61,B61,$AJ$5:AJ61,AJ61,$O$5:O61,"&lt;&gt;Cancelled",$O$5:O61,"&lt;&gt;Rescheduled")))</f>
        <v/>
      </c>
      <c r="AL61" s="49">
        <f>IF(N(U61)&lt;=0.005,"",COUNTIFS('JOBS'!$U$5:$U$1504,"&gt;0.005",'JOBS'!$B$5:$B$1504,"&lt;"&amp;B61)+COUNTIFS($U$5:U61,"&gt;0.005",$B$5:B61,B61))</f>
        <v/>
      </c>
    </row>
    <row r="62">
      <c r="A62" s="46" t="inlineStr">
        <is>
          <t>J-0058</t>
        </is>
      </c>
      <c r="B62" s="47" t="n">
        <v>46109</v>
      </c>
      <c r="C62" s="94" t="n">
        <v>0.5208333333333334</v>
      </c>
      <c r="D62" s="38" t="inlineStr">
        <is>
          <t>Noel Collins</t>
        </is>
      </c>
      <c r="E62" s="38" t="inlineStr">
        <is>
          <t>964 Cedar Court, Lakeview (fictional)</t>
        </is>
      </c>
      <c r="F62" s="38" t="inlineStr">
        <is>
          <t>Deep Clean</t>
        </is>
      </c>
      <c r="G62" s="38" t="n"/>
      <c r="H62" s="38" t="inlineStr">
        <is>
          <t>Maria Lopez</t>
        </is>
      </c>
      <c r="I62" s="57" t="n">
        <v>2</v>
      </c>
      <c r="J62" s="95" t="n"/>
      <c r="K62" s="95" t="n">
        <v>12.74</v>
      </c>
      <c r="L62" s="48" t="n">
        <v>595</v>
      </c>
      <c r="M62" s="96" t="n">
        <v>0</v>
      </c>
      <c r="N62" s="48" t="n"/>
      <c r="O62" s="38" t="inlineStr">
        <is>
          <t>Completed</t>
        </is>
      </c>
      <c r="P62" s="38" t="inlineStr">
        <is>
          <t>Initial deep clean</t>
        </is>
      </c>
      <c r="Q62" s="97">
        <f>IF(OR(F62="",E62=""),"",IFERROR(IF(INDEX('PROPERTIES'!$F$5:$F$404,MATCH(E62,'PROPERTIES'!$B$5:$B$404,0))=0,"",ROUND((INDEX('PROPERTIES'!$F$5:$F$404,MATCH(E62,'PROPERTIES'!$B$5:$B$404,0))/INDEX('PRICING'!$C$7:$C$16,MATCH(F62,'PRICING'!$A$7:$A$16,0))+INDEX('PROPERTIES'!$G$5:$G$404,MATCH(E62,'PROPERTIES'!$B$5:$B$404,0))*INDEX('PRICING'!$D$7:$D$16,MATCH(F62,'PRICING'!$A$7:$A$16,0))/60+INDEX('PROPERTIES'!$H$5:$H$404,MATCH(E62,'PROPERTIES'!$B$5:$B$404,0))*INDEX('PRICING'!$E$7:$E$16,MATCH(F62,'PRICING'!$A$7:$A$16,0))/60+INDEX('PRICING'!$F$7:$F$16,MATCH(F62,'PRICING'!$A$7:$A$16,0))/60),2)),""))</f>
        <v/>
      </c>
      <c r="R62" s="97">
        <f>IF(B62="","",IF(N(K62)&gt;0,K62,IF(N(J62)&gt;0,J62,N(Q62))))</f>
        <v/>
      </c>
      <c r="S62" s="55">
        <f>IF(L62="","",ROUND(L62*(1+N(M62)),2))</f>
        <v/>
      </c>
      <c r="T62" s="55">
        <f>IF(B62="","",SUMIFS('REVENUE'!$C$5:$C$1504,'REVENUE'!$B$5:$B$1504,A62))</f>
        <v/>
      </c>
      <c r="U62" s="55">
        <f>IF(B62="","",IF(O62="Completed",MAX(0,N(S62)-T62),""))</f>
        <v/>
      </c>
      <c r="V62" s="49">
        <f>IF(B62="","",IF(O62&lt;&gt;"Completed",IF(T62&gt;0,"Deposit","—"),IF(U62&lt;=0.005,"Paid",IF(T62&gt;0,"Partial","Unpaid"))))</f>
        <v/>
      </c>
      <c r="W62" s="55">
        <f>IF(B62="","",IFERROR(1/(1/INDEX('STAFF &amp; TASKS'!$C$5:$C$24,MATCH(H62,'STAFF &amp; TASKS'!$A$5:$A$24,0))),PayRate))</f>
        <v/>
      </c>
      <c r="X62" s="55">
        <f>IF(B62="","",IF(OR(O62="Cancelled",O62="No-Show"),"",ROUND(R62*W62*(1+Burden),2)))</f>
        <v/>
      </c>
      <c r="Y62" s="55">
        <f>IF(B62="","",IF(OR(O62="Cancelled",O62="No-Show"),"",IF(N62&lt;&gt;"",N62,ROUND(R62*SupHr*IFERROR(INDEX('PRICING'!$G$7:$G$16,MATCH(F62,'PRICING'!$A$7:$A$16,0)),1),2))))</f>
        <v/>
      </c>
      <c r="Z62" s="98">
        <f>IF(B62="","",SUMIFS('MILEAGE'!$J$5:$J$1504,'MILEAGE'!$B$5:$B$1504,A62))</f>
        <v/>
      </c>
      <c r="AA62" s="55">
        <f>IF(B62="","",ROUND(Z62*MileRate,2))</f>
        <v/>
      </c>
      <c r="AB62" s="55">
        <f>IF(B62="","",SUMIFS('REVENUE'!$J$5:$J$1504,'REVENUE'!$B$5:$B$1504,A62))</f>
        <v/>
      </c>
      <c r="AC62" s="55">
        <f>IF(L62="","",IF(OR(O62="Cancelled",O62="No-Show"),"",L62-N(X62)-N(Y62)-AA62-AB62))</f>
        <v/>
      </c>
      <c r="AD62" s="99">
        <f>IF(OR(AC62="",N(L62)=0),"",AC62/L62)</f>
        <v/>
      </c>
      <c r="AE62" s="55">
        <f>IF(OR(AC62="",N(R62)=0),"",L62/R62)</f>
        <v/>
      </c>
      <c r="AF62" s="100">
        <f>IF(OR(N(K62)=0,N(J62)+N(Q62)=0),"",K62-IF(N(J62)&gt;0,J62,Q62))</f>
        <v/>
      </c>
      <c r="AG62" s="99">
        <f>IF(B62="","",IFERROR(AVERAGEIFS('QUALITY CONTROL'!$M$5:$M$304,'QUALITY CONTROL'!$B$5:$B$304,A62),""))</f>
        <v/>
      </c>
      <c r="AH62" s="51">
        <f>IF(B62="","",DATE(YEAR(B62),MONTH(B62),1))</f>
        <v/>
      </c>
      <c r="AI62" s="49">
        <f>IF(D62="","",IFERROR(INDEX('CUSTOMERS'!$E$5:$E$404,MATCH(D62,'CUSTOMERS'!$B$5:$B$404,0)),""))</f>
        <v/>
      </c>
      <c r="AJ62" s="49">
        <f>IF(B62="","",N(C62))</f>
        <v/>
      </c>
      <c r="AK62" s="49">
        <f>IF(OR(B62="",O62="Cancelled",O62="Rescheduled"),"",B62&amp;"|"&amp;(COUNTIFS('JOBS'!$B$5:$B$1504,B62,'JOBS'!$AJ$5:$AJ$1504,"&lt;"&amp;AJ62,'JOBS'!$O$5:$O$1504,"&lt;&gt;Cancelled",'JOBS'!$O$5:$O$1504,"&lt;&gt;Rescheduled")+COUNTIFS($B$5:B62,B62,$AJ$5:AJ62,AJ62,$O$5:O62,"&lt;&gt;Cancelled",$O$5:O62,"&lt;&gt;Rescheduled")))</f>
        <v/>
      </c>
      <c r="AL62" s="49">
        <f>IF(N(U62)&lt;=0.005,"",COUNTIFS('JOBS'!$U$5:$U$1504,"&gt;0.005",'JOBS'!$B$5:$B$1504,"&lt;"&amp;B62)+COUNTIFS($U$5:U62,"&gt;0.005",$B$5:B62,B62))</f>
        <v/>
      </c>
    </row>
    <row r="63">
      <c r="A63" s="46" t="inlineStr">
        <is>
          <t>J-0059</t>
        </is>
      </c>
      <c r="B63" s="47" t="n">
        <v>46111</v>
      </c>
      <c r="C63" s="94" t="n">
        <v>0.3541666666666667</v>
      </c>
      <c r="D63" s="38" t="inlineStr">
        <is>
          <t>Taylor Quigley</t>
        </is>
      </c>
      <c r="E63" s="38" t="inlineStr">
        <is>
          <t>667 Willow Way, Sampletown</t>
        </is>
      </c>
      <c r="F63" s="38" t="inlineStr">
        <is>
          <t>Standard Clean</t>
        </is>
      </c>
      <c r="G63" s="38" t="inlineStr">
        <is>
          <t>R-009</t>
        </is>
      </c>
      <c r="H63" s="38" t="inlineStr">
        <is>
          <t>Maria Lopez</t>
        </is>
      </c>
      <c r="I63" s="57" t="n">
        <v>1</v>
      </c>
      <c r="J63" s="95" t="n"/>
      <c r="K63" s="95" t="n">
        <v>2.83</v>
      </c>
      <c r="L63" s="48" t="n">
        <v>145</v>
      </c>
      <c r="M63" s="96" t="n">
        <v>0</v>
      </c>
      <c r="N63" s="48" t="n"/>
      <c r="O63" s="38" t="inlineStr">
        <is>
          <t>Completed</t>
        </is>
      </c>
      <c r="P63" s="38" t="inlineStr"/>
      <c r="Q63" s="97">
        <f>IF(OR(F63="",E63=""),"",IFERROR(IF(INDEX('PROPERTIES'!$F$5:$F$404,MATCH(E63,'PROPERTIES'!$B$5:$B$404,0))=0,"",ROUND((INDEX('PROPERTIES'!$F$5:$F$404,MATCH(E63,'PROPERTIES'!$B$5:$B$404,0))/INDEX('PRICING'!$C$7:$C$16,MATCH(F63,'PRICING'!$A$7:$A$16,0))+INDEX('PROPERTIES'!$G$5:$G$404,MATCH(E63,'PROPERTIES'!$B$5:$B$404,0))*INDEX('PRICING'!$D$7:$D$16,MATCH(F63,'PRICING'!$A$7:$A$16,0))/60+INDEX('PROPERTIES'!$H$5:$H$404,MATCH(E63,'PROPERTIES'!$B$5:$B$404,0))*INDEX('PRICING'!$E$7:$E$16,MATCH(F63,'PRICING'!$A$7:$A$16,0))/60+INDEX('PRICING'!$F$7:$F$16,MATCH(F63,'PRICING'!$A$7:$A$16,0))/60),2)),""))</f>
        <v/>
      </c>
      <c r="R63" s="97">
        <f>IF(B63="","",IF(N(K63)&gt;0,K63,IF(N(J63)&gt;0,J63,N(Q63))))</f>
        <v/>
      </c>
      <c r="S63" s="55">
        <f>IF(L63="","",ROUND(L63*(1+N(M63)),2))</f>
        <v/>
      </c>
      <c r="T63" s="55">
        <f>IF(B63="","",SUMIFS('REVENUE'!$C$5:$C$1504,'REVENUE'!$B$5:$B$1504,A63))</f>
        <v/>
      </c>
      <c r="U63" s="55">
        <f>IF(B63="","",IF(O63="Completed",MAX(0,N(S63)-T63),""))</f>
        <v/>
      </c>
      <c r="V63" s="49">
        <f>IF(B63="","",IF(O63&lt;&gt;"Completed",IF(T63&gt;0,"Deposit","—"),IF(U63&lt;=0.005,"Paid",IF(T63&gt;0,"Partial","Unpaid"))))</f>
        <v/>
      </c>
      <c r="W63" s="55">
        <f>IF(B63="","",IFERROR(1/(1/INDEX('STAFF &amp; TASKS'!$C$5:$C$24,MATCH(H63,'STAFF &amp; TASKS'!$A$5:$A$24,0))),PayRate))</f>
        <v/>
      </c>
      <c r="X63" s="55">
        <f>IF(B63="","",IF(OR(O63="Cancelled",O63="No-Show"),"",ROUND(R63*W63*(1+Burden),2)))</f>
        <v/>
      </c>
      <c r="Y63" s="55">
        <f>IF(B63="","",IF(OR(O63="Cancelled",O63="No-Show"),"",IF(N63&lt;&gt;"",N63,ROUND(R63*SupHr*IFERROR(INDEX('PRICING'!$G$7:$G$16,MATCH(F63,'PRICING'!$A$7:$A$16,0)),1),2))))</f>
        <v/>
      </c>
      <c r="Z63" s="98">
        <f>IF(B63="","",SUMIFS('MILEAGE'!$J$5:$J$1504,'MILEAGE'!$B$5:$B$1504,A63))</f>
        <v/>
      </c>
      <c r="AA63" s="55">
        <f>IF(B63="","",ROUND(Z63*MileRate,2))</f>
        <v/>
      </c>
      <c r="AB63" s="55">
        <f>IF(B63="","",SUMIFS('REVENUE'!$J$5:$J$1504,'REVENUE'!$B$5:$B$1504,A63))</f>
        <v/>
      </c>
      <c r="AC63" s="55">
        <f>IF(L63="","",IF(OR(O63="Cancelled",O63="No-Show"),"",L63-N(X63)-N(Y63)-AA63-AB63))</f>
        <v/>
      </c>
      <c r="AD63" s="99">
        <f>IF(OR(AC63="",N(L63)=0),"",AC63/L63)</f>
        <v/>
      </c>
      <c r="AE63" s="55">
        <f>IF(OR(AC63="",N(R63)=0),"",L63/R63)</f>
        <v/>
      </c>
      <c r="AF63" s="100">
        <f>IF(OR(N(K63)=0,N(J63)+N(Q63)=0),"",K63-IF(N(J63)&gt;0,J63,Q63))</f>
        <v/>
      </c>
      <c r="AG63" s="99">
        <f>IF(B63="","",IFERROR(AVERAGEIFS('QUALITY CONTROL'!$M$5:$M$304,'QUALITY CONTROL'!$B$5:$B$304,A63),""))</f>
        <v/>
      </c>
      <c r="AH63" s="51">
        <f>IF(B63="","",DATE(YEAR(B63),MONTH(B63),1))</f>
        <v/>
      </c>
      <c r="AI63" s="49">
        <f>IF(D63="","",IFERROR(INDEX('CUSTOMERS'!$E$5:$E$404,MATCH(D63,'CUSTOMERS'!$B$5:$B$404,0)),""))</f>
        <v/>
      </c>
      <c r="AJ63" s="49">
        <f>IF(B63="","",N(C63))</f>
        <v/>
      </c>
      <c r="AK63" s="49">
        <f>IF(OR(B63="",O63="Cancelled",O63="Rescheduled"),"",B63&amp;"|"&amp;(COUNTIFS('JOBS'!$B$5:$B$1504,B63,'JOBS'!$AJ$5:$AJ$1504,"&lt;"&amp;AJ63,'JOBS'!$O$5:$O$1504,"&lt;&gt;Cancelled",'JOBS'!$O$5:$O$1504,"&lt;&gt;Rescheduled")+COUNTIFS($B$5:B63,B63,$AJ$5:AJ63,AJ63,$O$5:O63,"&lt;&gt;Cancelled",$O$5:O63,"&lt;&gt;Rescheduled")))</f>
        <v/>
      </c>
      <c r="AL63" s="49">
        <f>IF(N(U63)&lt;=0.005,"",COUNTIFS('JOBS'!$U$5:$U$1504,"&gt;0.005",'JOBS'!$B$5:$B$1504,"&lt;"&amp;B63)+COUNTIFS($U$5:U63,"&gt;0.005",$B$5:B63,B63))</f>
        <v/>
      </c>
    </row>
    <row r="64">
      <c r="A64" s="46" t="inlineStr">
        <is>
          <t>J-0060</t>
        </is>
      </c>
      <c r="B64" s="47" t="n">
        <v>46111</v>
      </c>
      <c r="C64" s="94" t="n">
        <v>0.5416666666666666</v>
      </c>
      <c r="D64" s="38" t="inlineStr">
        <is>
          <t>Dana Oakes</t>
        </is>
      </c>
      <c r="E64" s="38" t="inlineStr">
        <is>
          <t>666 Juniper Street, North Sampletown</t>
        </is>
      </c>
      <c r="F64" s="38" t="inlineStr">
        <is>
          <t>Airbnb Turnover</t>
        </is>
      </c>
      <c r="G64" s="38" t="n"/>
      <c r="H64" s="38" t="inlineStr">
        <is>
          <t>Kevin Osei</t>
        </is>
      </c>
      <c r="I64" s="57" t="n">
        <v>1</v>
      </c>
      <c r="J64" s="95" t="n"/>
      <c r="K64" s="95" t="n">
        <v>2.06</v>
      </c>
      <c r="L64" s="48" t="n">
        <v>135</v>
      </c>
      <c r="M64" s="96" t="n">
        <v>0</v>
      </c>
      <c r="N64" s="48" t="n"/>
      <c r="O64" s="38" t="inlineStr">
        <is>
          <t>Completed</t>
        </is>
      </c>
      <c r="P64" s="38" t="inlineStr">
        <is>
          <t>Includes laundry</t>
        </is>
      </c>
      <c r="Q64" s="97">
        <f>IF(OR(F64="",E64=""),"",IFERROR(IF(INDEX('PROPERTIES'!$F$5:$F$404,MATCH(E64,'PROPERTIES'!$B$5:$B$404,0))=0,"",ROUND((INDEX('PROPERTIES'!$F$5:$F$404,MATCH(E64,'PROPERTIES'!$B$5:$B$404,0))/INDEX('PRICING'!$C$7:$C$16,MATCH(F64,'PRICING'!$A$7:$A$16,0))+INDEX('PROPERTIES'!$G$5:$G$404,MATCH(E64,'PROPERTIES'!$B$5:$B$404,0))*INDEX('PRICING'!$D$7:$D$16,MATCH(F64,'PRICING'!$A$7:$A$16,0))/60+INDEX('PROPERTIES'!$H$5:$H$404,MATCH(E64,'PROPERTIES'!$B$5:$B$404,0))*INDEX('PRICING'!$E$7:$E$16,MATCH(F64,'PRICING'!$A$7:$A$16,0))/60+INDEX('PRICING'!$F$7:$F$16,MATCH(F64,'PRICING'!$A$7:$A$16,0))/60),2)),""))</f>
        <v/>
      </c>
      <c r="R64" s="97">
        <f>IF(B64="","",IF(N(K64)&gt;0,K64,IF(N(J64)&gt;0,J64,N(Q64))))</f>
        <v/>
      </c>
      <c r="S64" s="55">
        <f>IF(L64="","",ROUND(L64*(1+N(M64)),2))</f>
        <v/>
      </c>
      <c r="T64" s="55">
        <f>IF(B64="","",SUMIFS('REVENUE'!$C$5:$C$1504,'REVENUE'!$B$5:$B$1504,A64))</f>
        <v/>
      </c>
      <c r="U64" s="55">
        <f>IF(B64="","",IF(O64="Completed",MAX(0,N(S64)-T64),""))</f>
        <v/>
      </c>
      <c r="V64" s="49">
        <f>IF(B64="","",IF(O64&lt;&gt;"Completed",IF(T64&gt;0,"Deposit","—"),IF(U64&lt;=0.005,"Paid",IF(T64&gt;0,"Partial","Unpaid"))))</f>
        <v/>
      </c>
      <c r="W64" s="55">
        <f>IF(B64="","",IFERROR(1/(1/INDEX('STAFF &amp; TASKS'!$C$5:$C$24,MATCH(H64,'STAFF &amp; TASKS'!$A$5:$A$24,0))),PayRate))</f>
        <v/>
      </c>
      <c r="X64" s="55">
        <f>IF(B64="","",IF(OR(O64="Cancelled",O64="No-Show"),"",ROUND(R64*W64*(1+Burden),2)))</f>
        <v/>
      </c>
      <c r="Y64" s="55">
        <f>IF(B64="","",IF(OR(O64="Cancelled",O64="No-Show"),"",IF(N64&lt;&gt;"",N64,ROUND(R64*SupHr*IFERROR(INDEX('PRICING'!$G$7:$G$16,MATCH(F64,'PRICING'!$A$7:$A$16,0)),1),2))))</f>
        <v/>
      </c>
      <c r="Z64" s="98">
        <f>IF(B64="","",SUMIFS('MILEAGE'!$J$5:$J$1504,'MILEAGE'!$B$5:$B$1504,A64))</f>
        <v/>
      </c>
      <c r="AA64" s="55">
        <f>IF(B64="","",ROUND(Z64*MileRate,2))</f>
        <v/>
      </c>
      <c r="AB64" s="55">
        <f>IF(B64="","",SUMIFS('REVENUE'!$J$5:$J$1504,'REVENUE'!$B$5:$B$1504,A64))</f>
        <v/>
      </c>
      <c r="AC64" s="55">
        <f>IF(L64="","",IF(OR(O64="Cancelled",O64="No-Show"),"",L64-N(X64)-N(Y64)-AA64-AB64))</f>
        <v/>
      </c>
      <c r="AD64" s="99">
        <f>IF(OR(AC64="",N(L64)=0),"",AC64/L64)</f>
        <v/>
      </c>
      <c r="AE64" s="55">
        <f>IF(OR(AC64="",N(R64)=0),"",L64/R64)</f>
        <v/>
      </c>
      <c r="AF64" s="100">
        <f>IF(OR(N(K64)=0,N(J64)+N(Q64)=0),"",K64-IF(N(J64)&gt;0,J64,Q64))</f>
        <v/>
      </c>
      <c r="AG64" s="99">
        <f>IF(B64="","",IFERROR(AVERAGEIFS('QUALITY CONTROL'!$M$5:$M$304,'QUALITY CONTROL'!$B$5:$B$304,A64),""))</f>
        <v/>
      </c>
      <c r="AH64" s="51">
        <f>IF(B64="","",DATE(YEAR(B64),MONTH(B64),1))</f>
        <v/>
      </c>
      <c r="AI64" s="49">
        <f>IF(D64="","",IFERROR(INDEX('CUSTOMERS'!$E$5:$E$404,MATCH(D64,'CUSTOMERS'!$B$5:$B$404,0)),""))</f>
        <v/>
      </c>
      <c r="AJ64" s="49">
        <f>IF(B64="","",N(C64))</f>
        <v/>
      </c>
      <c r="AK64" s="49">
        <f>IF(OR(B64="",O64="Cancelled",O64="Rescheduled"),"",B64&amp;"|"&amp;(COUNTIFS('JOBS'!$B$5:$B$1504,B64,'JOBS'!$AJ$5:$AJ$1504,"&lt;"&amp;AJ64,'JOBS'!$O$5:$O$1504,"&lt;&gt;Cancelled",'JOBS'!$O$5:$O$1504,"&lt;&gt;Rescheduled")+COUNTIFS($B$5:B64,B64,$AJ$5:AJ64,AJ64,$O$5:O64,"&lt;&gt;Cancelled",$O$5:O64,"&lt;&gt;Rescheduled")))</f>
        <v/>
      </c>
      <c r="AL64" s="49">
        <f>IF(N(U64)&lt;=0.005,"",COUNTIFS('JOBS'!$U$5:$U$1504,"&gt;0.005",'JOBS'!$B$5:$B$1504,"&lt;"&amp;B64)+COUNTIFS($U$5:U64,"&gt;0.005",$B$5:B64,B64))</f>
        <v/>
      </c>
    </row>
    <row r="65">
      <c r="A65" s="46" t="inlineStr">
        <is>
          <t>J-0061</t>
        </is>
      </c>
      <c r="B65" s="47" t="n">
        <v>46111</v>
      </c>
      <c r="C65" s="94" t="n">
        <v>0.5833333333333334</v>
      </c>
      <c r="D65" s="38" t="inlineStr">
        <is>
          <t>Parker Lockhart</t>
        </is>
      </c>
      <c r="E65" s="38" t="inlineStr">
        <is>
          <t>412 Linden Place, Sampletown</t>
        </is>
      </c>
      <c r="F65" s="38" t="inlineStr">
        <is>
          <t>Airbnb Turnover</t>
        </is>
      </c>
      <c r="G65" s="38" t="n"/>
      <c r="H65" s="38" t="inlineStr">
        <is>
          <t>Kevin Osei</t>
        </is>
      </c>
      <c r="I65" s="57" t="n">
        <v>1</v>
      </c>
      <c r="J65" s="95" t="n"/>
      <c r="K65" s="95" t="n">
        <v>1.91</v>
      </c>
      <c r="L65" s="48" t="n">
        <v>150</v>
      </c>
      <c r="M65" s="96" t="n">
        <v>0</v>
      </c>
      <c r="N65" s="48" t="n"/>
      <c r="O65" s="38" t="inlineStr">
        <is>
          <t>Completed</t>
        </is>
      </c>
      <c r="P65" s="38" t="inlineStr">
        <is>
          <t>Includes laundry</t>
        </is>
      </c>
      <c r="Q65" s="97">
        <f>IF(OR(F65="",E65=""),"",IFERROR(IF(INDEX('PROPERTIES'!$F$5:$F$404,MATCH(E65,'PROPERTIES'!$B$5:$B$404,0))=0,"",ROUND((INDEX('PROPERTIES'!$F$5:$F$404,MATCH(E65,'PROPERTIES'!$B$5:$B$404,0))/INDEX('PRICING'!$C$7:$C$16,MATCH(F65,'PRICING'!$A$7:$A$16,0))+INDEX('PROPERTIES'!$G$5:$G$404,MATCH(E65,'PROPERTIES'!$B$5:$B$404,0))*INDEX('PRICING'!$D$7:$D$16,MATCH(F65,'PRICING'!$A$7:$A$16,0))/60+INDEX('PROPERTIES'!$H$5:$H$404,MATCH(E65,'PROPERTIES'!$B$5:$B$404,0))*INDEX('PRICING'!$E$7:$E$16,MATCH(F65,'PRICING'!$A$7:$A$16,0))/60+INDEX('PRICING'!$F$7:$F$16,MATCH(F65,'PRICING'!$A$7:$A$16,0))/60),2)),""))</f>
        <v/>
      </c>
      <c r="R65" s="97">
        <f>IF(B65="","",IF(N(K65)&gt;0,K65,IF(N(J65)&gt;0,J65,N(Q65))))</f>
        <v/>
      </c>
      <c r="S65" s="55">
        <f>IF(L65="","",ROUND(L65*(1+N(M65)),2))</f>
        <v/>
      </c>
      <c r="T65" s="55">
        <f>IF(B65="","",SUMIFS('REVENUE'!$C$5:$C$1504,'REVENUE'!$B$5:$B$1504,A65))</f>
        <v/>
      </c>
      <c r="U65" s="55">
        <f>IF(B65="","",IF(O65="Completed",MAX(0,N(S65)-T65),""))</f>
        <v/>
      </c>
      <c r="V65" s="49">
        <f>IF(B65="","",IF(O65&lt;&gt;"Completed",IF(T65&gt;0,"Deposit","—"),IF(U65&lt;=0.005,"Paid",IF(T65&gt;0,"Partial","Unpaid"))))</f>
        <v/>
      </c>
      <c r="W65" s="55">
        <f>IF(B65="","",IFERROR(1/(1/INDEX('STAFF &amp; TASKS'!$C$5:$C$24,MATCH(H65,'STAFF &amp; TASKS'!$A$5:$A$24,0))),PayRate))</f>
        <v/>
      </c>
      <c r="X65" s="55">
        <f>IF(B65="","",IF(OR(O65="Cancelled",O65="No-Show"),"",ROUND(R65*W65*(1+Burden),2)))</f>
        <v/>
      </c>
      <c r="Y65" s="55">
        <f>IF(B65="","",IF(OR(O65="Cancelled",O65="No-Show"),"",IF(N65&lt;&gt;"",N65,ROUND(R65*SupHr*IFERROR(INDEX('PRICING'!$G$7:$G$16,MATCH(F65,'PRICING'!$A$7:$A$16,0)),1),2))))</f>
        <v/>
      </c>
      <c r="Z65" s="98">
        <f>IF(B65="","",SUMIFS('MILEAGE'!$J$5:$J$1504,'MILEAGE'!$B$5:$B$1504,A65))</f>
        <v/>
      </c>
      <c r="AA65" s="55">
        <f>IF(B65="","",ROUND(Z65*MileRate,2))</f>
        <v/>
      </c>
      <c r="AB65" s="55">
        <f>IF(B65="","",SUMIFS('REVENUE'!$J$5:$J$1504,'REVENUE'!$B$5:$B$1504,A65))</f>
        <v/>
      </c>
      <c r="AC65" s="55">
        <f>IF(L65="","",IF(OR(O65="Cancelled",O65="No-Show"),"",L65-N(X65)-N(Y65)-AA65-AB65))</f>
        <v/>
      </c>
      <c r="AD65" s="99">
        <f>IF(OR(AC65="",N(L65)=0),"",AC65/L65)</f>
        <v/>
      </c>
      <c r="AE65" s="55">
        <f>IF(OR(AC65="",N(R65)=0),"",L65/R65)</f>
        <v/>
      </c>
      <c r="AF65" s="100">
        <f>IF(OR(N(K65)=0,N(J65)+N(Q65)=0),"",K65-IF(N(J65)&gt;0,J65,Q65))</f>
        <v/>
      </c>
      <c r="AG65" s="99">
        <f>IF(B65="","",IFERROR(AVERAGEIFS('QUALITY CONTROL'!$M$5:$M$304,'QUALITY CONTROL'!$B$5:$B$304,A65),""))</f>
        <v/>
      </c>
      <c r="AH65" s="51">
        <f>IF(B65="","",DATE(YEAR(B65),MONTH(B65),1))</f>
        <v/>
      </c>
      <c r="AI65" s="49">
        <f>IF(D65="","",IFERROR(INDEX('CUSTOMERS'!$E$5:$E$404,MATCH(D65,'CUSTOMERS'!$B$5:$B$404,0)),""))</f>
        <v/>
      </c>
      <c r="AJ65" s="49">
        <f>IF(B65="","",N(C65))</f>
        <v/>
      </c>
      <c r="AK65" s="49">
        <f>IF(OR(B65="",O65="Cancelled",O65="Rescheduled"),"",B65&amp;"|"&amp;(COUNTIFS('JOBS'!$B$5:$B$1504,B65,'JOBS'!$AJ$5:$AJ$1504,"&lt;"&amp;AJ65,'JOBS'!$O$5:$O$1504,"&lt;&gt;Cancelled",'JOBS'!$O$5:$O$1504,"&lt;&gt;Rescheduled")+COUNTIFS($B$5:B65,B65,$AJ$5:AJ65,AJ65,$O$5:O65,"&lt;&gt;Cancelled",$O$5:O65,"&lt;&gt;Rescheduled")))</f>
        <v/>
      </c>
      <c r="AL65" s="49">
        <f>IF(N(U65)&lt;=0.005,"",COUNTIFS('JOBS'!$U$5:$U$1504,"&gt;0.005",'JOBS'!$B$5:$B$1504,"&lt;"&amp;B65)+COUNTIFS($U$5:U65,"&gt;0.005",$B$5:B65,B65))</f>
        <v/>
      </c>
    </row>
    <row r="66">
      <c r="A66" s="46" t="inlineStr">
        <is>
          <t>J-0062</t>
        </is>
      </c>
      <c r="B66" s="47" t="n">
        <v>46112</v>
      </c>
      <c r="C66" s="94" t="n">
        <v>0.4166666666666667</v>
      </c>
      <c r="D66" s="38" t="inlineStr">
        <is>
          <t>Lane Ivers</t>
        </is>
      </c>
      <c r="E66" s="38" t="inlineStr">
        <is>
          <t>497 Aspen Drive, Sampletown</t>
        </is>
      </c>
      <c r="F66" s="38" t="inlineStr">
        <is>
          <t>Standard Clean</t>
        </is>
      </c>
      <c r="G66" s="38" t="inlineStr">
        <is>
          <t>R-001</t>
        </is>
      </c>
      <c r="H66" s="38" t="inlineStr">
        <is>
          <t>Maria Lopez</t>
        </is>
      </c>
      <c r="I66" s="57" t="n">
        <v>1</v>
      </c>
      <c r="J66" s="95" t="n"/>
      <c r="K66" s="95" t="n">
        <v>4.53</v>
      </c>
      <c r="L66" s="48" t="n">
        <v>175</v>
      </c>
      <c r="M66" s="96" t="n">
        <v>0</v>
      </c>
      <c r="N66" s="48" t="n"/>
      <c r="O66" s="38" t="inlineStr">
        <is>
          <t>Completed</t>
        </is>
      </c>
      <c r="P66" s="38" t="inlineStr"/>
      <c r="Q66" s="97">
        <f>IF(OR(F66="",E66=""),"",IFERROR(IF(INDEX('PROPERTIES'!$F$5:$F$404,MATCH(E66,'PROPERTIES'!$B$5:$B$404,0))=0,"",ROUND((INDEX('PROPERTIES'!$F$5:$F$404,MATCH(E66,'PROPERTIES'!$B$5:$B$404,0))/INDEX('PRICING'!$C$7:$C$16,MATCH(F66,'PRICING'!$A$7:$A$16,0))+INDEX('PROPERTIES'!$G$5:$G$404,MATCH(E66,'PROPERTIES'!$B$5:$B$404,0))*INDEX('PRICING'!$D$7:$D$16,MATCH(F66,'PRICING'!$A$7:$A$16,0))/60+INDEX('PROPERTIES'!$H$5:$H$404,MATCH(E66,'PROPERTIES'!$B$5:$B$404,0))*INDEX('PRICING'!$E$7:$E$16,MATCH(F66,'PRICING'!$A$7:$A$16,0))/60+INDEX('PRICING'!$F$7:$F$16,MATCH(F66,'PRICING'!$A$7:$A$16,0))/60),2)),""))</f>
        <v/>
      </c>
      <c r="R66" s="97">
        <f>IF(B66="","",IF(N(K66)&gt;0,K66,IF(N(J66)&gt;0,J66,N(Q66))))</f>
        <v/>
      </c>
      <c r="S66" s="55">
        <f>IF(L66="","",ROUND(L66*(1+N(M66)),2))</f>
        <v/>
      </c>
      <c r="T66" s="55">
        <f>IF(B66="","",SUMIFS('REVENUE'!$C$5:$C$1504,'REVENUE'!$B$5:$B$1504,A66))</f>
        <v/>
      </c>
      <c r="U66" s="55">
        <f>IF(B66="","",IF(O66="Completed",MAX(0,N(S66)-T66),""))</f>
        <v/>
      </c>
      <c r="V66" s="49">
        <f>IF(B66="","",IF(O66&lt;&gt;"Completed",IF(T66&gt;0,"Deposit","—"),IF(U66&lt;=0.005,"Paid",IF(T66&gt;0,"Partial","Unpaid"))))</f>
        <v/>
      </c>
      <c r="W66" s="55">
        <f>IF(B66="","",IFERROR(1/(1/INDEX('STAFF &amp; TASKS'!$C$5:$C$24,MATCH(H66,'STAFF &amp; TASKS'!$A$5:$A$24,0))),PayRate))</f>
        <v/>
      </c>
      <c r="X66" s="55">
        <f>IF(B66="","",IF(OR(O66="Cancelled",O66="No-Show"),"",ROUND(R66*W66*(1+Burden),2)))</f>
        <v/>
      </c>
      <c r="Y66" s="55">
        <f>IF(B66="","",IF(OR(O66="Cancelled",O66="No-Show"),"",IF(N66&lt;&gt;"",N66,ROUND(R66*SupHr*IFERROR(INDEX('PRICING'!$G$7:$G$16,MATCH(F66,'PRICING'!$A$7:$A$16,0)),1),2))))</f>
        <v/>
      </c>
      <c r="Z66" s="98">
        <f>IF(B66="","",SUMIFS('MILEAGE'!$J$5:$J$1504,'MILEAGE'!$B$5:$B$1504,A66))</f>
        <v/>
      </c>
      <c r="AA66" s="55">
        <f>IF(B66="","",ROUND(Z66*MileRate,2))</f>
        <v/>
      </c>
      <c r="AB66" s="55">
        <f>IF(B66="","",SUMIFS('REVENUE'!$J$5:$J$1504,'REVENUE'!$B$5:$B$1504,A66))</f>
        <v/>
      </c>
      <c r="AC66" s="55">
        <f>IF(L66="","",IF(OR(O66="Cancelled",O66="No-Show"),"",L66-N(X66)-N(Y66)-AA66-AB66))</f>
        <v/>
      </c>
      <c r="AD66" s="99">
        <f>IF(OR(AC66="",N(L66)=0),"",AC66/L66)</f>
        <v/>
      </c>
      <c r="AE66" s="55">
        <f>IF(OR(AC66="",N(R66)=0),"",L66/R66)</f>
        <v/>
      </c>
      <c r="AF66" s="100">
        <f>IF(OR(N(K66)=0,N(J66)+N(Q66)=0),"",K66-IF(N(J66)&gt;0,J66,Q66))</f>
        <v/>
      </c>
      <c r="AG66" s="99">
        <f>IF(B66="","",IFERROR(AVERAGEIFS('QUALITY CONTROL'!$M$5:$M$304,'QUALITY CONTROL'!$B$5:$B$304,A66),""))</f>
        <v/>
      </c>
      <c r="AH66" s="51">
        <f>IF(B66="","",DATE(YEAR(B66),MONTH(B66),1))</f>
        <v/>
      </c>
      <c r="AI66" s="49">
        <f>IF(D66="","",IFERROR(INDEX('CUSTOMERS'!$E$5:$E$404,MATCH(D66,'CUSTOMERS'!$B$5:$B$404,0)),""))</f>
        <v/>
      </c>
      <c r="AJ66" s="49">
        <f>IF(B66="","",N(C66))</f>
        <v/>
      </c>
      <c r="AK66" s="49">
        <f>IF(OR(B66="",O66="Cancelled",O66="Rescheduled"),"",B66&amp;"|"&amp;(COUNTIFS('JOBS'!$B$5:$B$1504,B66,'JOBS'!$AJ$5:$AJ$1504,"&lt;"&amp;AJ66,'JOBS'!$O$5:$O$1504,"&lt;&gt;Cancelled",'JOBS'!$O$5:$O$1504,"&lt;&gt;Rescheduled")+COUNTIFS($B$5:B66,B66,$AJ$5:AJ66,AJ66,$O$5:O66,"&lt;&gt;Cancelled",$O$5:O66,"&lt;&gt;Rescheduled")))</f>
        <v/>
      </c>
      <c r="AL66" s="49">
        <f>IF(N(U66)&lt;=0.005,"",COUNTIFS('JOBS'!$U$5:$U$1504,"&gt;0.005",'JOBS'!$B$5:$B$1504,"&lt;"&amp;B66)+COUNTIFS($U$5:U66,"&gt;0.005",$B$5:B66,B66))</f>
        <v/>
      </c>
    </row>
    <row r="67">
      <c r="A67" s="46" t="inlineStr">
        <is>
          <t>J-0063</t>
        </is>
      </c>
      <c r="B67" s="47" t="n">
        <v>46113</v>
      </c>
      <c r="C67" s="94" t="n">
        <v>0.5416666666666666</v>
      </c>
      <c r="D67" s="38" t="inlineStr">
        <is>
          <t>Logan Porter</t>
        </is>
      </c>
      <c r="E67" s="38" t="inlineStr">
        <is>
          <t>675 Aspen Drive, Lakeview (fictional)</t>
        </is>
      </c>
      <c r="F67" s="38" t="inlineStr">
        <is>
          <t>Standard Clean</t>
        </is>
      </c>
      <c r="G67" s="38" t="inlineStr">
        <is>
          <t>R-002</t>
        </is>
      </c>
      <c r="H67" s="38" t="inlineStr">
        <is>
          <t>Dana Whitfield</t>
        </is>
      </c>
      <c r="I67" s="57" t="n">
        <v>1</v>
      </c>
      <c r="J67" s="95" t="n"/>
      <c r="K67" s="95" t="n">
        <v>4.3</v>
      </c>
      <c r="L67" s="48" t="n">
        <v>220</v>
      </c>
      <c r="M67" s="96" t="n">
        <v>0</v>
      </c>
      <c r="N67" s="48" t="n"/>
      <c r="O67" s="38" t="inlineStr">
        <is>
          <t>Completed</t>
        </is>
      </c>
      <c r="P67" s="38" t="inlineStr"/>
      <c r="Q67" s="97">
        <f>IF(OR(F67="",E67=""),"",IFERROR(IF(INDEX('PROPERTIES'!$F$5:$F$404,MATCH(E67,'PROPERTIES'!$B$5:$B$404,0))=0,"",ROUND((INDEX('PROPERTIES'!$F$5:$F$404,MATCH(E67,'PROPERTIES'!$B$5:$B$404,0))/INDEX('PRICING'!$C$7:$C$16,MATCH(F67,'PRICING'!$A$7:$A$16,0))+INDEX('PROPERTIES'!$G$5:$G$404,MATCH(E67,'PROPERTIES'!$B$5:$B$404,0))*INDEX('PRICING'!$D$7:$D$16,MATCH(F67,'PRICING'!$A$7:$A$16,0))/60+INDEX('PROPERTIES'!$H$5:$H$404,MATCH(E67,'PROPERTIES'!$B$5:$B$404,0))*INDEX('PRICING'!$E$7:$E$16,MATCH(F67,'PRICING'!$A$7:$A$16,0))/60+INDEX('PRICING'!$F$7:$F$16,MATCH(F67,'PRICING'!$A$7:$A$16,0))/60),2)),""))</f>
        <v/>
      </c>
      <c r="R67" s="97">
        <f>IF(B67="","",IF(N(K67)&gt;0,K67,IF(N(J67)&gt;0,J67,N(Q67))))</f>
        <v/>
      </c>
      <c r="S67" s="55">
        <f>IF(L67="","",ROUND(L67*(1+N(M67)),2))</f>
        <v/>
      </c>
      <c r="T67" s="55">
        <f>IF(B67="","",SUMIFS('REVENUE'!$C$5:$C$1504,'REVENUE'!$B$5:$B$1504,A67))</f>
        <v/>
      </c>
      <c r="U67" s="55">
        <f>IF(B67="","",IF(O67="Completed",MAX(0,N(S67)-T67),""))</f>
        <v/>
      </c>
      <c r="V67" s="49">
        <f>IF(B67="","",IF(O67&lt;&gt;"Completed",IF(T67&gt;0,"Deposit","—"),IF(U67&lt;=0.005,"Paid",IF(T67&gt;0,"Partial","Unpaid"))))</f>
        <v/>
      </c>
      <c r="W67" s="55">
        <f>IF(B67="","",IFERROR(1/(1/INDEX('STAFF &amp; TASKS'!$C$5:$C$24,MATCH(H67,'STAFF &amp; TASKS'!$A$5:$A$24,0))),PayRate))</f>
        <v/>
      </c>
      <c r="X67" s="55">
        <f>IF(B67="","",IF(OR(O67="Cancelled",O67="No-Show"),"",ROUND(R67*W67*(1+Burden),2)))</f>
        <v/>
      </c>
      <c r="Y67" s="55">
        <f>IF(B67="","",IF(OR(O67="Cancelled",O67="No-Show"),"",IF(N67&lt;&gt;"",N67,ROUND(R67*SupHr*IFERROR(INDEX('PRICING'!$G$7:$G$16,MATCH(F67,'PRICING'!$A$7:$A$16,0)),1),2))))</f>
        <v/>
      </c>
      <c r="Z67" s="98">
        <f>IF(B67="","",SUMIFS('MILEAGE'!$J$5:$J$1504,'MILEAGE'!$B$5:$B$1504,A67))</f>
        <v/>
      </c>
      <c r="AA67" s="55">
        <f>IF(B67="","",ROUND(Z67*MileRate,2))</f>
        <v/>
      </c>
      <c r="AB67" s="55">
        <f>IF(B67="","",SUMIFS('REVENUE'!$J$5:$J$1504,'REVENUE'!$B$5:$B$1504,A67))</f>
        <v/>
      </c>
      <c r="AC67" s="55">
        <f>IF(L67="","",IF(OR(O67="Cancelled",O67="No-Show"),"",L67-N(X67)-N(Y67)-AA67-AB67))</f>
        <v/>
      </c>
      <c r="AD67" s="99">
        <f>IF(OR(AC67="",N(L67)=0),"",AC67/L67)</f>
        <v/>
      </c>
      <c r="AE67" s="55">
        <f>IF(OR(AC67="",N(R67)=0),"",L67/R67)</f>
        <v/>
      </c>
      <c r="AF67" s="100">
        <f>IF(OR(N(K67)=0,N(J67)+N(Q67)=0),"",K67-IF(N(J67)&gt;0,J67,Q67))</f>
        <v/>
      </c>
      <c r="AG67" s="99">
        <f>IF(B67="","",IFERROR(AVERAGEIFS('QUALITY CONTROL'!$M$5:$M$304,'QUALITY CONTROL'!$B$5:$B$304,A67),""))</f>
        <v/>
      </c>
      <c r="AH67" s="51">
        <f>IF(B67="","",DATE(YEAR(B67),MONTH(B67),1))</f>
        <v/>
      </c>
      <c r="AI67" s="49">
        <f>IF(D67="","",IFERROR(INDEX('CUSTOMERS'!$E$5:$E$404,MATCH(D67,'CUSTOMERS'!$B$5:$B$404,0)),""))</f>
        <v/>
      </c>
      <c r="AJ67" s="49">
        <f>IF(B67="","",N(C67))</f>
        <v/>
      </c>
      <c r="AK67" s="49">
        <f>IF(OR(B67="",O67="Cancelled",O67="Rescheduled"),"",B67&amp;"|"&amp;(COUNTIFS('JOBS'!$B$5:$B$1504,B67,'JOBS'!$AJ$5:$AJ$1504,"&lt;"&amp;AJ67,'JOBS'!$O$5:$O$1504,"&lt;&gt;Cancelled",'JOBS'!$O$5:$O$1504,"&lt;&gt;Rescheduled")+COUNTIFS($B$5:B67,B67,$AJ$5:AJ67,AJ67,$O$5:O67,"&lt;&gt;Cancelled",$O$5:O67,"&lt;&gt;Rescheduled")))</f>
        <v/>
      </c>
      <c r="AL67" s="49">
        <f>IF(N(U67)&lt;=0.005,"",COUNTIFS('JOBS'!$U$5:$U$1504,"&gt;0.005",'JOBS'!$B$5:$B$1504,"&lt;"&amp;B67)+COUNTIFS($U$5:U67,"&gt;0.005",$B$5:B67,B67))</f>
        <v/>
      </c>
    </row>
    <row r="68">
      <c r="A68" s="46" t="inlineStr">
        <is>
          <t>J-0064</t>
        </is>
      </c>
      <c r="B68" s="47" t="n">
        <v>46115</v>
      </c>
      <c r="C68" s="94" t="n">
        <v>0.3541666666666667</v>
      </c>
      <c r="D68" s="38" t="inlineStr">
        <is>
          <t>Brightside Dental Studio (sample)</t>
        </is>
      </c>
      <c r="E68" s="38" t="inlineStr">
        <is>
          <t>738 Cedar Court, North Sampletown</t>
        </is>
      </c>
      <c r="F68" s="38" t="inlineStr">
        <is>
          <t>Commercial Clean</t>
        </is>
      </c>
      <c r="G68" s="38" t="inlineStr">
        <is>
          <t>R-011</t>
        </is>
      </c>
      <c r="H68" s="38" t="inlineStr">
        <is>
          <t>Kevin Osei</t>
        </is>
      </c>
      <c r="I68" s="57" t="n">
        <v>2</v>
      </c>
      <c r="J68" s="95" t="n"/>
      <c r="K68" s="95" t="n">
        <v>2.15</v>
      </c>
      <c r="L68" s="48" t="n">
        <v>100</v>
      </c>
      <c r="M68" s="96" t="n">
        <v>0</v>
      </c>
      <c r="N68" s="48" t="n"/>
      <c r="O68" s="38" t="inlineStr">
        <is>
          <t>Completed</t>
        </is>
      </c>
      <c r="P68" s="38" t="inlineStr"/>
      <c r="Q68" s="97">
        <f>IF(OR(F68="",E68=""),"",IFERROR(IF(INDEX('PROPERTIES'!$F$5:$F$404,MATCH(E68,'PROPERTIES'!$B$5:$B$404,0))=0,"",ROUND((INDEX('PROPERTIES'!$F$5:$F$404,MATCH(E68,'PROPERTIES'!$B$5:$B$404,0))/INDEX('PRICING'!$C$7:$C$16,MATCH(F68,'PRICING'!$A$7:$A$16,0))+INDEX('PROPERTIES'!$G$5:$G$404,MATCH(E68,'PROPERTIES'!$B$5:$B$404,0))*INDEX('PRICING'!$D$7:$D$16,MATCH(F68,'PRICING'!$A$7:$A$16,0))/60+INDEX('PROPERTIES'!$H$5:$H$404,MATCH(E68,'PROPERTIES'!$B$5:$B$404,0))*INDEX('PRICING'!$E$7:$E$16,MATCH(F68,'PRICING'!$A$7:$A$16,0))/60+INDEX('PRICING'!$F$7:$F$16,MATCH(F68,'PRICING'!$A$7:$A$16,0))/60),2)),""))</f>
        <v/>
      </c>
      <c r="R68" s="97">
        <f>IF(B68="","",IF(N(K68)&gt;0,K68,IF(N(J68)&gt;0,J68,N(Q68))))</f>
        <v/>
      </c>
      <c r="S68" s="55">
        <f>IF(L68="","",ROUND(L68*(1+N(M68)),2))</f>
        <v/>
      </c>
      <c r="T68" s="55">
        <f>IF(B68="","",SUMIFS('REVENUE'!$C$5:$C$1504,'REVENUE'!$B$5:$B$1504,A68))</f>
        <v/>
      </c>
      <c r="U68" s="55">
        <f>IF(B68="","",IF(O68="Completed",MAX(0,N(S68)-T68),""))</f>
        <v/>
      </c>
      <c r="V68" s="49">
        <f>IF(B68="","",IF(O68&lt;&gt;"Completed",IF(T68&gt;0,"Deposit","—"),IF(U68&lt;=0.005,"Paid",IF(T68&gt;0,"Partial","Unpaid"))))</f>
        <v/>
      </c>
      <c r="W68" s="55">
        <f>IF(B68="","",IFERROR(1/(1/INDEX('STAFF &amp; TASKS'!$C$5:$C$24,MATCH(H68,'STAFF &amp; TASKS'!$A$5:$A$24,0))),PayRate))</f>
        <v/>
      </c>
      <c r="X68" s="55">
        <f>IF(B68="","",IF(OR(O68="Cancelled",O68="No-Show"),"",ROUND(R68*W68*(1+Burden),2)))</f>
        <v/>
      </c>
      <c r="Y68" s="55">
        <f>IF(B68="","",IF(OR(O68="Cancelled",O68="No-Show"),"",IF(N68&lt;&gt;"",N68,ROUND(R68*SupHr*IFERROR(INDEX('PRICING'!$G$7:$G$16,MATCH(F68,'PRICING'!$A$7:$A$16,0)),1),2))))</f>
        <v/>
      </c>
      <c r="Z68" s="98">
        <f>IF(B68="","",SUMIFS('MILEAGE'!$J$5:$J$1504,'MILEAGE'!$B$5:$B$1504,A68))</f>
        <v/>
      </c>
      <c r="AA68" s="55">
        <f>IF(B68="","",ROUND(Z68*MileRate,2))</f>
        <v/>
      </c>
      <c r="AB68" s="55">
        <f>IF(B68="","",SUMIFS('REVENUE'!$J$5:$J$1504,'REVENUE'!$B$5:$B$1504,A68))</f>
        <v/>
      </c>
      <c r="AC68" s="55">
        <f>IF(L68="","",IF(OR(O68="Cancelled",O68="No-Show"),"",L68-N(X68)-N(Y68)-AA68-AB68))</f>
        <v/>
      </c>
      <c r="AD68" s="99">
        <f>IF(OR(AC68="",N(L68)=0),"",AC68/L68)</f>
        <v/>
      </c>
      <c r="AE68" s="55">
        <f>IF(OR(AC68="",N(R68)=0),"",L68/R68)</f>
        <v/>
      </c>
      <c r="AF68" s="100">
        <f>IF(OR(N(K68)=0,N(J68)+N(Q68)=0),"",K68-IF(N(J68)&gt;0,J68,Q68))</f>
        <v/>
      </c>
      <c r="AG68" s="99">
        <f>IF(B68="","",IFERROR(AVERAGEIFS('QUALITY CONTROL'!$M$5:$M$304,'QUALITY CONTROL'!$B$5:$B$304,A68),""))</f>
        <v/>
      </c>
      <c r="AH68" s="51">
        <f>IF(B68="","",DATE(YEAR(B68),MONTH(B68),1))</f>
        <v/>
      </c>
      <c r="AI68" s="49">
        <f>IF(D68="","",IFERROR(INDEX('CUSTOMERS'!$E$5:$E$404,MATCH(D68,'CUSTOMERS'!$B$5:$B$404,0)),""))</f>
        <v/>
      </c>
      <c r="AJ68" s="49">
        <f>IF(B68="","",N(C68))</f>
        <v/>
      </c>
      <c r="AK68" s="49">
        <f>IF(OR(B68="",O68="Cancelled",O68="Rescheduled"),"",B68&amp;"|"&amp;(COUNTIFS('JOBS'!$B$5:$B$1504,B68,'JOBS'!$AJ$5:$AJ$1504,"&lt;"&amp;AJ68,'JOBS'!$O$5:$O$1504,"&lt;&gt;Cancelled",'JOBS'!$O$5:$O$1504,"&lt;&gt;Rescheduled")+COUNTIFS($B$5:B68,B68,$AJ$5:AJ68,AJ68,$O$5:O68,"&lt;&gt;Cancelled",$O$5:O68,"&lt;&gt;Rescheduled")))</f>
        <v/>
      </c>
      <c r="AL68" s="49">
        <f>IF(N(U68)&lt;=0.005,"",COUNTIFS('JOBS'!$U$5:$U$1504,"&gt;0.005",'JOBS'!$B$5:$B$1504,"&lt;"&amp;B68)+COUNTIFS($U$5:U68,"&gt;0.005",$B$5:B68,B68))</f>
        <v/>
      </c>
    </row>
    <row r="69">
      <c r="A69" s="46" t="inlineStr">
        <is>
          <t>J-0065</t>
        </is>
      </c>
      <c r="B69" s="47" t="n">
        <v>46115</v>
      </c>
      <c r="C69" s="94" t="n">
        <v>0.4791666666666667</v>
      </c>
      <c r="D69" s="38" t="inlineStr">
        <is>
          <t>Oakview Office Suites (sample)</t>
        </is>
      </c>
      <c r="E69" s="38" t="inlineStr">
        <is>
          <t>957 Hawthorn Road, North Sampletown</t>
        </is>
      </c>
      <c r="F69" s="38" t="inlineStr">
        <is>
          <t>Commercial Clean</t>
        </is>
      </c>
      <c r="G69" s="38" t="inlineStr">
        <is>
          <t>R-012</t>
        </is>
      </c>
      <c r="H69" s="38" t="inlineStr">
        <is>
          <t>Kevin Osei</t>
        </is>
      </c>
      <c r="I69" s="57" t="n">
        <v>2</v>
      </c>
      <c r="J69" s="95" t="n"/>
      <c r="K69" s="95" t="n">
        <v>4.12</v>
      </c>
      <c r="L69" s="48" t="n">
        <v>140</v>
      </c>
      <c r="M69" s="96" t="n">
        <v>0</v>
      </c>
      <c r="N69" s="48" t="n"/>
      <c r="O69" s="38" t="inlineStr">
        <is>
          <t>Completed</t>
        </is>
      </c>
      <c r="P69" s="38" t="inlineStr"/>
      <c r="Q69" s="97">
        <f>IF(OR(F69="",E69=""),"",IFERROR(IF(INDEX('PROPERTIES'!$F$5:$F$404,MATCH(E69,'PROPERTIES'!$B$5:$B$404,0))=0,"",ROUND((INDEX('PROPERTIES'!$F$5:$F$404,MATCH(E69,'PROPERTIES'!$B$5:$B$404,0))/INDEX('PRICING'!$C$7:$C$16,MATCH(F69,'PRICING'!$A$7:$A$16,0))+INDEX('PROPERTIES'!$G$5:$G$404,MATCH(E69,'PROPERTIES'!$B$5:$B$404,0))*INDEX('PRICING'!$D$7:$D$16,MATCH(F69,'PRICING'!$A$7:$A$16,0))/60+INDEX('PROPERTIES'!$H$5:$H$404,MATCH(E69,'PROPERTIES'!$B$5:$B$404,0))*INDEX('PRICING'!$E$7:$E$16,MATCH(F69,'PRICING'!$A$7:$A$16,0))/60+INDEX('PRICING'!$F$7:$F$16,MATCH(F69,'PRICING'!$A$7:$A$16,0))/60),2)),""))</f>
        <v/>
      </c>
      <c r="R69" s="97">
        <f>IF(B69="","",IF(N(K69)&gt;0,K69,IF(N(J69)&gt;0,J69,N(Q69))))</f>
        <v/>
      </c>
      <c r="S69" s="55">
        <f>IF(L69="","",ROUND(L69*(1+N(M69)),2))</f>
        <v/>
      </c>
      <c r="T69" s="55">
        <f>IF(B69="","",SUMIFS('REVENUE'!$C$5:$C$1504,'REVENUE'!$B$5:$B$1504,A69))</f>
        <v/>
      </c>
      <c r="U69" s="55">
        <f>IF(B69="","",IF(O69="Completed",MAX(0,N(S69)-T69),""))</f>
        <v/>
      </c>
      <c r="V69" s="49">
        <f>IF(B69="","",IF(O69&lt;&gt;"Completed",IF(T69&gt;0,"Deposit","—"),IF(U69&lt;=0.005,"Paid",IF(T69&gt;0,"Partial","Unpaid"))))</f>
        <v/>
      </c>
      <c r="W69" s="55">
        <f>IF(B69="","",IFERROR(1/(1/INDEX('STAFF &amp; TASKS'!$C$5:$C$24,MATCH(H69,'STAFF &amp; TASKS'!$A$5:$A$24,0))),PayRate))</f>
        <v/>
      </c>
      <c r="X69" s="55">
        <f>IF(B69="","",IF(OR(O69="Cancelled",O69="No-Show"),"",ROUND(R69*W69*(1+Burden),2)))</f>
        <v/>
      </c>
      <c r="Y69" s="55">
        <f>IF(B69="","",IF(OR(O69="Cancelled",O69="No-Show"),"",IF(N69&lt;&gt;"",N69,ROUND(R69*SupHr*IFERROR(INDEX('PRICING'!$G$7:$G$16,MATCH(F69,'PRICING'!$A$7:$A$16,0)),1),2))))</f>
        <v/>
      </c>
      <c r="Z69" s="98">
        <f>IF(B69="","",SUMIFS('MILEAGE'!$J$5:$J$1504,'MILEAGE'!$B$5:$B$1504,A69))</f>
        <v/>
      </c>
      <c r="AA69" s="55">
        <f>IF(B69="","",ROUND(Z69*MileRate,2))</f>
        <v/>
      </c>
      <c r="AB69" s="55">
        <f>IF(B69="","",SUMIFS('REVENUE'!$J$5:$J$1504,'REVENUE'!$B$5:$B$1504,A69))</f>
        <v/>
      </c>
      <c r="AC69" s="55">
        <f>IF(L69="","",IF(OR(O69="Cancelled",O69="No-Show"),"",L69-N(X69)-N(Y69)-AA69-AB69))</f>
        <v/>
      </c>
      <c r="AD69" s="99">
        <f>IF(OR(AC69="",N(L69)=0),"",AC69/L69)</f>
        <v/>
      </c>
      <c r="AE69" s="55">
        <f>IF(OR(AC69="",N(R69)=0),"",L69/R69)</f>
        <v/>
      </c>
      <c r="AF69" s="100">
        <f>IF(OR(N(K69)=0,N(J69)+N(Q69)=0),"",K69-IF(N(J69)&gt;0,J69,Q69))</f>
        <v/>
      </c>
      <c r="AG69" s="99">
        <f>IF(B69="","",IFERROR(AVERAGEIFS('QUALITY CONTROL'!$M$5:$M$304,'QUALITY CONTROL'!$B$5:$B$304,A69),""))</f>
        <v/>
      </c>
      <c r="AH69" s="51">
        <f>IF(B69="","",DATE(YEAR(B69),MONTH(B69),1))</f>
        <v/>
      </c>
      <c r="AI69" s="49">
        <f>IF(D69="","",IFERROR(INDEX('CUSTOMERS'!$E$5:$E$404,MATCH(D69,'CUSTOMERS'!$B$5:$B$404,0)),""))</f>
        <v/>
      </c>
      <c r="AJ69" s="49">
        <f>IF(B69="","",N(C69))</f>
        <v/>
      </c>
      <c r="AK69" s="49">
        <f>IF(OR(B69="",O69="Cancelled",O69="Rescheduled"),"",B69&amp;"|"&amp;(COUNTIFS('JOBS'!$B$5:$B$1504,B69,'JOBS'!$AJ$5:$AJ$1504,"&lt;"&amp;AJ69,'JOBS'!$O$5:$O$1504,"&lt;&gt;Cancelled",'JOBS'!$O$5:$O$1504,"&lt;&gt;Rescheduled")+COUNTIFS($B$5:B69,B69,$AJ$5:AJ69,AJ69,$O$5:O69,"&lt;&gt;Cancelled",$O$5:O69,"&lt;&gt;Rescheduled")))</f>
        <v/>
      </c>
      <c r="AL69" s="49">
        <f>IF(N(U69)&lt;=0.005,"",COUNTIFS('JOBS'!$U$5:$U$1504,"&gt;0.005",'JOBS'!$B$5:$B$1504,"&lt;"&amp;B69)+COUNTIFS($U$5:U69,"&gt;0.005",$B$5:B69,B69))</f>
        <v/>
      </c>
    </row>
    <row r="70">
      <c r="A70" s="46" t="inlineStr">
        <is>
          <t>J-0066</t>
        </is>
      </c>
      <c r="B70" s="47" t="n">
        <v>46115</v>
      </c>
      <c r="C70" s="94" t="n">
        <v>0.625</v>
      </c>
      <c r="D70" s="38" t="inlineStr">
        <is>
          <t>Rowan Foxworth</t>
        </is>
      </c>
      <c r="E70" s="38" t="inlineStr">
        <is>
          <t>876 Magnolia Circle, North Sampletown</t>
        </is>
      </c>
      <c r="F70" s="38" t="inlineStr">
        <is>
          <t>Standard Clean</t>
        </is>
      </c>
      <c r="G70" s="38" t="inlineStr">
        <is>
          <t>R-005</t>
        </is>
      </c>
      <c r="H70" s="38" t="inlineStr">
        <is>
          <t>Maria Lopez</t>
        </is>
      </c>
      <c r="I70" s="57" t="n">
        <v>1</v>
      </c>
      <c r="J70" s="95" t="n"/>
      <c r="K70" s="95" t="n">
        <v>4.76</v>
      </c>
      <c r="L70" s="48" t="n">
        <v>220</v>
      </c>
      <c r="M70" s="96" t="n">
        <v>0</v>
      </c>
      <c r="N70" s="48" t="n"/>
      <c r="O70" s="38" t="inlineStr">
        <is>
          <t>Completed</t>
        </is>
      </c>
      <c r="P70" s="38" t="inlineStr"/>
      <c r="Q70" s="97">
        <f>IF(OR(F70="",E70=""),"",IFERROR(IF(INDEX('PROPERTIES'!$F$5:$F$404,MATCH(E70,'PROPERTIES'!$B$5:$B$404,0))=0,"",ROUND((INDEX('PROPERTIES'!$F$5:$F$404,MATCH(E70,'PROPERTIES'!$B$5:$B$404,0))/INDEX('PRICING'!$C$7:$C$16,MATCH(F70,'PRICING'!$A$7:$A$16,0))+INDEX('PROPERTIES'!$G$5:$G$404,MATCH(E70,'PROPERTIES'!$B$5:$B$404,0))*INDEX('PRICING'!$D$7:$D$16,MATCH(F70,'PRICING'!$A$7:$A$16,0))/60+INDEX('PROPERTIES'!$H$5:$H$404,MATCH(E70,'PROPERTIES'!$B$5:$B$404,0))*INDEX('PRICING'!$E$7:$E$16,MATCH(F70,'PRICING'!$A$7:$A$16,0))/60+INDEX('PRICING'!$F$7:$F$16,MATCH(F70,'PRICING'!$A$7:$A$16,0))/60),2)),""))</f>
        <v/>
      </c>
      <c r="R70" s="97">
        <f>IF(B70="","",IF(N(K70)&gt;0,K70,IF(N(J70)&gt;0,J70,N(Q70))))</f>
        <v/>
      </c>
      <c r="S70" s="55">
        <f>IF(L70="","",ROUND(L70*(1+N(M70)),2))</f>
        <v/>
      </c>
      <c r="T70" s="55">
        <f>IF(B70="","",SUMIFS('REVENUE'!$C$5:$C$1504,'REVENUE'!$B$5:$B$1504,A70))</f>
        <v/>
      </c>
      <c r="U70" s="55">
        <f>IF(B70="","",IF(O70="Completed",MAX(0,N(S70)-T70),""))</f>
        <v/>
      </c>
      <c r="V70" s="49">
        <f>IF(B70="","",IF(O70&lt;&gt;"Completed",IF(T70&gt;0,"Deposit","—"),IF(U70&lt;=0.005,"Paid",IF(T70&gt;0,"Partial","Unpaid"))))</f>
        <v/>
      </c>
      <c r="W70" s="55">
        <f>IF(B70="","",IFERROR(1/(1/INDEX('STAFF &amp; TASKS'!$C$5:$C$24,MATCH(H70,'STAFF &amp; TASKS'!$A$5:$A$24,0))),PayRate))</f>
        <v/>
      </c>
      <c r="X70" s="55">
        <f>IF(B70="","",IF(OR(O70="Cancelled",O70="No-Show"),"",ROUND(R70*W70*(1+Burden),2)))</f>
        <v/>
      </c>
      <c r="Y70" s="55">
        <f>IF(B70="","",IF(OR(O70="Cancelled",O70="No-Show"),"",IF(N70&lt;&gt;"",N70,ROUND(R70*SupHr*IFERROR(INDEX('PRICING'!$G$7:$G$16,MATCH(F70,'PRICING'!$A$7:$A$16,0)),1),2))))</f>
        <v/>
      </c>
      <c r="Z70" s="98">
        <f>IF(B70="","",SUMIFS('MILEAGE'!$J$5:$J$1504,'MILEAGE'!$B$5:$B$1504,A70))</f>
        <v/>
      </c>
      <c r="AA70" s="55">
        <f>IF(B70="","",ROUND(Z70*MileRate,2))</f>
        <v/>
      </c>
      <c r="AB70" s="55">
        <f>IF(B70="","",SUMIFS('REVENUE'!$J$5:$J$1504,'REVENUE'!$B$5:$B$1504,A70))</f>
        <v/>
      </c>
      <c r="AC70" s="55">
        <f>IF(L70="","",IF(OR(O70="Cancelled",O70="No-Show"),"",L70-N(X70)-N(Y70)-AA70-AB70))</f>
        <v/>
      </c>
      <c r="AD70" s="99">
        <f>IF(OR(AC70="",N(L70)=0),"",AC70/L70)</f>
        <v/>
      </c>
      <c r="AE70" s="55">
        <f>IF(OR(AC70="",N(R70)=0),"",L70/R70)</f>
        <v/>
      </c>
      <c r="AF70" s="100">
        <f>IF(OR(N(K70)=0,N(J70)+N(Q70)=0),"",K70-IF(N(J70)&gt;0,J70,Q70))</f>
        <v/>
      </c>
      <c r="AG70" s="99">
        <f>IF(B70="","",IFERROR(AVERAGEIFS('QUALITY CONTROL'!$M$5:$M$304,'QUALITY CONTROL'!$B$5:$B$304,A70),""))</f>
        <v/>
      </c>
      <c r="AH70" s="51">
        <f>IF(B70="","",DATE(YEAR(B70),MONTH(B70),1))</f>
        <v/>
      </c>
      <c r="AI70" s="49">
        <f>IF(D70="","",IFERROR(INDEX('CUSTOMERS'!$E$5:$E$404,MATCH(D70,'CUSTOMERS'!$B$5:$B$404,0)),""))</f>
        <v/>
      </c>
      <c r="AJ70" s="49">
        <f>IF(B70="","",N(C70))</f>
        <v/>
      </c>
      <c r="AK70" s="49">
        <f>IF(OR(B70="",O70="Cancelled",O70="Rescheduled"),"",B70&amp;"|"&amp;(COUNTIFS('JOBS'!$B$5:$B$1504,B70,'JOBS'!$AJ$5:$AJ$1504,"&lt;"&amp;AJ70,'JOBS'!$O$5:$O$1504,"&lt;&gt;Cancelled",'JOBS'!$O$5:$O$1504,"&lt;&gt;Rescheduled")+COUNTIFS($B$5:B70,B70,$AJ$5:AJ70,AJ70,$O$5:O70,"&lt;&gt;Cancelled",$O$5:O70,"&lt;&gt;Rescheduled")))</f>
        <v/>
      </c>
      <c r="AL70" s="49">
        <f>IF(N(U70)&lt;=0.005,"",COUNTIFS('JOBS'!$U$5:$U$1504,"&gt;0.005",'JOBS'!$B$5:$B$1504,"&lt;"&amp;B70)+COUNTIFS($U$5:U70,"&gt;0.005",$B$5:B70,B70))</f>
        <v/>
      </c>
    </row>
    <row r="71">
      <c r="A71" s="46" t="inlineStr">
        <is>
          <t>J-0067</t>
        </is>
      </c>
      <c r="B71" s="47" t="n">
        <v>46116</v>
      </c>
      <c r="C71" s="94" t="n">
        <v>0.375</v>
      </c>
      <c r="D71" s="38" t="inlineStr">
        <is>
          <t>Finley Quigley</t>
        </is>
      </c>
      <c r="E71" s="38" t="inlineStr">
        <is>
          <t>21 Maple Avenue, North Sampletown</t>
        </is>
      </c>
      <c r="F71" s="38" t="inlineStr">
        <is>
          <t>Deep Clean</t>
        </is>
      </c>
      <c r="G71" s="38" t="n"/>
      <c r="H71" s="38" t="inlineStr">
        <is>
          <t>Maria Lopez</t>
        </is>
      </c>
      <c r="I71" s="57" t="n">
        <v>2</v>
      </c>
      <c r="J71" s="95" t="n"/>
      <c r="K71" s="95" t="n">
        <v>5.16</v>
      </c>
      <c r="L71" s="48" t="n">
        <v>250</v>
      </c>
      <c r="M71" s="96" t="n">
        <v>0</v>
      </c>
      <c r="N71" s="48" t="n"/>
      <c r="O71" s="38" t="inlineStr">
        <is>
          <t>Completed</t>
        </is>
      </c>
      <c r="P71" s="38" t="inlineStr">
        <is>
          <t>Initial deep clean</t>
        </is>
      </c>
      <c r="Q71" s="97">
        <f>IF(OR(F71="",E71=""),"",IFERROR(IF(INDEX('PROPERTIES'!$F$5:$F$404,MATCH(E71,'PROPERTIES'!$B$5:$B$404,0))=0,"",ROUND((INDEX('PROPERTIES'!$F$5:$F$404,MATCH(E71,'PROPERTIES'!$B$5:$B$404,0))/INDEX('PRICING'!$C$7:$C$16,MATCH(F71,'PRICING'!$A$7:$A$16,0))+INDEX('PROPERTIES'!$G$5:$G$404,MATCH(E71,'PROPERTIES'!$B$5:$B$404,0))*INDEX('PRICING'!$D$7:$D$16,MATCH(F71,'PRICING'!$A$7:$A$16,0))/60+INDEX('PROPERTIES'!$H$5:$H$404,MATCH(E71,'PROPERTIES'!$B$5:$B$404,0))*INDEX('PRICING'!$E$7:$E$16,MATCH(F71,'PRICING'!$A$7:$A$16,0))/60+INDEX('PRICING'!$F$7:$F$16,MATCH(F71,'PRICING'!$A$7:$A$16,0))/60),2)),""))</f>
        <v/>
      </c>
      <c r="R71" s="97">
        <f>IF(B71="","",IF(N(K71)&gt;0,K71,IF(N(J71)&gt;0,J71,N(Q71))))</f>
        <v/>
      </c>
      <c r="S71" s="55">
        <f>IF(L71="","",ROUND(L71*(1+N(M71)),2))</f>
        <v/>
      </c>
      <c r="T71" s="55">
        <f>IF(B71="","",SUMIFS('REVENUE'!$C$5:$C$1504,'REVENUE'!$B$5:$B$1504,A71))</f>
        <v/>
      </c>
      <c r="U71" s="55">
        <f>IF(B71="","",IF(O71="Completed",MAX(0,N(S71)-T71),""))</f>
        <v/>
      </c>
      <c r="V71" s="49">
        <f>IF(B71="","",IF(O71&lt;&gt;"Completed",IF(T71&gt;0,"Deposit","—"),IF(U71&lt;=0.005,"Paid",IF(T71&gt;0,"Partial","Unpaid"))))</f>
        <v/>
      </c>
      <c r="W71" s="55">
        <f>IF(B71="","",IFERROR(1/(1/INDEX('STAFF &amp; TASKS'!$C$5:$C$24,MATCH(H71,'STAFF &amp; TASKS'!$A$5:$A$24,0))),PayRate))</f>
        <v/>
      </c>
      <c r="X71" s="55">
        <f>IF(B71="","",IF(OR(O71="Cancelled",O71="No-Show"),"",ROUND(R71*W71*(1+Burden),2)))</f>
        <v/>
      </c>
      <c r="Y71" s="55">
        <f>IF(B71="","",IF(OR(O71="Cancelled",O71="No-Show"),"",IF(N71&lt;&gt;"",N71,ROUND(R71*SupHr*IFERROR(INDEX('PRICING'!$G$7:$G$16,MATCH(F71,'PRICING'!$A$7:$A$16,0)),1),2))))</f>
        <v/>
      </c>
      <c r="Z71" s="98">
        <f>IF(B71="","",SUMIFS('MILEAGE'!$J$5:$J$1504,'MILEAGE'!$B$5:$B$1504,A71))</f>
        <v/>
      </c>
      <c r="AA71" s="55">
        <f>IF(B71="","",ROUND(Z71*MileRate,2))</f>
        <v/>
      </c>
      <c r="AB71" s="55">
        <f>IF(B71="","",SUMIFS('REVENUE'!$J$5:$J$1504,'REVENUE'!$B$5:$B$1504,A71))</f>
        <v/>
      </c>
      <c r="AC71" s="55">
        <f>IF(L71="","",IF(OR(O71="Cancelled",O71="No-Show"),"",L71-N(X71)-N(Y71)-AA71-AB71))</f>
        <v/>
      </c>
      <c r="AD71" s="99">
        <f>IF(OR(AC71="",N(L71)=0),"",AC71/L71)</f>
        <v/>
      </c>
      <c r="AE71" s="55">
        <f>IF(OR(AC71="",N(R71)=0),"",L71/R71)</f>
        <v/>
      </c>
      <c r="AF71" s="100">
        <f>IF(OR(N(K71)=0,N(J71)+N(Q71)=0),"",K71-IF(N(J71)&gt;0,J71,Q71))</f>
        <v/>
      </c>
      <c r="AG71" s="99">
        <f>IF(B71="","",IFERROR(AVERAGEIFS('QUALITY CONTROL'!$M$5:$M$304,'QUALITY CONTROL'!$B$5:$B$304,A71),""))</f>
        <v/>
      </c>
      <c r="AH71" s="51">
        <f>IF(B71="","",DATE(YEAR(B71),MONTH(B71),1))</f>
        <v/>
      </c>
      <c r="AI71" s="49">
        <f>IF(D71="","",IFERROR(INDEX('CUSTOMERS'!$E$5:$E$404,MATCH(D71,'CUSTOMERS'!$B$5:$B$404,0)),""))</f>
        <v/>
      </c>
      <c r="AJ71" s="49">
        <f>IF(B71="","",N(C71))</f>
        <v/>
      </c>
      <c r="AK71" s="49">
        <f>IF(OR(B71="",O71="Cancelled",O71="Rescheduled"),"",B71&amp;"|"&amp;(COUNTIFS('JOBS'!$B$5:$B$1504,B71,'JOBS'!$AJ$5:$AJ$1504,"&lt;"&amp;AJ71,'JOBS'!$O$5:$O$1504,"&lt;&gt;Cancelled",'JOBS'!$O$5:$O$1504,"&lt;&gt;Rescheduled")+COUNTIFS($B$5:B71,B71,$AJ$5:AJ71,AJ71,$O$5:O71,"&lt;&gt;Cancelled",$O$5:O71,"&lt;&gt;Rescheduled")))</f>
        <v/>
      </c>
      <c r="AL71" s="49">
        <f>IF(N(U71)&lt;=0.005,"",COUNTIFS('JOBS'!$U$5:$U$1504,"&gt;0.005",'JOBS'!$B$5:$B$1504,"&lt;"&amp;B71)+COUNTIFS($U$5:U71,"&gt;0.005",$B$5:B71,B71))</f>
        <v/>
      </c>
    </row>
    <row r="72">
      <c r="A72" s="46" t="inlineStr">
        <is>
          <t>J-0068</t>
        </is>
      </c>
      <c r="B72" s="47" t="n">
        <v>46116</v>
      </c>
      <c r="C72" s="94" t="n">
        <v>0.5416666666666666</v>
      </c>
      <c r="D72" s="38" t="inlineStr">
        <is>
          <t>Noel Collins</t>
        </is>
      </c>
      <c r="E72" s="38" t="inlineStr">
        <is>
          <t>964 Cedar Court, Lakeview (fictional)</t>
        </is>
      </c>
      <c r="F72" s="38" t="inlineStr">
        <is>
          <t>Standard Clean</t>
        </is>
      </c>
      <c r="G72" s="38" t="inlineStr">
        <is>
          <t>R-004</t>
        </is>
      </c>
      <c r="H72" s="38" t="inlineStr">
        <is>
          <t>Dana Whitfield</t>
        </is>
      </c>
      <c r="I72" s="57" t="n">
        <v>1</v>
      </c>
      <c r="J72" s="95" t="n"/>
      <c r="K72" s="95" t="n">
        <v>6.19</v>
      </c>
      <c r="L72" s="48" t="n">
        <v>245</v>
      </c>
      <c r="M72" s="96" t="n">
        <v>0</v>
      </c>
      <c r="N72" s="48" t="n"/>
      <c r="O72" s="38" t="inlineStr">
        <is>
          <t>Completed</t>
        </is>
      </c>
      <c r="P72" s="38" t="inlineStr"/>
      <c r="Q72" s="97">
        <f>IF(OR(F72="",E72=""),"",IFERROR(IF(INDEX('PROPERTIES'!$F$5:$F$404,MATCH(E72,'PROPERTIES'!$B$5:$B$404,0))=0,"",ROUND((INDEX('PROPERTIES'!$F$5:$F$404,MATCH(E72,'PROPERTIES'!$B$5:$B$404,0))/INDEX('PRICING'!$C$7:$C$16,MATCH(F72,'PRICING'!$A$7:$A$16,0))+INDEX('PROPERTIES'!$G$5:$G$404,MATCH(E72,'PROPERTIES'!$B$5:$B$404,0))*INDEX('PRICING'!$D$7:$D$16,MATCH(F72,'PRICING'!$A$7:$A$16,0))/60+INDEX('PROPERTIES'!$H$5:$H$404,MATCH(E72,'PROPERTIES'!$B$5:$B$404,0))*INDEX('PRICING'!$E$7:$E$16,MATCH(F72,'PRICING'!$A$7:$A$16,0))/60+INDEX('PRICING'!$F$7:$F$16,MATCH(F72,'PRICING'!$A$7:$A$16,0))/60),2)),""))</f>
        <v/>
      </c>
      <c r="R72" s="97">
        <f>IF(B72="","",IF(N(K72)&gt;0,K72,IF(N(J72)&gt;0,J72,N(Q72))))</f>
        <v/>
      </c>
      <c r="S72" s="55">
        <f>IF(L72="","",ROUND(L72*(1+N(M72)),2))</f>
        <v/>
      </c>
      <c r="T72" s="55">
        <f>IF(B72="","",SUMIFS('REVENUE'!$C$5:$C$1504,'REVENUE'!$B$5:$B$1504,A72))</f>
        <v/>
      </c>
      <c r="U72" s="55">
        <f>IF(B72="","",IF(O72="Completed",MAX(0,N(S72)-T72),""))</f>
        <v/>
      </c>
      <c r="V72" s="49">
        <f>IF(B72="","",IF(O72&lt;&gt;"Completed",IF(T72&gt;0,"Deposit","—"),IF(U72&lt;=0.005,"Paid",IF(T72&gt;0,"Partial","Unpaid"))))</f>
        <v/>
      </c>
      <c r="W72" s="55">
        <f>IF(B72="","",IFERROR(1/(1/INDEX('STAFF &amp; TASKS'!$C$5:$C$24,MATCH(H72,'STAFF &amp; TASKS'!$A$5:$A$24,0))),PayRate))</f>
        <v/>
      </c>
      <c r="X72" s="55">
        <f>IF(B72="","",IF(OR(O72="Cancelled",O72="No-Show"),"",ROUND(R72*W72*(1+Burden),2)))</f>
        <v/>
      </c>
      <c r="Y72" s="55">
        <f>IF(B72="","",IF(OR(O72="Cancelled",O72="No-Show"),"",IF(N72&lt;&gt;"",N72,ROUND(R72*SupHr*IFERROR(INDEX('PRICING'!$G$7:$G$16,MATCH(F72,'PRICING'!$A$7:$A$16,0)),1),2))))</f>
        <v/>
      </c>
      <c r="Z72" s="98">
        <f>IF(B72="","",SUMIFS('MILEAGE'!$J$5:$J$1504,'MILEAGE'!$B$5:$B$1504,A72))</f>
        <v/>
      </c>
      <c r="AA72" s="55">
        <f>IF(B72="","",ROUND(Z72*MileRate,2))</f>
        <v/>
      </c>
      <c r="AB72" s="55">
        <f>IF(B72="","",SUMIFS('REVENUE'!$J$5:$J$1504,'REVENUE'!$B$5:$B$1504,A72))</f>
        <v/>
      </c>
      <c r="AC72" s="55">
        <f>IF(L72="","",IF(OR(O72="Cancelled",O72="No-Show"),"",L72-N(X72)-N(Y72)-AA72-AB72))</f>
        <v/>
      </c>
      <c r="AD72" s="99">
        <f>IF(OR(AC72="",N(L72)=0),"",AC72/L72)</f>
        <v/>
      </c>
      <c r="AE72" s="55">
        <f>IF(OR(AC72="",N(R72)=0),"",L72/R72)</f>
        <v/>
      </c>
      <c r="AF72" s="100">
        <f>IF(OR(N(K72)=0,N(J72)+N(Q72)=0),"",K72-IF(N(J72)&gt;0,J72,Q72))</f>
        <v/>
      </c>
      <c r="AG72" s="99">
        <f>IF(B72="","",IFERROR(AVERAGEIFS('QUALITY CONTROL'!$M$5:$M$304,'QUALITY CONTROL'!$B$5:$B$304,A72),""))</f>
        <v/>
      </c>
      <c r="AH72" s="51">
        <f>IF(B72="","",DATE(YEAR(B72),MONTH(B72),1))</f>
        <v/>
      </c>
      <c r="AI72" s="49">
        <f>IF(D72="","",IFERROR(INDEX('CUSTOMERS'!$E$5:$E$404,MATCH(D72,'CUSTOMERS'!$B$5:$B$404,0)),""))</f>
        <v/>
      </c>
      <c r="AJ72" s="49">
        <f>IF(B72="","",N(C72))</f>
        <v/>
      </c>
      <c r="AK72" s="49">
        <f>IF(OR(B72="",O72="Cancelled",O72="Rescheduled"),"",B72&amp;"|"&amp;(COUNTIFS('JOBS'!$B$5:$B$1504,B72,'JOBS'!$AJ$5:$AJ$1504,"&lt;"&amp;AJ72,'JOBS'!$O$5:$O$1504,"&lt;&gt;Cancelled",'JOBS'!$O$5:$O$1504,"&lt;&gt;Rescheduled")+COUNTIFS($B$5:B72,B72,$AJ$5:AJ72,AJ72,$O$5:O72,"&lt;&gt;Cancelled",$O$5:O72,"&lt;&gt;Rescheduled")))</f>
        <v/>
      </c>
      <c r="AL72" s="49">
        <f>IF(N(U72)&lt;=0.005,"",COUNTIFS('JOBS'!$U$5:$U$1504,"&gt;0.005",'JOBS'!$B$5:$B$1504,"&lt;"&amp;B72)+COUNTIFS($U$5:U72,"&gt;0.005",$B$5:B72,B72))</f>
        <v/>
      </c>
    </row>
    <row r="73">
      <c r="A73" s="46" t="inlineStr">
        <is>
          <t>J-0069</t>
        </is>
      </c>
      <c r="B73" s="47" t="n">
        <v>46117</v>
      </c>
      <c r="C73" s="94" t="n">
        <v>0.5833333333333334</v>
      </c>
      <c r="D73" s="38" t="inlineStr">
        <is>
          <t>Blake Oakes</t>
        </is>
      </c>
      <c r="E73" s="38" t="inlineStr">
        <is>
          <t>654 Willow Way, North Sampletown</t>
        </is>
      </c>
      <c r="F73" s="38" t="inlineStr">
        <is>
          <t>Airbnb Turnover</t>
        </is>
      </c>
      <c r="G73" s="38" t="n"/>
      <c r="H73" s="38" t="inlineStr">
        <is>
          <t>Kevin Osei</t>
        </is>
      </c>
      <c r="I73" s="57" t="n">
        <v>1</v>
      </c>
      <c r="J73" s="95" t="n"/>
      <c r="K73" s="95" t="n">
        <v>1.98</v>
      </c>
      <c r="L73" s="48" t="n">
        <v>135</v>
      </c>
      <c r="M73" s="96" t="n">
        <v>0</v>
      </c>
      <c r="N73" s="48" t="n"/>
      <c r="O73" s="38" t="inlineStr">
        <is>
          <t>Completed</t>
        </is>
      </c>
      <c r="P73" s="38" t="inlineStr">
        <is>
          <t>Includes laundry</t>
        </is>
      </c>
      <c r="Q73" s="97">
        <f>IF(OR(F73="",E73=""),"",IFERROR(IF(INDEX('PROPERTIES'!$F$5:$F$404,MATCH(E73,'PROPERTIES'!$B$5:$B$404,0))=0,"",ROUND((INDEX('PROPERTIES'!$F$5:$F$404,MATCH(E73,'PROPERTIES'!$B$5:$B$404,0))/INDEX('PRICING'!$C$7:$C$16,MATCH(F73,'PRICING'!$A$7:$A$16,0))+INDEX('PROPERTIES'!$G$5:$G$404,MATCH(E73,'PROPERTIES'!$B$5:$B$404,0))*INDEX('PRICING'!$D$7:$D$16,MATCH(F73,'PRICING'!$A$7:$A$16,0))/60+INDEX('PROPERTIES'!$H$5:$H$404,MATCH(E73,'PROPERTIES'!$B$5:$B$404,0))*INDEX('PRICING'!$E$7:$E$16,MATCH(F73,'PRICING'!$A$7:$A$16,0))/60+INDEX('PRICING'!$F$7:$F$16,MATCH(F73,'PRICING'!$A$7:$A$16,0))/60),2)),""))</f>
        <v/>
      </c>
      <c r="R73" s="97">
        <f>IF(B73="","",IF(N(K73)&gt;0,K73,IF(N(J73)&gt;0,J73,N(Q73))))</f>
        <v/>
      </c>
      <c r="S73" s="55">
        <f>IF(L73="","",ROUND(L73*(1+N(M73)),2))</f>
        <v/>
      </c>
      <c r="T73" s="55">
        <f>IF(B73="","",SUMIFS('REVENUE'!$C$5:$C$1504,'REVENUE'!$B$5:$B$1504,A73))</f>
        <v/>
      </c>
      <c r="U73" s="55">
        <f>IF(B73="","",IF(O73="Completed",MAX(0,N(S73)-T73),""))</f>
        <v/>
      </c>
      <c r="V73" s="49">
        <f>IF(B73="","",IF(O73&lt;&gt;"Completed",IF(T73&gt;0,"Deposit","—"),IF(U73&lt;=0.005,"Paid",IF(T73&gt;0,"Partial","Unpaid"))))</f>
        <v/>
      </c>
      <c r="W73" s="55">
        <f>IF(B73="","",IFERROR(1/(1/INDEX('STAFF &amp; TASKS'!$C$5:$C$24,MATCH(H73,'STAFF &amp; TASKS'!$A$5:$A$24,0))),PayRate))</f>
        <v/>
      </c>
      <c r="X73" s="55">
        <f>IF(B73="","",IF(OR(O73="Cancelled",O73="No-Show"),"",ROUND(R73*W73*(1+Burden),2)))</f>
        <v/>
      </c>
      <c r="Y73" s="55">
        <f>IF(B73="","",IF(OR(O73="Cancelled",O73="No-Show"),"",IF(N73&lt;&gt;"",N73,ROUND(R73*SupHr*IFERROR(INDEX('PRICING'!$G$7:$G$16,MATCH(F73,'PRICING'!$A$7:$A$16,0)),1),2))))</f>
        <v/>
      </c>
      <c r="Z73" s="98">
        <f>IF(B73="","",SUMIFS('MILEAGE'!$J$5:$J$1504,'MILEAGE'!$B$5:$B$1504,A73))</f>
        <v/>
      </c>
      <c r="AA73" s="55">
        <f>IF(B73="","",ROUND(Z73*MileRate,2))</f>
        <v/>
      </c>
      <c r="AB73" s="55">
        <f>IF(B73="","",SUMIFS('REVENUE'!$J$5:$J$1504,'REVENUE'!$B$5:$B$1504,A73))</f>
        <v/>
      </c>
      <c r="AC73" s="55">
        <f>IF(L73="","",IF(OR(O73="Cancelled",O73="No-Show"),"",L73-N(X73)-N(Y73)-AA73-AB73))</f>
        <v/>
      </c>
      <c r="AD73" s="99">
        <f>IF(OR(AC73="",N(L73)=0),"",AC73/L73)</f>
        <v/>
      </c>
      <c r="AE73" s="55">
        <f>IF(OR(AC73="",N(R73)=0),"",L73/R73)</f>
        <v/>
      </c>
      <c r="AF73" s="100">
        <f>IF(OR(N(K73)=0,N(J73)+N(Q73)=0),"",K73-IF(N(J73)&gt;0,J73,Q73))</f>
        <v/>
      </c>
      <c r="AG73" s="99">
        <f>IF(B73="","",IFERROR(AVERAGEIFS('QUALITY CONTROL'!$M$5:$M$304,'QUALITY CONTROL'!$B$5:$B$304,A73),""))</f>
        <v/>
      </c>
      <c r="AH73" s="51">
        <f>IF(B73="","",DATE(YEAR(B73),MONTH(B73),1))</f>
        <v/>
      </c>
      <c r="AI73" s="49">
        <f>IF(D73="","",IFERROR(INDEX('CUSTOMERS'!$E$5:$E$404,MATCH(D73,'CUSTOMERS'!$B$5:$B$404,0)),""))</f>
        <v/>
      </c>
      <c r="AJ73" s="49">
        <f>IF(B73="","",N(C73))</f>
        <v/>
      </c>
      <c r="AK73" s="49">
        <f>IF(OR(B73="",O73="Cancelled",O73="Rescheduled"),"",B73&amp;"|"&amp;(COUNTIFS('JOBS'!$B$5:$B$1504,B73,'JOBS'!$AJ$5:$AJ$1504,"&lt;"&amp;AJ73,'JOBS'!$O$5:$O$1504,"&lt;&gt;Cancelled",'JOBS'!$O$5:$O$1504,"&lt;&gt;Rescheduled")+COUNTIFS($B$5:B73,B73,$AJ$5:AJ73,AJ73,$O$5:O73,"&lt;&gt;Cancelled",$O$5:O73,"&lt;&gt;Rescheduled")))</f>
        <v/>
      </c>
      <c r="AL73" s="49">
        <f>IF(N(U73)&lt;=0.005,"",COUNTIFS('JOBS'!$U$5:$U$1504,"&gt;0.005",'JOBS'!$B$5:$B$1504,"&lt;"&amp;B73)+COUNTIFS($U$5:U73,"&gt;0.005",$B$5:B73,B73))</f>
        <v/>
      </c>
    </row>
    <row r="74">
      <c r="A74" s="46" t="inlineStr">
        <is>
          <t>J-0070</t>
        </is>
      </c>
      <c r="B74" s="47" t="n">
        <v>46119</v>
      </c>
      <c r="C74" s="94" t="n">
        <v>0.625</v>
      </c>
      <c r="D74" s="38" t="inlineStr">
        <is>
          <t>Lane Ivers</t>
        </is>
      </c>
      <c r="E74" s="38" t="inlineStr">
        <is>
          <t>497 Aspen Drive, Sampletown</t>
        </is>
      </c>
      <c r="F74" s="38" t="inlineStr">
        <is>
          <t>Standard Clean</t>
        </is>
      </c>
      <c r="G74" s="38" t="inlineStr">
        <is>
          <t>R-001</t>
        </is>
      </c>
      <c r="H74" s="38" t="inlineStr">
        <is>
          <t>Maria Lopez</t>
        </is>
      </c>
      <c r="I74" s="57" t="n">
        <v>1</v>
      </c>
      <c r="J74" s="95" t="n"/>
      <c r="K74" s="95" t="n">
        <v>3.72</v>
      </c>
      <c r="L74" s="48" t="n">
        <v>175</v>
      </c>
      <c r="M74" s="96" t="n">
        <v>0</v>
      </c>
      <c r="N74" s="48" t="n"/>
      <c r="O74" s="38" t="inlineStr">
        <is>
          <t>Completed</t>
        </is>
      </c>
      <c r="P74" s="38" t="inlineStr"/>
      <c r="Q74" s="97">
        <f>IF(OR(F74="",E74=""),"",IFERROR(IF(INDEX('PROPERTIES'!$F$5:$F$404,MATCH(E74,'PROPERTIES'!$B$5:$B$404,0))=0,"",ROUND((INDEX('PROPERTIES'!$F$5:$F$404,MATCH(E74,'PROPERTIES'!$B$5:$B$404,0))/INDEX('PRICING'!$C$7:$C$16,MATCH(F74,'PRICING'!$A$7:$A$16,0))+INDEX('PROPERTIES'!$G$5:$G$404,MATCH(E74,'PROPERTIES'!$B$5:$B$404,0))*INDEX('PRICING'!$D$7:$D$16,MATCH(F74,'PRICING'!$A$7:$A$16,0))/60+INDEX('PROPERTIES'!$H$5:$H$404,MATCH(E74,'PROPERTIES'!$B$5:$B$404,0))*INDEX('PRICING'!$E$7:$E$16,MATCH(F74,'PRICING'!$A$7:$A$16,0))/60+INDEX('PRICING'!$F$7:$F$16,MATCH(F74,'PRICING'!$A$7:$A$16,0))/60),2)),""))</f>
        <v/>
      </c>
      <c r="R74" s="97">
        <f>IF(B74="","",IF(N(K74)&gt;0,K74,IF(N(J74)&gt;0,J74,N(Q74))))</f>
        <v/>
      </c>
      <c r="S74" s="55">
        <f>IF(L74="","",ROUND(L74*(1+N(M74)),2))</f>
        <v/>
      </c>
      <c r="T74" s="55">
        <f>IF(B74="","",SUMIFS('REVENUE'!$C$5:$C$1504,'REVENUE'!$B$5:$B$1504,A74))</f>
        <v/>
      </c>
      <c r="U74" s="55">
        <f>IF(B74="","",IF(O74="Completed",MAX(0,N(S74)-T74),""))</f>
        <v/>
      </c>
      <c r="V74" s="49">
        <f>IF(B74="","",IF(O74&lt;&gt;"Completed",IF(T74&gt;0,"Deposit","—"),IF(U74&lt;=0.005,"Paid",IF(T74&gt;0,"Partial","Unpaid"))))</f>
        <v/>
      </c>
      <c r="W74" s="55">
        <f>IF(B74="","",IFERROR(1/(1/INDEX('STAFF &amp; TASKS'!$C$5:$C$24,MATCH(H74,'STAFF &amp; TASKS'!$A$5:$A$24,0))),PayRate))</f>
        <v/>
      </c>
      <c r="X74" s="55">
        <f>IF(B74="","",IF(OR(O74="Cancelled",O74="No-Show"),"",ROUND(R74*W74*(1+Burden),2)))</f>
        <v/>
      </c>
      <c r="Y74" s="55">
        <f>IF(B74="","",IF(OR(O74="Cancelled",O74="No-Show"),"",IF(N74&lt;&gt;"",N74,ROUND(R74*SupHr*IFERROR(INDEX('PRICING'!$G$7:$G$16,MATCH(F74,'PRICING'!$A$7:$A$16,0)),1),2))))</f>
        <v/>
      </c>
      <c r="Z74" s="98">
        <f>IF(B74="","",SUMIFS('MILEAGE'!$J$5:$J$1504,'MILEAGE'!$B$5:$B$1504,A74))</f>
        <v/>
      </c>
      <c r="AA74" s="55">
        <f>IF(B74="","",ROUND(Z74*MileRate,2))</f>
        <v/>
      </c>
      <c r="AB74" s="55">
        <f>IF(B74="","",SUMIFS('REVENUE'!$J$5:$J$1504,'REVENUE'!$B$5:$B$1504,A74))</f>
        <v/>
      </c>
      <c r="AC74" s="55">
        <f>IF(L74="","",IF(OR(O74="Cancelled",O74="No-Show"),"",L74-N(X74)-N(Y74)-AA74-AB74))</f>
        <v/>
      </c>
      <c r="AD74" s="99">
        <f>IF(OR(AC74="",N(L74)=0),"",AC74/L74)</f>
        <v/>
      </c>
      <c r="AE74" s="55">
        <f>IF(OR(AC74="",N(R74)=0),"",L74/R74)</f>
        <v/>
      </c>
      <c r="AF74" s="100">
        <f>IF(OR(N(K74)=0,N(J74)+N(Q74)=0),"",K74-IF(N(J74)&gt;0,J74,Q74))</f>
        <v/>
      </c>
      <c r="AG74" s="99">
        <f>IF(B74="","",IFERROR(AVERAGEIFS('QUALITY CONTROL'!$M$5:$M$304,'QUALITY CONTROL'!$B$5:$B$304,A74),""))</f>
        <v/>
      </c>
      <c r="AH74" s="51">
        <f>IF(B74="","",DATE(YEAR(B74),MONTH(B74),1))</f>
        <v/>
      </c>
      <c r="AI74" s="49">
        <f>IF(D74="","",IFERROR(INDEX('CUSTOMERS'!$E$5:$E$404,MATCH(D74,'CUSTOMERS'!$B$5:$B$404,0)),""))</f>
        <v/>
      </c>
      <c r="AJ74" s="49">
        <f>IF(B74="","",N(C74))</f>
        <v/>
      </c>
      <c r="AK74" s="49">
        <f>IF(OR(B74="",O74="Cancelled",O74="Rescheduled"),"",B74&amp;"|"&amp;(COUNTIFS('JOBS'!$B$5:$B$1504,B74,'JOBS'!$AJ$5:$AJ$1504,"&lt;"&amp;AJ74,'JOBS'!$O$5:$O$1504,"&lt;&gt;Cancelled",'JOBS'!$O$5:$O$1504,"&lt;&gt;Rescheduled")+COUNTIFS($B$5:B74,B74,$AJ$5:AJ74,AJ74,$O$5:O74,"&lt;&gt;Cancelled",$O$5:O74,"&lt;&gt;Rescheduled")))</f>
        <v/>
      </c>
      <c r="AL74" s="49">
        <f>IF(N(U74)&lt;=0.005,"",COUNTIFS('JOBS'!$U$5:$U$1504,"&gt;0.005",'JOBS'!$B$5:$B$1504,"&lt;"&amp;B74)+COUNTIFS($U$5:U74,"&gt;0.005",$B$5:B74,B74))</f>
        <v/>
      </c>
    </row>
    <row r="75">
      <c r="A75" s="46" t="inlineStr">
        <is>
          <t>J-0071</t>
        </is>
      </c>
      <c r="B75" s="47" t="n">
        <v>46121</v>
      </c>
      <c r="C75" s="94" t="n">
        <v>0.5833333333333334</v>
      </c>
      <c r="D75" s="38" t="inlineStr">
        <is>
          <t>Skyler Yardley</t>
        </is>
      </c>
      <c r="E75" s="38" t="inlineStr">
        <is>
          <t>868 Rowan Drive, Sampletown</t>
        </is>
      </c>
      <c r="F75" s="38" t="inlineStr">
        <is>
          <t>Deep Clean</t>
        </is>
      </c>
      <c r="G75" s="38" t="n"/>
      <c r="H75" s="38" t="inlineStr">
        <is>
          <t>Maria Lopez</t>
        </is>
      </c>
      <c r="I75" s="57" t="n">
        <v>2</v>
      </c>
      <c r="J75" s="95" t="n"/>
      <c r="K75" s="95" t="n">
        <v>13.92</v>
      </c>
      <c r="L75" s="48" t="n">
        <v>685</v>
      </c>
      <c r="M75" s="96" t="n">
        <v>0</v>
      </c>
      <c r="N75" s="48" t="n"/>
      <c r="O75" s="38" t="inlineStr">
        <is>
          <t>Completed</t>
        </is>
      </c>
      <c r="P75" s="38" t="inlineStr"/>
      <c r="Q75" s="97">
        <f>IF(OR(F75="",E75=""),"",IFERROR(IF(INDEX('PROPERTIES'!$F$5:$F$404,MATCH(E75,'PROPERTIES'!$B$5:$B$404,0))=0,"",ROUND((INDEX('PROPERTIES'!$F$5:$F$404,MATCH(E75,'PROPERTIES'!$B$5:$B$404,0))/INDEX('PRICING'!$C$7:$C$16,MATCH(F75,'PRICING'!$A$7:$A$16,0))+INDEX('PROPERTIES'!$G$5:$G$404,MATCH(E75,'PROPERTIES'!$B$5:$B$404,0))*INDEX('PRICING'!$D$7:$D$16,MATCH(F75,'PRICING'!$A$7:$A$16,0))/60+INDEX('PROPERTIES'!$H$5:$H$404,MATCH(E75,'PROPERTIES'!$B$5:$B$404,0))*INDEX('PRICING'!$E$7:$E$16,MATCH(F75,'PRICING'!$A$7:$A$16,0))/60+INDEX('PRICING'!$F$7:$F$16,MATCH(F75,'PRICING'!$A$7:$A$16,0))/60),2)),""))</f>
        <v/>
      </c>
      <c r="R75" s="97">
        <f>IF(B75="","",IF(N(K75)&gt;0,K75,IF(N(J75)&gt;0,J75,N(Q75))))</f>
        <v/>
      </c>
      <c r="S75" s="55">
        <f>IF(L75="","",ROUND(L75*(1+N(M75)),2))</f>
        <v/>
      </c>
      <c r="T75" s="55">
        <f>IF(B75="","",SUMIFS('REVENUE'!$C$5:$C$1504,'REVENUE'!$B$5:$B$1504,A75))</f>
        <v/>
      </c>
      <c r="U75" s="55">
        <f>IF(B75="","",IF(O75="Completed",MAX(0,N(S75)-T75),""))</f>
        <v/>
      </c>
      <c r="V75" s="49">
        <f>IF(B75="","",IF(O75&lt;&gt;"Completed",IF(T75&gt;0,"Deposit","—"),IF(U75&lt;=0.005,"Paid",IF(T75&gt;0,"Partial","Unpaid"))))</f>
        <v/>
      </c>
      <c r="W75" s="55">
        <f>IF(B75="","",IFERROR(1/(1/INDEX('STAFF &amp; TASKS'!$C$5:$C$24,MATCH(H75,'STAFF &amp; TASKS'!$A$5:$A$24,0))),PayRate))</f>
        <v/>
      </c>
      <c r="X75" s="55">
        <f>IF(B75="","",IF(OR(O75="Cancelled",O75="No-Show"),"",ROUND(R75*W75*(1+Burden),2)))</f>
        <v/>
      </c>
      <c r="Y75" s="55">
        <f>IF(B75="","",IF(OR(O75="Cancelled",O75="No-Show"),"",IF(N75&lt;&gt;"",N75,ROUND(R75*SupHr*IFERROR(INDEX('PRICING'!$G$7:$G$16,MATCH(F75,'PRICING'!$A$7:$A$16,0)),1),2))))</f>
        <v/>
      </c>
      <c r="Z75" s="98">
        <f>IF(B75="","",SUMIFS('MILEAGE'!$J$5:$J$1504,'MILEAGE'!$B$5:$B$1504,A75))</f>
        <v/>
      </c>
      <c r="AA75" s="55">
        <f>IF(B75="","",ROUND(Z75*MileRate,2))</f>
        <v/>
      </c>
      <c r="AB75" s="55">
        <f>IF(B75="","",SUMIFS('REVENUE'!$J$5:$J$1504,'REVENUE'!$B$5:$B$1504,A75))</f>
        <v/>
      </c>
      <c r="AC75" s="55">
        <f>IF(L75="","",IF(OR(O75="Cancelled",O75="No-Show"),"",L75-N(X75)-N(Y75)-AA75-AB75))</f>
        <v/>
      </c>
      <c r="AD75" s="99">
        <f>IF(OR(AC75="",N(L75)=0),"",AC75/L75)</f>
        <v/>
      </c>
      <c r="AE75" s="55">
        <f>IF(OR(AC75="",N(R75)=0),"",L75/R75)</f>
        <v/>
      </c>
      <c r="AF75" s="100">
        <f>IF(OR(N(K75)=0,N(J75)+N(Q75)=0),"",K75-IF(N(J75)&gt;0,J75,Q75))</f>
        <v/>
      </c>
      <c r="AG75" s="99">
        <f>IF(B75="","",IFERROR(AVERAGEIFS('QUALITY CONTROL'!$M$5:$M$304,'QUALITY CONTROL'!$B$5:$B$304,A75),""))</f>
        <v/>
      </c>
      <c r="AH75" s="51">
        <f>IF(B75="","",DATE(YEAR(B75),MONTH(B75),1))</f>
        <v/>
      </c>
      <c r="AI75" s="49">
        <f>IF(D75="","",IFERROR(INDEX('CUSTOMERS'!$E$5:$E$404,MATCH(D75,'CUSTOMERS'!$B$5:$B$404,0)),""))</f>
        <v/>
      </c>
      <c r="AJ75" s="49">
        <f>IF(B75="","",N(C75))</f>
        <v/>
      </c>
      <c r="AK75" s="49">
        <f>IF(OR(B75="",O75="Cancelled",O75="Rescheduled"),"",B75&amp;"|"&amp;(COUNTIFS('JOBS'!$B$5:$B$1504,B75,'JOBS'!$AJ$5:$AJ$1504,"&lt;"&amp;AJ75,'JOBS'!$O$5:$O$1504,"&lt;&gt;Cancelled",'JOBS'!$O$5:$O$1504,"&lt;&gt;Rescheduled")+COUNTIFS($B$5:B75,B75,$AJ$5:AJ75,AJ75,$O$5:O75,"&lt;&gt;Cancelled",$O$5:O75,"&lt;&gt;Rescheduled")))</f>
        <v/>
      </c>
      <c r="AL75" s="49">
        <f>IF(N(U75)&lt;=0.005,"",COUNTIFS('JOBS'!$U$5:$U$1504,"&gt;0.005",'JOBS'!$B$5:$B$1504,"&lt;"&amp;B75)+COUNTIFS($U$5:U75,"&gt;0.005",$B$5:B75,B75))</f>
        <v/>
      </c>
    </row>
    <row r="76">
      <c r="A76" s="46" t="inlineStr">
        <is>
          <t>J-0072</t>
        </is>
      </c>
      <c r="B76" s="47" t="n">
        <v>46122</v>
      </c>
      <c r="C76" s="94" t="n">
        <v>0.3333333333333333</v>
      </c>
      <c r="D76" s="38" t="inlineStr">
        <is>
          <t>Brightside Dental Studio (sample)</t>
        </is>
      </c>
      <c r="E76" s="38" t="inlineStr">
        <is>
          <t>738 Cedar Court, North Sampletown</t>
        </is>
      </c>
      <c r="F76" s="38" t="inlineStr">
        <is>
          <t>Commercial Clean</t>
        </is>
      </c>
      <c r="G76" s="38" t="inlineStr">
        <is>
          <t>R-011</t>
        </is>
      </c>
      <c r="H76" s="38" t="inlineStr">
        <is>
          <t>Kevin Osei</t>
        </is>
      </c>
      <c r="I76" s="57" t="n">
        <v>2</v>
      </c>
      <c r="J76" s="95" t="n"/>
      <c r="K76" s="95" t="n">
        <v>2.26</v>
      </c>
      <c r="L76" s="48" t="n">
        <v>100</v>
      </c>
      <c r="M76" s="96" t="n">
        <v>0</v>
      </c>
      <c r="N76" s="48" t="n"/>
      <c r="O76" s="38" t="inlineStr">
        <is>
          <t>Completed</t>
        </is>
      </c>
      <c r="P76" s="38" t="inlineStr"/>
      <c r="Q76" s="97">
        <f>IF(OR(F76="",E76=""),"",IFERROR(IF(INDEX('PROPERTIES'!$F$5:$F$404,MATCH(E76,'PROPERTIES'!$B$5:$B$404,0))=0,"",ROUND((INDEX('PROPERTIES'!$F$5:$F$404,MATCH(E76,'PROPERTIES'!$B$5:$B$404,0))/INDEX('PRICING'!$C$7:$C$16,MATCH(F76,'PRICING'!$A$7:$A$16,0))+INDEX('PROPERTIES'!$G$5:$G$404,MATCH(E76,'PROPERTIES'!$B$5:$B$404,0))*INDEX('PRICING'!$D$7:$D$16,MATCH(F76,'PRICING'!$A$7:$A$16,0))/60+INDEX('PROPERTIES'!$H$5:$H$404,MATCH(E76,'PROPERTIES'!$B$5:$B$404,0))*INDEX('PRICING'!$E$7:$E$16,MATCH(F76,'PRICING'!$A$7:$A$16,0))/60+INDEX('PRICING'!$F$7:$F$16,MATCH(F76,'PRICING'!$A$7:$A$16,0))/60),2)),""))</f>
        <v/>
      </c>
      <c r="R76" s="97">
        <f>IF(B76="","",IF(N(K76)&gt;0,K76,IF(N(J76)&gt;0,J76,N(Q76))))</f>
        <v/>
      </c>
      <c r="S76" s="55">
        <f>IF(L76="","",ROUND(L76*(1+N(M76)),2))</f>
        <v/>
      </c>
      <c r="T76" s="55">
        <f>IF(B76="","",SUMIFS('REVENUE'!$C$5:$C$1504,'REVENUE'!$B$5:$B$1504,A76))</f>
        <v/>
      </c>
      <c r="U76" s="55">
        <f>IF(B76="","",IF(O76="Completed",MAX(0,N(S76)-T76),""))</f>
        <v/>
      </c>
      <c r="V76" s="49">
        <f>IF(B76="","",IF(O76&lt;&gt;"Completed",IF(T76&gt;0,"Deposit","—"),IF(U76&lt;=0.005,"Paid",IF(T76&gt;0,"Partial","Unpaid"))))</f>
        <v/>
      </c>
      <c r="W76" s="55">
        <f>IF(B76="","",IFERROR(1/(1/INDEX('STAFF &amp; TASKS'!$C$5:$C$24,MATCH(H76,'STAFF &amp; TASKS'!$A$5:$A$24,0))),PayRate))</f>
        <v/>
      </c>
      <c r="X76" s="55">
        <f>IF(B76="","",IF(OR(O76="Cancelled",O76="No-Show"),"",ROUND(R76*W76*(1+Burden),2)))</f>
        <v/>
      </c>
      <c r="Y76" s="55">
        <f>IF(B76="","",IF(OR(O76="Cancelled",O76="No-Show"),"",IF(N76&lt;&gt;"",N76,ROUND(R76*SupHr*IFERROR(INDEX('PRICING'!$G$7:$G$16,MATCH(F76,'PRICING'!$A$7:$A$16,0)),1),2))))</f>
        <v/>
      </c>
      <c r="Z76" s="98">
        <f>IF(B76="","",SUMIFS('MILEAGE'!$J$5:$J$1504,'MILEAGE'!$B$5:$B$1504,A76))</f>
        <v/>
      </c>
      <c r="AA76" s="55">
        <f>IF(B76="","",ROUND(Z76*MileRate,2))</f>
        <v/>
      </c>
      <c r="AB76" s="55">
        <f>IF(B76="","",SUMIFS('REVENUE'!$J$5:$J$1504,'REVENUE'!$B$5:$B$1504,A76))</f>
        <v/>
      </c>
      <c r="AC76" s="55">
        <f>IF(L76="","",IF(OR(O76="Cancelled",O76="No-Show"),"",L76-N(X76)-N(Y76)-AA76-AB76))</f>
        <v/>
      </c>
      <c r="AD76" s="99">
        <f>IF(OR(AC76="",N(L76)=0),"",AC76/L76)</f>
        <v/>
      </c>
      <c r="AE76" s="55">
        <f>IF(OR(AC76="",N(R76)=0),"",L76/R76)</f>
        <v/>
      </c>
      <c r="AF76" s="100">
        <f>IF(OR(N(K76)=0,N(J76)+N(Q76)=0),"",K76-IF(N(J76)&gt;0,J76,Q76))</f>
        <v/>
      </c>
      <c r="AG76" s="99">
        <f>IF(B76="","",IFERROR(AVERAGEIFS('QUALITY CONTROL'!$M$5:$M$304,'QUALITY CONTROL'!$B$5:$B$304,A76),""))</f>
        <v/>
      </c>
      <c r="AH76" s="51">
        <f>IF(B76="","",DATE(YEAR(B76),MONTH(B76),1))</f>
        <v/>
      </c>
      <c r="AI76" s="49">
        <f>IF(D76="","",IFERROR(INDEX('CUSTOMERS'!$E$5:$E$404,MATCH(D76,'CUSTOMERS'!$B$5:$B$404,0)),""))</f>
        <v/>
      </c>
      <c r="AJ76" s="49">
        <f>IF(B76="","",N(C76))</f>
        <v/>
      </c>
      <c r="AK76" s="49">
        <f>IF(OR(B76="",O76="Cancelled",O76="Rescheduled"),"",B76&amp;"|"&amp;(COUNTIFS('JOBS'!$B$5:$B$1504,B76,'JOBS'!$AJ$5:$AJ$1504,"&lt;"&amp;AJ76,'JOBS'!$O$5:$O$1504,"&lt;&gt;Cancelled",'JOBS'!$O$5:$O$1504,"&lt;&gt;Rescheduled")+COUNTIFS($B$5:B76,B76,$AJ$5:AJ76,AJ76,$O$5:O76,"&lt;&gt;Cancelled",$O$5:O76,"&lt;&gt;Rescheduled")))</f>
        <v/>
      </c>
      <c r="AL76" s="49">
        <f>IF(N(U76)&lt;=0.005,"",COUNTIFS('JOBS'!$U$5:$U$1504,"&gt;0.005",'JOBS'!$B$5:$B$1504,"&lt;"&amp;B76)+COUNTIFS($U$5:U76,"&gt;0.005",$B$5:B76,B76))</f>
        <v/>
      </c>
    </row>
    <row r="77">
      <c r="A77" s="46" t="inlineStr">
        <is>
          <t>J-0073</t>
        </is>
      </c>
      <c r="B77" s="47" t="n">
        <v>46122</v>
      </c>
      <c r="C77" s="94" t="n">
        <v>0.375</v>
      </c>
      <c r="D77" s="38" t="inlineStr">
        <is>
          <t>Oakview Office Suites (sample)</t>
        </is>
      </c>
      <c r="E77" s="38" t="inlineStr">
        <is>
          <t>957 Hawthorn Road, North Sampletown</t>
        </is>
      </c>
      <c r="F77" s="38" t="inlineStr">
        <is>
          <t>Commercial Clean</t>
        </is>
      </c>
      <c r="G77" s="38" t="inlineStr">
        <is>
          <t>R-012</t>
        </is>
      </c>
      <c r="H77" s="38" t="inlineStr">
        <is>
          <t>Kevin Osei</t>
        </is>
      </c>
      <c r="I77" s="57" t="n">
        <v>2</v>
      </c>
      <c r="J77" s="95" t="n"/>
      <c r="K77" s="95" t="n">
        <v>3.19</v>
      </c>
      <c r="L77" s="48" t="n">
        <v>140</v>
      </c>
      <c r="M77" s="96" t="n">
        <v>0</v>
      </c>
      <c r="N77" s="48" t="n"/>
      <c r="O77" s="38" t="inlineStr">
        <is>
          <t>Completed</t>
        </is>
      </c>
      <c r="P77" s="38" t="inlineStr"/>
      <c r="Q77" s="97">
        <f>IF(OR(F77="",E77=""),"",IFERROR(IF(INDEX('PROPERTIES'!$F$5:$F$404,MATCH(E77,'PROPERTIES'!$B$5:$B$404,0))=0,"",ROUND((INDEX('PROPERTIES'!$F$5:$F$404,MATCH(E77,'PROPERTIES'!$B$5:$B$404,0))/INDEX('PRICING'!$C$7:$C$16,MATCH(F77,'PRICING'!$A$7:$A$16,0))+INDEX('PROPERTIES'!$G$5:$G$404,MATCH(E77,'PROPERTIES'!$B$5:$B$404,0))*INDEX('PRICING'!$D$7:$D$16,MATCH(F77,'PRICING'!$A$7:$A$16,0))/60+INDEX('PROPERTIES'!$H$5:$H$404,MATCH(E77,'PROPERTIES'!$B$5:$B$404,0))*INDEX('PRICING'!$E$7:$E$16,MATCH(F77,'PRICING'!$A$7:$A$16,0))/60+INDEX('PRICING'!$F$7:$F$16,MATCH(F77,'PRICING'!$A$7:$A$16,0))/60),2)),""))</f>
        <v/>
      </c>
      <c r="R77" s="97">
        <f>IF(B77="","",IF(N(K77)&gt;0,K77,IF(N(J77)&gt;0,J77,N(Q77))))</f>
        <v/>
      </c>
      <c r="S77" s="55">
        <f>IF(L77="","",ROUND(L77*(1+N(M77)),2))</f>
        <v/>
      </c>
      <c r="T77" s="55">
        <f>IF(B77="","",SUMIFS('REVENUE'!$C$5:$C$1504,'REVENUE'!$B$5:$B$1504,A77))</f>
        <v/>
      </c>
      <c r="U77" s="55">
        <f>IF(B77="","",IF(O77="Completed",MAX(0,N(S77)-T77),""))</f>
        <v/>
      </c>
      <c r="V77" s="49">
        <f>IF(B77="","",IF(O77&lt;&gt;"Completed",IF(T77&gt;0,"Deposit","—"),IF(U77&lt;=0.005,"Paid",IF(T77&gt;0,"Partial","Unpaid"))))</f>
        <v/>
      </c>
      <c r="W77" s="55">
        <f>IF(B77="","",IFERROR(1/(1/INDEX('STAFF &amp; TASKS'!$C$5:$C$24,MATCH(H77,'STAFF &amp; TASKS'!$A$5:$A$24,0))),PayRate))</f>
        <v/>
      </c>
      <c r="X77" s="55">
        <f>IF(B77="","",IF(OR(O77="Cancelled",O77="No-Show"),"",ROUND(R77*W77*(1+Burden),2)))</f>
        <v/>
      </c>
      <c r="Y77" s="55">
        <f>IF(B77="","",IF(OR(O77="Cancelled",O77="No-Show"),"",IF(N77&lt;&gt;"",N77,ROUND(R77*SupHr*IFERROR(INDEX('PRICING'!$G$7:$G$16,MATCH(F77,'PRICING'!$A$7:$A$16,0)),1),2))))</f>
        <v/>
      </c>
      <c r="Z77" s="98">
        <f>IF(B77="","",SUMIFS('MILEAGE'!$J$5:$J$1504,'MILEAGE'!$B$5:$B$1504,A77))</f>
        <v/>
      </c>
      <c r="AA77" s="55">
        <f>IF(B77="","",ROUND(Z77*MileRate,2))</f>
        <v/>
      </c>
      <c r="AB77" s="55">
        <f>IF(B77="","",SUMIFS('REVENUE'!$J$5:$J$1504,'REVENUE'!$B$5:$B$1504,A77))</f>
        <v/>
      </c>
      <c r="AC77" s="55">
        <f>IF(L77="","",IF(OR(O77="Cancelled",O77="No-Show"),"",L77-N(X77)-N(Y77)-AA77-AB77))</f>
        <v/>
      </c>
      <c r="AD77" s="99">
        <f>IF(OR(AC77="",N(L77)=0),"",AC77/L77)</f>
        <v/>
      </c>
      <c r="AE77" s="55">
        <f>IF(OR(AC77="",N(R77)=0),"",L77/R77)</f>
        <v/>
      </c>
      <c r="AF77" s="100">
        <f>IF(OR(N(K77)=0,N(J77)+N(Q77)=0),"",K77-IF(N(J77)&gt;0,J77,Q77))</f>
        <v/>
      </c>
      <c r="AG77" s="99">
        <f>IF(B77="","",IFERROR(AVERAGEIFS('QUALITY CONTROL'!$M$5:$M$304,'QUALITY CONTROL'!$B$5:$B$304,A77),""))</f>
        <v/>
      </c>
      <c r="AH77" s="51">
        <f>IF(B77="","",DATE(YEAR(B77),MONTH(B77),1))</f>
        <v/>
      </c>
      <c r="AI77" s="49">
        <f>IF(D77="","",IFERROR(INDEX('CUSTOMERS'!$E$5:$E$404,MATCH(D77,'CUSTOMERS'!$B$5:$B$404,0)),""))</f>
        <v/>
      </c>
      <c r="AJ77" s="49">
        <f>IF(B77="","",N(C77))</f>
        <v/>
      </c>
      <c r="AK77" s="49">
        <f>IF(OR(B77="",O77="Cancelled",O77="Rescheduled"),"",B77&amp;"|"&amp;(COUNTIFS('JOBS'!$B$5:$B$1504,B77,'JOBS'!$AJ$5:$AJ$1504,"&lt;"&amp;AJ77,'JOBS'!$O$5:$O$1504,"&lt;&gt;Cancelled",'JOBS'!$O$5:$O$1504,"&lt;&gt;Rescheduled")+COUNTIFS($B$5:B77,B77,$AJ$5:AJ77,AJ77,$O$5:O77,"&lt;&gt;Cancelled",$O$5:O77,"&lt;&gt;Rescheduled")))</f>
        <v/>
      </c>
      <c r="AL77" s="49">
        <f>IF(N(U77)&lt;=0.005,"",COUNTIFS('JOBS'!$U$5:$U$1504,"&gt;0.005",'JOBS'!$B$5:$B$1504,"&lt;"&amp;B77)+COUNTIFS($U$5:U77,"&gt;0.005",$B$5:B77,B77))</f>
        <v/>
      </c>
    </row>
    <row r="78">
      <c r="A78" s="46" t="inlineStr">
        <is>
          <t>J-0074</t>
        </is>
      </c>
      <c r="B78" s="47" t="n">
        <v>46122</v>
      </c>
      <c r="C78" s="94" t="n">
        <v>0.5833333333333334</v>
      </c>
      <c r="D78" s="38" t="inlineStr">
        <is>
          <t>Dana Collins</t>
        </is>
      </c>
      <c r="E78" s="38" t="inlineStr">
        <is>
          <t>84 Hawthorn Road, Lakeview (fictional)</t>
        </is>
      </c>
      <c r="F78" s="38" t="inlineStr">
        <is>
          <t>Standard Clean</t>
        </is>
      </c>
      <c r="G78" s="38" t="inlineStr">
        <is>
          <t>R-006</t>
        </is>
      </c>
      <c r="H78" s="38" t="inlineStr">
        <is>
          <t>Dana Whitfield</t>
        </is>
      </c>
      <c r="I78" s="57" t="n">
        <v>1</v>
      </c>
      <c r="J78" s="95" t="n"/>
      <c r="K78" s="95" t="n">
        <v>3.66</v>
      </c>
      <c r="L78" s="48" t="n">
        <v>195</v>
      </c>
      <c r="M78" s="96" t="n">
        <v>0</v>
      </c>
      <c r="N78" s="48" t="n"/>
      <c r="O78" s="38" t="inlineStr">
        <is>
          <t>Completed</t>
        </is>
      </c>
      <c r="P78" s="38" t="inlineStr"/>
      <c r="Q78" s="97">
        <f>IF(OR(F78="",E78=""),"",IFERROR(IF(INDEX('PROPERTIES'!$F$5:$F$404,MATCH(E78,'PROPERTIES'!$B$5:$B$404,0))=0,"",ROUND((INDEX('PROPERTIES'!$F$5:$F$404,MATCH(E78,'PROPERTIES'!$B$5:$B$404,0))/INDEX('PRICING'!$C$7:$C$16,MATCH(F78,'PRICING'!$A$7:$A$16,0))+INDEX('PROPERTIES'!$G$5:$G$404,MATCH(E78,'PROPERTIES'!$B$5:$B$404,0))*INDEX('PRICING'!$D$7:$D$16,MATCH(F78,'PRICING'!$A$7:$A$16,0))/60+INDEX('PROPERTIES'!$H$5:$H$404,MATCH(E78,'PROPERTIES'!$B$5:$B$404,0))*INDEX('PRICING'!$E$7:$E$16,MATCH(F78,'PRICING'!$A$7:$A$16,0))/60+INDEX('PRICING'!$F$7:$F$16,MATCH(F78,'PRICING'!$A$7:$A$16,0))/60),2)),""))</f>
        <v/>
      </c>
      <c r="R78" s="97">
        <f>IF(B78="","",IF(N(K78)&gt;0,K78,IF(N(J78)&gt;0,J78,N(Q78))))</f>
        <v/>
      </c>
      <c r="S78" s="55">
        <f>IF(L78="","",ROUND(L78*(1+N(M78)),2))</f>
        <v/>
      </c>
      <c r="T78" s="55">
        <f>IF(B78="","",SUMIFS('REVENUE'!$C$5:$C$1504,'REVENUE'!$B$5:$B$1504,A78))</f>
        <v/>
      </c>
      <c r="U78" s="55">
        <f>IF(B78="","",IF(O78="Completed",MAX(0,N(S78)-T78),""))</f>
        <v/>
      </c>
      <c r="V78" s="49">
        <f>IF(B78="","",IF(O78&lt;&gt;"Completed",IF(T78&gt;0,"Deposit","—"),IF(U78&lt;=0.005,"Paid",IF(T78&gt;0,"Partial","Unpaid"))))</f>
        <v/>
      </c>
      <c r="W78" s="55">
        <f>IF(B78="","",IFERROR(1/(1/INDEX('STAFF &amp; TASKS'!$C$5:$C$24,MATCH(H78,'STAFF &amp; TASKS'!$A$5:$A$24,0))),PayRate))</f>
        <v/>
      </c>
      <c r="X78" s="55">
        <f>IF(B78="","",IF(OR(O78="Cancelled",O78="No-Show"),"",ROUND(R78*W78*(1+Burden),2)))</f>
        <v/>
      </c>
      <c r="Y78" s="55">
        <f>IF(B78="","",IF(OR(O78="Cancelled",O78="No-Show"),"",IF(N78&lt;&gt;"",N78,ROUND(R78*SupHr*IFERROR(INDEX('PRICING'!$G$7:$G$16,MATCH(F78,'PRICING'!$A$7:$A$16,0)),1),2))))</f>
        <v/>
      </c>
      <c r="Z78" s="98">
        <f>IF(B78="","",SUMIFS('MILEAGE'!$J$5:$J$1504,'MILEAGE'!$B$5:$B$1504,A78))</f>
        <v/>
      </c>
      <c r="AA78" s="55">
        <f>IF(B78="","",ROUND(Z78*MileRate,2))</f>
        <v/>
      </c>
      <c r="AB78" s="55">
        <f>IF(B78="","",SUMIFS('REVENUE'!$J$5:$J$1504,'REVENUE'!$B$5:$B$1504,A78))</f>
        <v/>
      </c>
      <c r="AC78" s="55">
        <f>IF(L78="","",IF(OR(O78="Cancelled",O78="No-Show"),"",L78-N(X78)-N(Y78)-AA78-AB78))</f>
        <v/>
      </c>
      <c r="AD78" s="99">
        <f>IF(OR(AC78="",N(L78)=0),"",AC78/L78)</f>
        <v/>
      </c>
      <c r="AE78" s="55">
        <f>IF(OR(AC78="",N(R78)=0),"",L78/R78)</f>
        <v/>
      </c>
      <c r="AF78" s="100">
        <f>IF(OR(N(K78)=0,N(J78)+N(Q78)=0),"",K78-IF(N(J78)&gt;0,J78,Q78))</f>
        <v/>
      </c>
      <c r="AG78" s="99">
        <f>IF(B78="","",IFERROR(AVERAGEIFS('QUALITY CONTROL'!$M$5:$M$304,'QUALITY CONTROL'!$B$5:$B$304,A78),""))</f>
        <v/>
      </c>
      <c r="AH78" s="51">
        <f>IF(B78="","",DATE(YEAR(B78),MONTH(B78),1))</f>
        <v/>
      </c>
      <c r="AI78" s="49">
        <f>IF(D78="","",IFERROR(INDEX('CUSTOMERS'!$E$5:$E$404,MATCH(D78,'CUSTOMERS'!$B$5:$B$404,0)),""))</f>
        <v/>
      </c>
      <c r="AJ78" s="49">
        <f>IF(B78="","",N(C78))</f>
        <v/>
      </c>
      <c r="AK78" s="49">
        <f>IF(OR(B78="",O78="Cancelled",O78="Rescheduled"),"",B78&amp;"|"&amp;(COUNTIFS('JOBS'!$B$5:$B$1504,B78,'JOBS'!$AJ$5:$AJ$1504,"&lt;"&amp;AJ78,'JOBS'!$O$5:$O$1504,"&lt;&gt;Cancelled",'JOBS'!$O$5:$O$1504,"&lt;&gt;Rescheduled")+COUNTIFS($B$5:B78,B78,$AJ$5:AJ78,AJ78,$O$5:O78,"&lt;&gt;Cancelled",$O$5:O78,"&lt;&gt;Rescheduled")))</f>
        <v/>
      </c>
      <c r="AL78" s="49">
        <f>IF(N(U78)&lt;=0.005,"",COUNTIFS('JOBS'!$U$5:$U$1504,"&gt;0.005",'JOBS'!$B$5:$B$1504,"&lt;"&amp;B78)+COUNTIFS($U$5:U78,"&gt;0.005",$B$5:B78,B78))</f>
        <v/>
      </c>
    </row>
    <row r="79">
      <c r="A79" s="46" t="inlineStr">
        <is>
          <t>J-0075</t>
        </is>
      </c>
      <c r="B79" s="47" t="n">
        <v>46123</v>
      </c>
      <c r="C79" s="94" t="n">
        <v>0.4166666666666667</v>
      </c>
      <c r="D79" s="38" t="inlineStr">
        <is>
          <t>Finley Quigley</t>
        </is>
      </c>
      <c r="E79" s="38" t="inlineStr">
        <is>
          <t>21 Maple Avenue, North Sampletown</t>
        </is>
      </c>
      <c r="F79" s="38" t="inlineStr">
        <is>
          <t>Standard Clean</t>
        </is>
      </c>
      <c r="G79" s="38" t="inlineStr">
        <is>
          <t>R-007</t>
        </is>
      </c>
      <c r="H79" s="38" t="inlineStr">
        <is>
          <t>Maria Lopez</t>
        </is>
      </c>
      <c r="I79" s="57" t="n">
        <v>1</v>
      </c>
      <c r="J79" s="95" t="n"/>
      <c r="K79" s="95" t="n">
        <v>2.62</v>
      </c>
      <c r="L79" s="48" t="n">
        <v>110</v>
      </c>
      <c r="M79" s="96" t="n">
        <v>0</v>
      </c>
      <c r="N79" s="48" t="n"/>
      <c r="O79" s="38" t="inlineStr">
        <is>
          <t>Completed</t>
        </is>
      </c>
      <c r="P79" s="38" t="inlineStr"/>
      <c r="Q79" s="97">
        <f>IF(OR(F79="",E79=""),"",IFERROR(IF(INDEX('PROPERTIES'!$F$5:$F$404,MATCH(E79,'PROPERTIES'!$B$5:$B$404,0))=0,"",ROUND((INDEX('PROPERTIES'!$F$5:$F$404,MATCH(E79,'PROPERTIES'!$B$5:$B$404,0))/INDEX('PRICING'!$C$7:$C$16,MATCH(F79,'PRICING'!$A$7:$A$16,0))+INDEX('PROPERTIES'!$G$5:$G$404,MATCH(E79,'PROPERTIES'!$B$5:$B$404,0))*INDEX('PRICING'!$D$7:$D$16,MATCH(F79,'PRICING'!$A$7:$A$16,0))/60+INDEX('PROPERTIES'!$H$5:$H$404,MATCH(E79,'PROPERTIES'!$B$5:$B$404,0))*INDEX('PRICING'!$E$7:$E$16,MATCH(F79,'PRICING'!$A$7:$A$16,0))/60+INDEX('PRICING'!$F$7:$F$16,MATCH(F79,'PRICING'!$A$7:$A$16,0))/60),2)),""))</f>
        <v/>
      </c>
      <c r="R79" s="97">
        <f>IF(B79="","",IF(N(K79)&gt;0,K79,IF(N(J79)&gt;0,J79,N(Q79))))</f>
        <v/>
      </c>
      <c r="S79" s="55">
        <f>IF(L79="","",ROUND(L79*(1+N(M79)),2))</f>
        <v/>
      </c>
      <c r="T79" s="55">
        <f>IF(B79="","",SUMIFS('REVENUE'!$C$5:$C$1504,'REVENUE'!$B$5:$B$1504,A79))</f>
        <v/>
      </c>
      <c r="U79" s="55">
        <f>IF(B79="","",IF(O79="Completed",MAX(0,N(S79)-T79),""))</f>
        <v/>
      </c>
      <c r="V79" s="49">
        <f>IF(B79="","",IF(O79&lt;&gt;"Completed",IF(T79&gt;0,"Deposit","—"),IF(U79&lt;=0.005,"Paid",IF(T79&gt;0,"Partial","Unpaid"))))</f>
        <v/>
      </c>
      <c r="W79" s="55">
        <f>IF(B79="","",IFERROR(1/(1/INDEX('STAFF &amp; TASKS'!$C$5:$C$24,MATCH(H79,'STAFF &amp; TASKS'!$A$5:$A$24,0))),PayRate))</f>
        <v/>
      </c>
      <c r="X79" s="55">
        <f>IF(B79="","",IF(OR(O79="Cancelled",O79="No-Show"),"",ROUND(R79*W79*(1+Burden),2)))</f>
        <v/>
      </c>
      <c r="Y79" s="55">
        <f>IF(B79="","",IF(OR(O79="Cancelled",O79="No-Show"),"",IF(N79&lt;&gt;"",N79,ROUND(R79*SupHr*IFERROR(INDEX('PRICING'!$G$7:$G$16,MATCH(F79,'PRICING'!$A$7:$A$16,0)),1),2))))</f>
        <v/>
      </c>
      <c r="Z79" s="98">
        <f>IF(B79="","",SUMIFS('MILEAGE'!$J$5:$J$1504,'MILEAGE'!$B$5:$B$1504,A79))</f>
        <v/>
      </c>
      <c r="AA79" s="55">
        <f>IF(B79="","",ROUND(Z79*MileRate,2))</f>
        <v/>
      </c>
      <c r="AB79" s="55">
        <f>IF(B79="","",SUMIFS('REVENUE'!$J$5:$J$1504,'REVENUE'!$B$5:$B$1504,A79))</f>
        <v/>
      </c>
      <c r="AC79" s="55">
        <f>IF(L79="","",IF(OR(O79="Cancelled",O79="No-Show"),"",L79-N(X79)-N(Y79)-AA79-AB79))</f>
        <v/>
      </c>
      <c r="AD79" s="99">
        <f>IF(OR(AC79="",N(L79)=0),"",AC79/L79)</f>
        <v/>
      </c>
      <c r="AE79" s="55">
        <f>IF(OR(AC79="",N(R79)=0),"",L79/R79)</f>
        <v/>
      </c>
      <c r="AF79" s="100">
        <f>IF(OR(N(K79)=0,N(J79)+N(Q79)=0),"",K79-IF(N(J79)&gt;0,J79,Q79))</f>
        <v/>
      </c>
      <c r="AG79" s="99">
        <f>IF(B79="","",IFERROR(AVERAGEIFS('QUALITY CONTROL'!$M$5:$M$304,'QUALITY CONTROL'!$B$5:$B$304,A79),""))</f>
        <v/>
      </c>
      <c r="AH79" s="51">
        <f>IF(B79="","",DATE(YEAR(B79),MONTH(B79),1))</f>
        <v/>
      </c>
      <c r="AI79" s="49">
        <f>IF(D79="","",IFERROR(INDEX('CUSTOMERS'!$E$5:$E$404,MATCH(D79,'CUSTOMERS'!$B$5:$B$404,0)),""))</f>
        <v/>
      </c>
      <c r="AJ79" s="49">
        <f>IF(B79="","",N(C79))</f>
        <v/>
      </c>
      <c r="AK79" s="49">
        <f>IF(OR(B79="",O79="Cancelled",O79="Rescheduled"),"",B79&amp;"|"&amp;(COUNTIFS('JOBS'!$B$5:$B$1504,B79,'JOBS'!$AJ$5:$AJ$1504,"&lt;"&amp;AJ79,'JOBS'!$O$5:$O$1504,"&lt;&gt;Cancelled",'JOBS'!$O$5:$O$1504,"&lt;&gt;Rescheduled")+COUNTIFS($B$5:B79,B79,$AJ$5:AJ79,AJ79,$O$5:O79,"&lt;&gt;Cancelled",$O$5:O79,"&lt;&gt;Rescheduled")))</f>
        <v/>
      </c>
      <c r="AL79" s="49">
        <f>IF(N(U79)&lt;=0.005,"",COUNTIFS('JOBS'!$U$5:$U$1504,"&gt;0.005",'JOBS'!$B$5:$B$1504,"&lt;"&amp;B79)+COUNTIFS($U$5:U79,"&gt;0.005",$B$5:B79,B79))</f>
        <v/>
      </c>
    </row>
    <row r="80">
      <c r="A80" s="46" t="inlineStr">
        <is>
          <t>J-0076</t>
        </is>
      </c>
      <c r="B80" s="47" t="n">
        <v>46124</v>
      </c>
      <c r="C80" s="94" t="n">
        <v>0.5416666666666666</v>
      </c>
      <c r="D80" s="38" t="inlineStr">
        <is>
          <t>Emerson Holloway</t>
        </is>
      </c>
      <c r="E80" s="38" t="inlineStr">
        <is>
          <t>192 Birch Lane, North Sampletown</t>
        </is>
      </c>
      <c r="F80" s="38" t="inlineStr">
        <is>
          <t>Airbnb Turnover</t>
        </is>
      </c>
      <c r="G80" s="38" t="n"/>
      <c r="H80" s="38" t="inlineStr">
        <is>
          <t>Kevin Osei</t>
        </is>
      </c>
      <c r="I80" s="57" t="n">
        <v>1</v>
      </c>
      <c r="J80" s="95" t="n"/>
      <c r="K80" s="95" t="n">
        <v>2.54</v>
      </c>
      <c r="L80" s="48" t="n">
        <v>150</v>
      </c>
      <c r="M80" s="96" t="n">
        <v>0</v>
      </c>
      <c r="N80" s="48" t="n"/>
      <c r="O80" s="38" t="inlineStr">
        <is>
          <t>Completed</t>
        </is>
      </c>
      <c r="P80" s="38" t="inlineStr">
        <is>
          <t>Includes laundry</t>
        </is>
      </c>
      <c r="Q80" s="97">
        <f>IF(OR(F80="",E80=""),"",IFERROR(IF(INDEX('PROPERTIES'!$F$5:$F$404,MATCH(E80,'PROPERTIES'!$B$5:$B$404,0))=0,"",ROUND((INDEX('PROPERTIES'!$F$5:$F$404,MATCH(E80,'PROPERTIES'!$B$5:$B$404,0))/INDEX('PRICING'!$C$7:$C$16,MATCH(F80,'PRICING'!$A$7:$A$16,0))+INDEX('PROPERTIES'!$G$5:$G$404,MATCH(E80,'PROPERTIES'!$B$5:$B$404,0))*INDEX('PRICING'!$D$7:$D$16,MATCH(F80,'PRICING'!$A$7:$A$16,0))/60+INDEX('PROPERTIES'!$H$5:$H$404,MATCH(E80,'PROPERTIES'!$B$5:$B$404,0))*INDEX('PRICING'!$E$7:$E$16,MATCH(F80,'PRICING'!$A$7:$A$16,0))/60+INDEX('PRICING'!$F$7:$F$16,MATCH(F80,'PRICING'!$A$7:$A$16,0))/60),2)),""))</f>
        <v/>
      </c>
      <c r="R80" s="97">
        <f>IF(B80="","",IF(N(K80)&gt;0,K80,IF(N(J80)&gt;0,J80,N(Q80))))</f>
        <v/>
      </c>
      <c r="S80" s="55">
        <f>IF(L80="","",ROUND(L80*(1+N(M80)),2))</f>
        <v/>
      </c>
      <c r="T80" s="55">
        <f>IF(B80="","",SUMIFS('REVENUE'!$C$5:$C$1504,'REVENUE'!$B$5:$B$1504,A80))</f>
        <v/>
      </c>
      <c r="U80" s="55">
        <f>IF(B80="","",IF(O80="Completed",MAX(0,N(S80)-T80),""))</f>
        <v/>
      </c>
      <c r="V80" s="49">
        <f>IF(B80="","",IF(O80&lt;&gt;"Completed",IF(T80&gt;0,"Deposit","—"),IF(U80&lt;=0.005,"Paid",IF(T80&gt;0,"Partial","Unpaid"))))</f>
        <v/>
      </c>
      <c r="W80" s="55">
        <f>IF(B80="","",IFERROR(1/(1/INDEX('STAFF &amp; TASKS'!$C$5:$C$24,MATCH(H80,'STAFF &amp; TASKS'!$A$5:$A$24,0))),PayRate))</f>
        <v/>
      </c>
      <c r="X80" s="55">
        <f>IF(B80="","",IF(OR(O80="Cancelled",O80="No-Show"),"",ROUND(R80*W80*(1+Burden),2)))</f>
        <v/>
      </c>
      <c r="Y80" s="55">
        <f>IF(B80="","",IF(OR(O80="Cancelled",O80="No-Show"),"",IF(N80&lt;&gt;"",N80,ROUND(R80*SupHr*IFERROR(INDEX('PRICING'!$G$7:$G$16,MATCH(F80,'PRICING'!$A$7:$A$16,0)),1),2))))</f>
        <v/>
      </c>
      <c r="Z80" s="98">
        <f>IF(B80="","",SUMIFS('MILEAGE'!$J$5:$J$1504,'MILEAGE'!$B$5:$B$1504,A80))</f>
        <v/>
      </c>
      <c r="AA80" s="55">
        <f>IF(B80="","",ROUND(Z80*MileRate,2))</f>
        <v/>
      </c>
      <c r="AB80" s="55">
        <f>IF(B80="","",SUMIFS('REVENUE'!$J$5:$J$1504,'REVENUE'!$B$5:$B$1504,A80))</f>
        <v/>
      </c>
      <c r="AC80" s="55">
        <f>IF(L80="","",IF(OR(O80="Cancelled",O80="No-Show"),"",L80-N(X80)-N(Y80)-AA80-AB80))</f>
        <v/>
      </c>
      <c r="AD80" s="99">
        <f>IF(OR(AC80="",N(L80)=0),"",AC80/L80)</f>
        <v/>
      </c>
      <c r="AE80" s="55">
        <f>IF(OR(AC80="",N(R80)=0),"",L80/R80)</f>
        <v/>
      </c>
      <c r="AF80" s="100">
        <f>IF(OR(N(K80)=0,N(J80)+N(Q80)=0),"",K80-IF(N(J80)&gt;0,J80,Q80))</f>
        <v/>
      </c>
      <c r="AG80" s="99">
        <f>IF(B80="","",IFERROR(AVERAGEIFS('QUALITY CONTROL'!$M$5:$M$304,'QUALITY CONTROL'!$B$5:$B$304,A80),""))</f>
        <v/>
      </c>
      <c r="AH80" s="51">
        <f>IF(B80="","",DATE(YEAR(B80),MONTH(B80),1))</f>
        <v/>
      </c>
      <c r="AI80" s="49">
        <f>IF(D80="","",IFERROR(INDEX('CUSTOMERS'!$E$5:$E$404,MATCH(D80,'CUSTOMERS'!$B$5:$B$404,0)),""))</f>
        <v/>
      </c>
      <c r="AJ80" s="49">
        <f>IF(B80="","",N(C80))</f>
        <v/>
      </c>
      <c r="AK80" s="49">
        <f>IF(OR(B80="",O80="Cancelled",O80="Rescheduled"),"",B80&amp;"|"&amp;(COUNTIFS('JOBS'!$B$5:$B$1504,B80,'JOBS'!$AJ$5:$AJ$1504,"&lt;"&amp;AJ80,'JOBS'!$O$5:$O$1504,"&lt;&gt;Cancelled",'JOBS'!$O$5:$O$1504,"&lt;&gt;Rescheduled")+COUNTIFS($B$5:B80,B80,$AJ$5:AJ80,AJ80,$O$5:O80,"&lt;&gt;Cancelled",$O$5:O80,"&lt;&gt;Rescheduled")))</f>
        <v/>
      </c>
      <c r="AL80" s="49">
        <f>IF(N(U80)&lt;=0.005,"",COUNTIFS('JOBS'!$U$5:$U$1504,"&gt;0.005",'JOBS'!$B$5:$B$1504,"&lt;"&amp;B80)+COUNTIFS($U$5:U80,"&gt;0.005",$B$5:B80,B80))</f>
        <v/>
      </c>
    </row>
    <row r="81">
      <c r="A81" s="46" t="inlineStr">
        <is>
          <t>J-0077</t>
        </is>
      </c>
      <c r="B81" s="47" t="n">
        <v>46126</v>
      </c>
      <c r="C81" s="94" t="n">
        <v>0.4166666666666667</v>
      </c>
      <c r="D81" s="38" t="inlineStr">
        <is>
          <t>Lane Ivers</t>
        </is>
      </c>
      <c r="E81" s="38" t="inlineStr">
        <is>
          <t>497 Aspen Drive, Sampletown</t>
        </is>
      </c>
      <c r="F81" s="38" t="inlineStr">
        <is>
          <t>Standard Clean</t>
        </is>
      </c>
      <c r="G81" s="38" t="inlineStr">
        <is>
          <t>R-001</t>
        </is>
      </c>
      <c r="H81" s="38" t="inlineStr">
        <is>
          <t>Maria Lopez</t>
        </is>
      </c>
      <c r="I81" s="57" t="n">
        <v>1</v>
      </c>
      <c r="J81" s="95" t="n"/>
      <c r="K81" s="95" t="n">
        <v>4.38</v>
      </c>
      <c r="L81" s="48" t="n">
        <v>175</v>
      </c>
      <c r="M81" s="96" t="n">
        <v>0</v>
      </c>
      <c r="N81" s="48" t="n"/>
      <c r="O81" s="38" t="inlineStr">
        <is>
          <t>Completed</t>
        </is>
      </c>
      <c r="P81" s="38" t="inlineStr"/>
      <c r="Q81" s="97">
        <f>IF(OR(F81="",E81=""),"",IFERROR(IF(INDEX('PROPERTIES'!$F$5:$F$404,MATCH(E81,'PROPERTIES'!$B$5:$B$404,0))=0,"",ROUND((INDEX('PROPERTIES'!$F$5:$F$404,MATCH(E81,'PROPERTIES'!$B$5:$B$404,0))/INDEX('PRICING'!$C$7:$C$16,MATCH(F81,'PRICING'!$A$7:$A$16,0))+INDEX('PROPERTIES'!$G$5:$G$404,MATCH(E81,'PROPERTIES'!$B$5:$B$404,0))*INDEX('PRICING'!$D$7:$D$16,MATCH(F81,'PRICING'!$A$7:$A$16,0))/60+INDEX('PROPERTIES'!$H$5:$H$404,MATCH(E81,'PROPERTIES'!$B$5:$B$404,0))*INDEX('PRICING'!$E$7:$E$16,MATCH(F81,'PRICING'!$A$7:$A$16,0))/60+INDEX('PRICING'!$F$7:$F$16,MATCH(F81,'PRICING'!$A$7:$A$16,0))/60),2)),""))</f>
        <v/>
      </c>
      <c r="R81" s="97">
        <f>IF(B81="","",IF(N(K81)&gt;0,K81,IF(N(J81)&gt;0,J81,N(Q81))))</f>
        <v/>
      </c>
      <c r="S81" s="55">
        <f>IF(L81="","",ROUND(L81*(1+N(M81)),2))</f>
        <v/>
      </c>
      <c r="T81" s="55">
        <f>IF(B81="","",SUMIFS('REVENUE'!$C$5:$C$1504,'REVENUE'!$B$5:$B$1504,A81))</f>
        <v/>
      </c>
      <c r="U81" s="55">
        <f>IF(B81="","",IF(O81="Completed",MAX(0,N(S81)-T81),""))</f>
        <v/>
      </c>
      <c r="V81" s="49">
        <f>IF(B81="","",IF(O81&lt;&gt;"Completed",IF(T81&gt;0,"Deposit","—"),IF(U81&lt;=0.005,"Paid",IF(T81&gt;0,"Partial","Unpaid"))))</f>
        <v/>
      </c>
      <c r="W81" s="55">
        <f>IF(B81="","",IFERROR(1/(1/INDEX('STAFF &amp; TASKS'!$C$5:$C$24,MATCH(H81,'STAFF &amp; TASKS'!$A$5:$A$24,0))),PayRate))</f>
        <v/>
      </c>
      <c r="X81" s="55">
        <f>IF(B81="","",IF(OR(O81="Cancelled",O81="No-Show"),"",ROUND(R81*W81*(1+Burden),2)))</f>
        <v/>
      </c>
      <c r="Y81" s="55">
        <f>IF(B81="","",IF(OR(O81="Cancelled",O81="No-Show"),"",IF(N81&lt;&gt;"",N81,ROUND(R81*SupHr*IFERROR(INDEX('PRICING'!$G$7:$G$16,MATCH(F81,'PRICING'!$A$7:$A$16,0)),1),2))))</f>
        <v/>
      </c>
      <c r="Z81" s="98">
        <f>IF(B81="","",SUMIFS('MILEAGE'!$J$5:$J$1504,'MILEAGE'!$B$5:$B$1504,A81))</f>
        <v/>
      </c>
      <c r="AA81" s="55">
        <f>IF(B81="","",ROUND(Z81*MileRate,2))</f>
        <v/>
      </c>
      <c r="AB81" s="55">
        <f>IF(B81="","",SUMIFS('REVENUE'!$J$5:$J$1504,'REVENUE'!$B$5:$B$1504,A81))</f>
        <v/>
      </c>
      <c r="AC81" s="55">
        <f>IF(L81="","",IF(OR(O81="Cancelled",O81="No-Show"),"",L81-N(X81)-N(Y81)-AA81-AB81))</f>
        <v/>
      </c>
      <c r="AD81" s="99">
        <f>IF(OR(AC81="",N(L81)=0),"",AC81/L81)</f>
        <v/>
      </c>
      <c r="AE81" s="55">
        <f>IF(OR(AC81="",N(R81)=0),"",L81/R81)</f>
        <v/>
      </c>
      <c r="AF81" s="100">
        <f>IF(OR(N(K81)=0,N(J81)+N(Q81)=0),"",K81-IF(N(J81)&gt;0,J81,Q81))</f>
        <v/>
      </c>
      <c r="AG81" s="99">
        <f>IF(B81="","",IFERROR(AVERAGEIFS('QUALITY CONTROL'!$M$5:$M$304,'QUALITY CONTROL'!$B$5:$B$304,A81),""))</f>
        <v/>
      </c>
      <c r="AH81" s="51">
        <f>IF(B81="","",DATE(YEAR(B81),MONTH(B81),1))</f>
        <v/>
      </c>
      <c r="AI81" s="49">
        <f>IF(D81="","",IFERROR(INDEX('CUSTOMERS'!$E$5:$E$404,MATCH(D81,'CUSTOMERS'!$B$5:$B$404,0)),""))</f>
        <v/>
      </c>
      <c r="AJ81" s="49">
        <f>IF(B81="","",N(C81))</f>
        <v/>
      </c>
      <c r="AK81" s="49">
        <f>IF(OR(B81="",O81="Cancelled",O81="Rescheduled"),"",B81&amp;"|"&amp;(COUNTIFS('JOBS'!$B$5:$B$1504,B81,'JOBS'!$AJ$5:$AJ$1504,"&lt;"&amp;AJ81,'JOBS'!$O$5:$O$1504,"&lt;&gt;Cancelled",'JOBS'!$O$5:$O$1504,"&lt;&gt;Rescheduled")+COUNTIFS($B$5:B81,B81,$AJ$5:AJ81,AJ81,$O$5:O81,"&lt;&gt;Cancelled",$O$5:O81,"&lt;&gt;Rescheduled")))</f>
        <v/>
      </c>
      <c r="AL81" s="49">
        <f>IF(N(U81)&lt;=0.005,"",COUNTIFS('JOBS'!$U$5:$U$1504,"&gt;0.005",'JOBS'!$B$5:$B$1504,"&lt;"&amp;B81)+COUNTIFS($U$5:U81,"&gt;0.005",$B$5:B81,B81))</f>
        <v/>
      </c>
    </row>
    <row r="82">
      <c r="A82" s="46" t="inlineStr">
        <is>
          <t>J-0078</t>
        </is>
      </c>
      <c r="B82" s="47" t="n">
        <v>46126</v>
      </c>
      <c r="C82" s="94" t="n">
        <v>0.625</v>
      </c>
      <c r="D82" s="38" t="inlineStr">
        <is>
          <t>Dana Oakes</t>
        </is>
      </c>
      <c r="E82" s="38" t="inlineStr">
        <is>
          <t>666 Juniper Street, North Sampletown</t>
        </is>
      </c>
      <c r="F82" s="38" t="inlineStr">
        <is>
          <t>Airbnb Turnover</t>
        </is>
      </c>
      <c r="G82" s="38" t="n"/>
      <c r="H82" s="38" t="inlineStr">
        <is>
          <t>Kevin Osei</t>
        </is>
      </c>
      <c r="I82" s="57" t="n">
        <v>1</v>
      </c>
      <c r="J82" s="95" t="n"/>
      <c r="K82" s="95" t="n">
        <v>1.51</v>
      </c>
      <c r="L82" s="48" t="n">
        <v>135</v>
      </c>
      <c r="M82" s="96" t="n">
        <v>0</v>
      </c>
      <c r="N82" s="48" t="n"/>
      <c r="O82" s="38" t="inlineStr">
        <is>
          <t>Completed</t>
        </is>
      </c>
      <c r="P82" s="38" t="inlineStr">
        <is>
          <t>Includes laundry</t>
        </is>
      </c>
      <c r="Q82" s="97">
        <f>IF(OR(F82="",E82=""),"",IFERROR(IF(INDEX('PROPERTIES'!$F$5:$F$404,MATCH(E82,'PROPERTIES'!$B$5:$B$404,0))=0,"",ROUND((INDEX('PROPERTIES'!$F$5:$F$404,MATCH(E82,'PROPERTIES'!$B$5:$B$404,0))/INDEX('PRICING'!$C$7:$C$16,MATCH(F82,'PRICING'!$A$7:$A$16,0))+INDEX('PROPERTIES'!$G$5:$G$404,MATCH(E82,'PROPERTIES'!$B$5:$B$404,0))*INDEX('PRICING'!$D$7:$D$16,MATCH(F82,'PRICING'!$A$7:$A$16,0))/60+INDEX('PROPERTIES'!$H$5:$H$404,MATCH(E82,'PROPERTIES'!$B$5:$B$404,0))*INDEX('PRICING'!$E$7:$E$16,MATCH(F82,'PRICING'!$A$7:$A$16,0))/60+INDEX('PRICING'!$F$7:$F$16,MATCH(F82,'PRICING'!$A$7:$A$16,0))/60),2)),""))</f>
        <v/>
      </c>
      <c r="R82" s="97">
        <f>IF(B82="","",IF(N(K82)&gt;0,K82,IF(N(J82)&gt;0,J82,N(Q82))))</f>
        <v/>
      </c>
      <c r="S82" s="55">
        <f>IF(L82="","",ROUND(L82*(1+N(M82)),2))</f>
        <v/>
      </c>
      <c r="T82" s="55">
        <f>IF(B82="","",SUMIFS('REVENUE'!$C$5:$C$1504,'REVENUE'!$B$5:$B$1504,A82))</f>
        <v/>
      </c>
      <c r="U82" s="55">
        <f>IF(B82="","",IF(O82="Completed",MAX(0,N(S82)-T82),""))</f>
        <v/>
      </c>
      <c r="V82" s="49">
        <f>IF(B82="","",IF(O82&lt;&gt;"Completed",IF(T82&gt;0,"Deposit","—"),IF(U82&lt;=0.005,"Paid",IF(T82&gt;0,"Partial","Unpaid"))))</f>
        <v/>
      </c>
      <c r="W82" s="55">
        <f>IF(B82="","",IFERROR(1/(1/INDEX('STAFF &amp; TASKS'!$C$5:$C$24,MATCH(H82,'STAFF &amp; TASKS'!$A$5:$A$24,0))),PayRate))</f>
        <v/>
      </c>
      <c r="X82" s="55">
        <f>IF(B82="","",IF(OR(O82="Cancelled",O82="No-Show"),"",ROUND(R82*W82*(1+Burden),2)))</f>
        <v/>
      </c>
      <c r="Y82" s="55">
        <f>IF(B82="","",IF(OR(O82="Cancelled",O82="No-Show"),"",IF(N82&lt;&gt;"",N82,ROUND(R82*SupHr*IFERROR(INDEX('PRICING'!$G$7:$G$16,MATCH(F82,'PRICING'!$A$7:$A$16,0)),1),2))))</f>
        <v/>
      </c>
      <c r="Z82" s="98">
        <f>IF(B82="","",SUMIFS('MILEAGE'!$J$5:$J$1504,'MILEAGE'!$B$5:$B$1504,A82))</f>
        <v/>
      </c>
      <c r="AA82" s="55">
        <f>IF(B82="","",ROUND(Z82*MileRate,2))</f>
        <v/>
      </c>
      <c r="AB82" s="55">
        <f>IF(B82="","",SUMIFS('REVENUE'!$J$5:$J$1504,'REVENUE'!$B$5:$B$1504,A82))</f>
        <v/>
      </c>
      <c r="AC82" s="55">
        <f>IF(L82="","",IF(OR(O82="Cancelled",O82="No-Show"),"",L82-N(X82)-N(Y82)-AA82-AB82))</f>
        <v/>
      </c>
      <c r="AD82" s="99">
        <f>IF(OR(AC82="",N(L82)=0),"",AC82/L82)</f>
        <v/>
      </c>
      <c r="AE82" s="55">
        <f>IF(OR(AC82="",N(R82)=0),"",L82/R82)</f>
        <v/>
      </c>
      <c r="AF82" s="100">
        <f>IF(OR(N(K82)=0,N(J82)+N(Q82)=0),"",K82-IF(N(J82)&gt;0,J82,Q82))</f>
        <v/>
      </c>
      <c r="AG82" s="99">
        <f>IF(B82="","",IFERROR(AVERAGEIFS('QUALITY CONTROL'!$M$5:$M$304,'QUALITY CONTROL'!$B$5:$B$304,A82),""))</f>
        <v/>
      </c>
      <c r="AH82" s="51">
        <f>IF(B82="","",DATE(YEAR(B82),MONTH(B82),1))</f>
        <v/>
      </c>
      <c r="AI82" s="49">
        <f>IF(D82="","",IFERROR(INDEX('CUSTOMERS'!$E$5:$E$404,MATCH(D82,'CUSTOMERS'!$B$5:$B$404,0)),""))</f>
        <v/>
      </c>
      <c r="AJ82" s="49">
        <f>IF(B82="","",N(C82))</f>
        <v/>
      </c>
      <c r="AK82" s="49">
        <f>IF(OR(B82="",O82="Cancelled",O82="Rescheduled"),"",B82&amp;"|"&amp;(COUNTIFS('JOBS'!$B$5:$B$1504,B82,'JOBS'!$AJ$5:$AJ$1504,"&lt;"&amp;AJ82,'JOBS'!$O$5:$O$1504,"&lt;&gt;Cancelled",'JOBS'!$O$5:$O$1504,"&lt;&gt;Rescheduled")+COUNTIFS($B$5:B82,B82,$AJ$5:AJ82,AJ82,$O$5:O82,"&lt;&gt;Cancelled",$O$5:O82,"&lt;&gt;Rescheduled")))</f>
        <v/>
      </c>
      <c r="AL82" s="49">
        <f>IF(N(U82)&lt;=0.005,"",COUNTIFS('JOBS'!$U$5:$U$1504,"&gt;0.005",'JOBS'!$B$5:$B$1504,"&lt;"&amp;B82)+COUNTIFS($U$5:U82,"&gt;0.005",$B$5:B82,B82))</f>
        <v/>
      </c>
    </row>
    <row r="83">
      <c r="A83" s="46" t="inlineStr">
        <is>
          <t>J-0079</t>
        </is>
      </c>
      <c r="B83" s="47" t="n">
        <v>46126</v>
      </c>
      <c r="C83" s="94" t="n">
        <v>0.625</v>
      </c>
      <c r="D83" s="38" t="inlineStr">
        <is>
          <t>Blake Oakes</t>
        </is>
      </c>
      <c r="E83" s="38" t="inlineStr">
        <is>
          <t>654 Willow Way, North Sampletown</t>
        </is>
      </c>
      <c r="F83" s="38" t="inlineStr">
        <is>
          <t>Airbnb Turnover</t>
        </is>
      </c>
      <c r="G83" s="38" t="n"/>
      <c r="H83" s="38" t="inlineStr">
        <is>
          <t>Kevin Osei</t>
        </is>
      </c>
      <c r="I83" s="57" t="n">
        <v>1</v>
      </c>
      <c r="J83" s="95" t="n"/>
      <c r="K83" s="95" t="n">
        <v>1.99</v>
      </c>
      <c r="L83" s="48" t="n">
        <v>135</v>
      </c>
      <c r="M83" s="96" t="n">
        <v>0</v>
      </c>
      <c r="N83" s="48" t="n"/>
      <c r="O83" s="38" t="inlineStr">
        <is>
          <t>Completed</t>
        </is>
      </c>
      <c r="P83" s="38" t="inlineStr">
        <is>
          <t>Includes laundry</t>
        </is>
      </c>
      <c r="Q83" s="97">
        <f>IF(OR(F83="",E83=""),"",IFERROR(IF(INDEX('PROPERTIES'!$F$5:$F$404,MATCH(E83,'PROPERTIES'!$B$5:$B$404,0))=0,"",ROUND((INDEX('PROPERTIES'!$F$5:$F$404,MATCH(E83,'PROPERTIES'!$B$5:$B$404,0))/INDEX('PRICING'!$C$7:$C$16,MATCH(F83,'PRICING'!$A$7:$A$16,0))+INDEX('PROPERTIES'!$G$5:$G$404,MATCH(E83,'PROPERTIES'!$B$5:$B$404,0))*INDEX('PRICING'!$D$7:$D$16,MATCH(F83,'PRICING'!$A$7:$A$16,0))/60+INDEX('PROPERTIES'!$H$5:$H$404,MATCH(E83,'PROPERTIES'!$B$5:$B$404,0))*INDEX('PRICING'!$E$7:$E$16,MATCH(F83,'PRICING'!$A$7:$A$16,0))/60+INDEX('PRICING'!$F$7:$F$16,MATCH(F83,'PRICING'!$A$7:$A$16,0))/60),2)),""))</f>
        <v/>
      </c>
      <c r="R83" s="97">
        <f>IF(B83="","",IF(N(K83)&gt;0,K83,IF(N(J83)&gt;0,J83,N(Q83))))</f>
        <v/>
      </c>
      <c r="S83" s="55">
        <f>IF(L83="","",ROUND(L83*(1+N(M83)),2))</f>
        <v/>
      </c>
      <c r="T83" s="55">
        <f>IF(B83="","",SUMIFS('REVENUE'!$C$5:$C$1504,'REVENUE'!$B$5:$B$1504,A83))</f>
        <v/>
      </c>
      <c r="U83" s="55">
        <f>IF(B83="","",IF(O83="Completed",MAX(0,N(S83)-T83),""))</f>
        <v/>
      </c>
      <c r="V83" s="49">
        <f>IF(B83="","",IF(O83&lt;&gt;"Completed",IF(T83&gt;0,"Deposit","—"),IF(U83&lt;=0.005,"Paid",IF(T83&gt;0,"Partial","Unpaid"))))</f>
        <v/>
      </c>
      <c r="W83" s="55">
        <f>IF(B83="","",IFERROR(1/(1/INDEX('STAFF &amp; TASKS'!$C$5:$C$24,MATCH(H83,'STAFF &amp; TASKS'!$A$5:$A$24,0))),PayRate))</f>
        <v/>
      </c>
      <c r="X83" s="55">
        <f>IF(B83="","",IF(OR(O83="Cancelled",O83="No-Show"),"",ROUND(R83*W83*(1+Burden),2)))</f>
        <v/>
      </c>
      <c r="Y83" s="55">
        <f>IF(B83="","",IF(OR(O83="Cancelled",O83="No-Show"),"",IF(N83&lt;&gt;"",N83,ROUND(R83*SupHr*IFERROR(INDEX('PRICING'!$G$7:$G$16,MATCH(F83,'PRICING'!$A$7:$A$16,0)),1),2))))</f>
        <v/>
      </c>
      <c r="Z83" s="98">
        <f>IF(B83="","",SUMIFS('MILEAGE'!$J$5:$J$1504,'MILEAGE'!$B$5:$B$1504,A83))</f>
        <v/>
      </c>
      <c r="AA83" s="55">
        <f>IF(B83="","",ROUND(Z83*MileRate,2))</f>
        <v/>
      </c>
      <c r="AB83" s="55">
        <f>IF(B83="","",SUMIFS('REVENUE'!$J$5:$J$1504,'REVENUE'!$B$5:$B$1504,A83))</f>
        <v/>
      </c>
      <c r="AC83" s="55">
        <f>IF(L83="","",IF(OR(O83="Cancelled",O83="No-Show"),"",L83-N(X83)-N(Y83)-AA83-AB83))</f>
        <v/>
      </c>
      <c r="AD83" s="99">
        <f>IF(OR(AC83="",N(L83)=0),"",AC83/L83)</f>
        <v/>
      </c>
      <c r="AE83" s="55">
        <f>IF(OR(AC83="",N(R83)=0),"",L83/R83)</f>
        <v/>
      </c>
      <c r="AF83" s="100">
        <f>IF(OR(N(K83)=0,N(J83)+N(Q83)=0),"",K83-IF(N(J83)&gt;0,J83,Q83))</f>
        <v/>
      </c>
      <c r="AG83" s="99">
        <f>IF(B83="","",IFERROR(AVERAGEIFS('QUALITY CONTROL'!$M$5:$M$304,'QUALITY CONTROL'!$B$5:$B$304,A83),""))</f>
        <v/>
      </c>
      <c r="AH83" s="51">
        <f>IF(B83="","",DATE(YEAR(B83),MONTH(B83),1))</f>
        <v/>
      </c>
      <c r="AI83" s="49">
        <f>IF(D83="","",IFERROR(INDEX('CUSTOMERS'!$E$5:$E$404,MATCH(D83,'CUSTOMERS'!$B$5:$B$404,0)),""))</f>
        <v/>
      </c>
      <c r="AJ83" s="49">
        <f>IF(B83="","",N(C83))</f>
        <v/>
      </c>
      <c r="AK83" s="49">
        <f>IF(OR(B83="",O83="Cancelled",O83="Rescheduled"),"",B83&amp;"|"&amp;(COUNTIFS('JOBS'!$B$5:$B$1504,B83,'JOBS'!$AJ$5:$AJ$1504,"&lt;"&amp;AJ83,'JOBS'!$O$5:$O$1504,"&lt;&gt;Cancelled",'JOBS'!$O$5:$O$1504,"&lt;&gt;Rescheduled")+COUNTIFS($B$5:B83,B83,$AJ$5:AJ83,AJ83,$O$5:O83,"&lt;&gt;Cancelled",$O$5:O83,"&lt;&gt;Rescheduled")))</f>
        <v/>
      </c>
      <c r="AL83" s="49">
        <f>IF(N(U83)&lt;=0.005,"",COUNTIFS('JOBS'!$U$5:$U$1504,"&gt;0.005",'JOBS'!$B$5:$B$1504,"&lt;"&amp;B83)+COUNTIFS($U$5:U83,"&gt;0.005",$B$5:B83,B83))</f>
        <v/>
      </c>
    </row>
    <row r="84">
      <c r="A84" s="46" t="inlineStr">
        <is>
          <t>J-0080</t>
        </is>
      </c>
      <c r="B84" s="47" t="n">
        <v>46127</v>
      </c>
      <c r="C84" s="94" t="n">
        <v>0.5416666666666666</v>
      </c>
      <c r="D84" s="38" t="inlineStr">
        <is>
          <t>Logan Porter</t>
        </is>
      </c>
      <c r="E84" s="38" t="inlineStr">
        <is>
          <t>675 Aspen Drive, Lakeview (fictional)</t>
        </is>
      </c>
      <c r="F84" s="38" t="inlineStr">
        <is>
          <t>Standard Clean</t>
        </is>
      </c>
      <c r="G84" s="38" t="inlineStr">
        <is>
          <t>R-002</t>
        </is>
      </c>
      <c r="H84" s="38" t="inlineStr">
        <is>
          <t>Dana Whitfield</t>
        </is>
      </c>
      <c r="I84" s="57" t="n">
        <v>1</v>
      </c>
      <c r="J84" s="95" t="n"/>
      <c r="K84" s="95" t="n">
        <v>5.64</v>
      </c>
      <c r="L84" s="48" t="n">
        <v>220</v>
      </c>
      <c r="M84" s="96" t="n">
        <v>0</v>
      </c>
      <c r="N84" s="48" t="n"/>
      <c r="O84" s="38" t="inlineStr">
        <is>
          <t>Completed</t>
        </is>
      </c>
      <c r="P84" s="38" t="inlineStr"/>
      <c r="Q84" s="97">
        <f>IF(OR(F84="",E84=""),"",IFERROR(IF(INDEX('PROPERTIES'!$F$5:$F$404,MATCH(E84,'PROPERTIES'!$B$5:$B$404,0))=0,"",ROUND((INDEX('PROPERTIES'!$F$5:$F$404,MATCH(E84,'PROPERTIES'!$B$5:$B$404,0))/INDEX('PRICING'!$C$7:$C$16,MATCH(F84,'PRICING'!$A$7:$A$16,0))+INDEX('PROPERTIES'!$G$5:$G$404,MATCH(E84,'PROPERTIES'!$B$5:$B$404,0))*INDEX('PRICING'!$D$7:$D$16,MATCH(F84,'PRICING'!$A$7:$A$16,0))/60+INDEX('PROPERTIES'!$H$5:$H$404,MATCH(E84,'PROPERTIES'!$B$5:$B$404,0))*INDEX('PRICING'!$E$7:$E$16,MATCH(F84,'PRICING'!$A$7:$A$16,0))/60+INDEX('PRICING'!$F$7:$F$16,MATCH(F84,'PRICING'!$A$7:$A$16,0))/60),2)),""))</f>
        <v/>
      </c>
      <c r="R84" s="97">
        <f>IF(B84="","",IF(N(K84)&gt;0,K84,IF(N(J84)&gt;0,J84,N(Q84))))</f>
        <v/>
      </c>
      <c r="S84" s="55">
        <f>IF(L84="","",ROUND(L84*(1+N(M84)),2))</f>
        <v/>
      </c>
      <c r="T84" s="55">
        <f>IF(B84="","",SUMIFS('REVENUE'!$C$5:$C$1504,'REVENUE'!$B$5:$B$1504,A84))</f>
        <v/>
      </c>
      <c r="U84" s="55">
        <f>IF(B84="","",IF(O84="Completed",MAX(0,N(S84)-T84),""))</f>
        <v/>
      </c>
      <c r="V84" s="49">
        <f>IF(B84="","",IF(O84&lt;&gt;"Completed",IF(T84&gt;0,"Deposit","—"),IF(U84&lt;=0.005,"Paid",IF(T84&gt;0,"Partial","Unpaid"))))</f>
        <v/>
      </c>
      <c r="W84" s="55">
        <f>IF(B84="","",IFERROR(1/(1/INDEX('STAFF &amp; TASKS'!$C$5:$C$24,MATCH(H84,'STAFF &amp; TASKS'!$A$5:$A$24,0))),PayRate))</f>
        <v/>
      </c>
      <c r="X84" s="55">
        <f>IF(B84="","",IF(OR(O84="Cancelled",O84="No-Show"),"",ROUND(R84*W84*(1+Burden),2)))</f>
        <v/>
      </c>
      <c r="Y84" s="55">
        <f>IF(B84="","",IF(OR(O84="Cancelled",O84="No-Show"),"",IF(N84&lt;&gt;"",N84,ROUND(R84*SupHr*IFERROR(INDEX('PRICING'!$G$7:$G$16,MATCH(F84,'PRICING'!$A$7:$A$16,0)),1),2))))</f>
        <v/>
      </c>
      <c r="Z84" s="98">
        <f>IF(B84="","",SUMIFS('MILEAGE'!$J$5:$J$1504,'MILEAGE'!$B$5:$B$1504,A84))</f>
        <v/>
      </c>
      <c r="AA84" s="55">
        <f>IF(B84="","",ROUND(Z84*MileRate,2))</f>
        <v/>
      </c>
      <c r="AB84" s="55">
        <f>IF(B84="","",SUMIFS('REVENUE'!$J$5:$J$1504,'REVENUE'!$B$5:$B$1504,A84))</f>
        <v/>
      </c>
      <c r="AC84" s="55">
        <f>IF(L84="","",IF(OR(O84="Cancelled",O84="No-Show"),"",L84-N(X84)-N(Y84)-AA84-AB84))</f>
        <v/>
      </c>
      <c r="AD84" s="99">
        <f>IF(OR(AC84="",N(L84)=0),"",AC84/L84)</f>
        <v/>
      </c>
      <c r="AE84" s="55">
        <f>IF(OR(AC84="",N(R84)=0),"",L84/R84)</f>
        <v/>
      </c>
      <c r="AF84" s="100">
        <f>IF(OR(N(K84)=0,N(J84)+N(Q84)=0),"",K84-IF(N(J84)&gt;0,J84,Q84))</f>
        <v/>
      </c>
      <c r="AG84" s="99">
        <f>IF(B84="","",IFERROR(AVERAGEIFS('QUALITY CONTROL'!$M$5:$M$304,'QUALITY CONTROL'!$B$5:$B$304,A84),""))</f>
        <v/>
      </c>
      <c r="AH84" s="51">
        <f>IF(B84="","",DATE(YEAR(B84),MONTH(B84),1))</f>
        <v/>
      </c>
      <c r="AI84" s="49">
        <f>IF(D84="","",IFERROR(INDEX('CUSTOMERS'!$E$5:$E$404,MATCH(D84,'CUSTOMERS'!$B$5:$B$404,0)),""))</f>
        <v/>
      </c>
      <c r="AJ84" s="49">
        <f>IF(B84="","",N(C84))</f>
        <v/>
      </c>
      <c r="AK84" s="49">
        <f>IF(OR(B84="",O84="Cancelled",O84="Rescheduled"),"",B84&amp;"|"&amp;(COUNTIFS('JOBS'!$B$5:$B$1504,B84,'JOBS'!$AJ$5:$AJ$1504,"&lt;"&amp;AJ84,'JOBS'!$O$5:$O$1504,"&lt;&gt;Cancelled",'JOBS'!$O$5:$O$1504,"&lt;&gt;Rescheduled")+COUNTIFS($B$5:B84,B84,$AJ$5:AJ84,AJ84,$O$5:O84,"&lt;&gt;Cancelled",$O$5:O84,"&lt;&gt;Rescheduled")))</f>
        <v/>
      </c>
      <c r="AL84" s="49">
        <f>IF(N(U84)&lt;=0.005,"",COUNTIFS('JOBS'!$U$5:$U$1504,"&gt;0.005",'JOBS'!$B$5:$B$1504,"&lt;"&amp;B84)+COUNTIFS($U$5:U84,"&gt;0.005",$B$5:B84,B84))</f>
        <v/>
      </c>
    </row>
    <row r="85">
      <c r="A85" s="46" t="inlineStr">
        <is>
          <t>J-0081</t>
        </is>
      </c>
      <c r="B85" s="47" t="n">
        <v>46129</v>
      </c>
      <c r="C85" s="94" t="n">
        <v>0.3541666666666667</v>
      </c>
      <c r="D85" s="38" t="inlineStr">
        <is>
          <t>Rowan Foxworth</t>
        </is>
      </c>
      <c r="E85" s="38" t="inlineStr">
        <is>
          <t>876 Magnolia Circle, North Sampletown</t>
        </is>
      </c>
      <c r="F85" s="38" t="inlineStr">
        <is>
          <t>Standard Clean</t>
        </is>
      </c>
      <c r="G85" s="38" t="inlineStr">
        <is>
          <t>R-005</t>
        </is>
      </c>
      <c r="H85" s="38" t="inlineStr">
        <is>
          <t>Maria Lopez</t>
        </is>
      </c>
      <c r="I85" s="57" t="n">
        <v>1</v>
      </c>
      <c r="J85" s="95" t="n"/>
      <c r="K85" s="95" t="n">
        <v>5.89</v>
      </c>
      <c r="L85" s="48" t="n">
        <v>220</v>
      </c>
      <c r="M85" s="96" t="n">
        <v>0</v>
      </c>
      <c r="N85" s="48" t="n"/>
      <c r="O85" s="38" t="inlineStr">
        <is>
          <t>Completed</t>
        </is>
      </c>
      <c r="P85" s="38" t="inlineStr"/>
      <c r="Q85" s="97">
        <f>IF(OR(F85="",E85=""),"",IFERROR(IF(INDEX('PROPERTIES'!$F$5:$F$404,MATCH(E85,'PROPERTIES'!$B$5:$B$404,0))=0,"",ROUND((INDEX('PROPERTIES'!$F$5:$F$404,MATCH(E85,'PROPERTIES'!$B$5:$B$404,0))/INDEX('PRICING'!$C$7:$C$16,MATCH(F85,'PRICING'!$A$7:$A$16,0))+INDEX('PROPERTIES'!$G$5:$G$404,MATCH(E85,'PROPERTIES'!$B$5:$B$404,0))*INDEX('PRICING'!$D$7:$D$16,MATCH(F85,'PRICING'!$A$7:$A$16,0))/60+INDEX('PROPERTIES'!$H$5:$H$404,MATCH(E85,'PROPERTIES'!$B$5:$B$404,0))*INDEX('PRICING'!$E$7:$E$16,MATCH(F85,'PRICING'!$A$7:$A$16,0))/60+INDEX('PRICING'!$F$7:$F$16,MATCH(F85,'PRICING'!$A$7:$A$16,0))/60),2)),""))</f>
        <v/>
      </c>
      <c r="R85" s="97">
        <f>IF(B85="","",IF(N(K85)&gt;0,K85,IF(N(J85)&gt;0,J85,N(Q85))))</f>
        <v/>
      </c>
      <c r="S85" s="55">
        <f>IF(L85="","",ROUND(L85*(1+N(M85)),2))</f>
        <v/>
      </c>
      <c r="T85" s="55">
        <f>IF(B85="","",SUMIFS('REVENUE'!$C$5:$C$1504,'REVENUE'!$B$5:$B$1504,A85))</f>
        <v/>
      </c>
      <c r="U85" s="55">
        <f>IF(B85="","",IF(O85="Completed",MAX(0,N(S85)-T85),""))</f>
        <v/>
      </c>
      <c r="V85" s="49">
        <f>IF(B85="","",IF(O85&lt;&gt;"Completed",IF(T85&gt;0,"Deposit","—"),IF(U85&lt;=0.005,"Paid",IF(T85&gt;0,"Partial","Unpaid"))))</f>
        <v/>
      </c>
      <c r="W85" s="55">
        <f>IF(B85="","",IFERROR(1/(1/INDEX('STAFF &amp; TASKS'!$C$5:$C$24,MATCH(H85,'STAFF &amp; TASKS'!$A$5:$A$24,0))),PayRate))</f>
        <v/>
      </c>
      <c r="X85" s="55">
        <f>IF(B85="","",IF(OR(O85="Cancelled",O85="No-Show"),"",ROUND(R85*W85*(1+Burden),2)))</f>
        <v/>
      </c>
      <c r="Y85" s="55">
        <f>IF(B85="","",IF(OR(O85="Cancelled",O85="No-Show"),"",IF(N85&lt;&gt;"",N85,ROUND(R85*SupHr*IFERROR(INDEX('PRICING'!$G$7:$G$16,MATCH(F85,'PRICING'!$A$7:$A$16,0)),1),2))))</f>
        <v/>
      </c>
      <c r="Z85" s="98">
        <f>IF(B85="","",SUMIFS('MILEAGE'!$J$5:$J$1504,'MILEAGE'!$B$5:$B$1504,A85))</f>
        <v/>
      </c>
      <c r="AA85" s="55">
        <f>IF(B85="","",ROUND(Z85*MileRate,2))</f>
        <v/>
      </c>
      <c r="AB85" s="55">
        <f>IF(B85="","",SUMIFS('REVENUE'!$J$5:$J$1504,'REVENUE'!$B$5:$B$1504,A85))</f>
        <v/>
      </c>
      <c r="AC85" s="55">
        <f>IF(L85="","",IF(OR(O85="Cancelled",O85="No-Show"),"",L85-N(X85)-N(Y85)-AA85-AB85))</f>
        <v/>
      </c>
      <c r="AD85" s="99">
        <f>IF(OR(AC85="",N(L85)=0),"",AC85/L85)</f>
        <v/>
      </c>
      <c r="AE85" s="55">
        <f>IF(OR(AC85="",N(R85)=0),"",L85/R85)</f>
        <v/>
      </c>
      <c r="AF85" s="100">
        <f>IF(OR(N(K85)=0,N(J85)+N(Q85)=0),"",K85-IF(N(J85)&gt;0,J85,Q85))</f>
        <v/>
      </c>
      <c r="AG85" s="99">
        <f>IF(B85="","",IFERROR(AVERAGEIFS('QUALITY CONTROL'!$M$5:$M$304,'QUALITY CONTROL'!$B$5:$B$304,A85),""))</f>
        <v/>
      </c>
      <c r="AH85" s="51">
        <f>IF(B85="","",DATE(YEAR(B85),MONTH(B85),1))</f>
        <v/>
      </c>
      <c r="AI85" s="49">
        <f>IF(D85="","",IFERROR(INDEX('CUSTOMERS'!$E$5:$E$404,MATCH(D85,'CUSTOMERS'!$B$5:$B$404,0)),""))</f>
        <v/>
      </c>
      <c r="AJ85" s="49">
        <f>IF(B85="","",N(C85))</f>
        <v/>
      </c>
      <c r="AK85" s="49">
        <f>IF(OR(B85="",O85="Cancelled",O85="Rescheduled"),"",B85&amp;"|"&amp;(COUNTIFS('JOBS'!$B$5:$B$1504,B85,'JOBS'!$AJ$5:$AJ$1504,"&lt;"&amp;AJ85,'JOBS'!$O$5:$O$1504,"&lt;&gt;Cancelled",'JOBS'!$O$5:$O$1504,"&lt;&gt;Rescheduled")+COUNTIFS($B$5:B85,B85,$AJ$5:AJ85,AJ85,$O$5:O85,"&lt;&gt;Cancelled",$O$5:O85,"&lt;&gt;Rescheduled")))</f>
        <v/>
      </c>
      <c r="AL85" s="49">
        <f>IF(N(U85)&lt;=0.005,"",COUNTIFS('JOBS'!$U$5:$U$1504,"&gt;0.005",'JOBS'!$B$5:$B$1504,"&lt;"&amp;B85)+COUNTIFS($U$5:U85,"&gt;0.005",$B$5:B85,B85))</f>
        <v/>
      </c>
    </row>
    <row r="86">
      <c r="A86" s="46" t="inlineStr">
        <is>
          <t>J-0082</t>
        </is>
      </c>
      <c r="B86" s="47" t="n">
        <v>46129</v>
      </c>
      <c r="C86" s="94" t="n">
        <v>0.3541666666666667</v>
      </c>
      <c r="D86" s="38" t="inlineStr">
        <is>
          <t>Brightside Dental Studio (sample)</t>
        </is>
      </c>
      <c r="E86" s="38" t="inlineStr">
        <is>
          <t>738 Cedar Court, North Sampletown</t>
        </is>
      </c>
      <c r="F86" s="38" t="inlineStr">
        <is>
          <t>Commercial Clean</t>
        </is>
      </c>
      <c r="G86" s="38" t="inlineStr">
        <is>
          <t>R-011</t>
        </is>
      </c>
      <c r="H86" s="38" t="inlineStr">
        <is>
          <t>Kevin Osei</t>
        </is>
      </c>
      <c r="I86" s="57" t="n">
        <v>2</v>
      </c>
      <c r="J86" s="95" t="n"/>
      <c r="K86" s="95" t="n">
        <v>2.09</v>
      </c>
      <c r="L86" s="48" t="n">
        <v>100</v>
      </c>
      <c r="M86" s="96" t="n">
        <v>0</v>
      </c>
      <c r="N86" s="48" t="n"/>
      <c r="O86" s="38" t="inlineStr">
        <is>
          <t>Completed</t>
        </is>
      </c>
      <c r="P86" s="38" t="inlineStr"/>
      <c r="Q86" s="97">
        <f>IF(OR(F86="",E86=""),"",IFERROR(IF(INDEX('PROPERTIES'!$F$5:$F$404,MATCH(E86,'PROPERTIES'!$B$5:$B$404,0))=0,"",ROUND((INDEX('PROPERTIES'!$F$5:$F$404,MATCH(E86,'PROPERTIES'!$B$5:$B$404,0))/INDEX('PRICING'!$C$7:$C$16,MATCH(F86,'PRICING'!$A$7:$A$16,0))+INDEX('PROPERTIES'!$G$5:$G$404,MATCH(E86,'PROPERTIES'!$B$5:$B$404,0))*INDEX('PRICING'!$D$7:$D$16,MATCH(F86,'PRICING'!$A$7:$A$16,0))/60+INDEX('PROPERTIES'!$H$5:$H$404,MATCH(E86,'PROPERTIES'!$B$5:$B$404,0))*INDEX('PRICING'!$E$7:$E$16,MATCH(F86,'PRICING'!$A$7:$A$16,0))/60+INDEX('PRICING'!$F$7:$F$16,MATCH(F86,'PRICING'!$A$7:$A$16,0))/60),2)),""))</f>
        <v/>
      </c>
      <c r="R86" s="97">
        <f>IF(B86="","",IF(N(K86)&gt;0,K86,IF(N(J86)&gt;0,J86,N(Q86))))</f>
        <v/>
      </c>
      <c r="S86" s="55">
        <f>IF(L86="","",ROUND(L86*(1+N(M86)),2))</f>
        <v/>
      </c>
      <c r="T86" s="55">
        <f>IF(B86="","",SUMIFS('REVENUE'!$C$5:$C$1504,'REVENUE'!$B$5:$B$1504,A86))</f>
        <v/>
      </c>
      <c r="U86" s="55">
        <f>IF(B86="","",IF(O86="Completed",MAX(0,N(S86)-T86),""))</f>
        <v/>
      </c>
      <c r="V86" s="49">
        <f>IF(B86="","",IF(O86&lt;&gt;"Completed",IF(T86&gt;0,"Deposit","—"),IF(U86&lt;=0.005,"Paid",IF(T86&gt;0,"Partial","Unpaid"))))</f>
        <v/>
      </c>
      <c r="W86" s="55">
        <f>IF(B86="","",IFERROR(1/(1/INDEX('STAFF &amp; TASKS'!$C$5:$C$24,MATCH(H86,'STAFF &amp; TASKS'!$A$5:$A$24,0))),PayRate))</f>
        <v/>
      </c>
      <c r="X86" s="55">
        <f>IF(B86="","",IF(OR(O86="Cancelled",O86="No-Show"),"",ROUND(R86*W86*(1+Burden),2)))</f>
        <v/>
      </c>
      <c r="Y86" s="55">
        <f>IF(B86="","",IF(OR(O86="Cancelled",O86="No-Show"),"",IF(N86&lt;&gt;"",N86,ROUND(R86*SupHr*IFERROR(INDEX('PRICING'!$G$7:$G$16,MATCH(F86,'PRICING'!$A$7:$A$16,0)),1),2))))</f>
        <v/>
      </c>
      <c r="Z86" s="98">
        <f>IF(B86="","",SUMIFS('MILEAGE'!$J$5:$J$1504,'MILEAGE'!$B$5:$B$1504,A86))</f>
        <v/>
      </c>
      <c r="AA86" s="55">
        <f>IF(B86="","",ROUND(Z86*MileRate,2))</f>
        <v/>
      </c>
      <c r="AB86" s="55">
        <f>IF(B86="","",SUMIFS('REVENUE'!$J$5:$J$1504,'REVENUE'!$B$5:$B$1504,A86))</f>
        <v/>
      </c>
      <c r="AC86" s="55">
        <f>IF(L86="","",IF(OR(O86="Cancelled",O86="No-Show"),"",L86-N(X86)-N(Y86)-AA86-AB86))</f>
        <v/>
      </c>
      <c r="AD86" s="99">
        <f>IF(OR(AC86="",N(L86)=0),"",AC86/L86)</f>
        <v/>
      </c>
      <c r="AE86" s="55">
        <f>IF(OR(AC86="",N(R86)=0),"",L86/R86)</f>
        <v/>
      </c>
      <c r="AF86" s="100">
        <f>IF(OR(N(K86)=0,N(J86)+N(Q86)=0),"",K86-IF(N(J86)&gt;0,J86,Q86))</f>
        <v/>
      </c>
      <c r="AG86" s="99">
        <f>IF(B86="","",IFERROR(AVERAGEIFS('QUALITY CONTROL'!$M$5:$M$304,'QUALITY CONTROL'!$B$5:$B$304,A86),""))</f>
        <v/>
      </c>
      <c r="AH86" s="51">
        <f>IF(B86="","",DATE(YEAR(B86),MONTH(B86),1))</f>
        <v/>
      </c>
      <c r="AI86" s="49">
        <f>IF(D86="","",IFERROR(INDEX('CUSTOMERS'!$E$5:$E$404,MATCH(D86,'CUSTOMERS'!$B$5:$B$404,0)),""))</f>
        <v/>
      </c>
      <c r="AJ86" s="49">
        <f>IF(B86="","",N(C86))</f>
        <v/>
      </c>
      <c r="AK86" s="49">
        <f>IF(OR(B86="",O86="Cancelled",O86="Rescheduled"),"",B86&amp;"|"&amp;(COUNTIFS('JOBS'!$B$5:$B$1504,B86,'JOBS'!$AJ$5:$AJ$1504,"&lt;"&amp;AJ86,'JOBS'!$O$5:$O$1504,"&lt;&gt;Cancelled",'JOBS'!$O$5:$O$1504,"&lt;&gt;Rescheduled")+COUNTIFS($B$5:B86,B86,$AJ$5:AJ86,AJ86,$O$5:O86,"&lt;&gt;Cancelled",$O$5:O86,"&lt;&gt;Rescheduled")))</f>
        <v/>
      </c>
      <c r="AL86" s="49">
        <f>IF(N(U86)&lt;=0.005,"",COUNTIFS('JOBS'!$U$5:$U$1504,"&gt;0.005",'JOBS'!$B$5:$B$1504,"&lt;"&amp;B86)+COUNTIFS($U$5:U86,"&gt;0.005",$B$5:B86,B86))</f>
        <v/>
      </c>
    </row>
    <row r="87">
      <c r="A87" s="46" t="inlineStr">
        <is>
          <t>J-0083</t>
        </is>
      </c>
      <c r="B87" s="47" t="n">
        <v>46129</v>
      </c>
      <c r="C87" s="94" t="n">
        <v>0.375</v>
      </c>
      <c r="D87" s="38" t="inlineStr">
        <is>
          <t>Oakview Office Suites (sample)</t>
        </is>
      </c>
      <c r="E87" s="38" t="inlineStr">
        <is>
          <t>957 Hawthorn Road, North Sampletown</t>
        </is>
      </c>
      <c r="F87" s="38" t="inlineStr">
        <is>
          <t>Commercial Clean</t>
        </is>
      </c>
      <c r="G87" s="38" t="inlineStr">
        <is>
          <t>R-012</t>
        </is>
      </c>
      <c r="H87" s="38" t="inlineStr">
        <is>
          <t>Kevin Osei</t>
        </is>
      </c>
      <c r="I87" s="57" t="n">
        <v>2</v>
      </c>
      <c r="J87" s="95" t="n"/>
      <c r="K87" s="95" t="n"/>
      <c r="L87" s="48" t="n">
        <v>140</v>
      </c>
      <c r="M87" s="96" t="n">
        <v>0</v>
      </c>
      <c r="N87" s="48" t="n"/>
      <c r="O87" s="38" t="inlineStr">
        <is>
          <t>Cancelled</t>
        </is>
      </c>
      <c r="P87" s="38" t="inlineStr"/>
      <c r="Q87" s="97">
        <f>IF(OR(F87="",E87=""),"",IFERROR(IF(INDEX('PROPERTIES'!$F$5:$F$404,MATCH(E87,'PROPERTIES'!$B$5:$B$404,0))=0,"",ROUND((INDEX('PROPERTIES'!$F$5:$F$404,MATCH(E87,'PROPERTIES'!$B$5:$B$404,0))/INDEX('PRICING'!$C$7:$C$16,MATCH(F87,'PRICING'!$A$7:$A$16,0))+INDEX('PROPERTIES'!$G$5:$G$404,MATCH(E87,'PROPERTIES'!$B$5:$B$404,0))*INDEX('PRICING'!$D$7:$D$16,MATCH(F87,'PRICING'!$A$7:$A$16,0))/60+INDEX('PROPERTIES'!$H$5:$H$404,MATCH(E87,'PROPERTIES'!$B$5:$B$404,0))*INDEX('PRICING'!$E$7:$E$16,MATCH(F87,'PRICING'!$A$7:$A$16,0))/60+INDEX('PRICING'!$F$7:$F$16,MATCH(F87,'PRICING'!$A$7:$A$16,0))/60),2)),""))</f>
        <v/>
      </c>
      <c r="R87" s="97">
        <f>IF(B87="","",IF(N(K87)&gt;0,K87,IF(N(J87)&gt;0,J87,N(Q87))))</f>
        <v/>
      </c>
      <c r="S87" s="55">
        <f>IF(L87="","",ROUND(L87*(1+N(M87)),2))</f>
        <v/>
      </c>
      <c r="T87" s="55">
        <f>IF(B87="","",SUMIFS('REVENUE'!$C$5:$C$1504,'REVENUE'!$B$5:$B$1504,A87))</f>
        <v/>
      </c>
      <c r="U87" s="55">
        <f>IF(B87="","",IF(O87="Completed",MAX(0,N(S87)-T87),""))</f>
        <v/>
      </c>
      <c r="V87" s="49">
        <f>IF(B87="","",IF(O87&lt;&gt;"Completed",IF(T87&gt;0,"Deposit","—"),IF(U87&lt;=0.005,"Paid",IF(T87&gt;0,"Partial","Unpaid"))))</f>
        <v/>
      </c>
      <c r="W87" s="55">
        <f>IF(B87="","",IFERROR(1/(1/INDEX('STAFF &amp; TASKS'!$C$5:$C$24,MATCH(H87,'STAFF &amp; TASKS'!$A$5:$A$24,0))),PayRate))</f>
        <v/>
      </c>
      <c r="X87" s="55">
        <f>IF(B87="","",IF(OR(O87="Cancelled",O87="No-Show"),"",ROUND(R87*W87*(1+Burden),2)))</f>
        <v/>
      </c>
      <c r="Y87" s="55">
        <f>IF(B87="","",IF(OR(O87="Cancelled",O87="No-Show"),"",IF(N87&lt;&gt;"",N87,ROUND(R87*SupHr*IFERROR(INDEX('PRICING'!$G$7:$G$16,MATCH(F87,'PRICING'!$A$7:$A$16,0)),1),2))))</f>
        <v/>
      </c>
      <c r="Z87" s="98">
        <f>IF(B87="","",SUMIFS('MILEAGE'!$J$5:$J$1504,'MILEAGE'!$B$5:$B$1504,A87))</f>
        <v/>
      </c>
      <c r="AA87" s="55">
        <f>IF(B87="","",ROUND(Z87*MileRate,2))</f>
        <v/>
      </c>
      <c r="AB87" s="55">
        <f>IF(B87="","",SUMIFS('REVENUE'!$J$5:$J$1504,'REVENUE'!$B$5:$B$1504,A87))</f>
        <v/>
      </c>
      <c r="AC87" s="55">
        <f>IF(L87="","",IF(OR(O87="Cancelled",O87="No-Show"),"",L87-N(X87)-N(Y87)-AA87-AB87))</f>
        <v/>
      </c>
      <c r="AD87" s="99">
        <f>IF(OR(AC87="",N(L87)=0),"",AC87/L87)</f>
        <v/>
      </c>
      <c r="AE87" s="55">
        <f>IF(OR(AC87="",N(R87)=0),"",L87/R87)</f>
        <v/>
      </c>
      <c r="AF87" s="100">
        <f>IF(OR(N(K87)=0,N(J87)+N(Q87)=0),"",K87-IF(N(J87)&gt;0,J87,Q87))</f>
        <v/>
      </c>
      <c r="AG87" s="99">
        <f>IF(B87="","",IFERROR(AVERAGEIFS('QUALITY CONTROL'!$M$5:$M$304,'QUALITY CONTROL'!$B$5:$B$304,A87),""))</f>
        <v/>
      </c>
      <c r="AH87" s="51">
        <f>IF(B87="","",DATE(YEAR(B87),MONTH(B87),1))</f>
        <v/>
      </c>
      <c r="AI87" s="49">
        <f>IF(D87="","",IFERROR(INDEX('CUSTOMERS'!$E$5:$E$404,MATCH(D87,'CUSTOMERS'!$B$5:$B$404,0)),""))</f>
        <v/>
      </c>
      <c r="AJ87" s="49">
        <f>IF(B87="","",N(C87))</f>
        <v/>
      </c>
      <c r="AK87" s="49">
        <f>IF(OR(B87="",O87="Cancelled",O87="Rescheduled"),"",B87&amp;"|"&amp;(COUNTIFS('JOBS'!$B$5:$B$1504,B87,'JOBS'!$AJ$5:$AJ$1504,"&lt;"&amp;AJ87,'JOBS'!$O$5:$O$1504,"&lt;&gt;Cancelled",'JOBS'!$O$5:$O$1504,"&lt;&gt;Rescheduled")+COUNTIFS($B$5:B87,B87,$AJ$5:AJ87,AJ87,$O$5:O87,"&lt;&gt;Cancelled",$O$5:O87,"&lt;&gt;Rescheduled")))</f>
        <v/>
      </c>
      <c r="AL87" s="49">
        <f>IF(N(U87)&lt;=0.005,"",COUNTIFS('JOBS'!$U$5:$U$1504,"&gt;0.005",'JOBS'!$B$5:$B$1504,"&lt;"&amp;B87)+COUNTIFS($U$5:U87,"&gt;0.005",$B$5:B87,B87))</f>
        <v/>
      </c>
    </row>
    <row r="88">
      <c r="A88" s="46" t="inlineStr">
        <is>
          <t>J-0084</t>
        </is>
      </c>
      <c r="B88" s="47" t="n">
        <v>46130</v>
      </c>
      <c r="C88" s="94" t="n">
        <v>0.5208333333333334</v>
      </c>
      <c r="D88" s="38" t="inlineStr">
        <is>
          <t>Noel Collins</t>
        </is>
      </c>
      <c r="E88" s="38" t="inlineStr">
        <is>
          <t>964 Cedar Court, Lakeview (fictional)</t>
        </is>
      </c>
      <c r="F88" s="38" t="inlineStr">
        <is>
          <t>Standard Clean</t>
        </is>
      </c>
      <c r="G88" s="38" t="inlineStr">
        <is>
          <t>R-004</t>
        </is>
      </c>
      <c r="H88" s="38" t="inlineStr">
        <is>
          <t>Dana Whitfield</t>
        </is>
      </c>
      <c r="I88" s="57" t="n">
        <v>1</v>
      </c>
      <c r="J88" s="95" t="n"/>
      <c r="K88" s="95" t="n">
        <v>5.01</v>
      </c>
      <c r="L88" s="48" t="n">
        <v>245</v>
      </c>
      <c r="M88" s="96" t="n">
        <v>0</v>
      </c>
      <c r="N88" s="48" t="n"/>
      <c r="O88" s="38" t="inlineStr">
        <is>
          <t>Completed</t>
        </is>
      </c>
      <c r="P88" s="38" t="inlineStr"/>
      <c r="Q88" s="97">
        <f>IF(OR(F88="",E88=""),"",IFERROR(IF(INDEX('PROPERTIES'!$F$5:$F$404,MATCH(E88,'PROPERTIES'!$B$5:$B$404,0))=0,"",ROUND((INDEX('PROPERTIES'!$F$5:$F$404,MATCH(E88,'PROPERTIES'!$B$5:$B$404,0))/INDEX('PRICING'!$C$7:$C$16,MATCH(F88,'PRICING'!$A$7:$A$16,0))+INDEX('PROPERTIES'!$G$5:$G$404,MATCH(E88,'PROPERTIES'!$B$5:$B$404,0))*INDEX('PRICING'!$D$7:$D$16,MATCH(F88,'PRICING'!$A$7:$A$16,0))/60+INDEX('PROPERTIES'!$H$5:$H$404,MATCH(E88,'PROPERTIES'!$B$5:$B$404,0))*INDEX('PRICING'!$E$7:$E$16,MATCH(F88,'PRICING'!$A$7:$A$16,0))/60+INDEX('PRICING'!$F$7:$F$16,MATCH(F88,'PRICING'!$A$7:$A$16,0))/60),2)),""))</f>
        <v/>
      </c>
      <c r="R88" s="97">
        <f>IF(B88="","",IF(N(K88)&gt;0,K88,IF(N(J88)&gt;0,J88,N(Q88))))</f>
        <v/>
      </c>
      <c r="S88" s="55">
        <f>IF(L88="","",ROUND(L88*(1+N(M88)),2))</f>
        <v/>
      </c>
      <c r="T88" s="55">
        <f>IF(B88="","",SUMIFS('REVENUE'!$C$5:$C$1504,'REVENUE'!$B$5:$B$1504,A88))</f>
        <v/>
      </c>
      <c r="U88" s="55">
        <f>IF(B88="","",IF(O88="Completed",MAX(0,N(S88)-T88),""))</f>
        <v/>
      </c>
      <c r="V88" s="49">
        <f>IF(B88="","",IF(O88&lt;&gt;"Completed",IF(T88&gt;0,"Deposit","—"),IF(U88&lt;=0.005,"Paid",IF(T88&gt;0,"Partial","Unpaid"))))</f>
        <v/>
      </c>
      <c r="W88" s="55">
        <f>IF(B88="","",IFERROR(1/(1/INDEX('STAFF &amp; TASKS'!$C$5:$C$24,MATCH(H88,'STAFF &amp; TASKS'!$A$5:$A$24,0))),PayRate))</f>
        <v/>
      </c>
      <c r="X88" s="55">
        <f>IF(B88="","",IF(OR(O88="Cancelled",O88="No-Show"),"",ROUND(R88*W88*(1+Burden),2)))</f>
        <v/>
      </c>
      <c r="Y88" s="55">
        <f>IF(B88="","",IF(OR(O88="Cancelled",O88="No-Show"),"",IF(N88&lt;&gt;"",N88,ROUND(R88*SupHr*IFERROR(INDEX('PRICING'!$G$7:$G$16,MATCH(F88,'PRICING'!$A$7:$A$16,0)),1),2))))</f>
        <v/>
      </c>
      <c r="Z88" s="98">
        <f>IF(B88="","",SUMIFS('MILEAGE'!$J$5:$J$1504,'MILEAGE'!$B$5:$B$1504,A88))</f>
        <v/>
      </c>
      <c r="AA88" s="55">
        <f>IF(B88="","",ROUND(Z88*MileRate,2))</f>
        <v/>
      </c>
      <c r="AB88" s="55">
        <f>IF(B88="","",SUMIFS('REVENUE'!$J$5:$J$1504,'REVENUE'!$B$5:$B$1504,A88))</f>
        <v/>
      </c>
      <c r="AC88" s="55">
        <f>IF(L88="","",IF(OR(O88="Cancelled",O88="No-Show"),"",L88-N(X88)-N(Y88)-AA88-AB88))</f>
        <v/>
      </c>
      <c r="AD88" s="99">
        <f>IF(OR(AC88="",N(L88)=0),"",AC88/L88)</f>
        <v/>
      </c>
      <c r="AE88" s="55">
        <f>IF(OR(AC88="",N(R88)=0),"",L88/R88)</f>
        <v/>
      </c>
      <c r="AF88" s="100">
        <f>IF(OR(N(K88)=0,N(J88)+N(Q88)=0),"",K88-IF(N(J88)&gt;0,J88,Q88))</f>
        <v/>
      </c>
      <c r="AG88" s="99">
        <f>IF(B88="","",IFERROR(AVERAGEIFS('QUALITY CONTROL'!$M$5:$M$304,'QUALITY CONTROL'!$B$5:$B$304,A88),""))</f>
        <v/>
      </c>
      <c r="AH88" s="51">
        <f>IF(B88="","",DATE(YEAR(B88),MONTH(B88),1))</f>
        <v/>
      </c>
      <c r="AI88" s="49">
        <f>IF(D88="","",IFERROR(INDEX('CUSTOMERS'!$E$5:$E$404,MATCH(D88,'CUSTOMERS'!$B$5:$B$404,0)),""))</f>
        <v/>
      </c>
      <c r="AJ88" s="49">
        <f>IF(B88="","",N(C88))</f>
        <v/>
      </c>
      <c r="AK88" s="49">
        <f>IF(OR(B88="",O88="Cancelled",O88="Rescheduled"),"",B88&amp;"|"&amp;(COUNTIFS('JOBS'!$B$5:$B$1504,B88,'JOBS'!$AJ$5:$AJ$1504,"&lt;"&amp;AJ88,'JOBS'!$O$5:$O$1504,"&lt;&gt;Cancelled",'JOBS'!$O$5:$O$1504,"&lt;&gt;Rescheduled")+COUNTIFS($B$5:B88,B88,$AJ$5:AJ88,AJ88,$O$5:O88,"&lt;&gt;Cancelled",$O$5:O88,"&lt;&gt;Rescheduled")))</f>
        <v/>
      </c>
      <c r="AL88" s="49">
        <f>IF(N(U88)&lt;=0.005,"",COUNTIFS('JOBS'!$U$5:$U$1504,"&gt;0.005",'JOBS'!$B$5:$B$1504,"&lt;"&amp;B88)+COUNTIFS($U$5:U88,"&gt;0.005",$B$5:B88,B88))</f>
        <v/>
      </c>
    </row>
    <row r="89">
      <c r="A89" s="46" t="inlineStr">
        <is>
          <t>J-0085</t>
        </is>
      </c>
      <c r="B89" s="47" t="n">
        <v>46131</v>
      </c>
      <c r="C89" s="94" t="n">
        <v>0.5833333333333334</v>
      </c>
      <c r="D89" s="38" t="inlineStr">
        <is>
          <t>Parker Lockhart</t>
        </is>
      </c>
      <c r="E89" s="38" t="inlineStr">
        <is>
          <t>412 Linden Place, Sampletown</t>
        </is>
      </c>
      <c r="F89" s="38" t="inlineStr">
        <is>
          <t>Airbnb Turnover</t>
        </is>
      </c>
      <c r="G89" s="38" t="n"/>
      <c r="H89" s="38" t="inlineStr">
        <is>
          <t>Kevin Osei</t>
        </is>
      </c>
      <c r="I89" s="57" t="n">
        <v>1</v>
      </c>
      <c r="J89" s="95" t="n"/>
      <c r="K89" s="95" t="n">
        <v>2.17</v>
      </c>
      <c r="L89" s="48" t="n">
        <v>150</v>
      </c>
      <c r="M89" s="96" t="n">
        <v>0</v>
      </c>
      <c r="N89" s="48" t="n"/>
      <c r="O89" s="38" t="inlineStr">
        <is>
          <t>Completed</t>
        </is>
      </c>
      <c r="P89" s="38" t="inlineStr">
        <is>
          <t>Includes laundry</t>
        </is>
      </c>
      <c r="Q89" s="97">
        <f>IF(OR(F89="",E89=""),"",IFERROR(IF(INDEX('PROPERTIES'!$F$5:$F$404,MATCH(E89,'PROPERTIES'!$B$5:$B$404,0))=0,"",ROUND((INDEX('PROPERTIES'!$F$5:$F$404,MATCH(E89,'PROPERTIES'!$B$5:$B$404,0))/INDEX('PRICING'!$C$7:$C$16,MATCH(F89,'PRICING'!$A$7:$A$16,0))+INDEX('PROPERTIES'!$G$5:$G$404,MATCH(E89,'PROPERTIES'!$B$5:$B$404,0))*INDEX('PRICING'!$D$7:$D$16,MATCH(F89,'PRICING'!$A$7:$A$16,0))/60+INDEX('PROPERTIES'!$H$5:$H$404,MATCH(E89,'PROPERTIES'!$B$5:$B$404,0))*INDEX('PRICING'!$E$7:$E$16,MATCH(F89,'PRICING'!$A$7:$A$16,0))/60+INDEX('PRICING'!$F$7:$F$16,MATCH(F89,'PRICING'!$A$7:$A$16,0))/60),2)),""))</f>
        <v/>
      </c>
      <c r="R89" s="97">
        <f>IF(B89="","",IF(N(K89)&gt;0,K89,IF(N(J89)&gt;0,J89,N(Q89))))</f>
        <v/>
      </c>
      <c r="S89" s="55">
        <f>IF(L89="","",ROUND(L89*(1+N(M89)),2))</f>
        <v/>
      </c>
      <c r="T89" s="55">
        <f>IF(B89="","",SUMIFS('REVENUE'!$C$5:$C$1504,'REVENUE'!$B$5:$B$1504,A89))</f>
        <v/>
      </c>
      <c r="U89" s="55">
        <f>IF(B89="","",IF(O89="Completed",MAX(0,N(S89)-T89),""))</f>
        <v/>
      </c>
      <c r="V89" s="49">
        <f>IF(B89="","",IF(O89&lt;&gt;"Completed",IF(T89&gt;0,"Deposit","—"),IF(U89&lt;=0.005,"Paid",IF(T89&gt;0,"Partial","Unpaid"))))</f>
        <v/>
      </c>
      <c r="W89" s="55">
        <f>IF(B89="","",IFERROR(1/(1/INDEX('STAFF &amp; TASKS'!$C$5:$C$24,MATCH(H89,'STAFF &amp; TASKS'!$A$5:$A$24,0))),PayRate))</f>
        <v/>
      </c>
      <c r="X89" s="55">
        <f>IF(B89="","",IF(OR(O89="Cancelled",O89="No-Show"),"",ROUND(R89*W89*(1+Burden),2)))</f>
        <v/>
      </c>
      <c r="Y89" s="55">
        <f>IF(B89="","",IF(OR(O89="Cancelled",O89="No-Show"),"",IF(N89&lt;&gt;"",N89,ROUND(R89*SupHr*IFERROR(INDEX('PRICING'!$G$7:$G$16,MATCH(F89,'PRICING'!$A$7:$A$16,0)),1),2))))</f>
        <v/>
      </c>
      <c r="Z89" s="98">
        <f>IF(B89="","",SUMIFS('MILEAGE'!$J$5:$J$1504,'MILEAGE'!$B$5:$B$1504,A89))</f>
        <v/>
      </c>
      <c r="AA89" s="55">
        <f>IF(B89="","",ROUND(Z89*MileRate,2))</f>
        <v/>
      </c>
      <c r="AB89" s="55">
        <f>IF(B89="","",SUMIFS('REVENUE'!$J$5:$J$1504,'REVENUE'!$B$5:$B$1504,A89))</f>
        <v/>
      </c>
      <c r="AC89" s="55">
        <f>IF(L89="","",IF(OR(O89="Cancelled",O89="No-Show"),"",L89-N(X89)-N(Y89)-AA89-AB89))</f>
        <v/>
      </c>
      <c r="AD89" s="99">
        <f>IF(OR(AC89="",N(L89)=0),"",AC89/L89)</f>
        <v/>
      </c>
      <c r="AE89" s="55">
        <f>IF(OR(AC89="",N(R89)=0),"",L89/R89)</f>
        <v/>
      </c>
      <c r="AF89" s="100">
        <f>IF(OR(N(K89)=0,N(J89)+N(Q89)=0),"",K89-IF(N(J89)&gt;0,J89,Q89))</f>
        <v/>
      </c>
      <c r="AG89" s="99">
        <f>IF(B89="","",IFERROR(AVERAGEIFS('QUALITY CONTROL'!$M$5:$M$304,'QUALITY CONTROL'!$B$5:$B$304,A89),""))</f>
        <v/>
      </c>
      <c r="AH89" s="51">
        <f>IF(B89="","",DATE(YEAR(B89),MONTH(B89),1))</f>
        <v/>
      </c>
      <c r="AI89" s="49">
        <f>IF(D89="","",IFERROR(INDEX('CUSTOMERS'!$E$5:$E$404,MATCH(D89,'CUSTOMERS'!$B$5:$B$404,0)),""))</f>
        <v/>
      </c>
      <c r="AJ89" s="49">
        <f>IF(B89="","",N(C89))</f>
        <v/>
      </c>
      <c r="AK89" s="49">
        <f>IF(OR(B89="",O89="Cancelled",O89="Rescheduled"),"",B89&amp;"|"&amp;(COUNTIFS('JOBS'!$B$5:$B$1504,B89,'JOBS'!$AJ$5:$AJ$1504,"&lt;"&amp;AJ89,'JOBS'!$O$5:$O$1504,"&lt;&gt;Cancelled",'JOBS'!$O$5:$O$1504,"&lt;&gt;Rescheduled")+COUNTIFS($B$5:B89,B89,$AJ$5:AJ89,AJ89,$O$5:O89,"&lt;&gt;Cancelled",$O$5:O89,"&lt;&gt;Rescheduled")))</f>
        <v/>
      </c>
      <c r="AL89" s="49">
        <f>IF(N(U89)&lt;=0.005,"",COUNTIFS('JOBS'!$U$5:$U$1504,"&gt;0.005",'JOBS'!$B$5:$B$1504,"&lt;"&amp;B89)+COUNTIFS($U$5:U89,"&gt;0.005",$B$5:B89,B89))</f>
        <v/>
      </c>
    </row>
    <row r="90">
      <c r="A90" s="46" t="inlineStr">
        <is>
          <t>J-0086</t>
        </is>
      </c>
      <c r="B90" s="47" t="n">
        <v>46133</v>
      </c>
      <c r="C90" s="94" t="n">
        <v>0.3333333333333333</v>
      </c>
      <c r="D90" s="38" t="inlineStr">
        <is>
          <t>Lane Ivers</t>
        </is>
      </c>
      <c r="E90" s="38" t="inlineStr">
        <is>
          <t>497 Aspen Drive, Sampletown</t>
        </is>
      </c>
      <c r="F90" s="38" t="inlineStr">
        <is>
          <t>Standard Clean</t>
        </is>
      </c>
      <c r="G90" s="38" t="inlineStr">
        <is>
          <t>R-001</t>
        </is>
      </c>
      <c r="H90" s="38" t="inlineStr">
        <is>
          <t>Maria Lopez</t>
        </is>
      </c>
      <c r="I90" s="57" t="n">
        <v>1</v>
      </c>
      <c r="J90" s="95" t="n"/>
      <c r="K90" s="95" t="n">
        <v>3.68</v>
      </c>
      <c r="L90" s="48" t="n">
        <v>175</v>
      </c>
      <c r="M90" s="96" t="n">
        <v>0</v>
      </c>
      <c r="N90" s="48" t="n"/>
      <c r="O90" s="38" t="inlineStr">
        <is>
          <t>Completed</t>
        </is>
      </c>
      <c r="P90" s="38" t="inlineStr"/>
      <c r="Q90" s="97">
        <f>IF(OR(F90="",E90=""),"",IFERROR(IF(INDEX('PROPERTIES'!$F$5:$F$404,MATCH(E90,'PROPERTIES'!$B$5:$B$404,0))=0,"",ROUND((INDEX('PROPERTIES'!$F$5:$F$404,MATCH(E90,'PROPERTIES'!$B$5:$B$404,0))/INDEX('PRICING'!$C$7:$C$16,MATCH(F90,'PRICING'!$A$7:$A$16,0))+INDEX('PROPERTIES'!$G$5:$G$404,MATCH(E90,'PROPERTIES'!$B$5:$B$404,0))*INDEX('PRICING'!$D$7:$D$16,MATCH(F90,'PRICING'!$A$7:$A$16,0))/60+INDEX('PROPERTIES'!$H$5:$H$404,MATCH(E90,'PROPERTIES'!$B$5:$B$404,0))*INDEX('PRICING'!$E$7:$E$16,MATCH(F90,'PRICING'!$A$7:$A$16,0))/60+INDEX('PRICING'!$F$7:$F$16,MATCH(F90,'PRICING'!$A$7:$A$16,0))/60),2)),""))</f>
        <v/>
      </c>
      <c r="R90" s="97">
        <f>IF(B90="","",IF(N(K90)&gt;0,K90,IF(N(J90)&gt;0,J90,N(Q90))))</f>
        <v/>
      </c>
      <c r="S90" s="55">
        <f>IF(L90="","",ROUND(L90*(1+N(M90)),2))</f>
        <v/>
      </c>
      <c r="T90" s="55">
        <f>IF(B90="","",SUMIFS('REVENUE'!$C$5:$C$1504,'REVENUE'!$B$5:$B$1504,A90))</f>
        <v/>
      </c>
      <c r="U90" s="55">
        <f>IF(B90="","",IF(O90="Completed",MAX(0,N(S90)-T90),""))</f>
        <v/>
      </c>
      <c r="V90" s="49">
        <f>IF(B90="","",IF(O90&lt;&gt;"Completed",IF(T90&gt;0,"Deposit","—"),IF(U90&lt;=0.005,"Paid",IF(T90&gt;0,"Partial","Unpaid"))))</f>
        <v/>
      </c>
      <c r="W90" s="55">
        <f>IF(B90="","",IFERROR(1/(1/INDEX('STAFF &amp; TASKS'!$C$5:$C$24,MATCH(H90,'STAFF &amp; TASKS'!$A$5:$A$24,0))),PayRate))</f>
        <v/>
      </c>
      <c r="X90" s="55">
        <f>IF(B90="","",IF(OR(O90="Cancelled",O90="No-Show"),"",ROUND(R90*W90*(1+Burden),2)))</f>
        <v/>
      </c>
      <c r="Y90" s="55">
        <f>IF(B90="","",IF(OR(O90="Cancelled",O90="No-Show"),"",IF(N90&lt;&gt;"",N90,ROUND(R90*SupHr*IFERROR(INDEX('PRICING'!$G$7:$G$16,MATCH(F90,'PRICING'!$A$7:$A$16,0)),1),2))))</f>
        <v/>
      </c>
      <c r="Z90" s="98">
        <f>IF(B90="","",SUMIFS('MILEAGE'!$J$5:$J$1504,'MILEAGE'!$B$5:$B$1504,A90))</f>
        <v/>
      </c>
      <c r="AA90" s="55">
        <f>IF(B90="","",ROUND(Z90*MileRate,2))</f>
        <v/>
      </c>
      <c r="AB90" s="55">
        <f>IF(B90="","",SUMIFS('REVENUE'!$J$5:$J$1504,'REVENUE'!$B$5:$B$1504,A90))</f>
        <v/>
      </c>
      <c r="AC90" s="55">
        <f>IF(L90="","",IF(OR(O90="Cancelled",O90="No-Show"),"",L90-N(X90)-N(Y90)-AA90-AB90))</f>
        <v/>
      </c>
      <c r="AD90" s="99">
        <f>IF(OR(AC90="",N(L90)=0),"",AC90/L90)</f>
        <v/>
      </c>
      <c r="AE90" s="55">
        <f>IF(OR(AC90="",N(R90)=0),"",L90/R90)</f>
        <v/>
      </c>
      <c r="AF90" s="100">
        <f>IF(OR(N(K90)=0,N(J90)+N(Q90)=0),"",K90-IF(N(J90)&gt;0,J90,Q90))</f>
        <v/>
      </c>
      <c r="AG90" s="99">
        <f>IF(B90="","",IFERROR(AVERAGEIFS('QUALITY CONTROL'!$M$5:$M$304,'QUALITY CONTROL'!$B$5:$B$304,A90),""))</f>
        <v/>
      </c>
      <c r="AH90" s="51">
        <f>IF(B90="","",DATE(YEAR(B90),MONTH(B90),1))</f>
        <v/>
      </c>
      <c r="AI90" s="49">
        <f>IF(D90="","",IFERROR(INDEX('CUSTOMERS'!$E$5:$E$404,MATCH(D90,'CUSTOMERS'!$B$5:$B$404,0)),""))</f>
        <v/>
      </c>
      <c r="AJ90" s="49">
        <f>IF(B90="","",N(C90))</f>
        <v/>
      </c>
      <c r="AK90" s="49">
        <f>IF(OR(B90="",O90="Cancelled",O90="Rescheduled"),"",B90&amp;"|"&amp;(COUNTIFS('JOBS'!$B$5:$B$1504,B90,'JOBS'!$AJ$5:$AJ$1504,"&lt;"&amp;AJ90,'JOBS'!$O$5:$O$1504,"&lt;&gt;Cancelled",'JOBS'!$O$5:$O$1504,"&lt;&gt;Rescheduled")+COUNTIFS($B$5:B90,B90,$AJ$5:AJ90,AJ90,$O$5:O90,"&lt;&gt;Cancelled",$O$5:O90,"&lt;&gt;Rescheduled")))</f>
        <v/>
      </c>
      <c r="AL90" s="49">
        <f>IF(N(U90)&lt;=0.005,"",COUNTIFS('JOBS'!$U$5:$U$1504,"&gt;0.005",'JOBS'!$B$5:$B$1504,"&lt;"&amp;B90)+COUNTIFS($U$5:U90,"&gt;0.005",$B$5:B90,B90))</f>
        <v/>
      </c>
    </row>
    <row r="91">
      <c r="A91" s="46" t="inlineStr">
        <is>
          <t>J-0087</t>
        </is>
      </c>
      <c r="B91" s="47" t="n">
        <v>46133</v>
      </c>
      <c r="C91" s="94" t="n">
        <v>0.375</v>
      </c>
      <c r="D91" s="38" t="inlineStr">
        <is>
          <t>Emerson Holloway</t>
        </is>
      </c>
      <c r="E91" s="38" t="inlineStr">
        <is>
          <t>192 Birch Lane, North Sampletown</t>
        </is>
      </c>
      <c r="F91" s="38" t="inlineStr">
        <is>
          <t>Airbnb Turnover</t>
        </is>
      </c>
      <c r="G91" s="38" t="n"/>
      <c r="H91" s="38" t="inlineStr">
        <is>
          <t>Kevin Osei</t>
        </is>
      </c>
      <c r="I91" s="57" t="n">
        <v>1</v>
      </c>
      <c r="J91" s="95" t="n"/>
      <c r="K91" s="95" t="n">
        <v>2.33</v>
      </c>
      <c r="L91" s="48" t="n">
        <v>150</v>
      </c>
      <c r="M91" s="96" t="n">
        <v>0</v>
      </c>
      <c r="N91" s="48" t="n"/>
      <c r="O91" s="38" t="inlineStr">
        <is>
          <t>Completed</t>
        </is>
      </c>
      <c r="P91" s="38" t="inlineStr">
        <is>
          <t>Includes laundry</t>
        </is>
      </c>
      <c r="Q91" s="97">
        <f>IF(OR(F91="",E91=""),"",IFERROR(IF(INDEX('PROPERTIES'!$F$5:$F$404,MATCH(E91,'PROPERTIES'!$B$5:$B$404,0))=0,"",ROUND((INDEX('PROPERTIES'!$F$5:$F$404,MATCH(E91,'PROPERTIES'!$B$5:$B$404,0))/INDEX('PRICING'!$C$7:$C$16,MATCH(F91,'PRICING'!$A$7:$A$16,0))+INDEX('PROPERTIES'!$G$5:$G$404,MATCH(E91,'PROPERTIES'!$B$5:$B$404,0))*INDEX('PRICING'!$D$7:$D$16,MATCH(F91,'PRICING'!$A$7:$A$16,0))/60+INDEX('PROPERTIES'!$H$5:$H$404,MATCH(E91,'PROPERTIES'!$B$5:$B$404,0))*INDEX('PRICING'!$E$7:$E$16,MATCH(F91,'PRICING'!$A$7:$A$16,0))/60+INDEX('PRICING'!$F$7:$F$16,MATCH(F91,'PRICING'!$A$7:$A$16,0))/60),2)),""))</f>
        <v/>
      </c>
      <c r="R91" s="97">
        <f>IF(B91="","",IF(N(K91)&gt;0,K91,IF(N(J91)&gt;0,J91,N(Q91))))</f>
        <v/>
      </c>
      <c r="S91" s="55">
        <f>IF(L91="","",ROUND(L91*(1+N(M91)),2))</f>
        <v/>
      </c>
      <c r="T91" s="55">
        <f>IF(B91="","",SUMIFS('REVENUE'!$C$5:$C$1504,'REVENUE'!$B$5:$B$1504,A91))</f>
        <v/>
      </c>
      <c r="U91" s="55">
        <f>IF(B91="","",IF(O91="Completed",MAX(0,N(S91)-T91),""))</f>
        <v/>
      </c>
      <c r="V91" s="49">
        <f>IF(B91="","",IF(O91&lt;&gt;"Completed",IF(T91&gt;0,"Deposit","—"),IF(U91&lt;=0.005,"Paid",IF(T91&gt;0,"Partial","Unpaid"))))</f>
        <v/>
      </c>
      <c r="W91" s="55">
        <f>IF(B91="","",IFERROR(1/(1/INDEX('STAFF &amp; TASKS'!$C$5:$C$24,MATCH(H91,'STAFF &amp; TASKS'!$A$5:$A$24,0))),PayRate))</f>
        <v/>
      </c>
      <c r="X91" s="55">
        <f>IF(B91="","",IF(OR(O91="Cancelled",O91="No-Show"),"",ROUND(R91*W91*(1+Burden),2)))</f>
        <v/>
      </c>
      <c r="Y91" s="55">
        <f>IF(B91="","",IF(OR(O91="Cancelled",O91="No-Show"),"",IF(N91&lt;&gt;"",N91,ROUND(R91*SupHr*IFERROR(INDEX('PRICING'!$G$7:$G$16,MATCH(F91,'PRICING'!$A$7:$A$16,0)),1),2))))</f>
        <v/>
      </c>
      <c r="Z91" s="98">
        <f>IF(B91="","",SUMIFS('MILEAGE'!$J$5:$J$1504,'MILEAGE'!$B$5:$B$1504,A91))</f>
        <v/>
      </c>
      <c r="AA91" s="55">
        <f>IF(B91="","",ROUND(Z91*MileRate,2))</f>
        <v/>
      </c>
      <c r="AB91" s="55">
        <f>IF(B91="","",SUMIFS('REVENUE'!$J$5:$J$1504,'REVENUE'!$B$5:$B$1504,A91))</f>
        <v/>
      </c>
      <c r="AC91" s="55">
        <f>IF(L91="","",IF(OR(O91="Cancelled",O91="No-Show"),"",L91-N(X91)-N(Y91)-AA91-AB91))</f>
        <v/>
      </c>
      <c r="AD91" s="99">
        <f>IF(OR(AC91="",N(L91)=0),"",AC91/L91)</f>
        <v/>
      </c>
      <c r="AE91" s="55">
        <f>IF(OR(AC91="",N(R91)=0),"",L91/R91)</f>
        <v/>
      </c>
      <c r="AF91" s="100">
        <f>IF(OR(N(K91)=0,N(J91)+N(Q91)=0),"",K91-IF(N(J91)&gt;0,J91,Q91))</f>
        <v/>
      </c>
      <c r="AG91" s="99">
        <f>IF(B91="","",IFERROR(AVERAGEIFS('QUALITY CONTROL'!$M$5:$M$304,'QUALITY CONTROL'!$B$5:$B$304,A91),""))</f>
        <v/>
      </c>
      <c r="AH91" s="51">
        <f>IF(B91="","",DATE(YEAR(B91),MONTH(B91),1))</f>
        <v/>
      </c>
      <c r="AI91" s="49">
        <f>IF(D91="","",IFERROR(INDEX('CUSTOMERS'!$E$5:$E$404,MATCH(D91,'CUSTOMERS'!$B$5:$B$404,0)),""))</f>
        <v/>
      </c>
      <c r="AJ91" s="49">
        <f>IF(B91="","",N(C91))</f>
        <v/>
      </c>
      <c r="AK91" s="49">
        <f>IF(OR(B91="",O91="Cancelled",O91="Rescheduled"),"",B91&amp;"|"&amp;(COUNTIFS('JOBS'!$B$5:$B$1504,B91,'JOBS'!$AJ$5:$AJ$1504,"&lt;"&amp;AJ91,'JOBS'!$O$5:$O$1504,"&lt;&gt;Cancelled",'JOBS'!$O$5:$O$1504,"&lt;&gt;Rescheduled")+COUNTIFS($B$5:B91,B91,$AJ$5:AJ91,AJ91,$O$5:O91,"&lt;&gt;Cancelled",$O$5:O91,"&lt;&gt;Rescheduled")))</f>
        <v/>
      </c>
      <c r="AL91" s="49">
        <f>IF(N(U91)&lt;=0.005,"",COUNTIFS('JOBS'!$U$5:$U$1504,"&gt;0.005",'JOBS'!$B$5:$B$1504,"&lt;"&amp;B91)+COUNTIFS($U$5:U91,"&gt;0.005",$B$5:B91,B91))</f>
        <v/>
      </c>
    </row>
    <row r="92">
      <c r="A92" s="46" t="inlineStr">
        <is>
          <t>J-0088</t>
        </is>
      </c>
      <c r="B92" s="47" t="n">
        <v>46133</v>
      </c>
      <c r="C92" s="94" t="n">
        <v>0.4791666666666667</v>
      </c>
      <c r="D92" s="38" t="inlineStr">
        <is>
          <t>Lane Northcott</t>
        </is>
      </c>
      <c r="E92" s="38" t="inlineStr">
        <is>
          <t>102 Hawthorn Road, Lakeview (fictional)</t>
        </is>
      </c>
      <c r="F92" s="38" t="inlineStr">
        <is>
          <t>Standard Clean</t>
        </is>
      </c>
      <c r="G92" s="38" t="inlineStr">
        <is>
          <t>R-010</t>
        </is>
      </c>
      <c r="H92" s="38" t="inlineStr">
        <is>
          <t>Dana Whitfield</t>
        </is>
      </c>
      <c r="I92" s="57" t="n">
        <v>1</v>
      </c>
      <c r="J92" s="95" t="n"/>
      <c r="K92" s="95" t="n">
        <v>3.58</v>
      </c>
      <c r="L92" s="48" t="n">
        <v>150</v>
      </c>
      <c r="M92" s="96" t="n">
        <v>0</v>
      </c>
      <c r="N92" s="48" t="n"/>
      <c r="O92" s="38" t="inlineStr">
        <is>
          <t>Completed</t>
        </is>
      </c>
      <c r="P92" s="38" t="inlineStr"/>
      <c r="Q92" s="97">
        <f>IF(OR(F92="",E92=""),"",IFERROR(IF(INDEX('PROPERTIES'!$F$5:$F$404,MATCH(E92,'PROPERTIES'!$B$5:$B$404,0))=0,"",ROUND((INDEX('PROPERTIES'!$F$5:$F$404,MATCH(E92,'PROPERTIES'!$B$5:$B$404,0))/INDEX('PRICING'!$C$7:$C$16,MATCH(F92,'PRICING'!$A$7:$A$16,0))+INDEX('PROPERTIES'!$G$5:$G$404,MATCH(E92,'PROPERTIES'!$B$5:$B$404,0))*INDEX('PRICING'!$D$7:$D$16,MATCH(F92,'PRICING'!$A$7:$A$16,0))/60+INDEX('PROPERTIES'!$H$5:$H$404,MATCH(E92,'PROPERTIES'!$B$5:$B$404,0))*INDEX('PRICING'!$E$7:$E$16,MATCH(F92,'PRICING'!$A$7:$A$16,0))/60+INDEX('PRICING'!$F$7:$F$16,MATCH(F92,'PRICING'!$A$7:$A$16,0))/60),2)),""))</f>
        <v/>
      </c>
      <c r="R92" s="97">
        <f>IF(B92="","",IF(N(K92)&gt;0,K92,IF(N(J92)&gt;0,J92,N(Q92))))</f>
        <v/>
      </c>
      <c r="S92" s="55">
        <f>IF(L92="","",ROUND(L92*(1+N(M92)),2))</f>
        <v/>
      </c>
      <c r="T92" s="55">
        <f>IF(B92="","",SUMIFS('REVENUE'!$C$5:$C$1504,'REVENUE'!$B$5:$B$1504,A92))</f>
        <v/>
      </c>
      <c r="U92" s="55">
        <f>IF(B92="","",IF(O92="Completed",MAX(0,N(S92)-T92),""))</f>
        <v/>
      </c>
      <c r="V92" s="49">
        <f>IF(B92="","",IF(O92&lt;&gt;"Completed",IF(T92&gt;0,"Deposit","—"),IF(U92&lt;=0.005,"Paid",IF(T92&gt;0,"Partial","Unpaid"))))</f>
        <v/>
      </c>
      <c r="W92" s="55">
        <f>IF(B92="","",IFERROR(1/(1/INDEX('STAFF &amp; TASKS'!$C$5:$C$24,MATCH(H92,'STAFF &amp; TASKS'!$A$5:$A$24,0))),PayRate))</f>
        <v/>
      </c>
      <c r="X92" s="55">
        <f>IF(B92="","",IF(OR(O92="Cancelled",O92="No-Show"),"",ROUND(R92*W92*(1+Burden),2)))</f>
        <v/>
      </c>
      <c r="Y92" s="55">
        <f>IF(B92="","",IF(OR(O92="Cancelled",O92="No-Show"),"",IF(N92&lt;&gt;"",N92,ROUND(R92*SupHr*IFERROR(INDEX('PRICING'!$G$7:$G$16,MATCH(F92,'PRICING'!$A$7:$A$16,0)),1),2))))</f>
        <v/>
      </c>
      <c r="Z92" s="98">
        <f>IF(B92="","",SUMIFS('MILEAGE'!$J$5:$J$1504,'MILEAGE'!$B$5:$B$1504,A92))</f>
        <v/>
      </c>
      <c r="AA92" s="55">
        <f>IF(B92="","",ROUND(Z92*MileRate,2))</f>
        <v/>
      </c>
      <c r="AB92" s="55">
        <f>IF(B92="","",SUMIFS('REVENUE'!$J$5:$J$1504,'REVENUE'!$B$5:$B$1504,A92))</f>
        <v/>
      </c>
      <c r="AC92" s="55">
        <f>IF(L92="","",IF(OR(O92="Cancelled",O92="No-Show"),"",L92-N(X92)-N(Y92)-AA92-AB92))</f>
        <v/>
      </c>
      <c r="AD92" s="99">
        <f>IF(OR(AC92="",N(L92)=0),"",AC92/L92)</f>
        <v/>
      </c>
      <c r="AE92" s="55">
        <f>IF(OR(AC92="",N(R92)=0),"",L92/R92)</f>
        <v/>
      </c>
      <c r="AF92" s="100">
        <f>IF(OR(N(K92)=0,N(J92)+N(Q92)=0),"",K92-IF(N(J92)&gt;0,J92,Q92))</f>
        <v/>
      </c>
      <c r="AG92" s="99">
        <f>IF(B92="","",IFERROR(AVERAGEIFS('QUALITY CONTROL'!$M$5:$M$304,'QUALITY CONTROL'!$B$5:$B$304,A92),""))</f>
        <v/>
      </c>
      <c r="AH92" s="51">
        <f>IF(B92="","",DATE(YEAR(B92),MONTH(B92),1))</f>
        <v/>
      </c>
      <c r="AI92" s="49">
        <f>IF(D92="","",IFERROR(INDEX('CUSTOMERS'!$E$5:$E$404,MATCH(D92,'CUSTOMERS'!$B$5:$B$404,0)),""))</f>
        <v/>
      </c>
      <c r="AJ92" s="49">
        <f>IF(B92="","",N(C92))</f>
        <v/>
      </c>
      <c r="AK92" s="49">
        <f>IF(OR(B92="",O92="Cancelled",O92="Rescheduled"),"",B92&amp;"|"&amp;(COUNTIFS('JOBS'!$B$5:$B$1504,B92,'JOBS'!$AJ$5:$AJ$1504,"&lt;"&amp;AJ92,'JOBS'!$O$5:$O$1504,"&lt;&gt;Cancelled",'JOBS'!$O$5:$O$1504,"&lt;&gt;Rescheduled")+COUNTIFS($B$5:B92,B92,$AJ$5:AJ92,AJ92,$O$5:O92,"&lt;&gt;Cancelled",$O$5:O92,"&lt;&gt;Rescheduled")))</f>
        <v/>
      </c>
      <c r="AL92" s="49">
        <f>IF(N(U92)&lt;=0.005,"",COUNTIFS('JOBS'!$U$5:$U$1504,"&gt;0.005",'JOBS'!$B$5:$B$1504,"&lt;"&amp;B92)+COUNTIFS($U$5:U92,"&gt;0.005",$B$5:B92,B92))</f>
        <v/>
      </c>
    </row>
    <row r="93">
      <c r="A93" s="46" t="inlineStr">
        <is>
          <t>J-0089</t>
        </is>
      </c>
      <c r="B93" s="47" t="n">
        <v>46136</v>
      </c>
      <c r="C93" s="94" t="n">
        <v>0.375</v>
      </c>
      <c r="D93" s="38" t="inlineStr">
        <is>
          <t>Brightside Dental Studio (sample)</t>
        </is>
      </c>
      <c r="E93" s="38" t="inlineStr">
        <is>
          <t>738 Cedar Court, North Sampletown</t>
        </is>
      </c>
      <c r="F93" s="38" t="inlineStr">
        <is>
          <t>Commercial Clean</t>
        </is>
      </c>
      <c r="G93" s="38" t="inlineStr">
        <is>
          <t>R-011</t>
        </is>
      </c>
      <c r="H93" s="38" t="inlineStr">
        <is>
          <t>Kevin Osei</t>
        </is>
      </c>
      <c r="I93" s="57" t="n">
        <v>2</v>
      </c>
      <c r="J93" s="95" t="n"/>
      <c r="K93" s="95" t="n">
        <v>1.89</v>
      </c>
      <c r="L93" s="48" t="n">
        <v>100</v>
      </c>
      <c r="M93" s="96" t="n">
        <v>0</v>
      </c>
      <c r="N93" s="48" t="n"/>
      <c r="O93" s="38" t="inlineStr">
        <is>
          <t>Completed</t>
        </is>
      </c>
      <c r="P93" s="38" t="inlineStr"/>
      <c r="Q93" s="97">
        <f>IF(OR(F93="",E93=""),"",IFERROR(IF(INDEX('PROPERTIES'!$F$5:$F$404,MATCH(E93,'PROPERTIES'!$B$5:$B$404,0))=0,"",ROUND((INDEX('PROPERTIES'!$F$5:$F$404,MATCH(E93,'PROPERTIES'!$B$5:$B$404,0))/INDEX('PRICING'!$C$7:$C$16,MATCH(F93,'PRICING'!$A$7:$A$16,0))+INDEX('PROPERTIES'!$G$5:$G$404,MATCH(E93,'PROPERTIES'!$B$5:$B$404,0))*INDEX('PRICING'!$D$7:$D$16,MATCH(F93,'PRICING'!$A$7:$A$16,0))/60+INDEX('PROPERTIES'!$H$5:$H$404,MATCH(E93,'PROPERTIES'!$B$5:$B$404,0))*INDEX('PRICING'!$E$7:$E$16,MATCH(F93,'PRICING'!$A$7:$A$16,0))/60+INDEX('PRICING'!$F$7:$F$16,MATCH(F93,'PRICING'!$A$7:$A$16,0))/60),2)),""))</f>
        <v/>
      </c>
      <c r="R93" s="97">
        <f>IF(B93="","",IF(N(K93)&gt;0,K93,IF(N(J93)&gt;0,J93,N(Q93))))</f>
        <v/>
      </c>
      <c r="S93" s="55">
        <f>IF(L93="","",ROUND(L93*(1+N(M93)),2))</f>
        <v/>
      </c>
      <c r="T93" s="55">
        <f>IF(B93="","",SUMIFS('REVENUE'!$C$5:$C$1504,'REVENUE'!$B$5:$B$1504,A93))</f>
        <v/>
      </c>
      <c r="U93" s="55">
        <f>IF(B93="","",IF(O93="Completed",MAX(0,N(S93)-T93),""))</f>
        <v/>
      </c>
      <c r="V93" s="49">
        <f>IF(B93="","",IF(O93&lt;&gt;"Completed",IF(T93&gt;0,"Deposit","—"),IF(U93&lt;=0.005,"Paid",IF(T93&gt;0,"Partial","Unpaid"))))</f>
        <v/>
      </c>
      <c r="W93" s="55">
        <f>IF(B93="","",IFERROR(1/(1/INDEX('STAFF &amp; TASKS'!$C$5:$C$24,MATCH(H93,'STAFF &amp; TASKS'!$A$5:$A$24,0))),PayRate))</f>
        <v/>
      </c>
      <c r="X93" s="55">
        <f>IF(B93="","",IF(OR(O93="Cancelled",O93="No-Show"),"",ROUND(R93*W93*(1+Burden),2)))</f>
        <v/>
      </c>
      <c r="Y93" s="55">
        <f>IF(B93="","",IF(OR(O93="Cancelled",O93="No-Show"),"",IF(N93&lt;&gt;"",N93,ROUND(R93*SupHr*IFERROR(INDEX('PRICING'!$G$7:$G$16,MATCH(F93,'PRICING'!$A$7:$A$16,0)),1),2))))</f>
        <v/>
      </c>
      <c r="Z93" s="98">
        <f>IF(B93="","",SUMIFS('MILEAGE'!$J$5:$J$1504,'MILEAGE'!$B$5:$B$1504,A93))</f>
        <v/>
      </c>
      <c r="AA93" s="55">
        <f>IF(B93="","",ROUND(Z93*MileRate,2))</f>
        <v/>
      </c>
      <c r="AB93" s="55">
        <f>IF(B93="","",SUMIFS('REVENUE'!$J$5:$J$1504,'REVENUE'!$B$5:$B$1504,A93))</f>
        <v/>
      </c>
      <c r="AC93" s="55">
        <f>IF(L93="","",IF(OR(O93="Cancelled",O93="No-Show"),"",L93-N(X93)-N(Y93)-AA93-AB93))</f>
        <v/>
      </c>
      <c r="AD93" s="99">
        <f>IF(OR(AC93="",N(L93)=0),"",AC93/L93)</f>
        <v/>
      </c>
      <c r="AE93" s="55">
        <f>IF(OR(AC93="",N(R93)=0),"",L93/R93)</f>
        <v/>
      </c>
      <c r="AF93" s="100">
        <f>IF(OR(N(K93)=0,N(J93)+N(Q93)=0),"",K93-IF(N(J93)&gt;0,J93,Q93))</f>
        <v/>
      </c>
      <c r="AG93" s="99">
        <f>IF(B93="","",IFERROR(AVERAGEIFS('QUALITY CONTROL'!$M$5:$M$304,'QUALITY CONTROL'!$B$5:$B$304,A93),""))</f>
        <v/>
      </c>
      <c r="AH93" s="51">
        <f>IF(B93="","",DATE(YEAR(B93),MONTH(B93),1))</f>
        <v/>
      </c>
      <c r="AI93" s="49">
        <f>IF(D93="","",IFERROR(INDEX('CUSTOMERS'!$E$5:$E$404,MATCH(D93,'CUSTOMERS'!$B$5:$B$404,0)),""))</f>
        <v/>
      </c>
      <c r="AJ93" s="49">
        <f>IF(B93="","",N(C93))</f>
        <v/>
      </c>
      <c r="AK93" s="49">
        <f>IF(OR(B93="",O93="Cancelled",O93="Rescheduled"),"",B93&amp;"|"&amp;(COUNTIFS('JOBS'!$B$5:$B$1504,B93,'JOBS'!$AJ$5:$AJ$1504,"&lt;"&amp;AJ93,'JOBS'!$O$5:$O$1504,"&lt;&gt;Cancelled",'JOBS'!$O$5:$O$1504,"&lt;&gt;Rescheduled")+COUNTIFS($B$5:B93,B93,$AJ$5:AJ93,AJ93,$O$5:O93,"&lt;&gt;Cancelled",$O$5:O93,"&lt;&gt;Rescheduled")))</f>
        <v/>
      </c>
      <c r="AL93" s="49">
        <f>IF(N(U93)&lt;=0.005,"",COUNTIFS('JOBS'!$U$5:$U$1504,"&gt;0.005",'JOBS'!$B$5:$B$1504,"&lt;"&amp;B93)+COUNTIFS($U$5:U93,"&gt;0.005",$B$5:B93,B93))</f>
        <v/>
      </c>
    </row>
    <row r="94">
      <c r="A94" s="46" t="inlineStr">
        <is>
          <t>J-0090</t>
        </is>
      </c>
      <c r="B94" s="47" t="n">
        <v>46136</v>
      </c>
      <c r="C94" s="94" t="n">
        <v>0.625</v>
      </c>
      <c r="D94" s="38" t="inlineStr">
        <is>
          <t>Oakview Office Suites (sample)</t>
        </is>
      </c>
      <c r="E94" s="38" t="inlineStr">
        <is>
          <t>957 Hawthorn Road, North Sampletown</t>
        </is>
      </c>
      <c r="F94" s="38" t="inlineStr">
        <is>
          <t>Commercial Clean</t>
        </is>
      </c>
      <c r="G94" s="38" t="inlineStr">
        <is>
          <t>R-012</t>
        </is>
      </c>
      <c r="H94" s="38" t="inlineStr">
        <is>
          <t>Kevin Osei</t>
        </is>
      </c>
      <c r="I94" s="57" t="n">
        <v>2</v>
      </c>
      <c r="J94" s="95" t="n"/>
      <c r="K94" s="95" t="n">
        <v>3.48</v>
      </c>
      <c r="L94" s="48" t="n">
        <v>140</v>
      </c>
      <c r="M94" s="96" t="n">
        <v>0</v>
      </c>
      <c r="N94" s="48" t="n"/>
      <c r="O94" s="38" t="inlineStr">
        <is>
          <t>Completed</t>
        </is>
      </c>
      <c r="P94" s="38" t="inlineStr"/>
      <c r="Q94" s="97">
        <f>IF(OR(F94="",E94=""),"",IFERROR(IF(INDEX('PROPERTIES'!$F$5:$F$404,MATCH(E94,'PROPERTIES'!$B$5:$B$404,0))=0,"",ROUND((INDEX('PROPERTIES'!$F$5:$F$404,MATCH(E94,'PROPERTIES'!$B$5:$B$404,0))/INDEX('PRICING'!$C$7:$C$16,MATCH(F94,'PRICING'!$A$7:$A$16,0))+INDEX('PROPERTIES'!$G$5:$G$404,MATCH(E94,'PROPERTIES'!$B$5:$B$404,0))*INDEX('PRICING'!$D$7:$D$16,MATCH(F94,'PRICING'!$A$7:$A$16,0))/60+INDEX('PROPERTIES'!$H$5:$H$404,MATCH(E94,'PROPERTIES'!$B$5:$B$404,0))*INDEX('PRICING'!$E$7:$E$16,MATCH(F94,'PRICING'!$A$7:$A$16,0))/60+INDEX('PRICING'!$F$7:$F$16,MATCH(F94,'PRICING'!$A$7:$A$16,0))/60),2)),""))</f>
        <v/>
      </c>
      <c r="R94" s="97">
        <f>IF(B94="","",IF(N(K94)&gt;0,K94,IF(N(J94)&gt;0,J94,N(Q94))))</f>
        <v/>
      </c>
      <c r="S94" s="55">
        <f>IF(L94="","",ROUND(L94*(1+N(M94)),2))</f>
        <v/>
      </c>
      <c r="T94" s="55">
        <f>IF(B94="","",SUMIFS('REVENUE'!$C$5:$C$1504,'REVENUE'!$B$5:$B$1504,A94))</f>
        <v/>
      </c>
      <c r="U94" s="55">
        <f>IF(B94="","",IF(O94="Completed",MAX(0,N(S94)-T94),""))</f>
        <v/>
      </c>
      <c r="V94" s="49">
        <f>IF(B94="","",IF(O94&lt;&gt;"Completed",IF(T94&gt;0,"Deposit","—"),IF(U94&lt;=0.005,"Paid",IF(T94&gt;0,"Partial","Unpaid"))))</f>
        <v/>
      </c>
      <c r="W94" s="55">
        <f>IF(B94="","",IFERROR(1/(1/INDEX('STAFF &amp; TASKS'!$C$5:$C$24,MATCH(H94,'STAFF &amp; TASKS'!$A$5:$A$24,0))),PayRate))</f>
        <v/>
      </c>
      <c r="X94" s="55">
        <f>IF(B94="","",IF(OR(O94="Cancelled",O94="No-Show"),"",ROUND(R94*W94*(1+Burden),2)))</f>
        <v/>
      </c>
      <c r="Y94" s="55">
        <f>IF(B94="","",IF(OR(O94="Cancelled",O94="No-Show"),"",IF(N94&lt;&gt;"",N94,ROUND(R94*SupHr*IFERROR(INDEX('PRICING'!$G$7:$G$16,MATCH(F94,'PRICING'!$A$7:$A$16,0)),1),2))))</f>
        <v/>
      </c>
      <c r="Z94" s="98">
        <f>IF(B94="","",SUMIFS('MILEAGE'!$J$5:$J$1504,'MILEAGE'!$B$5:$B$1504,A94))</f>
        <v/>
      </c>
      <c r="AA94" s="55">
        <f>IF(B94="","",ROUND(Z94*MileRate,2))</f>
        <v/>
      </c>
      <c r="AB94" s="55">
        <f>IF(B94="","",SUMIFS('REVENUE'!$J$5:$J$1504,'REVENUE'!$B$5:$B$1504,A94))</f>
        <v/>
      </c>
      <c r="AC94" s="55">
        <f>IF(L94="","",IF(OR(O94="Cancelled",O94="No-Show"),"",L94-N(X94)-N(Y94)-AA94-AB94))</f>
        <v/>
      </c>
      <c r="AD94" s="99">
        <f>IF(OR(AC94="",N(L94)=0),"",AC94/L94)</f>
        <v/>
      </c>
      <c r="AE94" s="55">
        <f>IF(OR(AC94="",N(R94)=0),"",L94/R94)</f>
        <v/>
      </c>
      <c r="AF94" s="100">
        <f>IF(OR(N(K94)=0,N(J94)+N(Q94)=0),"",K94-IF(N(J94)&gt;0,J94,Q94))</f>
        <v/>
      </c>
      <c r="AG94" s="99">
        <f>IF(B94="","",IFERROR(AVERAGEIFS('QUALITY CONTROL'!$M$5:$M$304,'QUALITY CONTROL'!$B$5:$B$304,A94),""))</f>
        <v/>
      </c>
      <c r="AH94" s="51">
        <f>IF(B94="","",DATE(YEAR(B94),MONTH(B94),1))</f>
        <v/>
      </c>
      <c r="AI94" s="49">
        <f>IF(D94="","",IFERROR(INDEX('CUSTOMERS'!$E$5:$E$404,MATCH(D94,'CUSTOMERS'!$B$5:$B$404,0)),""))</f>
        <v/>
      </c>
      <c r="AJ94" s="49">
        <f>IF(B94="","",N(C94))</f>
        <v/>
      </c>
      <c r="AK94" s="49">
        <f>IF(OR(B94="",O94="Cancelled",O94="Rescheduled"),"",B94&amp;"|"&amp;(COUNTIFS('JOBS'!$B$5:$B$1504,B94,'JOBS'!$AJ$5:$AJ$1504,"&lt;"&amp;AJ94,'JOBS'!$O$5:$O$1504,"&lt;&gt;Cancelled",'JOBS'!$O$5:$O$1504,"&lt;&gt;Rescheduled")+COUNTIFS($B$5:B94,B94,$AJ$5:AJ94,AJ94,$O$5:O94,"&lt;&gt;Cancelled",$O$5:O94,"&lt;&gt;Rescheduled")))</f>
        <v/>
      </c>
      <c r="AL94" s="49">
        <f>IF(N(U94)&lt;=0.005,"",COUNTIFS('JOBS'!$U$5:$U$1504,"&gt;0.005",'JOBS'!$B$5:$B$1504,"&lt;"&amp;B94)+COUNTIFS($U$5:U94,"&gt;0.005",$B$5:B94,B94))</f>
        <v/>
      </c>
    </row>
    <row r="95">
      <c r="A95" s="46" t="inlineStr">
        <is>
          <t>J-0091</t>
        </is>
      </c>
      <c r="B95" s="47" t="n">
        <v>46137</v>
      </c>
      <c r="C95" s="94" t="n">
        <v>0.4791666666666667</v>
      </c>
      <c r="D95" s="38" t="inlineStr">
        <is>
          <t>Finley Quigley</t>
        </is>
      </c>
      <c r="E95" s="38" t="inlineStr">
        <is>
          <t>21 Maple Avenue, North Sampletown</t>
        </is>
      </c>
      <c r="F95" s="38" t="inlineStr">
        <is>
          <t>Standard Clean</t>
        </is>
      </c>
      <c r="G95" s="38" t="inlineStr">
        <is>
          <t>R-007</t>
        </is>
      </c>
      <c r="H95" s="38" t="inlineStr">
        <is>
          <t>Maria Lopez</t>
        </is>
      </c>
      <c r="I95" s="57" t="n">
        <v>1</v>
      </c>
      <c r="J95" s="95" t="n"/>
      <c r="K95" s="95" t="n">
        <v>2.42</v>
      </c>
      <c r="L95" s="48" t="n">
        <v>110</v>
      </c>
      <c r="M95" s="96" t="n">
        <v>0</v>
      </c>
      <c r="N95" s="48" t="n"/>
      <c r="O95" s="38" t="inlineStr">
        <is>
          <t>Completed</t>
        </is>
      </c>
      <c r="P95" s="38" t="inlineStr"/>
      <c r="Q95" s="97">
        <f>IF(OR(F95="",E95=""),"",IFERROR(IF(INDEX('PROPERTIES'!$F$5:$F$404,MATCH(E95,'PROPERTIES'!$B$5:$B$404,0))=0,"",ROUND((INDEX('PROPERTIES'!$F$5:$F$404,MATCH(E95,'PROPERTIES'!$B$5:$B$404,0))/INDEX('PRICING'!$C$7:$C$16,MATCH(F95,'PRICING'!$A$7:$A$16,0))+INDEX('PROPERTIES'!$G$5:$G$404,MATCH(E95,'PROPERTIES'!$B$5:$B$404,0))*INDEX('PRICING'!$D$7:$D$16,MATCH(F95,'PRICING'!$A$7:$A$16,0))/60+INDEX('PROPERTIES'!$H$5:$H$404,MATCH(E95,'PROPERTIES'!$B$5:$B$404,0))*INDEX('PRICING'!$E$7:$E$16,MATCH(F95,'PRICING'!$A$7:$A$16,0))/60+INDEX('PRICING'!$F$7:$F$16,MATCH(F95,'PRICING'!$A$7:$A$16,0))/60),2)),""))</f>
        <v/>
      </c>
      <c r="R95" s="97">
        <f>IF(B95="","",IF(N(K95)&gt;0,K95,IF(N(J95)&gt;0,J95,N(Q95))))</f>
        <v/>
      </c>
      <c r="S95" s="55">
        <f>IF(L95="","",ROUND(L95*(1+N(M95)),2))</f>
        <v/>
      </c>
      <c r="T95" s="55">
        <f>IF(B95="","",SUMIFS('REVENUE'!$C$5:$C$1504,'REVENUE'!$B$5:$B$1504,A95))</f>
        <v/>
      </c>
      <c r="U95" s="55">
        <f>IF(B95="","",IF(O95="Completed",MAX(0,N(S95)-T95),""))</f>
        <v/>
      </c>
      <c r="V95" s="49">
        <f>IF(B95="","",IF(O95&lt;&gt;"Completed",IF(T95&gt;0,"Deposit","—"),IF(U95&lt;=0.005,"Paid",IF(T95&gt;0,"Partial","Unpaid"))))</f>
        <v/>
      </c>
      <c r="W95" s="55">
        <f>IF(B95="","",IFERROR(1/(1/INDEX('STAFF &amp; TASKS'!$C$5:$C$24,MATCH(H95,'STAFF &amp; TASKS'!$A$5:$A$24,0))),PayRate))</f>
        <v/>
      </c>
      <c r="X95" s="55">
        <f>IF(B95="","",IF(OR(O95="Cancelled",O95="No-Show"),"",ROUND(R95*W95*(1+Burden),2)))</f>
        <v/>
      </c>
      <c r="Y95" s="55">
        <f>IF(B95="","",IF(OR(O95="Cancelled",O95="No-Show"),"",IF(N95&lt;&gt;"",N95,ROUND(R95*SupHr*IFERROR(INDEX('PRICING'!$G$7:$G$16,MATCH(F95,'PRICING'!$A$7:$A$16,0)),1),2))))</f>
        <v/>
      </c>
      <c r="Z95" s="98">
        <f>IF(B95="","",SUMIFS('MILEAGE'!$J$5:$J$1504,'MILEAGE'!$B$5:$B$1504,A95))</f>
        <v/>
      </c>
      <c r="AA95" s="55">
        <f>IF(B95="","",ROUND(Z95*MileRate,2))</f>
        <v/>
      </c>
      <c r="AB95" s="55">
        <f>IF(B95="","",SUMIFS('REVENUE'!$J$5:$J$1504,'REVENUE'!$B$5:$B$1504,A95))</f>
        <v/>
      </c>
      <c r="AC95" s="55">
        <f>IF(L95="","",IF(OR(O95="Cancelled",O95="No-Show"),"",L95-N(X95)-N(Y95)-AA95-AB95))</f>
        <v/>
      </c>
      <c r="AD95" s="99">
        <f>IF(OR(AC95="",N(L95)=0),"",AC95/L95)</f>
        <v/>
      </c>
      <c r="AE95" s="55">
        <f>IF(OR(AC95="",N(R95)=0),"",L95/R95)</f>
        <v/>
      </c>
      <c r="AF95" s="100">
        <f>IF(OR(N(K95)=0,N(J95)+N(Q95)=0),"",K95-IF(N(J95)&gt;0,J95,Q95))</f>
        <v/>
      </c>
      <c r="AG95" s="99">
        <f>IF(B95="","",IFERROR(AVERAGEIFS('QUALITY CONTROL'!$M$5:$M$304,'QUALITY CONTROL'!$B$5:$B$304,A95),""))</f>
        <v/>
      </c>
      <c r="AH95" s="51">
        <f>IF(B95="","",DATE(YEAR(B95),MONTH(B95),1))</f>
        <v/>
      </c>
      <c r="AI95" s="49">
        <f>IF(D95="","",IFERROR(INDEX('CUSTOMERS'!$E$5:$E$404,MATCH(D95,'CUSTOMERS'!$B$5:$B$404,0)),""))</f>
        <v/>
      </c>
      <c r="AJ95" s="49">
        <f>IF(B95="","",N(C95))</f>
        <v/>
      </c>
      <c r="AK95" s="49">
        <f>IF(OR(B95="",O95="Cancelled",O95="Rescheduled"),"",B95&amp;"|"&amp;(COUNTIFS('JOBS'!$B$5:$B$1504,B95,'JOBS'!$AJ$5:$AJ$1504,"&lt;"&amp;AJ95,'JOBS'!$O$5:$O$1504,"&lt;&gt;Cancelled",'JOBS'!$O$5:$O$1504,"&lt;&gt;Rescheduled")+COUNTIFS($B$5:B95,B95,$AJ$5:AJ95,AJ95,$O$5:O95,"&lt;&gt;Cancelled",$O$5:O95,"&lt;&gt;Rescheduled")))</f>
        <v/>
      </c>
      <c r="AL95" s="49">
        <f>IF(N(U95)&lt;=0.005,"",COUNTIFS('JOBS'!$U$5:$U$1504,"&gt;0.005",'JOBS'!$B$5:$B$1504,"&lt;"&amp;B95)+COUNTIFS($U$5:U95,"&gt;0.005",$B$5:B95,B95))</f>
        <v/>
      </c>
    </row>
    <row r="96">
      <c r="A96" s="46" t="inlineStr">
        <is>
          <t>J-0092</t>
        </is>
      </c>
      <c r="B96" s="47" t="n">
        <v>46138</v>
      </c>
      <c r="C96" s="94" t="n">
        <v>0.3333333333333333</v>
      </c>
      <c r="D96" s="38" t="inlineStr">
        <is>
          <t>Blake Oakes</t>
        </is>
      </c>
      <c r="E96" s="38" t="inlineStr">
        <is>
          <t>654 Willow Way, North Sampletown</t>
        </is>
      </c>
      <c r="F96" s="38" t="inlineStr">
        <is>
          <t>Airbnb Turnover</t>
        </is>
      </c>
      <c r="G96" s="38" t="n"/>
      <c r="H96" s="38" t="inlineStr">
        <is>
          <t>Kevin Osei</t>
        </is>
      </c>
      <c r="I96" s="57" t="n">
        <v>1</v>
      </c>
      <c r="J96" s="95" t="n"/>
      <c r="K96" s="95" t="n">
        <v>1.59</v>
      </c>
      <c r="L96" s="48" t="n">
        <v>135</v>
      </c>
      <c r="M96" s="96" t="n">
        <v>0</v>
      </c>
      <c r="N96" s="48" t="n"/>
      <c r="O96" s="38" t="inlineStr">
        <is>
          <t>Completed</t>
        </is>
      </c>
      <c r="P96" s="38" t="inlineStr">
        <is>
          <t>Includes laundry</t>
        </is>
      </c>
      <c r="Q96" s="97">
        <f>IF(OR(F96="",E96=""),"",IFERROR(IF(INDEX('PROPERTIES'!$F$5:$F$404,MATCH(E96,'PROPERTIES'!$B$5:$B$404,0))=0,"",ROUND((INDEX('PROPERTIES'!$F$5:$F$404,MATCH(E96,'PROPERTIES'!$B$5:$B$404,0))/INDEX('PRICING'!$C$7:$C$16,MATCH(F96,'PRICING'!$A$7:$A$16,0))+INDEX('PROPERTIES'!$G$5:$G$404,MATCH(E96,'PROPERTIES'!$B$5:$B$404,0))*INDEX('PRICING'!$D$7:$D$16,MATCH(F96,'PRICING'!$A$7:$A$16,0))/60+INDEX('PROPERTIES'!$H$5:$H$404,MATCH(E96,'PROPERTIES'!$B$5:$B$404,0))*INDEX('PRICING'!$E$7:$E$16,MATCH(F96,'PRICING'!$A$7:$A$16,0))/60+INDEX('PRICING'!$F$7:$F$16,MATCH(F96,'PRICING'!$A$7:$A$16,0))/60),2)),""))</f>
        <v/>
      </c>
      <c r="R96" s="97">
        <f>IF(B96="","",IF(N(K96)&gt;0,K96,IF(N(J96)&gt;0,J96,N(Q96))))</f>
        <v/>
      </c>
      <c r="S96" s="55">
        <f>IF(L96="","",ROUND(L96*(1+N(M96)),2))</f>
        <v/>
      </c>
      <c r="T96" s="55">
        <f>IF(B96="","",SUMIFS('REVENUE'!$C$5:$C$1504,'REVENUE'!$B$5:$B$1504,A96))</f>
        <v/>
      </c>
      <c r="U96" s="55">
        <f>IF(B96="","",IF(O96="Completed",MAX(0,N(S96)-T96),""))</f>
        <v/>
      </c>
      <c r="V96" s="49">
        <f>IF(B96="","",IF(O96&lt;&gt;"Completed",IF(T96&gt;0,"Deposit","—"),IF(U96&lt;=0.005,"Paid",IF(T96&gt;0,"Partial","Unpaid"))))</f>
        <v/>
      </c>
      <c r="W96" s="55">
        <f>IF(B96="","",IFERROR(1/(1/INDEX('STAFF &amp; TASKS'!$C$5:$C$24,MATCH(H96,'STAFF &amp; TASKS'!$A$5:$A$24,0))),PayRate))</f>
        <v/>
      </c>
      <c r="X96" s="55">
        <f>IF(B96="","",IF(OR(O96="Cancelled",O96="No-Show"),"",ROUND(R96*W96*(1+Burden),2)))</f>
        <v/>
      </c>
      <c r="Y96" s="55">
        <f>IF(B96="","",IF(OR(O96="Cancelled",O96="No-Show"),"",IF(N96&lt;&gt;"",N96,ROUND(R96*SupHr*IFERROR(INDEX('PRICING'!$G$7:$G$16,MATCH(F96,'PRICING'!$A$7:$A$16,0)),1),2))))</f>
        <v/>
      </c>
      <c r="Z96" s="98">
        <f>IF(B96="","",SUMIFS('MILEAGE'!$J$5:$J$1504,'MILEAGE'!$B$5:$B$1504,A96))</f>
        <v/>
      </c>
      <c r="AA96" s="55">
        <f>IF(B96="","",ROUND(Z96*MileRate,2))</f>
        <v/>
      </c>
      <c r="AB96" s="55">
        <f>IF(B96="","",SUMIFS('REVENUE'!$J$5:$J$1504,'REVENUE'!$B$5:$B$1504,A96))</f>
        <v/>
      </c>
      <c r="AC96" s="55">
        <f>IF(L96="","",IF(OR(O96="Cancelled",O96="No-Show"),"",L96-N(X96)-N(Y96)-AA96-AB96))</f>
        <v/>
      </c>
      <c r="AD96" s="99">
        <f>IF(OR(AC96="",N(L96)=0),"",AC96/L96)</f>
        <v/>
      </c>
      <c r="AE96" s="55">
        <f>IF(OR(AC96="",N(R96)=0),"",L96/R96)</f>
        <v/>
      </c>
      <c r="AF96" s="100">
        <f>IF(OR(N(K96)=0,N(J96)+N(Q96)=0),"",K96-IF(N(J96)&gt;0,J96,Q96))</f>
        <v/>
      </c>
      <c r="AG96" s="99">
        <f>IF(B96="","",IFERROR(AVERAGEIFS('QUALITY CONTROL'!$M$5:$M$304,'QUALITY CONTROL'!$B$5:$B$304,A96),""))</f>
        <v/>
      </c>
      <c r="AH96" s="51">
        <f>IF(B96="","",DATE(YEAR(B96),MONTH(B96),1))</f>
        <v/>
      </c>
      <c r="AI96" s="49">
        <f>IF(D96="","",IFERROR(INDEX('CUSTOMERS'!$E$5:$E$404,MATCH(D96,'CUSTOMERS'!$B$5:$B$404,0)),""))</f>
        <v/>
      </c>
      <c r="AJ96" s="49">
        <f>IF(B96="","",N(C96))</f>
        <v/>
      </c>
      <c r="AK96" s="49">
        <f>IF(OR(B96="",O96="Cancelled",O96="Rescheduled"),"",B96&amp;"|"&amp;(COUNTIFS('JOBS'!$B$5:$B$1504,B96,'JOBS'!$AJ$5:$AJ$1504,"&lt;"&amp;AJ96,'JOBS'!$O$5:$O$1504,"&lt;&gt;Cancelled",'JOBS'!$O$5:$O$1504,"&lt;&gt;Rescheduled")+COUNTIFS($B$5:B96,B96,$AJ$5:AJ96,AJ96,$O$5:O96,"&lt;&gt;Cancelled",$O$5:O96,"&lt;&gt;Rescheduled")))</f>
        <v/>
      </c>
      <c r="AL96" s="49">
        <f>IF(N(U96)&lt;=0.005,"",COUNTIFS('JOBS'!$U$5:$U$1504,"&gt;0.005",'JOBS'!$B$5:$B$1504,"&lt;"&amp;B96)+COUNTIFS($U$5:U96,"&gt;0.005",$B$5:B96,B96))</f>
        <v/>
      </c>
    </row>
    <row r="97">
      <c r="A97" s="46" t="inlineStr">
        <is>
          <t>J-0093</t>
        </is>
      </c>
      <c r="B97" s="47" t="n">
        <v>46139</v>
      </c>
      <c r="C97" s="94" t="n">
        <v>0.4166666666666667</v>
      </c>
      <c r="D97" s="38" t="inlineStr">
        <is>
          <t>Parker Pembrook</t>
        </is>
      </c>
      <c r="E97" s="38" t="inlineStr">
        <is>
          <t>348 Hazel Court, Lakeview (fictional)</t>
        </is>
      </c>
      <c r="F97" s="38" t="inlineStr">
        <is>
          <t>Deep Clean</t>
        </is>
      </c>
      <c r="G97" s="38" t="n"/>
      <c r="H97" s="38" t="inlineStr">
        <is>
          <t>Maria Lopez</t>
        </is>
      </c>
      <c r="I97" s="57" t="n">
        <v>2</v>
      </c>
      <c r="J97" s="95" t="n"/>
      <c r="K97" s="95" t="n">
        <v>5.23</v>
      </c>
      <c r="L97" s="48" t="n">
        <v>320</v>
      </c>
      <c r="M97" s="96" t="n">
        <v>0</v>
      </c>
      <c r="N97" s="48" t="n"/>
      <c r="O97" s="38" t="inlineStr">
        <is>
          <t>Completed</t>
        </is>
      </c>
      <c r="P97" s="38" t="inlineStr"/>
      <c r="Q97" s="97">
        <f>IF(OR(F97="",E97=""),"",IFERROR(IF(INDEX('PROPERTIES'!$F$5:$F$404,MATCH(E97,'PROPERTIES'!$B$5:$B$404,0))=0,"",ROUND((INDEX('PROPERTIES'!$F$5:$F$404,MATCH(E97,'PROPERTIES'!$B$5:$B$404,0))/INDEX('PRICING'!$C$7:$C$16,MATCH(F97,'PRICING'!$A$7:$A$16,0))+INDEX('PROPERTIES'!$G$5:$G$404,MATCH(E97,'PROPERTIES'!$B$5:$B$404,0))*INDEX('PRICING'!$D$7:$D$16,MATCH(F97,'PRICING'!$A$7:$A$16,0))/60+INDEX('PROPERTIES'!$H$5:$H$404,MATCH(E97,'PROPERTIES'!$B$5:$B$404,0))*INDEX('PRICING'!$E$7:$E$16,MATCH(F97,'PRICING'!$A$7:$A$16,0))/60+INDEX('PRICING'!$F$7:$F$16,MATCH(F97,'PRICING'!$A$7:$A$16,0))/60),2)),""))</f>
        <v/>
      </c>
      <c r="R97" s="97">
        <f>IF(B97="","",IF(N(K97)&gt;0,K97,IF(N(J97)&gt;0,J97,N(Q97))))</f>
        <v/>
      </c>
      <c r="S97" s="55">
        <f>IF(L97="","",ROUND(L97*(1+N(M97)),2))</f>
        <v/>
      </c>
      <c r="T97" s="55">
        <f>IF(B97="","",SUMIFS('REVENUE'!$C$5:$C$1504,'REVENUE'!$B$5:$B$1504,A97))</f>
        <v/>
      </c>
      <c r="U97" s="55">
        <f>IF(B97="","",IF(O97="Completed",MAX(0,N(S97)-T97),""))</f>
        <v/>
      </c>
      <c r="V97" s="49">
        <f>IF(B97="","",IF(O97&lt;&gt;"Completed",IF(T97&gt;0,"Deposit","—"),IF(U97&lt;=0.005,"Paid",IF(T97&gt;0,"Partial","Unpaid"))))</f>
        <v/>
      </c>
      <c r="W97" s="55">
        <f>IF(B97="","",IFERROR(1/(1/INDEX('STAFF &amp; TASKS'!$C$5:$C$24,MATCH(H97,'STAFF &amp; TASKS'!$A$5:$A$24,0))),PayRate))</f>
        <v/>
      </c>
      <c r="X97" s="55">
        <f>IF(B97="","",IF(OR(O97="Cancelled",O97="No-Show"),"",ROUND(R97*W97*(1+Burden),2)))</f>
        <v/>
      </c>
      <c r="Y97" s="55">
        <f>IF(B97="","",IF(OR(O97="Cancelled",O97="No-Show"),"",IF(N97&lt;&gt;"",N97,ROUND(R97*SupHr*IFERROR(INDEX('PRICING'!$G$7:$G$16,MATCH(F97,'PRICING'!$A$7:$A$16,0)),1),2))))</f>
        <v/>
      </c>
      <c r="Z97" s="98">
        <f>IF(B97="","",SUMIFS('MILEAGE'!$J$5:$J$1504,'MILEAGE'!$B$5:$B$1504,A97))</f>
        <v/>
      </c>
      <c r="AA97" s="55">
        <f>IF(B97="","",ROUND(Z97*MileRate,2))</f>
        <v/>
      </c>
      <c r="AB97" s="55">
        <f>IF(B97="","",SUMIFS('REVENUE'!$J$5:$J$1504,'REVENUE'!$B$5:$B$1504,A97))</f>
        <v/>
      </c>
      <c r="AC97" s="55">
        <f>IF(L97="","",IF(OR(O97="Cancelled",O97="No-Show"),"",L97-N(X97)-N(Y97)-AA97-AB97))</f>
        <v/>
      </c>
      <c r="AD97" s="99">
        <f>IF(OR(AC97="",N(L97)=0),"",AC97/L97)</f>
        <v/>
      </c>
      <c r="AE97" s="55">
        <f>IF(OR(AC97="",N(R97)=0),"",L97/R97)</f>
        <v/>
      </c>
      <c r="AF97" s="100">
        <f>IF(OR(N(K97)=0,N(J97)+N(Q97)=0),"",K97-IF(N(J97)&gt;0,J97,Q97))</f>
        <v/>
      </c>
      <c r="AG97" s="99">
        <f>IF(B97="","",IFERROR(AVERAGEIFS('QUALITY CONTROL'!$M$5:$M$304,'QUALITY CONTROL'!$B$5:$B$304,A97),""))</f>
        <v/>
      </c>
      <c r="AH97" s="51">
        <f>IF(B97="","",DATE(YEAR(B97),MONTH(B97),1))</f>
        <v/>
      </c>
      <c r="AI97" s="49">
        <f>IF(D97="","",IFERROR(INDEX('CUSTOMERS'!$E$5:$E$404,MATCH(D97,'CUSTOMERS'!$B$5:$B$404,0)),""))</f>
        <v/>
      </c>
      <c r="AJ97" s="49">
        <f>IF(B97="","",N(C97))</f>
        <v/>
      </c>
      <c r="AK97" s="49">
        <f>IF(OR(B97="",O97="Cancelled",O97="Rescheduled"),"",B97&amp;"|"&amp;(COUNTIFS('JOBS'!$B$5:$B$1504,B97,'JOBS'!$AJ$5:$AJ$1504,"&lt;"&amp;AJ97,'JOBS'!$O$5:$O$1504,"&lt;&gt;Cancelled",'JOBS'!$O$5:$O$1504,"&lt;&gt;Rescheduled")+COUNTIFS($B$5:B97,B97,$AJ$5:AJ97,AJ97,$O$5:O97,"&lt;&gt;Cancelled",$O$5:O97,"&lt;&gt;Rescheduled")))</f>
        <v/>
      </c>
      <c r="AL97" s="49">
        <f>IF(N(U97)&lt;=0.005,"",COUNTIFS('JOBS'!$U$5:$U$1504,"&gt;0.005",'JOBS'!$B$5:$B$1504,"&lt;"&amp;B97)+COUNTIFS($U$5:U97,"&gt;0.005",$B$5:B97,B97))</f>
        <v/>
      </c>
    </row>
    <row r="98">
      <c r="A98" s="46" t="inlineStr">
        <is>
          <t>J-0094</t>
        </is>
      </c>
      <c r="B98" s="47" t="n">
        <v>46139</v>
      </c>
      <c r="C98" s="94" t="n">
        <v>0.5208333333333334</v>
      </c>
      <c r="D98" s="38" t="inlineStr">
        <is>
          <t>Taylor Quigley</t>
        </is>
      </c>
      <c r="E98" s="38" t="inlineStr">
        <is>
          <t>667 Willow Way, Sampletown</t>
        </is>
      </c>
      <c r="F98" s="38" t="inlineStr">
        <is>
          <t>Standard Clean</t>
        </is>
      </c>
      <c r="G98" s="38" t="inlineStr">
        <is>
          <t>R-009</t>
        </is>
      </c>
      <c r="H98" s="38" t="inlineStr">
        <is>
          <t>Maria Lopez</t>
        </is>
      </c>
      <c r="I98" s="57" t="n">
        <v>1</v>
      </c>
      <c r="J98" s="95" t="n"/>
      <c r="K98" s="95" t="n">
        <v>3.14</v>
      </c>
      <c r="L98" s="48" t="n">
        <v>145</v>
      </c>
      <c r="M98" s="96" t="n">
        <v>0</v>
      </c>
      <c r="N98" s="48" t="n"/>
      <c r="O98" s="38" t="inlineStr">
        <is>
          <t>Completed</t>
        </is>
      </c>
      <c r="P98" s="38" t="inlineStr"/>
      <c r="Q98" s="97">
        <f>IF(OR(F98="",E98=""),"",IFERROR(IF(INDEX('PROPERTIES'!$F$5:$F$404,MATCH(E98,'PROPERTIES'!$B$5:$B$404,0))=0,"",ROUND((INDEX('PROPERTIES'!$F$5:$F$404,MATCH(E98,'PROPERTIES'!$B$5:$B$404,0))/INDEX('PRICING'!$C$7:$C$16,MATCH(F98,'PRICING'!$A$7:$A$16,0))+INDEX('PROPERTIES'!$G$5:$G$404,MATCH(E98,'PROPERTIES'!$B$5:$B$404,0))*INDEX('PRICING'!$D$7:$D$16,MATCH(F98,'PRICING'!$A$7:$A$16,0))/60+INDEX('PROPERTIES'!$H$5:$H$404,MATCH(E98,'PROPERTIES'!$B$5:$B$404,0))*INDEX('PRICING'!$E$7:$E$16,MATCH(F98,'PRICING'!$A$7:$A$16,0))/60+INDEX('PRICING'!$F$7:$F$16,MATCH(F98,'PRICING'!$A$7:$A$16,0))/60),2)),""))</f>
        <v/>
      </c>
      <c r="R98" s="97">
        <f>IF(B98="","",IF(N(K98)&gt;0,K98,IF(N(J98)&gt;0,J98,N(Q98))))</f>
        <v/>
      </c>
      <c r="S98" s="55">
        <f>IF(L98="","",ROUND(L98*(1+N(M98)),2))</f>
        <v/>
      </c>
      <c r="T98" s="55">
        <f>IF(B98="","",SUMIFS('REVENUE'!$C$5:$C$1504,'REVENUE'!$B$5:$B$1504,A98))</f>
        <v/>
      </c>
      <c r="U98" s="55">
        <f>IF(B98="","",IF(O98="Completed",MAX(0,N(S98)-T98),""))</f>
        <v/>
      </c>
      <c r="V98" s="49">
        <f>IF(B98="","",IF(O98&lt;&gt;"Completed",IF(T98&gt;0,"Deposit","—"),IF(U98&lt;=0.005,"Paid",IF(T98&gt;0,"Partial","Unpaid"))))</f>
        <v/>
      </c>
      <c r="W98" s="55">
        <f>IF(B98="","",IFERROR(1/(1/INDEX('STAFF &amp; TASKS'!$C$5:$C$24,MATCH(H98,'STAFF &amp; TASKS'!$A$5:$A$24,0))),PayRate))</f>
        <v/>
      </c>
      <c r="X98" s="55">
        <f>IF(B98="","",IF(OR(O98="Cancelled",O98="No-Show"),"",ROUND(R98*W98*(1+Burden),2)))</f>
        <v/>
      </c>
      <c r="Y98" s="55">
        <f>IF(B98="","",IF(OR(O98="Cancelled",O98="No-Show"),"",IF(N98&lt;&gt;"",N98,ROUND(R98*SupHr*IFERROR(INDEX('PRICING'!$G$7:$G$16,MATCH(F98,'PRICING'!$A$7:$A$16,0)),1),2))))</f>
        <v/>
      </c>
      <c r="Z98" s="98">
        <f>IF(B98="","",SUMIFS('MILEAGE'!$J$5:$J$1504,'MILEAGE'!$B$5:$B$1504,A98))</f>
        <v/>
      </c>
      <c r="AA98" s="55">
        <f>IF(B98="","",ROUND(Z98*MileRate,2))</f>
        <v/>
      </c>
      <c r="AB98" s="55">
        <f>IF(B98="","",SUMIFS('REVENUE'!$J$5:$J$1504,'REVENUE'!$B$5:$B$1504,A98))</f>
        <v/>
      </c>
      <c r="AC98" s="55">
        <f>IF(L98="","",IF(OR(O98="Cancelled",O98="No-Show"),"",L98-N(X98)-N(Y98)-AA98-AB98))</f>
        <v/>
      </c>
      <c r="AD98" s="99">
        <f>IF(OR(AC98="",N(L98)=0),"",AC98/L98)</f>
        <v/>
      </c>
      <c r="AE98" s="55">
        <f>IF(OR(AC98="",N(R98)=0),"",L98/R98)</f>
        <v/>
      </c>
      <c r="AF98" s="100">
        <f>IF(OR(N(K98)=0,N(J98)+N(Q98)=0),"",K98-IF(N(J98)&gt;0,J98,Q98))</f>
        <v/>
      </c>
      <c r="AG98" s="99">
        <f>IF(B98="","",IFERROR(AVERAGEIFS('QUALITY CONTROL'!$M$5:$M$304,'QUALITY CONTROL'!$B$5:$B$304,A98),""))</f>
        <v/>
      </c>
      <c r="AH98" s="51">
        <f>IF(B98="","",DATE(YEAR(B98),MONTH(B98),1))</f>
        <v/>
      </c>
      <c r="AI98" s="49">
        <f>IF(D98="","",IFERROR(INDEX('CUSTOMERS'!$E$5:$E$404,MATCH(D98,'CUSTOMERS'!$B$5:$B$404,0)),""))</f>
        <v/>
      </c>
      <c r="AJ98" s="49">
        <f>IF(B98="","",N(C98))</f>
        <v/>
      </c>
      <c r="AK98" s="49">
        <f>IF(OR(B98="",O98="Cancelled",O98="Rescheduled"),"",B98&amp;"|"&amp;(COUNTIFS('JOBS'!$B$5:$B$1504,B98,'JOBS'!$AJ$5:$AJ$1504,"&lt;"&amp;AJ98,'JOBS'!$O$5:$O$1504,"&lt;&gt;Cancelled",'JOBS'!$O$5:$O$1504,"&lt;&gt;Rescheduled")+COUNTIFS($B$5:B98,B98,$AJ$5:AJ98,AJ98,$O$5:O98,"&lt;&gt;Cancelled",$O$5:O98,"&lt;&gt;Rescheduled")))</f>
        <v/>
      </c>
      <c r="AL98" s="49">
        <f>IF(N(U98)&lt;=0.005,"",COUNTIFS('JOBS'!$U$5:$U$1504,"&gt;0.005",'JOBS'!$B$5:$B$1504,"&lt;"&amp;B98)+COUNTIFS($U$5:U98,"&gt;0.005",$B$5:B98,B98))</f>
        <v/>
      </c>
    </row>
    <row r="99">
      <c r="A99" s="46" t="inlineStr">
        <is>
          <t>J-0095</t>
        </is>
      </c>
      <c r="B99" s="47" t="n">
        <v>46140</v>
      </c>
      <c r="C99" s="94" t="n">
        <v>0.3333333333333333</v>
      </c>
      <c r="D99" s="38" t="inlineStr">
        <is>
          <t>Lane Ivers</t>
        </is>
      </c>
      <c r="E99" s="38" t="inlineStr">
        <is>
          <t>497 Aspen Drive, Sampletown</t>
        </is>
      </c>
      <c r="F99" s="38" t="inlineStr">
        <is>
          <t>Standard Clean</t>
        </is>
      </c>
      <c r="G99" s="38" t="inlineStr">
        <is>
          <t>R-001</t>
        </is>
      </c>
      <c r="H99" s="38" t="inlineStr">
        <is>
          <t>Maria Lopez</t>
        </is>
      </c>
      <c r="I99" s="57" t="n">
        <v>1</v>
      </c>
      <c r="J99" s="95" t="n"/>
      <c r="K99" s="95" t="n">
        <v>3.55</v>
      </c>
      <c r="L99" s="48" t="n">
        <v>175</v>
      </c>
      <c r="M99" s="96" t="n">
        <v>0</v>
      </c>
      <c r="N99" s="48" t="n"/>
      <c r="O99" s="38" t="inlineStr">
        <is>
          <t>Completed</t>
        </is>
      </c>
      <c r="P99" s="38" t="inlineStr"/>
      <c r="Q99" s="97">
        <f>IF(OR(F99="",E99=""),"",IFERROR(IF(INDEX('PROPERTIES'!$F$5:$F$404,MATCH(E99,'PROPERTIES'!$B$5:$B$404,0))=0,"",ROUND((INDEX('PROPERTIES'!$F$5:$F$404,MATCH(E99,'PROPERTIES'!$B$5:$B$404,0))/INDEX('PRICING'!$C$7:$C$16,MATCH(F99,'PRICING'!$A$7:$A$16,0))+INDEX('PROPERTIES'!$G$5:$G$404,MATCH(E99,'PROPERTIES'!$B$5:$B$404,0))*INDEX('PRICING'!$D$7:$D$16,MATCH(F99,'PRICING'!$A$7:$A$16,0))/60+INDEX('PROPERTIES'!$H$5:$H$404,MATCH(E99,'PROPERTIES'!$B$5:$B$404,0))*INDEX('PRICING'!$E$7:$E$16,MATCH(F99,'PRICING'!$A$7:$A$16,0))/60+INDEX('PRICING'!$F$7:$F$16,MATCH(F99,'PRICING'!$A$7:$A$16,0))/60),2)),""))</f>
        <v/>
      </c>
      <c r="R99" s="97">
        <f>IF(B99="","",IF(N(K99)&gt;0,K99,IF(N(J99)&gt;0,J99,N(Q99))))</f>
        <v/>
      </c>
      <c r="S99" s="55">
        <f>IF(L99="","",ROUND(L99*(1+N(M99)),2))</f>
        <v/>
      </c>
      <c r="T99" s="55">
        <f>IF(B99="","",SUMIFS('REVENUE'!$C$5:$C$1504,'REVENUE'!$B$5:$B$1504,A99))</f>
        <v/>
      </c>
      <c r="U99" s="55">
        <f>IF(B99="","",IF(O99="Completed",MAX(0,N(S99)-T99),""))</f>
        <v/>
      </c>
      <c r="V99" s="49">
        <f>IF(B99="","",IF(O99&lt;&gt;"Completed",IF(T99&gt;0,"Deposit","—"),IF(U99&lt;=0.005,"Paid",IF(T99&gt;0,"Partial","Unpaid"))))</f>
        <v/>
      </c>
      <c r="W99" s="55">
        <f>IF(B99="","",IFERROR(1/(1/INDEX('STAFF &amp; TASKS'!$C$5:$C$24,MATCH(H99,'STAFF &amp; TASKS'!$A$5:$A$24,0))),PayRate))</f>
        <v/>
      </c>
      <c r="X99" s="55">
        <f>IF(B99="","",IF(OR(O99="Cancelled",O99="No-Show"),"",ROUND(R99*W99*(1+Burden),2)))</f>
        <v/>
      </c>
      <c r="Y99" s="55">
        <f>IF(B99="","",IF(OR(O99="Cancelled",O99="No-Show"),"",IF(N99&lt;&gt;"",N99,ROUND(R99*SupHr*IFERROR(INDEX('PRICING'!$G$7:$G$16,MATCH(F99,'PRICING'!$A$7:$A$16,0)),1),2))))</f>
        <v/>
      </c>
      <c r="Z99" s="98">
        <f>IF(B99="","",SUMIFS('MILEAGE'!$J$5:$J$1504,'MILEAGE'!$B$5:$B$1504,A99))</f>
        <v/>
      </c>
      <c r="AA99" s="55">
        <f>IF(B99="","",ROUND(Z99*MileRate,2))</f>
        <v/>
      </c>
      <c r="AB99" s="55">
        <f>IF(B99="","",SUMIFS('REVENUE'!$J$5:$J$1504,'REVENUE'!$B$5:$B$1504,A99))</f>
        <v/>
      </c>
      <c r="AC99" s="55">
        <f>IF(L99="","",IF(OR(O99="Cancelled",O99="No-Show"),"",L99-N(X99)-N(Y99)-AA99-AB99))</f>
        <v/>
      </c>
      <c r="AD99" s="99">
        <f>IF(OR(AC99="",N(L99)=0),"",AC99/L99)</f>
        <v/>
      </c>
      <c r="AE99" s="55">
        <f>IF(OR(AC99="",N(R99)=0),"",L99/R99)</f>
        <v/>
      </c>
      <c r="AF99" s="100">
        <f>IF(OR(N(K99)=0,N(J99)+N(Q99)=0),"",K99-IF(N(J99)&gt;0,J99,Q99))</f>
        <v/>
      </c>
      <c r="AG99" s="99">
        <f>IF(B99="","",IFERROR(AVERAGEIFS('QUALITY CONTROL'!$M$5:$M$304,'QUALITY CONTROL'!$B$5:$B$304,A99),""))</f>
        <v/>
      </c>
      <c r="AH99" s="51">
        <f>IF(B99="","",DATE(YEAR(B99),MONTH(B99),1))</f>
        <v/>
      </c>
      <c r="AI99" s="49">
        <f>IF(D99="","",IFERROR(INDEX('CUSTOMERS'!$E$5:$E$404,MATCH(D99,'CUSTOMERS'!$B$5:$B$404,0)),""))</f>
        <v/>
      </c>
      <c r="AJ99" s="49">
        <f>IF(B99="","",N(C99))</f>
        <v/>
      </c>
      <c r="AK99" s="49">
        <f>IF(OR(B99="",O99="Cancelled",O99="Rescheduled"),"",B99&amp;"|"&amp;(COUNTIFS('JOBS'!$B$5:$B$1504,B99,'JOBS'!$AJ$5:$AJ$1504,"&lt;"&amp;AJ99,'JOBS'!$O$5:$O$1504,"&lt;&gt;Cancelled",'JOBS'!$O$5:$O$1504,"&lt;&gt;Rescheduled")+COUNTIFS($B$5:B99,B99,$AJ$5:AJ99,AJ99,$O$5:O99,"&lt;&gt;Cancelled",$O$5:O99,"&lt;&gt;Rescheduled")))</f>
        <v/>
      </c>
      <c r="AL99" s="49">
        <f>IF(N(U99)&lt;=0.005,"",COUNTIFS('JOBS'!$U$5:$U$1504,"&gt;0.005",'JOBS'!$B$5:$B$1504,"&lt;"&amp;B99)+COUNTIFS($U$5:U99,"&gt;0.005",$B$5:B99,B99))</f>
        <v/>
      </c>
    </row>
    <row r="100">
      <c r="A100" s="46" t="inlineStr">
        <is>
          <t>J-0096</t>
        </is>
      </c>
      <c r="B100" s="47" t="n">
        <v>46140</v>
      </c>
      <c r="C100" s="94" t="n">
        <v>0.3333333333333333</v>
      </c>
      <c r="D100" s="38" t="inlineStr">
        <is>
          <t>Dana Oakes</t>
        </is>
      </c>
      <c r="E100" s="38" t="inlineStr">
        <is>
          <t>666 Juniper Street, North Sampletown</t>
        </is>
      </c>
      <c r="F100" s="38" t="inlineStr">
        <is>
          <t>Airbnb Turnover</t>
        </is>
      </c>
      <c r="G100" s="38" t="n"/>
      <c r="H100" s="38" t="inlineStr">
        <is>
          <t>Kevin Osei</t>
        </is>
      </c>
      <c r="I100" s="57" t="n">
        <v>1</v>
      </c>
      <c r="J100" s="95" t="n"/>
      <c r="K100" s="95" t="n">
        <v>1.71</v>
      </c>
      <c r="L100" s="48" t="n">
        <v>135</v>
      </c>
      <c r="M100" s="96" t="n">
        <v>0</v>
      </c>
      <c r="N100" s="48" t="n"/>
      <c r="O100" s="38" t="inlineStr">
        <is>
          <t>Completed</t>
        </is>
      </c>
      <c r="P100" s="38" t="inlineStr">
        <is>
          <t>Includes laundry</t>
        </is>
      </c>
      <c r="Q100" s="97">
        <f>IF(OR(F100="",E100=""),"",IFERROR(IF(INDEX('PROPERTIES'!$F$5:$F$404,MATCH(E100,'PROPERTIES'!$B$5:$B$404,0))=0,"",ROUND((INDEX('PROPERTIES'!$F$5:$F$404,MATCH(E100,'PROPERTIES'!$B$5:$B$404,0))/INDEX('PRICING'!$C$7:$C$16,MATCH(F100,'PRICING'!$A$7:$A$16,0))+INDEX('PROPERTIES'!$G$5:$G$404,MATCH(E100,'PROPERTIES'!$B$5:$B$404,0))*INDEX('PRICING'!$D$7:$D$16,MATCH(F100,'PRICING'!$A$7:$A$16,0))/60+INDEX('PROPERTIES'!$H$5:$H$404,MATCH(E100,'PROPERTIES'!$B$5:$B$404,0))*INDEX('PRICING'!$E$7:$E$16,MATCH(F100,'PRICING'!$A$7:$A$16,0))/60+INDEX('PRICING'!$F$7:$F$16,MATCH(F100,'PRICING'!$A$7:$A$16,0))/60),2)),""))</f>
        <v/>
      </c>
      <c r="R100" s="97">
        <f>IF(B100="","",IF(N(K100)&gt;0,K100,IF(N(J100)&gt;0,J100,N(Q100))))</f>
        <v/>
      </c>
      <c r="S100" s="55">
        <f>IF(L100="","",ROUND(L100*(1+N(M100)),2))</f>
        <v/>
      </c>
      <c r="T100" s="55">
        <f>IF(B100="","",SUMIFS('REVENUE'!$C$5:$C$1504,'REVENUE'!$B$5:$B$1504,A100))</f>
        <v/>
      </c>
      <c r="U100" s="55">
        <f>IF(B100="","",IF(O100="Completed",MAX(0,N(S100)-T100),""))</f>
        <v/>
      </c>
      <c r="V100" s="49">
        <f>IF(B100="","",IF(O100&lt;&gt;"Completed",IF(T100&gt;0,"Deposit","—"),IF(U100&lt;=0.005,"Paid",IF(T100&gt;0,"Partial","Unpaid"))))</f>
        <v/>
      </c>
      <c r="W100" s="55">
        <f>IF(B100="","",IFERROR(1/(1/INDEX('STAFF &amp; TASKS'!$C$5:$C$24,MATCH(H100,'STAFF &amp; TASKS'!$A$5:$A$24,0))),PayRate))</f>
        <v/>
      </c>
      <c r="X100" s="55">
        <f>IF(B100="","",IF(OR(O100="Cancelled",O100="No-Show"),"",ROUND(R100*W100*(1+Burden),2)))</f>
        <v/>
      </c>
      <c r="Y100" s="55">
        <f>IF(B100="","",IF(OR(O100="Cancelled",O100="No-Show"),"",IF(N100&lt;&gt;"",N100,ROUND(R100*SupHr*IFERROR(INDEX('PRICING'!$G$7:$G$16,MATCH(F100,'PRICING'!$A$7:$A$16,0)),1),2))))</f>
        <v/>
      </c>
      <c r="Z100" s="98">
        <f>IF(B100="","",SUMIFS('MILEAGE'!$J$5:$J$1504,'MILEAGE'!$B$5:$B$1504,A100))</f>
        <v/>
      </c>
      <c r="AA100" s="55">
        <f>IF(B100="","",ROUND(Z100*MileRate,2))</f>
        <v/>
      </c>
      <c r="AB100" s="55">
        <f>IF(B100="","",SUMIFS('REVENUE'!$J$5:$J$1504,'REVENUE'!$B$5:$B$1504,A100))</f>
        <v/>
      </c>
      <c r="AC100" s="55">
        <f>IF(L100="","",IF(OR(O100="Cancelled",O100="No-Show"),"",L100-N(X100)-N(Y100)-AA100-AB100))</f>
        <v/>
      </c>
      <c r="AD100" s="99">
        <f>IF(OR(AC100="",N(L100)=0),"",AC100/L100)</f>
        <v/>
      </c>
      <c r="AE100" s="55">
        <f>IF(OR(AC100="",N(R100)=0),"",L100/R100)</f>
        <v/>
      </c>
      <c r="AF100" s="100">
        <f>IF(OR(N(K100)=0,N(J100)+N(Q100)=0),"",K100-IF(N(J100)&gt;0,J100,Q100))</f>
        <v/>
      </c>
      <c r="AG100" s="99">
        <f>IF(B100="","",IFERROR(AVERAGEIFS('QUALITY CONTROL'!$M$5:$M$304,'QUALITY CONTROL'!$B$5:$B$304,A100),""))</f>
        <v/>
      </c>
      <c r="AH100" s="51">
        <f>IF(B100="","",DATE(YEAR(B100),MONTH(B100),1))</f>
        <v/>
      </c>
      <c r="AI100" s="49">
        <f>IF(D100="","",IFERROR(INDEX('CUSTOMERS'!$E$5:$E$404,MATCH(D100,'CUSTOMERS'!$B$5:$B$404,0)),""))</f>
        <v/>
      </c>
      <c r="AJ100" s="49">
        <f>IF(B100="","",N(C100))</f>
        <v/>
      </c>
      <c r="AK100" s="49">
        <f>IF(OR(B100="",O100="Cancelled",O100="Rescheduled"),"",B100&amp;"|"&amp;(COUNTIFS('JOBS'!$B$5:$B$1504,B100,'JOBS'!$AJ$5:$AJ$1504,"&lt;"&amp;AJ100,'JOBS'!$O$5:$O$1504,"&lt;&gt;Cancelled",'JOBS'!$O$5:$O$1504,"&lt;&gt;Rescheduled")+COUNTIFS($B$5:B100,B100,$AJ$5:AJ100,AJ100,$O$5:O100,"&lt;&gt;Cancelled",$O$5:O100,"&lt;&gt;Rescheduled")))</f>
        <v/>
      </c>
      <c r="AL100" s="49">
        <f>IF(N(U100)&lt;=0.005,"",COUNTIFS('JOBS'!$U$5:$U$1504,"&gt;0.005",'JOBS'!$B$5:$B$1504,"&lt;"&amp;B100)+COUNTIFS($U$5:U100,"&gt;0.005",$B$5:B100,B100))</f>
        <v/>
      </c>
    </row>
    <row r="101">
      <c r="A101" s="46" t="inlineStr">
        <is>
          <t>J-0097</t>
        </is>
      </c>
      <c r="B101" s="47" t="n">
        <v>46140</v>
      </c>
      <c r="C101" s="94" t="n">
        <v>0.4166666666666667</v>
      </c>
      <c r="D101" s="38" t="inlineStr">
        <is>
          <t>Parker Lockhart</t>
        </is>
      </c>
      <c r="E101" s="38" t="inlineStr">
        <is>
          <t>412 Linden Place, Sampletown</t>
        </is>
      </c>
      <c r="F101" s="38" t="inlineStr">
        <is>
          <t>Airbnb Turnover</t>
        </is>
      </c>
      <c r="G101" s="38" t="n"/>
      <c r="H101" s="38" t="inlineStr">
        <is>
          <t>Kevin Osei</t>
        </is>
      </c>
      <c r="I101" s="57" t="n">
        <v>1</v>
      </c>
      <c r="J101" s="95" t="n"/>
      <c r="K101" s="95" t="n">
        <v>2.07</v>
      </c>
      <c r="L101" s="48" t="n">
        <v>150</v>
      </c>
      <c r="M101" s="96" t="n">
        <v>0</v>
      </c>
      <c r="N101" s="48" t="n"/>
      <c r="O101" s="38" t="inlineStr">
        <is>
          <t>Completed</t>
        </is>
      </c>
      <c r="P101" s="38" t="inlineStr">
        <is>
          <t>Includes laundry</t>
        </is>
      </c>
      <c r="Q101" s="97">
        <f>IF(OR(F101="",E101=""),"",IFERROR(IF(INDEX('PROPERTIES'!$F$5:$F$404,MATCH(E101,'PROPERTIES'!$B$5:$B$404,0))=0,"",ROUND((INDEX('PROPERTIES'!$F$5:$F$404,MATCH(E101,'PROPERTIES'!$B$5:$B$404,0))/INDEX('PRICING'!$C$7:$C$16,MATCH(F101,'PRICING'!$A$7:$A$16,0))+INDEX('PROPERTIES'!$G$5:$G$404,MATCH(E101,'PROPERTIES'!$B$5:$B$404,0))*INDEX('PRICING'!$D$7:$D$16,MATCH(F101,'PRICING'!$A$7:$A$16,0))/60+INDEX('PROPERTIES'!$H$5:$H$404,MATCH(E101,'PROPERTIES'!$B$5:$B$404,0))*INDEX('PRICING'!$E$7:$E$16,MATCH(F101,'PRICING'!$A$7:$A$16,0))/60+INDEX('PRICING'!$F$7:$F$16,MATCH(F101,'PRICING'!$A$7:$A$16,0))/60),2)),""))</f>
        <v/>
      </c>
      <c r="R101" s="97">
        <f>IF(B101="","",IF(N(K101)&gt;0,K101,IF(N(J101)&gt;0,J101,N(Q101))))</f>
        <v/>
      </c>
      <c r="S101" s="55">
        <f>IF(L101="","",ROUND(L101*(1+N(M101)),2))</f>
        <v/>
      </c>
      <c r="T101" s="55">
        <f>IF(B101="","",SUMIFS('REVENUE'!$C$5:$C$1504,'REVENUE'!$B$5:$B$1504,A101))</f>
        <v/>
      </c>
      <c r="U101" s="55">
        <f>IF(B101="","",IF(O101="Completed",MAX(0,N(S101)-T101),""))</f>
        <v/>
      </c>
      <c r="V101" s="49">
        <f>IF(B101="","",IF(O101&lt;&gt;"Completed",IF(T101&gt;0,"Deposit","—"),IF(U101&lt;=0.005,"Paid",IF(T101&gt;0,"Partial","Unpaid"))))</f>
        <v/>
      </c>
      <c r="W101" s="55">
        <f>IF(B101="","",IFERROR(1/(1/INDEX('STAFF &amp; TASKS'!$C$5:$C$24,MATCH(H101,'STAFF &amp; TASKS'!$A$5:$A$24,0))),PayRate))</f>
        <v/>
      </c>
      <c r="X101" s="55">
        <f>IF(B101="","",IF(OR(O101="Cancelled",O101="No-Show"),"",ROUND(R101*W101*(1+Burden),2)))</f>
        <v/>
      </c>
      <c r="Y101" s="55">
        <f>IF(B101="","",IF(OR(O101="Cancelled",O101="No-Show"),"",IF(N101&lt;&gt;"",N101,ROUND(R101*SupHr*IFERROR(INDEX('PRICING'!$G$7:$G$16,MATCH(F101,'PRICING'!$A$7:$A$16,0)),1),2))))</f>
        <v/>
      </c>
      <c r="Z101" s="98">
        <f>IF(B101="","",SUMIFS('MILEAGE'!$J$5:$J$1504,'MILEAGE'!$B$5:$B$1504,A101))</f>
        <v/>
      </c>
      <c r="AA101" s="55">
        <f>IF(B101="","",ROUND(Z101*MileRate,2))</f>
        <v/>
      </c>
      <c r="AB101" s="55">
        <f>IF(B101="","",SUMIFS('REVENUE'!$J$5:$J$1504,'REVENUE'!$B$5:$B$1504,A101))</f>
        <v/>
      </c>
      <c r="AC101" s="55">
        <f>IF(L101="","",IF(OR(O101="Cancelled",O101="No-Show"),"",L101-N(X101)-N(Y101)-AA101-AB101))</f>
        <v/>
      </c>
      <c r="AD101" s="99">
        <f>IF(OR(AC101="",N(L101)=0),"",AC101/L101)</f>
        <v/>
      </c>
      <c r="AE101" s="55">
        <f>IF(OR(AC101="",N(R101)=0),"",L101/R101)</f>
        <v/>
      </c>
      <c r="AF101" s="100">
        <f>IF(OR(N(K101)=0,N(J101)+N(Q101)=0),"",K101-IF(N(J101)&gt;0,J101,Q101))</f>
        <v/>
      </c>
      <c r="AG101" s="99">
        <f>IF(B101="","",IFERROR(AVERAGEIFS('QUALITY CONTROL'!$M$5:$M$304,'QUALITY CONTROL'!$B$5:$B$304,A101),""))</f>
        <v/>
      </c>
      <c r="AH101" s="51">
        <f>IF(B101="","",DATE(YEAR(B101),MONTH(B101),1))</f>
        <v/>
      </c>
      <c r="AI101" s="49">
        <f>IF(D101="","",IFERROR(INDEX('CUSTOMERS'!$E$5:$E$404,MATCH(D101,'CUSTOMERS'!$B$5:$B$404,0)),""))</f>
        <v/>
      </c>
      <c r="AJ101" s="49">
        <f>IF(B101="","",N(C101))</f>
        <v/>
      </c>
      <c r="AK101" s="49">
        <f>IF(OR(B101="",O101="Cancelled",O101="Rescheduled"),"",B101&amp;"|"&amp;(COUNTIFS('JOBS'!$B$5:$B$1504,B101,'JOBS'!$AJ$5:$AJ$1504,"&lt;"&amp;AJ101,'JOBS'!$O$5:$O$1504,"&lt;&gt;Cancelled",'JOBS'!$O$5:$O$1504,"&lt;&gt;Rescheduled")+COUNTIFS($B$5:B101,B101,$AJ$5:AJ101,AJ101,$O$5:O101,"&lt;&gt;Cancelled",$O$5:O101,"&lt;&gt;Rescheduled")))</f>
        <v/>
      </c>
      <c r="AL101" s="49">
        <f>IF(N(U101)&lt;=0.005,"",COUNTIFS('JOBS'!$U$5:$U$1504,"&gt;0.005",'JOBS'!$B$5:$B$1504,"&lt;"&amp;B101)+COUNTIFS($U$5:U101,"&gt;0.005",$B$5:B101,B101))</f>
        <v/>
      </c>
    </row>
    <row r="102">
      <c r="A102" s="46" t="inlineStr">
        <is>
          <t>J-0098</t>
        </is>
      </c>
      <c r="B102" s="47" t="n">
        <v>46141</v>
      </c>
      <c r="C102" s="94" t="n">
        <v>0.4166666666666667</v>
      </c>
      <c r="D102" s="38" t="inlineStr">
        <is>
          <t>Logan Porter</t>
        </is>
      </c>
      <c r="E102" s="38" t="inlineStr">
        <is>
          <t>675 Aspen Drive, Lakeview (fictional)</t>
        </is>
      </c>
      <c r="F102" s="38" t="inlineStr">
        <is>
          <t>Standard Clean</t>
        </is>
      </c>
      <c r="G102" s="38" t="inlineStr">
        <is>
          <t>R-002</t>
        </is>
      </c>
      <c r="H102" s="38" t="inlineStr">
        <is>
          <t>Dana Whitfield</t>
        </is>
      </c>
      <c r="I102" s="57" t="n">
        <v>1</v>
      </c>
      <c r="J102" s="95" t="n"/>
      <c r="K102" s="95" t="n">
        <v>5.42</v>
      </c>
      <c r="L102" s="48" t="n">
        <v>220</v>
      </c>
      <c r="M102" s="96" t="n">
        <v>0</v>
      </c>
      <c r="N102" s="48" t="n"/>
      <c r="O102" s="38" t="inlineStr">
        <is>
          <t>Completed</t>
        </is>
      </c>
      <c r="P102" s="38" t="inlineStr"/>
      <c r="Q102" s="97">
        <f>IF(OR(F102="",E102=""),"",IFERROR(IF(INDEX('PROPERTIES'!$F$5:$F$404,MATCH(E102,'PROPERTIES'!$B$5:$B$404,0))=0,"",ROUND((INDEX('PROPERTIES'!$F$5:$F$404,MATCH(E102,'PROPERTIES'!$B$5:$B$404,0))/INDEX('PRICING'!$C$7:$C$16,MATCH(F102,'PRICING'!$A$7:$A$16,0))+INDEX('PROPERTIES'!$G$5:$G$404,MATCH(E102,'PROPERTIES'!$B$5:$B$404,0))*INDEX('PRICING'!$D$7:$D$16,MATCH(F102,'PRICING'!$A$7:$A$16,0))/60+INDEX('PROPERTIES'!$H$5:$H$404,MATCH(E102,'PROPERTIES'!$B$5:$B$404,0))*INDEX('PRICING'!$E$7:$E$16,MATCH(F102,'PRICING'!$A$7:$A$16,0))/60+INDEX('PRICING'!$F$7:$F$16,MATCH(F102,'PRICING'!$A$7:$A$16,0))/60),2)),""))</f>
        <v/>
      </c>
      <c r="R102" s="97">
        <f>IF(B102="","",IF(N(K102)&gt;0,K102,IF(N(J102)&gt;0,J102,N(Q102))))</f>
        <v/>
      </c>
      <c r="S102" s="55">
        <f>IF(L102="","",ROUND(L102*(1+N(M102)),2))</f>
        <v/>
      </c>
      <c r="T102" s="55">
        <f>IF(B102="","",SUMIFS('REVENUE'!$C$5:$C$1504,'REVENUE'!$B$5:$B$1504,A102))</f>
        <v/>
      </c>
      <c r="U102" s="55">
        <f>IF(B102="","",IF(O102="Completed",MAX(0,N(S102)-T102),""))</f>
        <v/>
      </c>
      <c r="V102" s="49">
        <f>IF(B102="","",IF(O102&lt;&gt;"Completed",IF(T102&gt;0,"Deposit","—"),IF(U102&lt;=0.005,"Paid",IF(T102&gt;0,"Partial","Unpaid"))))</f>
        <v/>
      </c>
      <c r="W102" s="55">
        <f>IF(B102="","",IFERROR(1/(1/INDEX('STAFF &amp; TASKS'!$C$5:$C$24,MATCH(H102,'STAFF &amp; TASKS'!$A$5:$A$24,0))),PayRate))</f>
        <v/>
      </c>
      <c r="X102" s="55">
        <f>IF(B102="","",IF(OR(O102="Cancelled",O102="No-Show"),"",ROUND(R102*W102*(1+Burden),2)))</f>
        <v/>
      </c>
      <c r="Y102" s="55">
        <f>IF(B102="","",IF(OR(O102="Cancelled",O102="No-Show"),"",IF(N102&lt;&gt;"",N102,ROUND(R102*SupHr*IFERROR(INDEX('PRICING'!$G$7:$G$16,MATCH(F102,'PRICING'!$A$7:$A$16,0)),1),2))))</f>
        <v/>
      </c>
      <c r="Z102" s="98">
        <f>IF(B102="","",SUMIFS('MILEAGE'!$J$5:$J$1504,'MILEAGE'!$B$5:$B$1504,A102))</f>
        <v/>
      </c>
      <c r="AA102" s="55">
        <f>IF(B102="","",ROUND(Z102*MileRate,2))</f>
        <v/>
      </c>
      <c r="AB102" s="55">
        <f>IF(B102="","",SUMIFS('REVENUE'!$J$5:$J$1504,'REVENUE'!$B$5:$B$1504,A102))</f>
        <v/>
      </c>
      <c r="AC102" s="55">
        <f>IF(L102="","",IF(OR(O102="Cancelled",O102="No-Show"),"",L102-N(X102)-N(Y102)-AA102-AB102))</f>
        <v/>
      </c>
      <c r="AD102" s="99">
        <f>IF(OR(AC102="",N(L102)=0),"",AC102/L102)</f>
        <v/>
      </c>
      <c r="AE102" s="55">
        <f>IF(OR(AC102="",N(R102)=0),"",L102/R102)</f>
        <v/>
      </c>
      <c r="AF102" s="100">
        <f>IF(OR(N(K102)=0,N(J102)+N(Q102)=0),"",K102-IF(N(J102)&gt;0,J102,Q102))</f>
        <v/>
      </c>
      <c r="AG102" s="99">
        <f>IF(B102="","",IFERROR(AVERAGEIFS('QUALITY CONTROL'!$M$5:$M$304,'QUALITY CONTROL'!$B$5:$B$304,A102),""))</f>
        <v/>
      </c>
      <c r="AH102" s="51">
        <f>IF(B102="","",DATE(YEAR(B102),MONTH(B102),1))</f>
        <v/>
      </c>
      <c r="AI102" s="49">
        <f>IF(D102="","",IFERROR(INDEX('CUSTOMERS'!$E$5:$E$404,MATCH(D102,'CUSTOMERS'!$B$5:$B$404,0)),""))</f>
        <v/>
      </c>
      <c r="AJ102" s="49">
        <f>IF(B102="","",N(C102))</f>
        <v/>
      </c>
      <c r="AK102" s="49">
        <f>IF(OR(B102="",O102="Cancelled",O102="Rescheduled"),"",B102&amp;"|"&amp;(COUNTIFS('JOBS'!$B$5:$B$1504,B102,'JOBS'!$AJ$5:$AJ$1504,"&lt;"&amp;AJ102,'JOBS'!$O$5:$O$1504,"&lt;&gt;Cancelled",'JOBS'!$O$5:$O$1504,"&lt;&gt;Rescheduled")+COUNTIFS($B$5:B102,B102,$AJ$5:AJ102,AJ102,$O$5:O102,"&lt;&gt;Cancelled",$O$5:O102,"&lt;&gt;Rescheduled")))</f>
        <v/>
      </c>
      <c r="AL102" s="49">
        <f>IF(N(U102)&lt;=0.005,"",COUNTIFS('JOBS'!$U$5:$U$1504,"&gt;0.005",'JOBS'!$B$5:$B$1504,"&lt;"&amp;B102)+COUNTIFS($U$5:U102,"&gt;0.005",$B$5:B102,B102))</f>
        <v/>
      </c>
    </row>
    <row r="103">
      <c r="A103" s="46" t="inlineStr">
        <is>
          <t>J-0099</t>
        </is>
      </c>
      <c r="B103" s="47" t="n">
        <v>46143</v>
      </c>
      <c r="C103" s="94" t="n">
        <v>0.3541666666666667</v>
      </c>
      <c r="D103" s="38" t="inlineStr">
        <is>
          <t>Rowan Foxworth</t>
        </is>
      </c>
      <c r="E103" s="38" t="inlineStr">
        <is>
          <t>876 Magnolia Circle, North Sampletown</t>
        </is>
      </c>
      <c r="F103" s="38" t="inlineStr">
        <is>
          <t>Standard Clean</t>
        </is>
      </c>
      <c r="G103" s="38" t="inlineStr">
        <is>
          <t>R-005</t>
        </is>
      </c>
      <c r="H103" s="38" t="inlineStr">
        <is>
          <t>Maria Lopez</t>
        </is>
      </c>
      <c r="I103" s="57" t="n">
        <v>1</v>
      </c>
      <c r="J103" s="95" t="n"/>
      <c r="K103" s="95" t="n">
        <v>5.6</v>
      </c>
      <c r="L103" s="48" t="n">
        <v>220</v>
      </c>
      <c r="M103" s="96" t="n">
        <v>0</v>
      </c>
      <c r="N103" s="48" t="n"/>
      <c r="O103" s="38" t="inlineStr">
        <is>
          <t>Completed</t>
        </is>
      </c>
      <c r="P103" s="38" t="inlineStr"/>
      <c r="Q103" s="97">
        <f>IF(OR(F103="",E103=""),"",IFERROR(IF(INDEX('PROPERTIES'!$F$5:$F$404,MATCH(E103,'PROPERTIES'!$B$5:$B$404,0))=0,"",ROUND((INDEX('PROPERTIES'!$F$5:$F$404,MATCH(E103,'PROPERTIES'!$B$5:$B$404,0))/INDEX('PRICING'!$C$7:$C$16,MATCH(F103,'PRICING'!$A$7:$A$16,0))+INDEX('PROPERTIES'!$G$5:$G$404,MATCH(E103,'PROPERTIES'!$B$5:$B$404,0))*INDEX('PRICING'!$D$7:$D$16,MATCH(F103,'PRICING'!$A$7:$A$16,0))/60+INDEX('PROPERTIES'!$H$5:$H$404,MATCH(E103,'PROPERTIES'!$B$5:$B$404,0))*INDEX('PRICING'!$E$7:$E$16,MATCH(F103,'PRICING'!$A$7:$A$16,0))/60+INDEX('PRICING'!$F$7:$F$16,MATCH(F103,'PRICING'!$A$7:$A$16,0))/60),2)),""))</f>
        <v/>
      </c>
      <c r="R103" s="97">
        <f>IF(B103="","",IF(N(K103)&gt;0,K103,IF(N(J103)&gt;0,J103,N(Q103))))</f>
        <v/>
      </c>
      <c r="S103" s="55">
        <f>IF(L103="","",ROUND(L103*(1+N(M103)),2))</f>
        <v/>
      </c>
      <c r="T103" s="55">
        <f>IF(B103="","",SUMIFS('REVENUE'!$C$5:$C$1504,'REVENUE'!$B$5:$B$1504,A103))</f>
        <v/>
      </c>
      <c r="U103" s="55">
        <f>IF(B103="","",IF(O103="Completed",MAX(0,N(S103)-T103),""))</f>
        <v/>
      </c>
      <c r="V103" s="49">
        <f>IF(B103="","",IF(O103&lt;&gt;"Completed",IF(T103&gt;0,"Deposit","—"),IF(U103&lt;=0.005,"Paid",IF(T103&gt;0,"Partial","Unpaid"))))</f>
        <v/>
      </c>
      <c r="W103" s="55">
        <f>IF(B103="","",IFERROR(1/(1/INDEX('STAFF &amp; TASKS'!$C$5:$C$24,MATCH(H103,'STAFF &amp; TASKS'!$A$5:$A$24,0))),PayRate))</f>
        <v/>
      </c>
      <c r="X103" s="55">
        <f>IF(B103="","",IF(OR(O103="Cancelled",O103="No-Show"),"",ROUND(R103*W103*(1+Burden),2)))</f>
        <v/>
      </c>
      <c r="Y103" s="55">
        <f>IF(B103="","",IF(OR(O103="Cancelled",O103="No-Show"),"",IF(N103&lt;&gt;"",N103,ROUND(R103*SupHr*IFERROR(INDEX('PRICING'!$G$7:$G$16,MATCH(F103,'PRICING'!$A$7:$A$16,0)),1),2))))</f>
        <v/>
      </c>
      <c r="Z103" s="98">
        <f>IF(B103="","",SUMIFS('MILEAGE'!$J$5:$J$1504,'MILEAGE'!$B$5:$B$1504,A103))</f>
        <v/>
      </c>
      <c r="AA103" s="55">
        <f>IF(B103="","",ROUND(Z103*MileRate,2))</f>
        <v/>
      </c>
      <c r="AB103" s="55">
        <f>IF(B103="","",SUMIFS('REVENUE'!$J$5:$J$1504,'REVENUE'!$B$5:$B$1504,A103))</f>
        <v/>
      </c>
      <c r="AC103" s="55">
        <f>IF(L103="","",IF(OR(O103="Cancelled",O103="No-Show"),"",L103-N(X103)-N(Y103)-AA103-AB103))</f>
        <v/>
      </c>
      <c r="AD103" s="99">
        <f>IF(OR(AC103="",N(L103)=0),"",AC103/L103)</f>
        <v/>
      </c>
      <c r="AE103" s="55">
        <f>IF(OR(AC103="",N(R103)=0),"",L103/R103)</f>
        <v/>
      </c>
      <c r="AF103" s="100">
        <f>IF(OR(N(K103)=0,N(J103)+N(Q103)=0),"",K103-IF(N(J103)&gt;0,J103,Q103))</f>
        <v/>
      </c>
      <c r="AG103" s="99">
        <f>IF(B103="","",IFERROR(AVERAGEIFS('QUALITY CONTROL'!$M$5:$M$304,'QUALITY CONTROL'!$B$5:$B$304,A103),""))</f>
        <v/>
      </c>
      <c r="AH103" s="51">
        <f>IF(B103="","",DATE(YEAR(B103),MONTH(B103),1))</f>
        <v/>
      </c>
      <c r="AI103" s="49">
        <f>IF(D103="","",IFERROR(INDEX('CUSTOMERS'!$E$5:$E$404,MATCH(D103,'CUSTOMERS'!$B$5:$B$404,0)),""))</f>
        <v/>
      </c>
      <c r="AJ103" s="49">
        <f>IF(B103="","",N(C103))</f>
        <v/>
      </c>
      <c r="AK103" s="49">
        <f>IF(OR(B103="",O103="Cancelled",O103="Rescheduled"),"",B103&amp;"|"&amp;(COUNTIFS('JOBS'!$B$5:$B$1504,B103,'JOBS'!$AJ$5:$AJ$1504,"&lt;"&amp;AJ103,'JOBS'!$O$5:$O$1504,"&lt;&gt;Cancelled",'JOBS'!$O$5:$O$1504,"&lt;&gt;Rescheduled")+COUNTIFS($B$5:B103,B103,$AJ$5:AJ103,AJ103,$O$5:O103,"&lt;&gt;Cancelled",$O$5:O103,"&lt;&gt;Rescheduled")))</f>
        <v/>
      </c>
      <c r="AL103" s="49">
        <f>IF(N(U103)&lt;=0.005,"",COUNTIFS('JOBS'!$U$5:$U$1504,"&gt;0.005",'JOBS'!$B$5:$B$1504,"&lt;"&amp;B103)+COUNTIFS($U$5:U103,"&gt;0.005",$B$5:B103,B103))</f>
        <v/>
      </c>
    </row>
    <row r="104">
      <c r="A104" s="46" t="inlineStr">
        <is>
          <t>J-0100</t>
        </is>
      </c>
      <c r="B104" s="47" t="n">
        <v>46143</v>
      </c>
      <c r="C104" s="94" t="n">
        <v>0.5208333333333334</v>
      </c>
      <c r="D104" s="38" t="inlineStr">
        <is>
          <t>Emerson Holloway</t>
        </is>
      </c>
      <c r="E104" s="38" t="inlineStr">
        <is>
          <t>192 Birch Lane, North Sampletown</t>
        </is>
      </c>
      <c r="F104" s="38" t="inlineStr">
        <is>
          <t>Airbnb Turnover</t>
        </is>
      </c>
      <c r="G104" s="38" t="n"/>
      <c r="H104" s="38" t="inlineStr">
        <is>
          <t>Kevin Osei</t>
        </is>
      </c>
      <c r="I104" s="57" t="n">
        <v>1</v>
      </c>
      <c r="J104" s="95" t="n"/>
      <c r="K104" s="95" t="n">
        <v>2.45</v>
      </c>
      <c r="L104" s="48" t="n">
        <v>150</v>
      </c>
      <c r="M104" s="96" t="n">
        <v>0</v>
      </c>
      <c r="N104" s="48" t="n"/>
      <c r="O104" s="38" t="inlineStr">
        <is>
          <t>Completed</t>
        </is>
      </c>
      <c r="P104" s="38" t="inlineStr">
        <is>
          <t>Includes laundry</t>
        </is>
      </c>
      <c r="Q104" s="97">
        <f>IF(OR(F104="",E104=""),"",IFERROR(IF(INDEX('PROPERTIES'!$F$5:$F$404,MATCH(E104,'PROPERTIES'!$B$5:$B$404,0))=0,"",ROUND((INDEX('PROPERTIES'!$F$5:$F$404,MATCH(E104,'PROPERTIES'!$B$5:$B$404,0))/INDEX('PRICING'!$C$7:$C$16,MATCH(F104,'PRICING'!$A$7:$A$16,0))+INDEX('PROPERTIES'!$G$5:$G$404,MATCH(E104,'PROPERTIES'!$B$5:$B$404,0))*INDEX('PRICING'!$D$7:$D$16,MATCH(F104,'PRICING'!$A$7:$A$16,0))/60+INDEX('PROPERTIES'!$H$5:$H$404,MATCH(E104,'PROPERTIES'!$B$5:$B$404,0))*INDEX('PRICING'!$E$7:$E$16,MATCH(F104,'PRICING'!$A$7:$A$16,0))/60+INDEX('PRICING'!$F$7:$F$16,MATCH(F104,'PRICING'!$A$7:$A$16,0))/60),2)),""))</f>
        <v/>
      </c>
      <c r="R104" s="97">
        <f>IF(B104="","",IF(N(K104)&gt;0,K104,IF(N(J104)&gt;0,J104,N(Q104))))</f>
        <v/>
      </c>
      <c r="S104" s="55">
        <f>IF(L104="","",ROUND(L104*(1+N(M104)),2))</f>
        <v/>
      </c>
      <c r="T104" s="55">
        <f>IF(B104="","",SUMIFS('REVENUE'!$C$5:$C$1504,'REVENUE'!$B$5:$B$1504,A104))</f>
        <v/>
      </c>
      <c r="U104" s="55">
        <f>IF(B104="","",IF(O104="Completed",MAX(0,N(S104)-T104),""))</f>
        <v/>
      </c>
      <c r="V104" s="49">
        <f>IF(B104="","",IF(O104&lt;&gt;"Completed",IF(T104&gt;0,"Deposit","—"),IF(U104&lt;=0.005,"Paid",IF(T104&gt;0,"Partial","Unpaid"))))</f>
        <v/>
      </c>
      <c r="W104" s="55">
        <f>IF(B104="","",IFERROR(1/(1/INDEX('STAFF &amp; TASKS'!$C$5:$C$24,MATCH(H104,'STAFF &amp; TASKS'!$A$5:$A$24,0))),PayRate))</f>
        <v/>
      </c>
      <c r="X104" s="55">
        <f>IF(B104="","",IF(OR(O104="Cancelled",O104="No-Show"),"",ROUND(R104*W104*(1+Burden),2)))</f>
        <v/>
      </c>
      <c r="Y104" s="55">
        <f>IF(B104="","",IF(OR(O104="Cancelled",O104="No-Show"),"",IF(N104&lt;&gt;"",N104,ROUND(R104*SupHr*IFERROR(INDEX('PRICING'!$G$7:$G$16,MATCH(F104,'PRICING'!$A$7:$A$16,0)),1),2))))</f>
        <v/>
      </c>
      <c r="Z104" s="98">
        <f>IF(B104="","",SUMIFS('MILEAGE'!$J$5:$J$1504,'MILEAGE'!$B$5:$B$1504,A104))</f>
        <v/>
      </c>
      <c r="AA104" s="55">
        <f>IF(B104="","",ROUND(Z104*MileRate,2))</f>
        <v/>
      </c>
      <c r="AB104" s="55">
        <f>IF(B104="","",SUMIFS('REVENUE'!$J$5:$J$1504,'REVENUE'!$B$5:$B$1504,A104))</f>
        <v/>
      </c>
      <c r="AC104" s="55">
        <f>IF(L104="","",IF(OR(O104="Cancelled",O104="No-Show"),"",L104-N(X104)-N(Y104)-AA104-AB104))</f>
        <v/>
      </c>
      <c r="AD104" s="99">
        <f>IF(OR(AC104="",N(L104)=0),"",AC104/L104)</f>
        <v/>
      </c>
      <c r="AE104" s="55">
        <f>IF(OR(AC104="",N(R104)=0),"",L104/R104)</f>
        <v/>
      </c>
      <c r="AF104" s="100">
        <f>IF(OR(N(K104)=0,N(J104)+N(Q104)=0),"",K104-IF(N(J104)&gt;0,J104,Q104))</f>
        <v/>
      </c>
      <c r="AG104" s="99">
        <f>IF(B104="","",IFERROR(AVERAGEIFS('QUALITY CONTROL'!$M$5:$M$304,'QUALITY CONTROL'!$B$5:$B$304,A104),""))</f>
        <v/>
      </c>
      <c r="AH104" s="51">
        <f>IF(B104="","",DATE(YEAR(B104),MONTH(B104),1))</f>
        <v/>
      </c>
      <c r="AI104" s="49">
        <f>IF(D104="","",IFERROR(INDEX('CUSTOMERS'!$E$5:$E$404,MATCH(D104,'CUSTOMERS'!$B$5:$B$404,0)),""))</f>
        <v/>
      </c>
      <c r="AJ104" s="49">
        <f>IF(B104="","",N(C104))</f>
        <v/>
      </c>
      <c r="AK104" s="49">
        <f>IF(OR(B104="",O104="Cancelled",O104="Rescheduled"),"",B104&amp;"|"&amp;(COUNTIFS('JOBS'!$B$5:$B$1504,B104,'JOBS'!$AJ$5:$AJ$1504,"&lt;"&amp;AJ104,'JOBS'!$O$5:$O$1504,"&lt;&gt;Cancelled",'JOBS'!$O$5:$O$1504,"&lt;&gt;Rescheduled")+COUNTIFS($B$5:B104,B104,$AJ$5:AJ104,AJ104,$O$5:O104,"&lt;&gt;Cancelled",$O$5:O104,"&lt;&gt;Rescheduled")))</f>
        <v/>
      </c>
      <c r="AL104" s="49">
        <f>IF(N(U104)&lt;=0.005,"",COUNTIFS('JOBS'!$U$5:$U$1504,"&gt;0.005",'JOBS'!$B$5:$B$1504,"&lt;"&amp;B104)+COUNTIFS($U$5:U104,"&gt;0.005",$B$5:B104,B104))</f>
        <v/>
      </c>
    </row>
    <row r="105">
      <c r="A105" s="46" t="inlineStr">
        <is>
          <t>J-0101</t>
        </is>
      </c>
      <c r="B105" s="47" t="n">
        <v>46143</v>
      </c>
      <c r="C105" s="94" t="n">
        <v>0.5416666666666666</v>
      </c>
      <c r="D105" s="38" t="inlineStr">
        <is>
          <t>Brightside Dental Studio (sample)</t>
        </is>
      </c>
      <c r="E105" s="38" t="inlineStr">
        <is>
          <t>738 Cedar Court, North Sampletown</t>
        </is>
      </c>
      <c r="F105" s="38" t="inlineStr">
        <is>
          <t>Commercial Clean</t>
        </is>
      </c>
      <c r="G105" s="38" t="inlineStr">
        <is>
          <t>R-011</t>
        </is>
      </c>
      <c r="H105" s="38" t="inlineStr">
        <is>
          <t>Kevin Osei</t>
        </is>
      </c>
      <c r="I105" s="57" t="n">
        <v>2</v>
      </c>
      <c r="J105" s="95" t="n"/>
      <c r="K105" s="95" t="n">
        <v>1.71</v>
      </c>
      <c r="L105" s="48" t="n">
        <v>100</v>
      </c>
      <c r="M105" s="96" t="n">
        <v>0</v>
      </c>
      <c r="N105" s="48" t="n"/>
      <c r="O105" s="38" t="inlineStr">
        <is>
          <t>Completed</t>
        </is>
      </c>
      <c r="P105" s="38" t="inlineStr"/>
      <c r="Q105" s="97">
        <f>IF(OR(F105="",E105=""),"",IFERROR(IF(INDEX('PROPERTIES'!$F$5:$F$404,MATCH(E105,'PROPERTIES'!$B$5:$B$404,0))=0,"",ROUND((INDEX('PROPERTIES'!$F$5:$F$404,MATCH(E105,'PROPERTIES'!$B$5:$B$404,0))/INDEX('PRICING'!$C$7:$C$16,MATCH(F105,'PRICING'!$A$7:$A$16,0))+INDEX('PROPERTIES'!$G$5:$G$404,MATCH(E105,'PROPERTIES'!$B$5:$B$404,0))*INDEX('PRICING'!$D$7:$D$16,MATCH(F105,'PRICING'!$A$7:$A$16,0))/60+INDEX('PROPERTIES'!$H$5:$H$404,MATCH(E105,'PROPERTIES'!$B$5:$B$404,0))*INDEX('PRICING'!$E$7:$E$16,MATCH(F105,'PRICING'!$A$7:$A$16,0))/60+INDEX('PRICING'!$F$7:$F$16,MATCH(F105,'PRICING'!$A$7:$A$16,0))/60),2)),""))</f>
        <v/>
      </c>
      <c r="R105" s="97">
        <f>IF(B105="","",IF(N(K105)&gt;0,K105,IF(N(J105)&gt;0,J105,N(Q105))))</f>
        <v/>
      </c>
      <c r="S105" s="55">
        <f>IF(L105="","",ROUND(L105*(1+N(M105)),2))</f>
        <v/>
      </c>
      <c r="T105" s="55">
        <f>IF(B105="","",SUMIFS('REVENUE'!$C$5:$C$1504,'REVENUE'!$B$5:$B$1504,A105))</f>
        <v/>
      </c>
      <c r="U105" s="55">
        <f>IF(B105="","",IF(O105="Completed",MAX(0,N(S105)-T105),""))</f>
        <v/>
      </c>
      <c r="V105" s="49">
        <f>IF(B105="","",IF(O105&lt;&gt;"Completed",IF(T105&gt;0,"Deposit","—"),IF(U105&lt;=0.005,"Paid",IF(T105&gt;0,"Partial","Unpaid"))))</f>
        <v/>
      </c>
      <c r="W105" s="55">
        <f>IF(B105="","",IFERROR(1/(1/INDEX('STAFF &amp; TASKS'!$C$5:$C$24,MATCH(H105,'STAFF &amp; TASKS'!$A$5:$A$24,0))),PayRate))</f>
        <v/>
      </c>
      <c r="X105" s="55">
        <f>IF(B105="","",IF(OR(O105="Cancelled",O105="No-Show"),"",ROUND(R105*W105*(1+Burden),2)))</f>
        <v/>
      </c>
      <c r="Y105" s="55">
        <f>IF(B105="","",IF(OR(O105="Cancelled",O105="No-Show"),"",IF(N105&lt;&gt;"",N105,ROUND(R105*SupHr*IFERROR(INDEX('PRICING'!$G$7:$G$16,MATCH(F105,'PRICING'!$A$7:$A$16,0)),1),2))))</f>
        <v/>
      </c>
      <c r="Z105" s="98">
        <f>IF(B105="","",SUMIFS('MILEAGE'!$J$5:$J$1504,'MILEAGE'!$B$5:$B$1504,A105))</f>
        <v/>
      </c>
      <c r="AA105" s="55">
        <f>IF(B105="","",ROUND(Z105*MileRate,2))</f>
        <v/>
      </c>
      <c r="AB105" s="55">
        <f>IF(B105="","",SUMIFS('REVENUE'!$J$5:$J$1504,'REVENUE'!$B$5:$B$1504,A105))</f>
        <v/>
      </c>
      <c r="AC105" s="55">
        <f>IF(L105="","",IF(OR(O105="Cancelled",O105="No-Show"),"",L105-N(X105)-N(Y105)-AA105-AB105))</f>
        <v/>
      </c>
      <c r="AD105" s="99">
        <f>IF(OR(AC105="",N(L105)=0),"",AC105/L105)</f>
        <v/>
      </c>
      <c r="AE105" s="55">
        <f>IF(OR(AC105="",N(R105)=0),"",L105/R105)</f>
        <v/>
      </c>
      <c r="AF105" s="100">
        <f>IF(OR(N(K105)=0,N(J105)+N(Q105)=0),"",K105-IF(N(J105)&gt;0,J105,Q105))</f>
        <v/>
      </c>
      <c r="AG105" s="99">
        <f>IF(B105="","",IFERROR(AVERAGEIFS('QUALITY CONTROL'!$M$5:$M$304,'QUALITY CONTROL'!$B$5:$B$304,A105),""))</f>
        <v/>
      </c>
      <c r="AH105" s="51">
        <f>IF(B105="","",DATE(YEAR(B105),MONTH(B105),1))</f>
        <v/>
      </c>
      <c r="AI105" s="49">
        <f>IF(D105="","",IFERROR(INDEX('CUSTOMERS'!$E$5:$E$404,MATCH(D105,'CUSTOMERS'!$B$5:$B$404,0)),""))</f>
        <v/>
      </c>
      <c r="AJ105" s="49">
        <f>IF(B105="","",N(C105))</f>
        <v/>
      </c>
      <c r="AK105" s="49">
        <f>IF(OR(B105="",O105="Cancelled",O105="Rescheduled"),"",B105&amp;"|"&amp;(COUNTIFS('JOBS'!$B$5:$B$1504,B105,'JOBS'!$AJ$5:$AJ$1504,"&lt;"&amp;AJ105,'JOBS'!$O$5:$O$1504,"&lt;&gt;Cancelled",'JOBS'!$O$5:$O$1504,"&lt;&gt;Rescheduled")+COUNTIFS($B$5:B105,B105,$AJ$5:AJ105,AJ105,$O$5:O105,"&lt;&gt;Cancelled",$O$5:O105,"&lt;&gt;Rescheduled")))</f>
        <v/>
      </c>
      <c r="AL105" s="49">
        <f>IF(N(U105)&lt;=0.005,"",COUNTIFS('JOBS'!$U$5:$U$1504,"&gt;0.005",'JOBS'!$B$5:$B$1504,"&lt;"&amp;B105)+COUNTIFS($U$5:U105,"&gt;0.005",$B$5:B105,B105))</f>
        <v/>
      </c>
    </row>
    <row r="106">
      <c r="A106" s="46" t="inlineStr">
        <is>
          <t>J-0102</t>
        </is>
      </c>
      <c r="B106" s="47" t="n">
        <v>46143</v>
      </c>
      <c r="C106" s="94" t="n">
        <v>0.5833333333333334</v>
      </c>
      <c r="D106" s="38" t="inlineStr">
        <is>
          <t>Oakview Office Suites (sample)</t>
        </is>
      </c>
      <c r="E106" s="38" t="inlineStr">
        <is>
          <t>957 Hawthorn Road, North Sampletown</t>
        </is>
      </c>
      <c r="F106" s="38" t="inlineStr">
        <is>
          <t>Commercial Clean</t>
        </is>
      </c>
      <c r="G106" s="38" t="inlineStr">
        <is>
          <t>R-012</t>
        </is>
      </c>
      <c r="H106" s="38" t="inlineStr">
        <is>
          <t>Kevin Osei</t>
        </is>
      </c>
      <c r="I106" s="57" t="n">
        <v>2</v>
      </c>
      <c r="J106" s="95" t="n"/>
      <c r="K106" s="95" t="n">
        <v>3.76</v>
      </c>
      <c r="L106" s="48" t="n">
        <v>140</v>
      </c>
      <c r="M106" s="96" t="n">
        <v>0</v>
      </c>
      <c r="N106" s="48" t="n"/>
      <c r="O106" s="38" t="inlineStr">
        <is>
          <t>Completed</t>
        </is>
      </c>
      <c r="P106" s="38" t="inlineStr"/>
      <c r="Q106" s="97">
        <f>IF(OR(F106="",E106=""),"",IFERROR(IF(INDEX('PROPERTIES'!$F$5:$F$404,MATCH(E106,'PROPERTIES'!$B$5:$B$404,0))=0,"",ROUND((INDEX('PROPERTIES'!$F$5:$F$404,MATCH(E106,'PROPERTIES'!$B$5:$B$404,0))/INDEX('PRICING'!$C$7:$C$16,MATCH(F106,'PRICING'!$A$7:$A$16,0))+INDEX('PROPERTIES'!$G$5:$G$404,MATCH(E106,'PROPERTIES'!$B$5:$B$404,0))*INDEX('PRICING'!$D$7:$D$16,MATCH(F106,'PRICING'!$A$7:$A$16,0))/60+INDEX('PROPERTIES'!$H$5:$H$404,MATCH(E106,'PROPERTIES'!$B$5:$B$404,0))*INDEX('PRICING'!$E$7:$E$16,MATCH(F106,'PRICING'!$A$7:$A$16,0))/60+INDEX('PRICING'!$F$7:$F$16,MATCH(F106,'PRICING'!$A$7:$A$16,0))/60),2)),""))</f>
        <v/>
      </c>
      <c r="R106" s="97">
        <f>IF(B106="","",IF(N(K106)&gt;0,K106,IF(N(J106)&gt;0,J106,N(Q106))))</f>
        <v/>
      </c>
      <c r="S106" s="55">
        <f>IF(L106="","",ROUND(L106*(1+N(M106)),2))</f>
        <v/>
      </c>
      <c r="T106" s="55">
        <f>IF(B106="","",SUMIFS('REVENUE'!$C$5:$C$1504,'REVENUE'!$B$5:$B$1504,A106))</f>
        <v/>
      </c>
      <c r="U106" s="55">
        <f>IF(B106="","",IF(O106="Completed",MAX(0,N(S106)-T106),""))</f>
        <v/>
      </c>
      <c r="V106" s="49">
        <f>IF(B106="","",IF(O106&lt;&gt;"Completed",IF(T106&gt;0,"Deposit","—"),IF(U106&lt;=0.005,"Paid",IF(T106&gt;0,"Partial","Unpaid"))))</f>
        <v/>
      </c>
      <c r="W106" s="55">
        <f>IF(B106="","",IFERROR(1/(1/INDEX('STAFF &amp; TASKS'!$C$5:$C$24,MATCH(H106,'STAFF &amp; TASKS'!$A$5:$A$24,0))),PayRate))</f>
        <v/>
      </c>
      <c r="X106" s="55">
        <f>IF(B106="","",IF(OR(O106="Cancelled",O106="No-Show"),"",ROUND(R106*W106*(1+Burden),2)))</f>
        <v/>
      </c>
      <c r="Y106" s="55">
        <f>IF(B106="","",IF(OR(O106="Cancelled",O106="No-Show"),"",IF(N106&lt;&gt;"",N106,ROUND(R106*SupHr*IFERROR(INDEX('PRICING'!$G$7:$G$16,MATCH(F106,'PRICING'!$A$7:$A$16,0)),1),2))))</f>
        <v/>
      </c>
      <c r="Z106" s="98">
        <f>IF(B106="","",SUMIFS('MILEAGE'!$J$5:$J$1504,'MILEAGE'!$B$5:$B$1504,A106))</f>
        <v/>
      </c>
      <c r="AA106" s="55">
        <f>IF(B106="","",ROUND(Z106*MileRate,2))</f>
        <v/>
      </c>
      <c r="AB106" s="55">
        <f>IF(B106="","",SUMIFS('REVENUE'!$J$5:$J$1504,'REVENUE'!$B$5:$B$1504,A106))</f>
        <v/>
      </c>
      <c r="AC106" s="55">
        <f>IF(L106="","",IF(OR(O106="Cancelled",O106="No-Show"),"",L106-N(X106)-N(Y106)-AA106-AB106))</f>
        <v/>
      </c>
      <c r="AD106" s="99">
        <f>IF(OR(AC106="",N(L106)=0),"",AC106/L106)</f>
        <v/>
      </c>
      <c r="AE106" s="55">
        <f>IF(OR(AC106="",N(R106)=0),"",L106/R106)</f>
        <v/>
      </c>
      <c r="AF106" s="100">
        <f>IF(OR(N(K106)=0,N(J106)+N(Q106)=0),"",K106-IF(N(J106)&gt;0,J106,Q106))</f>
        <v/>
      </c>
      <c r="AG106" s="99">
        <f>IF(B106="","",IFERROR(AVERAGEIFS('QUALITY CONTROL'!$M$5:$M$304,'QUALITY CONTROL'!$B$5:$B$304,A106),""))</f>
        <v/>
      </c>
      <c r="AH106" s="51">
        <f>IF(B106="","",DATE(YEAR(B106),MONTH(B106),1))</f>
        <v/>
      </c>
      <c r="AI106" s="49">
        <f>IF(D106="","",IFERROR(INDEX('CUSTOMERS'!$E$5:$E$404,MATCH(D106,'CUSTOMERS'!$B$5:$B$404,0)),""))</f>
        <v/>
      </c>
      <c r="AJ106" s="49">
        <f>IF(B106="","",N(C106))</f>
        <v/>
      </c>
      <c r="AK106" s="49">
        <f>IF(OR(B106="",O106="Cancelled",O106="Rescheduled"),"",B106&amp;"|"&amp;(COUNTIFS('JOBS'!$B$5:$B$1504,B106,'JOBS'!$AJ$5:$AJ$1504,"&lt;"&amp;AJ106,'JOBS'!$O$5:$O$1504,"&lt;&gt;Cancelled",'JOBS'!$O$5:$O$1504,"&lt;&gt;Rescheduled")+COUNTIFS($B$5:B106,B106,$AJ$5:AJ106,AJ106,$O$5:O106,"&lt;&gt;Cancelled",$O$5:O106,"&lt;&gt;Rescheduled")))</f>
        <v/>
      </c>
      <c r="AL106" s="49">
        <f>IF(N(U106)&lt;=0.005,"",COUNTIFS('JOBS'!$U$5:$U$1504,"&gt;0.005",'JOBS'!$B$5:$B$1504,"&lt;"&amp;B106)+COUNTIFS($U$5:U106,"&gt;0.005",$B$5:B106,B106))</f>
        <v/>
      </c>
    </row>
    <row r="107">
      <c r="A107" s="46" t="inlineStr">
        <is>
          <t>J-0103</t>
        </is>
      </c>
      <c r="B107" s="47" t="n">
        <v>46144</v>
      </c>
      <c r="C107" s="94" t="n">
        <v>0.5208333333333334</v>
      </c>
      <c r="D107" s="38" t="inlineStr">
        <is>
          <t>Noel Collins</t>
        </is>
      </c>
      <c r="E107" s="38" t="inlineStr">
        <is>
          <t>964 Cedar Court, Lakeview (fictional)</t>
        </is>
      </c>
      <c r="F107" s="38" t="inlineStr">
        <is>
          <t>Standard Clean</t>
        </is>
      </c>
      <c r="G107" s="38" t="inlineStr">
        <is>
          <t>R-004</t>
        </is>
      </c>
      <c r="H107" s="38" t="inlineStr">
        <is>
          <t>Dana Whitfield</t>
        </is>
      </c>
      <c r="I107" s="57" t="n">
        <v>1</v>
      </c>
      <c r="J107" s="95" t="n"/>
      <c r="K107" s="95" t="n">
        <v>4.84</v>
      </c>
      <c r="L107" s="48" t="n">
        <v>245</v>
      </c>
      <c r="M107" s="96" t="n">
        <v>0</v>
      </c>
      <c r="N107" s="48" t="n"/>
      <c r="O107" s="38" t="inlineStr">
        <is>
          <t>Completed</t>
        </is>
      </c>
      <c r="P107" s="38" t="inlineStr"/>
      <c r="Q107" s="97">
        <f>IF(OR(F107="",E107=""),"",IFERROR(IF(INDEX('PROPERTIES'!$F$5:$F$404,MATCH(E107,'PROPERTIES'!$B$5:$B$404,0))=0,"",ROUND((INDEX('PROPERTIES'!$F$5:$F$404,MATCH(E107,'PROPERTIES'!$B$5:$B$404,0))/INDEX('PRICING'!$C$7:$C$16,MATCH(F107,'PRICING'!$A$7:$A$16,0))+INDEX('PROPERTIES'!$G$5:$G$404,MATCH(E107,'PROPERTIES'!$B$5:$B$404,0))*INDEX('PRICING'!$D$7:$D$16,MATCH(F107,'PRICING'!$A$7:$A$16,0))/60+INDEX('PROPERTIES'!$H$5:$H$404,MATCH(E107,'PROPERTIES'!$B$5:$B$404,0))*INDEX('PRICING'!$E$7:$E$16,MATCH(F107,'PRICING'!$A$7:$A$16,0))/60+INDEX('PRICING'!$F$7:$F$16,MATCH(F107,'PRICING'!$A$7:$A$16,0))/60),2)),""))</f>
        <v/>
      </c>
      <c r="R107" s="97">
        <f>IF(B107="","",IF(N(K107)&gt;0,K107,IF(N(J107)&gt;0,J107,N(Q107))))</f>
        <v/>
      </c>
      <c r="S107" s="55">
        <f>IF(L107="","",ROUND(L107*(1+N(M107)),2))</f>
        <v/>
      </c>
      <c r="T107" s="55">
        <f>IF(B107="","",SUMIFS('REVENUE'!$C$5:$C$1504,'REVENUE'!$B$5:$B$1504,A107))</f>
        <v/>
      </c>
      <c r="U107" s="55">
        <f>IF(B107="","",IF(O107="Completed",MAX(0,N(S107)-T107),""))</f>
        <v/>
      </c>
      <c r="V107" s="49">
        <f>IF(B107="","",IF(O107&lt;&gt;"Completed",IF(T107&gt;0,"Deposit","—"),IF(U107&lt;=0.005,"Paid",IF(T107&gt;0,"Partial","Unpaid"))))</f>
        <v/>
      </c>
      <c r="W107" s="55">
        <f>IF(B107="","",IFERROR(1/(1/INDEX('STAFF &amp; TASKS'!$C$5:$C$24,MATCH(H107,'STAFF &amp; TASKS'!$A$5:$A$24,0))),PayRate))</f>
        <v/>
      </c>
      <c r="X107" s="55">
        <f>IF(B107="","",IF(OR(O107="Cancelled",O107="No-Show"),"",ROUND(R107*W107*(1+Burden),2)))</f>
        <v/>
      </c>
      <c r="Y107" s="55">
        <f>IF(B107="","",IF(OR(O107="Cancelled",O107="No-Show"),"",IF(N107&lt;&gt;"",N107,ROUND(R107*SupHr*IFERROR(INDEX('PRICING'!$G$7:$G$16,MATCH(F107,'PRICING'!$A$7:$A$16,0)),1),2))))</f>
        <v/>
      </c>
      <c r="Z107" s="98">
        <f>IF(B107="","",SUMIFS('MILEAGE'!$J$5:$J$1504,'MILEAGE'!$B$5:$B$1504,A107))</f>
        <v/>
      </c>
      <c r="AA107" s="55">
        <f>IF(B107="","",ROUND(Z107*MileRate,2))</f>
        <v/>
      </c>
      <c r="AB107" s="55">
        <f>IF(B107="","",SUMIFS('REVENUE'!$J$5:$J$1504,'REVENUE'!$B$5:$B$1504,A107))</f>
        <v/>
      </c>
      <c r="AC107" s="55">
        <f>IF(L107="","",IF(OR(O107="Cancelled",O107="No-Show"),"",L107-N(X107)-N(Y107)-AA107-AB107))</f>
        <v/>
      </c>
      <c r="AD107" s="99">
        <f>IF(OR(AC107="",N(L107)=0),"",AC107/L107)</f>
        <v/>
      </c>
      <c r="AE107" s="55">
        <f>IF(OR(AC107="",N(R107)=0),"",L107/R107)</f>
        <v/>
      </c>
      <c r="AF107" s="100">
        <f>IF(OR(N(K107)=0,N(J107)+N(Q107)=0),"",K107-IF(N(J107)&gt;0,J107,Q107))</f>
        <v/>
      </c>
      <c r="AG107" s="99">
        <f>IF(B107="","",IFERROR(AVERAGEIFS('QUALITY CONTROL'!$M$5:$M$304,'QUALITY CONTROL'!$B$5:$B$304,A107),""))</f>
        <v/>
      </c>
      <c r="AH107" s="51">
        <f>IF(B107="","",DATE(YEAR(B107),MONTH(B107),1))</f>
        <v/>
      </c>
      <c r="AI107" s="49">
        <f>IF(D107="","",IFERROR(INDEX('CUSTOMERS'!$E$5:$E$404,MATCH(D107,'CUSTOMERS'!$B$5:$B$404,0)),""))</f>
        <v/>
      </c>
      <c r="AJ107" s="49">
        <f>IF(B107="","",N(C107))</f>
        <v/>
      </c>
      <c r="AK107" s="49">
        <f>IF(OR(B107="",O107="Cancelled",O107="Rescheduled"),"",B107&amp;"|"&amp;(COUNTIFS('JOBS'!$B$5:$B$1504,B107,'JOBS'!$AJ$5:$AJ$1504,"&lt;"&amp;AJ107,'JOBS'!$O$5:$O$1504,"&lt;&gt;Cancelled",'JOBS'!$O$5:$O$1504,"&lt;&gt;Rescheduled")+COUNTIFS($B$5:B107,B107,$AJ$5:AJ107,AJ107,$O$5:O107,"&lt;&gt;Cancelled",$O$5:O107,"&lt;&gt;Rescheduled")))</f>
        <v/>
      </c>
      <c r="AL107" s="49">
        <f>IF(N(U107)&lt;=0.005,"",COUNTIFS('JOBS'!$U$5:$U$1504,"&gt;0.005",'JOBS'!$B$5:$B$1504,"&lt;"&amp;B107)+COUNTIFS($U$5:U107,"&gt;0.005",$B$5:B107,B107))</f>
        <v/>
      </c>
    </row>
    <row r="108">
      <c r="A108" s="46" t="inlineStr">
        <is>
          <t>J-0104</t>
        </is>
      </c>
      <c r="B108" s="47" t="n">
        <v>46147</v>
      </c>
      <c r="C108" s="94" t="n">
        <v>0.3541666666666667</v>
      </c>
      <c r="D108" s="38" t="inlineStr">
        <is>
          <t>Lane Ivers</t>
        </is>
      </c>
      <c r="E108" s="38" t="inlineStr">
        <is>
          <t>497 Aspen Drive, Sampletown</t>
        </is>
      </c>
      <c r="F108" s="38" t="inlineStr">
        <is>
          <t>Standard Clean</t>
        </is>
      </c>
      <c r="G108" s="38" t="inlineStr">
        <is>
          <t>R-001</t>
        </is>
      </c>
      <c r="H108" s="38" t="inlineStr">
        <is>
          <t>Maria Lopez</t>
        </is>
      </c>
      <c r="I108" s="57" t="n">
        <v>1</v>
      </c>
      <c r="J108" s="95" t="n"/>
      <c r="K108" s="95" t="n">
        <v>4.12</v>
      </c>
      <c r="L108" s="48" t="n">
        <v>175</v>
      </c>
      <c r="M108" s="96" t="n">
        <v>0</v>
      </c>
      <c r="N108" s="48" t="n"/>
      <c r="O108" s="38" t="inlineStr">
        <is>
          <t>Completed</t>
        </is>
      </c>
      <c r="P108" s="38" t="inlineStr"/>
      <c r="Q108" s="97">
        <f>IF(OR(F108="",E108=""),"",IFERROR(IF(INDEX('PROPERTIES'!$F$5:$F$404,MATCH(E108,'PROPERTIES'!$B$5:$B$404,0))=0,"",ROUND((INDEX('PROPERTIES'!$F$5:$F$404,MATCH(E108,'PROPERTIES'!$B$5:$B$404,0))/INDEX('PRICING'!$C$7:$C$16,MATCH(F108,'PRICING'!$A$7:$A$16,0))+INDEX('PROPERTIES'!$G$5:$G$404,MATCH(E108,'PROPERTIES'!$B$5:$B$404,0))*INDEX('PRICING'!$D$7:$D$16,MATCH(F108,'PRICING'!$A$7:$A$16,0))/60+INDEX('PROPERTIES'!$H$5:$H$404,MATCH(E108,'PROPERTIES'!$B$5:$B$404,0))*INDEX('PRICING'!$E$7:$E$16,MATCH(F108,'PRICING'!$A$7:$A$16,0))/60+INDEX('PRICING'!$F$7:$F$16,MATCH(F108,'PRICING'!$A$7:$A$16,0))/60),2)),""))</f>
        <v/>
      </c>
      <c r="R108" s="97">
        <f>IF(B108="","",IF(N(K108)&gt;0,K108,IF(N(J108)&gt;0,J108,N(Q108))))</f>
        <v/>
      </c>
      <c r="S108" s="55">
        <f>IF(L108="","",ROUND(L108*(1+N(M108)),2))</f>
        <v/>
      </c>
      <c r="T108" s="55">
        <f>IF(B108="","",SUMIFS('REVENUE'!$C$5:$C$1504,'REVENUE'!$B$5:$B$1504,A108))</f>
        <v/>
      </c>
      <c r="U108" s="55">
        <f>IF(B108="","",IF(O108="Completed",MAX(0,N(S108)-T108),""))</f>
        <v/>
      </c>
      <c r="V108" s="49">
        <f>IF(B108="","",IF(O108&lt;&gt;"Completed",IF(T108&gt;0,"Deposit","—"),IF(U108&lt;=0.005,"Paid",IF(T108&gt;0,"Partial","Unpaid"))))</f>
        <v/>
      </c>
      <c r="W108" s="55">
        <f>IF(B108="","",IFERROR(1/(1/INDEX('STAFF &amp; TASKS'!$C$5:$C$24,MATCH(H108,'STAFF &amp; TASKS'!$A$5:$A$24,0))),PayRate))</f>
        <v/>
      </c>
      <c r="X108" s="55">
        <f>IF(B108="","",IF(OR(O108="Cancelled",O108="No-Show"),"",ROUND(R108*W108*(1+Burden),2)))</f>
        <v/>
      </c>
      <c r="Y108" s="55">
        <f>IF(B108="","",IF(OR(O108="Cancelled",O108="No-Show"),"",IF(N108&lt;&gt;"",N108,ROUND(R108*SupHr*IFERROR(INDEX('PRICING'!$G$7:$G$16,MATCH(F108,'PRICING'!$A$7:$A$16,0)),1),2))))</f>
        <v/>
      </c>
      <c r="Z108" s="98">
        <f>IF(B108="","",SUMIFS('MILEAGE'!$J$5:$J$1504,'MILEAGE'!$B$5:$B$1504,A108))</f>
        <v/>
      </c>
      <c r="AA108" s="55">
        <f>IF(B108="","",ROUND(Z108*MileRate,2))</f>
        <v/>
      </c>
      <c r="AB108" s="55">
        <f>IF(B108="","",SUMIFS('REVENUE'!$J$5:$J$1504,'REVENUE'!$B$5:$B$1504,A108))</f>
        <v/>
      </c>
      <c r="AC108" s="55">
        <f>IF(L108="","",IF(OR(O108="Cancelled",O108="No-Show"),"",L108-N(X108)-N(Y108)-AA108-AB108))</f>
        <v/>
      </c>
      <c r="AD108" s="99">
        <f>IF(OR(AC108="",N(L108)=0),"",AC108/L108)</f>
        <v/>
      </c>
      <c r="AE108" s="55">
        <f>IF(OR(AC108="",N(R108)=0),"",L108/R108)</f>
        <v/>
      </c>
      <c r="AF108" s="100">
        <f>IF(OR(N(K108)=0,N(J108)+N(Q108)=0),"",K108-IF(N(J108)&gt;0,J108,Q108))</f>
        <v/>
      </c>
      <c r="AG108" s="99">
        <f>IF(B108="","",IFERROR(AVERAGEIFS('QUALITY CONTROL'!$M$5:$M$304,'QUALITY CONTROL'!$B$5:$B$304,A108),""))</f>
        <v/>
      </c>
      <c r="AH108" s="51">
        <f>IF(B108="","",DATE(YEAR(B108),MONTH(B108),1))</f>
        <v/>
      </c>
      <c r="AI108" s="49">
        <f>IF(D108="","",IFERROR(INDEX('CUSTOMERS'!$E$5:$E$404,MATCH(D108,'CUSTOMERS'!$B$5:$B$404,0)),""))</f>
        <v/>
      </c>
      <c r="AJ108" s="49">
        <f>IF(B108="","",N(C108))</f>
        <v/>
      </c>
      <c r="AK108" s="49">
        <f>IF(OR(B108="",O108="Cancelled",O108="Rescheduled"),"",B108&amp;"|"&amp;(COUNTIFS('JOBS'!$B$5:$B$1504,B108,'JOBS'!$AJ$5:$AJ$1504,"&lt;"&amp;AJ108,'JOBS'!$O$5:$O$1504,"&lt;&gt;Cancelled",'JOBS'!$O$5:$O$1504,"&lt;&gt;Rescheduled")+COUNTIFS($B$5:B108,B108,$AJ$5:AJ108,AJ108,$O$5:O108,"&lt;&gt;Cancelled",$O$5:O108,"&lt;&gt;Rescheduled")))</f>
        <v/>
      </c>
      <c r="AL108" s="49">
        <f>IF(N(U108)&lt;=0.005,"",COUNTIFS('JOBS'!$U$5:$U$1504,"&gt;0.005",'JOBS'!$B$5:$B$1504,"&lt;"&amp;B108)+COUNTIFS($U$5:U108,"&gt;0.005",$B$5:B108,B108))</f>
        <v/>
      </c>
    </row>
    <row r="109">
      <c r="A109" s="46" t="inlineStr">
        <is>
          <t>J-0105</t>
        </is>
      </c>
      <c r="B109" s="47" t="n">
        <v>46150</v>
      </c>
      <c r="C109" s="94" t="n">
        <v>0.4166666666666667</v>
      </c>
      <c r="D109" s="38" t="inlineStr">
        <is>
          <t>Dana Collins</t>
        </is>
      </c>
      <c r="E109" s="38" t="inlineStr">
        <is>
          <t>84 Hawthorn Road, Lakeview (fictional)</t>
        </is>
      </c>
      <c r="F109" s="38" t="inlineStr">
        <is>
          <t>Standard Clean</t>
        </is>
      </c>
      <c r="G109" s="38" t="inlineStr">
        <is>
          <t>R-006</t>
        </is>
      </c>
      <c r="H109" s="38" t="inlineStr">
        <is>
          <t>Dana Whitfield</t>
        </is>
      </c>
      <c r="I109" s="57" t="n">
        <v>1</v>
      </c>
      <c r="J109" s="95" t="n"/>
      <c r="K109" s="95" t="n">
        <v>4.97</v>
      </c>
      <c r="L109" s="48" t="n">
        <v>195</v>
      </c>
      <c r="M109" s="96" t="n">
        <v>0</v>
      </c>
      <c r="N109" s="48" t="n"/>
      <c r="O109" s="38" t="inlineStr">
        <is>
          <t>Completed</t>
        </is>
      </c>
      <c r="P109" s="38" t="inlineStr"/>
      <c r="Q109" s="97">
        <f>IF(OR(F109="",E109=""),"",IFERROR(IF(INDEX('PROPERTIES'!$F$5:$F$404,MATCH(E109,'PROPERTIES'!$B$5:$B$404,0))=0,"",ROUND((INDEX('PROPERTIES'!$F$5:$F$404,MATCH(E109,'PROPERTIES'!$B$5:$B$404,0))/INDEX('PRICING'!$C$7:$C$16,MATCH(F109,'PRICING'!$A$7:$A$16,0))+INDEX('PROPERTIES'!$G$5:$G$404,MATCH(E109,'PROPERTIES'!$B$5:$B$404,0))*INDEX('PRICING'!$D$7:$D$16,MATCH(F109,'PRICING'!$A$7:$A$16,0))/60+INDEX('PROPERTIES'!$H$5:$H$404,MATCH(E109,'PROPERTIES'!$B$5:$B$404,0))*INDEX('PRICING'!$E$7:$E$16,MATCH(F109,'PRICING'!$A$7:$A$16,0))/60+INDEX('PRICING'!$F$7:$F$16,MATCH(F109,'PRICING'!$A$7:$A$16,0))/60),2)),""))</f>
        <v/>
      </c>
      <c r="R109" s="97">
        <f>IF(B109="","",IF(N(K109)&gt;0,K109,IF(N(J109)&gt;0,J109,N(Q109))))</f>
        <v/>
      </c>
      <c r="S109" s="55">
        <f>IF(L109="","",ROUND(L109*(1+N(M109)),2))</f>
        <v/>
      </c>
      <c r="T109" s="55">
        <f>IF(B109="","",SUMIFS('REVENUE'!$C$5:$C$1504,'REVENUE'!$B$5:$B$1504,A109))</f>
        <v/>
      </c>
      <c r="U109" s="55">
        <f>IF(B109="","",IF(O109="Completed",MAX(0,N(S109)-T109),""))</f>
        <v/>
      </c>
      <c r="V109" s="49">
        <f>IF(B109="","",IF(O109&lt;&gt;"Completed",IF(T109&gt;0,"Deposit","—"),IF(U109&lt;=0.005,"Paid",IF(T109&gt;0,"Partial","Unpaid"))))</f>
        <v/>
      </c>
      <c r="W109" s="55">
        <f>IF(B109="","",IFERROR(1/(1/INDEX('STAFF &amp; TASKS'!$C$5:$C$24,MATCH(H109,'STAFF &amp; TASKS'!$A$5:$A$24,0))),PayRate))</f>
        <v/>
      </c>
      <c r="X109" s="55">
        <f>IF(B109="","",IF(OR(O109="Cancelled",O109="No-Show"),"",ROUND(R109*W109*(1+Burden),2)))</f>
        <v/>
      </c>
      <c r="Y109" s="55">
        <f>IF(B109="","",IF(OR(O109="Cancelled",O109="No-Show"),"",IF(N109&lt;&gt;"",N109,ROUND(R109*SupHr*IFERROR(INDEX('PRICING'!$G$7:$G$16,MATCH(F109,'PRICING'!$A$7:$A$16,0)),1),2))))</f>
        <v/>
      </c>
      <c r="Z109" s="98">
        <f>IF(B109="","",SUMIFS('MILEAGE'!$J$5:$J$1504,'MILEAGE'!$B$5:$B$1504,A109))</f>
        <v/>
      </c>
      <c r="AA109" s="55">
        <f>IF(B109="","",ROUND(Z109*MileRate,2))</f>
        <v/>
      </c>
      <c r="AB109" s="55">
        <f>IF(B109="","",SUMIFS('REVENUE'!$J$5:$J$1504,'REVENUE'!$B$5:$B$1504,A109))</f>
        <v/>
      </c>
      <c r="AC109" s="55">
        <f>IF(L109="","",IF(OR(O109="Cancelled",O109="No-Show"),"",L109-N(X109)-N(Y109)-AA109-AB109))</f>
        <v/>
      </c>
      <c r="AD109" s="99">
        <f>IF(OR(AC109="",N(L109)=0),"",AC109/L109)</f>
        <v/>
      </c>
      <c r="AE109" s="55">
        <f>IF(OR(AC109="",N(R109)=0),"",L109/R109)</f>
        <v/>
      </c>
      <c r="AF109" s="100">
        <f>IF(OR(N(K109)=0,N(J109)+N(Q109)=0),"",K109-IF(N(J109)&gt;0,J109,Q109))</f>
        <v/>
      </c>
      <c r="AG109" s="99">
        <f>IF(B109="","",IFERROR(AVERAGEIFS('QUALITY CONTROL'!$M$5:$M$304,'QUALITY CONTROL'!$B$5:$B$304,A109),""))</f>
        <v/>
      </c>
      <c r="AH109" s="51">
        <f>IF(B109="","",DATE(YEAR(B109),MONTH(B109),1))</f>
        <v/>
      </c>
      <c r="AI109" s="49">
        <f>IF(D109="","",IFERROR(INDEX('CUSTOMERS'!$E$5:$E$404,MATCH(D109,'CUSTOMERS'!$B$5:$B$404,0)),""))</f>
        <v/>
      </c>
      <c r="AJ109" s="49">
        <f>IF(B109="","",N(C109))</f>
        <v/>
      </c>
      <c r="AK109" s="49">
        <f>IF(OR(B109="",O109="Cancelled",O109="Rescheduled"),"",B109&amp;"|"&amp;(COUNTIFS('JOBS'!$B$5:$B$1504,B109,'JOBS'!$AJ$5:$AJ$1504,"&lt;"&amp;AJ109,'JOBS'!$O$5:$O$1504,"&lt;&gt;Cancelled",'JOBS'!$O$5:$O$1504,"&lt;&gt;Rescheduled")+COUNTIFS($B$5:B109,B109,$AJ$5:AJ109,AJ109,$O$5:O109,"&lt;&gt;Cancelled",$O$5:O109,"&lt;&gt;Rescheduled")))</f>
        <v/>
      </c>
      <c r="AL109" s="49">
        <f>IF(N(U109)&lt;=0.005,"",COUNTIFS('JOBS'!$U$5:$U$1504,"&gt;0.005",'JOBS'!$B$5:$B$1504,"&lt;"&amp;B109)+COUNTIFS($U$5:U109,"&gt;0.005",$B$5:B109,B109))</f>
        <v/>
      </c>
    </row>
    <row r="110">
      <c r="A110" s="46" t="inlineStr">
        <is>
          <t>J-0106</t>
        </is>
      </c>
      <c r="B110" s="47" t="n">
        <v>46150</v>
      </c>
      <c r="C110" s="94" t="n">
        <v>0.5416666666666666</v>
      </c>
      <c r="D110" s="38" t="inlineStr">
        <is>
          <t>Brightside Dental Studio (sample)</t>
        </is>
      </c>
      <c r="E110" s="38" t="inlineStr">
        <is>
          <t>738 Cedar Court, North Sampletown</t>
        </is>
      </c>
      <c r="F110" s="38" t="inlineStr">
        <is>
          <t>Commercial Clean</t>
        </is>
      </c>
      <c r="G110" s="38" t="inlineStr">
        <is>
          <t>R-011</t>
        </is>
      </c>
      <c r="H110" s="38" t="inlineStr">
        <is>
          <t>Kevin Osei</t>
        </is>
      </c>
      <c r="I110" s="57" t="n">
        <v>2</v>
      </c>
      <c r="J110" s="95" t="n"/>
      <c r="K110" s="95" t="n">
        <v>1.82</v>
      </c>
      <c r="L110" s="48" t="n">
        <v>100</v>
      </c>
      <c r="M110" s="96" t="n">
        <v>0</v>
      </c>
      <c r="N110" s="48" t="n"/>
      <c r="O110" s="38" t="inlineStr">
        <is>
          <t>Completed</t>
        </is>
      </c>
      <c r="P110" s="38" t="inlineStr"/>
      <c r="Q110" s="97">
        <f>IF(OR(F110="",E110=""),"",IFERROR(IF(INDEX('PROPERTIES'!$F$5:$F$404,MATCH(E110,'PROPERTIES'!$B$5:$B$404,0))=0,"",ROUND((INDEX('PROPERTIES'!$F$5:$F$404,MATCH(E110,'PROPERTIES'!$B$5:$B$404,0))/INDEX('PRICING'!$C$7:$C$16,MATCH(F110,'PRICING'!$A$7:$A$16,0))+INDEX('PROPERTIES'!$G$5:$G$404,MATCH(E110,'PROPERTIES'!$B$5:$B$404,0))*INDEX('PRICING'!$D$7:$D$16,MATCH(F110,'PRICING'!$A$7:$A$16,0))/60+INDEX('PROPERTIES'!$H$5:$H$404,MATCH(E110,'PROPERTIES'!$B$5:$B$404,0))*INDEX('PRICING'!$E$7:$E$16,MATCH(F110,'PRICING'!$A$7:$A$16,0))/60+INDEX('PRICING'!$F$7:$F$16,MATCH(F110,'PRICING'!$A$7:$A$16,0))/60),2)),""))</f>
        <v/>
      </c>
      <c r="R110" s="97">
        <f>IF(B110="","",IF(N(K110)&gt;0,K110,IF(N(J110)&gt;0,J110,N(Q110))))</f>
        <v/>
      </c>
      <c r="S110" s="55">
        <f>IF(L110="","",ROUND(L110*(1+N(M110)),2))</f>
        <v/>
      </c>
      <c r="T110" s="55">
        <f>IF(B110="","",SUMIFS('REVENUE'!$C$5:$C$1504,'REVENUE'!$B$5:$B$1504,A110))</f>
        <v/>
      </c>
      <c r="U110" s="55">
        <f>IF(B110="","",IF(O110="Completed",MAX(0,N(S110)-T110),""))</f>
        <v/>
      </c>
      <c r="V110" s="49">
        <f>IF(B110="","",IF(O110&lt;&gt;"Completed",IF(T110&gt;0,"Deposit","—"),IF(U110&lt;=0.005,"Paid",IF(T110&gt;0,"Partial","Unpaid"))))</f>
        <v/>
      </c>
      <c r="W110" s="55">
        <f>IF(B110="","",IFERROR(1/(1/INDEX('STAFF &amp; TASKS'!$C$5:$C$24,MATCH(H110,'STAFF &amp; TASKS'!$A$5:$A$24,0))),PayRate))</f>
        <v/>
      </c>
      <c r="X110" s="55">
        <f>IF(B110="","",IF(OR(O110="Cancelled",O110="No-Show"),"",ROUND(R110*W110*(1+Burden),2)))</f>
        <v/>
      </c>
      <c r="Y110" s="55">
        <f>IF(B110="","",IF(OR(O110="Cancelled",O110="No-Show"),"",IF(N110&lt;&gt;"",N110,ROUND(R110*SupHr*IFERROR(INDEX('PRICING'!$G$7:$G$16,MATCH(F110,'PRICING'!$A$7:$A$16,0)),1),2))))</f>
        <v/>
      </c>
      <c r="Z110" s="98">
        <f>IF(B110="","",SUMIFS('MILEAGE'!$J$5:$J$1504,'MILEAGE'!$B$5:$B$1504,A110))</f>
        <v/>
      </c>
      <c r="AA110" s="55">
        <f>IF(B110="","",ROUND(Z110*MileRate,2))</f>
        <v/>
      </c>
      <c r="AB110" s="55">
        <f>IF(B110="","",SUMIFS('REVENUE'!$J$5:$J$1504,'REVENUE'!$B$5:$B$1504,A110))</f>
        <v/>
      </c>
      <c r="AC110" s="55">
        <f>IF(L110="","",IF(OR(O110="Cancelled",O110="No-Show"),"",L110-N(X110)-N(Y110)-AA110-AB110))</f>
        <v/>
      </c>
      <c r="AD110" s="99">
        <f>IF(OR(AC110="",N(L110)=0),"",AC110/L110)</f>
        <v/>
      </c>
      <c r="AE110" s="55">
        <f>IF(OR(AC110="",N(R110)=0),"",L110/R110)</f>
        <v/>
      </c>
      <c r="AF110" s="100">
        <f>IF(OR(N(K110)=0,N(J110)+N(Q110)=0),"",K110-IF(N(J110)&gt;0,J110,Q110))</f>
        <v/>
      </c>
      <c r="AG110" s="99">
        <f>IF(B110="","",IFERROR(AVERAGEIFS('QUALITY CONTROL'!$M$5:$M$304,'QUALITY CONTROL'!$B$5:$B$304,A110),""))</f>
        <v/>
      </c>
      <c r="AH110" s="51">
        <f>IF(B110="","",DATE(YEAR(B110),MONTH(B110),1))</f>
        <v/>
      </c>
      <c r="AI110" s="49">
        <f>IF(D110="","",IFERROR(INDEX('CUSTOMERS'!$E$5:$E$404,MATCH(D110,'CUSTOMERS'!$B$5:$B$404,0)),""))</f>
        <v/>
      </c>
      <c r="AJ110" s="49">
        <f>IF(B110="","",N(C110))</f>
        <v/>
      </c>
      <c r="AK110" s="49">
        <f>IF(OR(B110="",O110="Cancelled",O110="Rescheduled"),"",B110&amp;"|"&amp;(COUNTIFS('JOBS'!$B$5:$B$1504,B110,'JOBS'!$AJ$5:$AJ$1504,"&lt;"&amp;AJ110,'JOBS'!$O$5:$O$1504,"&lt;&gt;Cancelled",'JOBS'!$O$5:$O$1504,"&lt;&gt;Rescheduled")+COUNTIFS($B$5:B110,B110,$AJ$5:AJ110,AJ110,$O$5:O110,"&lt;&gt;Cancelled",$O$5:O110,"&lt;&gt;Rescheduled")))</f>
        <v/>
      </c>
      <c r="AL110" s="49">
        <f>IF(N(U110)&lt;=0.005,"",COUNTIFS('JOBS'!$U$5:$U$1504,"&gt;0.005",'JOBS'!$B$5:$B$1504,"&lt;"&amp;B110)+COUNTIFS($U$5:U110,"&gt;0.005",$B$5:B110,B110))</f>
        <v/>
      </c>
    </row>
    <row r="111">
      <c r="A111" s="46" t="inlineStr">
        <is>
          <t>J-0107</t>
        </is>
      </c>
      <c r="B111" s="47" t="n">
        <v>46150</v>
      </c>
      <c r="C111" s="94" t="n">
        <v>0.625</v>
      </c>
      <c r="D111" s="38" t="inlineStr">
        <is>
          <t>Oakview Office Suites (sample)</t>
        </is>
      </c>
      <c r="E111" s="38" t="inlineStr">
        <is>
          <t>957 Hawthorn Road, North Sampletown</t>
        </is>
      </c>
      <c r="F111" s="38" t="inlineStr">
        <is>
          <t>Commercial Clean</t>
        </is>
      </c>
      <c r="G111" s="38" t="inlineStr">
        <is>
          <t>R-012</t>
        </is>
      </c>
      <c r="H111" s="38" t="inlineStr">
        <is>
          <t>Kevin Osei</t>
        </is>
      </c>
      <c r="I111" s="57" t="n">
        <v>2</v>
      </c>
      <c r="J111" s="95" t="n"/>
      <c r="K111" s="95" t="n">
        <v>4.13</v>
      </c>
      <c r="L111" s="48" t="n">
        <v>140</v>
      </c>
      <c r="M111" s="96" t="n">
        <v>0</v>
      </c>
      <c r="N111" s="48" t="n"/>
      <c r="O111" s="38" t="inlineStr">
        <is>
          <t>Completed</t>
        </is>
      </c>
      <c r="P111" s="38" t="inlineStr"/>
      <c r="Q111" s="97">
        <f>IF(OR(F111="",E111=""),"",IFERROR(IF(INDEX('PROPERTIES'!$F$5:$F$404,MATCH(E111,'PROPERTIES'!$B$5:$B$404,0))=0,"",ROUND((INDEX('PROPERTIES'!$F$5:$F$404,MATCH(E111,'PROPERTIES'!$B$5:$B$404,0))/INDEX('PRICING'!$C$7:$C$16,MATCH(F111,'PRICING'!$A$7:$A$16,0))+INDEX('PROPERTIES'!$G$5:$G$404,MATCH(E111,'PROPERTIES'!$B$5:$B$404,0))*INDEX('PRICING'!$D$7:$D$16,MATCH(F111,'PRICING'!$A$7:$A$16,0))/60+INDEX('PROPERTIES'!$H$5:$H$404,MATCH(E111,'PROPERTIES'!$B$5:$B$404,0))*INDEX('PRICING'!$E$7:$E$16,MATCH(F111,'PRICING'!$A$7:$A$16,0))/60+INDEX('PRICING'!$F$7:$F$16,MATCH(F111,'PRICING'!$A$7:$A$16,0))/60),2)),""))</f>
        <v/>
      </c>
      <c r="R111" s="97">
        <f>IF(B111="","",IF(N(K111)&gt;0,K111,IF(N(J111)&gt;0,J111,N(Q111))))</f>
        <v/>
      </c>
      <c r="S111" s="55">
        <f>IF(L111="","",ROUND(L111*(1+N(M111)),2))</f>
        <v/>
      </c>
      <c r="T111" s="55">
        <f>IF(B111="","",SUMIFS('REVENUE'!$C$5:$C$1504,'REVENUE'!$B$5:$B$1504,A111))</f>
        <v/>
      </c>
      <c r="U111" s="55">
        <f>IF(B111="","",IF(O111="Completed",MAX(0,N(S111)-T111),""))</f>
        <v/>
      </c>
      <c r="V111" s="49">
        <f>IF(B111="","",IF(O111&lt;&gt;"Completed",IF(T111&gt;0,"Deposit","—"),IF(U111&lt;=0.005,"Paid",IF(T111&gt;0,"Partial","Unpaid"))))</f>
        <v/>
      </c>
      <c r="W111" s="55">
        <f>IF(B111="","",IFERROR(1/(1/INDEX('STAFF &amp; TASKS'!$C$5:$C$24,MATCH(H111,'STAFF &amp; TASKS'!$A$5:$A$24,0))),PayRate))</f>
        <v/>
      </c>
      <c r="X111" s="55">
        <f>IF(B111="","",IF(OR(O111="Cancelled",O111="No-Show"),"",ROUND(R111*W111*(1+Burden),2)))</f>
        <v/>
      </c>
      <c r="Y111" s="55">
        <f>IF(B111="","",IF(OR(O111="Cancelled",O111="No-Show"),"",IF(N111&lt;&gt;"",N111,ROUND(R111*SupHr*IFERROR(INDEX('PRICING'!$G$7:$G$16,MATCH(F111,'PRICING'!$A$7:$A$16,0)),1),2))))</f>
        <v/>
      </c>
      <c r="Z111" s="98">
        <f>IF(B111="","",SUMIFS('MILEAGE'!$J$5:$J$1504,'MILEAGE'!$B$5:$B$1504,A111))</f>
        <v/>
      </c>
      <c r="AA111" s="55">
        <f>IF(B111="","",ROUND(Z111*MileRate,2))</f>
        <v/>
      </c>
      <c r="AB111" s="55">
        <f>IF(B111="","",SUMIFS('REVENUE'!$J$5:$J$1504,'REVENUE'!$B$5:$B$1504,A111))</f>
        <v/>
      </c>
      <c r="AC111" s="55">
        <f>IF(L111="","",IF(OR(O111="Cancelled",O111="No-Show"),"",L111-N(X111)-N(Y111)-AA111-AB111))</f>
        <v/>
      </c>
      <c r="AD111" s="99">
        <f>IF(OR(AC111="",N(L111)=0),"",AC111/L111)</f>
        <v/>
      </c>
      <c r="AE111" s="55">
        <f>IF(OR(AC111="",N(R111)=0),"",L111/R111)</f>
        <v/>
      </c>
      <c r="AF111" s="100">
        <f>IF(OR(N(K111)=0,N(J111)+N(Q111)=0),"",K111-IF(N(J111)&gt;0,J111,Q111))</f>
        <v/>
      </c>
      <c r="AG111" s="99">
        <f>IF(B111="","",IFERROR(AVERAGEIFS('QUALITY CONTROL'!$M$5:$M$304,'QUALITY CONTROL'!$B$5:$B$304,A111),""))</f>
        <v/>
      </c>
      <c r="AH111" s="51">
        <f>IF(B111="","",DATE(YEAR(B111),MONTH(B111),1))</f>
        <v/>
      </c>
      <c r="AI111" s="49">
        <f>IF(D111="","",IFERROR(INDEX('CUSTOMERS'!$E$5:$E$404,MATCH(D111,'CUSTOMERS'!$B$5:$B$404,0)),""))</f>
        <v/>
      </c>
      <c r="AJ111" s="49">
        <f>IF(B111="","",N(C111))</f>
        <v/>
      </c>
      <c r="AK111" s="49">
        <f>IF(OR(B111="",O111="Cancelled",O111="Rescheduled"),"",B111&amp;"|"&amp;(COUNTIFS('JOBS'!$B$5:$B$1504,B111,'JOBS'!$AJ$5:$AJ$1504,"&lt;"&amp;AJ111,'JOBS'!$O$5:$O$1504,"&lt;&gt;Cancelled",'JOBS'!$O$5:$O$1504,"&lt;&gt;Rescheduled")+COUNTIFS($B$5:B111,B111,$AJ$5:AJ111,AJ111,$O$5:O111,"&lt;&gt;Cancelled",$O$5:O111,"&lt;&gt;Rescheduled")))</f>
        <v/>
      </c>
      <c r="AL111" s="49">
        <f>IF(N(U111)&lt;=0.005,"",COUNTIFS('JOBS'!$U$5:$U$1504,"&gt;0.005",'JOBS'!$B$5:$B$1504,"&lt;"&amp;B111)+COUNTIFS($U$5:U111,"&gt;0.005",$B$5:B111,B111))</f>
        <v/>
      </c>
    </row>
    <row r="112">
      <c r="A112" s="46" t="inlineStr">
        <is>
          <t>J-0108</t>
        </is>
      </c>
      <c r="B112" s="47" t="n">
        <v>46151</v>
      </c>
      <c r="C112" s="94" t="n">
        <v>0.4166666666666667</v>
      </c>
      <c r="D112" s="38" t="inlineStr">
        <is>
          <t>Harbor Yoga Loft (sample)</t>
        </is>
      </c>
      <c r="E112" s="38" t="inlineStr">
        <is>
          <t>338 Cedar Court, Sampletown</t>
        </is>
      </c>
      <c r="F112" s="38" t="inlineStr">
        <is>
          <t>Commercial Clean</t>
        </is>
      </c>
      <c r="G112" s="38" t="n"/>
      <c r="H112" s="38" t="inlineStr">
        <is>
          <t>Dana Whitfield</t>
        </is>
      </c>
      <c r="I112" s="57" t="n">
        <v>2</v>
      </c>
      <c r="J112" s="95" t="n"/>
      <c r="K112" s="95" t="n">
        <v>1.63</v>
      </c>
      <c r="L112" s="48" t="n">
        <v>160</v>
      </c>
      <c r="M112" s="96" t="n">
        <v>0</v>
      </c>
      <c r="N112" s="48" t="n"/>
      <c r="O112" s="38" t="inlineStr">
        <is>
          <t>Completed</t>
        </is>
      </c>
      <c r="P112" s="38" t="inlineStr"/>
      <c r="Q112" s="97">
        <f>IF(OR(F112="",E112=""),"",IFERROR(IF(INDEX('PROPERTIES'!$F$5:$F$404,MATCH(E112,'PROPERTIES'!$B$5:$B$404,0))=0,"",ROUND((INDEX('PROPERTIES'!$F$5:$F$404,MATCH(E112,'PROPERTIES'!$B$5:$B$404,0))/INDEX('PRICING'!$C$7:$C$16,MATCH(F112,'PRICING'!$A$7:$A$16,0))+INDEX('PROPERTIES'!$G$5:$G$404,MATCH(E112,'PROPERTIES'!$B$5:$B$404,0))*INDEX('PRICING'!$D$7:$D$16,MATCH(F112,'PRICING'!$A$7:$A$16,0))/60+INDEX('PROPERTIES'!$H$5:$H$404,MATCH(E112,'PROPERTIES'!$B$5:$B$404,0))*INDEX('PRICING'!$E$7:$E$16,MATCH(F112,'PRICING'!$A$7:$A$16,0))/60+INDEX('PRICING'!$F$7:$F$16,MATCH(F112,'PRICING'!$A$7:$A$16,0))/60),2)),""))</f>
        <v/>
      </c>
      <c r="R112" s="97">
        <f>IF(B112="","",IF(N(K112)&gt;0,K112,IF(N(J112)&gt;0,J112,N(Q112))))</f>
        <v/>
      </c>
      <c r="S112" s="55">
        <f>IF(L112="","",ROUND(L112*(1+N(M112)),2))</f>
        <v/>
      </c>
      <c r="T112" s="55">
        <f>IF(B112="","",SUMIFS('REVENUE'!$C$5:$C$1504,'REVENUE'!$B$5:$B$1504,A112))</f>
        <v/>
      </c>
      <c r="U112" s="55">
        <f>IF(B112="","",IF(O112="Completed",MAX(0,N(S112)-T112),""))</f>
        <v/>
      </c>
      <c r="V112" s="49">
        <f>IF(B112="","",IF(O112&lt;&gt;"Completed",IF(T112&gt;0,"Deposit","—"),IF(U112&lt;=0.005,"Paid",IF(T112&gt;0,"Partial","Unpaid"))))</f>
        <v/>
      </c>
      <c r="W112" s="55">
        <f>IF(B112="","",IFERROR(1/(1/INDEX('STAFF &amp; TASKS'!$C$5:$C$24,MATCH(H112,'STAFF &amp; TASKS'!$A$5:$A$24,0))),PayRate))</f>
        <v/>
      </c>
      <c r="X112" s="55">
        <f>IF(B112="","",IF(OR(O112="Cancelled",O112="No-Show"),"",ROUND(R112*W112*(1+Burden),2)))</f>
        <v/>
      </c>
      <c r="Y112" s="55">
        <f>IF(B112="","",IF(OR(O112="Cancelled",O112="No-Show"),"",IF(N112&lt;&gt;"",N112,ROUND(R112*SupHr*IFERROR(INDEX('PRICING'!$G$7:$G$16,MATCH(F112,'PRICING'!$A$7:$A$16,0)),1),2))))</f>
        <v/>
      </c>
      <c r="Z112" s="98">
        <f>IF(B112="","",SUMIFS('MILEAGE'!$J$5:$J$1504,'MILEAGE'!$B$5:$B$1504,A112))</f>
        <v/>
      </c>
      <c r="AA112" s="55">
        <f>IF(B112="","",ROUND(Z112*MileRate,2))</f>
        <v/>
      </c>
      <c r="AB112" s="55">
        <f>IF(B112="","",SUMIFS('REVENUE'!$J$5:$J$1504,'REVENUE'!$B$5:$B$1504,A112))</f>
        <v/>
      </c>
      <c r="AC112" s="55">
        <f>IF(L112="","",IF(OR(O112="Cancelled",O112="No-Show"),"",L112-N(X112)-N(Y112)-AA112-AB112))</f>
        <v/>
      </c>
      <c r="AD112" s="99">
        <f>IF(OR(AC112="",N(L112)=0),"",AC112/L112)</f>
        <v/>
      </c>
      <c r="AE112" s="55">
        <f>IF(OR(AC112="",N(R112)=0),"",L112/R112)</f>
        <v/>
      </c>
      <c r="AF112" s="100">
        <f>IF(OR(N(K112)=0,N(J112)+N(Q112)=0),"",K112-IF(N(J112)&gt;0,J112,Q112))</f>
        <v/>
      </c>
      <c r="AG112" s="99">
        <f>IF(B112="","",IFERROR(AVERAGEIFS('QUALITY CONTROL'!$M$5:$M$304,'QUALITY CONTROL'!$B$5:$B$304,A112),""))</f>
        <v/>
      </c>
      <c r="AH112" s="51">
        <f>IF(B112="","",DATE(YEAR(B112),MONTH(B112),1))</f>
        <v/>
      </c>
      <c r="AI112" s="49">
        <f>IF(D112="","",IFERROR(INDEX('CUSTOMERS'!$E$5:$E$404,MATCH(D112,'CUSTOMERS'!$B$5:$B$404,0)),""))</f>
        <v/>
      </c>
      <c r="AJ112" s="49">
        <f>IF(B112="","",N(C112))</f>
        <v/>
      </c>
      <c r="AK112" s="49">
        <f>IF(OR(B112="",O112="Cancelled",O112="Rescheduled"),"",B112&amp;"|"&amp;(COUNTIFS('JOBS'!$B$5:$B$1504,B112,'JOBS'!$AJ$5:$AJ$1504,"&lt;"&amp;AJ112,'JOBS'!$O$5:$O$1504,"&lt;&gt;Cancelled",'JOBS'!$O$5:$O$1504,"&lt;&gt;Rescheduled")+COUNTIFS($B$5:B112,B112,$AJ$5:AJ112,AJ112,$O$5:O112,"&lt;&gt;Cancelled",$O$5:O112,"&lt;&gt;Rescheduled")))</f>
        <v/>
      </c>
      <c r="AL112" s="49">
        <f>IF(N(U112)&lt;=0.005,"",COUNTIFS('JOBS'!$U$5:$U$1504,"&gt;0.005",'JOBS'!$B$5:$B$1504,"&lt;"&amp;B112)+COUNTIFS($U$5:U112,"&gt;0.005",$B$5:B112,B112))</f>
        <v/>
      </c>
    </row>
    <row r="113">
      <c r="A113" s="46" t="inlineStr">
        <is>
          <t>J-0109</t>
        </is>
      </c>
      <c r="B113" s="47" t="n">
        <v>46151</v>
      </c>
      <c r="C113" s="94" t="n">
        <v>0.5208333333333334</v>
      </c>
      <c r="D113" s="38" t="inlineStr">
        <is>
          <t>Finley Quigley</t>
        </is>
      </c>
      <c r="E113" s="38" t="inlineStr">
        <is>
          <t>21 Maple Avenue, North Sampletown</t>
        </is>
      </c>
      <c r="F113" s="38" t="inlineStr">
        <is>
          <t>Standard Clean</t>
        </is>
      </c>
      <c r="G113" s="38" t="inlineStr">
        <is>
          <t>R-007</t>
        </is>
      </c>
      <c r="H113" s="38" t="inlineStr">
        <is>
          <t>Maria Lopez</t>
        </is>
      </c>
      <c r="I113" s="57" t="n">
        <v>1</v>
      </c>
      <c r="J113" s="95" t="n"/>
      <c r="K113" s="95" t="n">
        <v>2.52</v>
      </c>
      <c r="L113" s="48" t="n">
        <v>110</v>
      </c>
      <c r="M113" s="96" t="n">
        <v>0</v>
      </c>
      <c r="N113" s="48" t="n"/>
      <c r="O113" s="38" t="inlineStr">
        <is>
          <t>Completed</t>
        </is>
      </c>
      <c r="P113" s="38" t="inlineStr"/>
      <c r="Q113" s="97">
        <f>IF(OR(F113="",E113=""),"",IFERROR(IF(INDEX('PROPERTIES'!$F$5:$F$404,MATCH(E113,'PROPERTIES'!$B$5:$B$404,0))=0,"",ROUND((INDEX('PROPERTIES'!$F$5:$F$404,MATCH(E113,'PROPERTIES'!$B$5:$B$404,0))/INDEX('PRICING'!$C$7:$C$16,MATCH(F113,'PRICING'!$A$7:$A$16,0))+INDEX('PROPERTIES'!$G$5:$G$404,MATCH(E113,'PROPERTIES'!$B$5:$B$404,0))*INDEX('PRICING'!$D$7:$D$16,MATCH(F113,'PRICING'!$A$7:$A$16,0))/60+INDEX('PROPERTIES'!$H$5:$H$404,MATCH(E113,'PROPERTIES'!$B$5:$B$404,0))*INDEX('PRICING'!$E$7:$E$16,MATCH(F113,'PRICING'!$A$7:$A$16,0))/60+INDEX('PRICING'!$F$7:$F$16,MATCH(F113,'PRICING'!$A$7:$A$16,0))/60),2)),""))</f>
        <v/>
      </c>
      <c r="R113" s="97">
        <f>IF(B113="","",IF(N(K113)&gt;0,K113,IF(N(J113)&gt;0,J113,N(Q113))))</f>
        <v/>
      </c>
      <c r="S113" s="55">
        <f>IF(L113="","",ROUND(L113*(1+N(M113)),2))</f>
        <v/>
      </c>
      <c r="T113" s="55">
        <f>IF(B113="","",SUMIFS('REVENUE'!$C$5:$C$1504,'REVENUE'!$B$5:$B$1504,A113))</f>
        <v/>
      </c>
      <c r="U113" s="55">
        <f>IF(B113="","",IF(O113="Completed",MAX(0,N(S113)-T113),""))</f>
        <v/>
      </c>
      <c r="V113" s="49">
        <f>IF(B113="","",IF(O113&lt;&gt;"Completed",IF(T113&gt;0,"Deposit","—"),IF(U113&lt;=0.005,"Paid",IF(T113&gt;0,"Partial","Unpaid"))))</f>
        <v/>
      </c>
      <c r="W113" s="55">
        <f>IF(B113="","",IFERROR(1/(1/INDEX('STAFF &amp; TASKS'!$C$5:$C$24,MATCH(H113,'STAFF &amp; TASKS'!$A$5:$A$24,0))),PayRate))</f>
        <v/>
      </c>
      <c r="X113" s="55">
        <f>IF(B113="","",IF(OR(O113="Cancelled",O113="No-Show"),"",ROUND(R113*W113*(1+Burden),2)))</f>
        <v/>
      </c>
      <c r="Y113" s="55">
        <f>IF(B113="","",IF(OR(O113="Cancelled",O113="No-Show"),"",IF(N113&lt;&gt;"",N113,ROUND(R113*SupHr*IFERROR(INDEX('PRICING'!$G$7:$G$16,MATCH(F113,'PRICING'!$A$7:$A$16,0)),1),2))))</f>
        <v/>
      </c>
      <c r="Z113" s="98">
        <f>IF(B113="","",SUMIFS('MILEAGE'!$J$5:$J$1504,'MILEAGE'!$B$5:$B$1504,A113))</f>
        <v/>
      </c>
      <c r="AA113" s="55">
        <f>IF(B113="","",ROUND(Z113*MileRate,2))</f>
        <v/>
      </c>
      <c r="AB113" s="55">
        <f>IF(B113="","",SUMIFS('REVENUE'!$J$5:$J$1504,'REVENUE'!$B$5:$B$1504,A113))</f>
        <v/>
      </c>
      <c r="AC113" s="55">
        <f>IF(L113="","",IF(OR(O113="Cancelled",O113="No-Show"),"",L113-N(X113)-N(Y113)-AA113-AB113))</f>
        <v/>
      </c>
      <c r="AD113" s="99">
        <f>IF(OR(AC113="",N(L113)=0),"",AC113/L113)</f>
        <v/>
      </c>
      <c r="AE113" s="55">
        <f>IF(OR(AC113="",N(R113)=0),"",L113/R113)</f>
        <v/>
      </c>
      <c r="AF113" s="100">
        <f>IF(OR(N(K113)=0,N(J113)+N(Q113)=0),"",K113-IF(N(J113)&gt;0,J113,Q113))</f>
        <v/>
      </c>
      <c r="AG113" s="99">
        <f>IF(B113="","",IFERROR(AVERAGEIFS('QUALITY CONTROL'!$M$5:$M$304,'QUALITY CONTROL'!$B$5:$B$304,A113),""))</f>
        <v/>
      </c>
      <c r="AH113" s="51">
        <f>IF(B113="","",DATE(YEAR(B113),MONTH(B113),1))</f>
        <v/>
      </c>
      <c r="AI113" s="49">
        <f>IF(D113="","",IFERROR(INDEX('CUSTOMERS'!$E$5:$E$404,MATCH(D113,'CUSTOMERS'!$B$5:$B$404,0)),""))</f>
        <v/>
      </c>
      <c r="AJ113" s="49">
        <f>IF(B113="","",N(C113))</f>
        <v/>
      </c>
      <c r="AK113" s="49">
        <f>IF(OR(B113="",O113="Cancelled",O113="Rescheduled"),"",B113&amp;"|"&amp;(COUNTIFS('JOBS'!$B$5:$B$1504,B113,'JOBS'!$AJ$5:$AJ$1504,"&lt;"&amp;AJ113,'JOBS'!$O$5:$O$1504,"&lt;&gt;Cancelled",'JOBS'!$O$5:$O$1504,"&lt;&gt;Rescheduled")+COUNTIFS($B$5:B113,B113,$AJ$5:AJ113,AJ113,$O$5:O113,"&lt;&gt;Cancelled",$O$5:O113,"&lt;&gt;Rescheduled")))</f>
        <v/>
      </c>
      <c r="AL113" s="49">
        <f>IF(N(U113)&lt;=0.005,"",COUNTIFS('JOBS'!$U$5:$U$1504,"&gt;0.005",'JOBS'!$B$5:$B$1504,"&lt;"&amp;B113)+COUNTIFS($U$5:U113,"&gt;0.005",$B$5:B113,B113))</f>
        <v/>
      </c>
    </row>
    <row r="114">
      <c r="A114" s="46" t="inlineStr">
        <is>
          <t>J-0110</t>
        </is>
      </c>
      <c r="B114" s="47" t="n">
        <v>46154</v>
      </c>
      <c r="C114" s="94" t="n">
        <v>0.3541666666666667</v>
      </c>
      <c r="D114" s="38" t="inlineStr">
        <is>
          <t>Lane Ivers</t>
        </is>
      </c>
      <c r="E114" s="38" t="inlineStr">
        <is>
          <t>497 Aspen Drive, Sampletown</t>
        </is>
      </c>
      <c r="F114" s="38" t="inlineStr">
        <is>
          <t>Standard Clean</t>
        </is>
      </c>
      <c r="G114" s="38" t="inlineStr">
        <is>
          <t>R-001</t>
        </is>
      </c>
      <c r="H114" s="38" t="inlineStr">
        <is>
          <t>Maria Lopez</t>
        </is>
      </c>
      <c r="I114" s="57" t="n">
        <v>1</v>
      </c>
      <c r="J114" s="95" t="n"/>
      <c r="K114" s="95" t="n">
        <v>4.56</v>
      </c>
      <c r="L114" s="48" t="n">
        <v>175</v>
      </c>
      <c r="M114" s="96" t="n">
        <v>0</v>
      </c>
      <c r="N114" s="48" t="n"/>
      <c r="O114" s="38" t="inlineStr">
        <is>
          <t>Completed</t>
        </is>
      </c>
      <c r="P114" s="38" t="inlineStr"/>
      <c r="Q114" s="97">
        <f>IF(OR(F114="",E114=""),"",IFERROR(IF(INDEX('PROPERTIES'!$F$5:$F$404,MATCH(E114,'PROPERTIES'!$B$5:$B$404,0))=0,"",ROUND((INDEX('PROPERTIES'!$F$5:$F$404,MATCH(E114,'PROPERTIES'!$B$5:$B$404,0))/INDEX('PRICING'!$C$7:$C$16,MATCH(F114,'PRICING'!$A$7:$A$16,0))+INDEX('PROPERTIES'!$G$5:$G$404,MATCH(E114,'PROPERTIES'!$B$5:$B$404,0))*INDEX('PRICING'!$D$7:$D$16,MATCH(F114,'PRICING'!$A$7:$A$16,0))/60+INDEX('PROPERTIES'!$H$5:$H$404,MATCH(E114,'PROPERTIES'!$B$5:$B$404,0))*INDEX('PRICING'!$E$7:$E$16,MATCH(F114,'PRICING'!$A$7:$A$16,0))/60+INDEX('PRICING'!$F$7:$F$16,MATCH(F114,'PRICING'!$A$7:$A$16,0))/60),2)),""))</f>
        <v/>
      </c>
      <c r="R114" s="97">
        <f>IF(B114="","",IF(N(K114)&gt;0,K114,IF(N(J114)&gt;0,J114,N(Q114))))</f>
        <v/>
      </c>
      <c r="S114" s="55">
        <f>IF(L114="","",ROUND(L114*(1+N(M114)),2))</f>
        <v/>
      </c>
      <c r="T114" s="55">
        <f>IF(B114="","",SUMIFS('REVENUE'!$C$5:$C$1504,'REVENUE'!$B$5:$B$1504,A114))</f>
        <v/>
      </c>
      <c r="U114" s="55">
        <f>IF(B114="","",IF(O114="Completed",MAX(0,N(S114)-T114),""))</f>
        <v/>
      </c>
      <c r="V114" s="49">
        <f>IF(B114="","",IF(O114&lt;&gt;"Completed",IF(T114&gt;0,"Deposit","—"),IF(U114&lt;=0.005,"Paid",IF(T114&gt;0,"Partial","Unpaid"))))</f>
        <v/>
      </c>
      <c r="W114" s="55">
        <f>IF(B114="","",IFERROR(1/(1/INDEX('STAFF &amp; TASKS'!$C$5:$C$24,MATCH(H114,'STAFF &amp; TASKS'!$A$5:$A$24,0))),PayRate))</f>
        <v/>
      </c>
      <c r="X114" s="55">
        <f>IF(B114="","",IF(OR(O114="Cancelled",O114="No-Show"),"",ROUND(R114*W114*(1+Burden),2)))</f>
        <v/>
      </c>
      <c r="Y114" s="55">
        <f>IF(B114="","",IF(OR(O114="Cancelled",O114="No-Show"),"",IF(N114&lt;&gt;"",N114,ROUND(R114*SupHr*IFERROR(INDEX('PRICING'!$G$7:$G$16,MATCH(F114,'PRICING'!$A$7:$A$16,0)),1),2))))</f>
        <v/>
      </c>
      <c r="Z114" s="98">
        <f>IF(B114="","",SUMIFS('MILEAGE'!$J$5:$J$1504,'MILEAGE'!$B$5:$B$1504,A114))</f>
        <v/>
      </c>
      <c r="AA114" s="55">
        <f>IF(B114="","",ROUND(Z114*MileRate,2))</f>
        <v/>
      </c>
      <c r="AB114" s="55">
        <f>IF(B114="","",SUMIFS('REVENUE'!$J$5:$J$1504,'REVENUE'!$B$5:$B$1504,A114))</f>
        <v/>
      </c>
      <c r="AC114" s="55">
        <f>IF(L114="","",IF(OR(O114="Cancelled",O114="No-Show"),"",L114-N(X114)-N(Y114)-AA114-AB114))</f>
        <v/>
      </c>
      <c r="AD114" s="99">
        <f>IF(OR(AC114="",N(L114)=0),"",AC114/L114)</f>
        <v/>
      </c>
      <c r="AE114" s="55">
        <f>IF(OR(AC114="",N(R114)=0),"",L114/R114)</f>
        <v/>
      </c>
      <c r="AF114" s="100">
        <f>IF(OR(N(K114)=0,N(J114)+N(Q114)=0),"",K114-IF(N(J114)&gt;0,J114,Q114))</f>
        <v/>
      </c>
      <c r="AG114" s="99">
        <f>IF(B114="","",IFERROR(AVERAGEIFS('QUALITY CONTROL'!$M$5:$M$304,'QUALITY CONTROL'!$B$5:$B$304,A114),""))</f>
        <v/>
      </c>
      <c r="AH114" s="51">
        <f>IF(B114="","",DATE(YEAR(B114),MONTH(B114),1))</f>
        <v/>
      </c>
      <c r="AI114" s="49">
        <f>IF(D114="","",IFERROR(INDEX('CUSTOMERS'!$E$5:$E$404,MATCH(D114,'CUSTOMERS'!$B$5:$B$404,0)),""))</f>
        <v/>
      </c>
      <c r="AJ114" s="49">
        <f>IF(B114="","",N(C114))</f>
        <v/>
      </c>
      <c r="AK114" s="49">
        <f>IF(OR(B114="",O114="Cancelled",O114="Rescheduled"),"",B114&amp;"|"&amp;(COUNTIFS('JOBS'!$B$5:$B$1504,B114,'JOBS'!$AJ$5:$AJ$1504,"&lt;"&amp;AJ114,'JOBS'!$O$5:$O$1504,"&lt;&gt;Cancelled",'JOBS'!$O$5:$O$1504,"&lt;&gt;Rescheduled")+COUNTIFS($B$5:B114,B114,$AJ$5:AJ114,AJ114,$O$5:O114,"&lt;&gt;Cancelled",$O$5:O114,"&lt;&gt;Rescheduled")))</f>
        <v/>
      </c>
      <c r="AL114" s="49">
        <f>IF(N(U114)&lt;=0.005,"",COUNTIFS('JOBS'!$U$5:$U$1504,"&gt;0.005",'JOBS'!$B$5:$B$1504,"&lt;"&amp;B114)+COUNTIFS($U$5:U114,"&gt;0.005",$B$5:B114,B114))</f>
        <v/>
      </c>
    </row>
    <row r="115">
      <c r="A115" s="46" t="inlineStr">
        <is>
          <t>J-0111</t>
        </is>
      </c>
      <c r="B115" s="47" t="n">
        <v>46154</v>
      </c>
      <c r="C115" s="94" t="n">
        <v>0.5416666666666666</v>
      </c>
      <c r="D115" s="38" t="inlineStr">
        <is>
          <t>Dana Oakes</t>
        </is>
      </c>
      <c r="E115" s="38" t="inlineStr">
        <is>
          <t>666 Juniper Street, North Sampletown</t>
        </is>
      </c>
      <c r="F115" s="38" t="inlineStr">
        <is>
          <t>Airbnb Turnover</t>
        </is>
      </c>
      <c r="G115" s="38" t="n"/>
      <c r="H115" s="38" t="inlineStr">
        <is>
          <t>Kevin Osei</t>
        </is>
      </c>
      <c r="I115" s="57" t="n">
        <v>1</v>
      </c>
      <c r="J115" s="95" t="n"/>
      <c r="K115" s="95" t="n">
        <v>1.63</v>
      </c>
      <c r="L115" s="48" t="n">
        <v>135</v>
      </c>
      <c r="M115" s="96" t="n">
        <v>0</v>
      </c>
      <c r="N115" s="48" t="n"/>
      <c r="O115" s="38" t="inlineStr">
        <is>
          <t>Completed</t>
        </is>
      </c>
      <c r="P115" s="38" t="inlineStr">
        <is>
          <t>Includes laundry</t>
        </is>
      </c>
      <c r="Q115" s="97">
        <f>IF(OR(F115="",E115=""),"",IFERROR(IF(INDEX('PROPERTIES'!$F$5:$F$404,MATCH(E115,'PROPERTIES'!$B$5:$B$404,0))=0,"",ROUND((INDEX('PROPERTIES'!$F$5:$F$404,MATCH(E115,'PROPERTIES'!$B$5:$B$404,0))/INDEX('PRICING'!$C$7:$C$16,MATCH(F115,'PRICING'!$A$7:$A$16,0))+INDEX('PROPERTIES'!$G$5:$G$404,MATCH(E115,'PROPERTIES'!$B$5:$B$404,0))*INDEX('PRICING'!$D$7:$D$16,MATCH(F115,'PRICING'!$A$7:$A$16,0))/60+INDEX('PROPERTIES'!$H$5:$H$404,MATCH(E115,'PROPERTIES'!$B$5:$B$404,0))*INDEX('PRICING'!$E$7:$E$16,MATCH(F115,'PRICING'!$A$7:$A$16,0))/60+INDEX('PRICING'!$F$7:$F$16,MATCH(F115,'PRICING'!$A$7:$A$16,0))/60),2)),""))</f>
        <v/>
      </c>
      <c r="R115" s="97">
        <f>IF(B115="","",IF(N(K115)&gt;0,K115,IF(N(J115)&gt;0,J115,N(Q115))))</f>
        <v/>
      </c>
      <c r="S115" s="55">
        <f>IF(L115="","",ROUND(L115*(1+N(M115)),2))</f>
        <v/>
      </c>
      <c r="T115" s="55">
        <f>IF(B115="","",SUMIFS('REVENUE'!$C$5:$C$1504,'REVENUE'!$B$5:$B$1504,A115))</f>
        <v/>
      </c>
      <c r="U115" s="55">
        <f>IF(B115="","",IF(O115="Completed",MAX(0,N(S115)-T115),""))</f>
        <v/>
      </c>
      <c r="V115" s="49">
        <f>IF(B115="","",IF(O115&lt;&gt;"Completed",IF(T115&gt;0,"Deposit","—"),IF(U115&lt;=0.005,"Paid",IF(T115&gt;0,"Partial","Unpaid"))))</f>
        <v/>
      </c>
      <c r="W115" s="55">
        <f>IF(B115="","",IFERROR(1/(1/INDEX('STAFF &amp; TASKS'!$C$5:$C$24,MATCH(H115,'STAFF &amp; TASKS'!$A$5:$A$24,0))),PayRate))</f>
        <v/>
      </c>
      <c r="X115" s="55">
        <f>IF(B115="","",IF(OR(O115="Cancelled",O115="No-Show"),"",ROUND(R115*W115*(1+Burden),2)))</f>
        <v/>
      </c>
      <c r="Y115" s="55">
        <f>IF(B115="","",IF(OR(O115="Cancelled",O115="No-Show"),"",IF(N115&lt;&gt;"",N115,ROUND(R115*SupHr*IFERROR(INDEX('PRICING'!$G$7:$G$16,MATCH(F115,'PRICING'!$A$7:$A$16,0)),1),2))))</f>
        <v/>
      </c>
      <c r="Z115" s="98">
        <f>IF(B115="","",SUMIFS('MILEAGE'!$J$5:$J$1504,'MILEAGE'!$B$5:$B$1504,A115))</f>
        <v/>
      </c>
      <c r="AA115" s="55">
        <f>IF(B115="","",ROUND(Z115*MileRate,2))</f>
        <v/>
      </c>
      <c r="AB115" s="55">
        <f>IF(B115="","",SUMIFS('REVENUE'!$J$5:$J$1504,'REVENUE'!$B$5:$B$1504,A115))</f>
        <v/>
      </c>
      <c r="AC115" s="55">
        <f>IF(L115="","",IF(OR(O115="Cancelled",O115="No-Show"),"",L115-N(X115)-N(Y115)-AA115-AB115))</f>
        <v/>
      </c>
      <c r="AD115" s="99">
        <f>IF(OR(AC115="",N(L115)=0),"",AC115/L115)</f>
        <v/>
      </c>
      <c r="AE115" s="55">
        <f>IF(OR(AC115="",N(R115)=0),"",L115/R115)</f>
        <v/>
      </c>
      <c r="AF115" s="100">
        <f>IF(OR(N(K115)=0,N(J115)+N(Q115)=0),"",K115-IF(N(J115)&gt;0,J115,Q115))</f>
        <v/>
      </c>
      <c r="AG115" s="99">
        <f>IF(B115="","",IFERROR(AVERAGEIFS('QUALITY CONTROL'!$M$5:$M$304,'QUALITY CONTROL'!$B$5:$B$304,A115),""))</f>
        <v/>
      </c>
      <c r="AH115" s="51">
        <f>IF(B115="","",DATE(YEAR(B115),MONTH(B115),1))</f>
        <v/>
      </c>
      <c r="AI115" s="49">
        <f>IF(D115="","",IFERROR(INDEX('CUSTOMERS'!$E$5:$E$404,MATCH(D115,'CUSTOMERS'!$B$5:$B$404,0)),""))</f>
        <v/>
      </c>
      <c r="AJ115" s="49">
        <f>IF(B115="","",N(C115))</f>
        <v/>
      </c>
      <c r="AK115" s="49">
        <f>IF(OR(B115="",O115="Cancelled",O115="Rescheduled"),"",B115&amp;"|"&amp;(COUNTIFS('JOBS'!$B$5:$B$1504,B115,'JOBS'!$AJ$5:$AJ$1504,"&lt;"&amp;AJ115,'JOBS'!$O$5:$O$1504,"&lt;&gt;Cancelled",'JOBS'!$O$5:$O$1504,"&lt;&gt;Rescheduled")+COUNTIFS($B$5:B115,B115,$AJ$5:AJ115,AJ115,$O$5:O115,"&lt;&gt;Cancelled",$O$5:O115,"&lt;&gt;Rescheduled")))</f>
        <v/>
      </c>
      <c r="AL115" s="49">
        <f>IF(N(U115)&lt;=0.005,"",COUNTIFS('JOBS'!$U$5:$U$1504,"&gt;0.005",'JOBS'!$B$5:$B$1504,"&lt;"&amp;B115)+COUNTIFS($U$5:U115,"&gt;0.005",$B$5:B115,B115))</f>
        <v/>
      </c>
    </row>
    <row r="116">
      <c r="A116" s="46" t="inlineStr">
        <is>
          <t>J-0112</t>
        </is>
      </c>
      <c r="B116" s="47" t="n">
        <v>46155</v>
      </c>
      <c r="C116" s="94" t="n">
        <v>0.3333333333333333</v>
      </c>
      <c r="D116" s="38" t="inlineStr">
        <is>
          <t>Logan Porter</t>
        </is>
      </c>
      <c r="E116" s="38" t="inlineStr">
        <is>
          <t>675 Aspen Drive, Lakeview (fictional)</t>
        </is>
      </c>
      <c r="F116" s="38" t="inlineStr">
        <is>
          <t>Standard Clean</t>
        </is>
      </c>
      <c r="G116" s="38" t="inlineStr">
        <is>
          <t>R-002</t>
        </is>
      </c>
      <c r="H116" s="38" t="inlineStr">
        <is>
          <t>Dana Whitfield</t>
        </is>
      </c>
      <c r="I116" s="57" t="n">
        <v>1</v>
      </c>
      <c r="J116" s="95" t="n"/>
      <c r="K116" s="95" t="n">
        <v>5.38</v>
      </c>
      <c r="L116" s="48" t="n">
        <v>220</v>
      </c>
      <c r="M116" s="96" t="n">
        <v>0</v>
      </c>
      <c r="N116" s="48" t="n"/>
      <c r="O116" s="38" t="inlineStr">
        <is>
          <t>Completed</t>
        </is>
      </c>
      <c r="P116" s="38" t="inlineStr"/>
      <c r="Q116" s="97">
        <f>IF(OR(F116="",E116=""),"",IFERROR(IF(INDEX('PROPERTIES'!$F$5:$F$404,MATCH(E116,'PROPERTIES'!$B$5:$B$404,0))=0,"",ROUND((INDEX('PROPERTIES'!$F$5:$F$404,MATCH(E116,'PROPERTIES'!$B$5:$B$404,0))/INDEX('PRICING'!$C$7:$C$16,MATCH(F116,'PRICING'!$A$7:$A$16,0))+INDEX('PROPERTIES'!$G$5:$G$404,MATCH(E116,'PROPERTIES'!$B$5:$B$404,0))*INDEX('PRICING'!$D$7:$D$16,MATCH(F116,'PRICING'!$A$7:$A$16,0))/60+INDEX('PROPERTIES'!$H$5:$H$404,MATCH(E116,'PROPERTIES'!$B$5:$B$404,0))*INDEX('PRICING'!$E$7:$E$16,MATCH(F116,'PRICING'!$A$7:$A$16,0))/60+INDEX('PRICING'!$F$7:$F$16,MATCH(F116,'PRICING'!$A$7:$A$16,0))/60),2)),""))</f>
        <v/>
      </c>
      <c r="R116" s="97">
        <f>IF(B116="","",IF(N(K116)&gt;0,K116,IF(N(J116)&gt;0,J116,N(Q116))))</f>
        <v/>
      </c>
      <c r="S116" s="55">
        <f>IF(L116="","",ROUND(L116*(1+N(M116)),2))</f>
        <v/>
      </c>
      <c r="T116" s="55">
        <f>IF(B116="","",SUMIFS('REVENUE'!$C$5:$C$1504,'REVENUE'!$B$5:$B$1504,A116))</f>
        <v/>
      </c>
      <c r="U116" s="55">
        <f>IF(B116="","",IF(O116="Completed",MAX(0,N(S116)-T116),""))</f>
        <v/>
      </c>
      <c r="V116" s="49">
        <f>IF(B116="","",IF(O116&lt;&gt;"Completed",IF(T116&gt;0,"Deposit","—"),IF(U116&lt;=0.005,"Paid",IF(T116&gt;0,"Partial","Unpaid"))))</f>
        <v/>
      </c>
      <c r="W116" s="55">
        <f>IF(B116="","",IFERROR(1/(1/INDEX('STAFF &amp; TASKS'!$C$5:$C$24,MATCH(H116,'STAFF &amp; TASKS'!$A$5:$A$24,0))),PayRate))</f>
        <v/>
      </c>
      <c r="X116" s="55">
        <f>IF(B116="","",IF(OR(O116="Cancelled",O116="No-Show"),"",ROUND(R116*W116*(1+Burden),2)))</f>
        <v/>
      </c>
      <c r="Y116" s="55">
        <f>IF(B116="","",IF(OR(O116="Cancelled",O116="No-Show"),"",IF(N116&lt;&gt;"",N116,ROUND(R116*SupHr*IFERROR(INDEX('PRICING'!$G$7:$G$16,MATCH(F116,'PRICING'!$A$7:$A$16,0)),1),2))))</f>
        <v/>
      </c>
      <c r="Z116" s="98">
        <f>IF(B116="","",SUMIFS('MILEAGE'!$J$5:$J$1504,'MILEAGE'!$B$5:$B$1504,A116))</f>
        <v/>
      </c>
      <c r="AA116" s="55">
        <f>IF(B116="","",ROUND(Z116*MileRate,2))</f>
        <v/>
      </c>
      <c r="AB116" s="55">
        <f>IF(B116="","",SUMIFS('REVENUE'!$J$5:$J$1504,'REVENUE'!$B$5:$B$1504,A116))</f>
        <v/>
      </c>
      <c r="AC116" s="55">
        <f>IF(L116="","",IF(OR(O116="Cancelled",O116="No-Show"),"",L116-N(X116)-N(Y116)-AA116-AB116))</f>
        <v/>
      </c>
      <c r="AD116" s="99">
        <f>IF(OR(AC116="",N(L116)=0),"",AC116/L116)</f>
        <v/>
      </c>
      <c r="AE116" s="55">
        <f>IF(OR(AC116="",N(R116)=0),"",L116/R116)</f>
        <v/>
      </c>
      <c r="AF116" s="100">
        <f>IF(OR(N(K116)=0,N(J116)+N(Q116)=0),"",K116-IF(N(J116)&gt;0,J116,Q116))</f>
        <v/>
      </c>
      <c r="AG116" s="99">
        <f>IF(B116="","",IFERROR(AVERAGEIFS('QUALITY CONTROL'!$M$5:$M$304,'QUALITY CONTROL'!$B$5:$B$304,A116),""))</f>
        <v/>
      </c>
      <c r="AH116" s="51">
        <f>IF(B116="","",DATE(YEAR(B116),MONTH(B116),1))</f>
        <v/>
      </c>
      <c r="AI116" s="49">
        <f>IF(D116="","",IFERROR(INDEX('CUSTOMERS'!$E$5:$E$404,MATCH(D116,'CUSTOMERS'!$B$5:$B$404,0)),""))</f>
        <v/>
      </c>
      <c r="AJ116" s="49">
        <f>IF(B116="","",N(C116))</f>
        <v/>
      </c>
      <c r="AK116" s="49">
        <f>IF(OR(B116="",O116="Cancelled",O116="Rescheduled"),"",B116&amp;"|"&amp;(COUNTIFS('JOBS'!$B$5:$B$1504,B116,'JOBS'!$AJ$5:$AJ$1504,"&lt;"&amp;AJ116,'JOBS'!$O$5:$O$1504,"&lt;&gt;Cancelled",'JOBS'!$O$5:$O$1504,"&lt;&gt;Rescheduled")+COUNTIFS($B$5:B116,B116,$AJ$5:AJ116,AJ116,$O$5:O116,"&lt;&gt;Cancelled",$O$5:O116,"&lt;&gt;Rescheduled")))</f>
        <v/>
      </c>
      <c r="AL116" s="49">
        <f>IF(N(U116)&lt;=0.005,"",COUNTIFS('JOBS'!$U$5:$U$1504,"&gt;0.005",'JOBS'!$B$5:$B$1504,"&lt;"&amp;B116)+COUNTIFS($U$5:U116,"&gt;0.005",$B$5:B116,B116))</f>
        <v/>
      </c>
    </row>
    <row r="117">
      <c r="A117" s="46" t="inlineStr">
        <is>
          <t>J-0113</t>
        </is>
      </c>
      <c r="B117" s="47" t="n">
        <v>46155</v>
      </c>
      <c r="C117" s="94" t="n">
        <v>0.375</v>
      </c>
      <c r="D117" s="38" t="inlineStr">
        <is>
          <t>Wren Porter</t>
        </is>
      </c>
      <c r="E117" s="38" t="inlineStr">
        <is>
          <t>685 Alder Lane, North Sampletown</t>
        </is>
      </c>
      <c r="F117" s="38" t="inlineStr">
        <is>
          <t>Standard Clean</t>
        </is>
      </c>
      <c r="G117" s="38" t="n"/>
      <c r="H117" s="38" t="inlineStr">
        <is>
          <t>Dana Whitfield</t>
        </is>
      </c>
      <c r="I117" s="57" t="n">
        <v>1</v>
      </c>
      <c r="J117" s="95" t="n"/>
      <c r="K117" s="95" t="n">
        <v>6.33</v>
      </c>
      <c r="L117" s="48" t="n">
        <v>300</v>
      </c>
      <c r="M117" s="96" t="n">
        <v>0</v>
      </c>
      <c r="N117" s="48" t="n"/>
      <c r="O117" s="38" t="inlineStr">
        <is>
          <t>Completed</t>
        </is>
      </c>
      <c r="P117" s="38" t="inlineStr"/>
      <c r="Q117" s="97">
        <f>IF(OR(F117="",E117=""),"",IFERROR(IF(INDEX('PROPERTIES'!$F$5:$F$404,MATCH(E117,'PROPERTIES'!$B$5:$B$404,0))=0,"",ROUND((INDEX('PROPERTIES'!$F$5:$F$404,MATCH(E117,'PROPERTIES'!$B$5:$B$404,0))/INDEX('PRICING'!$C$7:$C$16,MATCH(F117,'PRICING'!$A$7:$A$16,0))+INDEX('PROPERTIES'!$G$5:$G$404,MATCH(E117,'PROPERTIES'!$B$5:$B$404,0))*INDEX('PRICING'!$D$7:$D$16,MATCH(F117,'PRICING'!$A$7:$A$16,0))/60+INDEX('PROPERTIES'!$H$5:$H$404,MATCH(E117,'PROPERTIES'!$B$5:$B$404,0))*INDEX('PRICING'!$E$7:$E$16,MATCH(F117,'PRICING'!$A$7:$A$16,0))/60+INDEX('PRICING'!$F$7:$F$16,MATCH(F117,'PRICING'!$A$7:$A$16,0))/60),2)),""))</f>
        <v/>
      </c>
      <c r="R117" s="97">
        <f>IF(B117="","",IF(N(K117)&gt;0,K117,IF(N(J117)&gt;0,J117,N(Q117))))</f>
        <v/>
      </c>
      <c r="S117" s="55">
        <f>IF(L117="","",ROUND(L117*(1+N(M117)),2))</f>
        <v/>
      </c>
      <c r="T117" s="55">
        <f>IF(B117="","",SUMIFS('REVENUE'!$C$5:$C$1504,'REVENUE'!$B$5:$B$1504,A117))</f>
        <v/>
      </c>
      <c r="U117" s="55">
        <f>IF(B117="","",IF(O117="Completed",MAX(0,N(S117)-T117),""))</f>
        <v/>
      </c>
      <c r="V117" s="49">
        <f>IF(B117="","",IF(O117&lt;&gt;"Completed",IF(T117&gt;0,"Deposit","—"),IF(U117&lt;=0.005,"Paid",IF(T117&gt;0,"Partial","Unpaid"))))</f>
        <v/>
      </c>
      <c r="W117" s="55">
        <f>IF(B117="","",IFERROR(1/(1/INDEX('STAFF &amp; TASKS'!$C$5:$C$24,MATCH(H117,'STAFF &amp; TASKS'!$A$5:$A$24,0))),PayRate))</f>
        <v/>
      </c>
      <c r="X117" s="55">
        <f>IF(B117="","",IF(OR(O117="Cancelled",O117="No-Show"),"",ROUND(R117*W117*(1+Burden),2)))</f>
        <v/>
      </c>
      <c r="Y117" s="55">
        <f>IF(B117="","",IF(OR(O117="Cancelled",O117="No-Show"),"",IF(N117&lt;&gt;"",N117,ROUND(R117*SupHr*IFERROR(INDEX('PRICING'!$G$7:$G$16,MATCH(F117,'PRICING'!$A$7:$A$16,0)),1),2))))</f>
        <v/>
      </c>
      <c r="Z117" s="98">
        <f>IF(B117="","",SUMIFS('MILEAGE'!$J$5:$J$1504,'MILEAGE'!$B$5:$B$1504,A117))</f>
        <v/>
      </c>
      <c r="AA117" s="55">
        <f>IF(B117="","",ROUND(Z117*MileRate,2))</f>
        <v/>
      </c>
      <c r="AB117" s="55">
        <f>IF(B117="","",SUMIFS('REVENUE'!$J$5:$J$1504,'REVENUE'!$B$5:$B$1504,A117))</f>
        <v/>
      </c>
      <c r="AC117" s="55">
        <f>IF(L117="","",IF(OR(O117="Cancelled",O117="No-Show"),"",L117-N(X117)-N(Y117)-AA117-AB117))</f>
        <v/>
      </c>
      <c r="AD117" s="99">
        <f>IF(OR(AC117="",N(L117)=0),"",AC117/L117)</f>
        <v/>
      </c>
      <c r="AE117" s="55">
        <f>IF(OR(AC117="",N(R117)=0),"",L117/R117)</f>
        <v/>
      </c>
      <c r="AF117" s="100">
        <f>IF(OR(N(K117)=0,N(J117)+N(Q117)=0),"",K117-IF(N(J117)&gt;0,J117,Q117))</f>
        <v/>
      </c>
      <c r="AG117" s="99">
        <f>IF(B117="","",IFERROR(AVERAGEIFS('QUALITY CONTROL'!$M$5:$M$304,'QUALITY CONTROL'!$B$5:$B$304,A117),""))</f>
        <v/>
      </c>
      <c r="AH117" s="51">
        <f>IF(B117="","",DATE(YEAR(B117),MONTH(B117),1))</f>
        <v/>
      </c>
      <c r="AI117" s="49">
        <f>IF(D117="","",IFERROR(INDEX('CUSTOMERS'!$E$5:$E$404,MATCH(D117,'CUSTOMERS'!$B$5:$B$404,0)),""))</f>
        <v/>
      </c>
      <c r="AJ117" s="49">
        <f>IF(B117="","",N(C117))</f>
        <v/>
      </c>
      <c r="AK117" s="49">
        <f>IF(OR(B117="",O117="Cancelled",O117="Rescheduled"),"",B117&amp;"|"&amp;(COUNTIFS('JOBS'!$B$5:$B$1504,B117,'JOBS'!$AJ$5:$AJ$1504,"&lt;"&amp;AJ117,'JOBS'!$O$5:$O$1504,"&lt;&gt;Cancelled",'JOBS'!$O$5:$O$1504,"&lt;&gt;Rescheduled")+COUNTIFS($B$5:B117,B117,$AJ$5:AJ117,AJ117,$O$5:O117,"&lt;&gt;Cancelled",$O$5:O117,"&lt;&gt;Rescheduled")))</f>
        <v/>
      </c>
      <c r="AL117" s="49">
        <f>IF(N(U117)&lt;=0.005,"",COUNTIFS('JOBS'!$U$5:$U$1504,"&gt;0.005",'JOBS'!$B$5:$B$1504,"&lt;"&amp;B117)+COUNTIFS($U$5:U117,"&gt;0.005",$B$5:B117,B117))</f>
        <v/>
      </c>
    </row>
    <row r="118">
      <c r="A118" s="46" t="inlineStr">
        <is>
          <t>J-0114</t>
        </is>
      </c>
      <c r="B118" s="47" t="n">
        <v>46156</v>
      </c>
      <c r="C118" s="94" t="n">
        <v>0.3541666666666667</v>
      </c>
      <c r="D118" s="38" t="inlineStr">
        <is>
          <t>Dana Ivers</t>
        </is>
      </c>
      <c r="E118" s="38" t="inlineStr">
        <is>
          <t>129 Elm Terrace, North Sampletown</t>
        </is>
      </c>
      <c r="F118" s="38" t="inlineStr">
        <is>
          <t>Deep Clean</t>
        </is>
      </c>
      <c r="G118" s="38" t="n"/>
      <c r="H118" s="38" t="inlineStr">
        <is>
          <t>Maria Lopez</t>
        </is>
      </c>
      <c r="I118" s="57" t="n">
        <v>2</v>
      </c>
      <c r="J118" s="95" t="n"/>
      <c r="K118" s="95" t="n">
        <v>10.38</v>
      </c>
      <c r="L118" s="48" t="n">
        <v>650</v>
      </c>
      <c r="M118" s="96" t="n">
        <v>0</v>
      </c>
      <c r="N118" s="48" t="n"/>
      <c r="O118" s="38" t="inlineStr">
        <is>
          <t>Completed</t>
        </is>
      </c>
      <c r="P118" s="38" t="inlineStr">
        <is>
          <t>Initial deep clean</t>
        </is>
      </c>
      <c r="Q118" s="97">
        <f>IF(OR(F118="",E118=""),"",IFERROR(IF(INDEX('PROPERTIES'!$F$5:$F$404,MATCH(E118,'PROPERTIES'!$B$5:$B$404,0))=0,"",ROUND((INDEX('PROPERTIES'!$F$5:$F$404,MATCH(E118,'PROPERTIES'!$B$5:$B$404,0))/INDEX('PRICING'!$C$7:$C$16,MATCH(F118,'PRICING'!$A$7:$A$16,0))+INDEX('PROPERTIES'!$G$5:$G$404,MATCH(E118,'PROPERTIES'!$B$5:$B$404,0))*INDEX('PRICING'!$D$7:$D$16,MATCH(F118,'PRICING'!$A$7:$A$16,0))/60+INDEX('PROPERTIES'!$H$5:$H$404,MATCH(E118,'PROPERTIES'!$B$5:$B$404,0))*INDEX('PRICING'!$E$7:$E$16,MATCH(F118,'PRICING'!$A$7:$A$16,0))/60+INDEX('PRICING'!$F$7:$F$16,MATCH(F118,'PRICING'!$A$7:$A$16,0))/60),2)),""))</f>
        <v/>
      </c>
      <c r="R118" s="97">
        <f>IF(B118="","",IF(N(K118)&gt;0,K118,IF(N(J118)&gt;0,J118,N(Q118))))</f>
        <v/>
      </c>
      <c r="S118" s="55">
        <f>IF(L118="","",ROUND(L118*(1+N(M118)),2))</f>
        <v/>
      </c>
      <c r="T118" s="55">
        <f>IF(B118="","",SUMIFS('REVENUE'!$C$5:$C$1504,'REVENUE'!$B$5:$B$1504,A118))</f>
        <v/>
      </c>
      <c r="U118" s="55">
        <f>IF(B118="","",IF(O118="Completed",MAX(0,N(S118)-T118),""))</f>
        <v/>
      </c>
      <c r="V118" s="49">
        <f>IF(B118="","",IF(O118&lt;&gt;"Completed",IF(T118&gt;0,"Deposit","—"),IF(U118&lt;=0.005,"Paid",IF(T118&gt;0,"Partial","Unpaid"))))</f>
        <v/>
      </c>
      <c r="W118" s="55">
        <f>IF(B118="","",IFERROR(1/(1/INDEX('STAFF &amp; TASKS'!$C$5:$C$24,MATCH(H118,'STAFF &amp; TASKS'!$A$5:$A$24,0))),PayRate))</f>
        <v/>
      </c>
      <c r="X118" s="55">
        <f>IF(B118="","",IF(OR(O118="Cancelled",O118="No-Show"),"",ROUND(R118*W118*(1+Burden),2)))</f>
        <v/>
      </c>
      <c r="Y118" s="55">
        <f>IF(B118="","",IF(OR(O118="Cancelled",O118="No-Show"),"",IF(N118&lt;&gt;"",N118,ROUND(R118*SupHr*IFERROR(INDEX('PRICING'!$G$7:$G$16,MATCH(F118,'PRICING'!$A$7:$A$16,0)),1),2))))</f>
        <v/>
      </c>
      <c r="Z118" s="98">
        <f>IF(B118="","",SUMIFS('MILEAGE'!$J$5:$J$1504,'MILEAGE'!$B$5:$B$1504,A118))</f>
        <v/>
      </c>
      <c r="AA118" s="55">
        <f>IF(B118="","",ROUND(Z118*MileRate,2))</f>
        <v/>
      </c>
      <c r="AB118" s="55">
        <f>IF(B118="","",SUMIFS('REVENUE'!$J$5:$J$1504,'REVENUE'!$B$5:$B$1504,A118))</f>
        <v/>
      </c>
      <c r="AC118" s="55">
        <f>IF(L118="","",IF(OR(O118="Cancelled",O118="No-Show"),"",L118-N(X118)-N(Y118)-AA118-AB118))</f>
        <v/>
      </c>
      <c r="AD118" s="99">
        <f>IF(OR(AC118="",N(L118)=0),"",AC118/L118)</f>
        <v/>
      </c>
      <c r="AE118" s="55">
        <f>IF(OR(AC118="",N(R118)=0),"",L118/R118)</f>
        <v/>
      </c>
      <c r="AF118" s="100">
        <f>IF(OR(N(K118)=0,N(J118)+N(Q118)=0),"",K118-IF(N(J118)&gt;0,J118,Q118))</f>
        <v/>
      </c>
      <c r="AG118" s="99">
        <f>IF(B118="","",IFERROR(AVERAGEIFS('QUALITY CONTROL'!$M$5:$M$304,'QUALITY CONTROL'!$B$5:$B$304,A118),""))</f>
        <v/>
      </c>
      <c r="AH118" s="51">
        <f>IF(B118="","",DATE(YEAR(B118),MONTH(B118),1))</f>
        <v/>
      </c>
      <c r="AI118" s="49">
        <f>IF(D118="","",IFERROR(INDEX('CUSTOMERS'!$E$5:$E$404,MATCH(D118,'CUSTOMERS'!$B$5:$B$404,0)),""))</f>
        <v/>
      </c>
      <c r="AJ118" s="49">
        <f>IF(B118="","",N(C118))</f>
        <v/>
      </c>
      <c r="AK118" s="49">
        <f>IF(OR(B118="",O118="Cancelled",O118="Rescheduled"),"",B118&amp;"|"&amp;(COUNTIFS('JOBS'!$B$5:$B$1504,B118,'JOBS'!$AJ$5:$AJ$1504,"&lt;"&amp;AJ118,'JOBS'!$O$5:$O$1504,"&lt;&gt;Cancelled",'JOBS'!$O$5:$O$1504,"&lt;&gt;Rescheduled")+COUNTIFS($B$5:B118,B118,$AJ$5:AJ118,AJ118,$O$5:O118,"&lt;&gt;Cancelled",$O$5:O118,"&lt;&gt;Rescheduled")))</f>
        <v/>
      </c>
      <c r="AL118" s="49">
        <f>IF(N(U118)&lt;=0.005,"",COUNTIFS('JOBS'!$U$5:$U$1504,"&gt;0.005",'JOBS'!$B$5:$B$1504,"&lt;"&amp;B118)+COUNTIFS($U$5:U118,"&gt;0.005",$B$5:B118,B118))</f>
        <v/>
      </c>
    </row>
    <row r="119">
      <c r="A119" s="46" t="inlineStr">
        <is>
          <t>J-0115</t>
        </is>
      </c>
      <c r="B119" s="47" t="n">
        <v>46157</v>
      </c>
      <c r="C119" s="94" t="n">
        <v>0.3333333333333333</v>
      </c>
      <c r="D119" s="38" t="inlineStr">
        <is>
          <t>Rowan Foxworth</t>
        </is>
      </c>
      <c r="E119" s="38" t="inlineStr">
        <is>
          <t>876 Magnolia Circle, North Sampletown</t>
        </is>
      </c>
      <c r="F119" s="38" t="inlineStr">
        <is>
          <t>Standard Clean</t>
        </is>
      </c>
      <c r="G119" s="38" t="inlineStr">
        <is>
          <t>R-005</t>
        </is>
      </c>
      <c r="H119" s="38" t="inlineStr">
        <is>
          <t>Maria Lopez</t>
        </is>
      </c>
      <c r="I119" s="57" t="n">
        <v>1</v>
      </c>
      <c r="J119" s="95" t="n"/>
      <c r="K119" s="95" t="n">
        <v>5.35</v>
      </c>
      <c r="L119" s="48" t="n">
        <v>220</v>
      </c>
      <c r="M119" s="96" t="n">
        <v>0</v>
      </c>
      <c r="N119" s="48" t="n"/>
      <c r="O119" s="38" t="inlineStr">
        <is>
          <t>Completed</t>
        </is>
      </c>
      <c r="P119" s="38" t="inlineStr"/>
      <c r="Q119" s="97">
        <f>IF(OR(F119="",E119=""),"",IFERROR(IF(INDEX('PROPERTIES'!$F$5:$F$404,MATCH(E119,'PROPERTIES'!$B$5:$B$404,0))=0,"",ROUND((INDEX('PROPERTIES'!$F$5:$F$404,MATCH(E119,'PROPERTIES'!$B$5:$B$404,0))/INDEX('PRICING'!$C$7:$C$16,MATCH(F119,'PRICING'!$A$7:$A$16,0))+INDEX('PROPERTIES'!$G$5:$G$404,MATCH(E119,'PROPERTIES'!$B$5:$B$404,0))*INDEX('PRICING'!$D$7:$D$16,MATCH(F119,'PRICING'!$A$7:$A$16,0))/60+INDEX('PROPERTIES'!$H$5:$H$404,MATCH(E119,'PROPERTIES'!$B$5:$B$404,0))*INDEX('PRICING'!$E$7:$E$16,MATCH(F119,'PRICING'!$A$7:$A$16,0))/60+INDEX('PRICING'!$F$7:$F$16,MATCH(F119,'PRICING'!$A$7:$A$16,0))/60),2)),""))</f>
        <v/>
      </c>
      <c r="R119" s="97">
        <f>IF(B119="","",IF(N(K119)&gt;0,K119,IF(N(J119)&gt;0,J119,N(Q119))))</f>
        <v/>
      </c>
      <c r="S119" s="55">
        <f>IF(L119="","",ROUND(L119*(1+N(M119)),2))</f>
        <v/>
      </c>
      <c r="T119" s="55">
        <f>IF(B119="","",SUMIFS('REVENUE'!$C$5:$C$1504,'REVENUE'!$B$5:$B$1504,A119))</f>
        <v/>
      </c>
      <c r="U119" s="55">
        <f>IF(B119="","",IF(O119="Completed",MAX(0,N(S119)-T119),""))</f>
        <v/>
      </c>
      <c r="V119" s="49">
        <f>IF(B119="","",IF(O119&lt;&gt;"Completed",IF(T119&gt;0,"Deposit","—"),IF(U119&lt;=0.005,"Paid",IF(T119&gt;0,"Partial","Unpaid"))))</f>
        <v/>
      </c>
      <c r="W119" s="55">
        <f>IF(B119="","",IFERROR(1/(1/INDEX('STAFF &amp; TASKS'!$C$5:$C$24,MATCH(H119,'STAFF &amp; TASKS'!$A$5:$A$24,0))),PayRate))</f>
        <v/>
      </c>
      <c r="X119" s="55">
        <f>IF(B119="","",IF(OR(O119="Cancelled",O119="No-Show"),"",ROUND(R119*W119*(1+Burden),2)))</f>
        <v/>
      </c>
      <c r="Y119" s="55">
        <f>IF(B119="","",IF(OR(O119="Cancelled",O119="No-Show"),"",IF(N119&lt;&gt;"",N119,ROUND(R119*SupHr*IFERROR(INDEX('PRICING'!$G$7:$G$16,MATCH(F119,'PRICING'!$A$7:$A$16,0)),1),2))))</f>
        <v/>
      </c>
      <c r="Z119" s="98">
        <f>IF(B119="","",SUMIFS('MILEAGE'!$J$5:$J$1504,'MILEAGE'!$B$5:$B$1504,A119))</f>
        <v/>
      </c>
      <c r="AA119" s="55">
        <f>IF(B119="","",ROUND(Z119*MileRate,2))</f>
        <v/>
      </c>
      <c r="AB119" s="55">
        <f>IF(B119="","",SUMIFS('REVENUE'!$J$5:$J$1504,'REVENUE'!$B$5:$B$1504,A119))</f>
        <v/>
      </c>
      <c r="AC119" s="55">
        <f>IF(L119="","",IF(OR(O119="Cancelled",O119="No-Show"),"",L119-N(X119)-N(Y119)-AA119-AB119))</f>
        <v/>
      </c>
      <c r="AD119" s="99">
        <f>IF(OR(AC119="",N(L119)=0),"",AC119/L119)</f>
        <v/>
      </c>
      <c r="AE119" s="55">
        <f>IF(OR(AC119="",N(R119)=0),"",L119/R119)</f>
        <v/>
      </c>
      <c r="AF119" s="100">
        <f>IF(OR(N(K119)=0,N(J119)+N(Q119)=0),"",K119-IF(N(J119)&gt;0,J119,Q119))</f>
        <v/>
      </c>
      <c r="AG119" s="99">
        <f>IF(B119="","",IFERROR(AVERAGEIFS('QUALITY CONTROL'!$M$5:$M$304,'QUALITY CONTROL'!$B$5:$B$304,A119),""))</f>
        <v/>
      </c>
      <c r="AH119" s="51">
        <f>IF(B119="","",DATE(YEAR(B119),MONTH(B119),1))</f>
        <v/>
      </c>
      <c r="AI119" s="49">
        <f>IF(D119="","",IFERROR(INDEX('CUSTOMERS'!$E$5:$E$404,MATCH(D119,'CUSTOMERS'!$B$5:$B$404,0)),""))</f>
        <v/>
      </c>
      <c r="AJ119" s="49">
        <f>IF(B119="","",N(C119))</f>
        <v/>
      </c>
      <c r="AK119" s="49">
        <f>IF(OR(B119="",O119="Cancelled",O119="Rescheduled"),"",B119&amp;"|"&amp;(COUNTIFS('JOBS'!$B$5:$B$1504,B119,'JOBS'!$AJ$5:$AJ$1504,"&lt;"&amp;AJ119,'JOBS'!$O$5:$O$1504,"&lt;&gt;Cancelled",'JOBS'!$O$5:$O$1504,"&lt;&gt;Rescheduled")+COUNTIFS($B$5:B119,B119,$AJ$5:AJ119,AJ119,$O$5:O119,"&lt;&gt;Cancelled",$O$5:O119,"&lt;&gt;Rescheduled")))</f>
        <v/>
      </c>
      <c r="AL119" s="49">
        <f>IF(N(U119)&lt;=0.005,"",COUNTIFS('JOBS'!$U$5:$U$1504,"&gt;0.005",'JOBS'!$B$5:$B$1504,"&lt;"&amp;B119)+COUNTIFS($U$5:U119,"&gt;0.005",$B$5:B119,B119))</f>
        <v/>
      </c>
    </row>
    <row r="120">
      <c r="A120" s="46" t="inlineStr">
        <is>
          <t>J-0116</t>
        </is>
      </c>
      <c r="B120" s="47" t="n">
        <v>46157</v>
      </c>
      <c r="C120" s="94" t="n">
        <v>0.3333333333333333</v>
      </c>
      <c r="D120" s="38" t="inlineStr">
        <is>
          <t>Brightside Dental Studio (sample)</t>
        </is>
      </c>
      <c r="E120" s="38" t="inlineStr">
        <is>
          <t>738 Cedar Court, North Sampletown</t>
        </is>
      </c>
      <c r="F120" s="38" t="inlineStr">
        <is>
          <t>Commercial Clean</t>
        </is>
      </c>
      <c r="G120" s="38" t="inlineStr">
        <is>
          <t>R-011</t>
        </is>
      </c>
      <c r="H120" s="38" t="inlineStr">
        <is>
          <t>Kevin Osei</t>
        </is>
      </c>
      <c r="I120" s="57" t="n">
        <v>2</v>
      </c>
      <c r="J120" s="95" t="n"/>
      <c r="K120" s="95" t="n">
        <v>1.8</v>
      </c>
      <c r="L120" s="48" t="n">
        <v>100</v>
      </c>
      <c r="M120" s="96" t="n">
        <v>0</v>
      </c>
      <c r="N120" s="48" t="n"/>
      <c r="O120" s="38" t="inlineStr">
        <is>
          <t>Completed</t>
        </is>
      </c>
      <c r="P120" s="38" t="inlineStr"/>
      <c r="Q120" s="97">
        <f>IF(OR(F120="",E120=""),"",IFERROR(IF(INDEX('PROPERTIES'!$F$5:$F$404,MATCH(E120,'PROPERTIES'!$B$5:$B$404,0))=0,"",ROUND((INDEX('PROPERTIES'!$F$5:$F$404,MATCH(E120,'PROPERTIES'!$B$5:$B$404,0))/INDEX('PRICING'!$C$7:$C$16,MATCH(F120,'PRICING'!$A$7:$A$16,0))+INDEX('PROPERTIES'!$G$5:$G$404,MATCH(E120,'PROPERTIES'!$B$5:$B$404,0))*INDEX('PRICING'!$D$7:$D$16,MATCH(F120,'PRICING'!$A$7:$A$16,0))/60+INDEX('PROPERTIES'!$H$5:$H$404,MATCH(E120,'PROPERTIES'!$B$5:$B$404,0))*INDEX('PRICING'!$E$7:$E$16,MATCH(F120,'PRICING'!$A$7:$A$16,0))/60+INDEX('PRICING'!$F$7:$F$16,MATCH(F120,'PRICING'!$A$7:$A$16,0))/60),2)),""))</f>
        <v/>
      </c>
      <c r="R120" s="97">
        <f>IF(B120="","",IF(N(K120)&gt;0,K120,IF(N(J120)&gt;0,J120,N(Q120))))</f>
        <v/>
      </c>
      <c r="S120" s="55">
        <f>IF(L120="","",ROUND(L120*(1+N(M120)),2))</f>
        <v/>
      </c>
      <c r="T120" s="55">
        <f>IF(B120="","",SUMIFS('REVENUE'!$C$5:$C$1504,'REVENUE'!$B$5:$B$1504,A120))</f>
        <v/>
      </c>
      <c r="U120" s="55">
        <f>IF(B120="","",IF(O120="Completed",MAX(0,N(S120)-T120),""))</f>
        <v/>
      </c>
      <c r="V120" s="49">
        <f>IF(B120="","",IF(O120&lt;&gt;"Completed",IF(T120&gt;0,"Deposit","—"),IF(U120&lt;=0.005,"Paid",IF(T120&gt;0,"Partial","Unpaid"))))</f>
        <v/>
      </c>
      <c r="W120" s="55">
        <f>IF(B120="","",IFERROR(1/(1/INDEX('STAFF &amp; TASKS'!$C$5:$C$24,MATCH(H120,'STAFF &amp; TASKS'!$A$5:$A$24,0))),PayRate))</f>
        <v/>
      </c>
      <c r="X120" s="55">
        <f>IF(B120="","",IF(OR(O120="Cancelled",O120="No-Show"),"",ROUND(R120*W120*(1+Burden),2)))</f>
        <v/>
      </c>
      <c r="Y120" s="55">
        <f>IF(B120="","",IF(OR(O120="Cancelled",O120="No-Show"),"",IF(N120&lt;&gt;"",N120,ROUND(R120*SupHr*IFERROR(INDEX('PRICING'!$G$7:$G$16,MATCH(F120,'PRICING'!$A$7:$A$16,0)),1),2))))</f>
        <v/>
      </c>
      <c r="Z120" s="98">
        <f>IF(B120="","",SUMIFS('MILEAGE'!$J$5:$J$1504,'MILEAGE'!$B$5:$B$1504,A120))</f>
        <v/>
      </c>
      <c r="AA120" s="55">
        <f>IF(B120="","",ROUND(Z120*MileRate,2))</f>
        <v/>
      </c>
      <c r="AB120" s="55">
        <f>IF(B120="","",SUMIFS('REVENUE'!$J$5:$J$1504,'REVENUE'!$B$5:$B$1504,A120))</f>
        <v/>
      </c>
      <c r="AC120" s="55">
        <f>IF(L120="","",IF(OR(O120="Cancelled",O120="No-Show"),"",L120-N(X120)-N(Y120)-AA120-AB120))</f>
        <v/>
      </c>
      <c r="AD120" s="99">
        <f>IF(OR(AC120="",N(L120)=0),"",AC120/L120)</f>
        <v/>
      </c>
      <c r="AE120" s="55">
        <f>IF(OR(AC120="",N(R120)=0),"",L120/R120)</f>
        <v/>
      </c>
      <c r="AF120" s="100">
        <f>IF(OR(N(K120)=0,N(J120)+N(Q120)=0),"",K120-IF(N(J120)&gt;0,J120,Q120))</f>
        <v/>
      </c>
      <c r="AG120" s="99">
        <f>IF(B120="","",IFERROR(AVERAGEIFS('QUALITY CONTROL'!$M$5:$M$304,'QUALITY CONTROL'!$B$5:$B$304,A120),""))</f>
        <v/>
      </c>
      <c r="AH120" s="51">
        <f>IF(B120="","",DATE(YEAR(B120),MONTH(B120),1))</f>
        <v/>
      </c>
      <c r="AI120" s="49">
        <f>IF(D120="","",IFERROR(INDEX('CUSTOMERS'!$E$5:$E$404,MATCH(D120,'CUSTOMERS'!$B$5:$B$404,0)),""))</f>
        <v/>
      </c>
      <c r="AJ120" s="49">
        <f>IF(B120="","",N(C120))</f>
        <v/>
      </c>
      <c r="AK120" s="49">
        <f>IF(OR(B120="",O120="Cancelled",O120="Rescheduled"),"",B120&amp;"|"&amp;(COUNTIFS('JOBS'!$B$5:$B$1504,B120,'JOBS'!$AJ$5:$AJ$1504,"&lt;"&amp;AJ120,'JOBS'!$O$5:$O$1504,"&lt;&gt;Cancelled",'JOBS'!$O$5:$O$1504,"&lt;&gt;Rescheduled")+COUNTIFS($B$5:B120,B120,$AJ$5:AJ120,AJ120,$O$5:O120,"&lt;&gt;Cancelled",$O$5:O120,"&lt;&gt;Rescheduled")))</f>
        <v/>
      </c>
      <c r="AL120" s="49">
        <f>IF(N(U120)&lt;=0.005,"",COUNTIFS('JOBS'!$U$5:$U$1504,"&gt;0.005",'JOBS'!$B$5:$B$1504,"&lt;"&amp;B120)+COUNTIFS($U$5:U120,"&gt;0.005",$B$5:B120,B120))</f>
        <v/>
      </c>
    </row>
    <row r="121">
      <c r="A121" s="46" t="inlineStr">
        <is>
          <t>J-0117</t>
        </is>
      </c>
      <c r="B121" s="47" t="n">
        <v>46157</v>
      </c>
      <c r="C121" s="94" t="n">
        <v>0.4166666666666667</v>
      </c>
      <c r="D121" s="38" t="inlineStr">
        <is>
          <t>Oakview Office Suites (sample)</t>
        </is>
      </c>
      <c r="E121" s="38" t="inlineStr">
        <is>
          <t>957 Hawthorn Road, North Sampletown</t>
        </is>
      </c>
      <c r="F121" s="38" t="inlineStr">
        <is>
          <t>Commercial Clean</t>
        </is>
      </c>
      <c r="G121" s="38" t="inlineStr">
        <is>
          <t>R-012</t>
        </is>
      </c>
      <c r="H121" s="38" t="inlineStr">
        <is>
          <t>Kevin Osei</t>
        </is>
      </c>
      <c r="I121" s="57" t="n">
        <v>2</v>
      </c>
      <c r="J121" s="95" t="n"/>
      <c r="K121" s="95" t="n">
        <v>3.53</v>
      </c>
      <c r="L121" s="48" t="n">
        <v>140</v>
      </c>
      <c r="M121" s="96" t="n">
        <v>0</v>
      </c>
      <c r="N121" s="48" t="n"/>
      <c r="O121" s="38" t="inlineStr">
        <is>
          <t>Completed</t>
        </is>
      </c>
      <c r="P121" s="38" t="inlineStr"/>
      <c r="Q121" s="97">
        <f>IF(OR(F121="",E121=""),"",IFERROR(IF(INDEX('PROPERTIES'!$F$5:$F$404,MATCH(E121,'PROPERTIES'!$B$5:$B$404,0))=0,"",ROUND((INDEX('PROPERTIES'!$F$5:$F$404,MATCH(E121,'PROPERTIES'!$B$5:$B$404,0))/INDEX('PRICING'!$C$7:$C$16,MATCH(F121,'PRICING'!$A$7:$A$16,0))+INDEX('PROPERTIES'!$G$5:$G$404,MATCH(E121,'PROPERTIES'!$B$5:$B$404,0))*INDEX('PRICING'!$D$7:$D$16,MATCH(F121,'PRICING'!$A$7:$A$16,0))/60+INDEX('PROPERTIES'!$H$5:$H$404,MATCH(E121,'PROPERTIES'!$B$5:$B$404,0))*INDEX('PRICING'!$E$7:$E$16,MATCH(F121,'PRICING'!$A$7:$A$16,0))/60+INDEX('PRICING'!$F$7:$F$16,MATCH(F121,'PRICING'!$A$7:$A$16,0))/60),2)),""))</f>
        <v/>
      </c>
      <c r="R121" s="97">
        <f>IF(B121="","",IF(N(K121)&gt;0,K121,IF(N(J121)&gt;0,J121,N(Q121))))</f>
        <v/>
      </c>
      <c r="S121" s="55">
        <f>IF(L121="","",ROUND(L121*(1+N(M121)),2))</f>
        <v/>
      </c>
      <c r="T121" s="55">
        <f>IF(B121="","",SUMIFS('REVENUE'!$C$5:$C$1504,'REVENUE'!$B$5:$B$1504,A121))</f>
        <v/>
      </c>
      <c r="U121" s="55">
        <f>IF(B121="","",IF(O121="Completed",MAX(0,N(S121)-T121),""))</f>
        <v/>
      </c>
      <c r="V121" s="49">
        <f>IF(B121="","",IF(O121&lt;&gt;"Completed",IF(T121&gt;0,"Deposit","—"),IF(U121&lt;=0.005,"Paid",IF(T121&gt;0,"Partial","Unpaid"))))</f>
        <v/>
      </c>
      <c r="W121" s="55">
        <f>IF(B121="","",IFERROR(1/(1/INDEX('STAFF &amp; TASKS'!$C$5:$C$24,MATCH(H121,'STAFF &amp; TASKS'!$A$5:$A$24,0))),PayRate))</f>
        <v/>
      </c>
      <c r="X121" s="55">
        <f>IF(B121="","",IF(OR(O121="Cancelled",O121="No-Show"),"",ROUND(R121*W121*(1+Burden),2)))</f>
        <v/>
      </c>
      <c r="Y121" s="55">
        <f>IF(B121="","",IF(OR(O121="Cancelled",O121="No-Show"),"",IF(N121&lt;&gt;"",N121,ROUND(R121*SupHr*IFERROR(INDEX('PRICING'!$G$7:$G$16,MATCH(F121,'PRICING'!$A$7:$A$16,0)),1),2))))</f>
        <v/>
      </c>
      <c r="Z121" s="98">
        <f>IF(B121="","",SUMIFS('MILEAGE'!$J$5:$J$1504,'MILEAGE'!$B$5:$B$1504,A121))</f>
        <v/>
      </c>
      <c r="AA121" s="55">
        <f>IF(B121="","",ROUND(Z121*MileRate,2))</f>
        <v/>
      </c>
      <c r="AB121" s="55">
        <f>IF(B121="","",SUMIFS('REVENUE'!$J$5:$J$1504,'REVENUE'!$B$5:$B$1504,A121))</f>
        <v/>
      </c>
      <c r="AC121" s="55">
        <f>IF(L121="","",IF(OR(O121="Cancelled",O121="No-Show"),"",L121-N(X121)-N(Y121)-AA121-AB121))</f>
        <v/>
      </c>
      <c r="AD121" s="99">
        <f>IF(OR(AC121="",N(L121)=0),"",AC121/L121)</f>
        <v/>
      </c>
      <c r="AE121" s="55">
        <f>IF(OR(AC121="",N(R121)=0),"",L121/R121)</f>
        <v/>
      </c>
      <c r="AF121" s="100">
        <f>IF(OR(N(K121)=0,N(J121)+N(Q121)=0),"",K121-IF(N(J121)&gt;0,J121,Q121))</f>
        <v/>
      </c>
      <c r="AG121" s="99">
        <f>IF(B121="","",IFERROR(AVERAGEIFS('QUALITY CONTROL'!$M$5:$M$304,'QUALITY CONTROL'!$B$5:$B$304,A121),""))</f>
        <v/>
      </c>
      <c r="AH121" s="51">
        <f>IF(B121="","",DATE(YEAR(B121),MONTH(B121),1))</f>
        <v/>
      </c>
      <c r="AI121" s="49">
        <f>IF(D121="","",IFERROR(INDEX('CUSTOMERS'!$E$5:$E$404,MATCH(D121,'CUSTOMERS'!$B$5:$B$404,0)),""))</f>
        <v/>
      </c>
      <c r="AJ121" s="49">
        <f>IF(B121="","",N(C121))</f>
        <v/>
      </c>
      <c r="AK121" s="49">
        <f>IF(OR(B121="",O121="Cancelled",O121="Rescheduled"),"",B121&amp;"|"&amp;(COUNTIFS('JOBS'!$B$5:$B$1504,B121,'JOBS'!$AJ$5:$AJ$1504,"&lt;"&amp;AJ121,'JOBS'!$O$5:$O$1504,"&lt;&gt;Cancelled",'JOBS'!$O$5:$O$1504,"&lt;&gt;Rescheduled")+COUNTIFS($B$5:B121,B121,$AJ$5:AJ121,AJ121,$O$5:O121,"&lt;&gt;Cancelled",$O$5:O121,"&lt;&gt;Rescheduled")))</f>
        <v/>
      </c>
      <c r="AL121" s="49">
        <f>IF(N(U121)&lt;=0.005,"",COUNTIFS('JOBS'!$U$5:$U$1504,"&gt;0.005",'JOBS'!$B$5:$B$1504,"&lt;"&amp;B121)+COUNTIFS($U$5:U121,"&gt;0.005",$B$5:B121,B121))</f>
        <v/>
      </c>
    </row>
    <row r="122">
      <c r="A122" s="46" t="inlineStr">
        <is>
          <t>J-0118</t>
        </is>
      </c>
      <c r="B122" s="47" t="n">
        <v>46157</v>
      </c>
      <c r="C122" s="94" t="n">
        <v>0.5208333333333334</v>
      </c>
      <c r="D122" s="38" t="inlineStr">
        <is>
          <t>Blake Oakes</t>
        </is>
      </c>
      <c r="E122" s="38" t="inlineStr">
        <is>
          <t>654 Willow Way, North Sampletown</t>
        </is>
      </c>
      <c r="F122" s="38" t="inlineStr">
        <is>
          <t>Airbnb Turnover</t>
        </is>
      </c>
      <c r="G122" s="38" t="n"/>
      <c r="H122" s="38" t="inlineStr">
        <is>
          <t>Kevin Osei</t>
        </is>
      </c>
      <c r="I122" s="57" t="n">
        <v>1</v>
      </c>
      <c r="J122" s="95" t="n"/>
      <c r="K122" s="95" t="n">
        <v>1.9</v>
      </c>
      <c r="L122" s="48" t="n">
        <v>135</v>
      </c>
      <c r="M122" s="96" t="n">
        <v>0</v>
      </c>
      <c r="N122" s="48" t="n"/>
      <c r="O122" s="38" t="inlineStr">
        <is>
          <t>Completed</t>
        </is>
      </c>
      <c r="P122" s="38" t="inlineStr">
        <is>
          <t>Includes laundry</t>
        </is>
      </c>
      <c r="Q122" s="97">
        <f>IF(OR(F122="",E122=""),"",IFERROR(IF(INDEX('PROPERTIES'!$F$5:$F$404,MATCH(E122,'PROPERTIES'!$B$5:$B$404,0))=0,"",ROUND((INDEX('PROPERTIES'!$F$5:$F$404,MATCH(E122,'PROPERTIES'!$B$5:$B$404,0))/INDEX('PRICING'!$C$7:$C$16,MATCH(F122,'PRICING'!$A$7:$A$16,0))+INDEX('PROPERTIES'!$G$5:$G$404,MATCH(E122,'PROPERTIES'!$B$5:$B$404,0))*INDEX('PRICING'!$D$7:$D$16,MATCH(F122,'PRICING'!$A$7:$A$16,0))/60+INDEX('PROPERTIES'!$H$5:$H$404,MATCH(E122,'PROPERTIES'!$B$5:$B$404,0))*INDEX('PRICING'!$E$7:$E$16,MATCH(F122,'PRICING'!$A$7:$A$16,0))/60+INDEX('PRICING'!$F$7:$F$16,MATCH(F122,'PRICING'!$A$7:$A$16,0))/60),2)),""))</f>
        <v/>
      </c>
      <c r="R122" s="97">
        <f>IF(B122="","",IF(N(K122)&gt;0,K122,IF(N(J122)&gt;0,J122,N(Q122))))</f>
        <v/>
      </c>
      <c r="S122" s="55">
        <f>IF(L122="","",ROUND(L122*(1+N(M122)),2))</f>
        <v/>
      </c>
      <c r="T122" s="55">
        <f>IF(B122="","",SUMIFS('REVENUE'!$C$5:$C$1504,'REVENUE'!$B$5:$B$1504,A122))</f>
        <v/>
      </c>
      <c r="U122" s="55">
        <f>IF(B122="","",IF(O122="Completed",MAX(0,N(S122)-T122),""))</f>
        <v/>
      </c>
      <c r="V122" s="49">
        <f>IF(B122="","",IF(O122&lt;&gt;"Completed",IF(T122&gt;0,"Deposit","—"),IF(U122&lt;=0.005,"Paid",IF(T122&gt;0,"Partial","Unpaid"))))</f>
        <v/>
      </c>
      <c r="W122" s="55">
        <f>IF(B122="","",IFERROR(1/(1/INDEX('STAFF &amp; TASKS'!$C$5:$C$24,MATCH(H122,'STAFF &amp; TASKS'!$A$5:$A$24,0))),PayRate))</f>
        <v/>
      </c>
      <c r="X122" s="55">
        <f>IF(B122="","",IF(OR(O122="Cancelled",O122="No-Show"),"",ROUND(R122*W122*(1+Burden),2)))</f>
        <v/>
      </c>
      <c r="Y122" s="55">
        <f>IF(B122="","",IF(OR(O122="Cancelled",O122="No-Show"),"",IF(N122&lt;&gt;"",N122,ROUND(R122*SupHr*IFERROR(INDEX('PRICING'!$G$7:$G$16,MATCH(F122,'PRICING'!$A$7:$A$16,0)),1),2))))</f>
        <v/>
      </c>
      <c r="Z122" s="98">
        <f>IF(B122="","",SUMIFS('MILEAGE'!$J$5:$J$1504,'MILEAGE'!$B$5:$B$1504,A122))</f>
        <v/>
      </c>
      <c r="AA122" s="55">
        <f>IF(B122="","",ROUND(Z122*MileRate,2))</f>
        <v/>
      </c>
      <c r="AB122" s="55">
        <f>IF(B122="","",SUMIFS('REVENUE'!$J$5:$J$1504,'REVENUE'!$B$5:$B$1504,A122))</f>
        <v/>
      </c>
      <c r="AC122" s="55">
        <f>IF(L122="","",IF(OR(O122="Cancelled",O122="No-Show"),"",L122-N(X122)-N(Y122)-AA122-AB122))</f>
        <v/>
      </c>
      <c r="AD122" s="99">
        <f>IF(OR(AC122="",N(L122)=0),"",AC122/L122)</f>
        <v/>
      </c>
      <c r="AE122" s="55">
        <f>IF(OR(AC122="",N(R122)=0),"",L122/R122)</f>
        <v/>
      </c>
      <c r="AF122" s="100">
        <f>IF(OR(N(K122)=0,N(J122)+N(Q122)=0),"",K122-IF(N(J122)&gt;0,J122,Q122))</f>
        <v/>
      </c>
      <c r="AG122" s="99">
        <f>IF(B122="","",IFERROR(AVERAGEIFS('QUALITY CONTROL'!$M$5:$M$304,'QUALITY CONTROL'!$B$5:$B$304,A122),""))</f>
        <v/>
      </c>
      <c r="AH122" s="51">
        <f>IF(B122="","",DATE(YEAR(B122),MONTH(B122),1))</f>
        <v/>
      </c>
      <c r="AI122" s="49">
        <f>IF(D122="","",IFERROR(INDEX('CUSTOMERS'!$E$5:$E$404,MATCH(D122,'CUSTOMERS'!$B$5:$B$404,0)),""))</f>
        <v/>
      </c>
      <c r="AJ122" s="49">
        <f>IF(B122="","",N(C122))</f>
        <v/>
      </c>
      <c r="AK122" s="49">
        <f>IF(OR(B122="",O122="Cancelled",O122="Rescheduled"),"",B122&amp;"|"&amp;(COUNTIFS('JOBS'!$B$5:$B$1504,B122,'JOBS'!$AJ$5:$AJ$1504,"&lt;"&amp;AJ122,'JOBS'!$O$5:$O$1504,"&lt;&gt;Cancelled",'JOBS'!$O$5:$O$1504,"&lt;&gt;Rescheduled")+COUNTIFS($B$5:B122,B122,$AJ$5:AJ122,AJ122,$O$5:O122,"&lt;&gt;Cancelled",$O$5:O122,"&lt;&gt;Rescheduled")))</f>
        <v/>
      </c>
      <c r="AL122" s="49">
        <f>IF(N(U122)&lt;=0.005,"",COUNTIFS('JOBS'!$U$5:$U$1504,"&gt;0.005",'JOBS'!$B$5:$B$1504,"&lt;"&amp;B122)+COUNTIFS($U$5:U122,"&gt;0.005",$B$5:B122,B122))</f>
        <v/>
      </c>
    </row>
    <row r="123">
      <c r="A123" s="46" t="inlineStr">
        <is>
          <t>J-0119</t>
        </is>
      </c>
      <c r="B123" s="47" t="n">
        <v>46157</v>
      </c>
      <c r="C123" s="94" t="n">
        <v>0.625</v>
      </c>
      <c r="D123" s="38" t="inlineStr">
        <is>
          <t>Emerson Holloway</t>
        </is>
      </c>
      <c r="E123" s="38" t="inlineStr">
        <is>
          <t>192 Birch Lane, North Sampletown</t>
        </is>
      </c>
      <c r="F123" s="38" t="inlineStr">
        <is>
          <t>Airbnb Turnover</t>
        </is>
      </c>
      <c r="G123" s="38" t="n"/>
      <c r="H123" s="38" t="inlineStr">
        <is>
          <t>Kevin Osei</t>
        </is>
      </c>
      <c r="I123" s="57" t="n">
        <v>1</v>
      </c>
      <c r="J123" s="95" t="n"/>
      <c r="K123" s="95" t="n">
        <v>2.56</v>
      </c>
      <c r="L123" s="48" t="n">
        <v>150</v>
      </c>
      <c r="M123" s="96" t="n">
        <v>0</v>
      </c>
      <c r="N123" s="48" t="n"/>
      <c r="O123" s="38" t="inlineStr">
        <is>
          <t>Completed</t>
        </is>
      </c>
      <c r="P123" s="38" t="inlineStr">
        <is>
          <t>Includes laundry</t>
        </is>
      </c>
      <c r="Q123" s="97">
        <f>IF(OR(F123="",E123=""),"",IFERROR(IF(INDEX('PROPERTIES'!$F$5:$F$404,MATCH(E123,'PROPERTIES'!$B$5:$B$404,0))=0,"",ROUND((INDEX('PROPERTIES'!$F$5:$F$404,MATCH(E123,'PROPERTIES'!$B$5:$B$404,0))/INDEX('PRICING'!$C$7:$C$16,MATCH(F123,'PRICING'!$A$7:$A$16,0))+INDEX('PROPERTIES'!$G$5:$G$404,MATCH(E123,'PROPERTIES'!$B$5:$B$404,0))*INDEX('PRICING'!$D$7:$D$16,MATCH(F123,'PRICING'!$A$7:$A$16,0))/60+INDEX('PROPERTIES'!$H$5:$H$404,MATCH(E123,'PROPERTIES'!$B$5:$B$404,0))*INDEX('PRICING'!$E$7:$E$16,MATCH(F123,'PRICING'!$A$7:$A$16,0))/60+INDEX('PRICING'!$F$7:$F$16,MATCH(F123,'PRICING'!$A$7:$A$16,0))/60),2)),""))</f>
        <v/>
      </c>
      <c r="R123" s="97">
        <f>IF(B123="","",IF(N(K123)&gt;0,K123,IF(N(J123)&gt;0,J123,N(Q123))))</f>
        <v/>
      </c>
      <c r="S123" s="55">
        <f>IF(L123="","",ROUND(L123*(1+N(M123)),2))</f>
        <v/>
      </c>
      <c r="T123" s="55">
        <f>IF(B123="","",SUMIFS('REVENUE'!$C$5:$C$1504,'REVENUE'!$B$5:$B$1504,A123))</f>
        <v/>
      </c>
      <c r="U123" s="55">
        <f>IF(B123="","",IF(O123="Completed",MAX(0,N(S123)-T123),""))</f>
        <v/>
      </c>
      <c r="V123" s="49">
        <f>IF(B123="","",IF(O123&lt;&gt;"Completed",IF(T123&gt;0,"Deposit","—"),IF(U123&lt;=0.005,"Paid",IF(T123&gt;0,"Partial","Unpaid"))))</f>
        <v/>
      </c>
      <c r="W123" s="55">
        <f>IF(B123="","",IFERROR(1/(1/INDEX('STAFF &amp; TASKS'!$C$5:$C$24,MATCH(H123,'STAFF &amp; TASKS'!$A$5:$A$24,0))),PayRate))</f>
        <v/>
      </c>
      <c r="X123" s="55">
        <f>IF(B123="","",IF(OR(O123="Cancelled",O123="No-Show"),"",ROUND(R123*W123*(1+Burden),2)))</f>
        <v/>
      </c>
      <c r="Y123" s="55">
        <f>IF(B123="","",IF(OR(O123="Cancelled",O123="No-Show"),"",IF(N123&lt;&gt;"",N123,ROUND(R123*SupHr*IFERROR(INDEX('PRICING'!$G$7:$G$16,MATCH(F123,'PRICING'!$A$7:$A$16,0)),1),2))))</f>
        <v/>
      </c>
      <c r="Z123" s="98">
        <f>IF(B123="","",SUMIFS('MILEAGE'!$J$5:$J$1504,'MILEAGE'!$B$5:$B$1504,A123))</f>
        <v/>
      </c>
      <c r="AA123" s="55">
        <f>IF(B123="","",ROUND(Z123*MileRate,2))</f>
        <v/>
      </c>
      <c r="AB123" s="55">
        <f>IF(B123="","",SUMIFS('REVENUE'!$J$5:$J$1504,'REVENUE'!$B$5:$B$1504,A123))</f>
        <v/>
      </c>
      <c r="AC123" s="55">
        <f>IF(L123="","",IF(OR(O123="Cancelled",O123="No-Show"),"",L123-N(X123)-N(Y123)-AA123-AB123))</f>
        <v/>
      </c>
      <c r="AD123" s="99">
        <f>IF(OR(AC123="",N(L123)=0),"",AC123/L123)</f>
        <v/>
      </c>
      <c r="AE123" s="55">
        <f>IF(OR(AC123="",N(R123)=0),"",L123/R123)</f>
        <v/>
      </c>
      <c r="AF123" s="100">
        <f>IF(OR(N(K123)=0,N(J123)+N(Q123)=0),"",K123-IF(N(J123)&gt;0,J123,Q123))</f>
        <v/>
      </c>
      <c r="AG123" s="99">
        <f>IF(B123="","",IFERROR(AVERAGEIFS('QUALITY CONTROL'!$M$5:$M$304,'QUALITY CONTROL'!$B$5:$B$304,A123),""))</f>
        <v/>
      </c>
      <c r="AH123" s="51">
        <f>IF(B123="","",DATE(YEAR(B123),MONTH(B123),1))</f>
        <v/>
      </c>
      <c r="AI123" s="49">
        <f>IF(D123="","",IFERROR(INDEX('CUSTOMERS'!$E$5:$E$404,MATCH(D123,'CUSTOMERS'!$B$5:$B$404,0)),""))</f>
        <v/>
      </c>
      <c r="AJ123" s="49">
        <f>IF(B123="","",N(C123))</f>
        <v/>
      </c>
      <c r="AK123" s="49">
        <f>IF(OR(B123="",O123="Cancelled",O123="Rescheduled"),"",B123&amp;"|"&amp;(COUNTIFS('JOBS'!$B$5:$B$1504,B123,'JOBS'!$AJ$5:$AJ$1504,"&lt;"&amp;AJ123,'JOBS'!$O$5:$O$1504,"&lt;&gt;Cancelled",'JOBS'!$O$5:$O$1504,"&lt;&gt;Rescheduled")+COUNTIFS($B$5:B123,B123,$AJ$5:AJ123,AJ123,$O$5:O123,"&lt;&gt;Cancelled",$O$5:O123,"&lt;&gt;Rescheduled")))</f>
        <v/>
      </c>
      <c r="AL123" s="49">
        <f>IF(N(U123)&lt;=0.005,"",COUNTIFS('JOBS'!$U$5:$U$1504,"&gt;0.005",'JOBS'!$B$5:$B$1504,"&lt;"&amp;B123)+COUNTIFS($U$5:U123,"&gt;0.005",$B$5:B123,B123))</f>
        <v/>
      </c>
    </row>
    <row r="124">
      <c r="A124" s="46" t="inlineStr">
        <is>
          <t>J-0120</t>
        </is>
      </c>
      <c r="B124" s="47" t="n">
        <v>46158</v>
      </c>
      <c r="C124" s="94" t="n">
        <v>0.3333333333333333</v>
      </c>
      <c r="D124" s="38" t="inlineStr">
        <is>
          <t>Noel Collins</t>
        </is>
      </c>
      <c r="E124" s="38" t="inlineStr">
        <is>
          <t>964 Cedar Court, Lakeview (fictional)</t>
        </is>
      </c>
      <c r="F124" s="38" t="inlineStr">
        <is>
          <t>Standard Clean</t>
        </is>
      </c>
      <c r="G124" s="38" t="inlineStr">
        <is>
          <t>R-004</t>
        </is>
      </c>
      <c r="H124" s="38" t="inlineStr">
        <is>
          <t>Dana Whitfield</t>
        </is>
      </c>
      <c r="I124" s="57" t="n">
        <v>1</v>
      </c>
      <c r="J124" s="95" t="n"/>
      <c r="K124" s="95" t="n">
        <v>6.46</v>
      </c>
      <c r="L124" s="48" t="n">
        <v>245</v>
      </c>
      <c r="M124" s="96" t="n">
        <v>0</v>
      </c>
      <c r="N124" s="48" t="n"/>
      <c r="O124" s="38" t="inlineStr">
        <is>
          <t>Completed</t>
        </is>
      </c>
      <c r="P124" s="38" t="inlineStr"/>
      <c r="Q124" s="97">
        <f>IF(OR(F124="",E124=""),"",IFERROR(IF(INDEX('PROPERTIES'!$F$5:$F$404,MATCH(E124,'PROPERTIES'!$B$5:$B$404,0))=0,"",ROUND((INDEX('PROPERTIES'!$F$5:$F$404,MATCH(E124,'PROPERTIES'!$B$5:$B$404,0))/INDEX('PRICING'!$C$7:$C$16,MATCH(F124,'PRICING'!$A$7:$A$16,0))+INDEX('PROPERTIES'!$G$5:$G$404,MATCH(E124,'PROPERTIES'!$B$5:$B$404,0))*INDEX('PRICING'!$D$7:$D$16,MATCH(F124,'PRICING'!$A$7:$A$16,0))/60+INDEX('PROPERTIES'!$H$5:$H$404,MATCH(E124,'PROPERTIES'!$B$5:$B$404,0))*INDEX('PRICING'!$E$7:$E$16,MATCH(F124,'PRICING'!$A$7:$A$16,0))/60+INDEX('PRICING'!$F$7:$F$16,MATCH(F124,'PRICING'!$A$7:$A$16,0))/60),2)),""))</f>
        <v/>
      </c>
      <c r="R124" s="97">
        <f>IF(B124="","",IF(N(K124)&gt;0,K124,IF(N(J124)&gt;0,J124,N(Q124))))</f>
        <v/>
      </c>
      <c r="S124" s="55">
        <f>IF(L124="","",ROUND(L124*(1+N(M124)),2))</f>
        <v/>
      </c>
      <c r="T124" s="55">
        <f>IF(B124="","",SUMIFS('REVENUE'!$C$5:$C$1504,'REVENUE'!$B$5:$B$1504,A124))</f>
        <v/>
      </c>
      <c r="U124" s="55">
        <f>IF(B124="","",IF(O124="Completed",MAX(0,N(S124)-T124),""))</f>
        <v/>
      </c>
      <c r="V124" s="49">
        <f>IF(B124="","",IF(O124&lt;&gt;"Completed",IF(T124&gt;0,"Deposit","—"),IF(U124&lt;=0.005,"Paid",IF(T124&gt;0,"Partial","Unpaid"))))</f>
        <v/>
      </c>
      <c r="W124" s="55">
        <f>IF(B124="","",IFERROR(1/(1/INDEX('STAFF &amp; TASKS'!$C$5:$C$24,MATCH(H124,'STAFF &amp; TASKS'!$A$5:$A$24,0))),PayRate))</f>
        <v/>
      </c>
      <c r="X124" s="55">
        <f>IF(B124="","",IF(OR(O124="Cancelled",O124="No-Show"),"",ROUND(R124*W124*(1+Burden),2)))</f>
        <v/>
      </c>
      <c r="Y124" s="55">
        <f>IF(B124="","",IF(OR(O124="Cancelled",O124="No-Show"),"",IF(N124&lt;&gt;"",N124,ROUND(R124*SupHr*IFERROR(INDEX('PRICING'!$G$7:$G$16,MATCH(F124,'PRICING'!$A$7:$A$16,0)),1),2))))</f>
        <v/>
      </c>
      <c r="Z124" s="98">
        <f>IF(B124="","",SUMIFS('MILEAGE'!$J$5:$J$1504,'MILEAGE'!$B$5:$B$1504,A124))</f>
        <v/>
      </c>
      <c r="AA124" s="55">
        <f>IF(B124="","",ROUND(Z124*MileRate,2))</f>
        <v/>
      </c>
      <c r="AB124" s="55">
        <f>IF(B124="","",SUMIFS('REVENUE'!$J$5:$J$1504,'REVENUE'!$B$5:$B$1504,A124))</f>
        <v/>
      </c>
      <c r="AC124" s="55">
        <f>IF(L124="","",IF(OR(O124="Cancelled",O124="No-Show"),"",L124-N(X124)-N(Y124)-AA124-AB124))</f>
        <v/>
      </c>
      <c r="AD124" s="99">
        <f>IF(OR(AC124="",N(L124)=0),"",AC124/L124)</f>
        <v/>
      </c>
      <c r="AE124" s="55">
        <f>IF(OR(AC124="",N(R124)=0),"",L124/R124)</f>
        <v/>
      </c>
      <c r="AF124" s="100">
        <f>IF(OR(N(K124)=0,N(J124)+N(Q124)=0),"",K124-IF(N(J124)&gt;0,J124,Q124))</f>
        <v/>
      </c>
      <c r="AG124" s="99">
        <f>IF(B124="","",IFERROR(AVERAGEIFS('QUALITY CONTROL'!$M$5:$M$304,'QUALITY CONTROL'!$B$5:$B$304,A124),""))</f>
        <v/>
      </c>
      <c r="AH124" s="51">
        <f>IF(B124="","",DATE(YEAR(B124),MONTH(B124),1))</f>
        <v/>
      </c>
      <c r="AI124" s="49">
        <f>IF(D124="","",IFERROR(INDEX('CUSTOMERS'!$E$5:$E$404,MATCH(D124,'CUSTOMERS'!$B$5:$B$404,0)),""))</f>
        <v/>
      </c>
      <c r="AJ124" s="49">
        <f>IF(B124="","",N(C124))</f>
        <v/>
      </c>
      <c r="AK124" s="49">
        <f>IF(OR(B124="",O124="Cancelled",O124="Rescheduled"),"",B124&amp;"|"&amp;(COUNTIFS('JOBS'!$B$5:$B$1504,B124,'JOBS'!$AJ$5:$AJ$1504,"&lt;"&amp;AJ124,'JOBS'!$O$5:$O$1504,"&lt;&gt;Cancelled",'JOBS'!$O$5:$O$1504,"&lt;&gt;Rescheduled")+COUNTIFS($B$5:B124,B124,$AJ$5:AJ124,AJ124,$O$5:O124,"&lt;&gt;Cancelled",$O$5:O124,"&lt;&gt;Rescheduled")))</f>
        <v/>
      </c>
      <c r="AL124" s="49">
        <f>IF(N(U124)&lt;=0.005,"",COUNTIFS('JOBS'!$U$5:$U$1504,"&gt;0.005",'JOBS'!$B$5:$B$1504,"&lt;"&amp;B124)+COUNTIFS($U$5:U124,"&gt;0.005",$B$5:B124,B124))</f>
        <v/>
      </c>
    </row>
    <row r="125">
      <c r="A125" s="46" t="inlineStr">
        <is>
          <t>J-0121</t>
        </is>
      </c>
      <c r="B125" s="47" t="n">
        <v>46160</v>
      </c>
      <c r="C125" s="94" t="n">
        <v>0.5833333333333334</v>
      </c>
      <c r="D125" s="38" t="inlineStr">
        <is>
          <t>Parker Lockhart</t>
        </is>
      </c>
      <c r="E125" s="38" t="inlineStr">
        <is>
          <t>412 Linden Place, Sampletown</t>
        </is>
      </c>
      <c r="F125" s="38" t="inlineStr">
        <is>
          <t>Airbnb Turnover</t>
        </is>
      </c>
      <c r="G125" s="38" t="n"/>
      <c r="H125" s="38" t="inlineStr">
        <is>
          <t>Kevin Osei</t>
        </is>
      </c>
      <c r="I125" s="57" t="n">
        <v>1</v>
      </c>
      <c r="J125" s="95" t="n"/>
      <c r="K125" s="95" t="n">
        <v>1.76</v>
      </c>
      <c r="L125" s="48" t="n">
        <v>150</v>
      </c>
      <c r="M125" s="96" t="n">
        <v>0</v>
      </c>
      <c r="N125" s="48" t="n"/>
      <c r="O125" s="38" t="inlineStr">
        <is>
          <t>Completed</t>
        </is>
      </c>
      <c r="P125" s="38" t="inlineStr">
        <is>
          <t>Includes laundry</t>
        </is>
      </c>
      <c r="Q125" s="97">
        <f>IF(OR(F125="",E125=""),"",IFERROR(IF(INDEX('PROPERTIES'!$F$5:$F$404,MATCH(E125,'PROPERTIES'!$B$5:$B$404,0))=0,"",ROUND((INDEX('PROPERTIES'!$F$5:$F$404,MATCH(E125,'PROPERTIES'!$B$5:$B$404,0))/INDEX('PRICING'!$C$7:$C$16,MATCH(F125,'PRICING'!$A$7:$A$16,0))+INDEX('PROPERTIES'!$G$5:$G$404,MATCH(E125,'PROPERTIES'!$B$5:$B$404,0))*INDEX('PRICING'!$D$7:$D$16,MATCH(F125,'PRICING'!$A$7:$A$16,0))/60+INDEX('PROPERTIES'!$H$5:$H$404,MATCH(E125,'PROPERTIES'!$B$5:$B$404,0))*INDEX('PRICING'!$E$7:$E$16,MATCH(F125,'PRICING'!$A$7:$A$16,0))/60+INDEX('PRICING'!$F$7:$F$16,MATCH(F125,'PRICING'!$A$7:$A$16,0))/60),2)),""))</f>
        <v/>
      </c>
      <c r="R125" s="97">
        <f>IF(B125="","",IF(N(K125)&gt;0,K125,IF(N(J125)&gt;0,J125,N(Q125))))</f>
        <v/>
      </c>
      <c r="S125" s="55">
        <f>IF(L125="","",ROUND(L125*(1+N(M125)),2))</f>
        <v/>
      </c>
      <c r="T125" s="55">
        <f>IF(B125="","",SUMIFS('REVENUE'!$C$5:$C$1504,'REVENUE'!$B$5:$B$1504,A125))</f>
        <v/>
      </c>
      <c r="U125" s="55">
        <f>IF(B125="","",IF(O125="Completed",MAX(0,N(S125)-T125),""))</f>
        <v/>
      </c>
      <c r="V125" s="49">
        <f>IF(B125="","",IF(O125&lt;&gt;"Completed",IF(T125&gt;0,"Deposit","—"),IF(U125&lt;=0.005,"Paid",IF(T125&gt;0,"Partial","Unpaid"))))</f>
        <v/>
      </c>
      <c r="W125" s="55">
        <f>IF(B125="","",IFERROR(1/(1/INDEX('STAFF &amp; TASKS'!$C$5:$C$24,MATCH(H125,'STAFF &amp; TASKS'!$A$5:$A$24,0))),PayRate))</f>
        <v/>
      </c>
      <c r="X125" s="55">
        <f>IF(B125="","",IF(OR(O125="Cancelled",O125="No-Show"),"",ROUND(R125*W125*(1+Burden),2)))</f>
        <v/>
      </c>
      <c r="Y125" s="55">
        <f>IF(B125="","",IF(OR(O125="Cancelled",O125="No-Show"),"",IF(N125&lt;&gt;"",N125,ROUND(R125*SupHr*IFERROR(INDEX('PRICING'!$G$7:$G$16,MATCH(F125,'PRICING'!$A$7:$A$16,0)),1),2))))</f>
        <v/>
      </c>
      <c r="Z125" s="98">
        <f>IF(B125="","",SUMIFS('MILEAGE'!$J$5:$J$1504,'MILEAGE'!$B$5:$B$1504,A125))</f>
        <v/>
      </c>
      <c r="AA125" s="55">
        <f>IF(B125="","",ROUND(Z125*MileRate,2))</f>
        <v/>
      </c>
      <c r="AB125" s="55">
        <f>IF(B125="","",SUMIFS('REVENUE'!$J$5:$J$1504,'REVENUE'!$B$5:$B$1504,A125))</f>
        <v/>
      </c>
      <c r="AC125" s="55">
        <f>IF(L125="","",IF(OR(O125="Cancelled",O125="No-Show"),"",L125-N(X125)-N(Y125)-AA125-AB125))</f>
        <v/>
      </c>
      <c r="AD125" s="99">
        <f>IF(OR(AC125="",N(L125)=0),"",AC125/L125)</f>
        <v/>
      </c>
      <c r="AE125" s="55">
        <f>IF(OR(AC125="",N(R125)=0),"",L125/R125)</f>
        <v/>
      </c>
      <c r="AF125" s="100">
        <f>IF(OR(N(K125)=0,N(J125)+N(Q125)=0),"",K125-IF(N(J125)&gt;0,J125,Q125))</f>
        <v/>
      </c>
      <c r="AG125" s="99">
        <f>IF(B125="","",IFERROR(AVERAGEIFS('QUALITY CONTROL'!$M$5:$M$304,'QUALITY CONTROL'!$B$5:$B$304,A125),""))</f>
        <v/>
      </c>
      <c r="AH125" s="51">
        <f>IF(B125="","",DATE(YEAR(B125),MONTH(B125),1))</f>
        <v/>
      </c>
      <c r="AI125" s="49">
        <f>IF(D125="","",IFERROR(INDEX('CUSTOMERS'!$E$5:$E$404,MATCH(D125,'CUSTOMERS'!$B$5:$B$404,0)),""))</f>
        <v/>
      </c>
      <c r="AJ125" s="49">
        <f>IF(B125="","",N(C125))</f>
        <v/>
      </c>
      <c r="AK125" s="49">
        <f>IF(OR(B125="",O125="Cancelled",O125="Rescheduled"),"",B125&amp;"|"&amp;(COUNTIFS('JOBS'!$B$5:$B$1504,B125,'JOBS'!$AJ$5:$AJ$1504,"&lt;"&amp;AJ125,'JOBS'!$O$5:$O$1504,"&lt;&gt;Cancelled",'JOBS'!$O$5:$O$1504,"&lt;&gt;Rescheduled")+COUNTIFS($B$5:B125,B125,$AJ$5:AJ125,AJ125,$O$5:O125,"&lt;&gt;Cancelled",$O$5:O125,"&lt;&gt;Rescheduled")))</f>
        <v/>
      </c>
      <c r="AL125" s="49">
        <f>IF(N(U125)&lt;=0.005,"",COUNTIFS('JOBS'!$U$5:$U$1504,"&gt;0.005",'JOBS'!$B$5:$B$1504,"&lt;"&amp;B125)+COUNTIFS($U$5:U125,"&gt;0.005",$B$5:B125,B125))</f>
        <v/>
      </c>
    </row>
    <row r="126">
      <c r="A126" s="46" t="inlineStr">
        <is>
          <t>J-0122</t>
        </is>
      </c>
      <c r="B126" s="47" t="n">
        <v>46161</v>
      </c>
      <c r="C126" s="94" t="n">
        <v>0.5416666666666666</v>
      </c>
      <c r="D126" s="38" t="inlineStr">
        <is>
          <t>Lane Ivers</t>
        </is>
      </c>
      <c r="E126" s="38" t="inlineStr">
        <is>
          <t>497 Aspen Drive, Sampletown</t>
        </is>
      </c>
      <c r="F126" s="38" t="inlineStr">
        <is>
          <t>Standard Clean</t>
        </is>
      </c>
      <c r="G126" s="38" t="inlineStr">
        <is>
          <t>R-001</t>
        </is>
      </c>
      <c r="H126" s="38" t="inlineStr">
        <is>
          <t>Maria Lopez</t>
        </is>
      </c>
      <c r="I126" s="57" t="n">
        <v>1</v>
      </c>
      <c r="J126" s="95" t="n"/>
      <c r="K126" s="95" t="n">
        <v>4.21</v>
      </c>
      <c r="L126" s="48" t="n">
        <v>175</v>
      </c>
      <c r="M126" s="96" t="n">
        <v>0</v>
      </c>
      <c r="N126" s="48" t="n"/>
      <c r="O126" s="38" t="inlineStr">
        <is>
          <t>Completed</t>
        </is>
      </c>
      <c r="P126" s="38" t="inlineStr"/>
      <c r="Q126" s="97">
        <f>IF(OR(F126="",E126=""),"",IFERROR(IF(INDEX('PROPERTIES'!$F$5:$F$404,MATCH(E126,'PROPERTIES'!$B$5:$B$404,0))=0,"",ROUND((INDEX('PROPERTIES'!$F$5:$F$404,MATCH(E126,'PROPERTIES'!$B$5:$B$404,0))/INDEX('PRICING'!$C$7:$C$16,MATCH(F126,'PRICING'!$A$7:$A$16,0))+INDEX('PROPERTIES'!$G$5:$G$404,MATCH(E126,'PROPERTIES'!$B$5:$B$404,0))*INDEX('PRICING'!$D$7:$D$16,MATCH(F126,'PRICING'!$A$7:$A$16,0))/60+INDEX('PROPERTIES'!$H$5:$H$404,MATCH(E126,'PROPERTIES'!$B$5:$B$404,0))*INDEX('PRICING'!$E$7:$E$16,MATCH(F126,'PRICING'!$A$7:$A$16,0))/60+INDEX('PRICING'!$F$7:$F$16,MATCH(F126,'PRICING'!$A$7:$A$16,0))/60),2)),""))</f>
        <v/>
      </c>
      <c r="R126" s="97">
        <f>IF(B126="","",IF(N(K126)&gt;0,K126,IF(N(J126)&gt;0,J126,N(Q126))))</f>
        <v/>
      </c>
      <c r="S126" s="55">
        <f>IF(L126="","",ROUND(L126*(1+N(M126)),2))</f>
        <v/>
      </c>
      <c r="T126" s="55">
        <f>IF(B126="","",SUMIFS('REVENUE'!$C$5:$C$1504,'REVENUE'!$B$5:$B$1504,A126))</f>
        <v/>
      </c>
      <c r="U126" s="55">
        <f>IF(B126="","",IF(O126="Completed",MAX(0,N(S126)-T126),""))</f>
        <v/>
      </c>
      <c r="V126" s="49">
        <f>IF(B126="","",IF(O126&lt;&gt;"Completed",IF(T126&gt;0,"Deposit","—"),IF(U126&lt;=0.005,"Paid",IF(T126&gt;0,"Partial","Unpaid"))))</f>
        <v/>
      </c>
      <c r="W126" s="55">
        <f>IF(B126="","",IFERROR(1/(1/INDEX('STAFF &amp; TASKS'!$C$5:$C$24,MATCH(H126,'STAFF &amp; TASKS'!$A$5:$A$24,0))),PayRate))</f>
        <v/>
      </c>
      <c r="X126" s="55">
        <f>IF(B126="","",IF(OR(O126="Cancelled",O126="No-Show"),"",ROUND(R126*W126*(1+Burden),2)))</f>
        <v/>
      </c>
      <c r="Y126" s="55">
        <f>IF(B126="","",IF(OR(O126="Cancelled",O126="No-Show"),"",IF(N126&lt;&gt;"",N126,ROUND(R126*SupHr*IFERROR(INDEX('PRICING'!$G$7:$G$16,MATCH(F126,'PRICING'!$A$7:$A$16,0)),1),2))))</f>
        <v/>
      </c>
      <c r="Z126" s="98">
        <f>IF(B126="","",SUMIFS('MILEAGE'!$J$5:$J$1504,'MILEAGE'!$B$5:$B$1504,A126))</f>
        <v/>
      </c>
      <c r="AA126" s="55">
        <f>IF(B126="","",ROUND(Z126*MileRate,2))</f>
        <v/>
      </c>
      <c r="AB126" s="55">
        <f>IF(B126="","",SUMIFS('REVENUE'!$J$5:$J$1504,'REVENUE'!$B$5:$B$1504,A126))</f>
        <v/>
      </c>
      <c r="AC126" s="55">
        <f>IF(L126="","",IF(OR(O126="Cancelled",O126="No-Show"),"",L126-N(X126)-N(Y126)-AA126-AB126))</f>
        <v/>
      </c>
      <c r="AD126" s="99">
        <f>IF(OR(AC126="",N(L126)=0),"",AC126/L126)</f>
        <v/>
      </c>
      <c r="AE126" s="55">
        <f>IF(OR(AC126="",N(R126)=0),"",L126/R126)</f>
        <v/>
      </c>
      <c r="AF126" s="100">
        <f>IF(OR(N(K126)=0,N(J126)+N(Q126)=0),"",K126-IF(N(J126)&gt;0,J126,Q126))</f>
        <v/>
      </c>
      <c r="AG126" s="99">
        <f>IF(B126="","",IFERROR(AVERAGEIFS('QUALITY CONTROL'!$M$5:$M$304,'QUALITY CONTROL'!$B$5:$B$304,A126),""))</f>
        <v/>
      </c>
      <c r="AH126" s="51">
        <f>IF(B126="","",DATE(YEAR(B126),MONTH(B126),1))</f>
        <v/>
      </c>
      <c r="AI126" s="49">
        <f>IF(D126="","",IFERROR(INDEX('CUSTOMERS'!$E$5:$E$404,MATCH(D126,'CUSTOMERS'!$B$5:$B$404,0)),""))</f>
        <v/>
      </c>
      <c r="AJ126" s="49">
        <f>IF(B126="","",N(C126))</f>
        <v/>
      </c>
      <c r="AK126" s="49">
        <f>IF(OR(B126="",O126="Cancelled",O126="Rescheduled"),"",B126&amp;"|"&amp;(COUNTIFS('JOBS'!$B$5:$B$1504,B126,'JOBS'!$AJ$5:$AJ$1504,"&lt;"&amp;AJ126,'JOBS'!$O$5:$O$1504,"&lt;&gt;Cancelled",'JOBS'!$O$5:$O$1504,"&lt;&gt;Rescheduled")+COUNTIFS($B$5:B126,B126,$AJ$5:AJ126,AJ126,$O$5:O126,"&lt;&gt;Cancelled",$O$5:O126,"&lt;&gt;Rescheduled")))</f>
        <v/>
      </c>
      <c r="AL126" s="49">
        <f>IF(N(U126)&lt;=0.005,"",COUNTIFS('JOBS'!$U$5:$U$1504,"&gt;0.005",'JOBS'!$B$5:$B$1504,"&lt;"&amp;B126)+COUNTIFS($U$5:U126,"&gt;0.005",$B$5:B126,B126))</f>
        <v/>
      </c>
    </row>
    <row r="127">
      <c r="A127" s="46" t="inlineStr">
        <is>
          <t>J-0123</t>
        </is>
      </c>
      <c r="B127" s="47" t="n">
        <v>46163</v>
      </c>
      <c r="C127" s="94" t="n">
        <v>0.3333333333333333</v>
      </c>
      <c r="D127" s="38" t="inlineStr">
        <is>
          <t>Lane Northcott</t>
        </is>
      </c>
      <c r="E127" s="38" t="inlineStr">
        <is>
          <t>102 Hawthorn Road, Lakeview (fictional)</t>
        </is>
      </c>
      <c r="F127" s="38" t="inlineStr">
        <is>
          <t>Standard Clean</t>
        </is>
      </c>
      <c r="G127" s="38" t="inlineStr">
        <is>
          <t>R-010</t>
        </is>
      </c>
      <c r="H127" s="38" t="inlineStr">
        <is>
          <t>Dana Whitfield</t>
        </is>
      </c>
      <c r="I127" s="57" t="n">
        <v>1</v>
      </c>
      <c r="J127" s="95" t="n"/>
      <c r="K127" s="95" t="n">
        <v>2.95</v>
      </c>
      <c r="L127" s="48" t="n">
        <v>150</v>
      </c>
      <c r="M127" s="96" t="n">
        <v>0</v>
      </c>
      <c r="N127" s="48" t="n"/>
      <c r="O127" s="38" t="inlineStr">
        <is>
          <t>Completed</t>
        </is>
      </c>
      <c r="P127" s="38" t="inlineStr"/>
      <c r="Q127" s="97">
        <f>IF(OR(F127="",E127=""),"",IFERROR(IF(INDEX('PROPERTIES'!$F$5:$F$404,MATCH(E127,'PROPERTIES'!$B$5:$B$404,0))=0,"",ROUND((INDEX('PROPERTIES'!$F$5:$F$404,MATCH(E127,'PROPERTIES'!$B$5:$B$404,0))/INDEX('PRICING'!$C$7:$C$16,MATCH(F127,'PRICING'!$A$7:$A$16,0))+INDEX('PROPERTIES'!$G$5:$G$404,MATCH(E127,'PROPERTIES'!$B$5:$B$404,0))*INDEX('PRICING'!$D$7:$D$16,MATCH(F127,'PRICING'!$A$7:$A$16,0))/60+INDEX('PROPERTIES'!$H$5:$H$404,MATCH(E127,'PROPERTIES'!$B$5:$B$404,0))*INDEX('PRICING'!$E$7:$E$16,MATCH(F127,'PRICING'!$A$7:$A$16,0))/60+INDEX('PRICING'!$F$7:$F$16,MATCH(F127,'PRICING'!$A$7:$A$16,0))/60),2)),""))</f>
        <v/>
      </c>
      <c r="R127" s="97">
        <f>IF(B127="","",IF(N(K127)&gt;0,K127,IF(N(J127)&gt;0,J127,N(Q127))))</f>
        <v/>
      </c>
      <c r="S127" s="55">
        <f>IF(L127="","",ROUND(L127*(1+N(M127)),2))</f>
        <v/>
      </c>
      <c r="T127" s="55">
        <f>IF(B127="","",SUMIFS('REVENUE'!$C$5:$C$1504,'REVENUE'!$B$5:$B$1504,A127))</f>
        <v/>
      </c>
      <c r="U127" s="55">
        <f>IF(B127="","",IF(O127="Completed",MAX(0,N(S127)-T127),""))</f>
        <v/>
      </c>
      <c r="V127" s="49">
        <f>IF(B127="","",IF(O127&lt;&gt;"Completed",IF(T127&gt;0,"Deposit","—"),IF(U127&lt;=0.005,"Paid",IF(T127&gt;0,"Partial","Unpaid"))))</f>
        <v/>
      </c>
      <c r="W127" s="55">
        <f>IF(B127="","",IFERROR(1/(1/INDEX('STAFF &amp; TASKS'!$C$5:$C$24,MATCH(H127,'STAFF &amp; TASKS'!$A$5:$A$24,0))),PayRate))</f>
        <v/>
      </c>
      <c r="X127" s="55">
        <f>IF(B127="","",IF(OR(O127="Cancelled",O127="No-Show"),"",ROUND(R127*W127*(1+Burden),2)))</f>
        <v/>
      </c>
      <c r="Y127" s="55">
        <f>IF(B127="","",IF(OR(O127="Cancelled",O127="No-Show"),"",IF(N127&lt;&gt;"",N127,ROUND(R127*SupHr*IFERROR(INDEX('PRICING'!$G$7:$G$16,MATCH(F127,'PRICING'!$A$7:$A$16,0)),1),2))))</f>
        <v/>
      </c>
      <c r="Z127" s="98">
        <f>IF(B127="","",SUMIFS('MILEAGE'!$J$5:$J$1504,'MILEAGE'!$B$5:$B$1504,A127))</f>
        <v/>
      </c>
      <c r="AA127" s="55">
        <f>IF(B127="","",ROUND(Z127*MileRate,2))</f>
        <v/>
      </c>
      <c r="AB127" s="55">
        <f>IF(B127="","",SUMIFS('REVENUE'!$J$5:$J$1504,'REVENUE'!$B$5:$B$1504,A127))</f>
        <v/>
      </c>
      <c r="AC127" s="55">
        <f>IF(L127="","",IF(OR(O127="Cancelled",O127="No-Show"),"",L127-N(X127)-N(Y127)-AA127-AB127))</f>
        <v/>
      </c>
      <c r="AD127" s="99">
        <f>IF(OR(AC127="",N(L127)=0),"",AC127/L127)</f>
        <v/>
      </c>
      <c r="AE127" s="55">
        <f>IF(OR(AC127="",N(R127)=0),"",L127/R127)</f>
        <v/>
      </c>
      <c r="AF127" s="100">
        <f>IF(OR(N(K127)=0,N(J127)+N(Q127)=0),"",K127-IF(N(J127)&gt;0,J127,Q127))</f>
        <v/>
      </c>
      <c r="AG127" s="99">
        <f>IF(B127="","",IFERROR(AVERAGEIFS('QUALITY CONTROL'!$M$5:$M$304,'QUALITY CONTROL'!$B$5:$B$304,A127),""))</f>
        <v/>
      </c>
      <c r="AH127" s="51">
        <f>IF(B127="","",DATE(YEAR(B127),MONTH(B127),1))</f>
        <v/>
      </c>
      <c r="AI127" s="49">
        <f>IF(D127="","",IFERROR(INDEX('CUSTOMERS'!$E$5:$E$404,MATCH(D127,'CUSTOMERS'!$B$5:$B$404,0)),""))</f>
        <v/>
      </c>
      <c r="AJ127" s="49">
        <f>IF(B127="","",N(C127))</f>
        <v/>
      </c>
      <c r="AK127" s="49">
        <f>IF(OR(B127="",O127="Cancelled",O127="Rescheduled"),"",B127&amp;"|"&amp;(COUNTIFS('JOBS'!$B$5:$B$1504,B127,'JOBS'!$AJ$5:$AJ$1504,"&lt;"&amp;AJ127,'JOBS'!$O$5:$O$1504,"&lt;&gt;Cancelled",'JOBS'!$O$5:$O$1504,"&lt;&gt;Rescheduled")+COUNTIFS($B$5:B127,B127,$AJ$5:AJ127,AJ127,$O$5:O127,"&lt;&gt;Cancelled",$O$5:O127,"&lt;&gt;Rescheduled")))</f>
        <v/>
      </c>
      <c r="AL127" s="49">
        <f>IF(N(U127)&lt;=0.005,"",COUNTIFS('JOBS'!$U$5:$U$1504,"&gt;0.005",'JOBS'!$B$5:$B$1504,"&lt;"&amp;B127)+COUNTIFS($U$5:U127,"&gt;0.005",$B$5:B127,B127))</f>
        <v/>
      </c>
    </row>
    <row r="128">
      <c r="A128" s="46" t="inlineStr">
        <is>
          <t>J-0124</t>
        </is>
      </c>
      <c r="B128" s="47" t="n">
        <v>46163</v>
      </c>
      <c r="C128" s="94" t="n">
        <v>0.4166666666666667</v>
      </c>
      <c r="D128" s="38" t="inlineStr">
        <is>
          <t>Dana Ivers</t>
        </is>
      </c>
      <c r="E128" s="38" t="inlineStr">
        <is>
          <t>129 Elm Terrace, North Sampletown</t>
        </is>
      </c>
      <c r="F128" s="38" t="inlineStr">
        <is>
          <t>Standard Clean</t>
        </is>
      </c>
      <c r="G128" s="38" t="inlineStr">
        <is>
          <t>R-008</t>
        </is>
      </c>
      <c r="H128" s="38" t="inlineStr">
        <is>
          <t>Dana Whitfield</t>
        </is>
      </c>
      <c r="I128" s="57" t="n">
        <v>1</v>
      </c>
      <c r="J128" s="95" t="n"/>
      <c r="K128" s="95" t="n">
        <v>6.88</v>
      </c>
      <c r="L128" s="48" t="n">
        <v>255</v>
      </c>
      <c r="M128" s="96" t="n">
        <v>0</v>
      </c>
      <c r="N128" s="48" t="n"/>
      <c r="O128" s="38" t="inlineStr">
        <is>
          <t>Completed</t>
        </is>
      </c>
      <c r="P128" s="38" t="inlineStr"/>
      <c r="Q128" s="97">
        <f>IF(OR(F128="",E128=""),"",IFERROR(IF(INDEX('PROPERTIES'!$F$5:$F$404,MATCH(E128,'PROPERTIES'!$B$5:$B$404,0))=0,"",ROUND((INDEX('PROPERTIES'!$F$5:$F$404,MATCH(E128,'PROPERTIES'!$B$5:$B$404,0))/INDEX('PRICING'!$C$7:$C$16,MATCH(F128,'PRICING'!$A$7:$A$16,0))+INDEX('PROPERTIES'!$G$5:$G$404,MATCH(E128,'PROPERTIES'!$B$5:$B$404,0))*INDEX('PRICING'!$D$7:$D$16,MATCH(F128,'PRICING'!$A$7:$A$16,0))/60+INDEX('PROPERTIES'!$H$5:$H$404,MATCH(E128,'PROPERTIES'!$B$5:$B$404,0))*INDEX('PRICING'!$E$7:$E$16,MATCH(F128,'PRICING'!$A$7:$A$16,0))/60+INDEX('PRICING'!$F$7:$F$16,MATCH(F128,'PRICING'!$A$7:$A$16,0))/60),2)),""))</f>
        <v/>
      </c>
      <c r="R128" s="97">
        <f>IF(B128="","",IF(N(K128)&gt;0,K128,IF(N(J128)&gt;0,J128,N(Q128))))</f>
        <v/>
      </c>
      <c r="S128" s="55">
        <f>IF(L128="","",ROUND(L128*(1+N(M128)),2))</f>
        <v/>
      </c>
      <c r="T128" s="55">
        <f>IF(B128="","",SUMIFS('REVENUE'!$C$5:$C$1504,'REVENUE'!$B$5:$B$1504,A128))</f>
        <v/>
      </c>
      <c r="U128" s="55">
        <f>IF(B128="","",IF(O128="Completed",MAX(0,N(S128)-T128),""))</f>
        <v/>
      </c>
      <c r="V128" s="49">
        <f>IF(B128="","",IF(O128&lt;&gt;"Completed",IF(T128&gt;0,"Deposit","—"),IF(U128&lt;=0.005,"Paid",IF(T128&gt;0,"Partial","Unpaid"))))</f>
        <v/>
      </c>
      <c r="W128" s="55">
        <f>IF(B128="","",IFERROR(1/(1/INDEX('STAFF &amp; TASKS'!$C$5:$C$24,MATCH(H128,'STAFF &amp; TASKS'!$A$5:$A$24,0))),PayRate))</f>
        <v/>
      </c>
      <c r="X128" s="55">
        <f>IF(B128="","",IF(OR(O128="Cancelled",O128="No-Show"),"",ROUND(R128*W128*(1+Burden),2)))</f>
        <v/>
      </c>
      <c r="Y128" s="55">
        <f>IF(B128="","",IF(OR(O128="Cancelled",O128="No-Show"),"",IF(N128&lt;&gt;"",N128,ROUND(R128*SupHr*IFERROR(INDEX('PRICING'!$G$7:$G$16,MATCH(F128,'PRICING'!$A$7:$A$16,0)),1),2))))</f>
        <v/>
      </c>
      <c r="Z128" s="98">
        <f>IF(B128="","",SUMIFS('MILEAGE'!$J$5:$J$1504,'MILEAGE'!$B$5:$B$1504,A128))</f>
        <v/>
      </c>
      <c r="AA128" s="55">
        <f>IF(B128="","",ROUND(Z128*MileRate,2))</f>
        <v/>
      </c>
      <c r="AB128" s="55">
        <f>IF(B128="","",SUMIFS('REVENUE'!$J$5:$J$1504,'REVENUE'!$B$5:$B$1504,A128))</f>
        <v/>
      </c>
      <c r="AC128" s="55">
        <f>IF(L128="","",IF(OR(O128="Cancelled",O128="No-Show"),"",L128-N(X128)-N(Y128)-AA128-AB128))</f>
        <v/>
      </c>
      <c r="AD128" s="99">
        <f>IF(OR(AC128="",N(L128)=0),"",AC128/L128)</f>
        <v/>
      </c>
      <c r="AE128" s="55">
        <f>IF(OR(AC128="",N(R128)=0),"",L128/R128)</f>
        <v/>
      </c>
      <c r="AF128" s="100">
        <f>IF(OR(N(K128)=0,N(J128)+N(Q128)=0),"",K128-IF(N(J128)&gt;0,J128,Q128))</f>
        <v/>
      </c>
      <c r="AG128" s="99">
        <f>IF(B128="","",IFERROR(AVERAGEIFS('QUALITY CONTROL'!$M$5:$M$304,'QUALITY CONTROL'!$B$5:$B$304,A128),""))</f>
        <v/>
      </c>
      <c r="AH128" s="51">
        <f>IF(B128="","",DATE(YEAR(B128),MONTH(B128),1))</f>
        <v/>
      </c>
      <c r="AI128" s="49">
        <f>IF(D128="","",IFERROR(INDEX('CUSTOMERS'!$E$5:$E$404,MATCH(D128,'CUSTOMERS'!$B$5:$B$404,0)),""))</f>
        <v/>
      </c>
      <c r="AJ128" s="49">
        <f>IF(B128="","",N(C128))</f>
        <v/>
      </c>
      <c r="AK128" s="49">
        <f>IF(OR(B128="",O128="Cancelled",O128="Rescheduled"),"",B128&amp;"|"&amp;(COUNTIFS('JOBS'!$B$5:$B$1504,B128,'JOBS'!$AJ$5:$AJ$1504,"&lt;"&amp;AJ128,'JOBS'!$O$5:$O$1504,"&lt;&gt;Cancelled",'JOBS'!$O$5:$O$1504,"&lt;&gt;Rescheduled")+COUNTIFS($B$5:B128,B128,$AJ$5:AJ128,AJ128,$O$5:O128,"&lt;&gt;Cancelled",$O$5:O128,"&lt;&gt;Rescheduled")))</f>
        <v/>
      </c>
      <c r="AL128" s="49">
        <f>IF(N(U128)&lt;=0.005,"",COUNTIFS('JOBS'!$U$5:$U$1504,"&gt;0.005",'JOBS'!$B$5:$B$1504,"&lt;"&amp;B128)+COUNTIFS($U$5:U128,"&gt;0.005",$B$5:B128,B128))</f>
        <v/>
      </c>
    </row>
    <row r="129">
      <c r="A129" s="46" t="inlineStr">
        <is>
          <t>J-0125</t>
        </is>
      </c>
      <c r="B129" s="47" t="n">
        <v>46164</v>
      </c>
      <c r="C129" s="94" t="n">
        <v>0.3541666666666667</v>
      </c>
      <c r="D129" s="38" t="inlineStr">
        <is>
          <t>Oakview Office Suites (sample)</t>
        </is>
      </c>
      <c r="E129" s="38" t="inlineStr">
        <is>
          <t>957 Hawthorn Road, North Sampletown</t>
        </is>
      </c>
      <c r="F129" s="38" t="inlineStr">
        <is>
          <t>Commercial Clean</t>
        </is>
      </c>
      <c r="G129" s="38" t="inlineStr">
        <is>
          <t>R-012</t>
        </is>
      </c>
      <c r="H129" s="38" t="inlineStr">
        <is>
          <t>Kevin Osei</t>
        </is>
      </c>
      <c r="I129" s="57" t="n">
        <v>2</v>
      </c>
      <c r="J129" s="95" t="n"/>
      <c r="K129" s="95" t="n">
        <v>4.36</v>
      </c>
      <c r="L129" s="48" t="n">
        <v>140</v>
      </c>
      <c r="M129" s="96" t="n">
        <v>0</v>
      </c>
      <c r="N129" s="48" t="n"/>
      <c r="O129" s="38" t="inlineStr">
        <is>
          <t>Completed</t>
        </is>
      </c>
      <c r="P129" s="38" t="inlineStr"/>
      <c r="Q129" s="97">
        <f>IF(OR(F129="",E129=""),"",IFERROR(IF(INDEX('PROPERTIES'!$F$5:$F$404,MATCH(E129,'PROPERTIES'!$B$5:$B$404,0))=0,"",ROUND((INDEX('PROPERTIES'!$F$5:$F$404,MATCH(E129,'PROPERTIES'!$B$5:$B$404,0))/INDEX('PRICING'!$C$7:$C$16,MATCH(F129,'PRICING'!$A$7:$A$16,0))+INDEX('PROPERTIES'!$G$5:$G$404,MATCH(E129,'PROPERTIES'!$B$5:$B$404,0))*INDEX('PRICING'!$D$7:$D$16,MATCH(F129,'PRICING'!$A$7:$A$16,0))/60+INDEX('PROPERTIES'!$H$5:$H$404,MATCH(E129,'PROPERTIES'!$B$5:$B$404,0))*INDEX('PRICING'!$E$7:$E$16,MATCH(F129,'PRICING'!$A$7:$A$16,0))/60+INDEX('PRICING'!$F$7:$F$16,MATCH(F129,'PRICING'!$A$7:$A$16,0))/60),2)),""))</f>
        <v/>
      </c>
      <c r="R129" s="97">
        <f>IF(B129="","",IF(N(K129)&gt;0,K129,IF(N(J129)&gt;0,J129,N(Q129))))</f>
        <v/>
      </c>
      <c r="S129" s="55">
        <f>IF(L129="","",ROUND(L129*(1+N(M129)),2))</f>
        <v/>
      </c>
      <c r="T129" s="55">
        <f>IF(B129="","",SUMIFS('REVENUE'!$C$5:$C$1504,'REVENUE'!$B$5:$B$1504,A129))</f>
        <v/>
      </c>
      <c r="U129" s="55">
        <f>IF(B129="","",IF(O129="Completed",MAX(0,N(S129)-T129),""))</f>
        <v/>
      </c>
      <c r="V129" s="49">
        <f>IF(B129="","",IF(O129&lt;&gt;"Completed",IF(T129&gt;0,"Deposit","—"),IF(U129&lt;=0.005,"Paid",IF(T129&gt;0,"Partial","Unpaid"))))</f>
        <v/>
      </c>
      <c r="W129" s="55">
        <f>IF(B129="","",IFERROR(1/(1/INDEX('STAFF &amp; TASKS'!$C$5:$C$24,MATCH(H129,'STAFF &amp; TASKS'!$A$5:$A$24,0))),PayRate))</f>
        <v/>
      </c>
      <c r="X129" s="55">
        <f>IF(B129="","",IF(OR(O129="Cancelled",O129="No-Show"),"",ROUND(R129*W129*(1+Burden),2)))</f>
        <v/>
      </c>
      <c r="Y129" s="55">
        <f>IF(B129="","",IF(OR(O129="Cancelled",O129="No-Show"),"",IF(N129&lt;&gt;"",N129,ROUND(R129*SupHr*IFERROR(INDEX('PRICING'!$G$7:$G$16,MATCH(F129,'PRICING'!$A$7:$A$16,0)),1),2))))</f>
        <v/>
      </c>
      <c r="Z129" s="98">
        <f>IF(B129="","",SUMIFS('MILEAGE'!$J$5:$J$1504,'MILEAGE'!$B$5:$B$1504,A129))</f>
        <v/>
      </c>
      <c r="AA129" s="55">
        <f>IF(B129="","",ROUND(Z129*MileRate,2))</f>
        <v/>
      </c>
      <c r="AB129" s="55">
        <f>IF(B129="","",SUMIFS('REVENUE'!$J$5:$J$1504,'REVENUE'!$B$5:$B$1504,A129))</f>
        <v/>
      </c>
      <c r="AC129" s="55">
        <f>IF(L129="","",IF(OR(O129="Cancelled",O129="No-Show"),"",L129-N(X129)-N(Y129)-AA129-AB129))</f>
        <v/>
      </c>
      <c r="AD129" s="99">
        <f>IF(OR(AC129="",N(L129)=0),"",AC129/L129)</f>
        <v/>
      </c>
      <c r="AE129" s="55">
        <f>IF(OR(AC129="",N(R129)=0),"",L129/R129)</f>
        <v/>
      </c>
      <c r="AF129" s="100">
        <f>IF(OR(N(K129)=0,N(J129)+N(Q129)=0),"",K129-IF(N(J129)&gt;0,J129,Q129))</f>
        <v/>
      </c>
      <c r="AG129" s="99">
        <f>IF(B129="","",IFERROR(AVERAGEIFS('QUALITY CONTROL'!$M$5:$M$304,'QUALITY CONTROL'!$B$5:$B$304,A129),""))</f>
        <v/>
      </c>
      <c r="AH129" s="51">
        <f>IF(B129="","",DATE(YEAR(B129),MONTH(B129),1))</f>
        <v/>
      </c>
      <c r="AI129" s="49">
        <f>IF(D129="","",IFERROR(INDEX('CUSTOMERS'!$E$5:$E$404,MATCH(D129,'CUSTOMERS'!$B$5:$B$404,0)),""))</f>
        <v/>
      </c>
      <c r="AJ129" s="49">
        <f>IF(B129="","",N(C129))</f>
        <v/>
      </c>
      <c r="AK129" s="49">
        <f>IF(OR(B129="",O129="Cancelled",O129="Rescheduled"),"",B129&amp;"|"&amp;(COUNTIFS('JOBS'!$B$5:$B$1504,B129,'JOBS'!$AJ$5:$AJ$1504,"&lt;"&amp;AJ129,'JOBS'!$O$5:$O$1504,"&lt;&gt;Cancelled",'JOBS'!$O$5:$O$1504,"&lt;&gt;Rescheduled")+COUNTIFS($B$5:B129,B129,$AJ$5:AJ129,AJ129,$O$5:O129,"&lt;&gt;Cancelled",$O$5:O129,"&lt;&gt;Rescheduled")))</f>
        <v/>
      </c>
      <c r="AL129" s="49">
        <f>IF(N(U129)&lt;=0.005,"",COUNTIFS('JOBS'!$U$5:$U$1504,"&gt;0.005",'JOBS'!$B$5:$B$1504,"&lt;"&amp;B129)+COUNTIFS($U$5:U129,"&gt;0.005",$B$5:B129,B129))</f>
        <v/>
      </c>
    </row>
    <row r="130">
      <c r="A130" s="46" t="inlineStr">
        <is>
          <t>J-0126</t>
        </is>
      </c>
      <c r="B130" s="47" t="n">
        <v>46164</v>
      </c>
      <c r="C130" s="94" t="n">
        <v>0.4791666666666667</v>
      </c>
      <c r="D130" s="38" t="inlineStr">
        <is>
          <t>Brightside Dental Studio (sample)</t>
        </is>
      </c>
      <c r="E130" s="38" t="inlineStr">
        <is>
          <t>738 Cedar Court, North Sampletown</t>
        </is>
      </c>
      <c r="F130" s="38" t="inlineStr">
        <is>
          <t>Commercial Clean</t>
        </is>
      </c>
      <c r="G130" s="38" t="inlineStr">
        <is>
          <t>R-011</t>
        </is>
      </c>
      <c r="H130" s="38" t="inlineStr">
        <is>
          <t>Kevin Osei</t>
        </is>
      </c>
      <c r="I130" s="57" t="n">
        <v>2</v>
      </c>
      <c r="J130" s="95" t="n"/>
      <c r="K130" s="95" t="n">
        <v>2.1</v>
      </c>
      <c r="L130" s="48" t="n">
        <v>100</v>
      </c>
      <c r="M130" s="96" t="n">
        <v>0</v>
      </c>
      <c r="N130" s="48" t="n"/>
      <c r="O130" s="38" t="inlineStr">
        <is>
          <t>Completed</t>
        </is>
      </c>
      <c r="P130" s="38" t="inlineStr"/>
      <c r="Q130" s="97">
        <f>IF(OR(F130="",E130=""),"",IFERROR(IF(INDEX('PROPERTIES'!$F$5:$F$404,MATCH(E130,'PROPERTIES'!$B$5:$B$404,0))=0,"",ROUND((INDEX('PROPERTIES'!$F$5:$F$404,MATCH(E130,'PROPERTIES'!$B$5:$B$404,0))/INDEX('PRICING'!$C$7:$C$16,MATCH(F130,'PRICING'!$A$7:$A$16,0))+INDEX('PROPERTIES'!$G$5:$G$404,MATCH(E130,'PROPERTIES'!$B$5:$B$404,0))*INDEX('PRICING'!$D$7:$D$16,MATCH(F130,'PRICING'!$A$7:$A$16,0))/60+INDEX('PROPERTIES'!$H$5:$H$404,MATCH(E130,'PROPERTIES'!$B$5:$B$404,0))*INDEX('PRICING'!$E$7:$E$16,MATCH(F130,'PRICING'!$A$7:$A$16,0))/60+INDEX('PRICING'!$F$7:$F$16,MATCH(F130,'PRICING'!$A$7:$A$16,0))/60),2)),""))</f>
        <v/>
      </c>
      <c r="R130" s="97">
        <f>IF(B130="","",IF(N(K130)&gt;0,K130,IF(N(J130)&gt;0,J130,N(Q130))))</f>
        <v/>
      </c>
      <c r="S130" s="55">
        <f>IF(L130="","",ROUND(L130*(1+N(M130)),2))</f>
        <v/>
      </c>
      <c r="T130" s="55">
        <f>IF(B130="","",SUMIFS('REVENUE'!$C$5:$C$1504,'REVENUE'!$B$5:$B$1504,A130))</f>
        <v/>
      </c>
      <c r="U130" s="55">
        <f>IF(B130="","",IF(O130="Completed",MAX(0,N(S130)-T130),""))</f>
        <v/>
      </c>
      <c r="V130" s="49">
        <f>IF(B130="","",IF(O130&lt;&gt;"Completed",IF(T130&gt;0,"Deposit","—"),IF(U130&lt;=0.005,"Paid",IF(T130&gt;0,"Partial","Unpaid"))))</f>
        <v/>
      </c>
      <c r="W130" s="55">
        <f>IF(B130="","",IFERROR(1/(1/INDEX('STAFF &amp; TASKS'!$C$5:$C$24,MATCH(H130,'STAFF &amp; TASKS'!$A$5:$A$24,0))),PayRate))</f>
        <v/>
      </c>
      <c r="X130" s="55">
        <f>IF(B130="","",IF(OR(O130="Cancelled",O130="No-Show"),"",ROUND(R130*W130*(1+Burden),2)))</f>
        <v/>
      </c>
      <c r="Y130" s="55">
        <f>IF(B130="","",IF(OR(O130="Cancelled",O130="No-Show"),"",IF(N130&lt;&gt;"",N130,ROUND(R130*SupHr*IFERROR(INDEX('PRICING'!$G$7:$G$16,MATCH(F130,'PRICING'!$A$7:$A$16,0)),1),2))))</f>
        <v/>
      </c>
      <c r="Z130" s="98">
        <f>IF(B130="","",SUMIFS('MILEAGE'!$J$5:$J$1504,'MILEAGE'!$B$5:$B$1504,A130))</f>
        <v/>
      </c>
      <c r="AA130" s="55">
        <f>IF(B130="","",ROUND(Z130*MileRate,2))</f>
        <v/>
      </c>
      <c r="AB130" s="55">
        <f>IF(B130="","",SUMIFS('REVENUE'!$J$5:$J$1504,'REVENUE'!$B$5:$B$1504,A130))</f>
        <v/>
      </c>
      <c r="AC130" s="55">
        <f>IF(L130="","",IF(OR(O130="Cancelled",O130="No-Show"),"",L130-N(X130)-N(Y130)-AA130-AB130))</f>
        <v/>
      </c>
      <c r="AD130" s="99">
        <f>IF(OR(AC130="",N(L130)=0),"",AC130/L130)</f>
        <v/>
      </c>
      <c r="AE130" s="55">
        <f>IF(OR(AC130="",N(R130)=0),"",L130/R130)</f>
        <v/>
      </c>
      <c r="AF130" s="100">
        <f>IF(OR(N(K130)=0,N(J130)+N(Q130)=0),"",K130-IF(N(J130)&gt;0,J130,Q130))</f>
        <v/>
      </c>
      <c r="AG130" s="99">
        <f>IF(B130="","",IFERROR(AVERAGEIFS('QUALITY CONTROL'!$M$5:$M$304,'QUALITY CONTROL'!$B$5:$B$304,A130),""))</f>
        <v/>
      </c>
      <c r="AH130" s="51">
        <f>IF(B130="","",DATE(YEAR(B130),MONTH(B130),1))</f>
        <v/>
      </c>
      <c r="AI130" s="49">
        <f>IF(D130="","",IFERROR(INDEX('CUSTOMERS'!$E$5:$E$404,MATCH(D130,'CUSTOMERS'!$B$5:$B$404,0)),""))</f>
        <v/>
      </c>
      <c r="AJ130" s="49">
        <f>IF(B130="","",N(C130))</f>
        <v/>
      </c>
      <c r="AK130" s="49">
        <f>IF(OR(B130="",O130="Cancelled",O130="Rescheduled"),"",B130&amp;"|"&amp;(COUNTIFS('JOBS'!$B$5:$B$1504,B130,'JOBS'!$AJ$5:$AJ$1504,"&lt;"&amp;AJ130,'JOBS'!$O$5:$O$1504,"&lt;&gt;Cancelled",'JOBS'!$O$5:$O$1504,"&lt;&gt;Rescheduled")+COUNTIFS($B$5:B130,B130,$AJ$5:AJ130,AJ130,$O$5:O130,"&lt;&gt;Cancelled",$O$5:O130,"&lt;&gt;Rescheduled")))</f>
        <v/>
      </c>
      <c r="AL130" s="49">
        <f>IF(N(U130)&lt;=0.005,"",COUNTIFS('JOBS'!$U$5:$U$1504,"&gt;0.005",'JOBS'!$B$5:$B$1504,"&lt;"&amp;B130)+COUNTIFS($U$5:U130,"&gt;0.005",$B$5:B130,B130))</f>
        <v/>
      </c>
    </row>
    <row r="131">
      <c r="A131" s="46" t="inlineStr">
        <is>
          <t>J-0127</t>
        </is>
      </c>
      <c r="B131" s="47" t="n">
        <v>46164</v>
      </c>
      <c r="C131" s="94" t="n">
        <v>0.5416666666666666</v>
      </c>
      <c r="D131" s="38" t="inlineStr">
        <is>
          <t>Devon Hayes</t>
        </is>
      </c>
      <c r="E131" s="38" t="inlineStr">
        <is>
          <t>461 Hawthorn Road, Lakeview (fictional)</t>
        </is>
      </c>
      <c r="F131" s="38" t="inlineStr">
        <is>
          <t>Deep Clean</t>
        </is>
      </c>
      <c r="G131" s="38" t="n"/>
      <c r="H131" s="38" t="inlineStr">
        <is>
          <t>Maria Lopez</t>
        </is>
      </c>
      <c r="I131" s="57" t="n">
        <v>2</v>
      </c>
      <c r="J131" s="95" t="n"/>
      <c r="K131" s="95" t="n">
        <v>8.56</v>
      </c>
      <c r="L131" s="48" t="n">
        <v>530</v>
      </c>
      <c r="M131" s="96" t="n">
        <v>0</v>
      </c>
      <c r="N131" s="48" t="n"/>
      <c r="O131" s="38" t="inlineStr">
        <is>
          <t>Completed</t>
        </is>
      </c>
      <c r="P131" s="38" t="inlineStr">
        <is>
          <t>Initial deep clean</t>
        </is>
      </c>
      <c r="Q131" s="97">
        <f>IF(OR(F131="",E131=""),"",IFERROR(IF(INDEX('PROPERTIES'!$F$5:$F$404,MATCH(E131,'PROPERTIES'!$B$5:$B$404,0))=0,"",ROUND((INDEX('PROPERTIES'!$F$5:$F$404,MATCH(E131,'PROPERTIES'!$B$5:$B$404,0))/INDEX('PRICING'!$C$7:$C$16,MATCH(F131,'PRICING'!$A$7:$A$16,0))+INDEX('PROPERTIES'!$G$5:$G$404,MATCH(E131,'PROPERTIES'!$B$5:$B$404,0))*INDEX('PRICING'!$D$7:$D$16,MATCH(F131,'PRICING'!$A$7:$A$16,0))/60+INDEX('PROPERTIES'!$H$5:$H$404,MATCH(E131,'PROPERTIES'!$B$5:$B$404,0))*INDEX('PRICING'!$E$7:$E$16,MATCH(F131,'PRICING'!$A$7:$A$16,0))/60+INDEX('PRICING'!$F$7:$F$16,MATCH(F131,'PRICING'!$A$7:$A$16,0))/60),2)),""))</f>
        <v/>
      </c>
      <c r="R131" s="97">
        <f>IF(B131="","",IF(N(K131)&gt;0,K131,IF(N(J131)&gt;0,J131,N(Q131))))</f>
        <v/>
      </c>
      <c r="S131" s="55">
        <f>IF(L131="","",ROUND(L131*(1+N(M131)),2))</f>
        <v/>
      </c>
      <c r="T131" s="55">
        <f>IF(B131="","",SUMIFS('REVENUE'!$C$5:$C$1504,'REVENUE'!$B$5:$B$1504,A131))</f>
        <v/>
      </c>
      <c r="U131" s="55">
        <f>IF(B131="","",IF(O131="Completed",MAX(0,N(S131)-T131),""))</f>
        <v/>
      </c>
      <c r="V131" s="49">
        <f>IF(B131="","",IF(O131&lt;&gt;"Completed",IF(T131&gt;0,"Deposit","—"),IF(U131&lt;=0.005,"Paid",IF(T131&gt;0,"Partial","Unpaid"))))</f>
        <v/>
      </c>
      <c r="W131" s="55">
        <f>IF(B131="","",IFERROR(1/(1/INDEX('STAFF &amp; TASKS'!$C$5:$C$24,MATCH(H131,'STAFF &amp; TASKS'!$A$5:$A$24,0))),PayRate))</f>
        <v/>
      </c>
      <c r="X131" s="55">
        <f>IF(B131="","",IF(OR(O131="Cancelled",O131="No-Show"),"",ROUND(R131*W131*(1+Burden),2)))</f>
        <v/>
      </c>
      <c r="Y131" s="55">
        <f>IF(B131="","",IF(OR(O131="Cancelled",O131="No-Show"),"",IF(N131&lt;&gt;"",N131,ROUND(R131*SupHr*IFERROR(INDEX('PRICING'!$G$7:$G$16,MATCH(F131,'PRICING'!$A$7:$A$16,0)),1),2))))</f>
        <v/>
      </c>
      <c r="Z131" s="98">
        <f>IF(B131="","",SUMIFS('MILEAGE'!$J$5:$J$1504,'MILEAGE'!$B$5:$B$1504,A131))</f>
        <v/>
      </c>
      <c r="AA131" s="55">
        <f>IF(B131="","",ROUND(Z131*MileRate,2))</f>
        <v/>
      </c>
      <c r="AB131" s="55">
        <f>IF(B131="","",SUMIFS('REVENUE'!$J$5:$J$1504,'REVENUE'!$B$5:$B$1504,A131))</f>
        <v/>
      </c>
      <c r="AC131" s="55">
        <f>IF(L131="","",IF(OR(O131="Cancelled",O131="No-Show"),"",L131-N(X131)-N(Y131)-AA131-AB131))</f>
        <v/>
      </c>
      <c r="AD131" s="99">
        <f>IF(OR(AC131="",N(L131)=0),"",AC131/L131)</f>
        <v/>
      </c>
      <c r="AE131" s="55">
        <f>IF(OR(AC131="",N(R131)=0),"",L131/R131)</f>
        <v/>
      </c>
      <c r="AF131" s="100">
        <f>IF(OR(N(K131)=0,N(J131)+N(Q131)=0),"",K131-IF(N(J131)&gt;0,J131,Q131))</f>
        <v/>
      </c>
      <c r="AG131" s="99">
        <f>IF(B131="","",IFERROR(AVERAGEIFS('QUALITY CONTROL'!$M$5:$M$304,'QUALITY CONTROL'!$B$5:$B$304,A131),""))</f>
        <v/>
      </c>
      <c r="AH131" s="51">
        <f>IF(B131="","",DATE(YEAR(B131),MONTH(B131),1))</f>
        <v/>
      </c>
      <c r="AI131" s="49">
        <f>IF(D131="","",IFERROR(INDEX('CUSTOMERS'!$E$5:$E$404,MATCH(D131,'CUSTOMERS'!$B$5:$B$404,0)),""))</f>
        <v/>
      </c>
      <c r="AJ131" s="49">
        <f>IF(B131="","",N(C131))</f>
        <v/>
      </c>
      <c r="AK131" s="49">
        <f>IF(OR(B131="",O131="Cancelled",O131="Rescheduled"),"",B131&amp;"|"&amp;(COUNTIFS('JOBS'!$B$5:$B$1504,B131,'JOBS'!$AJ$5:$AJ$1504,"&lt;"&amp;AJ131,'JOBS'!$O$5:$O$1504,"&lt;&gt;Cancelled",'JOBS'!$O$5:$O$1504,"&lt;&gt;Rescheduled")+COUNTIFS($B$5:B131,B131,$AJ$5:AJ131,AJ131,$O$5:O131,"&lt;&gt;Cancelled",$O$5:O131,"&lt;&gt;Rescheduled")))</f>
        <v/>
      </c>
      <c r="AL131" s="49">
        <f>IF(N(U131)&lt;=0.005,"",COUNTIFS('JOBS'!$U$5:$U$1504,"&gt;0.005",'JOBS'!$B$5:$B$1504,"&lt;"&amp;B131)+COUNTIFS($U$5:U131,"&gt;0.005",$B$5:B131,B131))</f>
        <v/>
      </c>
    </row>
    <row r="132">
      <c r="A132" s="46" t="inlineStr">
        <is>
          <t>J-0128</t>
        </is>
      </c>
      <c r="B132" s="47" t="n">
        <v>46165</v>
      </c>
      <c r="C132" s="94" t="n">
        <v>0.4166666666666667</v>
      </c>
      <c r="D132" s="38" t="inlineStr">
        <is>
          <t>Finley Quigley</t>
        </is>
      </c>
      <c r="E132" s="38" t="inlineStr">
        <is>
          <t>21 Maple Avenue, North Sampletown</t>
        </is>
      </c>
      <c r="F132" s="38" t="inlineStr">
        <is>
          <t>Standard Clean</t>
        </is>
      </c>
      <c r="G132" s="38" t="inlineStr">
        <is>
          <t>R-007</t>
        </is>
      </c>
      <c r="H132" s="38" t="inlineStr">
        <is>
          <t>Maria Lopez</t>
        </is>
      </c>
      <c r="I132" s="57" t="n">
        <v>1</v>
      </c>
      <c r="J132" s="95" t="n"/>
      <c r="K132" s="95" t="n">
        <v>2.51</v>
      </c>
      <c r="L132" s="48" t="n">
        <v>110</v>
      </c>
      <c r="M132" s="96" t="n">
        <v>0</v>
      </c>
      <c r="N132" s="48" t="n"/>
      <c r="O132" s="38" t="inlineStr">
        <is>
          <t>Completed</t>
        </is>
      </c>
      <c r="P132" s="38" t="inlineStr"/>
      <c r="Q132" s="97">
        <f>IF(OR(F132="",E132=""),"",IFERROR(IF(INDEX('PROPERTIES'!$F$5:$F$404,MATCH(E132,'PROPERTIES'!$B$5:$B$404,0))=0,"",ROUND((INDEX('PROPERTIES'!$F$5:$F$404,MATCH(E132,'PROPERTIES'!$B$5:$B$404,0))/INDEX('PRICING'!$C$7:$C$16,MATCH(F132,'PRICING'!$A$7:$A$16,0))+INDEX('PROPERTIES'!$G$5:$G$404,MATCH(E132,'PROPERTIES'!$B$5:$B$404,0))*INDEX('PRICING'!$D$7:$D$16,MATCH(F132,'PRICING'!$A$7:$A$16,0))/60+INDEX('PROPERTIES'!$H$5:$H$404,MATCH(E132,'PROPERTIES'!$B$5:$B$404,0))*INDEX('PRICING'!$E$7:$E$16,MATCH(F132,'PRICING'!$A$7:$A$16,0))/60+INDEX('PRICING'!$F$7:$F$16,MATCH(F132,'PRICING'!$A$7:$A$16,0))/60),2)),""))</f>
        <v/>
      </c>
      <c r="R132" s="97">
        <f>IF(B132="","",IF(N(K132)&gt;0,K132,IF(N(J132)&gt;0,J132,N(Q132))))</f>
        <v/>
      </c>
      <c r="S132" s="55">
        <f>IF(L132="","",ROUND(L132*(1+N(M132)),2))</f>
        <v/>
      </c>
      <c r="T132" s="55">
        <f>IF(B132="","",SUMIFS('REVENUE'!$C$5:$C$1504,'REVENUE'!$B$5:$B$1504,A132))</f>
        <v/>
      </c>
      <c r="U132" s="55">
        <f>IF(B132="","",IF(O132="Completed",MAX(0,N(S132)-T132),""))</f>
        <v/>
      </c>
      <c r="V132" s="49">
        <f>IF(B132="","",IF(O132&lt;&gt;"Completed",IF(T132&gt;0,"Deposit","—"),IF(U132&lt;=0.005,"Paid",IF(T132&gt;0,"Partial","Unpaid"))))</f>
        <v/>
      </c>
      <c r="W132" s="55">
        <f>IF(B132="","",IFERROR(1/(1/INDEX('STAFF &amp; TASKS'!$C$5:$C$24,MATCH(H132,'STAFF &amp; TASKS'!$A$5:$A$24,0))),PayRate))</f>
        <v/>
      </c>
      <c r="X132" s="55">
        <f>IF(B132="","",IF(OR(O132="Cancelled",O132="No-Show"),"",ROUND(R132*W132*(1+Burden),2)))</f>
        <v/>
      </c>
      <c r="Y132" s="55">
        <f>IF(B132="","",IF(OR(O132="Cancelled",O132="No-Show"),"",IF(N132&lt;&gt;"",N132,ROUND(R132*SupHr*IFERROR(INDEX('PRICING'!$G$7:$G$16,MATCH(F132,'PRICING'!$A$7:$A$16,0)),1),2))))</f>
        <v/>
      </c>
      <c r="Z132" s="98">
        <f>IF(B132="","",SUMIFS('MILEAGE'!$J$5:$J$1504,'MILEAGE'!$B$5:$B$1504,A132))</f>
        <v/>
      </c>
      <c r="AA132" s="55">
        <f>IF(B132="","",ROUND(Z132*MileRate,2))</f>
        <v/>
      </c>
      <c r="AB132" s="55">
        <f>IF(B132="","",SUMIFS('REVENUE'!$J$5:$J$1504,'REVENUE'!$B$5:$B$1504,A132))</f>
        <v/>
      </c>
      <c r="AC132" s="55">
        <f>IF(L132="","",IF(OR(O132="Cancelled",O132="No-Show"),"",L132-N(X132)-N(Y132)-AA132-AB132))</f>
        <v/>
      </c>
      <c r="AD132" s="99">
        <f>IF(OR(AC132="",N(L132)=0),"",AC132/L132)</f>
        <v/>
      </c>
      <c r="AE132" s="55">
        <f>IF(OR(AC132="",N(R132)=0),"",L132/R132)</f>
        <v/>
      </c>
      <c r="AF132" s="100">
        <f>IF(OR(N(K132)=0,N(J132)+N(Q132)=0),"",K132-IF(N(J132)&gt;0,J132,Q132))</f>
        <v/>
      </c>
      <c r="AG132" s="99">
        <f>IF(B132="","",IFERROR(AVERAGEIFS('QUALITY CONTROL'!$M$5:$M$304,'QUALITY CONTROL'!$B$5:$B$304,A132),""))</f>
        <v/>
      </c>
      <c r="AH132" s="51">
        <f>IF(B132="","",DATE(YEAR(B132),MONTH(B132),1))</f>
        <v/>
      </c>
      <c r="AI132" s="49">
        <f>IF(D132="","",IFERROR(INDEX('CUSTOMERS'!$E$5:$E$404,MATCH(D132,'CUSTOMERS'!$B$5:$B$404,0)),""))</f>
        <v/>
      </c>
      <c r="AJ132" s="49">
        <f>IF(B132="","",N(C132))</f>
        <v/>
      </c>
      <c r="AK132" s="49">
        <f>IF(OR(B132="",O132="Cancelled",O132="Rescheduled"),"",B132&amp;"|"&amp;(COUNTIFS('JOBS'!$B$5:$B$1504,B132,'JOBS'!$AJ$5:$AJ$1504,"&lt;"&amp;AJ132,'JOBS'!$O$5:$O$1504,"&lt;&gt;Cancelled",'JOBS'!$O$5:$O$1504,"&lt;&gt;Rescheduled")+COUNTIFS($B$5:B132,B132,$AJ$5:AJ132,AJ132,$O$5:O132,"&lt;&gt;Cancelled",$O$5:O132,"&lt;&gt;Rescheduled")))</f>
        <v/>
      </c>
      <c r="AL132" s="49">
        <f>IF(N(U132)&lt;=0.005,"",COUNTIFS('JOBS'!$U$5:$U$1504,"&gt;0.005",'JOBS'!$B$5:$B$1504,"&lt;"&amp;B132)+COUNTIFS($U$5:U132,"&gt;0.005",$B$5:B132,B132))</f>
        <v/>
      </c>
    </row>
    <row r="133">
      <c r="A133" s="46" t="inlineStr">
        <is>
          <t>J-0129</t>
        </is>
      </c>
      <c r="B133" s="47" t="n">
        <v>46167</v>
      </c>
      <c r="C133" s="94" t="n">
        <v>0.375</v>
      </c>
      <c r="D133" s="38" t="inlineStr">
        <is>
          <t>Blake Dunmore</t>
        </is>
      </c>
      <c r="E133" s="38" t="inlineStr">
        <is>
          <t>503 Cedar Court, Lakeview (fictional)</t>
        </is>
      </c>
      <c r="F133" s="38" t="inlineStr">
        <is>
          <t>Deep Clean</t>
        </is>
      </c>
      <c r="G133" s="38" t="n"/>
      <c r="H133" s="38" t="inlineStr">
        <is>
          <t>Maria Lopez</t>
        </is>
      </c>
      <c r="I133" s="57" t="n">
        <v>2</v>
      </c>
      <c r="J133" s="95" t="n"/>
      <c r="K133" s="95" t="n">
        <v>4.39</v>
      </c>
      <c r="L133" s="48" t="n">
        <v>260</v>
      </c>
      <c r="M133" s="96" t="n">
        <v>0</v>
      </c>
      <c r="N133" s="48" t="n"/>
      <c r="O133" s="38" t="inlineStr">
        <is>
          <t>Completed</t>
        </is>
      </c>
      <c r="P133" s="38" t="inlineStr"/>
      <c r="Q133" s="97">
        <f>IF(OR(F133="",E133=""),"",IFERROR(IF(INDEX('PROPERTIES'!$F$5:$F$404,MATCH(E133,'PROPERTIES'!$B$5:$B$404,0))=0,"",ROUND((INDEX('PROPERTIES'!$F$5:$F$404,MATCH(E133,'PROPERTIES'!$B$5:$B$404,0))/INDEX('PRICING'!$C$7:$C$16,MATCH(F133,'PRICING'!$A$7:$A$16,0))+INDEX('PROPERTIES'!$G$5:$G$404,MATCH(E133,'PROPERTIES'!$B$5:$B$404,0))*INDEX('PRICING'!$D$7:$D$16,MATCH(F133,'PRICING'!$A$7:$A$16,0))/60+INDEX('PROPERTIES'!$H$5:$H$404,MATCH(E133,'PROPERTIES'!$B$5:$B$404,0))*INDEX('PRICING'!$E$7:$E$16,MATCH(F133,'PRICING'!$A$7:$A$16,0))/60+INDEX('PRICING'!$F$7:$F$16,MATCH(F133,'PRICING'!$A$7:$A$16,0))/60),2)),""))</f>
        <v/>
      </c>
      <c r="R133" s="97">
        <f>IF(B133="","",IF(N(K133)&gt;0,K133,IF(N(J133)&gt;0,J133,N(Q133))))</f>
        <v/>
      </c>
      <c r="S133" s="55">
        <f>IF(L133="","",ROUND(L133*(1+N(M133)),2))</f>
        <v/>
      </c>
      <c r="T133" s="55">
        <f>IF(B133="","",SUMIFS('REVENUE'!$C$5:$C$1504,'REVENUE'!$B$5:$B$1504,A133))</f>
        <v/>
      </c>
      <c r="U133" s="55">
        <f>IF(B133="","",IF(O133="Completed",MAX(0,N(S133)-T133),""))</f>
        <v/>
      </c>
      <c r="V133" s="49">
        <f>IF(B133="","",IF(O133&lt;&gt;"Completed",IF(T133&gt;0,"Deposit","—"),IF(U133&lt;=0.005,"Paid",IF(T133&gt;0,"Partial","Unpaid"))))</f>
        <v/>
      </c>
      <c r="W133" s="55">
        <f>IF(B133="","",IFERROR(1/(1/INDEX('STAFF &amp; TASKS'!$C$5:$C$24,MATCH(H133,'STAFF &amp; TASKS'!$A$5:$A$24,0))),PayRate))</f>
        <v/>
      </c>
      <c r="X133" s="55">
        <f>IF(B133="","",IF(OR(O133="Cancelled",O133="No-Show"),"",ROUND(R133*W133*(1+Burden),2)))</f>
        <v/>
      </c>
      <c r="Y133" s="55">
        <f>IF(B133="","",IF(OR(O133="Cancelled",O133="No-Show"),"",IF(N133&lt;&gt;"",N133,ROUND(R133*SupHr*IFERROR(INDEX('PRICING'!$G$7:$G$16,MATCH(F133,'PRICING'!$A$7:$A$16,0)),1),2))))</f>
        <v/>
      </c>
      <c r="Z133" s="98">
        <f>IF(B133="","",SUMIFS('MILEAGE'!$J$5:$J$1504,'MILEAGE'!$B$5:$B$1504,A133))</f>
        <v/>
      </c>
      <c r="AA133" s="55">
        <f>IF(B133="","",ROUND(Z133*MileRate,2))</f>
        <v/>
      </c>
      <c r="AB133" s="55">
        <f>IF(B133="","",SUMIFS('REVENUE'!$J$5:$J$1504,'REVENUE'!$B$5:$B$1504,A133))</f>
        <v/>
      </c>
      <c r="AC133" s="55">
        <f>IF(L133="","",IF(OR(O133="Cancelled",O133="No-Show"),"",L133-N(X133)-N(Y133)-AA133-AB133))</f>
        <v/>
      </c>
      <c r="AD133" s="99">
        <f>IF(OR(AC133="",N(L133)=0),"",AC133/L133)</f>
        <v/>
      </c>
      <c r="AE133" s="55">
        <f>IF(OR(AC133="",N(R133)=0),"",L133/R133)</f>
        <v/>
      </c>
      <c r="AF133" s="100">
        <f>IF(OR(N(K133)=0,N(J133)+N(Q133)=0),"",K133-IF(N(J133)&gt;0,J133,Q133))</f>
        <v/>
      </c>
      <c r="AG133" s="99">
        <f>IF(B133="","",IFERROR(AVERAGEIFS('QUALITY CONTROL'!$M$5:$M$304,'QUALITY CONTROL'!$B$5:$B$304,A133),""))</f>
        <v/>
      </c>
      <c r="AH133" s="51">
        <f>IF(B133="","",DATE(YEAR(B133),MONTH(B133),1))</f>
        <v/>
      </c>
      <c r="AI133" s="49">
        <f>IF(D133="","",IFERROR(INDEX('CUSTOMERS'!$E$5:$E$404,MATCH(D133,'CUSTOMERS'!$B$5:$B$404,0)),""))</f>
        <v/>
      </c>
      <c r="AJ133" s="49">
        <f>IF(B133="","",N(C133))</f>
        <v/>
      </c>
      <c r="AK133" s="49">
        <f>IF(OR(B133="",O133="Cancelled",O133="Rescheduled"),"",B133&amp;"|"&amp;(COUNTIFS('JOBS'!$B$5:$B$1504,B133,'JOBS'!$AJ$5:$AJ$1504,"&lt;"&amp;AJ133,'JOBS'!$O$5:$O$1504,"&lt;&gt;Cancelled",'JOBS'!$O$5:$O$1504,"&lt;&gt;Rescheduled")+COUNTIFS($B$5:B133,B133,$AJ$5:AJ133,AJ133,$O$5:O133,"&lt;&gt;Cancelled",$O$5:O133,"&lt;&gt;Rescheduled")))</f>
        <v/>
      </c>
      <c r="AL133" s="49">
        <f>IF(N(U133)&lt;=0.005,"",COUNTIFS('JOBS'!$U$5:$U$1504,"&gt;0.005",'JOBS'!$B$5:$B$1504,"&lt;"&amp;B133)+COUNTIFS($U$5:U133,"&gt;0.005",$B$5:B133,B133))</f>
        <v/>
      </c>
    </row>
    <row r="134">
      <c r="A134" s="46" t="inlineStr">
        <is>
          <t>J-0130</t>
        </is>
      </c>
      <c r="B134" s="47" t="n">
        <v>46167</v>
      </c>
      <c r="C134" s="94" t="n">
        <v>0.5208333333333334</v>
      </c>
      <c r="D134" s="38" t="inlineStr">
        <is>
          <t>Taylor Quigley</t>
        </is>
      </c>
      <c r="E134" s="38" t="inlineStr">
        <is>
          <t>667 Willow Way, Sampletown</t>
        </is>
      </c>
      <c r="F134" s="38" t="inlineStr">
        <is>
          <t>Standard Clean</t>
        </is>
      </c>
      <c r="G134" s="38" t="inlineStr">
        <is>
          <t>R-009</t>
        </is>
      </c>
      <c r="H134" s="38" t="inlineStr">
        <is>
          <t>Maria Lopez</t>
        </is>
      </c>
      <c r="I134" s="57" t="n">
        <v>1</v>
      </c>
      <c r="J134" s="95" t="n"/>
      <c r="K134" s="95" t="n">
        <v>2.75</v>
      </c>
      <c r="L134" s="48" t="n">
        <v>145</v>
      </c>
      <c r="M134" s="96" t="n">
        <v>0</v>
      </c>
      <c r="N134" s="48" t="n"/>
      <c r="O134" s="38" t="inlineStr">
        <is>
          <t>Completed</t>
        </is>
      </c>
      <c r="P134" s="38" t="inlineStr"/>
      <c r="Q134" s="97">
        <f>IF(OR(F134="",E134=""),"",IFERROR(IF(INDEX('PROPERTIES'!$F$5:$F$404,MATCH(E134,'PROPERTIES'!$B$5:$B$404,0))=0,"",ROUND((INDEX('PROPERTIES'!$F$5:$F$404,MATCH(E134,'PROPERTIES'!$B$5:$B$404,0))/INDEX('PRICING'!$C$7:$C$16,MATCH(F134,'PRICING'!$A$7:$A$16,0))+INDEX('PROPERTIES'!$G$5:$G$404,MATCH(E134,'PROPERTIES'!$B$5:$B$404,0))*INDEX('PRICING'!$D$7:$D$16,MATCH(F134,'PRICING'!$A$7:$A$16,0))/60+INDEX('PROPERTIES'!$H$5:$H$404,MATCH(E134,'PROPERTIES'!$B$5:$B$404,0))*INDEX('PRICING'!$E$7:$E$16,MATCH(F134,'PRICING'!$A$7:$A$16,0))/60+INDEX('PRICING'!$F$7:$F$16,MATCH(F134,'PRICING'!$A$7:$A$16,0))/60),2)),""))</f>
        <v/>
      </c>
      <c r="R134" s="97">
        <f>IF(B134="","",IF(N(K134)&gt;0,K134,IF(N(J134)&gt;0,J134,N(Q134))))</f>
        <v/>
      </c>
      <c r="S134" s="55">
        <f>IF(L134="","",ROUND(L134*(1+N(M134)),2))</f>
        <v/>
      </c>
      <c r="T134" s="55">
        <f>IF(B134="","",SUMIFS('REVENUE'!$C$5:$C$1504,'REVENUE'!$B$5:$B$1504,A134))</f>
        <v/>
      </c>
      <c r="U134" s="55">
        <f>IF(B134="","",IF(O134="Completed",MAX(0,N(S134)-T134),""))</f>
        <v/>
      </c>
      <c r="V134" s="49">
        <f>IF(B134="","",IF(O134&lt;&gt;"Completed",IF(T134&gt;0,"Deposit","—"),IF(U134&lt;=0.005,"Paid",IF(T134&gt;0,"Partial","Unpaid"))))</f>
        <v/>
      </c>
      <c r="W134" s="55">
        <f>IF(B134="","",IFERROR(1/(1/INDEX('STAFF &amp; TASKS'!$C$5:$C$24,MATCH(H134,'STAFF &amp; TASKS'!$A$5:$A$24,0))),PayRate))</f>
        <v/>
      </c>
      <c r="X134" s="55">
        <f>IF(B134="","",IF(OR(O134="Cancelled",O134="No-Show"),"",ROUND(R134*W134*(1+Burden),2)))</f>
        <v/>
      </c>
      <c r="Y134" s="55">
        <f>IF(B134="","",IF(OR(O134="Cancelled",O134="No-Show"),"",IF(N134&lt;&gt;"",N134,ROUND(R134*SupHr*IFERROR(INDEX('PRICING'!$G$7:$G$16,MATCH(F134,'PRICING'!$A$7:$A$16,0)),1),2))))</f>
        <v/>
      </c>
      <c r="Z134" s="98">
        <f>IF(B134="","",SUMIFS('MILEAGE'!$J$5:$J$1504,'MILEAGE'!$B$5:$B$1504,A134))</f>
        <v/>
      </c>
      <c r="AA134" s="55">
        <f>IF(B134="","",ROUND(Z134*MileRate,2))</f>
        <v/>
      </c>
      <c r="AB134" s="55">
        <f>IF(B134="","",SUMIFS('REVENUE'!$J$5:$J$1504,'REVENUE'!$B$5:$B$1504,A134))</f>
        <v/>
      </c>
      <c r="AC134" s="55">
        <f>IF(L134="","",IF(OR(O134="Cancelled",O134="No-Show"),"",L134-N(X134)-N(Y134)-AA134-AB134))</f>
        <v/>
      </c>
      <c r="AD134" s="99">
        <f>IF(OR(AC134="",N(L134)=0),"",AC134/L134)</f>
        <v/>
      </c>
      <c r="AE134" s="55">
        <f>IF(OR(AC134="",N(R134)=0),"",L134/R134)</f>
        <v/>
      </c>
      <c r="AF134" s="100">
        <f>IF(OR(N(K134)=0,N(J134)+N(Q134)=0),"",K134-IF(N(J134)&gt;0,J134,Q134))</f>
        <v/>
      </c>
      <c r="AG134" s="99">
        <f>IF(B134="","",IFERROR(AVERAGEIFS('QUALITY CONTROL'!$M$5:$M$304,'QUALITY CONTROL'!$B$5:$B$304,A134),""))</f>
        <v/>
      </c>
      <c r="AH134" s="51">
        <f>IF(B134="","",DATE(YEAR(B134),MONTH(B134),1))</f>
        <v/>
      </c>
      <c r="AI134" s="49">
        <f>IF(D134="","",IFERROR(INDEX('CUSTOMERS'!$E$5:$E$404,MATCH(D134,'CUSTOMERS'!$B$5:$B$404,0)),""))</f>
        <v/>
      </c>
      <c r="AJ134" s="49">
        <f>IF(B134="","",N(C134))</f>
        <v/>
      </c>
      <c r="AK134" s="49">
        <f>IF(OR(B134="",O134="Cancelled",O134="Rescheduled"),"",B134&amp;"|"&amp;(COUNTIFS('JOBS'!$B$5:$B$1504,B134,'JOBS'!$AJ$5:$AJ$1504,"&lt;"&amp;AJ134,'JOBS'!$O$5:$O$1504,"&lt;&gt;Cancelled",'JOBS'!$O$5:$O$1504,"&lt;&gt;Rescheduled")+COUNTIFS($B$5:B134,B134,$AJ$5:AJ134,AJ134,$O$5:O134,"&lt;&gt;Cancelled",$O$5:O134,"&lt;&gt;Rescheduled")))</f>
        <v/>
      </c>
      <c r="AL134" s="49">
        <f>IF(N(U134)&lt;=0.005,"",COUNTIFS('JOBS'!$U$5:$U$1504,"&gt;0.005",'JOBS'!$B$5:$B$1504,"&lt;"&amp;B134)+COUNTIFS($U$5:U134,"&gt;0.005",$B$5:B134,B134))</f>
        <v/>
      </c>
    </row>
    <row r="135">
      <c r="A135" s="46" t="inlineStr">
        <is>
          <t>J-0131</t>
        </is>
      </c>
      <c r="B135" s="47" t="n">
        <v>46168</v>
      </c>
      <c r="C135" s="94" t="n">
        <v>0.375</v>
      </c>
      <c r="D135" s="38" t="inlineStr">
        <is>
          <t>Lane Ivers</t>
        </is>
      </c>
      <c r="E135" s="38" t="inlineStr">
        <is>
          <t>497 Aspen Drive, Sampletown</t>
        </is>
      </c>
      <c r="F135" s="38" t="inlineStr">
        <is>
          <t>Standard Clean</t>
        </is>
      </c>
      <c r="G135" s="38" t="inlineStr">
        <is>
          <t>R-001</t>
        </is>
      </c>
      <c r="H135" s="38" t="inlineStr">
        <is>
          <t>Maria Lopez</t>
        </is>
      </c>
      <c r="I135" s="57" t="n">
        <v>1</v>
      </c>
      <c r="J135" s="95" t="n"/>
      <c r="K135" s="95" t="n">
        <v>4.23</v>
      </c>
      <c r="L135" s="48" t="n">
        <v>175</v>
      </c>
      <c r="M135" s="96" t="n">
        <v>0</v>
      </c>
      <c r="N135" s="48" t="n"/>
      <c r="O135" s="38" t="inlineStr">
        <is>
          <t>Completed</t>
        </is>
      </c>
      <c r="P135" s="38" t="inlineStr"/>
      <c r="Q135" s="97">
        <f>IF(OR(F135="",E135=""),"",IFERROR(IF(INDEX('PROPERTIES'!$F$5:$F$404,MATCH(E135,'PROPERTIES'!$B$5:$B$404,0))=0,"",ROUND((INDEX('PROPERTIES'!$F$5:$F$404,MATCH(E135,'PROPERTIES'!$B$5:$B$404,0))/INDEX('PRICING'!$C$7:$C$16,MATCH(F135,'PRICING'!$A$7:$A$16,0))+INDEX('PROPERTIES'!$G$5:$G$404,MATCH(E135,'PROPERTIES'!$B$5:$B$404,0))*INDEX('PRICING'!$D$7:$D$16,MATCH(F135,'PRICING'!$A$7:$A$16,0))/60+INDEX('PROPERTIES'!$H$5:$H$404,MATCH(E135,'PROPERTIES'!$B$5:$B$404,0))*INDEX('PRICING'!$E$7:$E$16,MATCH(F135,'PRICING'!$A$7:$A$16,0))/60+INDEX('PRICING'!$F$7:$F$16,MATCH(F135,'PRICING'!$A$7:$A$16,0))/60),2)),""))</f>
        <v/>
      </c>
      <c r="R135" s="97">
        <f>IF(B135="","",IF(N(K135)&gt;0,K135,IF(N(J135)&gt;0,J135,N(Q135))))</f>
        <v/>
      </c>
      <c r="S135" s="55">
        <f>IF(L135="","",ROUND(L135*(1+N(M135)),2))</f>
        <v/>
      </c>
      <c r="T135" s="55">
        <f>IF(B135="","",SUMIFS('REVENUE'!$C$5:$C$1504,'REVENUE'!$B$5:$B$1504,A135))</f>
        <v/>
      </c>
      <c r="U135" s="55">
        <f>IF(B135="","",IF(O135="Completed",MAX(0,N(S135)-T135),""))</f>
        <v/>
      </c>
      <c r="V135" s="49">
        <f>IF(B135="","",IF(O135&lt;&gt;"Completed",IF(T135&gt;0,"Deposit","—"),IF(U135&lt;=0.005,"Paid",IF(T135&gt;0,"Partial","Unpaid"))))</f>
        <v/>
      </c>
      <c r="W135" s="55">
        <f>IF(B135="","",IFERROR(1/(1/INDEX('STAFF &amp; TASKS'!$C$5:$C$24,MATCH(H135,'STAFF &amp; TASKS'!$A$5:$A$24,0))),PayRate))</f>
        <v/>
      </c>
      <c r="X135" s="55">
        <f>IF(B135="","",IF(OR(O135="Cancelled",O135="No-Show"),"",ROUND(R135*W135*(1+Burden),2)))</f>
        <v/>
      </c>
      <c r="Y135" s="55">
        <f>IF(B135="","",IF(OR(O135="Cancelled",O135="No-Show"),"",IF(N135&lt;&gt;"",N135,ROUND(R135*SupHr*IFERROR(INDEX('PRICING'!$G$7:$G$16,MATCH(F135,'PRICING'!$A$7:$A$16,0)),1),2))))</f>
        <v/>
      </c>
      <c r="Z135" s="98">
        <f>IF(B135="","",SUMIFS('MILEAGE'!$J$5:$J$1504,'MILEAGE'!$B$5:$B$1504,A135))</f>
        <v/>
      </c>
      <c r="AA135" s="55">
        <f>IF(B135="","",ROUND(Z135*MileRate,2))</f>
        <v/>
      </c>
      <c r="AB135" s="55">
        <f>IF(B135="","",SUMIFS('REVENUE'!$J$5:$J$1504,'REVENUE'!$B$5:$B$1504,A135))</f>
        <v/>
      </c>
      <c r="AC135" s="55">
        <f>IF(L135="","",IF(OR(O135="Cancelled",O135="No-Show"),"",L135-N(X135)-N(Y135)-AA135-AB135))</f>
        <v/>
      </c>
      <c r="AD135" s="99">
        <f>IF(OR(AC135="",N(L135)=0),"",AC135/L135)</f>
        <v/>
      </c>
      <c r="AE135" s="55">
        <f>IF(OR(AC135="",N(R135)=0),"",L135/R135)</f>
        <v/>
      </c>
      <c r="AF135" s="100">
        <f>IF(OR(N(K135)=0,N(J135)+N(Q135)=0),"",K135-IF(N(J135)&gt;0,J135,Q135))</f>
        <v/>
      </c>
      <c r="AG135" s="99">
        <f>IF(B135="","",IFERROR(AVERAGEIFS('QUALITY CONTROL'!$M$5:$M$304,'QUALITY CONTROL'!$B$5:$B$304,A135),""))</f>
        <v/>
      </c>
      <c r="AH135" s="51">
        <f>IF(B135="","",DATE(YEAR(B135),MONTH(B135),1))</f>
        <v/>
      </c>
      <c r="AI135" s="49">
        <f>IF(D135="","",IFERROR(INDEX('CUSTOMERS'!$E$5:$E$404,MATCH(D135,'CUSTOMERS'!$B$5:$B$404,0)),""))</f>
        <v/>
      </c>
      <c r="AJ135" s="49">
        <f>IF(B135="","",N(C135))</f>
        <v/>
      </c>
      <c r="AK135" s="49">
        <f>IF(OR(B135="",O135="Cancelled",O135="Rescheduled"),"",B135&amp;"|"&amp;(COUNTIFS('JOBS'!$B$5:$B$1504,B135,'JOBS'!$AJ$5:$AJ$1504,"&lt;"&amp;AJ135,'JOBS'!$O$5:$O$1504,"&lt;&gt;Cancelled",'JOBS'!$O$5:$O$1504,"&lt;&gt;Rescheduled")+COUNTIFS($B$5:B135,B135,$AJ$5:AJ135,AJ135,$O$5:O135,"&lt;&gt;Cancelled",$O$5:O135,"&lt;&gt;Rescheduled")))</f>
        <v/>
      </c>
      <c r="AL135" s="49">
        <f>IF(N(U135)&lt;=0.005,"",COUNTIFS('JOBS'!$U$5:$U$1504,"&gt;0.005",'JOBS'!$B$5:$B$1504,"&lt;"&amp;B135)+COUNTIFS($U$5:U135,"&gt;0.005",$B$5:B135,B135))</f>
        <v/>
      </c>
    </row>
    <row r="136">
      <c r="A136" s="46" t="inlineStr">
        <is>
          <t>J-0132</t>
        </is>
      </c>
      <c r="B136" s="47" t="n">
        <v>46169</v>
      </c>
      <c r="C136" s="94" t="n">
        <v>0.5208333333333334</v>
      </c>
      <c r="D136" s="38" t="inlineStr">
        <is>
          <t>Logan Porter</t>
        </is>
      </c>
      <c r="E136" s="38" t="inlineStr">
        <is>
          <t>675 Aspen Drive, Lakeview (fictional)</t>
        </is>
      </c>
      <c r="F136" s="38" t="inlineStr">
        <is>
          <t>Standard Clean</t>
        </is>
      </c>
      <c r="G136" s="38" t="inlineStr">
        <is>
          <t>R-002</t>
        </is>
      </c>
      <c r="H136" s="38" t="inlineStr">
        <is>
          <t>Dana Whitfield</t>
        </is>
      </c>
      <c r="I136" s="57" t="n">
        <v>1</v>
      </c>
      <c r="J136" s="95" t="n"/>
      <c r="K136" s="95" t="n">
        <v>5.17</v>
      </c>
      <c r="L136" s="48" t="n">
        <v>220</v>
      </c>
      <c r="M136" s="96" t="n">
        <v>0</v>
      </c>
      <c r="N136" s="48" t="n"/>
      <c r="O136" s="38" t="inlineStr">
        <is>
          <t>Completed</t>
        </is>
      </c>
      <c r="P136" s="38" t="inlineStr"/>
      <c r="Q136" s="97">
        <f>IF(OR(F136="",E136=""),"",IFERROR(IF(INDEX('PROPERTIES'!$F$5:$F$404,MATCH(E136,'PROPERTIES'!$B$5:$B$404,0))=0,"",ROUND((INDEX('PROPERTIES'!$F$5:$F$404,MATCH(E136,'PROPERTIES'!$B$5:$B$404,0))/INDEX('PRICING'!$C$7:$C$16,MATCH(F136,'PRICING'!$A$7:$A$16,0))+INDEX('PROPERTIES'!$G$5:$G$404,MATCH(E136,'PROPERTIES'!$B$5:$B$404,0))*INDEX('PRICING'!$D$7:$D$16,MATCH(F136,'PRICING'!$A$7:$A$16,0))/60+INDEX('PROPERTIES'!$H$5:$H$404,MATCH(E136,'PROPERTIES'!$B$5:$B$404,0))*INDEX('PRICING'!$E$7:$E$16,MATCH(F136,'PRICING'!$A$7:$A$16,0))/60+INDEX('PRICING'!$F$7:$F$16,MATCH(F136,'PRICING'!$A$7:$A$16,0))/60),2)),""))</f>
        <v/>
      </c>
      <c r="R136" s="97">
        <f>IF(B136="","",IF(N(K136)&gt;0,K136,IF(N(J136)&gt;0,J136,N(Q136))))</f>
        <v/>
      </c>
      <c r="S136" s="55">
        <f>IF(L136="","",ROUND(L136*(1+N(M136)),2))</f>
        <v/>
      </c>
      <c r="T136" s="55">
        <f>IF(B136="","",SUMIFS('REVENUE'!$C$5:$C$1504,'REVENUE'!$B$5:$B$1504,A136))</f>
        <v/>
      </c>
      <c r="U136" s="55">
        <f>IF(B136="","",IF(O136="Completed",MAX(0,N(S136)-T136),""))</f>
        <v/>
      </c>
      <c r="V136" s="49">
        <f>IF(B136="","",IF(O136&lt;&gt;"Completed",IF(T136&gt;0,"Deposit","—"),IF(U136&lt;=0.005,"Paid",IF(T136&gt;0,"Partial","Unpaid"))))</f>
        <v/>
      </c>
      <c r="W136" s="55">
        <f>IF(B136="","",IFERROR(1/(1/INDEX('STAFF &amp; TASKS'!$C$5:$C$24,MATCH(H136,'STAFF &amp; TASKS'!$A$5:$A$24,0))),PayRate))</f>
        <v/>
      </c>
      <c r="X136" s="55">
        <f>IF(B136="","",IF(OR(O136="Cancelled",O136="No-Show"),"",ROUND(R136*W136*(1+Burden),2)))</f>
        <v/>
      </c>
      <c r="Y136" s="55">
        <f>IF(B136="","",IF(OR(O136="Cancelled",O136="No-Show"),"",IF(N136&lt;&gt;"",N136,ROUND(R136*SupHr*IFERROR(INDEX('PRICING'!$G$7:$G$16,MATCH(F136,'PRICING'!$A$7:$A$16,0)),1),2))))</f>
        <v/>
      </c>
      <c r="Z136" s="98">
        <f>IF(B136="","",SUMIFS('MILEAGE'!$J$5:$J$1504,'MILEAGE'!$B$5:$B$1504,A136))</f>
        <v/>
      </c>
      <c r="AA136" s="55">
        <f>IF(B136="","",ROUND(Z136*MileRate,2))</f>
        <v/>
      </c>
      <c r="AB136" s="55">
        <f>IF(B136="","",SUMIFS('REVENUE'!$J$5:$J$1504,'REVENUE'!$B$5:$B$1504,A136))</f>
        <v/>
      </c>
      <c r="AC136" s="55">
        <f>IF(L136="","",IF(OR(O136="Cancelled",O136="No-Show"),"",L136-N(X136)-N(Y136)-AA136-AB136))</f>
        <v/>
      </c>
      <c r="AD136" s="99">
        <f>IF(OR(AC136="",N(L136)=0),"",AC136/L136)</f>
        <v/>
      </c>
      <c r="AE136" s="55">
        <f>IF(OR(AC136="",N(R136)=0),"",L136/R136)</f>
        <v/>
      </c>
      <c r="AF136" s="100">
        <f>IF(OR(N(K136)=0,N(J136)+N(Q136)=0),"",K136-IF(N(J136)&gt;0,J136,Q136))</f>
        <v/>
      </c>
      <c r="AG136" s="99">
        <f>IF(B136="","",IFERROR(AVERAGEIFS('QUALITY CONTROL'!$M$5:$M$304,'QUALITY CONTROL'!$B$5:$B$304,A136),""))</f>
        <v/>
      </c>
      <c r="AH136" s="51">
        <f>IF(B136="","",DATE(YEAR(B136),MONTH(B136),1))</f>
        <v/>
      </c>
      <c r="AI136" s="49">
        <f>IF(D136="","",IFERROR(INDEX('CUSTOMERS'!$E$5:$E$404,MATCH(D136,'CUSTOMERS'!$B$5:$B$404,0)),""))</f>
        <v/>
      </c>
      <c r="AJ136" s="49">
        <f>IF(B136="","",N(C136))</f>
        <v/>
      </c>
      <c r="AK136" s="49">
        <f>IF(OR(B136="",O136="Cancelled",O136="Rescheduled"),"",B136&amp;"|"&amp;(COUNTIFS('JOBS'!$B$5:$B$1504,B136,'JOBS'!$AJ$5:$AJ$1504,"&lt;"&amp;AJ136,'JOBS'!$O$5:$O$1504,"&lt;&gt;Cancelled",'JOBS'!$O$5:$O$1504,"&lt;&gt;Rescheduled")+COUNTIFS($B$5:B136,B136,$AJ$5:AJ136,AJ136,$O$5:O136,"&lt;&gt;Cancelled",$O$5:O136,"&lt;&gt;Rescheduled")))</f>
        <v/>
      </c>
      <c r="AL136" s="49">
        <f>IF(N(U136)&lt;=0.005,"",COUNTIFS('JOBS'!$U$5:$U$1504,"&gt;0.005",'JOBS'!$B$5:$B$1504,"&lt;"&amp;B136)+COUNTIFS($U$5:U136,"&gt;0.005",$B$5:B136,B136))</f>
        <v/>
      </c>
    </row>
    <row r="137">
      <c r="A137" s="46" t="inlineStr">
        <is>
          <t>J-0133</t>
        </is>
      </c>
      <c r="B137" s="47" t="n">
        <v>46170</v>
      </c>
      <c r="C137" s="94" t="n">
        <v>0.375</v>
      </c>
      <c r="D137" s="38" t="inlineStr">
        <is>
          <t>Blake Oakes</t>
        </is>
      </c>
      <c r="E137" s="38" t="inlineStr">
        <is>
          <t>654 Willow Way, North Sampletown</t>
        </is>
      </c>
      <c r="F137" s="38" t="inlineStr">
        <is>
          <t>Airbnb Turnover</t>
        </is>
      </c>
      <c r="G137" s="38" t="n"/>
      <c r="H137" s="38" t="inlineStr">
        <is>
          <t>Kevin Osei</t>
        </is>
      </c>
      <c r="I137" s="57" t="n">
        <v>1</v>
      </c>
      <c r="J137" s="95" t="n"/>
      <c r="K137" s="95" t="n">
        <v>1.89</v>
      </c>
      <c r="L137" s="48" t="n">
        <v>135</v>
      </c>
      <c r="M137" s="96" t="n">
        <v>0</v>
      </c>
      <c r="N137" s="48" t="n"/>
      <c r="O137" s="38" t="inlineStr">
        <is>
          <t>Completed</t>
        </is>
      </c>
      <c r="P137" s="38" t="inlineStr">
        <is>
          <t>Includes laundry</t>
        </is>
      </c>
      <c r="Q137" s="97">
        <f>IF(OR(F137="",E137=""),"",IFERROR(IF(INDEX('PROPERTIES'!$F$5:$F$404,MATCH(E137,'PROPERTIES'!$B$5:$B$404,0))=0,"",ROUND((INDEX('PROPERTIES'!$F$5:$F$404,MATCH(E137,'PROPERTIES'!$B$5:$B$404,0))/INDEX('PRICING'!$C$7:$C$16,MATCH(F137,'PRICING'!$A$7:$A$16,0))+INDEX('PROPERTIES'!$G$5:$G$404,MATCH(E137,'PROPERTIES'!$B$5:$B$404,0))*INDEX('PRICING'!$D$7:$D$16,MATCH(F137,'PRICING'!$A$7:$A$16,0))/60+INDEX('PROPERTIES'!$H$5:$H$404,MATCH(E137,'PROPERTIES'!$B$5:$B$404,0))*INDEX('PRICING'!$E$7:$E$16,MATCH(F137,'PRICING'!$A$7:$A$16,0))/60+INDEX('PRICING'!$F$7:$F$16,MATCH(F137,'PRICING'!$A$7:$A$16,0))/60),2)),""))</f>
        <v/>
      </c>
      <c r="R137" s="97">
        <f>IF(B137="","",IF(N(K137)&gt;0,K137,IF(N(J137)&gt;0,J137,N(Q137))))</f>
        <v/>
      </c>
      <c r="S137" s="55">
        <f>IF(L137="","",ROUND(L137*(1+N(M137)),2))</f>
        <v/>
      </c>
      <c r="T137" s="55">
        <f>IF(B137="","",SUMIFS('REVENUE'!$C$5:$C$1504,'REVENUE'!$B$5:$B$1504,A137))</f>
        <v/>
      </c>
      <c r="U137" s="55">
        <f>IF(B137="","",IF(O137="Completed",MAX(0,N(S137)-T137),""))</f>
        <v/>
      </c>
      <c r="V137" s="49">
        <f>IF(B137="","",IF(O137&lt;&gt;"Completed",IF(T137&gt;0,"Deposit","—"),IF(U137&lt;=0.005,"Paid",IF(T137&gt;0,"Partial","Unpaid"))))</f>
        <v/>
      </c>
      <c r="W137" s="55">
        <f>IF(B137="","",IFERROR(1/(1/INDEX('STAFF &amp; TASKS'!$C$5:$C$24,MATCH(H137,'STAFF &amp; TASKS'!$A$5:$A$24,0))),PayRate))</f>
        <v/>
      </c>
      <c r="X137" s="55">
        <f>IF(B137="","",IF(OR(O137="Cancelled",O137="No-Show"),"",ROUND(R137*W137*(1+Burden),2)))</f>
        <v/>
      </c>
      <c r="Y137" s="55">
        <f>IF(B137="","",IF(OR(O137="Cancelled",O137="No-Show"),"",IF(N137&lt;&gt;"",N137,ROUND(R137*SupHr*IFERROR(INDEX('PRICING'!$G$7:$G$16,MATCH(F137,'PRICING'!$A$7:$A$16,0)),1),2))))</f>
        <v/>
      </c>
      <c r="Z137" s="98">
        <f>IF(B137="","",SUMIFS('MILEAGE'!$J$5:$J$1504,'MILEAGE'!$B$5:$B$1504,A137))</f>
        <v/>
      </c>
      <c r="AA137" s="55">
        <f>IF(B137="","",ROUND(Z137*MileRate,2))</f>
        <v/>
      </c>
      <c r="AB137" s="55">
        <f>IF(B137="","",SUMIFS('REVENUE'!$J$5:$J$1504,'REVENUE'!$B$5:$B$1504,A137))</f>
        <v/>
      </c>
      <c r="AC137" s="55">
        <f>IF(L137="","",IF(OR(O137="Cancelled",O137="No-Show"),"",L137-N(X137)-N(Y137)-AA137-AB137))</f>
        <v/>
      </c>
      <c r="AD137" s="99">
        <f>IF(OR(AC137="",N(L137)=0),"",AC137/L137)</f>
        <v/>
      </c>
      <c r="AE137" s="55">
        <f>IF(OR(AC137="",N(R137)=0),"",L137/R137)</f>
        <v/>
      </c>
      <c r="AF137" s="100">
        <f>IF(OR(N(K137)=0,N(J137)+N(Q137)=0),"",K137-IF(N(J137)&gt;0,J137,Q137))</f>
        <v/>
      </c>
      <c r="AG137" s="99">
        <f>IF(B137="","",IFERROR(AVERAGEIFS('QUALITY CONTROL'!$M$5:$M$304,'QUALITY CONTROL'!$B$5:$B$304,A137),""))</f>
        <v/>
      </c>
      <c r="AH137" s="51">
        <f>IF(B137="","",DATE(YEAR(B137),MONTH(B137),1))</f>
        <v/>
      </c>
      <c r="AI137" s="49">
        <f>IF(D137="","",IFERROR(INDEX('CUSTOMERS'!$E$5:$E$404,MATCH(D137,'CUSTOMERS'!$B$5:$B$404,0)),""))</f>
        <v/>
      </c>
      <c r="AJ137" s="49">
        <f>IF(B137="","",N(C137))</f>
        <v/>
      </c>
      <c r="AK137" s="49">
        <f>IF(OR(B137="",O137="Cancelled",O137="Rescheduled"),"",B137&amp;"|"&amp;(COUNTIFS('JOBS'!$B$5:$B$1504,B137,'JOBS'!$AJ$5:$AJ$1504,"&lt;"&amp;AJ137,'JOBS'!$O$5:$O$1504,"&lt;&gt;Cancelled",'JOBS'!$O$5:$O$1504,"&lt;&gt;Rescheduled")+COUNTIFS($B$5:B137,B137,$AJ$5:AJ137,AJ137,$O$5:O137,"&lt;&gt;Cancelled",$O$5:O137,"&lt;&gt;Rescheduled")))</f>
        <v/>
      </c>
      <c r="AL137" s="49">
        <f>IF(N(U137)&lt;=0.005,"",COUNTIFS('JOBS'!$U$5:$U$1504,"&gt;0.005",'JOBS'!$B$5:$B$1504,"&lt;"&amp;B137)+COUNTIFS($U$5:U137,"&gt;0.005",$B$5:B137,B137))</f>
        <v/>
      </c>
    </row>
    <row r="138">
      <c r="A138" s="46" t="inlineStr">
        <is>
          <t>J-0134</t>
        </is>
      </c>
      <c r="B138" s="47" t="n">
        <v>46170</v>
      </c>
      <c r="C138" s="94" t="n">
        <v>0.5416666666666666</v>
      </c>
      <c r="D138" s="38" t="inlineStr">
        <is>
          <t>Dana Ivers</t>
        </is>
      </c>
      <c r="E138" s="38" t="inlineStr">
        <is>
          <t>129 Elm Terrace, North Sampletown</t>
        </is>
      </c>
      <c r="F138" s="38" t="inlineStr">
        <is>
          <t>Standard Clean</t>
        </is>
      </c>
      <c r="G138" s="38" t="inlineStr">
        <is>
          <t>R-008</t>
        </is>
      </c>
      <c r="H138" s="38" t="inlineStr">
        <is>
          <t>Dana Whitfield</t>
        </is>
      </c>
      <c r="I138" s="57" t="n">
        <v>1</v>
      </c>
      <c r="J138" s="95" t="n"/>
      <c r="K138" s="95" t="n">
        <v>6.71</v>
      </c>
      <c r="L138" s="48" t="n">
        <v>255</v>
      </c>
      <c r="M138" s="96" t="n">
        <v>0</v>
      </c>
      <c r="N138" s="48" t="n"/>
      <c r="O138" s="38" t="inlineStr">
        <is>
          <t>Completed</t>
        </is>
      </c>
      <c r="P138" s="38" t="inlineStr"/>
      <c r="Q138" s="97">
        <f>IF(OR(F138="",E138=""),"",IFERROR(IF(INDEX('PROPERTIES'!$F$5:$F$404,MATCH(E138,'PROPERTIES'!$B$5:$B$404,0))=0,"",ROUND((INDEX('PROPERTIES'!$F$5:$F$404,MATCH(E138,'PROPERTIES'!$B$5:$B$404,0))/INDEX('PRICING'!$C$7:$C$16,MATCH(F138,'PRICING'!$A$7:$A$16,0))+INDEX('PROPERTIES'!$G$5:$G$404,MATCH(E138,'PROPERTIES'!$B$5:$B$404,0))*INDEX('PRICING'!$D$7:$D$16,MATCH(F138,'PRICING'!$A$7:$A$16,0))/60+INDEX('PROPERTIES'!$H$5:$H$404,MATCH(E138,'PROPERTIES'!$B$5:$B$404,0))*INDEX('PRICING'!$E$7:$E$16,MATCH(F138,'PRICING'!$A$7:$A$16,0))/60+INDEX('PRICING'!$F$7:$F$16,MATCH(F138,'PRICING'!$A$7:$A$16,0))/60),2)),""))</f>
        <v/>
      </c>
      <c r="R138" s="97">
        <f>IF(B138="","",IF(N(K138)&gt;0,K138,IF(N(J138)&gt;0,J138,N(Q138))))</f>
        <v/>
      </c>
      <c r="S138" s="55">
        <f>IF(L138="","",ROUND(L138*(1+N(M138)),2))</f>
        <v/>
      </c>
      <c r="T138" s="55">
        <f>IF(B138="","",SUMIFS('REVENUE'!$C$5:$C$1504,'REVENUE'!$B$5:$B$1504,A138))</f>
        <v/>
      </c>
      <c r="U138" s="55">
        <f>IF(B138="","",IF(O138="Completed",MAX(0,N(S138)-T138),""))</f>
        <v/>
      </c>
      <c r="V138" s="49">
        <f>IF(B138="","",IF(O138&lt;&gt;"Completed",IF(T138&gt;0,"Deposit","—"),IF(U138&lt;=0.005,"Paid",IF(T138&gt;0,"Partial","Unpaid"))))</f>
        <v/>
      </c>
      <c r="W138" s="55">
        <f>IF(B138="","",IFERROR(1/(1/INDEX('STAFF &amp; TASKS'!$C$5:$C$24,MATCH(H138,'STAFF &amp; TASKS'!$A$5:$A$24,0))),PayRate))</f>
        <v/>
      </c>
      <c r="X138" s="55">
        <f>IF(B138="","",IF(OR(O138="Cancelled",O138="No-Show"),"",ROUND(R138*W138*(1+Burden),2)))</f>
        <v/>
      </c>
      <c r="Y138" s="55">
        <f>IF(B138="","",IF(OR(O138="Cancelled",O138="No-Show"),"",IF(N138&lt;&gt;"",N138,ROUND(R138*SupHr*IFERROR(INDEX('PRICING'!$G$7:$G$16,MATCH(F138,'PRICING'!$A$7:$A$16,0)),1),2))))</f>
        <v/>
      </c>
      <c r="Z138" s="98">
        <f>IF(B138="","",SUMIFS('MILEAGE'!$J$5:$J$1504,'MILEAGE'!$B$5:$B$1504,A138))</f>
        <v/>
      </c>
      <c r="AA138" s="55">
        <f>IF(B138="","",ROUND(Z138*MileRate,2))</f>
        <v/>
      </c>
      <c r="AB138" s="55">
        <f>IF(B138="","",SUMIFS('REVENUE'!$J$5:$J$1504,'REVENUE'!$B$5:$B$1504,A138))</f>
        <v/>
      </c>
      <c r="AC138" s="55">
        <f>IF(L138="","",IF(OR(O138="Cancelled",O138="No-Show"),"",L138-N(X138)-N(Y138)-AA138-AB138))</f>
        <v/>
      </c>
      <c r="AD138" s="99">
        <f>IF(OR(AC138="",N(L138)=0),"",AC138/L138)</f>
        <v/>
      </c>
      <c r="AE138" s="55">
        <f>IF(OR(AC138="",N(R138)=0),"",L138/R138)</f>
        <v/>
      </c>
      <c r="AF138" s="100">
        <f>IF(OR(N(K138)=0,N(J138)+N(Q138)=0),"",K138-IF(N(J138)&gt;0,J138,Q138))</f>
        <v/>
      </c>
      <c r="AG138" s="99">
        <f>IF(B138="","",IFERROR(AVERAGEIFS('QUALITY CONTROL'!$M$5:$M$304,'QUALITY CONTROL'!$B$5:$B$304,A138),""))</f>
        <v/>
      </c>
      <c r="AH138" s="51">
        <f>IF(B138="","",DATE(YEAR(B138),MONTH(B138),1))</f>
        <v/>
      </c>
      <c r="AI138" s="49">
        <f>IF(D138="","",IFERROR(INDEX('CUSTOMERS'!$E$5:$E$404,MATCH(D138,'CUSTOMERS'!$B$5:$B$404,0)),""))</f>
        <v/>
      </c>
      <c r="AJ138" s="49">
        <f>IF(B138="","",N(C138))</f>
        <v/>
      </c>
      <c r="AK138" s="49">
        <f>IF(OR(B138="",O138="Cancelled",O138="Rescheduled"),"",B138&amp;"|"&amp;(COUNTIFS('JOBS'!$B$5:$B$1504,B138,'JOBS'!$AJ$5:$AJ$1504,"&lt;"&amp;AJ138,'JOBS'!$O$5:$O$1504,"&lt;&gt;Cancelled",'JOBS'!$O$5:$O$1504,"&lt;&gt;Rescheduled")+COUNTIFS($B$5:B138,B138,$AJ$5:AJ138,AJ138,$O$5:O138,"&lt;&gt;Cancelled",$O$5:O138,"&lt;&gt;Rescheduled")))</f>
        <v/>
      </c>
      <c r="AL138" s="49">
        <f>IF(N(U138)&lt;=0.005,"",COUNTIFS('JOBS'!$U$5:$U$1504,"&gt;0.005",'JOBS'!$B$5:$B$1504,"&lt;"&amp;B138)+COUNTIFS($U$5:U138,"&gt;0.005",$B$5:B138,B138))</f>
        <v/>
      </c>
    </row>
    <row r="139">
      <c r="A139" s="46" t="inlineStr">
        <is>
          <t>J-0135</t>
        </is>
      </c>
      <c r="B139" s="47" t="n">
        <v>46170</v>
      </c>
      <c r="C139" s="94" t="n">
        <v>0.625</v>
      </c>
      <c r="D139" s="38" t="inlineStr">
        <is>
          <t>Emerson Holloway</t>
        </is>
      </c>
      <c r="E139" s="38" t="inlineStr">
        <is>
          <t>192 Birch Lane, North Sampletown</t>
        </is>
      </c>
      <c r="F139" s="38" t="inlineStr">
        <is>
          <t>Airbnb Turnover</t>
        </is>
      </c>
      <c r="G139" s="38" t="n"/>
      <c r="H139" s="38" t="inlineStr">
        <is>
          <t>Kevin Osei</t>
        </is>
      </c>
      <c r="I139" s="57" t="n">
        <v>1</v>
      </c>
      <c r="J139" s="95" t="n"/>
      <c r="K139" s="95" t="n">
        <v>2.62</v>
      </c>
      <c r="L139" s="48" t="n">
        <v>150</v>
      </c>
      <c r="M139" s="96" t="n">
        <v>0</v>
      </c>
      <c r="N139" s="48" t="n"/>
      <c r="O139" s="38" t="inlineStr">
        <is>
          <t>Completed</t>
        </is>
      </c>
      <c r="P139" s="38" t="inlineStr">
        <is>
          <t>Includes laundry</t>
        </is>
      </c>
      <c r="Q139" s="97">
        <f>IF(OR(F139="",E139=""),"",IFERROR(IF(INDEX('PROPERTIES'!$F$5:$F$404,MATCH(E139,'PROPERTIES'!$B$5:$B$404,0))=0,"",ROUND((INDEX('PROPERTIES'!$F$5:$F$404,MATCH(E139,'PROPERTIES'!$B$5:$B$404,0))/INDEX('PRICING'!$C$7:$C$16,MATCH(F139,'PRICING'!$A$7:$A$16,0))+INDEX('PROPERTIES'!$G$5:$G$404,MATCH(E139,'PROPERTIES'!$B$5:$B$404,0))*INDEX('PRICING'!$D$7:$D$16,MATCH(F139,'PRICING'!$A$7:$A$16,0))/60+INDEX('PROPERTIES'!$H$5:$H$404,MATCH(E139,'PROPERTIES'!$B$5:$B$404,0))*INDEX('PRICING'!$E$7:$E$16,MATCH(F139,'PRICING'!$A$7:$A$16,0))/60+INDEX('PRICING'!$F$7:$F$16,MATCH(F139,'PRICING'!$A$7:$A$16,0))/60),2)),""))</f>
        <v/>
      </c>
      <c r="R139" s="97">
        <f>IF(B139="","",IF(N(K139)&gt;0,K139,IF(N(J139)&gt;0,J139,N(Q139))))</f>
        <v/>
      </c>
      <c r="S139" s="55">
        <f>IF(L139="","",ROUND(L139*(1+N(M139)),2))</f>
        <v/>
      </c>
      <c r="T139" s="55">
        <f>IF(B139="","",SUMIFS('REVENUE'!$C$5:$C$1504,'REVENUE'!$B$5:$B$1504,A139))</f>
        <v/>
      </c>
      <c r="U139" s="55">
        <f>IF(B139="","",IF(O139="Completed",MAX(0,N(S139)-T139),""))</f>
        <v/>
      </c>
      <c r="V139" s="49">
        <f>IF(B139="","",IF(O139&lt;&gt;"Completed",IF(T139&gt;0,"Deposit","—"),IF(U139&lt;=0.005,"Paid",IF(T139&gt;0,"Partial","Unpaid"))))</f>
        <v/>
      </c>
      <c r="W139" s="55">
        <f>IF(B139="","",IFERROR(1/(1/INDEX('STAFF &amp; TASKS'!$C$5:$C$24,MATCH(H139,'STAFF &amp; TASKS'!$A$5:$A$24,0))),PayRate))</f>
        <v/>
      </c>
      <c r="X139" s="55">
        <f>IF(B139="","",IF(OR(O139="Cancelled",O139="No-Show"),"",ROUND(R139*W139*(1+Burden),2)))</f>
        <v/>
      </c>
      <c r="Y139" s="55">
        <f>IF(B139="","",IF(OR(O139="Cancelled",O139="No-Show"),"",IF(N139&lt;&gt;"",N139,ROUND(R139*SupHr*IFERROR(INDEX('PRICING'!$G$7:$G$16,MATCH(F139,'PRICING'!$A$7:$A$16,0)),1),2))))</f>
        <v/>
      </c>
      <c r="Z139" s="98">
        <f>IF(B139="","",SUMIFS('MILEAGE'!$J$5:$J$1504,'MILEAGE'!$B$5:$B$1504,A139))</f>
        <v/>
      </c>
      <c r="AA139" s="55">
        <f>IF(B139="","",ROUND(Z139*MileRate,2))</f>
        <v/>
      </c>
      <c r="AB139" s="55">
        <f>IF(B139="","",SUMIFS('REVENUE'!$J$5:$J$1504,'REVENUE'!$B$5:$B$1504,A139))</f>
        <v/>
      </c>
      <c r="AC139" s="55">
        <f>IF(L139="","",IF(OR(O139="Cancelled",O139="No-Show"),"",L139-N(X139)-N(Y139)-AA139-AB139))</f>
        <v/>
      </c>
      <c r="AD139" s="99">
        <f>IF(OR(AC139="",N(L139)=0),"",AC139/L139)</f>
        <v/>
      </c>
      <c r="AE139" s="55">
        <f>IF(OR(AC139="",N(R139)=0),"",L139/R139)</f>
        <v/>
      </c>
      <c r="AF139" s="100">
        <f>IF(OR(N(K139)=0,N(J139)+N(Q139)=0),"",K139-IF(N(J139)&gt;0,J139,Q139))</f>
        <v/>
      </c>
      <c r="AG139" s="99">
        <f>IF(B139="","",IFERROR(AVERAGEIFS('QUALITY CONTROL'!$M$5:$M$304,'QUALITY CONTROL'!$B$5:$B$304,A139),""))</f>
        <v/>
      </c>
      <c r="AH139" s="51">
        <f>IF(B139="","",DATE(YEAR(B139),MONTH(B139),1))</f>
        <v/>
      </c>
      <c r="AI139" s="49">
        <f>IF(D139="","",IFERROR(INDEX('CUSTOMERS'!$E$5:$E$404,MATCH(D139,'CUSTOMERS'!$B$5:$B$404,0)),""))</f>
        <v/>
      </c>
      <c r="AJ139" s="49">
        <f>IF(B139="","",N(C139))</f>
        <v/>
      </c>
      <c r="AK139" s="49">
        <f>IF(OR(B139="",O139="Cancelled",O139="Rescheduled"),"",B139&amp;"|"&amp;(COUNTIFS('JOBS'!$B$5:$B$1504,B139,'JOBS'!$AJ$5:$AJ$1504,"&lt;"&amp;AJ139,'JOBS'!$O$5:$O$1504,"&lt;&gt;Cancelled",'JOBS'!$O$5:$O$1504,"&lt;&gt;Rescheduled")+COUNTIFS($B$5:B139,B139,$AJ$5:AJ139,AJ139,$O$5:O139,"&lt;&gt;Cancelled",$O$5:O139,"&lt;&gt;Rescheduled")))</f>
        <v/>
      </c>
      <c r="AL139" s="49">
        <f>IF(N(U139)&lt;=0.005,"",COUNTIFS('JOBS'!$U$5:$U$1504,"&gt;0.005",'JOBS'!$B$5:$B$1504,"&lt;"&amp;B139)+COUNTIFS($U$5:U139,"&gt;0.005",$B$5:B139,B139))</f>
        <v/>
      </c>
    </row>
    <row r="140">
      <c r="A140" s="46" t="inlineStr">
        <is>
          <t>J-0136</t>
        </is>
      </c>
      <c r="B140" s="47" t="n">
        <v>46171</v>
      </c>
      <c r="C140" s="94" t="n">
        <v>0.3333333333333333</v>
      </c>
      <c r="D140" s="38" t="inlineStr">
        <is>
          <t>Oakview Office Suites (sample)</t>
        </is>
      </c>
      <c r="E140" s="38" t="inlineStr">
        <is>
          <t>957 Hawthorn Road, North Sampletown</t>
        </is>
      </c>
      <c r="F140" s="38" t="inlineStr">
        <is>
          <t>Commercial Clean</t>
        </is>
      </c>
      <c r="G140" s="38" t="inlineStr">
        <is>
          <t>R-012</t>
        </is>
      </c>
      <c r="H140" s="38" t="inlineStr">
        <is>
          <t>Kevin Osei</t>
        </is>
      </c>
      <c r="I140" s="57" t="n">
        <v>2</v>
      </c>
      <c r="J140" s="95" t="n"/>
      <c r="K140" s="95" t="n">
        <v>3.71</v>
      </c>
      <c r="L140" s="48" t="n">
        <v>140</v>
      </c>
      <c r="M140" s="96" t="n">
        <v>0</v>
      </c>
      <c r="N140" s="48" t="n"/>
      <c r="O140" s="38" t="inlineStr">
        <is>
          <t>Completed</t>
        </is>
      </c>
      <c r="P140" s="38" t="inlineStr"/>
      <c r="Q140" s="97">
        <f>IF(OR(F140="",E140=""),"",IFERROR(IF(INDEX('PROPERTIES'!$F$5:$F$404,MATCH(E140,'PROPERTIES'!$B$5:$B$404,0))=0,"",ROUND((INDEX('PROPERTIES'!$F$5:$F$404,MATCH(E140,'PROPERTIES'!$B$5:$B$404,0))/INDEX('PRICING'!$C$7:$C$16,MATCH(F140,'PRICING'!$A$7:$A$16,0))+INDEX('PROPERTIES'!$G$5:$G$404,MATCH(E140,'PROPERTIES'!$B$5:$B$404,0))*INDEX('PRICING'!$D$7:$D$16,MATCH(F140,'PRICING'!$A$7:$A$16,0))/60+INDEX('PROPERTIES'!$H$5:$H$404,MATCH(E140,'PROPERTIES'!$B$5:$B$404,0))*INDEX('PRICING'!$E$7:$E$16,MATCH(F140,'PRICING'!$A$7:$A$16,0))/60+INDEX('PRICING'!$F$7:$F$16,MATCH(F140,'PRICING'!$A$7:$A$16,0))/60),2)),""))</f>
        <v/>
      </c>
      <c r="R140" s="97">
        <f>IF(B140="","",IF(N(K140)&gt;0,K140,IF(N(J140)&gt;0,J140,N(Q140))))</f>
        <v/>
      </c>
      <c r="S140" s="55">
        <f>IF(L140="","",ROUND(L140*(1+N(M140)),2))</f>
        <v/>
      </c>
      <c r="T140" s="55">
        <f>IF(B140="","",SUMIFS('REVENUE'!$C$5:$C$1504,'REVENUE'!$B$5:$B$1504,A140))</f>
        <v/>
      </c>
      <c r="U140" s="55">
        <f>IF(B140="","",IF(O140="Completed",MAX(0,N(S140)-T140),""))</f>
        <v/>
      </c>
      <c r="V140" s="49">
        <f>IF(B140="","",IF(O140&lt;&gt;"Completed",IF(T140&gt;0,"Deposit","—"),IF(U140&lt;=0.005,"Paid",IF(T140&gt;0,"Partial","Unpaid"))))</f>
        <v/>
      </c>
      <c r="W140" s="55">
        <f>IF(B140="","",IFERROR(1/(1/INDEX('STAFF &amp; TASKS'!$C$5:$C$24,MATCH(H140,'STAFF &amp; TASKS'!$A$5:$A$24,0))),PayRate))</f>
        <v/>
      </c>
      <c r="X140" s="55">
        <f>IF(B140="","",IF(OR(O140="Cancelled",O140="No-Show"),"",ROUND(R140*W140*(1+Burden),2)))</f>
        <v/>
      </c>
      <c r="Y140" s="55">
        <f>IF(B140="","",IF(OR(O140="Cancelled",O140="No-Show"),"",IF(N140&lt;&gt;"",N140,ROUND(R140*SupHr*IFERROR(INDEX('PRICING'!$G$7:$G$16,MATCH(F140,'PRICING'!$A$7:$A$16,0)),1),2))))</f>
        <v/>
      </c>
      <c r="Z140" s="98">
        <f>IF(B140="","",SUMIFS('MILEAGE'!$J$5:$J$1504,'MILEAGE'!$B$5:$B$1504,A140))</f>
        <v/>
      </c>
      <c r="AA140" s="55">
        <f>IF(B140="","",ROUND(Z140*MileRate,2))</f>
        <v/>
      </c>
      <c r="AB140" s="55">
        <f>IF(B140="","",SUMIFS('REVENUE'!$J$5:$J$1504,'REVENUE'!$B$5:$B$1504,A140))</f>
        <v/>
      </c>
      <c r="AC140" s="55">
        <f>IF(L140="","",IF(OR(O140="Cancelled",O140="No-Show"),"",L140-N(X140)-N(Y140)-AA140-AB140))</f>
        <v/>
      </c>
      <c r="AD140" s="99">
        <f>IF(OR(AC140="",N(L140)=0),"",AC140/L140)</f>
        <v/>
      </c>
      <c r="AE140" s="55">
        <f>IF(OR(AC140="",N(R140)=0),"",L140/R140)</f>
        <v/>
      </c>
      <c r="AF140" s="100">
        <f>IF(OR(N(K140)=0,N(J140)+N(Q140)=0),"",K140-IF(N(J140)&gt;0,J140,Q140))</f>
        <v/>
      </c>
      <c r="AG140" s="99">
        <f>IF(B140="","",IFERROR(AVERAGEIFS('QUALITY CONTROL'!$M$5:$M$304,'QUALITY CONTROL'!$B$5:$B$304,A140),""))</f>
        <v/>
      </c>
      <c r="AH140" s="51">
        <f>IF(B140="","",DATE(YEAR(B140),MONTH(B140),1))</f>
        <v/>
      </c>
      <c r="AI140" s="49">
        <f>IF(D140="","",IFERROR(INDEX('CUSTOMERS'!$E$5:$E$404,MATCH(D140,'CUSTOMERS'!$B$5:$B$404,0)),""))</f>
        <v/>
      </c>
      <c r="AJ140" s="49">
        <f>IF(B140="","",N(C140))</f>
        <v/>
      </c>
      <c r="AK140" s="49">
        <f>IF(OR(B140="",O140="Cancelled",O140="Rescheduled"),"",B140&amp;"|"&amp;(COUNTIFS('JOBS'!$B$5:$B$1504,B140,'JOBS'!$AJ$5:$AJ$1504,"&lt;"&amp;AJ140,'JOBS'!$O$5:$O$1504,"&lt;&gt;Cancelled",'JOBS'!$O$5:$O$1504,"&lt;&gt;Rescheduled")+COUNTIFS($B$5:B140,B140,$AJ$5:AJ140,AJ140,$O$5:O140,"&lt;&gt;Cancelled",$O$5:O140,"&lt;&gt;Rescheduled")))</f>
        <v/>
      </c>
      <c r="AL140" s="49">
        <f>IF(N(U140)&lt;=0.005,"",COUNTIFS('JOBS'!$U$5:$U$1504,"&gt;0.005",'JOBS'!$B$5:$B$1504,"&lt;"&amp;B140)+COUNTIFS($U$5:U140,"&gt;0.005",$B$5:B140,B140))</f>
        <v/>
      </c>
    </row>
    <row r="141">
      <c r="A141" s="46" t="inlineStr">
        <is>
          <t>J-0137</t>
        </is>
      </c>
      <c r="B141" s="47" t="n">
        <v>46171</v>
      </c>
      <c r="C141" s="94" t="n">
        <v>0.375</v>
      </c>
      <c r="D141" s="38" t="inlineStr">
        <is>
          <t>Brightside Dental Studio (sample)</t>
        </is>
      </c>
      <c r="E141" s="38" t="inlineStr">
        <is>
          <t>738 Cedar Court, North Sampletown</t>
        </is>
      </c>
      <c r="F141" s="38" t="inlineStr">
        <is>
          <t>Commercial Clean</t>
        </is>
      </c>
      <c r="G141" s="38" t="inlineStr">
        <is>
          <t>R-011</t>
        </is>
      </c>
      <c r="H141" s="38" t="inlineStr">
        <is>
          <t>Kevin Osei</t>
        </is>
      </c>
      <c r="I141" s="57" t="n">
        <v>2</v>
      </c>
      <c r="J141" s="95" t="n"/>
      <c r="K141" s="95" t="n">
        <v>2.13</v>
      </c>
      <c r="L141" s="48" t="n">
        <v>100</v>
      </c>
      <c r="M141" s="96" t="n">
        <v>0</v>
      </c>
      <c r="N141" s="48" t="n"/>
      <c r="O141" s="38" t="inlineStr">
        <is>
          <t>Completed</t>
        </is>
      </c>
      <c r="P141" s="38" t="inlineStr"/>
      <c r="Q141" s="97">
        <f>IF(OR(F141="",E141=""),"",IFERROR(IF(INDEX('PROPERTIES'!$F$5:$F$404,MATCH(E141,'PROPERTIES'!$B$5:$B$404,0))=0,"",ROUND((INDEX('PROPERTIES'!$F$5:$F$404,MATCH(E141,'PROPERTIES'!$B$5:$B$404,0))/INDEX('PRICING'!$C$7:$C$16,MATCH(F141,'PRICING'!$A$7:$A$16,0))+INDEX('PROPERTIES'!$G$5:$G$404,MATCH(E141,'PROPERTIES'!$B$5:$B$404,0))*INDEX('PRICING'!$D$7:$D$16,MATCH(F141,'PRICING'!$A$7:$A$16,0))/60+INDEX('PROPERTIES'!$H$5:$H$404,MATCH(E141,'PROPERTIES'!$B$5:$B$404,0))*INDEX('PRICING'!$E$7:$E$16,MATCH(F141,'PRICING'!$A$7:$A$16,0))/60+INDEX('PRICING'!$F$7:$F$16,MATCH(F141,'PRICING'!$A$7:$A$16,0))/60),2)),""))</f>
        <v/>
      </c>
      <c r="R141" s="97">
        <f>IF(B141="","",IF(N(K141)&gt;0,K141,IF(N(J141)&gt;0,J141,N(Q141))))</f>
        <v/>
      </c>
      <c r="S141" s="55">
        <f>IF(L141="","",ROUND(L141*(1+N(M141)),2))</f>
        <v/>
      </c>
      <c r="T141" s="55">
        <f>IF(B141="","",SUMIFS('REVENUE'!$C$5:$C$1504,'REVENUE'!$B$5:$B$1504,A141))</f>
        <v/>
      </c>
      <c r="U141" s="55">
        <f>IF(B141="","",IF(O141="Completed",MAX(0,N(S141)-T141),""))</f>
        <v/>
      </c>
      <c r="V141" s="49">
        <f>IF(B141="","",IF(O141&lt;&gt;"Completed",IF(T141&gt;0,"Deposit","—"),IF(U141&lt;=0.005,"Paid",IF(T141&gt;0,"Partial","Unpaid"))))</f>
        <v/>
      </c>
      <c r="W141" s="55">
        <f>IF(B141="","",IFERROR(1/(1/INDEX('STAFF &amp; TASKS'!$C$5:$C$24,MATCH(H141,'STAFF &amp; TASKS'!$A$5:$A$24,0))),PayRate))</f>
        <v/>
      </c>
      <c r="X141" s="55">
        <f>IF(B141="","",IF(OR(O141="Cancelled",O141="No-Show"),"",ROUND(R141*W141*(1+Burden),2)))</f>
        <v/>
      </c>
      <c r="Y141" s="55">
        <f>IF(B141="","",IF(OR(O141="Cancelled",O141="No-Show"),"",IF(N141&lt;&gt;"",N141,ROUND(R141*SupHr*IFERROR(INDEX('PRICING'!$G$7:$G$16,MATCH(F141,'PRICING'!$A$7:$A$16,0)),1),2))))</f>
        <v/>
      </c>
      <c r="Z141" s="98">
        <f>IF(B141="","",SUMIFS('MILEAGE'!$J$5:$J$1504,'MILEAGE'!$B$5:$B$1504,A141))</f>
        <v/>
      </c>
      <c r="AA141" s="55">
        <f>IF(B141="","",ROUND(Z141*MileRate,2))</f>
        <v/>
      </c>
      <c r="AB141" s="55">
        <f>IF(B141="","",SUMIFS('REVENUE'!$J$5:$J$1504,'REVENUE'!$B$5:$B$1504,A141))</f>
        <v/>
      </c>
      <c r="AC141" s="55">
        <f>IF(L141="","",IF(OR(O141="Cancelled",O141="No-Show"),"",L141-N(X141)-N(Y141)-AA141-AB141))</f>
        <v/>
      </c>
      <c r="AD141" s="99">
        <f>IF(OR(AC141="",N(L141)=0),"",AC141/L141)</f>
        <v/>
      </c>
      <c r="AE141" s="55">
        <f>IF(OR(AC141="",N(R141)=0),"",L141/R141)</f>
        <v/>
      </c>
      <c r="AF141" s="100">
        <f>IF(OR(N(K141)=0,N(J141)+N(Q141)=0),"",K141-IF(N(J141)&gt;0,J141,Q141))</f>
        <v/>
      </c>
      <c r="AG141" s="99">
        <f>IF(B141="","",IFERROR(AVERAGEIFS('QUALITY CONTROL'!$M$5:$M$304,'QUALITY CONTROL'!$B$5:$B$304,A141),""))</f>
        <v/>
      </c>
      <c r="AH141" s="51">
        <f>IF(B141="","",DATE(YEAR(B141),MONTH(B141),1))</f>
        <v/>
      </c>
      <c r="AI141" s="49">
        <f>IF(D141="","",IFERROR(INDEX('CUSTOMERS'!$E$5:$E$404,MATCH(D141,'CUSTOMERS'!$B$5:$B$404,0)),""))</f>
        <v/>
      </c>
      <c r="AJ141" s="49">
        <f>IF(B141="","",N(C141))</f>
        <v/>
      </c>
      <c r="AK141" s="49">
        <f>IF(OR(B141="",O141="Cancelled",O141="Rescheduled"),"",B141&amp;"|"&amp;(COUNTIFS('JOBS'!$B$5:$B$1504,B141,'JOBS'!$AJ$5:$AJ$1504,"&lt;"&amp;AJ141,'JOBS'!$O$5:$O$1504,"&lt;&gt;Cancelled",'JOBS'!$O$5:$O$1504,"&lt;&gt;Rescheduled")+COUNTIFS($B$5:B141,B141,$AJ$5:AJ141,AJ141,$O$5:O141,"&lt;&gt;Cancelled",$O$5:O141,"&lt;&gt;Rescheduled")))</f>
        <v/>
      </c>
      <c r="AL141" s="49">
        <f>IF(N(U141)&lt;=0.005,"",COUNTIFS('JOBS'!$U$5:$U$1504,"&gt;0.005",'JOBS'!$B$5:$B$1504,"&lt;"&amp;B141)+COUNTIFS($U$5:U141,"&gt;0.005",$B$5:B141,B141))</f>
        <v/>
      </c>
    </row>
    <row r="142">
      <c r="A142" s="46" t="inlineStr">
        <is>
          <t>J-0138</t>
        </is>
      </c>
      <c r="B142" s="47" t="n">
        <v>46171</v>
      </c>
      <c r="C142" s="94" t="n">
        <v>0.4791666666666667</v>
      </c>
      <c r="D142" s="38" t="inlineStr">
        <is>
          <t>Crescent Property Group (sample)</t>
        </is>
      </c>
      <c r="E142" s="38" t="inlineStr">
        <is>
          <t>484 Poplar Trail, Lakeview (fictional)</t>
        </is>
      </c>
      <c r="F142" s="38" t="inlineStr">
        <is>
          <t>Move-In/Move-Out</t>
        </is>
      </c>
      <c r="G142" s="38" t="n"/>
      <c r="H142" s="38" t="inlineStr">
        <is>
          <t>Maria Lopez</t>
        </is>
      </c>
      <c r="I142" s="57" t="n">
        <v>2</v>
      </c>
      <c r="J142" s="95" t="n">
        <v>6.7</v>
      </c>
      <c r="K142" s="95" t="n">
        <v>5.58</v>
      </c>
      <c r="L142" s="48" t="n">
        <v>375</v>
      </c>
      <c r="M142" s="96" t="n">
        <v>0</v>
      </c>
      <c r="N142" s="48" t="n"/>
      <c r="O142" s="38" t="inlineStr">
        <is>
          <t>Completed</t>
        </is>
      </c>
      <c r="P142" s="38" t="inlineStr">
        <is>
          <t>Inside oven, fridge, cabinets</t>
        </is>
      </c>
      <c r="Q142" s="97">
        <f>IF(OR(F142="",E142=""),"",IFERROR(IF(INDEX('PROPERTIES'!$F$5:$F$404,MATCH(E142,'PROPERTIES'!$B$5:$B$404,0))=0,"",ROUND((INDEX('PROPERTIES'!$F$5:$F$404,MATCH(E142,'PROPERTIES'!$B$5:$B$404,0))/INDEX('PRICING'!$C$7:$C$16,MATCH(F142,'PRICING'!$A$7:$A$16,0))+INDEX('PROPERTIES'!$G$5:$G$404,MATCH(E142,'PROPERTIES'!$B$5:$B$404,0))*INDEX('PRICING'!$D$7:$D$16,MATCH(F142,'PRICING'!$A$7:$A$16,0))/60+INDEX('PROPERTIES'!$H$5:$H$404,MATCH(E142,'PROPERTIES'!$B$5:$B$404,0))*INDEX('PRICING'!$E$7:$E$16,MATCH(F142,'PRICING'!$A$7:$A$16,0))/60+INDEX('PRICING'!$F$7:$F$16,MATCH(F142,'PRICING'!$A$7:$A$16,0))/60),2)),""))</f>
        <v/>
      </c>
      <c r="R142" s="97">
        <f>IF(B142="","",IF(N(K142)&gt;0,K142,IF(N(J142)&gt;0,J142,N(Q142))))</f>
        <v/>
      </c>
      <c r="S142" s="55">
        <f>IF(L142="","",ROUND(L142*(1+N(M142)),2))</f>
        <v/>
      </c>
      <c r="T142" s="55">
        <f>IF(B142="","",SUMIFS('REVENUE'!$C$5:$C$1504,'REVENUE'!$B$5:$B$1504,A142))</f>
        <v/>
      </c>
      <c r="U142" s="55">
        <f>IF(B142="","",IF(O142="Completed",MAX(0,N(S142)-T142),""))</f>
        <v/>
      </c>
      <c r="V142" s="49">
        <f>IF(B142="","",IF(O142&lt;&gt;"Completed",IF(T142&gt;0,"Deposit","—"),IF(U142&lt;=0.005,"Paid",IF(T142&gt;0,"Partial","Unpaid"))))</f>
        <v/>
      </c>
      <c r="W142" s="55">
        <f>IF(B142="","",IFERROR(1/(1/INDEX('STAFF &amp; TASKS'!$C$5:$C$24,MATCH(H142,'STAFF &amp; TASKS'!$A$5:$A$24,0))),PayRate))</f>
        <v/>
      </c>
      <c r="X142" s="55">
        <f>IF(B142="","",IF(OR(O142="Cancelled",O142="No-Show"),"",ROUND(R142*W142*(1+Burden),2)))</f>
        <v/>
      </c>
      <c r="Y142" s="55">
        <f>IF(B142="","",IF(OR(O142="Cancelled",O142="No-Show"),"",IF(N142&lt;&gt;"",N142,ROUND(R142*SupHr*IFERROR(INDEX('PRICING'!$G$7:$G$16,MATCH(F142,'PRICING'!$A$7:$A$16,0)),1),2))))</f>
        <v/>
      </c>
      <c r="Z142" s="98">
        <f>IF(B142="","",SUMIFS('MILEAGE'!$J$5:$J$1504,'MILEAGE'!$B$5:$B$1504,A142))</f>
        <v/>
      </c>
      <c r="AA142" s="55">
        <f>IF(B142="","",ROUND(Z142*MileRate,2))</f>
        <v/>
      </c>
      <c r="AB142" s="55">
        <f>IF(B142="","",SUMIFS('REVENUE'!$J$5:$J$1504,'REVENUE'!$B$5:$B$1504,A142))</f>
        <v/>
      </c>
      <c r="AC142" s="55">
        <f>IF(L142="","",IF(OR(O142="Cancelled",O142="No-Show"),"",L142-N(X142)-N(Y142)-AA142-AB142))</f>
        <v/>
      </c>
      <c r="AD142" s="99">
        <f>IF(OR(AC142="",N(L142)=0),"",AC142/L142)</f>
        <v/>
      </c>
      <c r="AE142" s="55">
        <f>IF(OR(AC142="",N(R142)=0),"",L142/R142)</f>
        <v/>
      </c>
      <c r="AF142" s="100">
        <f>IF(OR(N(K142)=0,N(J142)+N(Q142)=0),"",K142-IF(N(J142)&gt;0,J142,Q142))</f>
        <v/>
      </c>
      <c r="AG142" s="99">
        <f>IF(B142="","",IFERROR(AVERAGEIFS('QUALITY CONTROL'!$M$5:$M$304,'QUALITY CONTROL'!$B$5:$B$304,A142),""))</f>
        <v/>
      </c>
      <c r="AH142" s="51">
        <f>IF(B142="","",DATE(YEAR(B142),MONTH(B142),1))</f>
        <v/>
      </c>
      <c r="AI142" s="49">
        <f>IF(D142="","",IFERROR(INDEX('CUSTOMERS'!$E$5:$E$404,MATCH(D142,'CUSTOMERS'!$B$5:$B$404,0)),""))</f>
        <v/>
      </c>
      <c r="AJ142" s="49">
        <f>IF(B142="","",N(C142))</f>
        <v/>
      </c>
      <c r="AK142" s="49">
        <f>IF(OR(B142="",O142="Cancelled",O142="Rescheduled"),"",B142&amp;"|"&amp;(COUNTIFS('JOBS'!$B$5:$B$1504,B142,'JOBS'!$AJ$5:$AJ$1504,"&lt;"&amp;AJ142,'JOBS'!$O$5:$O$1504,"&lt;&gt;Cancelled",'JOBS'!$O$5:$O$1504,"&lt;&gt;Rescheduled")+COUNTIFS($B$5:B142,B142,$AJ$5:AJ142,AJ142,$O$5:O142,"&lt;&gt;Cancelled",$O$5:O142,"&lt;&gt;Rescheduled")))</f>
        <v/>
      </c>
      <c r="AL142" s="49">
        <f>IF(N(U142)&lt;=0.005,"",COUNTIFS('JOBS'!$U$5:$U$1504,"&gt;0.005",'JOBS'!$B$5:$B$1504,"&lt;"&amp;B142)+COUNTIFS($U$5:U142,"&gt;0.005",$B$5:B142,B142))</f>
        <v/>
      </c>
    </row>
    <row r="143">
      <c r="A143" s="46" t="inlineStr">
        <is>
          <t>J-0139</t>
        </is>
      </c>
      <c r="B143" s="47" t="n">
        <v>46171</v>
      </c>
      <c r="C143" s="94" t="n">
        <v>0.5416666666666666</v>
      </c>
      <c r="D143" s="38" t="inlineStr">
        <is>
          <t>Devon Hayes</t>
        </is>
      </c>
      <c r="E143" s="38" t="inlineStr">
        <is>
          <t>461 Hawthorn Road, Lakeview (fictional)</t>
        </is>
      </c>
      <c r="F143" s="38" t="inlineStr">
        <is>
          <t>Standard Clean</t>
        </is>
      </c>
      <c r="G143" s="38" t="inlineStr">
        <is>
          <t>R-003</t>
        </is>
      </c>
      <c r="H143" s="38" t="inlineStr">
        <is>
          <t>Maria Lopez</t>
        </is>
      </c>
      <c r="I143" s="57" t="n">
        <v>1</v>
      </c>
      <c r="J143" s="95" t="n"/>
      <c r="K143" s="95" t="n">
        <v>5.07</v>
      </c>
      <c r="L143" s="48" t="n">
        <v>220</v>
      </c>
      <c r="M143" s="96" t="n">
        <v>0</v>
      </c>
      <c r="N143" s="48" t="n"/>
      <c r="O143" s="38" t="inlineStr">
        <is>
          <t>Completed</t>
        </is>
      </c>
      <c r="P143" s="38" t="inlineStr"/>
      <c r="Q143" s="97">
        <f>IF(OR(F143="",E143=""),"",IFERROR(IF(INDEX('PROPERTIES'!$F$5:$F$404,MATCH(E143,'PROPERTIES'!$B$5:$B$404,0))=0,"",ROUND((INDEX('PROPERTIES'!$F$5:$F$404,MATCH(E143,'PROPERTIES'!$B$5:$B$404,0))/INDEX('PRICING'!$C$7:$C$16,MATCH(F143,'PRICING'!$A$7:$A$16,0))+INDEX('PROPERTIES'!$G$5:$G$404,MATCH(E143,'PROPERTIES'!$B$5:$B$404,0))*INDEX('PRICING'!$D$7:$D$16,MATCH(F143,'PRICING'!$A$7:$A$16,0))/60+INDEX('PROPERTIES'!$H$5:$H$404,MATCH(E143,'PROPERTIES'!$B$5:$B$404,0))*INDEX('PRICING'!$E$7:$E$16,MATCH(F143,'PRICING'!$A$7:$A$16,0))/60+INDEX('PRICING'!$F$7:$F$16,MATCH(F143,'PRICING'!$A$7:$A$16,0))/60),2)),""))</f>
        <v/>
      </c>
      <c r="R143" s="97">
        <f>IF(B143="","",IF(N(K143)&gt;0,K143,IF(N(J143)&gt;0,J143,N(Q143))))</f>
        <v/>
      </c>
      <c r="S143" s="55">
        <f>IF(L143="","",ROUND(L143*(1+N(M143)),2))</f>
        <v/>
      </c>
      <c r="T143" s="55">
        <f>IF(B143="","",SUMIFS('REVENUE'!$C$5:$C$1504,'REVENUE'!$B$5:$B$1504,A143))</f>
        <v/>
      </c>
      <c r="U143" s="55">
        <f>IF(B143="","",IF(O143="Completed",MAX(0,N(S143)-T143),""))</f>
        <v/>
      </c>
      <c r="V143" s="49">
        <f>IF(B143="","",IF(O143&lt;&gt;"Completed",IF(T143&gt;0,"Deposit","—"),IF(U143&lt;=0.005,"Paid",IF(T143&gt;0,"Partial","Unpaid"))))</f>
        <v/>
      </c>
      <c r="W143" s="55">
        <f>IF(B143="","",IFERROR(1/(1/INDEX('STAFF &amp; TASKS'!$C$5:$C$24,MATCH(H143,'STAFF &amp; TASKS'!$A$5:$A$24,0))),PayRate))</f>
        <v/>
      </c>
      <c r="X143" s="55">
        <f>IF(B143="","",IF(OR(O143="Cancelled",O143="No-Show"),"",ROUND(R143*W143*(1+Burden),2)))</f>
        <v/>
      </c>
      <c r="Y143" s="55">
        <f>IF(B143="","",IF(OR(O143="Cancelled",O143="No-Show"),"",IF(N143&lt;&gt;"",N143,ROUND(R143*SupHr*IFERROR(INDEX('PRICING'!$G$7:$G$16,MATCH(F143,'PRICING'!$A$7:$A$16,0)),1),2))))</f>
        <v/>
      </c>
      <c r="Z143" s="98">
        <f>IF(B143="","",SUMIFS('MILEAGE'!$J$5:$J$1504,'MILEAGE'!$B$5:$B$1504,A143))</f>
        <v/>
      </c>
      <c r="AA143" s="55">
        <f>IF(B143="","",ROUND(Z143*MileRate,2))</f>
        <v/>
      </c>
      <c r="AB143" s="55">
        <f>IF(B143="","",SUMIFS('REVENUE'!$J$5:$J$1504,'REVENUE'!$B$5:$B$1504,A143))</f>
        <v/>
      </c>
      <c r="AC143" s="55">
        <f>IF(L143="","",IF(OR(O143="Cancelled",O143="No-Show"),"",L143-N(X143)-N(Y143)-AA143-AB143))</f>
        <v/>
      </c>
      <c r="AD143" s="99">
        <f>IF(OR(AC143="",N(L143)=0),"",AC143/L143)</f>
        <v/>
      </c>
      <c r="AE143" s="55">
        <f>IF(OR(AC143="",N(R143)=0),"",L143/R143)</f>
        <v/>
      </c>
      <c r="AF143" s="100">
        <f>IF(OR(N(K143)=0,N(J143)+N(Q143)=0),"",K143-IF(N(J143)&gt;0,J143,Q143))</f>
        <v/>
      </c>
      <c r="AG143" s="99">
        <f>IF(B143="","",IFERROR(AVERAGEIFS('QUALITY CONTROL'!$M$5:$M$304,'QUALITY CONTROL'!$B$5:$B$304,A143),""))</f>
        <v/>
      </c>
      <c r="AH143" s="51">
        <f>IF(B143="","",DATE(YEAR(B143),MONTH(B143),1))</f>
        <v/>
      </c>
      <c r="AI143" s="49">
        <f>IF(D143="","",IFERROR(INDEX('CUSTOMERS'!$E$5:$E$404,MATCH(D143,'CUSTOMERS'!$B$5:$B$404,0)),""))</f>
        <v/>
      </c>
      <c r="AJ143" s="49">
        <f>IF(B143="","",N(C143))</f>
        <v/>
      </c>
      <c r="AK143" s="49">
        <f>IF(OR(B143="",O143="Cancelled",O143="Rescheduled"),"",B143&amp;"|"&amp;(COUNTIFS('JOBS'!$B$5:$B$1504,B143,'JOBS'!$AJ$5:$AJ$1504,"&lt;"&amp;AJ143,'JOBS'!$O$5:$O$1504,"&lt;&gt;Cancelled",'JOBS'!$O$5:$O$1504,"&lt;&gt;Rescheduled")+COUNTIFS($B$5:B143,B143,$AJ$5:AJ143,AJ143,$O$5:O143,"&lt;&gt;Cancelled",$O$5:O143,"&lt;&gt;Rescheduled")))</f>
        <v/>
      </c>
      <c r="AL143" s="49">
        <f>IF(N(U143)&lt;=0.005,"",COUNTIFS('JOBS'!$U$5:$U$1504,"&gt;0.005",'JOBS'!$B$5:$B$1504,"&lt;"&amp;B143)+COUNTIFS($U$5:U143,"&gt;0.005",$B$5:B143,B143))</f>
        <v/>
      </c>
    </row>
    <row r="144">
      <c r="A144" s="46" t="inlineStr">
        <is>
          <t>J-0140</t>
        </is>
      </c>
      <c r="B144" s="47" t="n">
        <v>46171</v>
      </c>
      <c r="C144" s="94" t="n">
        <v>0.5416666666666666</v>
      </c>
      <c r="D144" s="38" t="inlineStr">
        <is>
          <t>Rowan Foxworth</t>
        </is>
      </c>
      <c r="E144" s="38" t="inlineStr">
        <is>
          <t>876 Magnolia Circle, North Sampletown</t>
        </is>
      </c>
      <c r="F144" s="38" t="inlineStr">
        <is>
          <t>Standard Clean</t>
        </is>
      </c>
      <c r="G144" s="38" t="inlineStr">
        <is>
          <t>R-005</t>
        </is>
      </c>
      <c r="H144" s="38" t="inlineStr">
        <is>
          <t>Maria Lopez</t>
        </is>
      </c>
      <c r="I144" s="57" t="n">
        <v>1</v>
      </c>
      <c r="J144" s="95" t="n"/>
      <c r="K144" s="95" t="n">
        <v>5.84</v>
      </c>
      <c r="L144" s="48" t="n">
        <v>220</v>
      </c>
      <c r="M144" s="96" t="n">
        <v>0</v>
      </c>
      <c r="N144" s="48" t="n"/>
      <c r="O144" s="38" t="inlineStr">
        <is>
          <t>Completed</t>
        </is>
      </c>
      <c r="P144" s="38" t="inlineStr"/>
      <c r="Q144" s="97">
        <f>IF(OR(F144="",E144=""),"",IFERROR(IF(INDEX('PROPERTIES'!$F$5:$F$404,MATCH(E144,'PROPERTIES'!$B$5:$B$404,0))=0,"",ROUND((INDEX('PROPERTIES'!$F$5:$F$404,MATCH(E144,'PROPERTIES'!$B$5:$B$404,0))/INDEX('PRICING'!$C$7:$C$16,MATCH(F144,'PRICING'!$A$7:$A$16,0))+INDEX('PROPERTIES'!$G$5:$G$404,MATCH(E144,'PROPERTIES'!$B$5:$B$404,0))*INDEX('PRICING'!$D$7:$D$16,MATCH(F144,'PRICING'!$A$7:$A$16,0))/60+INDEX('PROPERTIES'!$H$5:$H$404,MATCH(E144,'PROPERTIES'!$B$5:$B$404,0))*INDEX('PRICING'!$E$7:$E$16,MATCH(F144,'PRICING'!$A$7:$A$16,0))/60+INDEX('PRICING'!$F$7:$F$16,MATCH(F144,'PRICING'!$A$7:$A$16,0))/60),2)),""))</f>
        <v/>
      </c>
      <c r="R144" s="97">
        <f>IF(B144="","",IF(N(K144)&gt;0,K144,IF(N(J144)&gt;0,J144,N(Q144))))</f>
        <v/>
      </c>
      <c r="S144" s="55">
        <f>IF(L144="","",ROUND(L144*(1+N(M144)),2))</f>
        <v/>
      </c>
      <c r="T144" s="55">
        <f>IF(B144="","",SUMIFS('REVENUE'!$C$5:$C$1504,'REVENUE'!$B$5:$B$1504,A144))</f>
        <v/>
      </c>
      <c r="U144" s="55">
        <f>IF(B144="","",IF(O144="Completed",MAX(0,N(S144)-T144),""))</f>
        <v/>
      </c>
      <c r="V144" s="49">
        <f>IF(B144="","",IF(O144&lt;&gt;"Completed",IF(T144&gt;0,"Deposit","—"),IF(U144&lt;=0.005,"Paid",IF(T144&gt;0,"Partial","Unpaid"))))</f>
        <v/>
      </c>
      <c r="W144" s="55">
        <f>IF(B144="","",IFERROR(1/(1/INDEX('STAFF &amp; TASKS'!$C$5:$C$24,MATCH(H144,'STAFF &amp; TASKS'!$A$5:$A$24,0))),PayRate))</f>
        <v/>
      </c>
      <c r="X144" s="55">
        <f>IF(B144="","",IF(OR(O144="Cancelled",O144="No-Show"),"",ROUND(R144*W144*(1+Burden),2)))</f>
        <v/>
      </c>
      <c r="Y144" s="55">
        <f>IF(B144="","",IF(OR(O144="Cancelled",O144="No-Show"),"",IF(N144&lt;&gt;"",N144,ROUND(R144*SupHr*IFERROR(INDEX('PRICING'!$G$7:$G$16,MATCH(F144,'PRICING'!$A$7:$A$16,0)),1),2))))</f>
        <v/>
      </c>
      <c r="Z144" s="98">
        <f>IF(B144="","",SUMIFS('MILEAGE'!$J$5:$J$1504,'MILEAGE'!$B$5:$B$1504,A144))</f>
        <v/>
      </c>
      <c r="AA144" s="55">
        <f>IF(B144="","",ROUND(Z144*MileRate,2))</f>
        <v/>
      </c>
      <c r="AB144" s="55">
        <f>IF(B144="","",SUMIFS('REVENUE'!$J$5:$J$1504,'REVENUE'!$B$5:$B$1504,A144))</f>
        <v/>
      </c>
      <c r="AC144" s="55">
        <f>IF(L144="","",IF(OR(O144="Cancelled",O144="No-Show"),"",L144-N(X144)-N(Y144)-AA144-AB144))</f>
        <v/>
      </c>
      <c r="AD144" s="99">
        <f>IF(OR(AC144="",N(L144)=0),"",AC144/L144)</f>
        <v/>
      </c>
      <c r="AE144" s="55">
        <f>IF(OR(AC144="",N(R144)=0),"",L144/R144)</f>
        <v/>
      </c>
      <c r="AF144" s="100">
        <f>IF(OR(N(K144)=0,N(J144)+N(Q144)=0),"",K144-IF(N(J144)&gt;0,J144,Q144))</f>
        <v/>
      </c>
      <c r="AG144" s="99">
        <f>IF(B144="","",IFERROR(AVERAGEIFS('QUALITY CONTROL'!$M$5:$M$304,'QUALITY CONTROL'!$B$5:$B$304,A144),""))</f>
        <v/>
      </c>
      <c r="AH144" s="51">
        <f>IF(B144="","",DATE(YEAR(B144),MONTH(B144),1))</f>
        <v/>
      </c>
      <c r="AI144" s="49">
        <f>IF(D144="","",IFERROR(INDEX('CUSTOMERS'!$E$5:$E$404,MATCH(D144,'CUSTOMERS'!$B$5:$B$404,0)),""))</f>
        <v/>
      </c>
      <c r="AJ144" s="49">
        <f>IF(B144="","",N(C144))</f>
        <v/>
      </c>
      <c r="AK144" s="49">
        <f>IF(OR(B144="",O144="Cancelled",O144="Rescheduled"),"",B144&amp;"|"&amp;(COUNTIFS('JOBS'!$B$5:$B$1504,B144,'JOBS'!$AJ$5:$AJ$1504,"&lt;"&amp;AJ144,'JOBS'!$O$5:$O$1504,"&lt;&gt;Cancelled",'JOBS'!$O$5:$O$1504,"&lt;&gt;Rescheduled")+COUNTIFS($B$5:B144,B144,$AJ$5:AJ144,AJ144,$O$5:O144,"&lt;&gt;Cancelled",$O$5:O144,"&lt;&gt;Rescheduled")))</f>
        <v/>
      </c>
      <c r="AL144" s="49">
        <f>IF(N(U144)&lt;=0.005,"",COUNTIFS('JOBS'!$U$5:$U$1504,"&gt;0.005",'JOBS'!$B$5:$B$1504,"&lt;"&amp;B144)+COUNTIFS($U$5:U144,"&gt;0.005",$B$5:B144,B144))</f>
        <v/>
      </c>
    </row>
    <row r="145">
      <c r="A145" s="46" t="inlineStr">
        <is>
          <t>J-0141</t>
        </is>
      </c>
      <c r="B145" s="47" t="n">
        <v>46172</v>
      </c>
      <c r="C145" s="94" t="n">
        <v>0.4791666666666667</v>
      </c>
      <c r="D145" s="38" t="inlineStr">
        <is>
          <t>Noel Collins</t>
        </is>
      </c>
      <c r="E145" s="38" t="inlineStr">
        <is>
          <t>964 Cedar Court, Lakeview (fictional)</t>
        </is>
      </c>
      <c r="F145" s="38" t="inlineStr">
        <is>
          <t>Standard Clean</t>
        </is>
      </c>
      <c r="G145" s="38" t="inlineStr">
        <is>
          <t>R-004</t>
        </is>
      </c>
      <c r="H145" s="38" t="inlineStr">
        <is>
          <t>Dana Whitfield</t>
        </is>
      </c>
      <c r="I145" s="57" t="n">
        <v>1</v>
      </c>
      <c r="J145" s="95" t="n"/>
      <c r="K145" s="95" t="n">
        <v>6.55</v>
      </c>
      <c r="L145" s="48" t="n">
        <v>245</v>
      </c>
      <c r="M145" s="96" t="n">
        <v>0</v>
      </c>
      <c r="N145" s="48" t="n"/>
      <c r="O145" s="38" t="inlineStr">
        <is>
          <t>Completed</t>
        </is>
      </c>
      <c r="P145" s="38" t="inlineStr"/>
      <c r="Q145" s="97">
        <f>IF(OR(F145="",E145=""),"",IFERROR(IF(INDEX('PROPERTIES'!$F$5:$F$404,MATCH(E145,'PROPERTIES'!$B$5:$B$404,0))=0,"",ROUND((INDEX('PROPERTIES'!$F$5:$F$404,MATCH(E145,'PROPERTIES'!$B$5:$B$404,0))/INDEX('PRICING'!$C$7:$C$16,MATCH(F145,'PRICING'!$A$7:$A$16,0))+INDEX('PROPERTIES'!$G$5:$G$404,MATCH(E145,'PROPERTIES'!$B$5:$B$404,0))*INDEX('PRICING'!$D$7:$D$16,MATCH(F145,'PRICING'!$A$7:$A$16,0))/60+INDEX('PROPERTIES'!$H$5:$H$404,MATCH(E145,'PROPERTIES'!$B$5:$B$404,0))*INDEX('PRICING'!$E$7:$E$16,MATCH(F145,'PRICING'!$A$7:$A$16,0))/60+INDEX('PRICING'!$F$7:$F$16,MATCH(F145,'PRICING'!$A$7:$A$16,0))/60),2)),""))</f>
        <v/>
      </c>
      <c r="R145" s="97">
        <f>IF(B145="","",IF(N(K145)&gt;0,K145,IF(N(J145)&gt;0,J145,N(Q145))))</f>
        <v/>
      </c>
      <c r="S145" s="55">
        <f>IF(L145="","",ROUND(L145*(1+N(M145)),2))</f>
        <v/>
      </c>
      <c r="T145" s="55">
        <f>IF(B145="","",SUMIFS('REVENUE'!$C$5:$C$1504,'REVENUE'!$B$5:$B$1504,A145))</f>
        <v/>
      </c>
      <c r="U145" s="55">
        <f>IF(B145="","",IF(O145="Completed",MAX(0,N(S145)-T145),""))</f>
        <v/>
      </c>
      <c r="V145" s="49">
        <f>IF(B145="","",IF(O145&lt;&gt;"Completed",IF(T145&gt;0,"Deposit","—"),IF(U145&lt;=0.005,"Paid",IF(T145&gt;0,"Partial","Unpaid"))))</f>
        <v/>
      </c>
      <c r="W145" s="55">
        <f>IF(B145="","",IFERROR(1/(1/INDEX('STAFF &amp; TASKS'!$C$5:$C$24,MATCH(H145,'STAFF &amp; TASKS'!$A$5:$A$24,0))),PayRate))</f>
        <v/>
      </c>
      <c r="X145" s="55">
        <f>IF(B145="","",IF(OR(O145="Cancelled",O145="No-Show"),"",ROUND(R145*W145*(1+Burden),2)))</f>
        <v/>
      </c>
      <c r="Y145" s="55">
        <f>IF(B145="","",IF(OR(O145="Cancelled",O145="No-Show"),"",IF(N145&lt;&gt;"",N145,ROUND(R145*SupHr*IFERROR(INDEX('PRICING'!$G$7:$G$16,MATCH(F145,'PRICING'!$A$7:$A$16,0)),1),2))))</f>
        <v/>
      </c>
      <c r="Z145" s="98">
        <f>IF(B145="","",SUMIFS('MILEAGE'!$J$5:$J$1504,'MILEAGE'!$B$5:$B$1504,A145))</f>
        <v/>
      </c>
      <c r="AA145" s="55">
        <f>IF(B145="","",ROUND(Z145*MileRate,2))</f>
        <v/>
      </c>
      <c r="AB145" s="55">
        <f>IF(B145="","",SUMIFS('REVENUE'!$J$5:$J$1504,'REVENUE'!$B$5:$B$1504,A145))</f>
        <v/>
      </c>
      <c r="AC145" s="55">
        <f>IF(L145="","",IF(OR(O145="Cancelled",O145="No-Show"),"",L145-N(X145)-N(Y145)-AA145-AB145))</f>
        <v/>
      </c>
      <c r="AD145" s="99">
        <f>IF(OR(AC145="",N(L145)=0),"",AC145/L145)</f>
        <v/>
      </c>
      <c r="AE145" s="55">
        <f>IF(OR(AC145="",N(R145)=0),"",L145/R145)</f>
        <v/>
      </c>
      <c r="AF145" s="100">
        <f>IF(OR(N(K145)=0,N(J145)+N(Q145)=0),"",K145-IF(N(J145)&gt;0,J145,Q145))</f>
        <v/>
      </c>
      <c r="AG145" s="99">
        <f>IF(B145="","",IFERROR(AVERAGEIFS('QUALITY CONTROL'!$M$5:$M$304,'QUALITY CONTROL'!$B$5:$B$304,A145),""))</f>
        <v/>
      </c>
      <c r="AH145" s="51">
        <f>IF(B145="","",DATE(YEAR(B145),MONTH(B145),1))</f>
        <v/>
      </c>
      <c r="AI145" s="49">
        <f>IF(D145="","",IFERROR(INDEX('CUSTOMERS'!$E$5:$E$404,MATCH(D145,'CUSTOMERS'!$B$5:$B$404,0)),""))</f>
        <v/>
      </c>
      <c r="AJ145" s="49">
        <f>IF(B145="","",N(C145))</f>
        <v/>
      </c>
      <c r="AK145" s="49">
        <f>IF(OR(B145="",O145="Cancelled",O145="Rescheduled"),"",B145&amp;"|"&amp;(COUNTIFS('JOBS'!$B$5:$B$1504,B145,'JOBS'!$AJ$5:$AJ$1504,"&lt;"&amp;AJ145,'JOBS'!$O$5:$O$1504,"&lt;&gt;Cancelled",'JOBS'!$O$5:$O$1504,"&lt;&gt;Rescheduled")+COUNTIFS($B$5:B145,B145,$AJ$5:AJ145,AJ145,$O$5:O145,"&lt;&gt;Cancelled",$O$5:O145,"&lt;&gt;Rescheduled")))</f>
        <v/>
      </c>
      <c r="AL145" s="49">
        <f>IF(N(U145)&lt;=0.005,"",COUNTIFS('JOBS'!$U$5:$U$1504,"&gt;0.005",'JOBS'!$B$5:$B$1504,"&lt;"&amp;B145)+COUNTIFS($U$5:U145,"&gt;0.005",$B$5:B145,B145))</f>
        <v/>
      </c>
    </row>
    <row r="146">
      <c r="A146" s="46" t="inlineStr">
        <is>
          <t>J-0142</t>
        </is>
      </c>
      <c r="B146" s="47" t="n">
        <v>46174</v>
      </c>
      <c r="C146" s="94" t="n">
        <v>0.4791666666666667</v>
      </c>
      <c r="D146" s="38" t="inlineStr">
        <is>
          <t>Dana Oakes</t>
        </is>
      </c>
      <c r="E146" s="38" t="inlineStr">
        <is>
          <t>666 Juniper Street, North Sampletown</t>
        </is>
      </c>
      <c r="F146" s="38" t="inlineStr">
        <is>
          <t>Airbnb Turnover</t>
        </is>
      </c>
      <c r="G146" s="38" t="n"/>
      <c r="H146" s="38" t="inlineStr">
        <is>
          <t>Kevin Osei</t>
        </is>
      </c>
      <c r="I146" s="57" t="n">
        <v>1</v>
      </c>
      <c r="J146" s="95" t="n"/>
      <c r="K146" s="95" t="n">
        <v>1.64</v>
      </c>
      <c r="L146" s="48" t="n">
        <v>135</v>
      </c>
      <c r="M146" s="96" t="n">
        <v>0</v>
      </c>
      <c r="N146" s="48" t="n"/>
      <c r="O146" s="38" t="inlineStr">
        <is>
          <t>Completed</t>
        </is>
      </c>
      <c r="P146" s="38" t="inlineStr">
        <is>
          <t>Includes laundry</t>
        </is>
      </c>
      <c r="Q146" s="97">
        <f>IF(OR(F146="",E146=""),"",IFERROR(IF(INDEX('PROPERTIES'!$F$5:$F$404,MATCH(E146,'PROPERTIES'!$B$5:$B$404,0))=0,"",ROUND((INDEX('PROPERTIES'!$F$5:$F$404,MATCH(E146,'PROPERTIES'!$B$5:$B$404,0))/INDEX('PRICING'!$C$7:$C$16,MATCH(F146,'PRICING'!$A$7:$A$16,0))+INDEX('PROPERTIES'!$G$5:$G$404,MATCH(E146,'PROPERTIES'!$B$5:$B$404,0))*INDEX('PRICING'!$D$7:$D$16,MATCH(F146,'PRICING'!$A$7:$A$16,0))/60+INDEX('PROPERTIES'!$H$5:$H$404,MATCH(E146,'PROPERTIES'!$B$5:$B$404,0))*INDEX('PRICING'!$E$7:$E$16,MATCH(F146,'PRICING'!$A$7:$A$16,0))/60+INDEX('PRICING'!$F$7:$F$16,MATCH(F146,'PRICING'!$A$7:$A$16,0))/60),2)),""))</f>
        <v/>
      </c>
      <c r="R146" s="97">
        <f>IF(B146="","",IF(N(K146)&gt;0,K146,IF(N(J146)&gt;0,J146,N(Q146))))</f>
        <v/>
      </c>
      <c r="S146" s="55">
        <f>IF(L146="","",ROUND(L146*(1+N(M146)),2))</f>
        <v/>
      </c>
      <c r="T146" s="55">
        <f>IF(B146="","",SUMIFS('REVENUE'!$C$5:$C$1504,'REVENUE'!$B$5:$B$1504,A146))</f>
        <v/>
      </c>
      <c r="U146" s="55">
        <f>IF(B146="","",IF(O146="Completed",MAX(0,N(S146)-T146),""))</f>
        <v/>
      </c>
      <c r="V146" s="49">
        <f>IF(B146="","",IF(O146&lt;&gt;"Completed",IF(T146&gt;0,"Deposit","—"),IF(U146&lt;=0.005,"Paid",IF(T146&gt;0,"Partial","Unpaid"))))</f>
        <v/>
      </c>
      <c r="W146" s="55">
        <f>IF(B146="","",IFERROR(1/(1/INDEX('STAFF &amp; TASKS'!$C$5:$C$24,MATCH(H146,'STAFF &amp; TASKS'!$A$5:$A$24,0))),PayRate))</f>
        <v/>
      </c>
      <c r="X146" s="55">
        <f>IF(B146="","",IF(OR(O146="Cancelled",O146="No-Show"),"",ROUND(R146*W146*(1+Burden),2)))</f>
        <v/>
      </c>
      <c r="Y146" s="55">
        <f>IF(B146="","",IF(OR(O146="Cancelled",O146="No-Show"),"",IF(N146&lt;&gt;"",N146,ROUND(R146*SupHr*IFERROR(INDEX('PRICING'!$G$7:$G$16,MATCH(F146,'PRICING'!$A$7:$A$16,0)),1),2))))</f>
        <v/>
      </c>
      <c r="Z146" s="98">
        <f>IF(B146="","",SUMIFS('MILEAGE'!$J$5:$J$1504,'MILEAGE'!$B$5:$B$1504,A146))</f>
        <v/>
      </c>
      <c r="AA146" s="55">
        <f>IF(B146="","",ROUND(Z146*MileRate,2))</f>
        <v/>
      </c>
      <c r="AB146" s="55">
        <f>IF(B146="","",SUMIFS('REVENUE'!$J$5:$J$1504,'REVENUE'!$B$5:$B$1504,A146))</f>
        <v/>
      </c>
      <c r="AC146" s="55">
        <f>IF(L146="","",IF(OR(O146="Cancelled",O146="No-Show"),"",L146-N(X146)-N(Y146)-AA146-AB146))</f>
        <v/>
      </c>
      <c r="AD146" s="99">
        <f>IF(OR(AC146="",N(L146)=0),"",AC146/L146)</f>
        <v/>
      </c>
      <c r="AE146" s="55">
        <f>IF(OR(AC146="",N(R146)=0),"",L146/R146)</f>
        <v/>
      </c>
      <c r="AF146" s="100">
        <f>IF(OR(N(K146)=0,N(J146)+N(Q146)=0),"",K146-IF(N(J146)&gt;0,J146,Q146))</f>
        <v/>
      </c>
      <c r="AG146" s="99">
        <f>IF(B146="","",IFERROR(AVERAGEIFS('QUALITY CONTROL'!$M$5:$M$304,'QUALITY CONTROL'!$B$5:$B$304,A146),""))</f>
        <v/>
      </c>
      <c r="AH146" s="51">
        <f>IF(B146="","",DATE(YEAR(B146),MONTH(B146),1))</f>
        <v/>
      </c>
      <c r="AI146" s="49">
        <f>IF(D146="","",IFERROR(INDEX('CUSTOMERS'!$E$5:$E$404,MATCH(D146,'CUSTOMERS'!$B$5:$B$404,0)),""))</f>
        <v/>
      </c>
      <c r="AJ146" s="49">
        <f>IF(B146="","",N(C146))</f>
        <v/>
      </c>
      <c r="AK146" s="49">
        <f>IF(OR(B146="",O146="Cancelled",O146="Rescheduled"),"",B146&amp;"|"&amp;(COUNTIFS('JOBS'!$B$5:$B$1504,B146,'JOBS'!$AJ$5:$AJ$1504,"&lt;"&amp;AJ146,'JOBS'!$O$5:$O$1504,"&lt;&gt;Cancelled",'JOBS'!$O$5:$O$1504,"&lt;&gt;Rescheduled")+COUNTIFS($B$5:B146,B146,$AJ$5:AJ146,AJ146,$O$5:O146,"&lt;&gt;Cancelled",$O$5:O146,"&lt;&gt;Rescheduled")))</f>
        <v/>
      </c>
      <c r="AL146" s="49">
        <f>IF(N(U146)&lt;=0.005,"",COUNTIFS('JOBS'!$U$5:$U$1504,"&gt;0.005",'JOBS'!$B$5:$B$1504,"&lt;"&amp;B146)+COUNTIFS($U$5:U146,"&gt;0.005",$B$5:B146,B146))</f>
        <v/>
      </c>
    </row>
    <row r="147">
      <c r="A147" s="46" t="inlineStr">
        <is>
          <t>J-0143</t>
        </is>
      </c>
      <c r="B147" s="47" t="n">
        <v>46174</v>
      </c>
      <c r="C147" s="94" t="n">
        <v>0.625</v>
      </c>
      <c r="D147" s="38" t="inlineStr">
        <is>
          <t>Skyler Yardley</t>
        </is>
      </c>
      <c r="E147" s="38" t="inlineStr">
        <is>
          <t>868 Rowan Drive, Sampletown</t>
        </is>
      </c>
      <c r="F147" s="38" t="inlineStr">
        <is>
          <t>Standard Clean</t>
        </is>
      </c>
      <c r="G147" s="38" t="n"/>
      <c r="H147" s="38" t="inlineStr">
        <is>
          <t>Maria Lopez</t>
        </is>
      </c>
      <c r="I147" s="57" t="n">
        <v>1</v>
      </c>
      <c r="J147" s="95" t="n"/>
      <c r="K147" s="95" t="n">
        <v>6.32</v>
      </c>
      <c r="L147" s="48" t="n">
        <v>300</v>
      </c>
      <c r="M147" s="96" t="n">
        <v>0</v>
      </c>
      <c r="N147" s="48" t="n"/>
      <c r="O147" s="38" t="inlineStr">
        <is>
          <t>Completed</t>
        </is>
      </c>
      <c r="P147" s="38" t="inlineStr"/>
      <c r="Q147" s="97">
        <f>IF(OR(F147="",E147=""),"",IFERROR(IF(INDEX('PROPERTIES'!$F$5:$F$404,MATCH(E147,'PROPERTIES'!$B$5:$B$404,0))=0,"",ROUND((INDEX('PROPERTIES'!$F$5:$F$404,MATCH(E147,'PROPERTIES'!$B$5:$B$404,0))/INDEX('PRICING'!$C$7:$C$16,MATCH(F147,'PRICING'!$A$7:$A$16,0))+INDEX('PROPERTIES'!$G$5:$G$404,MATCH(E147,'PROPERTIES'!$B$5:$B$404,0))*INDEX('PRICING'!$D$7:$D$16,MATCH(F147,'PRICING'!$A$7:$A$16,0))/60+INDEX('PROPERTIES'!$H$5:$H$404,MATCH(E147,'PROPERTIES'!$B$5:$B$404,0))*INDEX('PRICING'!$E$7:$E$16,MATCH(F147,'PRICING'!$A$7:$A$16,0))/60+INDEX('PRICING'!$F$7:$F$16,MATCH(F147,'PRICING'!$A$7:$A$16,0))/60),2)),""))</f>
        <v/>
      </c>
      <c r="R147" s="97">
        <f>IF(B147="","",IF(N(K147)&gt;0,K147,IF(N(J147)&gt;0,J147,N(Q147))))</f>
        <v/>
      </c>
      <c r="S147" s="55">
        <f>IF(L147="","",ROUND(L147*(1+N(M147)),2))</f>
        <v/>
      </c>
      <c r="T147" s="55">
        <f>IF(B147="","",SUMIFS('REVENUE'!$C$5:$C$1504,'REVENUE'!$B$5:$B$1504,A147))</f>
        <v/>
      </c>
      <c r="U147" s="55">
        <f>IF(B147="","",IF(O147="Completed",MAX(0,N(S147)-T147),""))</f>
        <v/>
      </c>
      <c r="V147" s="49">
        <f>IF(B147="","",IF(O147&lt;&gt;"Completed",IF(T147&gt;0,"Deposit","—"),IF(U147&lt;=0.005,"Paid",IF(T147&gt;0,"Partial","Unpaid"))))</f>
        <v/>
      </c>
      <c r="W147" s="55">
        <f>IF(B147="","",IFERROR(1/(1/INDEX('STAFF &amp; TASKS'!$C$5:$C$24,MATCH(H147,'STAFF &amp; TASKS'!$A$5:$A$24,0))),PayRate))</f>
        <v/>
      </c>
      <c r="X147" s="55">
        <f>IF(B147="","",IF(OR(O147="Cancelled",O147="No-Show"),"",ROUND(R147*W147*(1+Burden),2)))</f>
        <v/>
      </c>
      <c r="Y147" s="55">
        <f>IF(B147="","",IF(OR(O147="Cancelled",O147="No-Show"),"",IF(N147&lt;&gt;"",N147,ROUND(R147*SupHr*IFERROR(INDEX('PRICING'!$G$7:$G$16,MATCH(F147,'PRICING'!$A$7:$A$16,0)),1),2))))</f>
        <v/>
      </c>
      <c r="Z147" s="98">
        <f>IF(B147="","",SUMIFS('MILEAGE'!$J$5:$J$1504,'MILEAGE'!$B$5:$B$1504,A147))</f>
        <v/>
      </c>
      <c r="AA147" s="55">
        <f>IF(B147="","",ROUND(Z147*MileRate,2))</f>
        <v/>
      </c>
      <c r="AB147" s="55">
        <f>IF(B147="","",SUMIFS('REVENUE'!$J$5:$J$1504,'REVENUE'!$B$5:$B$1504,A147))</f>
        <v/>
      </c>
      <c r="AC147" s="55">
        <f>IF(L147="","",IF(OR(O147="Cancelled",O147="No-Show"),"",L147-N(X147)-N(Y147)-AA147-AB147))</f>
        <v/>
      </c>
      <c r="AD147" s="99">
        <f>IF(OR(AC147="",N(L147)=0),"",AC147/L147)</f>
        <v/>
      </c>
      <c r="AE147" s="55">
        <f>IF(OR(AC147="",N(R147)=0),"",L147/R147)</f>
        <v/>
      </c>
      <c r="AF147" s="100">
        <f>IF(OR(N(K147)=0,N(J147)+N(Q147)=0),"",K147-IF(N(J147)&gt;0,J147,Q147))</f>
        <v/>
      </c>
      <c r="AG147" s="99">
        <f>IF(B147="","",IFERROR(AVERAGEIFS('QUALITY CONTROL'!$M$5:$M$304,'QUALITY CONTROL'!$B$5:$B$304,A147),""))</f>
        <v/>
      </c>
      <c r="AH147" s="51">
        <f>IF(B147="","",DATE(YEAR(B147),MONTH(B147),1))</f>
        <v/>
      </c>
      <c r="AI147" s="49">
        <f>IF(D147="","",IFERROR(INDEX('CUSTOMERS'!$E$5:$E$404,MATCH(D147,'CUSTOMERS'!$B$5:$B$404,0)),""))</f>
        <v/>
      </c>
      <c r="AJ147" s="49">
        <f>IF(B147="","",N(C147))</f>
        <v/>
      </c>
      <c r="AK147" s="49">
        <f>IF(OR(B147="",O147="Cancelled",O147="Rescheduled"),"",B147&amp;"|"&amp;(COUNTIFS('JOBS'!$B$5:$B$1504,B147,'JOBS'!$AJ$5:$AJ$1504,"&lt;"&amp;AJ147,'JOBS'!$O$5:$O$1504,"&lt;&gt;Cancelled",'JOBS'!$O$5:$O$1504,"&lt;&gt;Rescheduled")+COUNTIFS($B$5:B147,B147,$AJ$5:AJ147,AJ147,$O$5:O147,"&lt;&gt;Cancelled",$O$5:O147,"&lt;&gt;Rescheduled")))</f>
        <v/>
      </c>
      <c r="AL147" s="49">
        <f>IF(N(U147)&lt;=0.005,"",COUNTIFS('JOBS'!$U$5:$U$1504,"&gt;0.005",'JOBS'!$B$5:$B$1504,"&lt;"&amp;B147)+COUNTIFS($U$5:U147,"&gt;0.005",$B$5:B147,B147))</f>
        <v/>
      </c>
    </row>
    <row r="148">
      <c r="A148" s="46" t="inlineStr">
        <is>
          <t>J-0144</t>
        </is>
      </c>
      <c r="B148" s="47" t="n">
        <v>46175</v>
      </c>
      <c r="C148" s="94" t="n">
        <v>0.5833333333333334</v>
      </c>
      <c r="D148" s="38" t="inlineStr">
        <is>
          <t>Lane Ivers</t>
        </is>
      </c>
      <c r="E148" s="38" t="inlineStr">
        <is>
          <t>497 Aspen Drive, Sampletown</t>
        </is>
      </c>
      <c r="F148" s="38" t="inlineStr">
        <is>
          <t>Standard Clean</t>
        </is>
      </c>
      <c r="G148" s="38" t="inlineStr">
        <is>
          <t>R-001</t>
        </is>
      </c>
      <c r="H148" s="38" t="inlineStr">
        <is>
          <t>Maria Lopez</t>
        </is>
      </c>
      <c r="I148" s="57" t="n">
        <v>1</v>
      </c>
      <c r="J148" s="95" t="n"/>
      <c r="K148" s="95" t="n">
        <v>4.88</v>
      </c>
      <c r="L148" s="48" t="n">
        <v>175</v>
      </c>
      <c r="M148" s="96" t="n">
        <v>0</v>
      </c>
      <c r="N148" s="48" t="n"/>
      <c r="O148" s="38" t="inlineStr">
        <is>
          <t>Completed</t>
        </is>
      </c>
      <c r="P148" s="38" t="inlineStr"/>
      <c r="Q148" s="97">
        <f>IF(OR(F148="",E148=""),"",IFERROR(IF(INDEX('PROPERTIES'!$F$5:$F$404,MATCH(E148,'PROPERTIES'!$B$5:$B$404,0))=0,"",ROUND((INDEX('PROPERTIES'!$F$5:$F$404,MATCH(E148,'PROPERTIES'!$B$5:$B$404,0))/INDEX('PRICING'!$C$7:$C$16,MATCH(F148,'PRICING'!$A$7:$A$16,0))+INDEX('PROPERTIES'!$G$5:$G$404,MATCH(E148,'PROPERTIES'!$B$5:$B$404,0))*INDEX('PRICING'!$D$7:$D$16,MATCH(F148,'PRICING'!$A$7:$A$16,0))/60+INDEX('PROPERTIES'!$H$5:$H$404,MATCH(E148,'PROPERTIES'!$B$5:$B$404,0))*INDEX('PRICING'!$E$7:$E$16,MATCH(F148,'PRICING'!$A$7:$A$16,0))/60+INDEX('PRICING'!$F$7:$F$16,MATCH(F148,'PRICING'!$A$7:$A$16,0))/60),2)),""))</f>
        <v/>
      </c>
      <c r="R148" s="97">
        <f>IF(B148="","",IF(N(K148)&gt;0,K148,IF(N(J148)&gt;0,J148,N(Q148))))</f>
        <v/>
      </c>
      <c r="S148" s="55">
        <f>IF(L148="","",ROUND(L148*(1+N(M148)),2))</f>
        <v/>
      </c>
      <c r="T148" s="55">
        <f>IF(B148="","",SUMIFS('REVENUE'!$C$5:$C$1504,'REVENUE'!$B$5:$B$1504,A148))</f>
        <v/>
      </c>
      <c r="U148" s="55">
        <f>IF(B148="","",IF(O148="Completed",MAX(0,N(S148)-T148),""))</f>
        <v/>
      </c>
      <c r="V148" s="49">
        <f>IF(B148="","",IF(O148&lt;&gt;"Completed",IF(T148&gt;0,"Deposit","—"),IF(U148&lt;=0.005,"Paid",IF(T148&gt;0,"Partial","Unpaid"))))</f>
        <v/>
      </c>
      <c r="W148" s="55">
        <f>IF(B148="","",IFERROR(1/(1/INDEX('STAFF &amp; TASKS'!$C$5:$C$24,MATCH(H148,'STAFF &amp; TASKS'!$A$5:$A$24,0))),PayRate))</f>
        <v/>
      </c>
      <c r="X148" s="55">
        <f>IF(B148="","",IF(OR(O148="Cancelled",O148="No-Show"),"",ROUND(R148*W148*(1+Burden),2)))</f>
        <v/>
      </c>
      <c r="Y148" s="55">
        <f>IF(B148="","",IF(OR(O148="Cancelled",O148="No-Show"),"",IF(N148&lt;&gt;"",N148,ROUND(R148*SupHr*IFERROR(INDEX('PRICING'!$G$7:$G$16,MATCH(F148,'PRICING'!$A$7:$A$16,0)),1),2))))</f>
        <v/>
      </c>
      <c r="Z148" s="98">
        <f>IF(B148="","",SUMIFS('MILEAGE'!$J$5:$J$1504,'MILEAGE'!$B$5:$B$1504,A148))</f>
        <v/>
      </c>
      <c r="AA148" s="55">
        <f>IF(B148="","",ROUND(Z148*MileRate,2))</f>
        <v/>
      </c>
      <c r="AB148" s="55">
        <f>IF(B148="","",SUMIFS('REVENUE'!$J$5:$J$1504,'REVENUE'!$B$5:$B$1504,A148))</f>
        <v/>
      </c>
      <c r="AC148" s="55">
        <f>IF(L148="","",IF(OR(O148="Cancelled",O148="No-Show"),"",L148-N(X148)-N(Y148)-AA148-AB148))</f>
        <v/>
      </c>
      <c r="AD148" s="99">
        <f>IF(OR(AC148="",N(L148)=0),"",AC148/L148)</f>
        <v/>
      </c>
      <c r="AE148" s="55">
        <f>IF(OR(AC148="",N(R148)=0),"",L148/R148)</f>
        <v/>
      </c>
      <c r="AF148" s="100">
        <f>IF(OR(N(K148)=0,N(J148)+N(Q148)=0),"",K148-IF(N(J148)&gt;0,J148,Q148))</f>
        <v/>
      </c>
      <c r="AG148" s="99">
        <f>IF(B148="","",IFERROR(AVERAGEIFS('QUALITY CONTROL'!$M$5:$M$304,'QUALITY CONTROL'!$B$5:$B$304,A148),""))</f>
        <v/>
      </c>
      <c r="AH148" s="51">
        <f>IF(B148="","",DATE(YEAR(B148),MONTH(B148),1))</f>
        <v/>
      </c>
      <c r="AI148" s="49">
        <f>IF(D148="","",IFERROR(INDEX('CUSTOMERS'!$E$5:$E$404,MATCH(D148,'CUSTOMERS'!$B$5:$B$404,0)),""))</f>
        <v/>
      </c>
      <c r="AJ148" s="49">
        <f>IF(B148="","",N(C148))</f>
        <v/>
      </c>
      <c r="AK148" s="49">
        <f>IF(OR(B148="",O148="Cancelled",O148="Rescheduled"),"",B148&amp;"|"&amp;(COUNTIFS('JOBS'!$B$5:$B$1504,B148,'JOBS'!$AJ$5:$AJ$1504,"&lt;"&amp;AJ148,'JOBS'!$O$5:$O$1504,"&lt;&gt;Cancelled",'JOBS'!$O$5:$O$1504,"&lt;&gt;Rescheduled")+COUNTIFS($B$5:B148,B148,$AJ$5:AJ148,AJ148,$O$5:O148,"&lt;&gt;Cancelled",$O$5:O148,"&lt;&gt;Rescheduled")))</f>
        <v/>
      </c>
      <c r="AL148" s="49">
        <f>IF(N(U148)&lt;=0.005,"",COUNTIFS('JOBS'!$U$5:$U$1504,"&gt;0.005",'JOBS'!$B$5:$B$1504,"&lt;"&amp;B148)+COUNTIFS($U$5:U148,"&gt;0.005",$B$5:B148,B148))</f>
        <v/>
      </c>
    </row>
    <row r="149">
      <c r="A149" s="46" t="inlineStr">
        <is>
          <t>J-0145</t>
        </is>
      </c>
      <c r="B149" s="47" t="n">
        <v>46177</v>
      </c>
      <c r="C149" s="94" t="n">
        <v>0.5208333333333334</v>
      </c>
      <c r="D149" s="38" t="inlineStr">
        <is>
          <t>Dana Ivers</t>
        </is>
      </c>
      <c r="E149" s="38" t="inlineStr">
        <is>
          <t>129 Elm Terrace, North Sampletown</t>
        </is>
      </c>
      <c r="F149" s="38" t="inlineStr">
        <is>
          <t>Standard Clean</t>
        </is>
      </c>
      <c r="G149" s="38" t="inlineStr">
        <is>
          <t>R-008</t>
        </is>
      </c>
      <c r="H149" s="38" t="inlineStr">
        <is>
          <t>Dana Whitfield</t>
        </is>
      </c>
      <c r="I149" s="57" t="n">
        <v>1</v>
      </c>
      <c r="J149" s="95" t="n"/>
      <c r="K149" s="95" t="n">
        <v>5.88</v>
      </c>
      <c r="L149" s="48" t="n">
        <v>255</v>
      </c>
      <c r="M149" s="96" t="n">
        <v>0</v>
      </c>
      <c r="N149" s="48" t="n"/>
      <c r="O149" s="38" t="inlineStr">
        <is>
          <t>Completed</t>
        </is>
      </c>
      <c r="P149" s="38" t="inlineStr"/>
      <c r="Q149" s="97">
        <f>IF(OR(F149="",E149=""),"",IFERROR(IF(INDEX('PROPERTIES'!$F$5:$F$404,MATCH(E149,'PROPERTIES'!$B$5:$B$404,0))=0,"",ROUND((INDEX('PROPERTIES'!$F$5:$F$404,MATCH(E149,'PROPERTIES'!$B$5:$B$404,0))/INDEX('PRICING'!$C$7:$C$16,MATCH(F149,'PRICING'!$A$7:$A$16,0))+INDEX('PROPERTIES'!$G$5:$G$404,MATCH(E149,'PROPERTIES'!$B$5:$B$404,0))*INDEX('PRICING'!$D$7:$D$16,MATCH(F149,'PRICING'!$A$7:$A$16,0))/60+INDEX('PROPERTIES'!$H$5:$H$404,MATCH(E149,'PROPERTIES'!$B$5:$B$404,0))*INDEX('PRICING'!$E$7:$E$16,MATCH(F149,'PRICING'!$A$7:$A$16,0))/60+INDEX('PRICING'!$F$7:$F$16,MATCH(F149,'PRICING'!$A$7:$A$16,0))/60),2)),""))</f>
        <v/>
      </c>
      <c r="R149" s="97">
        <f>IF(B149="","",IF(N(K149)&gt;0,K149,IF(N(J149)&gt;0,J149,N(Q149))))</f>
        <v/>
      </c>
      <c r="S149" s="55">
        <f>IF(L149="","",ROUND(L149*(1+N(M149)),2))</f>
        <v/>
      </c>
      <c r="T149" s="55">
        <f>IF(B149="","",SUMIFS('REVENUE'!$C$5:$C$1504,'REVENUE'!$B$5:$B$1504,A149))</f>
        <v/>
      </c>
      <c r="U149" s="55">
        <f>IF(B149="","",IF(O149="Completed",MAX(0,N(S149)-T149),""))</f>
        <v/>
      </c>
      <c r="V149" s="49">
        <f>IF(B149="","",IF(O149&lt;&gt;"Completed",IF(T149&gt;0,"Deposit","—"),IF(U149&lt;=0.005,"Paid",IF(T149&gt;0,"Partial","Unpaid"))))</f>
        <v/>
      </c>
      <c r="W149" s="55">
        <f>IF(B149="","",IFERROR(1/(1/INDEX('STAFF &amp; TASKS'!$C$5:$C$24,MATCH(H149,'STAFF &amp; TASKS'!$A$5:$A$24,0))),PayRate))</f>
        <v/>
      </c>
      <c r="X149" s="55">
        <f>IF(B149="","",IF(OR(O149="Cancelled",O149="No-Show"),"",ROUND(R149*W149*(1+Burden),2)))</f>
        <v/>
      </c>
      <c r="Y149" s="55">
        <f>IF(B149="","",IF(OR(O149="Cancelled",O149="No-Show"),"",IF(N149&lt;&gt;"",N149,ROUND(R149*SupHr*IFERROR(INDEX('PRICING'!$G$7:$G$16,MATCH(F149,'PRICING'!$A$7:$A$16,0)),1),2))))</f>
        <v/>
      </c>
      <c r="Z149" s="98">
        <f>IF(B149="","",SUMIFS('MILEAGE'!$J$5:$J$1504,'MILEAGE'!$B$5:$B$1504,A149))</f>
        <v/>
      </c>
      <c r="AA149" s="55">
        <f>IF(B149="","",ROUND(Z149*MileRate,2))</f>
        <v/>
      </c>
      <c r="AB149" s="55">
        <f>IF(B149="","",SUMIFS('REVENUE'!$J$5:$J$1504,'REVENUE'!$B$5:$B$1504,A149))</f>
        <v/>
      </c>
      <c r="AC149" s="55">
        <f>IF(L149="","",IF(OR(O149="Cancelled",O149="No-Show"),"",L149-N(X149)-N(Y149)-AA149-AB149))</f>
        <v/>
      </c>
      <c r="AD149" s="99">
        <f>IF(OR(AC149="",N(L149)=0),"",AC149/L149)</f>
        <v/>
      </c>
      <c r="AE149" s="55">
        <f>IF(OR(AC149="",N(R149)=0),"",L149/R149)</f>
        <v/>
      </c>
      <c r="AF149" s="100">
        <f>IF(OR(N(K149)=0,N(J149)+N(Q149)=0),"",K149-IF(N(J149)&gt;0,J149,Q149))</f>
        <v/>
      </c>
      <c r="AG149" s="99">
        <f>IF(B149="","",IFERROR(AVERAGEIFS('QUALITY CONTROL'!$M$5:$M$304,'QUALITY CONTROL'!$B$5:$B$304,A149),""))</f>
        <v/>
      </c>
      <c r="AH149" s="51">
        <f>IF(B149="","",DATE(YEAR(B149),MONTH(B149),1))</f>
        <v/>
      </c>
      <c r="AI149" s="49">
        <f>IF(D149="","",IFERROR(INDEX('CUSTOMERS'!$E$5:$E$404,MATCH(D149,'CUSTOMERS'!$B$5:$B$404,0)),""))</f>
        <v/>
      </c>
      <c r="AJ149" s="49">
        <f>IF(B149="","",N(C149))</f>
        <v/>
      </c>
      <c r="AK149" s="49">
        <f>IF(OR(B149="",O149="Cancelled",O149="Rescheduled"),"",B149&amp;"|"&amp;(COUNTIFS('JOBS'!$B$5:$B$1504,B149,'JOBS'!$AJ$5:$AJ$1504,"&lt;"&amp;AJ149,'JOBS'!$O$5:$O$1504,"&lt;&gt;Cancelled",'JOBS'!$O$5:$O$1504,"&lt;&gt;Rescheduled")+COUNTIFS($B$5:B149,B149,$AJ$5:AJ149,AJ149,$O$5:O149,"&lt;&gt;Cancelled",$O$5:O149,"&lt;&gt;Rescheduled")))</f>
        <v/>
      </c>
      <c r="AL149" s="49">
        <f>IF(N(U149)&lt;=0.005,"",COUNTIFS('JOBS'!$U$5:$U$1504,"&gt;0.005",'JOBS'!$B$5:$B$1504,"&lt;"&amp;B149)+COUNTIFS($U$5:U149,"&gt;0.005",$B$5:B149,B149))</f>
        <v/>
      </c>
    </row>
    <row r="150">
      <c r="A150" s="46" t="inlineStr">
        <is>
          <t>J-0146</t>
        </is>
      </c>
      <c r="B150" s="47" t="n">
        <v>46178</v>
      </c>
      <c r="C150" s="94" t="n">
        <v>0.3333333333333333</v>
      </c>
      <c r="D150" s="38" t="inlineStr">
        <is>
          <t>Brightside Dental Studio (sample)</t>
        </is>
      </c>
      <c r="E150" s="38" t="inlineStr">
        <is>
          <t>738 Cedar Court, North Sampletown</t>
        </is>
      </c>
      <c r="F150" s="38" t="inlineStr">
        <is>
          <t>Commercial Clean</t>
        </is>
      </c>
      <c r="G150" s="38" t="inlineStr">
        <is>
          <t>R-011</t>
        </is>
      </c>
      <c r="H150" s="38" t="inlineStr">
        <is>
          <t>Kevin Osei</t>
        </is>
      </c>
      <c r="I150" s="57" t="n">
        <v>2</v>
      </c>
      <c r="J150" s="95" t="n"/>
      <c r="K150" s="95" t="n">
        <v>2.12</v>
      </c>
      <c r="L150" s="48" t="n">
        <v>100</v>
      </c>
      <c r="M150" s="96" t="n">
        <v>0</v>
      </c>
      <c r="N150" s="48" t="n"/>
      <c r="O150" s="38" t="inlineStr">
        <is>
          <t>Completed</t>
        </is>
      </c>
      <c r="P150" s="38" t="inlineStr"/>
      <c r="Q150" s="97">
        <f>IF(OR(F150="",E150=""),"",IFERROR(IF(INDEX('PROPERTIES'!$F$5:$F$404,MATCH(E150,'PROPERTIES'!$B$5:$B$404,0))=0,"",ROUND((INDEX('PROPERTIES'!$F$5:$F$404,MATCH(E150,'PROPERTIES'!$B$5:$B$404,0))/INDEX('PRICING'!$C$7:$C$16,MATCH(F150,'PRICING'!$A$7:$A$16,0))+INDEX('PROPERTIES'!$G$5:$G$404,MATCH(E150,'PROPERTIES'!$B$5:$B$404,0))*INDEX('PRICING'!$D$7:$D$16,MATCH(F150,'PRICING'!$A$7:$A$16,0))/60+INDEX('PROPERTIES'!$H$5:$H$404,MATCH(E150,'PROPERTIES'!$B$5:$B$404,0))*INDEX('PRICING'!$E$7:$E$16,MATCH(F150,'PRICING'!$A$7:$A$16,0))/60+INDEX('PRICING'!$F$7:$F$16,MATCH(F150,'PRICING'!$A$7:$A$16,0))/60),2)),""))</f>
        <v/>
      </c>
      <c r="R150" s="97">
        <f>IF(B150="","",IF(N(K150)&gt;0,K150,IF(N(J150)&gt;0,J150,N(Q150))))</f>
        <v/>
      </c>
      <c r="S150" s="55">
        <f>IF(L150="","",ROUND(L150*(1+N(M150)),2))</f>
        <v/>
      </c>
      <c r="T150" s="55">
        <f>IF(B150="","",SUMIFS('REVENUE'!$C$5:$C$1504,'REVENUE'!$B$5:$B$1504,A150))</f>
        <v/>
      </c>
      <c r="U150" s="55">
        <f>IF(B150="","",IF(O150="Completed",MAX(0,N(S150)-T150),""))</f>
        <v/>
      </c>
      <c r="V150" s="49">
        <f>IF(B150="","",IF(O150&lt;&gt;"Completed",IF(T150&gt;0,"Deposit","—"),IF(U150&lt;=0.005,"Paid",IF(T150&gt;0,"Partial","Unpaid"))))</f>
        <v/>
      </c>
      <c r="W150" s="55">
        <f>IF(B150="","",IFERROR(1/(1/INDEX('STAFF &amp; TASKS'!$C$5:$C$24,MATCH(H150,'STAFF &amp; TASKS'!$A$5:$A$24,0))),PayRate))</f>
        <v/>
      </c>
      <c r="X150" s="55">
        <f>IF(B150="","",IF(OR(O150="Cancelled",O150="No-Show"),"",ROUND(R150*W150*(1+Burden),2)))</f>
        <v/>
      </c>
      <c r="Y150" s="55">
        <f>IF(B150="","",IF(OR(O150="Cancelled",O150="No-Show"),"",IF(N150&lt;&gt;"",N150,ROUND(R150*SupHr*IFERROR(INDEX('PRICING'!$G$7:$G$16,MATCH(F150,'PRICING'!$A$7:$A$16,0)),1),2))))</f>
        <v/>
      </c>
      <c r="Z150" s="98">
        <f>IF(B150="","",SUMIFS('MILEAGE'!$J$5:$J$1504,'MILEAGE'!$B$5:$B$1504,A150))</f>
        <v/>
      </c>
      <c r="AA150" s="55">
        <f>IF(B150="","",ROUND(Z150*MileRate,2))</f>
        <v/>
      </c>
      <c r="AB150" s="55">
        <f>IF(B150="","",SUMIFS('REVENUE'!$J$5:$J$1504,'REVENUE'!$B$5:$B$1504,A150))</f>
        <v/>
      </c>
      <c r="AC150" s="55">
        <f>IF(L150="","",IF(OR(O150="Cancelled",O150="No-Show"),"",L150-N(X150)-N(Y150)-AA150-AB150))</f>
        <v/>
      </c>
      <c r="AD150" s="99">
        <f>IF(OR(AC150="",N(L150)=0),"",AC150/L150)</f>
        <v/>
      </c>
      <c r="AE150" s="55">
        <f>IF(OR(AC150="",N(R150)=0),"",L150/R150)</f>
        <v/>
      </c>
      <c r="AF150" s="100">
        <f>IF(OR(N(K150)=0,N(J150)+N(Q150)=0),"",K150-IF(N(J150)&gt;0,J150,Q150))</f>
        <v/>
      </c>
      <c r="AG150" s="99">
        <f>IF(B150="","",IFERROR(AVERAGEIFS('QUALITY CONTROL'!$M$5:$M$304,'QUALITY CONTROL'!$B$5:$B$304,A150),""))</f>
        <v/>
      </c>
      <c r="AH150" s="51">
        <f>IF(B150="","",DATE(YEAR(B150),MONTH(B150),1))</f>
        <v/>
      </c>
      <c r="AI150" s="49">
        <f>IF(D150="","",IFERROR(INDEX('CUSTOMERS'!$E$5:$E$404,MATCH(D150,'CUSTOMERS'!$B$5:$B$404,0)),""))</f>
        <v/>
      </c>
      <c r="AJ150" s="49">
        <f>IF(B150="","",N(C150))</f>
        <v/>
      </c>
      <c r="AK150" s="49">
        <f>IF(OR(B150="",O150="Cancelled",O150="Rescheduled"),"",B150&amp;"|"&amp;(COUNTIFS('JOBS'!$B$5:$B$1504,B150,'JOBS'!$AJ$5:$AJ$1504,"&lt;"&amp;AJ150,'JOBS'!$O$5:$O$1504,"&lt;&gt;Cancelled",'JOBS'!$O$5:$O$1504,"&lt;&gt;Rescheduled")+COUNTIFS($B$5:B150,B150,$AJ$5:AJ150,AJ150,$O$5:O150,"&lt;&gt;Cancelled",$O$5:O150,"&lt;&gt;Rescheduled")))</f>
        <v/>
      </c>
      <c r="AL150" s="49">
        <f>IF(N(U150)&lt;=0.005,"",COUNTIFS('JOBS'!$U$5:$U$1504,"&gt;0.005",'JOBS'!$B$5:$B$1504,"&lt;"&amp;B150)+COUNTIFS($U$5:U150,"&gt;0.005",$B$5:B150,B150))</f>
        <v/>
      </c>
    </row>
    <row r="151">
      <c r="A151" s="46" t="inlineStr">
        <is>
          <t>J-0147</t>
        </is>
      </c>
      <c r="B151" s="47" t="n">
        <v>46178</v>
      </c>
      <c r="C151" s="94" t="n">
        <v>0.375</v>
      </c>
      <c r="D151" s="38" t="inlineStr">
        <is>
          <t>Oakview Office Suites (sample)</t>
        </is>
      </c>
      <c r="E151" s="38" t="inlineStr">
        <is>
          <t>957 Hawthorn Road, North Sampletown</t>
        </is>
      </c>
      <c r="F151" s="38" t="inlineStr">
        <is>
          <t>Commercial Clean</t>
        </is>
      </c>
      <c r="G151" s="38" t="inlineStr">
        <is>
          <t>R-012</t>
        </is>
      </c>
      <c r="H151" s="38" t="inlineStr">
        <is>
          <t>Kevin Osei</t>
        </is>
      </c>
      <c r="I151" s="57" t="n">
        <v>2</v>
      </c>
      <c r="J151" s="95" t="n"/>
      <c r="K151" s="95" t="n">
        <v>3.83</v>
      </c>
      <c r="L151" s="48" t="n">
        <v>140</v>
      </c>
      <c r="M151" s="96" t="n">
        <v>0</v>
      </c>
      <c r="N151" s="48" t="n"/>
      <c r="O151" s="38" t="inlineStr">
        <is>
          <t>Completed</t>
        </is>
      </c>
      <c r="P151" s="38" t="inlineStr"/>
      <c r="Q151" s="97">
        <f>IF(OR(F151="",E151=""),"",IFERROR(IF(INDEX('PROPERTIES'!$F$5:$F$404,MATCH(E151,'PROPERTIES'!$B$5:$B$404,0))=0,"",ROUND((INDEX('PROPERTIES'!$F$5:$F$404,MATCH(E151,'PROPERTIES'!$B$5:$B$404,0))/INDEX('PRICING'!$C$7:$C$16,MATCH(F151,'PRICING'!$A$7:$A$16,0))+INDEX('PROPERTIES'!$G$5:$G$404,MATCH(E151,'PROPERTIES'!$B$5:$B$404,0))*INDEX('PRICING'!$D$7:$D$16,MATCH(F151,'PRICING'!$A$7:$A$16,0))/60+INDEX('PROPERTIES'!$H$5:$H$404,MATCH(E151,'PROPERTIES'!$B$5:$B$404,0))*INDEX('PRICING'!$E$7:$E$16,MATCH(F151,'PRICING'!$A$7:$A$16,0))/60+INDEX('PRICING'!$F$7:$F$16,MATCH(F151,'PRICING'!$A$7:$A$16,0))/60),2)),""))</f>
        <v/>
      </c>
      <c r="R151" s="97">
        <f>IF(B151="","",IF(N(K151)&gt;0,K151,IF(N(J151)&gt;0,J151,N(Q151))))</f>
        <v/>
      </c>
      <c r="S151" s="55">
        <f>IF(L151="","",ROUND(L151*(1+N(M151)),2))</f>
        <v/>
      </c>
      <c r="T151" s="55">
        <f>IF(B151="","",SUMIFS('REVENUE'!$C$5:$C$1504,'REVENUE'!$B$5:$B$1504,A151))</f>
        <v/>
      </c>
      <c r="U151" s="55">
        <f>IF(B151="","",IF(O151="Completed",MAX(0,N(S151)-T151),""))</f>
        <v/>
      </c>
      <c r="V151" s="49">
        <f>IF(B151="","",IF(O151&lt;&gt;"Completed",IF(T151&gt;0,"Deposit","—"),IF(U151&lt;=0.005,"Paid",IF(T151&gt;0,"Partial","Unpaid"))))</f>
        <v/>
      </c>
      <c r="W151" s="55">
        <f>IF(B151="","",IFERROR(1/(1/INDEX('STAFF &amp; TASKS'!$C$5:$C$24,MATCH(H151,'STAFF &amp; TASKS'!$A$5:$A$24,0))),PayRate))</f>
        <v/>
      </c>
      <c r="X151" s="55">
        <f>IF(B151="","",IF(OR(O151="Cancelled",O151="No-Show"),"",ROUND(R151*W151*(1+Burden),2)))</f>
        <v/>
      </c>
      <c r="Y151" s="55">
        <f>IF(B151="","",IF(OR(O151="Cancelled",O151="No-Show"),"",IF(N151&lt;&gt;"",N151,ROUND(R151*SupHr*IFERROR(INDEX('PRICING'!$G$7:$G$16,MATCH(F151,'PRICING'!$A$7:$A$16,0)),1),2))))</f>
        <v/>
      </c>
      <c r="Z151" s="98">
        <f>IF(B151="","",SUMIFS('MILEAGE'!$J$5:$J$1504,'MILEAGE'!$B$5:$B$1504,A151))</f>
        <v/>
      </c>
      <c r="AA151" s="55">
        <f>IF(B151="","",ROUND(Z151*MileRate,2))</f>
        <v/>
      </c>
      <c r="AB151" s="55">
        <f>IF(B151="","",SUMIFS('REVENUE'!$J$5:$J$1504,'REVENUE'!$B$5:$B$1504,A151))</f>
        <v/>
      </c>
      <c r="AC151" s="55">
        <f>IF(L151="","",IF(OR(O151="Cancelled",O151="No-Show"),"",L151-N(X151)-N(Y151)-AA151-AB151))</f>
        <v/>
      </c>
      <c r="AD151" s="99">
        <f>IF(OR(AC151="",N(L151)=0),"",AC151/L151)</f>
        <v/>
      </c>
      <c r="AE151" s="55">
        <f>IF(OR(AC151="",N(R151)=0),"",L151/R151)</f>
        <v/>
      </c>
      <c r="AF151" s="100">
        <f>IF(OR(N(K151)=0,N(J151)+N(Q151)=0),"",K151-IF(N(J151)&gt;0,J151,Q151))</f>
        <v/>
      </c>
      <c r="AG151" s="99">
        <f>IF(B151="","",IFERROR(AVERAGEIFS('QUALITY CONTROL'!$M$5:$M$304,'QUALITY CONTROL'!$B$5:$B$304,A151),""))</f>
        <v/>
      </c>
      <c r="AH151" s="51">
        <f>IF(B151="","",DATE(YEAR(B151),MONTH(B151),1))</f>
        <v/>
      </c>
      <c r="AI151" s="49">
        <f>IF(D151="","",IFERROR(INDEX('CUSTOMERS'!$E$5:$E$404,MATCH(D151,'CUSTOMERS'!$B$5:$B$404,0)),""))</f>
        <v/>
      </c>
      <c r="AJ151" s="49">
        <f>IF(B151="","",N(C151))</f>
        <v/>
      </c>
      <c r="AK151" s="49">
        <f>IF(OR(B151="",O151="Cancelled",O151="Rescheduled"),"",B151&amp;"|"&amp;(COUNTIFS('JOBS'!$B$5:$B$1504,B151,'JOBS'!$AJ$5:$AJ$1504,"&lt;"&amp;AJ151,'JOBS'!$O$5:$O$1504,"&lt;&gt;Cancelled",'JOBS'!$O$5:$O$1504,"&lt;&gt;Rescheduled")+COUNTIFS($B$5:B151,B151,$AJ$5:AJ151,AJ151,$O$5:O151,"&lt;&gt;Cancelled",$O$5:O151,"&lt;&gt;Rescheduled")))</f>
        <v/>
      </c>
      <c r="AL151" s="49">
        <f>IF(N(U151)&lt;=0.005,"",COUNTIFS('JOBS'!$U$5:$U$1504,"&gt;0.005",'JOBS'!$B$5:$B$1504,"&lt;"&amp;B151)+COUNTIFS($U$5:U151,"&gt;0.005",$B$5:B151,B151))</f>
        <v/>
      </c>
    </row>
    <row r="152">
      <c r="A152" s="46" t="inlineStr">
        <is>
          <t>J-0148</t>
        </is>
      </c>
      <c r="B152" s="47" t="n">
        <v>46178</v>
      </c>
      <c r="C152" s="94" t="n">
        <v>0.5416666666666666</v>
      </c>
      <c r="D152" s="38" t="inlineStr">
        <is>
          <t>Dana Collins</t>
        </is>
      </c>
      <c r="E152" s="38" t="inlineStr">
        <is>
          <t>84 Hawthorn Road, Lakeview (fictional)</t>
        </is>
      </c>
      <c r="F152" s="38" t="inlineStr">
        <is>
          <t>Standard Clean</t>
        </is>
      </c>
      <c r="G152" s="38" t="inlineStr">
        <is>
          <t>R-006</t>
        </is>
      </c>
      <c r="H152" s="38" t="inlineStr">
        <is>
          <t>Dana Whitfield</t>
        </is>
      </c>
      <c r="I152" s="57" t="n">
        <v>1</v>
      </c>
      <c r="J152" s="95" t="n"/>
      <c r="K152" s="95" t="n">
        <v>3.68</v>
      </c>
      <c r="L152" s="48" t="n">
        <v>195</v>
      </c>
      <c r="M152" s="96" t="n">
        <v>0</v>
      </c>
      <c r="N152" s="48" t="n"/>
      <c r="O152" s="38" t="inlineStr">
        <is>
          <t>Completed</t>
        </is>
      </c>
      <c r="P152" s="38" t="inlineStr"/>
      <c r="Q152" s="97">
        <f>IF(OR(F152="",E152=""),"",IFERROR(IF(INDEX('PROPERTIES'!$F$5:$F$404,MATCH(E152,'PROPERTIES'!$B$5:$B$404,0))=0,"",ROUND((INDEX('PROPERTIES'!$F$5:$F$404,MATCH(E152,'PROPERTIES'!$B$5:$B$404,0))/INDEX('PRICING'!$C$7:$C$16,MATCH(F152,'PRICING'!$A$7:$A$16,0))+INDEX('PROPERTIES'!$G$5:$G$404,MATCH(E152,'PROPERTIES'!$B$5:$B$404,0))*INDEX('PRICING'!$D$7:$D$16,MATCH(F152,'PRICING'!$A$7:$A$16,0))/60+INDEX('PROPERTIES'!$H$5:$H$404,MATCH(E152,'PROPERTIES'!$B$5:$B$404,0))*INDEX('PRICING'!$E$7:$E$16,MATCH(F152,'PRICING'!$A$7:$A$16,0))/60+INDEX('PRICING'!$F$7:$F$16,MATCH(F152,'PRICING'!$A$7:$A$16,0))/60),2)),""))</f>
        <v/>
      </c>
      <c r="R152" s="97">
        <f>IF(B152="","",IF(N(K152)&gt;0,K152,IF(N(J152)&gt;0,J152,N(Q152))))</f>
        <v/>
      </c>
      <c r="S152" s="55">
        <f>IF(L152="","",ROUND(L152*(1+N(M152)),2))</f>
        <v/>
      </c>
      <c r="T152" s="55">
        <f>IF(B152="","",SUMIFS('REVENUE'!$C$5:$C$1504,'REVENUE'!$B$5:$B$1504,A152))</f>
        <v/>
      </c>
      <c r="U152" s="55">
        <f>IF(B152="","",IF(O152="Completed",MAX(0,N(S152)-T152),""))</f>
        <v/>
      </c>
      <c r="V152" s="49">
        <f>IF(B152="","",IF(O152&lt;&gt;"Completed",IF(T152&gt;0,"Deposit","—"),IF(U152&lt;=0.005,"Paid",IF(T152&gt;0,"Partial","Unpaid"))))</f>
        <v/>
      </c>
      <c r="W152" s="55">
        <f>IF(B152="","",IFERROR(1/(1/INDEX('STAFF &amp; TASKS'!$C$5:$C$24,MATCH(H152,'STAFF &amp; TASKS'!$A$5:$A$24,0))),PayRate))</f>
        <v/>
      </c>
      <c r="X152" s="55">
        <f>IF(B152="","",IF(OR(O152="Cancelled",O152="No-Show"),"",ROUND(R152*W152*(1+Burden),2)))</f>
        <v/>
      </c>
      <c r="Y152" s="55">
        <f>IF(B152="","",IF(OR(O152="Cancelled",O152="No-Show"),"",IF(N152&lt;&gt;"",N152,ROUND(R152*SupHr*IFERROR(INDEX('PRICING'!$G$7:$G$16,MATCH(F152,'PRICING'!$A$7:$A$16,0)),1),2))))</f>
        <v/>
      </c>
      <c r="Z152" s="98">
        <f>IF(B152="","",SUMIFS('MILEAGE'!$J$5:$J$1504,'MILEAGE'!$B$5:$B$1504,A152))</f>
        <v/>
      </c>
      <c r="AA152" s="55">
        <f>IF(B152="","",ROUND(Z152*MileRate,2))</f>
        <v/>
      </c>
      <c r="AB152" s="55">
        <f>IF(B152="","",SUMIFS('REVENUE'!$J$5:$J$1504,'REVENUE'!$B$5:$B$1504,A152))</f>
        <v/>
      </c>
      <c r="AC152" s="55">
        <f>IF(L152="","",IF(OR(O152="Cancelled",O152="No-Show"),"",L152-N(X152)-N(Y152)-AA152-AB152))</f>
        <v/>
      </c>
      <c r="AD152" s="99">
        <f>IF(OR(AC152="",N(L152)=0),"",AC152/L152)</f>
        <v/>
      </c>
      <c r="AE152" s="55">
        <f>IF(OR(AC152="",N(R152)=0),"",L152/R152)</f>
        <v/>
      </c>
      <c r="AF152" s="100">
        <f>IF(OR(N(K152)=0,N(J152)+N(Q152)=0),"",K152-IF(N(J152)&gt;0,J152,Q152))</f>
        <v/>
      </c>
      <c r="AG152" s="99">
        <f>IF(B152="","",IFERROR(AVERAGEIFS('QUALITY CONTROL'!$M$5:$M$304,'QUALITY CONTROL'!$B$5:$B$304,A152),""))</f>
        <v/>
      </c>
      <c r="AH152" s="51">
        <f>IF(B152="","",DATE(YEAR(B152),MONTH(B152),1))</f>
        <v/>
      </c>
      <c r="AI152" s="49">
        <f>IF(D152="","",IFERROR(INDEX('CUSTOMERS'!$E$5:$E$404,MATCH(D152,'CUSTOMERS'!$B$5:$B$404,0)),""))</f>
        <v/>
      </c>
      <c r="AJ152" s="49">
        <f>IF(B152="","",N(C152))</f>
        <v/>
      </c>
      <c r="AK152" s="49">
        <f>IF(OR(B152="",O152="Cancelled",O152="Rescheduled"),"",B152&amp;"|"&amp;(COUNTIFS('JOBS'!$B$5:$B$1504,B152,'JOBS'!$AJ$5:$AJ$1504,"&lt;"&amp;AJ152,'JOBS'!$O$5:$O$1504,"&lt;&gt;Cancelled",'JOBS'!$O$5:$O$1504,"&lt;&gt;Rescheduled")+COUNTIFS($B$5:B152,B152,$AJ$5:AJ152,AJ152,$O$5:O152,"&lt;&gt;Cancelled",$O$5:O152,"&lt;&gt;Rescheduled")))</f>
        <v/>
      </c>
      <c r="AL152" s="49">
        <f>IF(N(U152)&lt;=0.005,"",COUNTIFS('JOBS'!$U$5:$U$1504,"&gt;0.005",'JOBS'!$B$5:$B$1504,"&lt;"&amp;B152)+COUNTIFS($U$5:U152,"&gt;0.005",$B$5:B152,B152))</f>
        <v/>
      </c>
    </row>
    <row r="153">
      <c r="A153" s="46" t="inlineStr">
        <is>
          <t>J-0149</t>
        </is>
      </c>
      <c r="B153" s="47" t="n">
        <v>46178</v>
      </c>
      <c r="C153" s="94" t="n">
        <v>0.5833333333333334</v>
      </c>
      <c r="D153" s="38" t="inlineStr">
        <is>
          <t>Parker Lockhart</t>
        </is>
      </c>
      <c r="E153" s="38" t="inlineStr">
        <is>
          <t>412 Linden Place, Sampletown</t>
        </is>
      </c>
      <c r="F153" s="38" t="inlineStr">
        <is>
          <t>Airbnb Turnover</t>
        </is>
      </c>
      <c r="G153" s="38" t="n"/>
      <c r="H153" s="38" t="inlineStr">
        <is>
          <t>Kevin Osei</t>
        </is>
      </c>
      <c r="I153" s="57" t="n">
        <v>1</v>
      </c>
      <c r="J153" s="95" t="n"/>
      <c r="K153" s="95" t="n">
        <v>1.83</v>
      </c>
      <c r="L153" s="48" t="n">
        <v>150</v>
      </c>
      <c r="M153" s="96" t="n">
        <v>0</v>
      </c>
      <c r="N153" s="48" t="n"/>
      <c r="O153" s="38" t="inlineStr">
        <is>
          <t>Completed</t>
        </is>
      </c>
      <c r="P153" s="38" t="inlineStr">
        <is>
          <t>Includes laundry</t>
        </is>
      </c>
      <c r="Q153" s="97">
        <f>IF(OR(F153="",E153=""),"",IFERROR(IF(INDEX('PROPERTIES'!$F$5:$F$404,MATCH(E153,'PROPERTIES'!$B$5:$B$404,0))=0,"",ROUND((INDEX('PROPERTIES'!$F$5:$F$404,MATCH(E153,'PROPERTIES'!$B$5:$B$404,0))/INDEX('PRICING'!$C$7:$C$16,MATCH(F153,'PRICING'!$A$7:$A$16,0))+INDEX('PROPERTIES'!$G$5:$G$404,MATCH(E153,'PROPERTIES'!$B$5:$B$404,0))*INDEX('PRICING'!$D$7:$D$16,MATCH(F153,'PRICING'!$A$7:$A$16,0))/60+INDEX('PROPERTIES'!$H$5:$H$404,MATCH(E153,'PROPERTIES'!$B$5:$B$404,0))*INDEX('PRICING'!$E$7:$E$16,MATCH(F153,'PRICING'!$A$7:$A$16,0))/60+INDEX('PRICING'!$F$7:$F$16,MATCH(F153,'PRICING'!$A$7:$A$16,0))/60),2)),""))</f>
        <v/>
      </c>
      <c r="R153" s="97">
        <f>IF(B153="","",IF(N(K153)&gt;0,K153,IF(N(J153)&gt;0,J153,N(Q153))))</f>
        <v/>
      </c>
      <c r="S153" s="55">
        <f>IF(L153="","",ROUND(L153*(1+N(M153)),2))</f>
        <v/>
      </c>
      <c r="T153" s="55">
        <f>IF(B153="","",SUMIFS('REVENUE'!$C$5:$C$1504,'REVENUE'!$B$5:$B$1504,A153))</f>
        <v/>
      </c>
      <c r="U153" s="55">
        <f>IF(B153="","",IF(O153="Completed",MAX(0,N(S153)-T153),""))</f>
        <v/>
      </c>
      <c r="V153" s="49">
        <f>IF(B153="","",IF(O153&lt;&gt;"Completed",IF(T153&gt;0,"Deposit","—"),IF(U153&lt;=0.005,"Paid",IF(T153&gt;0,"Partial","Unpaid"))))</f>
        <v/>
      </c>
      <c r="W153" s="55">
        <f>IF(B153="","",IFERROR(1/(1/INDEX('STAFF &amp; TASKS'!$C$5:$C$24,MATCH(H153,'STAFF &amp; TASKS'!$A$5:$A$24,0))),PayRate))</f>
        <v/>
      </c>
      <c r="X153" s="55">
        <f>IF(B153="","",IF(OR(O153="Cancelled",O153="No-Show"),"",ROUND(R153*W153*(1+Burden),2)))</f>
        <v/>
      </c>
      <c r="Y153" s="55">
        <f>IF(B153="","",IF(OR(O153="Cancelled",O153="No-Show"),"",IF(N153&lt;&gt;"",N153,ROUND(R153*SupHr*IFERROR(INDEX('PRICING'!$G$7:$G$16,MATCH(F153,'PRICING'!$A$7:$A$16,0)),1),2))))</f>
        <v/>
      </c>
      <c r="Z153" s="98">
        <f>IF(B153="","",SUMIFS('MILEAGE'!$J$5:$J$1504,'MILEAGE'!$B$5:$B$1504,A153))</f>
        <v/>
      </c>
      <c r="AA153" s="55">
        <f>IF(B153="","",ROUND(Z153*MileRate,2))</f>
        <v/>
      </c>
      <c r="AB153" s="55">
        <f>IF(B153="","",SUMIFS('REVENUE'!$J$5:$J$1504,'REVENUE'!$B$5:$B$1504,A153))</f>
        <v/>
      </c>
      <c r="AC153" s="55">
        <f>IF(L153="","",IF(OR(O153="Cancelled",O153="No-Show"),"",L153-N(X153)-N(Y153)-AA153-AB153))</f>
        <v/>
      </c>
      <c r="AD153" s="99">
        <f>IF(OR(AC153="",N(L153)=0),"",AC153/L153)</f>
        <v/>
      </c>
      <c r="AE153" s="55">
        <f>IF(OR(AC153="",N(R153)=0),"",L153/R153)</f>
        <v/>
      </c>
      <c r="AF153" s="100">
        <f>IF(OR(N(K153)=0,N(J153)+N(Q153)=0),"",K153-IF(N(J153)&gt;0,J153,Q153))</f>
        <v/>
      </c>
      <c r="AG153" s="99">
        <f>IF(B153="","",IFERROR(AVERAGEIFS('QUALITY CONTROL'!$M$5:$M$304,'QUALITY CONTROL'!$B$5:$B$304,A153),""))</f>
        <v/>
      </c>
      <c r="AH153" s="51">
        <f>IF(B153="","",DATE(YEAR(B153),MONTH(B153),1))</f>
        <v/>
      </c>
      <c r="AI153" s="49">
        <f>IF(D153="","",IFERROR(INDEX('CUSTOMERS'!$E$5:$E$404,MATCH(D153,'CUSTOMERS'!$B$5:$B$404,0)),""))</f>
        <v/>
      </c>
      <c r="AJ153" s="49">
        <f>IF(B153="","",N(C153))</f>
        <v/>
      </c>
      <c r="AK153" s="49">
        <f>IF(OR(B153="",O153="Cancelled",O153="Rescheduled"),"",B153&amp;"|"&amp;(COUNTIFS('JOBS'!$B$5:$B$1504,B153,'JOBS'!$AJ$5:$AJ$1504,"&lt;"&amp;AJ153,'JOBS'!$O$5:$O$1504,"&lt;&gt;Cancelled",'JOBS'!$O$5:$O$1504,"&lt;&gt;Rescheduled")+COUNTIFS($B$5:B153,B153,$AJ$5:AJ153,AJ153,$O$5:O153,"&lt;&gt;Cancelled",$O$5:O153,"&lt;&gt;Rescheduled")))</f>
        <v/>
      </c>
      <c r="AL153" s="49">
        <f>IF(N(U153)&lt;=0.005,"",COUNTIFS('JOBS'!$U$5:$U$1504,"&gt;0.005",'JOBS'!$B$5:$B$1504,"&lt;"&amp;B153)+COUNTIFS($U$5:U153,"&gt;0.005",$B$5:B153,B153))</f>
        <v/>
      </c>
    </row>
    <row r="154">
      <c r="A154" s="46" t="inlineStr">
        <is>
          <t>J-0150</t>
        </is>
      </c>
      <c r="B154" s="47" t="n">
        <v>46179</v>
      </c>
      <c r="C154" s="94" t="n">
        <v>0.4166666666666667</v>
      </c>
      <c r="D154" s="38" t="inlineStr">
        <is>
          <t>Finley Quigley</t>
        </is>
      </c>
      <c r="E154" s="38" t="inlineStr">
        <is>
          <t>21 Maple Avenue, North Sampletown</t>
        </is>
      </c>
      <c r="F154" s="38" t="inlineStr">
        <is>
          <t>Standard Clean</t>
        </is>
      </c>
      <c r="G154" s="38" t="inlineStr">
        <is>
          <t>R-007</t>
        </is>
      </c>
      <c r="H154" s="38" t="inlineStr">
        <is>
          <t>Maria Lopez</t>
        </is>
      </c>
      <c r="I154" s="57" t="n">
        <v>1</v>
      </c>
      <c r="J154" s="95" t="n"/>
      <c r="K154" s="95" t="n">
        <v>2.63</v>
      </c>
      <c r="L154" s="48" t="n">
        <v>110</v>
      </c>
      <c r="M154" s="96" t="n">
        <v>0</v>
      </c>
      <c r="N154" s="48" t="n"/>
      <c r="O154" s="38" t="inlineStr">
        <is>
          <t>Completed</t>
        </is>
      </c>
      <c r="P154" s="38" t="inlineStr"/>
      <c r="Q154" s="97">
        <f>IF(OR(F154="",E154=""),"",IFERROR(IF(INDEX('PROPERTIES'!$F$5:$F$404,MATCH(E154,'PROPERTIES'!$B$5:$B$404,0))=0,"",ROUND((INDEX('PROPERTIES'!$F$5:$F$404,MATCH(E154,'PROPERTIES'!$B$5:$B$404,0))/INDEX('PRICING'!$C$7:$C$16,MATCH(F154,'PRICING'!$A$7:$A$16,0))+INDEX('PROPERTIES'!$G$5:$G$404,MATCH(E154,'PROPERTIES'!$B$5:$B$404,0))*INDEX('PRICING'!$D$7:$D$16,MATCH(F154,'PRICING'!$A$7:$A$16,0))/60+INDEX('PROPERTIES'!$H$5:$H$404,MATCH(E154,'PROPERTIES'!$B$5:$B$404,0))*INDEX('PRICING'!$E$7:$E$16,MATCH(F154,'PRICING'!$A$7:$A$16,0))/60+INDEX('PRICING'!$F$7:$F$16,MATCH(F154,'PRICING'!$A$7:$A$16,0))/60),2)),""))</f>
        <v/>
      </c>
      <c r="R154" s="97">
        <f>IF(B154="","",IF(N(K154)&gt;0,K154,IF(N(J154)&gt;0,J154,N(Q154))))</f>
        <v/>
      </c>
      <c r="S154" s="55">
        <f>IF(L154="","",ROUND(L154*(1+N(M154)),2))</f>
        <v/>
      </c>
      <c r="T154" s="55">
        <f>IF(B154="","",SUMIFS('REVENUE'!$C$5:$C$1504,'REVENUE'!$B$5:$B$1504,A154))</f>
        <v/>
      </c>
      <c r="U154" s="55">
        <f>IF(B154="","",IF(O154="Completed",MAX(0,N(S154)-T154),""))</f>
        <v/>
      </c>
      <c r="V154" s="49">
        <f>IF(B154="","",IF(O154&lt;&gt;"Completed",IF(T154&gt;0,"Deposit","—"),IF(U154&lt;=0.005,"Paid",IF(T154&gt;0,"Partial","Unpaid"))))</f>
        <v/>
      </c>
      <c r="W154" s="55">
        <f>IF(B154="","",IFERROR(1/(1/INDEX('STAFF &amp; TASKS'!$C$5:$C$24,MATCH(H154,'STAFF &amp; TASKS'!$A$5:$A$24,0))),PayRate))</f>
        <v/>
      </c>
      <c r="X154" s="55">
        <f>IF(B154="","",IF(OR(O154="Cancelled",O154="No-Show"),"",ROUND(R154*W154*(1+Burden),2)))</f>
        <v/>
      </c>
      <c r="Y154" s="55">
        <f>IF(B154="","",IF(OR(O154="Cancelled",O154="No-Show"),"",IF(N154&lt;&gt;"",N154,ROUND(R154*SupHr*IFERROR(INDEX('PRICING'!$G$7:$G$16,MATCH(F154,'PRICING'!$A$7:$A$16,0)),1),2))))</f>
        <v/>
      </c>
      <c r="Z154" s="98">
        <f>IF(B154="","",SUMIFS('MILEAGE'!$J$5:$J$1504,'MILEAGE'!$B$5:$B$1504,A154))</f>
        <v/>
      </c>
      <c r="AA154" s="55">
        <f>IF(B154="","",ROUND(Z154*MileRate,2))</f>
        <v/>
      </c>
      <c r="AB154" s="55">
        <f>IF(B154="","",SUMIFS('REVENUE'!$J$5:$J$1504,'REVENUE'!$B$5:$B$1504,A154))</f>
        <v/>
      </c>
      <c r="AC154" s="55">
        <f>IF(L154="","",IF(OR(O154="Cancelled",O154="No-Show"),"",L154-N(X154)-N(Y154)-AA154-AB154))</f>
        <v/>
      </c>
      <c r="AD154" s="99">
        <f>IF(OR(AC154="",N(L154)=0),"",AC154/L154)</f>
        <v/>
      </c>
      <c r="AE154" s="55">
        <f>IF(OR(AC154="",N(R154)=0),"",L154/R154)</f>
        <v/>
      </c>
      <c r="AF154" s="100">
        <f>IF(OR(N(K154)=0,N(J154)+N(Q154)=0),"",K154-IF(N(J154)&gt;0,J154,Q154))</f>
        <v/>
      </c>
      <c r="AG154" s="99">
        <f>IF(B154="","",IFERROR(AVERAGEIFS('QUALITY CONTROL'!$M$5:$M$304,'QUALITY CONTROL'!$B$5:$B$304,A154),""))</f>
        <v/>
      </c>
      <c r="AH154" s="51">
        <f>IF(B154="","",DATE(YEAR(B154),MONTH(B154),1))</f>
        <v/>
      </c>
      <c r="AI154" s="49">
        <f>IF(D154="","",IFERROR(INDEX('CUSTOMERS'!$E$5:$E$404,MATCH(D154,'CUSTOMERS'!$B$5:$B$404,0)),""))</f>
        <v/>
      </c>
      <c r="AJ154" s="49">
        <f>IF(B154="","",N(C154))</f>
        <v/>
      </c>
      <c r="AK154" s="49">
        <f>IF(OR(B154="",O154="Cancelled",O154="Rescheduled"),"",B154&amp;"|"&amp;(COUNTIFS('JOBS'!$B$5:$B$1504,B154,'JOBS'!$AJ$5:$AJ$1504,"&lt;"&amp;AJ154,'JOBS'!$O$5:$O$1504,"&lt;&gt;Cancelled",'JOBS'!$O$5:$O$1504,"&lt;&gt;Rescheduled")+COUNTIFS($B$5:B154,B154,$AJ$5:AJ154,AJ154,$O$5:O154,"&lt;&gt;Cancelled",$O$5:O154,"&lt;&gt;Rescheduled")))</f>
        <v/>
      </c>
      <c r="AL154" s="49">
        <f>IF(N(U154)&lt;=0.005,"",COUNTIFS('JOBS'!$U$5:$U$1504,"&gt;0.005",'JOBS'!$B$5:$B$1504,"&lt;"&amp;B154)+COUNTIFS($U$5:U154,"&gt;0.005",$B$5:B154,B154))</f>
        <v/>
      </c>
    </row>
    <row r="155">
      <c r="A155" s="46" t="inlineStr">
        <is>
          <t>J-0151</t>
        </is>
      </c>
      <c r="B155" s="47" t="n">
        <v>46182</v>
      </c>
      <c r="C155" s="94" t="n">
        <v>0.5416666666666666</v>
      </c>
      <c r="D155" s="38" t="inlineStr">
        <is>
          <t>Lane Ivers</t>
        </is>
      </c>
      <c r="E155" s="38" t="inlineStr">
        <is>
          <t>497 Aspen Drive, Sampletown</t>
        </is>
      </c>
      <c r="F155" s="38" t="inlineStr">
        <is>
          <t>Standard Clean</t>
        </is>
      </c>
      <c r="G155" s="38" t="inlineStr">
        <is>
          <t>R-001</t>
        </is>
      </c>
      <c r="H155" s="38" t="inlineStr">
        <is>
          <t>Maria Lopez</t>
        </is>
      </c>
      <c r="I155" s="57" t="n">
        <v>1</v>
      </c>
      <c r="J155" s="95" t="n"/>
      <c r="K155" s="95" t="n">
        <v>3.67</v>
      </c>
      <c r="L155" s="48" t="n">
        <v>175</v>
      </c>
      <c r="M155" s="96" t="n">
        <v>0</v>
      </c>
      <c r="N155" s="48" t="n"/>
      <c r="O155" s="38" t="inlineStr">
        <is>
          <t>Completed</t>
        </is>
      </c>
      <c r="P155" s="38" t="inlineStr"/>
      <c r="Q155" s="97">
        <f>IF(OR(F155="",E155=""),"",IFERROR(IF(INDEX('PROPERTIES'!$F$5:$F$404,MATCH(E155,'PROPERTIES'!$B$5:$B$404,0))=0,"",ROUND((INDEX('PROPERTIES'!$F$5:$F$404,MATCH(E155,'PROPERTIES'!$B$5:$B$404,0))/INDEX('PRICING'!$C$7:$C$16,MATCH(F155,'PRICING'!$A$7:$A$16,0))+INDEX('PROPERTIES'!$G$5:$G$404,MATCH(E155,'PROPERTIES'!$B$5:$B$404,0))*INDEX('PRICING'!$D$7:$D$16,MATCH(F155,'PRICING'!$A$7:$A$16,0))/60+INDEX('PROPERTIES'!$H$5:$H$404,MATCH(E155,'PROPERTIES'!$B$5:$B$404,0))*INDEX('PRICING'!$E$7:$E$16,MATCH(F155,'PRICING'!$A$7:$A$16,0))/60+INDEX('PRICING'!$F$7:$F$16,MATCH(F155,'PRICING'!$A$7:$A$16,0))/60),2)),""))</f>
        <v/>
      </c>
      <c r="R155" s="97">
        <f>IF(B155="","",IF(N(K155)&gt;0,K155,IF(N(J155)&gt;0,J155,N(Q155))))</f>
        <v/>
      </c>
      <c r="S155" s="55">
        <f>IF(L155="","",ROUND(L155*(1+N(M155)),2))</f>
        <v/>
      </c>
      <c r="T155" s="55">
        <f>IF(B155="","",SUMIFS('REVENUE'!$C$5:$C$1504,'REVENUE'!$B$5:$B$1504,A155))</f>
        <v/>
      </c>
      <c r="U155" s="55">
        <f>IF(B155="","",IF(O155="Completed",MAX(0,N(S155)-T155),""))</f>
        <v/>
      </c>
      <c r="V155" s="49">
        <f>IF(B155="","",IF(O155&lt;&gt;"Completed",IF(T155&gt;0,"Deposit","—"),IF(U155&lt;=0.005,"Paid",IF(T155&gt;0,"Partial","Unpaid"))))</f>
        <v/>
      </c>
      <c r="W155" s="55">
        <f>IF(B155="","",IFERROR(1/(1/INDEX('STAFF &amp; TASKS'!$C$5:$C$24,MATCH(H155,'STAFF &amp; TASKS'!$A$5:$A$24,0))),PayRate))</f>
        <v/>
      </c>
      <c r="X155" s="55">
        <f>IF(B155="","",IF(OR(O155="Cancelled",O155="No-Show"),"",ROUND(R155*W155*(1+Burden),2)))</f>
        <v/>
      </c>
      <c r="Y155" s="55">
        <f>IF(B155="","",IF(OR(O155="Cancelled",O155="No-Show"),"",IF(N155&lt;&gt;"",N155,ROUND(R155*SupHr*IFERROR(INDEX('PRICING'!$G$7:$G$16,MATCH(F155,'PRICING'!$A$7:$A$16,0)),1),2))))</f>
        <v/>
      </c>
      <c r="Z155" s="98">
        <f>IF(B155="","",SUMIFS('MILEAGE'!$J$5:$J$1504,'MILEAGE'!$B$5:$B$1504,A155))</f>
        <v/>
      </c>
      <c r="AA155" s="55">
        <f>IF(B155="","",ROUND(Z155*MileRate,2))</f>
        <v/>
      </c>
      <c r="AB155" s="55">
        <f>IF(B155="","",SUMIFS('REVENUE'!$J$5:$J$1504,'REVENUE'!$B$5:$B$1504,A155))</f>
        <v/>
      </c>
      <c r="AC155" s="55">
        <f>IF(L155="","",IF(OR(O155="Cancelled",O155="No-Show"),"",L155-N(X155)-N(Y155)-AA155-AB155))</f>
        <v/>
      </c>
      <c r="AD155" s="99">
        <f>IF(OR(AC155="",N(L155)=0),"",AC155/L155)</f>
        <v/>
      </c>
      <c r="AE155" s="55">
        <f>IF(OR(AC155="",N(R155)=0),"",L155/R155)</f>
        <v/>
      </c>
      <c r="AF155" s="100">
        <f>IF(OR(N(K155)=0,N(J155)+N(Q155)=0),"",K155-IF(N(J155)&gt;0,J155,Q155))</f>
        <v/>
      </c>
      <c r="AG155" s="99">
        <f>IF(B155="","",IFERROR(AVERAGEIFS('QUALITY CONTROL'!$M$5:$M$304,'QUALITY CONTROL'!$B$5:$B$304,A155),""))</f>
        <v/>
      </c>
      <c r="AH155" s="51">
        <f>IF(B155="","",DATE(YEAR(B155),MONTH(B155),1))</f>
        <v/>
      </c>
      <c r="AI155" s="49">
        <f>IF(D155="","",IFERROR(INDEX('CUSTOMERS'!$E$5:$E$404,MATCH(D155,'CUSTOMERS'!$B$5:$B$404,0)),""))</f>
        <v/>
      </c>
      <c r="AJ155" s="49">
        <f>IF(B155="","",N(C155))</f>
        <v/>
      </c>
      <c r="AK155" s="49">
        <f>IF(OR(B155="",O155="Cancelled",O155="Rescheduled"),"",B155&amp;"|"&amp;(COUNTIFS('JOBS'!$B$5:$B$1504,B155,'JOBS'!$AJ$5:$AJ$1504,"&lt;"&amp;AJ155,'JOBS'!$O$5:$O$1504,"&lt;&gt;Cancelled",'JOBS'!$O$5:$O$1504,"&lt;&gt;Rescheduled")+COUNTIFS($B$5:B155,B155,$AJ$5:AJ155,AJ155,$O$5:O155,"&lt;&gt;Cancelled",$O$5:O155,"&lt;&gt;Rescheduled")))</f>
        <v/>
      </c>
      <c r="AL155" s="49">
        <f>IF(N(U155)&lt;=0.005,"",COUNTIFS('JOBS'!$U$5:$U$1504,"&gt;0.005",'JOBS'!$B$5:$B$1504,"&lt;"&amp;B155)+COUNTIFS($U$5:U155,"&gt;0.005",$B$5:B155,B155))</f>
        <v/>
      </c>
    </row>
    <row r="156">
      <c r="A156" s="46" t="inlineStr">
        <is>
          <t>J-0152</t>
        </is>
      </c>
      <c r="B156" s="47" t="n">
        <v>46183</v>
      </c>
      <c r="C156" s="94" t="n">
        <v>0.3541666666666667</v>
      </c>
      <c r="D156" s="38" t="inlineStr">
        <is>
          <t>Logan Porter</t>
        </is>
      </c>
      <c r="E156" s="38" t="inlineStr">
        <is>
          <t>675 Aspen Drive, Lakeview (fictional)</t>
        </is>
      </c>
      <c r="F156" s="38" t="inlineStr">
        <is>
          <t>Standard Clean</t>
        </is>
      </c>
      <c r="G156" s="38" t="inlineStr">
        <is>
          <t>R-002</t>
        </is>
      </c>
      <c r="H156" s="38" t="inlineStr">
        <is>
          <t>Dana Whitfield</t>
        </is>
      </c>
      <c r="I156" s="57" t="n">
        <v>1</v>
      </c>
      <c r="J156" s="95" t="n"/>
      <c r="K156" s="95" t="n">
        <v>5.89</v>
      </c>
      <c r="L156" s="48" t="n">
        <v>220</v>
      </c>
      <c r="M156" s="96" t="n">
        <v>0</v>
      </c>
      <c r="N156" s="48" t="n"/>
      <c r="O156" s="38" t="inlineStr">
        <is>
          <t>Completed</t>
        </is>
      </c>
      <c r="P156" s="38" t="inlineStr"/>
      <c r="Q156" s="97">
        <f>IF(OR(F156="",E156=""),"",IFERROR(IF(INDEX('PROPERTIES'!$F$5:$F$404,MATCH(E156,'PROPERTIES'!$B$5:$B$404,0))=0,"",ROUND((INDEX('PROPERTIES'!$F$5:$F$404,MATCH(E156,'PROPERTIES'!$B$5:$B$404,0))/INDEX('PRICING'!$C$7:$C$16,MATCH(F156,'PRICING'!$A$7:$A$16,0))+INDEX('PROPERTIES'!$G$5:$G$404,MATCH(E156,'PROPERTIES'!$B$5:$B$404,0))*INDEX('PRICING'!$D$7:$D$16,MATCH(F156,'PRICING'!$A$7:$A$16,0))/60+INDEX('PROPERTIES'!$H$5:$H$404,MATCH(E156,'PROPERTIES'!$B$5:$B$404,0))*INDEX('PRICING'!$E$7:$E$16,MATCH(F156,'PRICING'!$A$7:$A$16,0))/60+INDEX('PRICING'!$F$7:$F$16,MATCH(F156,'PRICING'!$A$7:$A$16,0))/60),2)),""))</f>
        <v/>
      </c>
      <c r="R156" s="97">
        <f>IF(B156="","",IF(N(K156)&gt;0,K156,IF(N(J156)&gt;0,J156,N(Q156))))</f>
        <v/>
      </c>
      <c r="S156" s="55">
        <f>IF(L156="","",ROUND(L156*(1+N(M156)),2))</f>
        <v/>
      </c>
      <c r="T156" s="55">
        <f>IF(B156="","",SUMIFS('REVENUE'!$C$5:$C$1504,'REVENUE'!$B$5:$B$1504,A156))</f>
        <v/>
      </c>
      <c r="U156" s="55">
        <f>IF(B156="","",IF(O156="Completed",MAX(0,N(S156)-T156),""))</f>
        <v/>
      </c>
      <c r="V156" s="49">
        <f>IF(B156="","",IF(O156&lt;&gt;"Completed",IF(T156&gt;0,"Deposit","—"),IF(U156&lt;=0.005,"Paid",IF(T156&gt;0,"Partial","Unpaid"))))</f>
        <v/>
      </c>
      <c r="W156" s="55">
        <f>IF(B156="","",IFERROR(1/(1/INDEX('STAFF &amp; TASKS'!$C$5:$C$24,MATCH(H156,'STAFF &amp; TASKS'!$A$5:$A$24,0))),PayRate))</f>
        <v/>
      </c>
      <c r="X156" s="55">
        <f>IF(B156="","",IF(OR(O156="Cancelled",O156="No-Show"),"",ROUND(R156*W156*(1+Burden),2)))</f>
        <v/>
      </c>
      <c r="Y156" s="55">
        <f>IF(B156="","",IF(OR(O156="Cancelled",O156="No-Show"),"",IF(N156&lt;&gt;"",N156,ROUND(R156*SupHr*IFERROR(INDEX('PRICING'!$G$7:$G$16,MATCH(F156,'PRICING'!$A$7:$A$16,0)),1),2))))</f>
        <v/>
      </c>
      <c r="Z156" s="98">
        <f>IF(B156="","",SUMIFS('MILEAGE'!$J$5:$J$1504,'MILEAGE'!$B$5:$B$1504,A156))</f>
        <v/>
      </c>
      <c r="AA156" s="55">
        <f>IF(B156="","",ROUND(Z156*MileRate,2))</f>
        <v/>
      </c>
      <c r="AB156" s="55">
        <f>IF(B156="","",SUMIFS('REVENUE'!$J$5:$J$1504,'REVENUE'!$B$5:$B$1504,A156))</f>
        <v/>
      </c>
      <c r="AC156" s="55">
        <f>IF(L156="","",IF(OR(O156="Cancelled",O156="No-Show"),"",L156-N(X156)-N(Y156)-AA156-AB156))</f>
        <v/>
      </c>
      <c r="AD156" s="99">
        <f>IF(OR(AC156="",N(L156)=0),"",AC156/L156)</f>
        <v/>
      </c>
      <c r="AE156" s="55">
        <f>IF(OR(AC156="",N(R156)=0),"",L156/R156)</f>
        <v/>
      </c>
      <c r="AF156" s="100">
        <f>IF(OR(N(K156)=0,N(J156)+N(Q156)=0),"",K156-IF(N(J156)&gt;0,J156,Q156))</f>
        <v/>
      </c>
      <c r="AG156" s="99">
        <f>IF(B156="","",IFERROR(AVERAGEIFS('QUALITY CONTROL'!$M$5:$M$304,'QUALITY CONTROL'!$B$5:$B$304,A156),""))</f>
        <v/>
      </c>
      <c r="AH156" s="51">
        <f>IF(B156="","",DATE(YEAR(B156),MONTH(B156),1))</f>
        <v/>
      </c>
      <c r="AI156" s="49">
        <f>IF(D156="","",IFERROR(INDEX('CUSTOMERS'!$E$5:$E$404,MATCH(D156,'CUSTOMERS'!$B$5:$B$404,0)),""))</f>
        <v/>
      </c>
      <c r="AJ156" s="49">
        <f>IF(B156="","",N(C156))</f>
        <v/>
      </c>
      <c r="AK156" s="49">
        <f>IF(OR(B156="",O156="Cancelled",O156="Rescheduled"),"",B156&amp;"|"&amp;(COUNTIFS('JOBS'!$B$5:$B$1504,B156,'JOBS'!$AJ$5:$AJ$1504,"&lt;"&amp;AJ156,'JOBS'!$O$5:$O$1504,"&lt;&gt;Cancelled",'JOBS'!$O$5:$O$1504,"&lt;&gt;Rescheduled")+COUNTIFS($B$5:B156,B156,$AJ$5:AJ156,AJ156,$O$5:O156,"&lt;&gt;Cancelled",$O$5:O156,"&lt;&gt;Rescheduled")))</f>
        <v/>
      </c>
      <c r="AL156" s="49">
        <f>IF(N(U156)&lt;=0.005,"",COUNTIFS('JOBS'!$U$5:$U$1504,"&gt;0.005",'JOBS'!$B$5:$B$1504,"&lt;"&amp;B156)+COUNTIFS($U$5:U156,"&gt;0.005",$B$5:B156,B156))</f>
        <v/>
      </c>
    </row>
    <row r="157">
      <c r="A157" s="46" t="inlineStr">
        <is>
          <t>J-0153</t>
        </is>
      </c>
      <c r="B157" s="47" t="n">
        <v>46184</v>
      </c>
      <c r="C157" s="94" t="n">
        <v>0.375</v>
      </c>
      <c r="D157" s="38" t="inlineStr">
        <is>
          <t>Dana Ivers</t>
        </is>
      </c>
      <c r="E157" s="38" t="inlineStr">
        <is>
          <t>129 Elm Terrace, North Sampletown</t>
        </is>
      </c>
      <c r="F157" s="38" t="inlineStr">
        <is>
          <t>Standard Clean</t>
        </is>
      </c>
      <c r="G157" s="38" t="inlineStr">
        <is>
          <t>R-008</t>
        </is>
      </c>
      <c r="H157" s="38" t="inlineStr">
        <is>
          <t>Dana Whitfield</t>
        </is>
      </c>
      <c r="I157" s="57" t="n">
        <v>1</v>
      </c>
      <c r="J157" s="95" t="n"/>
      <c r="K157" s="95" t="n">
        <v>6.74</v>
      </c>
      <c r="L157" s="48" t="n">
        <v>255</v>
      </c>
      <c r="M157" s="96" t="n">
        <v>0</v>
      </c>
      <c r="N157" s="48" t="n"/>
      <c r="O157" s="38" t="inlineStr">
        <is>
          <t>Completed</t>
        </is>
      </c>
      <c r="P157" s="38" t="inlineStr"/>
      <c r="Q157" s="97">
        <f>IF(OR(F157="",E157=""),"",IFERROR(IF(INDEX('PROPERTIES'!$F$5:$F$404,MATCH(E157,'PROPERTIES'!$B$5:$B$404,0))=0,"",ROUND((INDEX('PROPERTIES'!$F$5:$F$404,MATCH(E157,'PROPERTIES'!$B$5:$B$404,0))/INDEX('PRICING'!$C$7:$C$16,MATCH(F157,'PRICING'!$A$7:$A$16,0))+INDEX('PROPERTIES'!$G$5:$G$404,MATCH(E157,'PROPERTIES'!$B$5:$B$404,0))*INDEX('PRICING'!$D$7:$D$16,MATCH(F157,'PRICING'!$A$7:$A$16,0))/60+INDEX('PROPERTIES'!$H$5:$H$404,MATCH(E157,'PROPERTIES'!$B$5:$B$404,0))*INDEX('PRICING'!$E$7:$E$16,MATCH(F157,'PRICING'!$A$7:$A$16,0))/60+INDEX('PRICING'!$F$7:$F$16,MATCH(F157,'PRICING'!$A$7:$A$16,0))/60),2)),""))</f>
        <v/>
      </c>
      <c r="R157" s="97">
        <f>IF(B157="","",IF(N(K157)&gt;0,K157,IF(N(J157)&gt;0,J157,N(Q157))))</f>
        <v/>
      </c>
      <c r="S157" s="55">
        <f>IF(L157="","",ROUND(L157*(1+N(M157)),2))</f>
        <v/>
      </c>
      <c r="T157" s="55">
        <f>IF(B157="","",SUMIFS('REVENUE'!$C$5:$C$1504,'REVENUE'!$B$5:$B$1504,A157))</f>
        <v/>
      </c>
      <c r="U157" s="55">
        <f>IF(B157="","",IF(O157="Completed",MAX(0,N(S157)-T157),""))</f>
        <v/>
      </c>
      <c r="V157" s="49">
        <f>IF(B157="","",IF(O157&lt;&gt;"Completed",IF(T157&gt;0,"Deposit","—"),IF(U157&lt;=0.005,"Paid",IF(T157&gt;0,"Partial","Unpaid"))))</f>
        <v/>
      </c>
      <c r="W157" s="55">
        <f>IF(B157="","",IFERROR(1/(1/INDEX('STAFF &amp; TASKS'!$C$5:$C$24,MATCH(H157,'STAFF &amp; TASKS'!$A$5:$A$24,0))),PayRate))</f>
        <v/>
      </c>
      <c r="X157" s="55">
        <f>IF(B157="","",IF(OR(O157="Cancelled",O157="No-Show"),"",ROUND(R157*W157*(1+Burden),2)))</f>
        <v/>
      </c>
      <c r="Y157" s="55">
        <f>IF(B157="","",IF(OR(O157="Cancelled",O157="No-Show"),"",IF(N157&lt;&gt;"",N157,ROUND(R157*SupHr*IFERROR(INDEX('PRICING'!$G$7:$G$16,MATCH(F157,'PRICING'!$A$7:$A$16,0)),1),2))))</f>
        <v/>
      </c>
      <c r="Z157" s="98">
        <f>IF(B157="","",SUMIFS('MILEAGE'!$J$5:$J$1504,'MILEAGE'!$B$5:$B$1504,A157))</f>
        <v/>
      </c>
      <c r="AA157" s="55">
        <f>IF(B157="","",ROUND(Z157*MileRate,2))</f>
        <v/>
      </c>
      <c r="AB157" s="55">
        <f>IF(B157="","",SUMIFS('REVENUE'!$J$5:$J$1504,'REVENUE'!$B$5:$B$1504,A157))</f>
        <v/>
      </c>
      <c r="AC157" s="55">
        <f>IF(L157="","",IF(OR(O157="Cancelled",O157="No-Show"),"",L157-N(X157)-N(Y157)-AA157-AB157))</f>
        <v/>
      </c>
      <c r="AD157" s="99">
        <f>IF(OR(AC157="",N(L157)=0),"",AC157/L157)</f>
        <v/>
      </c>
      <c r="AE157" s="55">
        <f>IF(OR(AC157="",N(R157)=0),"",L157/R157)</f>
        <v/>
      </c>
      <c r="AF157" s="100">
        <f>IF(OR(N(K157)=0,N(J157)+N(Q157)=0),"",K157-IF(N(J157)&gt;0,J157,Q157))</f>
        <v/>
      </c>
      <c r="AG157" s="99">
        <f>IF(B157="","",IFERROR(AVERAGEIFS('QUALITY CONTROL'!$M$5:$M$304,'QUALITY CONTROL'!$B$5:$B$304,A157),""))</f>
        <v/>
      </c>
      <c r="AH157" s="51">
        <f>IF(B157="","",DATE(YEAR(B157),MONTH(B157),1))</f>
        <v/>
      </c>
      <c r="AI157" s="49">
        <f>IF(D157="","",IFERROR(INDEX('CUSTOMERS'!$E$5:$E$404,MATCH(D157,'CUSTOMERS'!$B$5:$B$404,0)),""))</f>
        <v/>
      </c>
      <c r="AJ157" s="49">
        <f>IF(B157="","",N(C157))</f>
        <v/>
      </c>
      <c r="AK157" s="49">
        <f>IF(OR(B157="",O157="Cancelled",O157="Rescheduled"),"",B157&amp;"|"&amp;(COUNTIFS('JOBS'!$B$5:$B$1504,B157,'JOBS'!$AJ$5:$AJ$1504,"&lt;"&amp;AJ157,'JOBS'!$O$5:$O$1504,"&lt;&gt;Cancelled",'JOBS'!$O$5:$O$1504,"&lt;&gt;Rescheduled")+COUNTIFS($B$5:B157,B157,$AJ$5:AJ157,AJ157,$O$5:O157,"&lt;&gt;Cancelled",$O$5:O157,"&lt;&gt;Rescheduled")))</f>
        <v/>
      </c>
      <c r="AL157" s="49">
        <f>IF(N(U157)&lt;=0.005,"",COUNTIFS('JOBS'!$U$5:$U$1504,"&gt;0.005",'JOBS'!$B$5:$B$1504,"&lt;"&amp;B157)+COUNTIFS($U$5:U157,"&gt;0.005",$B$5:B157,B157))</f>
        <v/>
      </c>
    </row>
    <row r="158">
      <c r="A158" s="46" t="inlineStr">
        <is>
          <t>J-0154</t>
        </is>
      </c>
      <c r="B158" s="47" t="n">
        <v>46184</v>
      </c>
      <c r="C158" s="94" t="n">
        <v>0.5833333333333334</v>
      </c>
      <c r="D158" s="38" t="inlineStr">
        <is>
          <t>Blake Oakes</t>
        </is>
      </c>
      <c r="E158" s="38" t="inlineStr">
        <is>
          <t>654 Willow Way, North Sampletown</t>
        </is>
      </c>
      <c r="F158" s="38" t="inlineStr">
        <is>
          <t>Airbnb Turnover</t>
        </is>
      </c>
      <c r="G158" s="38" t="n"/>
      <c r="H158" s="38" t="inlineStr">
        <is>
          <t>Kevin Osei</t>
        </is>
      </c>
      <c r="I158" s="57" t="n">
        <v>1</v>
      </c>
      <c r="J158" s="95" t="n"/>
      <c r="K158" s="95" t="n">
        <v>2.03</v>
      </c>
      <c r="L158" s="48" t="n">
        <v>135</v>
      </c>
      <c r="M158" s="96" t="n">
        <v>0</v>
      </c>
      <c r="N158" s="48" t="n"/>
      <c r="O158" s="38" t="inlineStr">
        <is>
          <t>Completed</t>
        </is>
      </c>
      <c r="P158" s="38" t="inlineStr">
        <is>
          <t>Includes laundry</t>
        </is>
      </c>
      <c r="Q158" s="97">
        <f>IF(OR(F158="",E158=""),"",IFERROR(IF(INDEX('PROPERTIES'!$F$5:$F$404,MATCH(E158,'PROPERTIES'!$B$5:$B$404,0))=0,"",ROUND((INDEX('PROPERTIES'!$F$5:$F$404,MATCH(E158,'PROPERTIES'!$B$5:$B$404,0))/INDEX('PRICING'!$C$7:$C$16,MATCH(F158,'PRICING'!$A$7:$A$16,0))+INDEX('PROPERTIES'!$G$5:$G$404,MATCH(E158,'PROPERTIES'!$B$5:$B$404,0))*INDEX('PRICING'!$D$7:$D$16,MATCH(F158,'PRICING'!$A$7:$A$16,0))/60+INDEX('PROPERTIES'!$H$5:$H$404,MATCH(E158,'PROPERTIES'!$B$5:$B$404,0))*INDEX('PRICING'!$E$7:$E$16,MATCH(F158,'PRICING'!$A$7:$A$16,0))/60+INDEX('PRICING'!$F$7:$F$16,MATCH(F158,'PRICING'!$A$7:$A$16,0))/60),2)),""))</f>
        <v/>
      </c>
      <c r="R158" s="97">
        <f>IF(B158="","",IF(N(K158)&gt;0,K158,IF(N(J158)&gt;0,J158,N(Q158))))</f>
        <v/>
      </c>
      <c r="S158" s="55">
        <f>IF(L158="","",ROUND(L158*(1+N(M158)),2))</f>
        <v/>
      </c>
      <c r="T158" s="55">
        <f>IF(B158="","",SUMIFS('REVENUE'!$C$5:$C$1504,'REVENUE'!$B$5:$B$1504,A158))</f>
        <v/>
      </c>
      <c r="U158" s="55">
        <f>IF(B158="","",IF(O158="Completed",MAX(0,N(S158)-T158),""))</f>
        <v/>
      </c>
      <c r="V158" s="49">
        <f>IF(B158="","",IF(O158&lt;&gt;"Completed",IF(T158&gt;0,"Deposit","—"),IF(U158&lt;=0.005,"Paid",IF(T158&gt;0,"Partial","Unpaid"))))</f>
        <v/>
      </c>
      <c r="W158" s="55">
        <f>IF(B158="","",IFERROR(1/(1/INDEX('STAFF &amp; TASKS'!$C$5:$C$24,MATCH(H158,'STAFF &amp; TASKS'!$A$5:$A$24,0))),PayRate))</f>
        <v/>
      </c>
      <c r="X158" s="55">
        <f>IF(B158="","",IF(OR(O158="Cancelled",O158="No-Show"),"",ROUND(R158*W158*(1+Burden),2)))</f>
        <v/>
      </c>
      <c r="Y158" s="55">
        <f>IF(B158="","",IF(OR(O158="Cancelled",O158="No-Show"),"",IF(N158&lt;&gt;"",N158,ROUND(R158*SupHr*IFERROR(INDEX('PRICING'!$G$7:$G$16,MATCH(F158,'PRICING'!$A$7:$A$16,0)),1),2))))</f>
        <v/>
      </c>
      <c r="Z158" s="98">
        <f>IF(B158="","",SUMIFS('MILEAGE'!$J$5:$J$1504,'MILEAGE'!$B$5:$B$1504,A158))</f>
        <v/>
      </c>
      <c r="AA158" s="55">
        <f>IF(B158="","",ROUND(Z158*MileRate,2))</f>
        <v/>
      </c>
      <c r="AB158" s="55">
        <f>IF(B158="","",SUMIFS('REVENUE'!$J$5:$J$1504,'REVENUE'!$B$5:$B$1504,A158))</f>
        <v/>
      </c>
      <c r="AC158" s="55">
        <f>IF(L158="","",IF(OR(O158="Cancelled",O158="No-Show"),"",L158-N(X158)-N(Y158)-AA158-AB158))</f>
        <v/>
      </c>
      <c r="AD158" s="99">
        <f>IF(OR(AC158="",N(L158)=0),"",AC158/L158)</f>
        <v/>
      </c>
      <c r="AE158" s="55">
        <f>IF(OR(AC158="",N(R158)=0),"",L158/R158)</f>
        <v/>
      </c>
      <c r="AF158" s="100">
        <f>IF(OR(N(K158)=0,N(J158)+N(Q158)=0),"",K158-IF(N(J158)&gt;0,J158,Q158))</f>
        <v/>
      </c>
      <c r="AG158" s="99">
        <f>IF(B158="","",IFERROR(AVERAGEIFS('QUALITY CONTROL'!$M$5:$M$304,'QUALITY CONTROL'!$B$5:$B$304,A158),""))</f>
        <v/>
      </c>
      <c r="AH158" s="51">
        <f>IF(B158="","",DATE(YEAR(B158),MONTH(B158),1))</f>
        <v/>
      </c>
      <c r="AI158" s="49">
        <f>IF(D158="","",IFERROR(INDEX('CUSTOMERS'!$E$5:$E$404,MATCH(D158,'CUSTOMERS'!$B$5:$B$404,0)),""))</f>
        <v/>
      </c>
      <c r="AJ158" s="49">
        <f>IF(B158="","",N(C158))</f>
        <v/>
      </c>
      <c r="AK158" s="49">
        <f>IF(OR(B158="",O158="Cancelled",O158="Rescheduled"),"",B158&amp;"|"&amp;(COUNTIFS('JOBS'!$B$5:$B$1504,B158,'JOBS'!$AJ$5:$AJ$1504,"&lt;"&amp;AJ158,'JOBS'!$O$5:$O$1504,"&lt;&gt;Cancelled",'JOBS'!$O$5:$O$1504,"&lt;&gt;Rescheduled")+COUNTIFS($B$5:B158,B158,$AJ$5:AJ158,AJ158,$O$5:O158,"&lt;&gt;Cancelled",$O$5:O158,"&lt;&gt;Rescheduled")))</f>
        <v/>
      </c>
      <c r="AL158" s="49">
        <f>IF(N(U158)&lt;=0.005,"",COUNTIFS('JOBS'!$U$5:$U$1504,"&gt;0.005",'JOBS'!$B$5:$B$1504,"&lt;"&amp;B158)+COUNTIFS($U$5:U158,"&gt;0.005",$B$5:B158,B158))</f>
        <v/>
      </c>
    </row>
    <row r="159">
      <c r="A159" s="46" t="inlineStr">
        <is>
          <t>J-0155</t>
        </is>
      </c>
      <c r="B159" s="47" t="n">
        <v>46185</v>
      </c>
      <c r="C159" s="94" t="n">
        <v>0.3333333333333333</v>
      </c>
      <c r="D159" s="38" t="inlineStr">
        <is>
          <t>Devon Hayes</t>
        </is>
      </c>
      <c r="E159" s="38" t="inlineStr">
        <is>
          <t>461 Hawthorn Road, Lakeview (fictional)</t>
        </is>
      </c>
      <c r="F159" s="38" t="inlineStr">
        <is>
          <t>Standard Clean</t>
        </is>
      </c>
      <c r="G159" s="38" t="inlineStr">
        <is>
          <t>R-003</t>
        </is>
      </c>
      <c r="H159" s="38" t="inlineStr">
        <is>
          <t>Maria Lopez</t>
        </is>
      </c>
      <c r="I159" s="57" t="n">
        <v>1</v>
      </c>
      <c r="J159" s="95" t="n"/>
      <c r="K159" s="95" t="n">
        <v>4.82</v>
      </c>
      <c r="L159" s="48" t="n">
        <v>220</v>
      </c>
      <c r="M159" s="96" t="n">
        <v>0</v>
      </c>
      <c r="N159" s="48" t="n"/>
      <c r="O159" s="38" t="inlineStr">
        <is>
          <t>Completed</t>
        </is>
      </c>
      <c r="P159" s="38" t="inlineStr"/>
      <c r="Q159" s="97">
        <f>IF(OR(F159="",E159=""),"",IFERROR(IF(INDEX('PROPERTIES'!$F$5:$F$404,MATCH(E159,'PROPERTIES'!$B$5:$B$404,0))=0,"",ROUND((INDEX('PROPERTIES'!$F$5:$F$404,MATCH(E159,'PROPERTIES'!$B$5:$B$404,0))/INDEX('PRICING'!$C$7:$C$16,MATCH(F159,'PRICING'!$A$7:$A$16,0))+INDEX('PROPERTIES'!$G$5:$G$404,MATCH(E159,'PROPERTIES'!$B$5:$B$404,0))*INDEX('PRICING'!$D$7:$D$16,MATCH(F159,'PRICING'!$A$7:$A$16,0))/60+INDEX('PROPERTIES'!$H$5:$H$404,MATCH(E159,'PROPERTIES'!$B$5:$B$404,0))*INDEX('PRICING'!$E$7:$E$16,MATCH(F159,'PRICING'!$A$7:$A$16,0))/60+INDEX('PRICING'!$F$7:$F$16,MATCH(F159,'PRICING'!$A$7:$A$16,0))/60),2)),""))</f>
        <v/>
      </c>
      <c r="R159" s="97">
        <f>IF(B159="","",IF(N(K159)&gt;0,K159,IF(N(J159)&gt;0,J159,N(Q159))))</f>
        <v/>
      </c>
      <c r="S159" s="55">
        <f>IF(L159="","",ROUND(L159*(1+N(M159)),2))</f>
        <v/>
      </c>
      <c r="T159" s="55">
        <f>IF(B159="","",SUMIFS('REVENUE'!$C$5:$C$1504,'REVENUE'!$B$5:$B$1504,A159))</f>
        <v/>
      </c>
      <c r="U159" s="55">
        <f>IF(B159="","",IF(O159="Completed",MAX(0,N(S159)-T159),""))</f>
        <v/>
      </c>
      <c r="V159" s="49">
        <f>IF(B159="","",IF(O159&lt;&gt;"Completed",IF(T159&gt;0,"Deposit","—"),IF(U159&lt;=0.005,"Paid",IF(T159&gt;0,"Partial","Unpaid"))))</f>
        <v/>
      </c>
      <c r="W159" s="55">
        <f>IF(B159="","",IFERROR(1/(1/INDEX('STAFF &amp; TASKS'!$C$5:$C$24,MATCH(H159,'STAFF &amp; TASKS'!$A$5:$A$24,0))),PayRate))</f>
        <v/>
      </c>
      <c r="X159" s="55">
        <f>IF(B159="","",IF(OR(O159="Cancelled",O159="No-Show"),"",ROUND(R159*W159*(1+Burden),2)))</f>
        <v/>
      </c>
      <c r="Y159" s="55">
        <f>IF(B159="","",IF(OR(O159="Cancelled",O159="No-Show"),"",IF(N159&lt;&gt;"",N159,ROUND(R159*SupHr*IFERROR(INDEX('PRICING'!$G$7:$G$16,MATCH(F159,'PRICING'!$A$7:$A$16,0)),1),2))))</f>
        <v/>
      </c>
      <c r="Z159" s="98">
        <f>IF(B159="","",SUMIFS('MILEAGE'!$J$5:$J$1504,'MILEAGE'!$B$5:$B$1504,A159))</f>
        <v/>
      </c>
      <c r="AA159" s="55">
        <f>IF(B159="","",ROUND(Z159*MileRate,2))</f>
        <v/>
      </c>
      <c r="AB159" s="55">
        <f>IF(B159="","",SUMIFS('REVENUE'!$J$5:$J$1504,'REVENUE'!$B$5:$B$1504,A159))</f>
        <v/>
      </c>
      <c r="AC159" s="55">
        <f>IF(L159="","",IF(OR(O159="Cancelled",O159="No-Show"),"",L159-N(X159)-N(Y159)-AA159-AB159))</f>
        <v/>
      </c>
      <c r="AD159" s="99">
        <f>IF(OR(AC159="",N(L159)=0),"",AC159/L159)</f>
        <v/>
      </c>
      <c r="AE159" s="55">
        <f>IF(OR(AC159="",N(R159)=0),"",L159/R159)</f>
        <v/>
      </c>
      <c r="AF159" s="100">
        <f>IF(OR(N(K159)=0,N(J159)+N(Q159)=0),"",K159-IF(N(J159)&gt;0,J159,Q159))</f>
        <v/>
      </c>
      <c r="AG159" s="99">
        <f>IF(B159="","",IFERROR(AVERAGEIFS('QUALITY CONTROL'!$M$5:$M$304,'QUALITY CONTROL'!$B$5:$B$304,A159),""))</f>
        <v/>
      </c>
      <c r="AH159" s="51">
        <f>IF(B159="","",DATE(YEAR(B159),MONTH(B159),1))</f>
        <v/>
      </c>
      <c r="AI159" s="49">
        <f>IF(D159="","",IFERROR(INDEX('CUSTOMERS'!$E$5:$E$404,MATCH(D159,'CUSTOMERS'!$B$5:$B$404,0)),""))</f>
        <v/>
      </c>
      <c r="AJ159" s="49">
        <f>IF(B159="","",N(C159))</f>
        <v/>
      </c>
      <c r="AK159" s="49">
        <f>IF(OR(B159="",O159="Cancelled",O159="Rescheduled"),"",B159&amp;"|"&amp;(COUNTIFS('JOBS'!$B$5:$B$1504,B159,'JOBS'!$AJ$5:$AJ$1504,"&lt;"&amp;AJ159,'JOBS'!$O$5:$O$1504,"&lt;&gt;Cancelled",'JOBS'!$O$5:$O$1504,"&lt;&gt;Rescheduled")+COUNTIFS($B$5:B159,B159,$AJ$5:AJ159,AJ159,$O$5:O159,"&lt;&gt;Cancelled",$O$5:O159,"&lt;&gt;Rescheduled")))</f>
        <v/>
      </c>
      <c r="AL159" s="49">
        <f>IF(N(U159)&lt;=0.005,"",COUNTIFS('JOBS'!$U$5:$U$1504,"&gt;0.005",'JOBS'!$B$5:$B$1504,"&lt;"&amp;B159)+COUNTIFS($U$5:U159,"&gt;0.005",$B$5:B159,B159))</f>
        <v/>
      </c>
    </row>
    <row r="160">
      <c r="A160" s="46" t="inlineStr">
        <is>
          <t>J-0156</t>
        </is>
      </c>
      <c r="B160" s="47" t="n">
        <v>46185</v>
      </c>
      <c r="C160" s="94" t="n">
        <v>0.3333333333333333</v>
      </c>
      <c r="D160" s="38" t="inlineStr">
        <is>
          <t>Brightside Dental Studio (sample)</t>
        </is>
      </c>
      <c r="E160" s="38" t="inlineStr">
        <is>
          <t>738 Cedar Court, North Sampletown</t>
        </is>
      </c>
      <c r="F160" s="38" t="inlineStr">
        <is>
          <t>Commercial Clean</t>
        </is>
      </c>
      <c r="G160" s="38" t="inlineStr">
        <is>
          <t>R-011</t>
        </is>
      </c>
      <c r="H160" s="38" t="inlineStr">
        <is>
          <t>Kevin Osei</t>
        </is>
      </c>
      <c r="I160" s="57" t="n">
        <v>2</v>
      </c>
      <c r="J160" s="95" t="n"/>
      <c r="K160" s="95" t="n">
        <v>2.23</v>
      </c>
      <c r="L160" s="48" t="n">
        <v>100</v>
      </c>
      <c r="M160" s="96" t="n">
        <v>0</v>
      </c>
      <c r="N160" s="48" t="n"/>
      <c r="O160" s="38" t="inlineStr">
        <is>
          <t>Completed</t>
        </is>
      </c>
      <c r="P160" s="38" t="inlineStr"/>
      <c r="Q160" s="97">
        <f>IF(OR(F160="",E160=""),"",IFERROR(IF(INDEX('PROPERTIES'!$F$5:$F$404,MATCH(E160,'PROPERTIES'!$B$5:$B$404,0))=0,"",ROUND((INDEX('PROPERTIES'!$F$5:$F$404,MATCH(E160,'PROPERTIES'!$B$5:$B$404,0))/INDEX('PRICING'!$C$7:$C$16,MATCH(F160,'PRICING'!$A$7:$A$16,0))+INDEX('PROPERTIES'!$G$5:$G$404,MATCH(E160,'PROPERTIES'!$B$5:$B$404,0))*INDEX('PRICING'!$D$7:$D$16,MATCH(F160,'PRICING'!$A$7:$A$16,0))/60+INDEX('PROPERTIES'!$H$5:$H$404,MATCH(E160,'PROPERTIES'!$B$5:$B$404,0))*INDEX('PRICING'!$E$7:$E$16,MATCH(F160,'PRICING'!$A$7:$A$16,0))/60+INDEX('PRICING'!$F$7:$F$16,MATCH(F160,'PRICING'!$A$7:$A$16,0))/60),2)),""))</f>
        <v/>
      </c>
      <c r="R160" s="97">
        <f>IF(B160="","",IF(N(K160)&gt;0,K160,IF(N(J160)&gt;0,J160,N(Q160))))</f>
        <v/>
      </c>
      <c r="S160" s="55">
        <f>IF(L160="","",ROUND(L160*(1+N(M160)),2))</f>
        <v/>
      </c>
      <c r="T160" s="55">
        <f>IF(B160="","",SUMIFS('REVENUE'!$C$5:$C$1504,'REVENUE'!$B$5:$B$1504,A160))</f>
        <v/>
      </c>
      <c r="U160" s="55">
        <f>IF(B160="","",IF(O160="Completed",MAX(0,N(S160)-T160),""))</f>
        <v/>
      </c>
      <c r="V160" s="49">
        <f>IF(B160="","",IF(O160&lt;&gt;"Completed",IF(T160&gt;0,"Deposit","—"),IF(U160&lt;=0.005,"Paid",IF(T160&gt;0,"Partial","Unpaid"))))</f>
        <v/>
      </c>
      <c r="W160" s="55">
        <f>IF(B160="","",IFERROR(1/(1/INDEX('STAFF &amp; TASKS'!$C$5:$C$24,MATCH(H160,'STAFF &amp; TASKS'!$A$5:$A$24,0))),PayRate))</f>
        <v/>
      </c>
      <c r="X160" s="55">
        <f>IF(B160="","",IF(OR(O160="Cancelled",O160="No-Show"),"",ROUND(R160*W160*(1+Burden),2)))</f>
        <v/>
      </c>
      <c r="Y160" s="55">
        <f>IF(B160="","",IF(OR(O160="Cancelled",O160="No-Show"),"",IF(N160&lt;&gt;"",N160,ROUND(R160*SupHr*IFERROR(INDEX('PRICING'!$G$7:$G$16,MATCH(F160,'PRICING'!$A$7:$A$16,0)),1),2))))</f>
        <v/>
      </c>
      <c r="Z160" s="98">
        <f>IF(B160="","",SUMIFS('MILEAGE'!$J$5:$J$1504,'MILEAGE'!$B$5:$B$1504,A160))</f>
        <v/>
      </c>
      <c r="AA160" s="55">
        <f>IF(B160="","",ROUND(Z160*MileRate,2))</f>
        <v/>
      </c>
      <c r="AB160" s="55">
        <f>IF(B160="","",SUMIFS('REVENUE'!$J$5:$J$1504,'REVENUE'!$B$5:$B$1504,A160))</f>
        <v/>
      </c>
      <c r="AC160" s="55">
        <f>IF(L160="","",IF(OR(O160="Cancelled",O160="No-Show"),"",L160-N(X160)-N(Y160)-AA160-AB160))</f>
        <v/>
      </c>
      <c r="AD160" s="99">
        <f>IF(OR(AC160="",N(L160)=0),"",AC160/L160)</f>
        <v/>
      </c>
      <c r="AE160" s="55">
        <f>IF(OR(AC160="",N(R160)=0),"",L160/R160)</f>
        <v/>
      </c>
      <c r="AF160" s="100">
        <f>IF(OR(N(K160)=0,N(J160)+N(Q160)=0),"",K160-IF(N(J160)&gt;0,J160,Q160))</f>
        <v/>
      </c>
      <c r="AG160" s="99">
        <f>IF(B160="","",IFERROR(AVERAGEIFS('QUALITY CONTROL'!$M$5:$M$304,'QUALITY CONTROL'!$B$5:$B$304,A160),""))</f>
        <v/>
      </c>
      <c r="AH160" s="51">
        <f>IF(B160="","",DATE(YEAR(B160),MONTH(B160),1))</f>
        <v/>
      </c>
      <c r="AI160" s="49">
        <f>IF(D160="","",IFERROR(INDEX('CUSTOMERS'!$E$5:$E$404,MATCH(D160,'CUSTOMERS'!$B$5:$B$404,0)),""))</f>
        <v/>
      </c>
      <c r="AJ160" s="49">
        <f>IF(B160="","",N(C160))</f>
        <v/>
      </c>
      <c r="AK160" s="49">
        <f>IF(OR(B160="",O160="Cancelled",O160="Rescheduled"),"",B160&amp;"|"&amp;(COUNTIFS('JOBS'!$B$5:$B$1504,B160,'JOBS'!$AJ$5:$AJ$1504,"&lt;"&amp;AJ160,'JOBS'!$O$5:$O$1504,"&lt;&gt;Cancelled",'JOBS'!$O$5:$O$1504,"&lt;&gt;Rescheduled")+COUNTIFS($B$5:B160,B160,$AJ$5:AJ160,AJ160,$O$5:O160,"&lt;&gt;Cancelled",$O$5:O160,"&lt;&gt;Rescheduled")))</f>
        <v/>
      </c>
      <c r="AL160" s="49">
        <f>IF(N(U160)&lt;=0.005,"",COUNTIFS('JOBS'!$U$5:$U$1504,"&gt;0.005",'JOBS'!$B$5:$B$1504,"&lt;"&amp;B160)+COUNTIFS($U$5:U160,"&gt;0.005",$B$5:B160,B160))</f>
        <v/>
      </c>
    </row>
    <row r="161">
      <c r="A161" s="46" t="inlineStr">
        <is>
          <t>J-0157</t>
        </is>
      </c>
      <c r="B161" s="47" t="n">
        <v>46185</v>
      </c>
      <c r="C161" s="94" t="n">
        <v>0.5208333333333334</v>
      </c>
      <c r="D161" s="38" t="inlineStr">
        <is>
          <t>Oakview Office Suites (sample)</t>
        </is>
      </c>
      <c r="E161" s="38" t="inlineStr">
        <is>
          <t>957 Hawthorn Road, North Sampletown</t>
        </is>
      </c>
      <c r="F161" s="38" t="inlineStr">
        <is>
          <t>Commercial Clean</t>
        </is>
      </c>
      <c r="G161" s="38" t="inlineStr">
        <is>
          <t>R-012</t>
        </is>
      </c>
      <c r="H161" s="38" t="inlineStr">
        <is>
          <t>Kevin Osei</t>
        </is>
      </c>
      <c r="I161" s="57" t="n">
        <v>2</v>
      </c>
      <c r="J161" s="95" t="n"/>
      <c r="K161" s="95" t="n">
        <v>4.42</v>
      </c>
      <c r="L161" s="48" t="n">
        <v>140</v>
      </c>
      <c r="M161" s="96" t="n">
        <v>0</v>
      </c>
      <c r="N161" s="48" t="n"/>
      <c r="O161" s="38" t="inlineStr">
        <is>
          <t>Completed</t>
        </is>
      </c>
      <c r="P161" s="38" t="inlineStr"/>
      <c r="Q161" s="97">
        <f>IF(OR(F161="",E161=""),"",IFERROR(IF(INDEX('PROPERTIES'!$F$5:$F$404,MATCH(E161,'PROPERTIES'!$B$5:$B$404,0))=0,"",ROUND((INDEX('PROPERTIES'!$F$5:$F$404,MATCH(E161,'PROPERTIES'!$B$5:$B$404,0))/INDEX('PRICING'!$C$7:$C$16,MATCH(F161,'PRICING'!$A$7:$A$16,0))+INDEX('PROPERTIES'!$G$5:$G$404,MATCH(E161,'PROPERTIES'!$B$5:$B$404,0))*INDEX('PRICING'!$D$7:$D$16,MATCH(F161,'PRICING'!$A$7:$A$16,0))/60+INDEX('PROPERTIES'!$H$5:$H$404,MATCH(E161,'PROPERTIES'!$B$5:$B$404,0))*INDEX('PRICING'!$E$7:$E$16,MATCH(F161,'PRICING'!$A$7:$A$16,0))/60+INDEX('PRICING'!$F$7:$F$16,MATCH(F161,'PRICING'!$A$7:$A$16,0))/60),2)),""))</f>
        <v/>
      </c>
      <c r="R161" s="97">
        <f>IF(B161="","",IF(N(K161)&gt;0,K161,IF(N(J161)&gt;0,J161,N(Q161))))</f>
        <v/>
      </c>
      <c r="S161" s="55">
        <f>IF(L161="","",ROUND(L161*(1+N(M161)),2))</f>
        <v/>
      </c>
      <c r="T161" s="55">
        <f>IF(B161="","",SUMIFS('REVENUE'!$C$5:$C$1504,'REVENUE'!$B$5:$B$1504,A161))</f>
        <v/>
      </c>
      <c r="U161" s="55">
        <f>IF(B161="","",IF(O161="Completed",MAX(0,N(S161)-T161),""))</f>
        <v/>
      </c>
      <c r="V161" s="49">
        <f>IF(B161="","",IF(O161&lt;&gt;"Completed",IF(T161&gt;0,"Deposit","—"),IF(U161&lt;=0.005,"Paid",IF(T161&gt;0,"Partial","Unpaid"))))</f>
        <v/>
      </c>
      <c r="W161" s="55">
        <f>IF(B161="","",IFERROR(1/(1/INDEX('STAFF &amp; TASKS'!$C$5:$C$24,MATCH(H161,'STAFF &amp; TASKS'!$A$5:$A$24,0))),PayRate))</f>
        <v/>
      </c>
      <c r="X161" s="55">
        <f>IF(B161="","",IF(OR(O161="Cancelled",O161="No-Show"),"",ROUND(R161*W161*(1+Burden),2)))</f>
        <v/>
      </c>
      <c r="Y161" s="55">
        <f>IF(B161="","",IF(OR(O161="Cancelled",O161="No-Show"),"",IF(N161&lt;&gt;"",N161,ROUND(R161*SupHr*IFERROR(INDEX('PRICING'!$G$7:$G$16,MATCH(F161,'PRICING'!$A$7:$A$16,0)),1),2))))</f>
        <v/>
      </c>
      <c r="Z161" s="98">
        <f>IF(B161="","",SUMIFS('MILEAGE'!$J$5:$J$1504,'MILEAGE'!$B$5:$B$1504,A161))</f>
        <v/>
      </c>
      <c r="AA161" s="55">
        <f>IF(B161="","",ROUND(Z161*MileRate,2))</f>
        <v/>
      </c>
      <c r="AB161" s="55">
        <f>IF(B161="","",SUMIFS('REVENUE'!$J$5:$J$1504,'REVENUE'!$B$5:$B$1504,A161))</f>
        <v/>
      </c>
      <c r="AC161" s="55">
        <f>IF(L161="","",IF(OR(O161="Cancelled",O161="No-Show"),"",L161-N(X161)-N(Y161)-AA161-AB161))</f>
        <v/>
      </c>
      <c r="AD161" s="99">
        <f>IF(OR(AC161="",N(L161)=0),"",AC161/L161)</f>
        <v/>
      </c>
      <c r="AE161" s="55">
        <f>IF(OR(AC161="",N(R161)=0),"",L161/R161)</f>
        <v/>
      </c>
      <c r="AF161" s="100">
        <f>IF(OR(N(K161)=0,N(J161)+N(Q161)=0),"",K161-IF(N(J161)&gt;0,J161,Q161))</f>
        <v/>
      </c>
      <c r="AG161" s="99">
        <f>IF(B161="","",IFERROR(AVERAGEIFS('QUALITY CONTROL'!$M$5:$M$304,'QUALITY CONTROL'!$B$5:$B$304,A161),""))</f>
        <v/>
      </c>
      <c r="AH161" s="51">
        <f>IF(B161="","",DATE(YEAR(B161),MONTH(B161),1))</f>
        <v/>
      </c>
      <c r="AI161" s="49">
        <f>IF(D161="","",IFERROR(INDEX('CUSTOMERS'!$E$5:$E$404,MATCH(D161,'CUSTOMERS'!$B$5:$B$404,0)),""))</f>
        <v/>
      </c>
      <c r="AJ161" s="49">
        <f>IF(B161="","",N(C161))</f>
        <v/>
      </c>
      <c r="AK161" s="49">
        <f>IF(OR(B161="",O161="Cancelled",O161="Rescheduled"),"",B161&amp;"|"&amp;(COUNTIFS('JOBS'!$B$5:$B$1504,B161,'JOBS'!$AJ$5:$AJ$1504,"&lt;"&amp;AJ161,'JOBS'!$O$5:$O$1504,"&lt;&gt;Cancelled",'JOBS'!$O$5:$O$1504,"&lt;&gt;Rescheduled")+COUNTIFS($B$5:B161,B161,$AJ$5:AJ161,AJ161,$O$5:O161,"&lt;&gt;Cancelled",$O$5:O161,"&lt;&gt;Rescheduled")))</f>
        <v/>
      </c>
      <c r="AL161" s="49">
        <f>IF(N(U161)&lt;=0.005,"",COUNTIFS('JOBS'!$U$5:$U$1504,"&gt;0.005",'JOBS'!$B$5:$B$1504,"&lt;"&amp;B161)+COUNTIFS($U$5:U161,"&gt;0.005",$B$5:B161,B161))</f>
        <v/>
      </c>
    </row>
    <row r="162">
      <c r="A162" s="46" t="inlineStr">
        <is>
          <t>J-0158</t>
        </is>
      </c>
      <c r="B162" s="47" t="n">
        <v>46185</v>
      </c>
      <c r="C162" s="94" t="n">
        <v>0.5833333333333334</v>
      </c>
      <c r="D162" s="38" t="inlineStr">
        <is>
          <t>Rowan Foxworth</t>
        </is>
      </c>
      <c r="E162" s="38" t="inlineStr">
        <is>
          <t>876 Magnolia Circle, North Sampletown</t>
        </is>
      </c>
      <c r="F162" s="38" t="inlineStr">
        <is>
          <t>Standard Clean</t>
        </is>
      </c>
      <c r="G162" s="38" t="inlineStr">
        <is>
          <t>R-005</t>
        </is>
      </c>
      <c r="H162" s="38" t="inlineStr">
        <is>
          <t>Maria Lopez</t>
        </is>
      </c>
      <c r="I162" s="57" t="n">
        <v>1</v>
      </c>
      <c r="J162" s="95" t="n"/>
      <c r="K162" s="95" t="n">
        <v>4.45</v>
      </c>
      <c r="L162" s="48" t="n">
        <v>220</v>
      </c>
      <c r="M162" s="96" t="n">
        <v>0</v>
      </c>
      <c r="N162" s="48" t="n"/>
      <c r="O162" s="38" t="inlineStr">
        <is>
          <t>Completed</t>
        </is>
      </c>
      <c r="P162" s="38" t="inlineStr"/>
      <c r="Q162" s="97">
        <f>IF(OR(F162="",E162=""),"",IFERROR(IF(INDEX('PROPERTIES'!$F$5:$F$404,MATCH(E162,'PROPERTIES'!$B$5:$B$404,0))=0,"",ROUND((INDEX('PROPERTIES'!$F$5:$F$404,MATCH(E162,'PROPERTIES'!$B$5:$B$404,0))/INDEX('PRICING'!$C$7:$C$16,MATCH(F162,'PRICING'!$A$7:$A$16,0))+INDEX('PROPERTIES'!$G$5:$G$404,MATCH(E162,'PROPERTIES'!$B$5:$B$404,0))*INDEX('PRICING'!$D$7:$D$16,MATCH(F162,'PRICING'!$A$7:$A$16,0))/60+INDEX('PROPERTIES'!$H$5:$H$404,MATCH(E162,'PROPERTIES'!$B$5:$B$404,0))*INDEX('PRICING'!$E$7:$E$16,MATCH(F162,'PRICING'!$A$7:$A$16,0))/60+INDEX('PRICING'!$F$7:$F$16,MATCH(F162,'PRICING'!$A$7:$A$16,0))/60),2)),""))</f>
        <v/>
      </c>
      <c r="R162" s="97">
        <f>IF(B162="","",IF(N(K162)&gt;0,K162,IF(N(J162)&gt;0,J162,N(Q162))))</f>
        <v/>
      </c>
      <c r="S162" s="55">
        <f>IF(L162="","",ROUND(L162*(1+N(M162)),2))</f>
        <v/>
      </c>
      <c r="T162" s="55">
        <f>IF(B162="","",SUMIFS('REVENUE'!$C$5:$C$1504,'REVENUE'!$B$5:$B$1504,A162))</f>
        <v/>
      </c>
      <c r="U162" s="55">
        <f>IF(B162="","",IF(O162="Completed",MAX(0,N(S162)-T162),""))</f>
        <v/>
      </c>
      <c r="V162" s="49">
        <f>IF(B162="","",IF(O162&lt;&gt;"Completed",IF(T162&gt;0,"Deposit","—"),IF(U162&lt;=0.005,"Paid",IF(T162&gt;0,"Partial","Unpaid"))))</f>
        <v/>
      </c>
      <c r="W162" s="55">
        <f>IF(B162="","",IFERROR(1/(1/INDEX('STAFF &amp; TASKS'!$C$5:$C$24,MATCH(H162,'STAFF &amp; TASKS'!$A$5:$A$24,0))),PayRate))</f>
        <v/>
      </c>
      <c r="X162" s="55">
        <f>IF(B162="","",IF(OR(O162="Cancelled",O162="No-Show"),"",ROUND(R162*W162*(1+Burden),2)))</f>
        <v/>
      </c>
      <c r="Y162" s="55">
        <f>IF(B162="","",IF(OR(O162="Cancelled",O162="No-Show"),"",IF(N162&lt;&gt;"",N162,ROUND(R162*SupHr*IFERROR(INDEX('PRICING'!$G$7:$G$16,MATCH(F162,'PRICING'!$A$7:$A$16,0)),1),2))))</f>
        <v/>
      </c>
      <c r="Z162" s="98">
        <f>IF(B162="","",SUMIFS('MILEAGE'!$J$5:$J$1504,'MILEAGE'!$B$5:$B$1504,A162))</f>
        <v/>
      </c>
      <c r="AA162" s="55">
        <f>IF(B162="","",ROUND(Z162*MileRate,2))</f>
        <v/>
      </c>
      <c r="AB162" s="55">
        <f>IF(B162="","",SUMIFS('REVENUE'!$J$5:$J$1504,'REVENUE'!$B$5:$B$1504,A162))</f>
        <v/>
      </c>
      <c r="AC162" s="55">
        <f>IF(L162="","",IF(OR(O162="Cancelled",O162="No-Show"),"",L162-N(X162)-N(Y162)-AA162-AB162))</f>
        <v/>
      </c>
      <c r="AD162" s="99">
        <f>IF(OR(AC162="",N(L162)=0),"",AC162/L162)</f>
        <v/>
      </c>
      <c r="AE162" s="55">
        <f>IF(OR(AC162="",N(R162)=0),"",L162/R162)</f>
        <v/>
      </c>
      <c r="AF162" s="100">
        <f>IF(OR(N(K162)=0,N(J162)+N(Q162)=0),"",K162-IF(N(J162)&gt;0,J162,Q162))</f>
        <v/>
      </c>
      <c r="AG162" s="99">
        <f>IF(B162="","",IFERROR(AVERAGEIFS('QUALITY CONTROL'!$M$5:$M$304,'QUALITY CONTROL'!$B$5:$B$304,A162),""))</f>
        <v/>
      </c>
      <c r="AH162" s="51">
        <f>IF(B162="","",DATE(YEAR(B162),MONTH(B162),1))</f>
        <v/>
      </c>
      <c r="AI162" s="49">
        <f>IF(D162="","",IFERROR(INDEX('CUSTOMERS'!$E$5:$E$404,MATCH(D162,'CUSTOMERS'!$B$5:$B$404,0)),""))</f>
        <v/>
      </c>
      <c r="AJ162" s="49">
        <f>IF(B162="","",N(C162))</f>
        <v/>
      </c>
      <c r="AK162" s="49">
        <f>IF(OR(B162="",O162="Cancelled",O162="Rescheduled"),"",B162&amp;"|"&amp;(COUNTIFS('JOBS'!$B$5:$B$1504,B162,'JOBS'!$AJ$5:$AJ$1504,"&lt;"&amp;AJ162,'JOBS'!$O$5:$O$1504,"&lt;&gt;Cancelled",'JOBS'!$O$5:$O$1504,"&lt;&gt;Rescheduled")+COUNTIFS($B$5:B162,B162,$AJ$5:AJ162,AJ162,$O$5:O162,"&lt;&gt;Cancelled",$O$5:O162,"&lt;&gt;Rescheduled")))</f>
        <v/>
      </c>
      <c r="AL162" s="49">
        <f>IF(N(U162)&lt;=0.005,"",COUNTIFS('JOBS'!$U$5:$U$1504,"&gt;0.005",'JOBS'!$B$5:$B$1504,"&lt;"&amp;B162)+COUNTIFS($U$5:U162,"&gt;0.005",$B$5:B162,B162))</f>
        <v/>
      </c>
    </row>
    <row r="163">
      <c r="A163" s="46" t="inlineStr">
        <is>
          <t>J-0159</t>
        </is>
      </c>
      <c r="B163" s="47" t="n">
        <v>46186</v>
      </c>
      <c r="C163" s="94" t="n">
        <v>0.375</v>
      </c>
      <c r="D163" s="38" t="inlineStr">
        <is>
          <t>Noel Collins</t>
        </is>
      </c>
      <c r="E163" s="38" t="inlineStr">
        <is>
          <t>964 Cedar Court, Lakeview (fictional)</t>
        </is>
      </c>
      <c r="F163" s="38" t="inlineStr">
        <is>
          <t>Standard Clean</t>
        </is>
      </c>
      <c r="G163" s="38" t="inlineStr">
        <is>
          <t>R-004</t>
        </is>
      </c>
      <c r="H163" s="38" t="inlineStr">
        <is>
          <t>Dana Whitfield</t>
        </is>
      </c>
      <c r="I163" s="57" t="n">
        <v>1</v>
      </c>
      <c r="J163" s="95" t="n"/>
      <c r="K163" s="95" t="n">
        <v>5.97</v>
      </c>
      <c r="L163" s="48" t="n">
        <v>245</v>
      </c>
      <c r="M163" s="96" t="n">
        <v>0</v>
      </c>
      <c r="N163" s="48" t="n"/>
      <c r="O163" s="38" t="inlineStr">
        <is>
          <t>Completed</t>
        </is>
      </c>
      <c r="P163" s="38" t="inlineStr"/>
      <c r="Q163" s="97">
        <f>IF(OR(F163="",E163=""),"",IFERROR(IF(INDEX('PROPERTIES'!$F$5:$F$404,MATCH(E163,'PROPERTIES'!$B$5:$B$404,0))=0,"",ROUND((INDEX('PROPERTIES'!$F$5:$F$404,MATCH(E163,'PROPERTIES'!$B$5:$B$404,0))/INDEX('PRICING'!$C$7:$C$16,MATCH(F163,'PRICING'!$A$7:$A$16,0))+INDEX('PROPERTIES'!$G$5:$G$404,MATCH(E163,'PROPERTIES'!$B$5:$B$404,0))*INDEX('PRICING'!$D$7:$D$16,MATCH(F163,'PRICING'!$A$7:$A$16,0))/60+INDEX('PROPERTIES'!$H$5:$H$404,MATCH(E163,'PROPERTIES'!$B$5:$B$404,0))*INDEX('PRICING'!$E$7:$E$16,MATCH(F163,'PRICING'!$A$7:$A$16,0))/60+INDEX('PRICING'!$F$7:$F$16,MATCH(F163,'PRICING'!$A$7:$A$16,0))/60),2)),""))</f>
        <v/>
      </c>
      <c r="R163" s="97">
        <f>IF(B163="","",IF(N(K163)&gt;0,K163,IF(N(J163)&gt;0,J163,N(Q163))))</f>
        <v/>
      </c>
      <c r="S163" s="55">
        <f>IF(L163="","",ROUND(L163*(1+N(M163)),2))</f>
        <v/>
      </c>
      <c r="T163" s="55">
        <f>IF(B163="","",SUMIFS('REVENUE'!$C$5:$C$1504,'REVENUE'!$B$5:$B$1504,A163))</f>
        <v/>
      </c>
      <c r="U163" s="55">
        <f>IF(B163="","",IF(O163="Completed",MAX(0,N(S163)-T163),""))</f>
        <v/>
      </c>
      <c r="V163" s="49">
        <f>IF(B163="","",IF(O163&lt;&gt;"Completed",IF(T163&gt;0,"Deposit","—"),IF(U163&lt;=0.005,"Paid",IF(T163&gt;0,"Partial","Unpaid"))))</f>
        <v/>
      </c>
      <c r="W163" s="55">
        <f>IF(B163="","",IFERROR(1/(1/INDEX('STAFF &amp; TASKS'!$C$5:$C$24,MATCH(H163,'STAFF &amp; TASKS'!$A$5:$A$24,0))),PayRate))</f>
        <v/>
      </c>
      <c r="X163" s="55">
        <f>IF(B163="","",IF(OR(O163="Cancelled",O163="No-Show"),"",ROUND(R163*W163*(1+Burden),2)))</f>
        <v/>
      </c>
      <c r="Y163" s="55">
        <f>IF(B163="","",IF(OR(O163="Cancelled",O163="No-Show"),"",IF(N163&lt;&gt;"",N163,ROUND(R163*SupHr*IFERROR(INDEX('PRICING'!$G$7:$G$16,MATCH(F163,'PRICING'!$A$7:$A$16,0)),1),2))))</f>
        <v/>
      </c>
      <c r="Z163" s="98">
        <f>IF(B163="","",SUMIFS('MILEAGE'!$J$5:$J$1504,'MILEAGE'!$B$5:$B$1504,A163))</f>
        <v/>
      </c>
      <c r="AA163" s="55">
        <f>IF(B163="","",ROUND(Z163*MileRate,2))</f>
        <v/>
      </c>
      <c r="AB163" s="55">
        <f>IF(B163="","",SUMIFS('REVENUE'!$J$5:$J$1504,'REVENUE'!$B$5:$B$1504,A163))</f>
        <v/>
      </c>
      <c r="AC163" s="55">
        <f>IF(L163="","",IF(OR(O163="Cancelled",O163="No-Show"),"",L163-N(X163)-N(Y163)-AA163-AB163))</f>
        <v/>
      </c>
      <c r="AD163" s="99">
        <f>IF(OR(AC163="",N(L163)=0),"",AC163/L163)</f>
        <v/>
      </c>
      <c r="AE163" s="55">
        <f>IF(OR(AC163="",N(R163)=0),"",L163/R163)</f>
        <v/>
      </c>
      <c r="AF163" s="100">
        <f>IF(OR(N(K163)=0,N(J163)+N(Q163)=0),"",K163-IF(N(J163)&gt;0,J163,Q163))</f>
        <v/>
      </c>
      <c r="AG163" s="99">
        <f>IF(B163="","",IFERROR(AVERAGEIFS('QUALITY CONTROL'!$M$5:$M$304,'QUALITY CONTROL'!$B$5:$B$304,A163),""))</f>
        <v/>
      </c>
      <c r="AH163" s="51">
        <f>IF(B163="","",DATE(YEAR(B163),MONTH(B163),1))</f>
        <v/>
      </c>
      <c r="AI163" s="49">
        <f>IF(D163="","",IFERROR(INDEX('CUSTOMERS'!$E$5:$E$404,MATCH(D163,'CUSTOMERS'!$B$5:$B$404,0)),""))</f>
        <v/>
      </c>
      <c r="AJ163" s="49">
        <f>IF(B163="","",N(C163))</f>
        <v/>
      </c>
      <c r="AK163" s="49">
        <f>IF(OR(B163="",O163="Cancelled",O163="Rescheduled"),"",B163&amp;"|"&amp;(COUNTIFS('JOBS'!$B$5:$B$1504,B163,'JOBS'!$AJ$5:$AJ$1504,"&lt;"&amp;AJ163,'JOBS'!$O$5:$O$1504,"&lt;&gt;Cancelled",'JOBS'!$O$5:$O$1504,"&lt;&gt;Rescheduled")+COUNTIFS($B$5:B163,B163,$AJ$5:AJ163,AJ163,$O$5:O163,"&lt;&gt;Cancelled",$O$5:O163,"&lt;&gt;Rescheduled")))</f>
        <v/>
      </c>
      <c r="AL163" s="49">
        <f>IF(N(U163)&lt;=0.005,"",COUNTIFS('JOBS'!$U$5:$U$1504,"&gt;0.005",'JOBS'!$B$5:$B$1504,"&lt;"&amp;B163)+COUNTIFS($U$5:U163,"&gt;0.005",$B$5:B163,B163))</f>
        <v/>
      </c>
    </row>
    <row r="164">
      <c r="A164" s="46" t="inlineStr">
        <is>
          <t>J-0160</t>
        </is>
      </c>
      <c r="B164" s="47" t="n">
        <v>46189</v>
      </c>
      <c r="C164" s="94" t="n">
        <v>0.375</v>
      </c>
      <c r="D164" s="38" t="inlineStr">
        <is>
          <t>Lane Ivers</t>
        </is>
      </c>
      <c r="E164" s="38" t="inlineStr">
        <is>
          <t>497 Aspen Drive, Sampletown</t>
        </is>
      </c>
      <c r="F164" s="38" t="inlineStr">
        <is>
          <t>Standard Clean</t>
        </is>
      </c>
      <c r="G164" s="38" t="inlineStr">
        <is>
          <t>R-001</t>
        </is>
      </c>
      <c r="H164" s="38" t="inlineStr">
        <is>
          <t>Maria Lopez</t>
        </is>
      </c>
      <c r="I164" s="57" t="n">
        <v>1</v>
      </c>
      <c r="J164" s="95" t="n"/>
      <c r="K164" s="95" t="n">
        <v>4.92</v>
      </c>
      <c r="L164" s="48" t="n">
        <v>175</v>
      </c>
      <c r="M164" s="96" t="n">
        <v>0</v>
      </c>
      <c r="N164" s="48" t="n"/>
      <c r="O164" s="38" t="inlineStr">
        <is>
          <t>Completed</t>
        </is>
      </c>
      <c r="P164" s="38" t="inlineStr"/>
      <c r="Q164" s="97">
        <f>IF(OR(F164="",E164=""),"",IFERROR(IF(INDEX('PROPERTIES'!$F$5:$F$404,MATCH(E164,'PROPERTIES'!$B$5:$B$404,0))=0,"",ROUND((INDEX('PROPERTIES'!$F$5:$F$404,MATCH(E164,'PROPERTIES'!$B$5:$B$404,0))/INDEX('PRICING'!$C$7:$C$16,MATCH(F164,'PRICING'!$A$7:$A$16,0))+INDEX('PROPERTIES'!$G$5:$G$404,MATCH(E164,'PROPERTIES'!$B$5:$B$404,0))*INDEX('PRICING'!$D$7:$D$16,MATCH(F164,'PRICING'!$A$7:$A$16,0))/60+INDEX('PROPERTIES'!$H$5:$H$404,MATCH(E164,'PROPERTIES'!$B$5:$B$404,0))*INDEX('PRICING'!$E$7:$E$16,MATCH(F164,'PRICING'!$A$7:$A$16,0))/60+INDEX('PRICING'!$F$7:$F$16,MATCH(F164,'PRICING'!$A$7:$A$16,0))/60),2)),""))</f>
        <v/>
      </c>
      <c r="R164" s="97">
        <f>IF(B164="","",IF(N(K164)&gt;0,K164,IF(N(J164)&gt;0,J164,N(Q164))))</f>
        <v/>
      </c>
      <c r="S164" s="55">
        <f>IF(L164="","",ROUND(L164*(1+N(M164)),2))</f>
        <v/>
      </c>
      <c r="T164" s="55">
        <f>IF(B164="","",SUMIFS('REVENUE'!$C$5:$C$1504,'REVENUE'!$B$5:$B$1504,A164))</f>
        <v/>
      </c>
      <c r="U164" s="55">
        <f>IF(B164="","",IF(O164="Completed",MAX(0,N(S164)-T164),""))</f>
        <v/>
      </c>
      <c r="V164" s="49">
        <f>IF(B164="","",IF(O164&lt;&gt;"Completed",IF(T164&gt;0,"Deposit","—"),IF(U164&lt;=0.005,"Paid",IF(T164&gt;0,"Partial","Unpaid"))))</f>
        <v/>
      </c>
      <c r="W164" s="55">
        <f>IF(B164="","",IFERROR(1/(1/INDEX('STAFF &amp; TASKS'!$C$5:$C$24,MATCH(H164,'STAFF &amp; TASKS'!$A$5:$A$24,0))),PayRate))</f>
        <v/>
      </c>
      <c r="X164" s="55">
        <f>IF(B164="","",IF(OR(O164="Cancelled",O164="No-Show"),"",ROUND(R164*W164*(1+Burden),2)))</f>
        <v/>
      </c>
      <c r="Y164" s="55">
        <f>IF(B164="","",IF(OR(O164="Cancelled",O164="No-Show"),"",IF(N164&lt;&gt;"",N164,ROUND(R164*SupHr*IFERROR(INDEX('PRICING'!$G$7:$G$16,MATCH(F164,'PRICING'!$A$7:$A$16,0)),1),2))))</f>
        <v/>
      </c>
      <c r="Z164" s="98">
        <f>IF(B164="","",SUMIFS('MILEAGE'!$J$5:$J$1504,'MILEAGE'!$B$5:$B$1504,A164))</f>
        <v/>
      </c>
      <c r="AA164" s="55">
        <f>IF(B164="","",ROUND(Z164*MileRate,2))</f>
        <v/>
      </c>
      <c r="AB164" s="55">
        <f>IF(B164="","",SUMIFS('REVENUE'!$J$5:$J$1504,'REVENUE'!$B$5:$B$1504,A164))</f>
        <v/>
      </c>
      <c r="AC164" s="55">
        <f>IF(L164="","",IF(OR(O164="Cancelled",O164="No-Show"),"",L164-N(X164)-N(Y164)-AA164-AB164))</f>
        <v/>
      </c>
      <c r="AD164" s="99">
        <f>IF(OR(AC164="",N(L164)=0),"",AC164/L164)</f>
        <v/>
      </c>
      <c r="AE164" s="55">
        <f>IF(OR(AC164="",N(R164)=0),"",L164/R164)</f>
        <v/>
      </c>
      <c r="AF164" s="100">
        <f>IF(OR(N(K164)=0,N(J164)+N(Q164)=0),"",K164-IF(N(J164)&gt;0,J164,Q164))</f>
        <v/>
      </c>
      <c r="AG164" s="99">
        <f>IF(B164="","",IFERROR(AVERAGEIFS('QUALITY CONTROL'!$M$5:$M$304,'QUALITY CONTROL'!$B$5:$B$304,A164),""))</f>
        <v/>
      </c>
      <c r="AH164" s="51">
        <f>IF(B164="","",DATE(YEAR(B164),MONTH(B164),1))</f>
        <v/>
      </c>
      <c r="AI164" s="49">
        <f>IF(D164="","",IFERROR(INDEX('CUSTOMERS'!$E$5:$E$404,MATCH(D164,'CUSTOMERS'!$B$5:$B$404,0)),""))</f>
        <v/>
      </c>
      <c r="AJ164" s="49">
        <f>IF(B164="","",N(C164))</f>
        <v/>
      </c>
      <c r="AK164" s="49">
        <f>IF(OR(B164="",O164="Cancelled",O164="Rescheduled"),"",B164&amp;"|"&amp;(COUNTIFS('JOBS'!$B$5:$B$1504,B164,'JOBS'!$AJ$5:$AJ$1504,"&lt;"&amp;AJ164,'JOBS'!$O$5:$O$1504,"&lt;&gt;Cancelled",'JOBS'!$O$5:$O$1504,"&lt;&gt;Rescheduled")+COUNTIFS($B$5:B164,B164,$AJ$5:AJ164,AJ164,$O$5:O164,"&lt;&gt;Cancelled",$O$5:O164,"&lt;&gt;Rescheduled")))</f>
        <v/>
      </c>
      <c r="AL164" s="49">
        <f>IF(N(U164)&lt;=0.005,"",COUNTIFS('JOBS'!$U$5:$U$1504,"&gt;0.005",'JOBS'!$B$5:$B$1504,"&lt;"&amp;B164)+COUNTIFS($U$5:U164,"&gt;0.005",$B$5:B164,B164))</f>
        <v/>
      </c>
    </row>
    <row r="165">
      <c r="A165" s="46" t="inlineStr">
        <is>
          <t>J-0161</t>
        </is>
      </c>
      <c r="B165" s="47" t="n">
        <v>46189</v>
      </c>
      <c r="C165" s="94" t="n">
        <v>0.375</v>
      </c>
      <c r="D165" s="38" t="inlineStr">
        <is>
          <t>Wren Delgado</t>
        </is>
      </c>
      <c r="E165" s="38" t="inlineStr">
        <is>
          <t>520 Linden Place, North Sampletown</t>
        </is>
      </c>
      <c r="F165" s="38" t="inlineStr">
        <is>
          <t>Deep Clean</t>
        </is>
      </c>
      <c r="G165" s="38" t="n"/>
      <c r="H165" s="38" t="inlineStr">
        <is>
          <t>Maria Lopez</t>
        </is>
      </c>
      <c r="I165" s="57" t="n">
        <v>2</v>
      </c>
      <c r="J165" s="95" t="n"/>
      <c r="K165" s="95" t="n">
        <v>8.91</v>
      </c>
      <c r="L165" s="48" t="n">
        <v>490</v>
      </c>
      <c r="M165" s="96" t="n">
        <v>0</v>
      </c>
      <c r="N165" s="48" t="n"/>
      <c r="O165" s="38" t="inlineStr">
        <is>
          <t>Completed</t>
        </is>
      </c>
      <c r="P165" s="38" t="inlineStr">
        <is>
          <t>Oven + fridge add-ons</t>
        </is>
      </c>
      <c r="Q165" s="97">
        <f>IF(OR(F165="",E165=""),"",IFERROR(IF(INDEX('PROPERTIES'!$F$5:$F$404,MATCH(E165,'PROPERTIES'!$B$5:$B$404,0))=0,"",ROUND((INDEX('PROPERTIES'!$F$5:$F$404,MATCH(E165,'PROPERTIES'!$B$5:$B$404,0))/INDEX('PRICING'!$C$7:$C$16,MATCH(F165,'PRICING'!$A$7:$A$16,0))+INDEX('PROPERTIES'!$G$5:$G$404,MATCH(E165,'PROPERTIES'!$B$5:$B$404,0))*INDEX('PRICING'!$D$7:$D$16,MATCH(F165,'PRICING'!$A$7:$A$16,0))/60+INDEX('PROPERTIES'!$H$5:$H$404,MATCH(E165,'PROPERTIES'!$B$5:$B$404,0))*INDEX('PRICING'!$E$7:$E$16,MATCH(F165,'PRICING'!$A$7:$A$16,0))/60+INDEX('PRICING'!$F$7:$F$16,MATCH(F165,'PRICING'!$A$7:$A$16,0))/60),2)),""))</f>
        <v/>
      </c>
      <c r="R165" s="97">
        <f>IF(B165="","",IF(N(K165)&gt;0,K165,IF(N(J165)&gt;0,J165,N(Q165))))</f>
        <v/>
      </c>
      <c r="S165" s="55">
        <f>IF(L165="","",ROUND(L165*(1+N(M165)),2))</f>
        <v/>
      </c>
      <c r="T165" s="55">
        <f>IF(B165="","",SUMIFS('REVENUE'!$C$5:$C$1504,'REVENUE'!$B$5:$B$1504,A165))</f>
        <v/>
      </c>
      <c r="U165" s="55">
        <f>IF(B165="","",IF(O165="Completed",MAX(0,N(S165)-T165),""))</f>
        <v/>
      </c>
      <c r="V165" s="49">
        <f>IF(B165="","",IF(O165&lt;&gt;"Completed",IF(T165&gt;0,"Deposit","—"),IF(U165&lt;=0.005,"Paid",IF(T165&gt;0,"Partial","Unpaid"))))</f>
        <v/>
      </c>
      <c r="W165" s="55">
        <f>IF(B165="","",IFERROR(1/(1/INDEX('STAFF &amp; TASKS'!$C$5:$C$24,MATCH(H165,'STAFF &amp; TASKS'!$A$5:$A$24,0))),PayRate))</f>
        <v/>
      </c>
      <c r="X165" s="55">
        <f>IF(B165="","",IF(OR(O165="Cancelled",O165="No-Show"),"",ROUND(R165*W165*(1+Burden),2)))</f>
        <v/>
      </c>
      <c r="Y165" s="55">
        <f>IF(B165="","",IF(OR(O165="Cancelled",O165="No-Show"),"",IF(N165&lt;&gt;"",N165,ROUND(R165*SupHr*IFERROR(INDEX('PRICING'!$G$7:$G$16,MATCH(F165,'PRICING'!$A$7:$A$16,0)),1),2))))</f>
        <v/>
      </c>
      <c r="Z165" s="98">
        <f>IF(B165="","",SUMIFS('MILEAGE'!$J$5:$J$1504,'MILEAGE'!$B$5:$B$1504,A165))</f>
        <v/>
      </c>
      <c r="AA165" s="55">
        <f>IF(B165="","",ROUND(Z165*MileRate,2))</f>
        <v/>
      </c>
      <c r="AB165" s="55">
        <f>IF(B165="","",SUMIFS('REVENUE'!$J$5:$J$1504,'REVENUE'!$B$5:$B$1504,A165))</f>
        <v/>
      </c>
      <c r="AC165" s="55">
        <f>IF(L165="","",IF(OR(O165="Cancelled",O165="No-Show"),"",L165-N(X165)-N(Y165)-AA165-AB165))</f>
        <v/>
      </c>
      <c r="AD165" s="99">
        <f>IF(OR(AC165="",N(L165)=0),"",AC165/L165)</f>
        <v/>
      </c>
      <c r="AE165" s="55">
        <f>IF(OR(AC165="",N(R165)=0),"",L165/R165)</f>
        <v/>
      </c>
      <c r="AF165" s="100">
        <f>IF(OR(N(K165)=0,N(J165)+N(Q165)=0),"",K165-IF(N(J165)&gt;0,J165,Q165))</f>
        <v/>
      </c>
      <c r="AG165" s="99">
        <f>IF(B165="","",IFERROR(AVERAGEIFS('QUALITY CONTROL'!$M$5:$M$304,'QUALITY CONTROL'!$B$5:$B$304,A165),""))</f>
        <v/>
      </c>
      <c r="AH165" s="51">
        <f>IF(B165="","",DATE(YEAR(B165),MONTH(B165),1))</f>
        <v/>
      </c>
      <c r="AI165" s="49">
        <f>IF(D165="","",IFERROR(INDEX('CUSTOMERS'!$E$5:$E$404,MATCH(D165,'CUSTOMERS'!$B$5:$B$404,0)),""))</f>
        <v/>
      </c>
      <c r="AJ165" s="49">
        <f>IF(B165="","",N(C165))</f>
        <v/>
      </c>
      <c r="AK165" s="49">
        <f>IF(OR(B165="",O165="Cancelled",O165="Rescheduled"),"",B165&amp;"|"&amp;(COUNTIFS('JOBS'!$B$5:$B$1504,B165,'JOBS'!$AJ$5:$AJ$1504,"&lt;"&amp;AJ165,'JOBS'!$O$5:$O$1504,"&lt;&gt;Cancelled",'JOBS'!$O$5:$O$1504,"&lt;&gt;Rescheduled")+COUNTIFS($B$5:B165,B165,$AJ$5:AJ165,AJ165,$O$5:O165,"&lt;&gt;Cancelled",$O$5:O165,"&lt;&gt;Rescheduled")))</f>
        <v/>
      </c>
      <c r="AL165" s="49">
        <f>IF(N(U165)&lt;=0.005,"",COUNTIFS('JOBS'!$U$5:$U$1504,"&gt;0.005",'JOBS'!$B$5:$B$1504,"&lt;"&amp;B165)+COUNTIFS($U$5:U165,"&gt;0.005",$B$5:B165,B165))</f>
        <v/>
      </c>
    </row>
    <row r="166">
      <c r="A166" s="46" t="inlineStr">
        <is>
          <t>J-0162</t>
        </is>
      </c>
      <c r="B166" s="47" t="n">
        <v>46190</v>
      </c>
      <c r="C166" s="94" t="n">
        <v>0.375</v>
      </c>
      <c r="D166" s="38" t="inlineStr">
        <is>
          <t>Emerson Holloway</t>
        </is>
      </c>
      <c r="E166" s="38" t="inlineStr">
        <is>
          <t>192 Birch Lane, North Sampletown</t>
        </is>
      </c>
      <c r="F166" s="38" t="inlineStr">
        <is>
          <t>Airbnb Turnover</t>
        </is>
      </c>
      <c r="G166" s="38" t="n"/>
      <c r="H166" s="38" t="inlineStr">
        <is>
          <t>Kevin Osei</t>
        </is>
      </c>
      <c r="I166" s="57" t="n">
        <v>1</v>
      </c>
      <c r="J166" s="95" t="n"/>
      <c r="K166" s="95" t="n">
        <v>2.06</v>
      </c>
      <c r="L166" s="48" t="n">
        <v>150</v>
      </c>
      <c r="M166" s="96" t="n">
        <v>0</v>
      </c>
      <c r="N166" s="48" t="n"/>
      <c r="O166" s="38" t="inlineStr">
        <is>
          <t>Completed</t>
        </is>
      </c>
      <c r="P166" s="38" t="inlineStr">
        <is>
          <t>Includes laundry</t>
        </is>
      </c>
      <c r="Q166" s="97">
        <f>IF(OR(F166="",E166=""),"",IFERROR(IF(INDEX('PROPERTIES'!$F$5:$F$404,MATCH(E166,'PROPERTIES'!$B$5:$B$404,0))=0,"",ROUND((INDEX('PROPERTIES'!$F$5:$F$404,MATCH(E166,'PROPERTIES'!$B$5:$B$404,0))/INDEX('PRICING'!$C$7:$C$16,MATCH(F166,'PRICING'!$A$7:$A$16,0))+INDEX('PROPERTIES'!$G$5:$G$404,MATCH(E166,'PROPERTIES'!$B$5:$B$404,0))*INDEX('PRICING'!$D$7:$D$16,MATCH(F166,'PRICING'!$A$7:$A$16,0))/60+INDEX('PROPERTIES'!$H$5:$H$404,MATCH(E166,'PROPERTIES'!$B$5:$B$404,0))*INDEX('PRICING'!$E$7:$E$16,MATCH(F166,'PRICING'!$A$7:$A$16,0))/60+INDEX('PRICING'!$F$7:$F$16,MATCH(F166,'PRICING'!$A$7:$A$16,0))/60),2)),""))</f>
        <v/>
      </c>
      <c r="R166" s="97">
        <f>IF(B166="","",IF(N(K166)&gt;0,K166,IF(N(J166)&gt;0,J166,N(Q166))))</f>
        <v/>
      </c>
      <c r="S166" s="55">
        <f>IF(L166="","",ROUND(L166*(1+N(M166)),2))</f>
        <v/>
      </c>
      <c r="T166" s="55">
        <f>IF(B166="","",SUMIFS('REVENUE'!$C$5:$C$1504,'REVENUE'!$B$5:$B$1504,A166))</f>
        <v/>
      </c>
      <c r="U166" s="55">
        <f>IF(B166="","",IF(O166="Completed",MAX(0,N(S166)-T166),""))</f>
        <v/>
      </c>
      <c r="V166" s="49">
        <f>IF(B166="","",IF(O166&lt;&gt;"Completed",IF(T166&gt;0,"Deposit","—"),IF(U166&lt;=0.005,"Paid",IF(T166&gt;0,"Partial","Unpaid"))))</f>
        <v/>
      </c>
      <c r="W166" s="55">
        <f>IF(B166="","",IFERROR(1/(1/INDEX('STAFF &amp; TASKS'!$C$5:$C$24,MATCH(H166,'STAFF &amp; TASKS'!$A$5:$A$24,0))),PayRate))</f>
        <v/>
      </c>
      <c r="X166" s="55">
        <f>IF(B166="","",IF(OR(O166="Cancelled",O166="No-Show"),"",ROUND(R166*W166*(1+Burden),2)))</f>
        <v/>
      </c>
      <c r="Y166" s="55">
        <f>IF(B166="","",IF(OR(O166="Cancelled",O166="No-Show"),"",IF(N166&lt;&gt;"",N166,ROUND(R166*SupHr*IFERROR(INDEX('PRICING'!$G$7:$G$16,MATCH(F166,'PRICING'!$A$7:$A$16,0)),1),2))))</f>
        <v/>
      </c>
      <c r="Z166" s="98">
        <f>IF(B166="","",SUMIFS('MILEAGE'!$J$5:$J$1504,'MILEAGE'!$B$5:$B$1504,A166))</f>
        <v/>
      </c>
      <c r="AA166" s="55">
        <f>IF(B166="","",ROUND(Z166*MileRate,2))</f>
        <v/>
      </c>
      <c r="AB166" s="55">
        <f>IF(B166="","",SUMIFS('REVENUE'!$J$5:$J$1504,'REVENUE'!$B$5:$B$1504,A166))</f>
        <v/>
      </c>
      <c r="AC166" s="55">
        <f>IF(L166="","",IF(OR(O166="Cancelled",O166="No-Show"),"",L166-N(X166)-N(Y166)-AA166-AB166))</f>
        <v/>
      </c>
      <c r="AD166" s="99">
        <f>IF(OR(AC166="",N(L166)=0),"",AC166/L166)</f>
        <v/>
      </c>
      <c r="AE166" s="55">
        <f>IF(OR(AC166="",N(R166)=0),"",L166/R166)</f>
        <v/>
      </c>
      <c r="AF166" s="100">
        <f>IF(OR(N(K166)=0,N(J166)+N(Q166)=0),"",K166-IF(N(J166)&gt;0,J166,Q166))</f>
        <v/>
      </c>
      <c r="AG166" s="99">
        <f>IF(B166="","",IFERROR(AVERAGEIFS('QUALITY CONTROL'!$M$5:$M$304,'QUALITY CONTROL'!$B$5:$B$304,A166),""))</f>
        <v/>
      </c>
      <c r="AH166" s="51">
        <f>IF(B166="","",DATE(YEAR(B166),MONTH(B166),1))</f>
        <v/>
      </c>
      <c r="AI166" s="49">
        <f>IF(D166="","",IFERROR(INDEX('CUSTOMERS'!$E$5:$E$404,MATCH(D166,'CUSTOMERS'!$B$5:$B$404,0)),""))</f>
        <v/>
      </c>
      <c r="AJ166" s="49">
        <f>IF(B166="","",N(C166))</f>
        <v/>
      </c>
      <c r="AK166" s="49">
        <f>IF(OR(B166="",O166="Cancelled",O166="Rescheduled"),"",B166&amp;"|"&amp;(COUNTIFS('JOBS'!$B$5:$B$1504,B166,'JOBS'!$AJ$5:$AJ$1504,"&lt;"&amp;AJ166,'JOBS'!$O$5:$O$1504,"&lt;&gt;Cancelled",'JOBS'!$O$5:$O$1504,"&lt;&gt;Rescheduled")+COUNTIFS($B$5:B166,B166,$AJ$5:AJ166,AJ166,$O$5:O166,"&lt;&gt;Cancelled",$O$5:O166,"&lt;&gt;Rescheduled")))</f>
        <v/>
      </c>
      <c r="AL166" s="49">
        <f>IF(N(U166)&lt;=0.005,"",COUNTIFS('JOBS'!$U$5:$U$1504,"&gt;0.005",'JOBS'!$B$5:$B$1504,"&lt;"&amp;B166)+COUNTIFS($U$5:U166,"&gt;0.005",$B$5:B166,B166))</f>
        <v/>
      </c>
    </row>
    <row r="167">
      <c r="A167" s="46" t="inlineStr">
        <is>
          <t>J-0163</t>
        </is>
      </c>
      <c r="B167" s="47" t="n">
        <v>46190</v>
      </c>
      <c r="C167" s="94" t="n">
        <v>0.4166666666666667</v>
      </c>
      <c r="D167" s="38" t="inlineStr">
        <is>
          <t>Parker Pembrook</t>
        </is>
      </c>
      <c r="E167" s="38" t="inlineStr">
        <is>
          <t>348 Hazel Court, Lakeview (fictional)</t>
        </is>
      </c>
      <c r="F167" s="38" t="inlineStr">
        <is>
          <t>Standard Clean</t>
        </is>
      </c>
      <c r="G167" s="38" t="n"/>
      <c r="H167" s="38" t="inlineStr">
        <is>
          <t>Kevin Osei</t>
        </is>
      </c>
      <c r="I167" s="57" t="n">
        <v>1</v>
      </c>
      <c r="J167" s="95" t="n"/>
      <c r="K167" s="95" t="n">
        <v>2.21</v>
      </c>
      <c r="L167" s="48" t="n">
        <v>120</v>
      </c>
      <c r="M167" s="96" t="n">
        <v>0</v>
      </c>
      <c r="N167" s="48" t="n"/>
      <c r="O167" s="38" t="inlineStr">
        <is>
          <t>Completed</t>
        </is>
      </c>
      <c r="P167" s="38" t="inlineStr"/>
      <c r="Q167" s="97">
        <f>IF(OR(F167="",E167=""),"",IFERROR(IF(INDEX('PROPERTIES'!$F$5:$F$404,MATCH(E167,'PROPERTIES'!$B$5:$B$404,0))=0,"",ROUND((INDEX('PROPERTIES'!$F$5:$F$404,MATCH(E167,'PROPERTIES'!$B$5:$B$404,0))/INDEX('PRICING'!$C$7:$C$16,MATCH(F167,'PRICING'!$A$7:$A$16,0))+INDEX('PROPERTIES'!$G$5:$G$404,MATCH(E167,'PROPERTIES'!$B$5:$B$404,0))*INDEX('PRICING'!$D$7:$D$16,MATCH(F167,'PRICING'!$A$7:$A$16,0))/60+INDEX('PROPERTIES'!$H$5:$H$404,MATCH(E167,'PROPERTIES'!$B$5:$B$404,0))*INDEX('PRICING'!$E$7:$E$16,MATCH(F167,'PRICING'!$A$7:$A$16,0))/60+INDEX('PRICING'!$F$7:$F$16,MATCH(F167,'PRICING'!$A$7:$A$16,0))/60),2)),""))</f>
        <v/>
      </c>
      <c r="R167" s="97">
        <f>IF(B167="","",IF(N(K167)&gt;0,K167,IF(N(J167)&gt;0,J167,N(Q167))))</f>
        <v/>
      </c>
      <c r="S167" s="55">
        <f>IF(L167="","",ROUND(L167*(1+N(M167)),2))</f>
        <v/>
      </c>
      <c r="T167" s="55">
        <f>IF(B167="","",SUMIFS('REVENUE'!$C$5:$C$1504,'REVENUE'!$B$5:$B$1504,A167))</f>
        <v/>
      </c>
      <c r="U167" s="55">
        <f>IF(B167="","",IF(O167="Completed",MAX(0,N(S167)-T167),""))</f>
        <v/>
      </c>
      <c r="V167" s="49">
        <f>IF(B167="","",IF(O167&lt;&gt;"Completed",IF(T167&gt;0,"Deposit","—"),IF(U167&lt;=0.005,"Paid",IF(T167&gt;0,"Partial","Unpaid"))))</f>
        <v/>
      </c>
      <c r="W167" s="55">
        <f>IF(B167="","",IFERROR(1/(1/INDEX('STAFF &amp; TASKS'!$C$5:$C$24,MATCH(H167,'STAFF &amp; TASKS'!$A$5:$A$24,0))),PayRate))</f>
        <v/>
      </c>
      <c r="X167" s="55">
        <f>IF(B167="","",IF(OR(O167="Cancelled",O167="No-Show"),"",ROUND(R167*W167*(1+Burden),2)))</f>
        <v/>
      </c>
      <c r="Y167" s="55">
        <f>IF(B167="","",IF(OR(O167="Cancelled",O167="No-Show"),"",IF(N167&lt;&gt;"",N167,ROUND(R167*SupHr*IFERROR(INDEX('PRICING'!$G$7:$G$16,MATCH(F167,'PRICING'!$A$7:$A$16,0)),1),2))))</f>
        <v/>
      </c>
      <c r="Z167" s="98">
        <f>IF(B167="","",SUMIFS('MILEAGE'!$J$5:$J$1504,'MILEAGE'!$B$5:$B$1504,A167))</f>
        <v/>
      </c>
      <c r="AA167" s="55">
        <f>IF(B167="","",ROUND(Z167*MileRate,2))</f>
        <v/>
      </c>
      <c r="AB167" s="55">
        <f>IF(B167="","",SUMIFS('REVENUE'!$J$5:$J$1504,'REVENUE'!$B$5:$B$1504,A167))</f>
        <v/>
      </c>
      <c r="AC167" s="55">
        <f>IF(L167="","",IF(OR(O167="Cancelled",O167="No-Show"),"",L167-N(X167)-N(Y167)-AA167-AB167))</f>
        <v/>
      </c>
      <c r="AD167" s="99">
        <f>IF(OR(AC167="",N(L167)=0),"",AC167/L167)</f>
        <v/>
      </c>
      <c r="AE167" s="55">
        <f>IF(OR(AC167="",N(R167)=0),"",L167/R167)</f>
        <v/>
      </c>
      <c r="AF167" s="100">
        <f>IF(OR(N(K167)=0,N(J167)+N(Q167)=0),"",K167-IF(N(J167)&gt;0,J167,Q167))</f>
        <v/>
      </c>
      <c r="AG167" s="99">
        <f>IF(B167="","",IFERROR(AVERAGEIFS('QUALITY CONTROL'!$M$5:$M$304,'QUALITY CONTROL'!$B$5:$B$304,A167),""))</f>
        <v/>
      </c>
      <c r="AH167" s="51">
        <f>IF(B167="","",DATE(YEAR(B167),MONTH(B167),1))</f>
        <v/>
      </c>
      <c r="AI167" s="49">
        <f>IF(D167="","",IFERROR(INDEX('CUSTOMERS'!$E$5:$E$404,MATCH(D167,'CUSTOMERS'!$B$5:$B$404,0)),""))</f>
        <v/>
      </c>
      <c r="AJ167" s="49">
        <f>IF(B167="","",N(C167))</f>
        <v/>
      </c>
      <c r="AK167" s="49">
        <f>IF(OR(B167="",O167="Cancelled",O167="Rescheduled"),"",B167&amp;"|"&amp;(COUNTIFS('JOBS'!$B$5:$B$1504,B167,'JOBS'!$AJ$5:$AJ$1504,"&lt;"&amp;AJ167,'JOBS'!$O$5:$O$1504,"&lt;&gt;Cancelled",'JOBS'!$O$5:$O$1504,"&lt;&gt;Rescheduled")+COUNTIFS($B$5:B167,B167,$AJ$5:AJ167,AJ167,$O$5:O167,"&lt;&gt;Cancelled",$O$5:O167,"&lt;&gt;Rescheduled")))</f>
        <v/>
      </c>
      <c r="AL167" s="49">
        <f>IF(N(U167)&lt;=0.005,"",COUNTIFS('JOBS'!$U$5:$U$1504,"&gt;0.005",'JOBS'!$B$5:$B$1504,"&lt;"&amp;B167)+COUNTIFS($U$5:U167,"&gt;0.005",$B$5:B167,B167))</f>
        <v/>
      </c>
    </row>
    <row r="168">
      <c r="A168" s="46" t="inlineStr">
        <is>
          <t>J-0164</t>
        </is>
      </c>
      <c r="B168" s="47" t="n">
        <v>46191</v>
      </c>
      <c r="C168" s="94" t="n">
        <v>0.3541666666666667</v>
      </c>
      <c r="D168" s="38" t="inlineStr">
        <is>
          <t>Dana Ivers</t>
        </is>
      </c>
      <c r="E168" s="38" t="inlineStr">
        <is>
          <t>129 Elm Terrace, North Sampletown</t>
        </is>
      </c>
      <c r="F168" s="38" t="inlineStr">
        <is>
          <t>Standard Clean</t>
        </is>
      </c>
      <c r="G168" s="38" t="inlineStr">
        <is>
          <t>R-008</t>
        </is>
      </c>
      <c r="H168" s="38" t="inlineStr">
        <is>
          <t>Dana Whitfield</t>
        </is>
      </c>
      <c r="I168" s="57" t="n">
        <v>1</v>
      </c>
      <c r="J168" s="95" t="n"/>
      <c r="K168" s="95" t="n">
        <v>5.88</v>
      </c>
      <c r="L168" s="48" t="n">
        <v>255</v>
      </c>
      <c r="M168" s="96" t="n">
        <v>0</v>
      </c>
      <c r="N168" s="48" t="n"/>
      <c r="O168" s="38" t="inlineStr">
        <is>
          <t>Completed</t>
        </is>
      </c>
      <c r="P168" s="38" t="inlineStr"/>
      <c r="Q168" s="97">
        <f>IF(OR(F168="",E168=""),"",IFERROR(IF(INDEX('PROPERTIES'!$F$5:$F$404,MATCH(E168,'PROPERTIES'!$B$5:$B$404,0))=0,"",ROUND((INDEX('PROPERTIES'!$F$5:$F$404,MATCH(E168,'PROPERTIES'!$B$5:$B$404,0))/INDEX('PRICING'!$C$7:$C$16,MATCH(F168,'PRICING'!$A$7:$A$16,0))+INDEX('PROPERTIES'!$G$5:$G$404,MATCH(E168,'PROPERTIES'!$B$5:$B$404,0))*INDEX('PRICING'!$D$7:$D$16,MATCH(F168,'PRICING'!$A$7:$A$16,0))/60+INDEX('PROPERTIES'!$H$5:$H$404,MATCH(E168,'PROPERTIES'!$B$5:$B$404,0))*INDEX('PRICING'!$E$7:$E$16,MATCH(F168,'PRICING'!$A$7:$A$16,0))/60+INDEX('PRICING'!$F$7:$F$16,MATCH(F168,'PRICING'!$A$7:$A$16,0))/60),2)),""))</f>
        <v/>
      </c>
      <c r="R168" s="97">
        <f>IF(B168="","",IF(N(K168)&gt;0,K168,IF(N(J168)&gt;0,J168,N(Q168))))</f>
        <v/>
      </c>
      <c r="S168" s="55">
        <f>IF(L168="","",ROUND(L168*(1+N(M168)),2))</f>
        <v/>
      </c>
      <c r="T168" s="55">
        <f>IF(B168="","",SUMIFS('REVENUE'!$C$5:$C$1504,'REVENUE'!$B$5:$B$1504,A168))</f>
        <v/>
      </c>
      <c r="U168" s="55">
        <f>IF(B168="","",IF(O168="Completed",MAX(0,N(S168)-T168),""))</f>
        <v/>
      </c>
      <c r="V168" s="49">
        <f>IF(B168="","",IF(O168&lt;&gt;"Completed",IF(T168&gt;0,"Deposit","—"),IF(U168&lt;=0.005,"Paid",IF(T168&gt;0,"Partial","Unpaid"))))</f>
        <v/>
      </c>
      <c r="W168" s="55">
        <f>IF(B168="","",IFERROR(1/(1/INDEX('STAFF &amp; TASKS'!$C$5:$C$24,MATCH(H168,'STAFF &amp; TASKS'!$A$5:$A$24,0))),PayRate))</f>
        <v/>
      </c>
      <c r="X168" s="55">
        <f>IF(B168="","",IF(OR(O168="Cancelled",O168="No-Show"),"",ROUND(R168*W168*(1+Burden),2)))</f>
        <v/>
      </c>
      <c r="Y168" s="55">
        <f>IF(B168="","",IF(OR(O168="Cancelled",O168="No-Show"),"",IF(N168&lt;&gt;"",N168,ROUND(R168*SupHr*IFERROR(INDEX('PRICING'!$G$7:$G$16,MATCH(F168,'PRICING'!$A$7:$A$16,0)),1),2))))</f>
        <v/>
      </c>
      <c r="Z168" s="98">
        <f>IF(B168="","",SUMIFS('MILEAGE'!$J$5:$J$1504,'MILEAGE'!$B$5:$B$1504,A168))</f>
        <v/>
      </c>
      <c r="AA168" s="55">
        <f>IF(B168="","",ROUND(Z168*MileRate,2))</f>
        <v/>
      </c>
      <c r="AB168" s="55">
        <f>IF(B168="","",SUMIFS('REVENUE'!$J$5:$J$1504,'REVENUE'!$B$5:$B$1504,A168))</f>
        <v/>
      </c>
      <c r="AC168" s="55">
        <f>IF(L168="","",IF(OR(O168="Cancelled",O168="No-Show"),"",L168-N(X168)-N(Y168)-AA168-AB168))</f>
        <v/>
      </c>
      <c r="AD168" s="99">
        <f>IF(OR(AC168="",N(L168)=0),"",AC168/L168)</f>
        <v/>
      </c>
      <c r="AE168" s="55">
        <f>IF(OR(AC168="",N(R168)=0),"",L168/R168)</f>
        <v/>
      </c>
      <c r="AF168" s="100">
        <f>IF(OR(N(K168)=0,N(J168)+N(Q168)=0),"",K168-IF(N(J168)&gt;0,J168,Q168))</f>
        <v/>
      </c>
      <c r="AG168" s="99">
        <f>IF(B168="","",IFERROR(AVERAGEIFS('QUALITY CONTROL'!$M$5:$M$304,'QUALITY CONTROL'!$B$5:$B$304,A168),""))</f>
        <v/>
      </c>
      <c r="AH168" s="51">
        <f>IF(B168="","",DATE(YEAR(B168),MONTH(B168),1))</f>
        <v/>
      </c>
      <c r="AI168" s="49">
        <f>IF(D168="","",IFERROR(INDEX('CUSTOMERS'!$E$5:$E$404,MATCH(D168,'CUSTOMERS'!$B$5:$B$404,0)),""))</f>
        <v/>
      </c>
      <c r="AJ168" s="49">
        <f>IF(B168="","",N(C168))</f>
        <v/>
      </c>
      <c r="AK168" s="49">
        <f>IF(OR(B168="",O168="Cancelled",O168="Rescheduled"),"",B168&amp;"|"&amp;(COUNTIFS('JOBS'!$B$5:$B$1504,B168,'JOBS'!$AJ$5:$AJ$1504,"&lt;"&amp;AJ168,'JOBS'!$O$5:$O$1504,"&lt;&gt;Cancelled",'JOBS'!$O$5:$O$1504,"&lt;&gt;Rescheduled")+COUNTIFS($B$5:B168,B168,$AJ$5:AJ168,AJ168,$O$5:O168,"&lt;&gt;Cancelled",$O$5:O168,"&lt;&gt;Rescheduled")))</f>
        <v/>
      </c>
      <c r="AL168" s="49">
        <f>IF(N(U168)&lt;=0.005,"",COUNTIFS('JOBS'!$U$5:$U$1504,"&gt;0.005",'JOBS'!$B$5:$B$1504,"&lt;"&amp;B168)+COUNTIFS($U$5:U168,"&gt;0.005",$B$5:B168,B168))</f>
        <v/>
      </c>
    </row>
    <row r="169">
      <c r="A169" s="46" t="inlineStr">
        <is>
          <t>J-0165</t>
        </is>
      </c>
      <c r="B169" s="47" t="n">
        <v>46192</v>
      </c>
      <c r="C169" s="94" t="n">
        <v>0.4791666666666667</v>
      </c>
      <c r="D169" s="38" t="inlineStr">
        <is>
          <t>Oakview Office Suites (sample)</t>
        </is>
      </c>
      <c r="E169" s="38" t="inlineStr">
        <is>
          <t>957 Hawthorn Road, North Sampletown</t>
        </is>
      </c>
      <c r="F169" s="38" t="inlineStr">
        <is>
          <t>Commercial Clean</t>
        </is>
      </c>
      <c r="G169" s="38" t="inlineStr">
        <is>
          <t>R-012</t>
        </is>
      </c>
      <c r="H169" s="38" t="inlineStr">
        <is>
          <t>Kevin Osei</t>
        </is>
      </c>
      <c r="I169" s="57" t="n">
        <v>2</v>
      </c>
      <c r="J169" s="95" t="n"/>
      <c r="K169" s="95" t="n">
        <v>3.22</v>
      </c>
      <c r="L169" s="48" t="n">
        <v>140</v>
      </c>
      <c r="M169" s="96" t="n">
        <v>0</v>
      </c>
      <c r="N169" s="48" t="n"/>
      <c r="O169" s="38" t="inlineStr">
        <is>
          <t>Completed</t>
        </is>
      </c>
      <c r="P169" s="38" t="inlineStr"/>
      <c r="Q169" s="97">
        <f>IF(OR(F169="",E169=""),"",IFERROR(IF(INDEX('PROPERTIES'!$F$5:$F$404,MATCH(E169,'PROPERTIES'!$B$5:$B$404,0))=0,"",ROUND((INDEX('PROPERTIES'!$F$5:$F$404,MATCH(E169,'PROPERTIES'!$B$5:$B$404,0))/INDEX('PRICING'!$C$7:$C$16,MATCH(F169,'PRICING'!$A$7:$A$16,0))+INDEX('PROPERTIES'!$G$5:$G$404,MATCH(E169,'PROPERTIES'!$B$5:$B$404,0))*INDEX('PRICING'!$D$7:$D$16,MATCH(F169,'PRICING'!$A$7:$A$16,0))/60+INDEX('PROPERTIES'!$H$5:$H$404,MATCH(E169,'PROPERTIES'!$B$5:$B$404,0))*INDEX('PRICING'!$E$7:$E$16,MATCH(F169,'PRICING'!$A$7:$A$16,0))/60+INDEX('PRICING'!$F$7:$F$16,MATCH(F169,'PRICING'!$A$7:$A$16,0))/60),2)),""))</f>
        <v/>
      </c>
      <c r="R169" s="97">
        <f>IF(B169="","",IF(N(K169)&gt;0,K169,IF(N(J169)&gt;0,J169,N(Q169))))</f>
        <v/>
      </c>
      <c r="S169" s="55">
        <f>IF(L169="","",ROUND(L169*(1+N(M169)),2))</f>
        <v/>
      </c>
      <c r="T169" s="55">
        <f>IF(B169="","",SUMIFS('REVENUE'!$C$5:$C$1504,'REVENUE'!$B$5:$B$1504,A169))</f>
        <v/>
      </c>
      <c r="U169" s="55">
        <f>IF(B169="","",IF(O169="Completed",MAX(0,N(S169)-T169),""))</f>
        <v/>
      </c>
      <c r="V169" s="49">
        <f>IF(B169="","",IF(O169&lt;&gt;"Completed",IF(T169&gt;0,"Deposit","—"),IF(U169&lt;=0.005,"Paid",IF(T169&gt;0,"Partial","Unpaid"))))</f>
        <v/>
      </c>
      <c r="W169" s="55">
        <f>IF(B169="","",IFERROR(1/(1/INDEX('STAFF &amp; TASKS'!$C$5:$C$24,MATCH(H169,'STAFF &amp; TASKS'!$A$5:$A$24,0))),PayRate))</f>
        <v/>
      </c>
      <c r="X169" s="55">
        <f>IF(B169="","",IF(OR(O169="Cancelled",O169="No-Show"),"",ROUND(R169*W169*(1+Burden),2)))</f>
        <v/>
      </c>
      <c r="Y169" s="55">
        <f>IF(B169="","",IF(OR(O169="Cancelled",O169="No-Show"),"",IF(N169&lt;&gt;"",N169,ROUND(R169*SupHr*IFERROR(INDEX('PRICING'!$G$7:$G$16,MATCH(F169,'PRICING'!$A$7:$A$16,0)),1),2))))</f>
        <v/>
      </c>
      <c r="Z169" s="98">
        <f>IF(B169="","",SUMIFS('MILEAGE'!$J$5:$J$1504,'MILEAGE'!$B$5:$B$1504,A169))</f>
        <v/>
      </c>
      <c r="AA169" s="55">
        <f>IF(B169="","",ROUND(Z169*MileRate,2))</f>
        <v/>
      </c>
      <c r="AB169" s="55">
        <f>IF(B169="","",SUMIFS('REVENUE'!$J$5:$J$1504,'REVENUE'!$B$5:$B$1504,A169))</f>
        <v/>
      </c>
      <c r="AC169" s="55">
        <f>IF(L169="","",IF(OR(O169="Cancelled",O169="No-Show"),"",L169-N(X169)-N(Y169)-AA169-AB169))</f>
        <v/>
      </c>
      <c r="AD169" s="99">
        <f>IF(OR(AC169="",N(L169)=0),"",AC169/L169)</f>
        <v/>
      </c>
      <c r="AE169" s="55">
        <f>IF(OR(AC169="",N(R169)=0),"",L169/R169)</f>
        <v/>
      </c>
      <c r="AF169" s="100">
        <f>IF(OR(N(K169)=0,N(J169)+N(Q169)=0),"",K169-IF(N(J169)&gt;0,J169,Q169))</f>
        <v/>
      </c>
      <c r="AG169" s="99">
        <f>IF(B169="","",IFERROR(AVERAGEIFS('QUALITY CONTROL'!$M$5:$M$304,'QUALITY CONTROL'!$B$5:$B$304,A169),""))</f>
        <v/>
      </c>
      <c r="AH169" s="51">
        <f>IF(B169="","",DATE(YEAR(B169),MONTH(B169),1))</f>
        <v/>
      </c>
      <c r="AI169" s="49">
        <f>IF(D169="","",IFERROR(INDEX('CUSTOMERS'!$E$5:$E$404,MATCH(D169,'CUSTOMERS'!$B$5:$B$404,0)),""))</f>
        <v/>
      </c>
      <c r="AJ169" s="49">
        <f>IF(B169="","",N(C169))</f>
        <v/>
      </c>
      <c r="AK169" s="49">
        <f>IF(OR(B169="",O169="Cancelled",O169="Rescheduled"),"",B169&amp;"|"&amp;(COUNTIFS('JOBS'!$B$5:$B$1504,B169,'JOBS'!$AJ$5:$AJ$1504,"&lt;"&amp;AJ169,'JOBS'!$O$5:$O$1504,"&lt;&gt;Cancelled",'JOBS'!$O$5:$O$1504,"&lt;&gt;Rescheduled")+COUNTIFS($B$5:B169,B169,$AJ$5:AJ169,AJ169,$O$5:O169,"&lt;&gt;Cancelled",$O$5:O169,"&lt;&gt;Rescheduled")))</f>
        <v/>
      </c>
      <c r="AL169" s="49">
        <f>IF(N(U169)&lt;=0.005,"",COUNTIFS('JOBS'!$U$5:$U$1504,"&gt;0.005",'JOBS'!$B$5:$B$1504,"&lt;"&amp;B169)+COUNTIFS($U$5:U169,"&gt;0.005",$B$5:B169,B169))</f>
        <v/>
      </c>
    </row>
    <row r="170">
      <c r="A170" s="46" t="inlineStr">
        <is>
          <t>J-0166</t>
        </is>
      </c>
      <c r="B170" s="47" t="n">
        <v>46192</v>
      </c>
      <c r="C170" s="94" t="n">
        <v>0.5208333333333334</v>
      </c>
      <c r="D170" s="38" t="inlineStr">
        <is>
          <t>Brightside Dental Studio (sample)</t>
        </is>
      </c>
      <c r="E170" s="38" t="inlineStr">
        <is>
          <t>738 Cedar Court, North Sampletown</t>
        </is>
      </c>
      <c r="F170" s="38" t="inlineStr">
        <is>
          <t>Commercial Clean</t>
        </is>
      </c>
      <c r="G170" s="38" t="inlineStr">
        <is>
          <t>R-011</t>
        </is>
      </c>
      <c r="H170" s="38" t="inlineStr">
        <is>
          <t>Kevin Osei</t>
        </is>
      </c>
      <c r="I170" s="57" t="n">
        <v>2</v>
      </c>
      <c r="J170" s="95" t="n"/>
      <c r="K170" s="95" t="n">
        <v>1.73</v>
      </c>
      <c r="L170" s="48" t="n">
        <v>100</v>
      </c>
      <c r="M170" s="96" t="n">
        <v>0</v>
      </c>
      <c r="N170" s="48" t="n"/>
      <c r="O170" s="38" t="inlineStr">
        <is>
          <t>Completed</t>
        </is>
      </c>
      <c r="P170" s="38" t="inlineStr"/>
      <c r="Q170" s="97">
        <f>IF(OR(F170="",E170=""),"",IFERROR(IF(INDEX('PROPERTIES'!$F$5:$F$404,MATCH(E170,'PROPERTIES'!$B$5:$B$404,0))=0,"",ROUND((INDEX('PROPERTIES'!$F$5:$F$404,MATCH(E170,'PROPERTIES'!$B$5:$B$404,0))/INDEX('PRICING'!$C$7:$C$16,MATCH(F170,'PRICING'!$A$7:$A$16,0))+INDEX('PROPERTIES'!$G$5:$G$404,MATCH(E170,'PROPERTIES'!$B$5:$B$404,0))*INDEX('PRICING'!$D$7:$D$16,MATCH(F170,'PRICING'!$A$7:$A$16,0))/60+INDEX('PROPERTIES'!$H$5:$H$404,MATCH(E170,'PROPERTIES'!$B$5:$B$404,0))*INDEX('PRICING'!$E$7:$E$16,MATCH(F170,'PRICING'!$A$7:$A$16,0))/60+INDEX('PRICING'!$F$7:$F$16,MATCH(F170,'PRICING'!$A$7:$A$16,0))/60),2)),""))</f>
        <v/>
      </c>
      <c r="R170" s="97">
        <f>IF(B170="","",IF(N(K170)&gt;0,K170,IF(N(J170)&gt;0,J170,N(Q170))))</f>
        <v/>
      </c>
      <c r="S170" s="55">
        <f>IF(L170="","",ROUND(L170*(1+N(M170)),2))</f>
        <v/>
      </c>
      <c r="T170" s="55">
        <f>IF(B170="","",SUMIFS('REVENUE'!$C$5:$C$1504,'REVENUE'!$B$5:$B$1504,A170))</f>
        <v/>
      </c>
      <c r="U170" s="55">
        <f>IF(B170="","",IF(O170="Completed",MAX(0,N(S170)-T170),""))</f>
        <v/>
      </c>
      <c r="V170" s="49">
        <f>IF(B170="","",IF(O170&lt;&gt;"Completed",IF(T170&gt;0,"Deposit","—"),IF(U170&lt;=0.005,"Paid",IF(T170&gt;0,"Partial","Unpaid"))))</f>
        <v/>
      </c>
      <c r="W170" s="55">
        <f>IF(B170="","",IFERROR(1/(1/INDEX('STAFF &amp; TASKS'!$C$5:$C$24,MATCH(H170,'STAFF &amp; TASKS'!$A$5:$A$24,0))),PayRate))</f>
        <v/>
      </c>
      <c r="X170" s="55">
        <f>IF(B170="","",IF(OR(O170="Cancelled",O170="No-Show"),"",ROUND(R170*W170*(1+Burden),2)))</f>
        <v/>
      </c>
      <c r="Y170" s="55">
        <f>IF(B170="","",IF(OR(O170="Cancelled",O170="No-Show"),"",IF(N170&lt;&gt;"",N170,ROUND(R170*SupHr*IFERROR(INDEX('PRICING'!$G$7:$G$16,MATCH(F170,'PRICING'!$A$7:$A$16,0)),1),2))))</f>
        <v/>
      </c>
      <c r="Z170" s="98">
        <f>IF(B170="","",SUMIFS('MILEAGE'!$J$5:$J$1504,'MILEAGE'!$B$5:$B$1504,A170))</f>
        <v/>
      </c>
      <c r="AA170" s="55">
        <f>IF(B170="","",ROUND(Z170*MileRate,2))</f>
        <v/>
      </c>
      <c r="AB170" s="55">
        <f>IF(B170="","",SUMIFS('REVENUE'!$J$5:$J$1504,'REVENUE'!$B$5:$B$1504,A170))</f>
        <v/>
      </c>
      <c r="AC170" s="55">
        <f>IF(L170="","",IF(OR(O170="Cancelled",O170="No-Show"),"",L170-N(X170)-N(Y170)-AA170-AB170))</f>
        <v/>
      </c>
      <c r="AD170" s="99">
        <f>IF(OR(AC170="",N(L170)=0),"",AC170/L170)</f>
        <v/>
      </c>
      <c r="AE170" s="55">
        <f>IF(OR(AC170="",N(R170)=0),"",L170/R170)</f>
        <v/>
      </c>
      <c r="AF170" s="100">
        <f>IF(OR(N(K170)=0,N(J170)+N(Q170)=0),"",K170-IF(N(J170)&gt;0,J170,Q170))</f>
        <v/>
      </c>
      <c r="AG170" s="99">
        <f>IF(B170="","",IFERROR(AVERAGEIFS('QUALITY CONTROL'!$M$5:$M$304,'QUALITY CONTROL'!$B$5:$B$304,A170),""))</f>
        <v/>
      </c>
      <c r="AH170" s="51">
        <f>IF(B170="","",DATE(YEAR(B170),MONTH(B170),1))</f>
        <v/>
      </c>
      <c r="AI170" s="49">
        <f>IF(D170="","",IFERROR(INDEX('CUSTOMERS'!$E$5:$E$404,MATCH(D170,'CUSTOMERS'!$B$5:$B$404,0)),""))</f>
        <v/>
      </c>
      <c r="AJ170" s="49">
        <f>IF(B170="","",N(C170))</f>
        <v/>
      </c>
      <c r="AK170" s="49">
        <f>IF(OR(B170="",O170="Cancelled",O170="Rescheduled"),"",B170&amp;"|"&amp;(COUNTIFS('JOBS'!$B$5:$B$1504,B170,'JOBS'!$AJ$5:$AJ$1504,"&lt;"&amp;AJ170,'JOBS'!$O$5:$O$1504,"&lt;&gt;Cancelled",'JOBS'!$O$5:$O$1504,"&lt;&gt;Rescheduled")+COUNTIFS($B$5:B170,B170,$AJ$5:AJ170,AJ170,$O$5:O170,"&lt;&gt;Cancelled",$O$5:O170,"&lt;&gt;Rescheduled")))</f>
        <v/>
      </c>
      <c r="AL170" s="49">
        <f>IF(N(U170)&lt;=0.005,"",COUNTIFS('JOBS'!$U$5:$U$1504,"&gt;0.005",'JOBS'!$B$5:$B$1504,"&lt;"&amp;B170)+COUNTIFS($U$5:U170,"&gt;0.005",$B$5:B170,B170))</f>
        <v/>
      </c>
    </row>
    <row r="171">
      <c r="A171" s="46" t="inlineStr">
        <is>
          <t>J-0167</t>
        </is>
      </c>
      <c r="B171" s="47" t="n">
        <v>46192</v>
      </c>
      <c r="C171" s="94" t="n">
        <v>0.5833333333333334</v>
      </c>
      <c r="D171" s="38" t="inlineStr">
        <is>
          <t>Dana Oakes</t>
        </is>
      </c>
      <c r="E171" s="38" t="inlineStr">
        <is>
          <t>666 Juniper Street, North Sampletown</t>
        </is>
      </c>
      <c r="F171" s="38" t="inlineStr">
        <is>
          <t>Airbnb Turnover</t>
        </is>
      </c>
      <c r="G171" s="38" t="n"/>
      <c r="H171" s="38" t="inlineStr">
        <is>
          <t>Kevin Osei</t>
        </is>
      </c>
      <c r="I171" s="57" t="n">
        <v>1</v>
      </c>
      <c r="J171" s="95" t="n"/>
      <c r="K171" s="95" t="n">
        <v>1.59</v>
      </c>
      <c r="L171" s="48" t="n">
        <v>135</v>
      </c>
      <c r="M171" s="96" t="n">
        <v>0</v>
      </c>
      <c r="N171" s="48" t="n"/>
      <c r="O171" s="38" t="inlineStr">
        <is>
          <t>Completed</t>
        </is>
      </c>
      <c r="P171" s="38" t="inlineStr">
        <is>
          <t>Includes laundry</t>
        </is>
      </c>
      <c r="Q171" s="97">
        <f>IF(OR(F171="",E171=""),"",IFERROR(IF(INDEX('PROPERTIES'!$F$5:$F$404,MATCH(E171,'PROPERTIES'!$B$5:$B$404,0))=0,"",ROUND((INDEX('PROPERTIES'!$F$5:$F$404,MATCH(E171,'PROPERTIES'!$B$5:$B$404,0))/INDEX('PRICING'!$C$7:$C$16,MATCH(F171,'PRICING'!$A$7:$A$16,0))+INDEX('PROPERTIES'!$G$5:$G$404,MATCH(E171,'PROPERTIES'!$B$5:$B$404,0))*INDEX('PRICING'!$D$7:$D$16,MATCH(F171,'PRICING'!$A$7:$A$16,0))/60+INDEX('PROPERTIES'!$H$5:$H$404,MATCH(E171,'PROPERTIES'!$B$5:$B$404,0))*INDEX('PRICING'!$E$7:$E$16,MATCH(F171,'PRICING'!$A$7:$A$16,0))/60+INDEX('PRICING'!$F$7:$F$16,MATCH(F171,'PRICING'!$A$7:$A$16,0))/60),2)),""))</f>
        <v/>
      </c>
      <c r="R171" s="97">
        <f>IF(B171="","",IF(N(K171)&gt;0,K171,IF(N(J171)&gt;0,J171,N(Q171))))</f>
        <v/>
      </c>
      <c r="S171" s="55">
        <f>IF(L171="","",ROUND(L171*(1+N(M171)),2))</f>
        <v/>
      </c>
      <c r="T171" s="55">
        <f>IF(B171="","",SUMIFS('REVENUE'!$C$5:$C$1504,'REVENUE'!$B$5:$B$1504,A171))</f>
        <v/>
      </c>
      <c r="U171" s="55">
        <f>IF(B171="","",IF(O171="Completed",MAX(0,N(S171)-T171),""))</f>
        <v/>
      </c>
      <c r="V171" s="49">
        <f>IF(B171="","",IF(O171&lt;&gt;"Completed",IF(T171&gt;0,"Deposit","—"),IF(U171&lt;=0.005,"Paid",IF(T171&gt;0,"Partial","Unpaid"))))</f>
        <v/>
      </c>
      <c r="W171" s="55">
        <f>IF(B171="","",IFERROR(1/(1/INDEX('STAFF &amp; TASKS'!$C$5:$C$24,MATCH(H171,'STAFF &amp; TASKS'!$A$5:$A$24,0))),PayRate))</f>
        <v/>
      </c>
      <c r="X171" s="55">
        <f>IF(B171="","",IF(OR(O171="Cancelled",O171="No-Show"),"",ROUND(R171*W171*(1+Burden),2)))</f>
        <v/>
      </c>
      <c r="Y171" s="55">
        <f>IF(B171="","",IF(OR(O171="Cancelled",O171="No-Show"),"",IF(N171&lt;&gt;"",N171,ROUND(R171*SupHr*IFERROR(INDEX('PRICING'!$G$7:$G$16,MATCH(F171,'PRICING'!$A$7:$A$16,0)),1),2))))</f>
        <v/>
      </c>
      <c r="Z171" s="98">
        <f>IF(B171="","",SUMIFS('MILEAGE'!$J$5:$J$1504,'MILEAGE'!$B$5:$B$1504,A171))</f>
        <v/>
      </c>
      <c r="AA171" s="55">
        <f>IF(B171="","",ROUND(Z171*MileRate,2))</f>
        <v/>
      </c>
      <c r="AB171" s="55">
        <f>IF(B171="","",SUMIFS('REVENUE'!$J$5:$J$1504,'REVENUE'!$B$5:$B$1504,A171))</f>
        <v/>
      </c>
      <c r="AC171" s="55">
        <f>IF(L171="","",IF(OR(O171="Cancelled",O171="No-Show"),"",L171-N(X171)-N(Y171)-AA171-AB171))</f>
        <v/>
      </c>
      <c r="AD171" s="99">
        <f>IF(OR(AC171="",N(L171)=0),"",AC171/L171)</f>
        <v/>
      </c>
      <c r="AE171" s="55">
        <f>IF(OR(AC171="",N(R171)=0),"",L171/R171)</f>
        <v/>
      </c>
      <c r="AF171" s="100">
        <f>IF(OR(N(K171)=0,N(J171)+N(Q171)=0),"",K171-IF(N(J171)&gt;0,J171,Q171))</f>
        <v/>
      </c>
      <c r="AG171" s="99">
        <f>IF(B171="","",IFERROR(AVERAGEIFS('QUALITY CONTROL'!$M$5:$M$304,'QUALITY CONTROL'!$B$5:$B$304,A171),""))</f>
        <v/>
      </c>
      <c r="AH171" s="51">
        <f>IF(B171="","",DATE(YEAR(B171),MONTH(B171),1))</f>
        <v/>
      </c>
      <c r="AI171" s="49">
        <f>IF(D171="","",IFERROR(INDEX('CUSTOMERS'!$E$5:$E$404,MATCH(D171,'CUSTOMERS'!$B$5:$B$404,0)),""))</f>
        <v/>
      </c>
      <c r="AJ171" s="49">
        <f>IF(B171="","",N(C171))</f>
        <v/>
      </c>
      <c r="AK171" s="49">
        <f>IF(OR(B171="",O171="Cancelled",O171="Rescheduled"),"",B171&amp;"|"&amp;(COUNTIFS('JOBS'!$B$5:$B$1504,B171,'JOBS'!$AJ$5:$AJ$1504,"&lt;"&amp;AJ171,'JOBS'!$O$5:$O$1504,"&lt;&gt;Cancelled",'JOBS'!$O$5:$O$1504,"&lt;&gt;Rescheduled")+COUNTIFS($B$5:B171,B171,$AJ$5:AJ171,AJ171,$O$5:O171,"&lt;&gt;Cancelled",$O$5:O171,"&lt;&gt;Rescheduled")))</f>
        <v/>
      </c>
      <c r="AL171" s="49">
        <f>IF(N(U171)&lt;=0.005,"",COUNTIFS('JOBS'!$U$5:$U$1504,"&gt;0.005",'JOBS'!$B$5:$B$1504,"&lt;"&amp;B171)+COUNTIFS($U$5:U171,"&gt;0.005",$B$5:B171,B171))</f>
        <v/>
      </c>
    </row>
    <row r="172">
      <c r="A172" s="46" t="inlineStr">
        <is>
          <t>J-0168</t>
        </is>
      </c>
      <c r="B172" s="47" t="n">
        <v>46193</v>
      </c>
      <c r="C172" s="94" t="n">
        <v>0.4166666666666667</v>
      </c>
      <c r="D172" s="38" t="inlineStr">
        <is>
          <t>Finley Quigley</t>
        </is>
      </c>
      <c r="E172" s="38" t="inlineStr">
        <is>
          <t>21 Maple Avenue, North Sampletown</t>
        </is>
      </c>
      <c r="F172" s="38" t="inlineStr">
        <is>
          <t>Standard Clean</t>
        </is>
      </c>
      <c r="G172" s="38" t="inlineStr">
        <is>
          <t>R-007</t>
        </is>
      </c>
      <c r="H172" s="38" t="inlineStr">
        <is>
          <t>Maria Lopez</t>
        </is>
      </c>
      <c r="I172" s="57" t="n">
        <v>1</v>
      </c>
      <c r="J172" s="95" t="n"/>
      <c r="K172" s="95" t="n">
        <v>2.42</v>
      </c>
      <c r="L172" s="48" t="n">
        <v>110</v>
      </c>
      <c r="M172" s="96" t="n">
        <v>0</v>
      </c>
      <c r="N172" s="48" t="n"/>
      <c r="O172" s="38" t="inlineStr">
        <is>
          <t>Completed</t>
        </is>
      </c>
      <c r="P172" s="38" t="inlineStr"/>
      <c r="Q172" s="97">
        <f>IF(OR(F172="",E172=""),"",IFERROR(IF(INDEX('PROPERTIES'!$F$5:$F$404,MATCH(E172,'PROPERTIES'!$B$5:$B$404,0))=0,"",ROUND((INDEX('PROPERTIES'!$F$5:$F$404,MATCH(E172,'PROPERTIES'!$B$5:$B$404,0))/INDEX('PRICING'!$C$7:$C$16,MATCH(F172,'PRICING'!$A$7:$A$16,0))+INDEX('PROPERTIES'!$G$5:$G$404,MATCH(E172,'PROPERTIES'!$B$5:$B$404,0))*INDEX('PRICING'!$D$7:$D$16,MATCH(F172,'PRICING'!$A$7:$A$16,0))/60+INDEX('PROPERTIES'!$H$5:$H$404,MATCH(E172,'PROPERTIES'!$B$5:$B$404,0))*INDEX('PRICING'!$E$7:$E$16,MATCH(F172,'PRICING'!$A$7:$A$16,0))/60+INDEX('PRICING'!$F$7:$F$16,MATCH(F172,'PRICING'!$A$7:$A$16,0))/60),2)),""))</f>
        <v/>
      </c>
      <c r="R172" s="97">
        <f>IF(B172="","",IF(N(K172)&gt;0,K172,IF(N(J172)&gt;0,J172,N(Q172))))</f>
        <v/>
      </c>
      <c r="S172" s="55">
        <f>IF(L172="","",ROUND(L172*(1+N(M172)),2))</f>
        <v/>
      </c>
      <c r="T172" s="55">
        <f>IF(B172="","",SUMIFS('REVENUE'!$C$5:$C$1504,'REVENUE'!$B$5:$B$1504,A172))</f>
        <v/>
      </c>
      <c r="U172" s="55">
        <f>IF(B172="","",IF(O172="Completed",MAX(0,N(S172)-T172),""))</f>
        <v/>
      </c>
      <c r="V172" s="49">
        <f>IF(B172="","",IF(O172&lt;&gt;"Completed",IF(T172&gt;0,"Deposit","—"),IF(U172&lt;=0.005,"Paid",IF(T172&gt;0,"Partial","Unpaid"))))</f>
        <v/>
      </c>
      <c r="W172" s="55">
        <f>IF(B172="","",IFERROR(1/(1/INDEX('STAFF &amp; TASKS'!$C$5:$C$24,MATCH(H172,'STAFF &amp; TASKS'!$A$5:$A$24,0))),PayRate))</f>
        <v/>
      </c>
      <c r="X172" s="55">
        <f>IF(B172="","",IF(OR(O172="Cancelled",O172="No-Show"),"",ROUND(R172*W172*(1+Burden),2)))</f>
        <v/>
      </c>
      <c r="Y172" s="55">
        <f>IF(B172="","",IF(OR(O172="Cancelled",O172="No-Show"),"",IF(N172&lt;&gt;"",N172,ROUND(R172*SupHr*IFERROR(INDEX('PRICING'!$G$7:$G$16,MATCH(F172,'PRICING'!$A$7:$A$16,0)),1),2))))</f>
        <v/>
      </c>
      <c r="Z172" s="98">
        <f>IF(B172="","",SUMIFS('MILEAGE'!$J$5:$J$1504,'MILEAGE'!$B$5:$B$1504,A172))</f>
        <v/>
      </c>
      <c r="AA172" s="55">
        <f>IF(B172="","",ROUND(Z172*MileRate,2))</f>
        <v/>
      </c>
      <c r="AB172" s="55">
        <f>IF(B172="","",SUMIFS('REVENUE'!$J$5:$J$1504,'REVENUE'!$B$5:$B$1504,A172))</f>
        <v/>
      </c>
      <c r="AC172" s="55">
        <f>IF(L172="","",IF(OR(O172="Cancelled",O172="No-Show"),"",L172-N(X172)-N(Y172)-AA172-AB172))</f>
        <v/>
      </c>
      <c r="AD172" s="99">
        <f>IF(OR(AC172="",N(L172)=0),"",AC172/L172)</f>
        <v/>
      </c>
      <c r="AE172" s="55">
        <f>IF(OR(AC172="",N(R172)=0),"",L172/R172)</f>
        <v/>
      </c>
      <c r="AF172" s="100">
        <f>IF(OR(N(K172)=0,N(J172)+N(Q172)=0),"",K172-IF(N(J172)&gt;0,J172,Q172))</f>
        <v/>
      </c>
      <c r="AG172" s="99">
        <f>IF(B172="","",IFERROR(AVERAGEIFS('QUALITY CONTROL'!$M$5:$M$304,'QUALITY CONTROL'!$B$5:$B$304,A172),""))</f>
        <v/>
      </c>
      <c r="AH172" s="51">
        <f>IF(B172="","",DATE(YEAR(B172),MONTH(B172),1))</f>
        <v/>
      </c>
      <c r="AI172" s="49">
        <f>IF(D172="","",IFERROR(INDEX('CUSTOMERS'!$E$5:$E$404,MATCH(D172,'CUSTOMERS'!$B$5:$B$404,0)),""))</f>
        <v/>
      </c>
      <c r="AJ172" s="49">
        <f>IF(B172="","",N(C172))</f>
        <v/>
      </c>
      <c r="AK172" s="49">
        <f>IF(OR(B172="",O172="Cancelled",O172="Rescheduled"),"",B172&amp;"|"&amp;(COUNTIFS('JOBS'!$B$5:$B$1504,B172,'JOBS'!$AJ$5:$AJ$1504,"&lt;"&amp;AJ172,'JOBS'!$O$5:$O$1504,"&lt;&gt;Cancelled",'JOBS'!$O$5:$O$1504,"&lt;&gt;Rescheduled")+COUNTIFS($B$5:B172,B172,$AJ$5:AJ172,AJ172,$O$5:O172,"&lt;&gt;Cancelled",$O$5:O172,"&lt;&gt;Rescheduled")))</f>
        <v/>
      </c>
      <c r="AL172" s="49">
        <f>IF(N(U172)&lt;=0.005,"",COUNTIFS('JOBS'!$U$5:$U$1504,"&gt;0.005",'JOBS'!$B$5:$B$1504,"&lt;"&amp;B172)+COUNTIFS($U$5:U172,"&gt;0.005",$B$5:B172,B172))</f>
        <v/>
      </c>
    </row>
    <row r="173">
      <c r="A173" s="46" t="inlineStr">
        <is>
          <t>J-0169</t>
        </is>
      </c>
      <c r="B173" s="47" t="n">
        <v>46194</v>
      </c>
      <c r="C173" s="94" t="n">
        <v>0.3333333333333333</v>
      </c>
      <c r="D173" s="38" t="inlineStr">
        <is>
          <t>Lane Northcott</t>
        </is>
      </c>
      <c r="E173" s="38" t="inlineStr">
        <is>
          <t>102 Hawthorn Road, Lakeview (fictional)</t>
        </is>
      </c>
      <c r="F173" s="38" t="inlineStr">
        <is>
          <t>Standard Clean</t>
        </is>
      </c>
      <c r="G173" s="38" t="inlineStr">
        <is>
          <t>R-010</t>
        </is>
      </c>
      <c r="H173" s="38" t="inlineStr">
        <is>
          <t>Dana Whitfield</t>
        </is>
      </c>
      <c r="I173" s="57" t="n">
        <v>1</v>
      </c>
      <c r="J173" s="95" t="n"/>
      <c r="K173" s="95" t="n">
        <v>3.36</v>
      </c>
      <c r="L173" s="48" t="n">
        <v>150</v>
      </c>
      <c r="M173" s="96" t="n">
        <v>0</v>
      </c>
      <c r="N173" s="48" t="n"/>
      <c r="O173" s="38" t="inlineStr">
        <is>
          <t>Completed</t>
        </is>
      </c>
      <c r="P173" s="38" t="inlineStr"/>
      <c r="Q173" s="97">
        <f>IF(OR(F173="",E173=""),"",IFERROR(IF(INDEX('PROPERTIES'!$F$5:$F$404,MATCH(E173,'PROPERTIES'!$B$5:$B$404,0))=0,"",ROUND((INDEX('PROPERTIES'!$F$5:$F$404,MATCH(E173,'PROPERTIES'!$B$5:$B$404,0))/INDEX('PRICING'!$C$7:$C$16,MATCH(F173,'PRICING'!$A$7:$A$16,0))+INDEX('PROPERTIES'!$G$5:$G$404,MATCH(E173,'PROPERTIES'!$B$5:$B$404,0))*INDEX('PRICING'!$D$7:$D$16,MATCH(F173,'PRICING'!$A$7:$A$16,0))/60+INDEX('PROPERTIES'!$H$5:$H$404,MATCH(E173,'PROPERTIES'!$B$5:$B$404,0))*INDEX('PRICING'!$E$7:$E$16,MATCH(F173,'PRICING'!$A$7:$A$16,0))/60+INDEX('PRICING'!$F$7:$F$16,MATCH(F173,'PRICING'!$A$7:$A$16,0))/60),2)),""))</f>
        <v/>
      </c>
      <c r="R173" s="97">
        <f>IF(B173="","",IF(N(K173)&gt;0,K173,IF(N(J173)&gt;0,J173,N(Q173))))</f>
        <v/>
      </c>
      <c r="S173" s="55">
        <f>IF(L173="","",ROUND(L173*(1+N(M173)),2))</f>
        <v/>
      </c>
      <c r="T173" s="55">
        <f>IF(B173="","",SUMIFS('REVENUE'!$C$5:$C$1504,'REVENUE'!$B$5:$B$1504,A173))</f>
        <v/>
      </c>
      <c r="U173" s="55">
        <f>IF(B173="","",IF(O173="Completed",MAX(0,N(S173)-T173),""))</f>
        <v/>
      </c>
      <c r="V173" s="49">
        <f>IF(B173="","",IF(O173&lt;&gt;"Completed",IF(T173&gt;0,"Deposit","—"),IF(U173&lt;=0.005,"Paid",IF(T173&gt;0,"Partial","Unpaid"))))</f>
        <v/>
      </c>
      <c r="W173" s="55">
        <f>IF(B173="","",IFERROR(1/(1/INDEX('STAFF &amp; TASKS'!$C$5:$C$24,MATCH(H173,'STAFF &amp; TASKS'!$A$5:$A$24,0))),PayRate))</f>
        <v/>
      </c>
      <c r="X173" s="55">
        <f>IF(B173="","",IF(OR(O173="Cancelled",O173="No-Show"),"",ROUND(R173*W173*(1+Burden),2)))</f>
        <v/>
      </c>
      <c r="Y173" s="55">
        <f>IF(B173="","",IF(OR(O173="Cancelled",O173="No-Show"),"",IF(N173&lt;&gt;"",N173,ROUND(R173*SupHr*IFERROR(INDEX('PRICING'!$G$7:$G$16,MATCH(F173,'PRICING'!$A$7:$A$16,0)),1),2))))</f>
        <v/>
      </c>
      <c r="Z173" s="98">
        <f>IF(B173="","",SUMIFS('MILEAGE'!$J$5:$J$1504,'MILEAGE'!$B$5:$B$1504,A173))</f>
        <v/>
      </c>
      <c r="AA173" s="55">
        <f>IF(B173="","",ROUND(Z173*MileRate,2))</f>
        <v/>
      </c>
      <c r="AB173" s="55">
        <f>IF(B173="","",SUMIFS('REVENUE'!$J$5:$J$1504,'REVENUE'!$B$5:$B$1504,A173))</f>
        <v/>
      </c>
      <c r="AC173" s="55">
        <f>IF(L173="","",IF(OR(O173="Cancelled",O173="No-Show"),"",L173-N(X173)-N(Y173)-AA173-AB173))</f>
        <v/>
      </c>
      <c r="AD173" s="99">
        <f>IF(OR(AC173="",N(L173)=0),"",AC173/L173)</f>
        <v/>
      </c>
      <c r="AE173" s="55">
        <f>IF(OR(AC173="",N(R173)=0),"",L173/R173)</f>
        <v/>
      </c>
      <c r="AF173" s="100">
        <f>IF(OR(N(K173)=0,N(J173)+N(Q173)=0),"",K173-IF(N(J173)&gt;0,J173,Q173))</f>
        <v/>
      </c>
      <c r="AG173" s="99">
        <f>IF(B173="","",IFERROR(AVERAGEIFS('QUALITY CONTROL'!$M$5:$M$304,'QUALITY CONTROL'!$B$5:$B$304,A173),""))</f>
        <v/>
      </c>
      <c r="AH173" s="51">
        <f>IF(B173="","",DATE(YEAR(B173),MONTH(B173),1))</f>
        <v/>
      </c>
      <c r="AI173" s="49">
        <f>IF(D173="","",IFERROR(INDEX('CUSTOMERS'!$E$5:$E$404,MATCH(D173,'CUSTOMERS'!$B$5:$B$404,0)),""))</f>
        <v/>
      </c>
      <c r="AJ173" s="49">
        <f>IF(B173="","",N(C173))</f>
        <v/>
      </c>
      <c r="AK173" s="49">
        <f>IF(OR(B173="",O173="Cancelled",O173="Rescheduled"),"",B173&amp;"|"&amp;(COUNTIFS('JOBS'!$B$5:$B$1504,B173,'JOBS'!$AJ$5:$AJ$1504,"&lt;"&amp;AJ173,'JOBS'!$O$5:$O$1504,"&lt;&gt;Cancelled",'JOBS'!$O$5:$O$1504,"&lt;&gt;Rescheduled")+COUNTIFS($B$5:B173,B173,$AJ$5:AJ173,AJ173,$O$5:O173,"&lt;&gt;Cancelled",$O$5:O173,"&lt;&gt;Rescheduled")))</f>
        <v/>
      </c>
      <c r="AL173" s="49">
        <f>IF(N(U173)&lt;=0.005,"",COUNTIFS('JOBS'!$U$5:$U$1504,"&gt;0.005",'JOBS'!$B$5:$B$1504,"&lt;"&amp;B173)+COUNTIFS($U$5:U173,"&gt;0.005",$B$5:B173,B173))</f>
        <v/>
      </c>
    </row>
    <row r="174">
      <c r="A174" s="46" t="inlineStr">
        <is>
          <t>J-0170</t>
        </is>
      </c>
      <c r="B174" s="47" t="n">
        <v>46195</v>
      </c>
      <c r="C174" s="94" t="n">
        <v>0.3541666666666667</v>
      </c>
      <c r="D174" s="38" t="inlineStr">
        <is>
          <t>Taylor Quigley</t>
        </is>
      </c>
      <c r="E174" s="38" t="inlineStr">
        <is>
          <t>667 Willow Way, Sampletown</t>
        </is>
      </c>
      <c r="F174" s="38" t="inlineStr">
        <is>
          <t>Standard Clean</t>
        </is>
      </c>
      <c r="G174" s="38" t="inlineStr">
        <is>
          <t>R-009</t>
        </is>
      </c>
      <c r="H174" s="38" t="inlineStr">
        <is>
          <t>Maria Lopez</t>
        </is>
      </c>
      <c r="I174" s="57" t="n">
        <v>1</v>
      </c>
      <c r="J174" s="95" t="n"/>
      <c r="K174" s="95" t="n">
        <v>2.95</v>
      </c>
      <c r="L174" s="48" t="n">
        <v>145</v>
      </c>
      <c r="M174" s="96" t="n">
        <v>0</v>
      </c>
      <c r="N174" s="48" t="n"/>
      <c r="O174" s="38" t="inlineStr">
        <is>
          <t>Completed</t>
        </is>
      </c>
      <c r="P174" s="38" t="inlineStr"/>
      <c r="Q174" s="97">
        <f>IF(OR(F174="",E174=""),"",IFERROR(IF(INDEX('PROPERTIES'!$F$5:$F$404,MATCH(E174,'PROPERTIES'!$B$5:$B$404,0))=0,"",ROUND((INDEX('PROPERTIES'!$F$5:$F$404,MATCH(E174,'PROPERTIES'!$B$5:$B$404,0))/INDEX('PRICING'!$C$7:$C$16,MATCH(F174,'PRICING'!$A$7:$A$16,0))+INDEX('PROPERTIES'!$G$5:$G$404,MATCH(E174,'PROPERTIES'!$B$5:$B$404,0))*INDEX('PRICING'!$D$7:$D$16,MATCH(F174,'PRICING'!$A$7:$A$16,0))/60+INDEX('PROPERTIES'!$H$5:$H$404,MATCH(E174,'PROPERTIES'!$B$5:$B$404,0))*INDEX('PRICING'!$E$7:$E$16,MATCH(F174,'PRICING'!$A$7:$A$16,0))/60+INDEX('PRICING'!$F$7:$F$16,MATCH(F174,'PRICING'!$A$7:$A$16,0))/60),2)),""))</f>
        <v/>
      </c>
      <c r="R174" s="97">
        <f>IF(B174="","",IF(N(K174)&gt;0,K174,IF(N(J174)&gt;0,J174,N(Q174))))</f>
        <v/>
      </c>
      <c r="S174" s="55">
        <f>IF(L174="","",ROUND(L174*(1+N(M174)),2))</f>
        <v/>
      </c>
      <c r="T174" s="55">
        <f>IF(B174="","",SUMIFS('REVENUE'!$C$5:$C$1504,'REVENUE'!$B$5:$B$1504,A174))</f>
        <v/>
      </c>
      <c r="U174" s="55">
        <f>IF(B174="","",IF(O174="Completed",MAX(0,N(S174)-T174),""))</f>
        <v/>
      </c>
      <c r="V174" s="49">
        <f>IF(B174="","",IF(O174&lt;&gt;"Completed",IF(T174&gt;0,"Deposit","—"),IF(U174&lt;=0.005,"Paid",IF(T174&gt;0,"Partial","Unpaid"))))</f>
        <v/>
      </c>
      <c r="W174" s="55">
        <f>IF(B174="","",IFERROR(1/(1/INDEX('STAFF &amp; TASKS'!$C$5:$C$24,MATCH(H174,'STAFF &amp; TASKS'!$A$5:$A$24,0))),PayRate))</f>
        <v/>
      </c>
      <c r="X174" s="55">
        <f>IF(B174="","",IF(OR(O174="Cancelled",O174="No-Show"),"",ROUND(R174*W174*(1+Burden),2)))</f>
        <v/>
      </c>
      <c r="Y174" s="55">
        <f>IF(B174="","",IF(OR(O174="Cancelled",O174="No-Show"),"",IF(N174&lt;&gt;"",N174,ROUND(R174*SupHr*IFERROR(INDEX('PRICING'!$G$7:$G$16,MATCH(F174,'PRICING'!$A$7:$A$16,0)),1),2))))</f>
        <v/>
      </c>
      <c r="Z174" s="98">
        <f>IF(B174="","",SUMIFS('MILEAGE'!$J$5:$J$1504,'MILEAGE'!$B$5:$B$1504,A174))</f>
        <v/>
      </c>
      <c r="AA174" s="55">
        <f>IF(B174="","",ROUND(Z174*MileRate,2))</f>
        <v/>
      </c>
      <c r="AB174" s="55">
        <f>IF(B174="","",SUMIFS('REVENUE'!$J$5:$J$1504,'REVENUE'!$B$5:$B$1504,A174))</f>
        <v/>
      </c>
      <c r="AC174" s="55">
        <f>IF(L174="","",IF(OR(O174="Cancelled",O174="No-Show"),"",L174-N(X174)-N(Y174)-AA174-AB174))</f>
        <v/>
      </c>
      <c r="AD174" s="99">
        <f>IF(OR(AC174="",N(L174)=0),"",AC174/L174)</f>
        <v/>
      </c>
      <c r="AE174" s="55">
        <f>IF(OR(AC174="",N(R174)=0),"",L174/R174)</f>
        <v/>
      </c>
      <c r="AF174" s="100">
        <f>IF(OR(N(K174)=0,N(J174)+N(Q174)=0),"",K174-IF(N(J174)&gt;0,J174,Q174))</f>
        <v/>
      </c>
      <c r="AG174" s="99">
        <f>IF(B174="","",IFERROR(AVERAGEIFS('QUALITY CONTROL'!$M$5:$M$304,'QUALITY CONTROL'!$B$5:$B$304,A174),""))</f>
        <v/>
      </c>
      <c r="AH174" s="51">
        <f>IF(B174="","",DATE(YEAR(B174),MONTH(B174),1))</f>
        <v/>
      </c>
      <c r="AI174" s="49">
        <f>IF(D174="","",IFERROR(INDEX('CUSTOMERS'!$E$5:$E$404,MATCH(D174,'CUSTOMERS'!$B$5:$B$404,0)),""))</f>
        <v/>
      </c>
      <c r="AJ174" s="49">
        <f>IF(B174="","",N(C174))</f>
        <v/>
      </c>
      <c r="AK174" s="49">
        <f>IF(OR(B174="",O174="Cancelled",O174="Rescheduled"),"",B174&amp;"|"&amp;(COUNTIFS('JOBS'!$B$5:$B$1504,B174,'JOBS'!$AJ$5:$AJ$1504,"&lt;"&amp;AJ174,'JOBS'!$O$5:$O$1504,"&lt;&gt;Cancelled",'JOBS'!$O$5:$O$1504,"&lt;&gt;Rescheduled")+COUNTIFS($B$5:B174,B174,$AJ$5:AJ174,AJ174,$O$5:O174,"&lt;&gt;Cancelled",$O$5:O174,"&lt;&gt;Rescheduled")))</f>
        <v/>
      </c>
      <c r="AL174" s="49">
        <f>IF(N(U174)&lt;=0.005,"",COUNTIFS('JOBS'!$U$5:$U$1504,"&gt;0.005",'JOBS'!$B$5:$B$1504,"&lt;"&amp;B174)+COUNTIFS($U$5:U174,"&gt;0.005",$B$5:B174,B174))</f>
        <v/>
      </c>
    </row>
    <row r="175">
      <c r="A175" s="46" t="inlineStr">
        <is>
          <t>J-0171</t>
        </is>
      </c>
      <c r="B175" s="47" t="n">
        <v>46195</v>
      </c>
      <c r="C175" s="94" t="n">
        <v>0.4166666666666667</v>
      </c>
      <c r="D175" s="38" t="inlineStr">
        <is>
          <t>Parker Lockhart</t>
        </is>
      </c>
      <c r="E175" s="38" t="inlineStr">
        <is>
          <t>412 Linden Place, Sampletown</t>
        </is>
      </c>
      <c r="F175" s="38" t="inlineStr">
        <is>
          <t>Airbnb Turnover</t>
        </is>
      </c>
      <c r="G175" s="38" t="n"/>
      <c r="H175" s="38" t="inlineStr">
        <is>
          <t>Kevin Osei</t>
        </is>
      </c>
      <c r="I175" s="57" t="n">
        <v>1</v>
      </c>
      <c r="J175" s="95" t="n"/>
      <c r="K175" s="95" t="n">
        <v>1.75</v>
      </c>
      <c r="L175" s="48" t="n">
        <v>150</v>
      </c>
      <c r="M175" s="96" t="n">
        <v>0</v>
      </c>
      <c r="N175" s="48" t="n"/>
      <c r="O175" s="38" t="inlineStr">
        <is>
          <t>Completed</t>
        </is>
      </c>
      <c r="P175" s="38" t="inlineStr">
        <is>
          <t>Includes laundry</t>
        </is>
      </c>
      <c r="Q175" s="97">
        <f>IF(OR(F175="",E175=""),"",IFERROR(IF(INDEX('PROPERTIES'!$F$5:$F$404,MATCH(E175,'PROPERTIES'!$B$5:$B$404,0))=0,"",ROUND((INDEX('PROPERTIES'!$F$5:$F$404,MATCH(E175,'PROPERTIES'!$B$5:$B$404,0))/INDEX('PRICING'!$C$7:$C$16,MATCH(F175,'PRICING'!$A$7:$A$16,0))+INDEX('PROPERTIES'!$G$5:$G$404,MATCH(E175,'PROPERTIES'!$B$5:$B$404,0))*INDEX('PRICING'!$D$7:$D$16,MATCH(F175,'PRICING'!$A$7:$A$16,0))/60+INDEX('PROPERTIES'!$H$5:$H$404,MATCH(E175,'PROPERTIES'!$B$5:$B$404,0))*INDEX('PRICING'!$E$7:$E$16,MATCH(F175,'PRICING'!$A$7:$A$16,0))/60+INDEX('PRICING'!$F$7:$F$16,MATCH(F175,'PRICING'!$A$7:$A$16,0))/60),2)),""))</f>
        <v/>
      </c>
      <c r="R175" s="97">
        <f>IF(B175="","",IF(N(K175)&gt;0,K175,IF(N(J175)&gt;0,J175,N(Q175))))</f>
        <v/>
      </c>
      <c r="S175" s="55">
        <f>IF(L175="","",ROUND(L175*(1+N(M175)),2))</f>
        <v/>
      </c>
      <c r="T175" s="55">
        <f>IF(B175="","",SUMIFS('REVENUE'!$C$5:$C$1504,'REVENUE'!$B$5:$B$1504,A175))</f>
        <v/>
      </c>
      <c r="U175" s="55">
        <f>IF(B175="","",IF(O175="Completed",MAX(0,N(S175)-T175),""))</f>
        <v/>
      </c>
      <c r="V175" s="49">
        <f>IF(B175="","",IF(O175&lt;&gt;"Completed",IF(T175&gt;0,"Deposit","—"),IF(U175&lt;=0.005,"Paid",IF(T175&gt;0,"Partial","Unpaid"))))</f>
        <v/>
      </c>
      <c r="W175" s="55">
        <f>IF(B175="","",IFERROR(1/(1/INDEX('STAFF &amp; TASKS'!$C$5:$C$24,MATCH(H175,'STAFF &amp; TASKS'!$A$5:$A$24,0))),PayRate))</f>
        <v/>
      </c>
      <c r="X175" s="55">
        <f>IF(B175="","",IF(OR(O175="Cancelled",O175="No-Show"),"",ROUND(R175*W175*(1+Burden),2)))</f>
        <v/>
      </c>
      <c r="Y175" s="55">
        <f>IF(B175="","",IF(OR(O175="Cancelled",O175="No-Show"),"",IF(N175&lt;&gt;"",N175,ROUND(R175*SupHr*IFERROR(INDEX('PRICING'!$G$7:$G$16,MATCH(F175,'PRICING'!$A$7:$A$16,0)),1),2))))</f>
        <v/>
      </c>
      <c r="Z175" s="98">
        <f>IF(B175="","",SUMIFS('MILEAGE'!$J$5:$J$1504,'MILEAGE'!$B$5:$B$1504,A175))</f>
        <v/>
      </c>
      <c r="AA175" s="55">
        <f>IF(B175="","",ROUND(Z175*MileRate,2))</f>
        <v/>
      </c>
      <c r="AB175" s="55">
        <f>IF(B175="","",SUMIFS('REVENUE'!$J$5:$J$1504,'REVENUE'!$B$5:$B$1504,A175))</f>
        <v/>
      </c>
      <c r="AC175" s="55">
        <f>IF(L175="","",IF(OR(O175="Cancelled",O175="No-Show"),"",L175-N(X175)-N(Y175)-AA175-AB175))</f>
        <v/>
      </c>
      <c r="AD175" s="99">
        <f>IF(OR(AC175="",N(L175)=0),"",AC175/L175)</f>
        <v/>
      </c>
      <c r="AE175" s="55">
        <f>IF(OR(AC175="",N(R175)=0),"",L175/R175)</f>
        <v/>
      </c>
      <c r="AF175" s="100">
        <f>IF(OR(N(K175)=0,N(J175)+N(Q175)=0),"",K175-IF(N(J175)&gt;0,J175,Q175))</f>
        <v/>
      </c>
      <c r="AG175" s="99">
        <f>IF(B175="","",IFERROR(AVERAGEIFS('QUALITY CONTROL'!$M$5:$M$304,'QUALITY CONTROL'!$B$5:$B$304,A175),""))</f>
        <v/>
      </c>
      <c r="AH175" s="51">
        <f>IF(B175="","",DATE(YEAR(B175),MONTH(B175),1))</f>
        <v/>
      </c>
      <c r="AI175" s="49">
        <f>IF(D175="","",IFERROR(INDEX('CUSTOMERS'!$E$5:$E$404,MATCH(D175,'CUSTOMERS'!$B$5:$B$404,0)),""))</f>
        <v/>
      </c>
      <c r="AJ175" s="49">
        <f>IF(B175="","",N(C175))</f>
        <v/>
      </c>
      <c r="AK175" s="49">
        <f>IF(OR(B175="",O175="Cancelled",O175="Rescheduled"),"",B175&amp;"|"&amp;(COUNTIFS('JOBS'!$B$5:$B$1504,B175,'JOBS'!$AJ$5:$AJ$1504,"&lt;"&amp;AJ175,'JOBS'!$O$5:$O$1504,"&lt;&gt;Cancelled",'JOBS'!$O$5:$O$1504,"&lt;&gt;Rescheduled")+COUNTIFS($B$5:B175,B175,$AJ$5:AJ175,AJ175,$O$5:O175,"&lt;&gt;Cancelled",$O$5:O175,"&lt;&gt;Rescheduled")))</f>
        <v/>
      </c>
      <c r="AL175" s="49">
        <f>IF(N(U175)&lt;=0.005,"",COUNTIFS('JOBS'!$U$5:$U$1504,"&gt;0.005",'JOBS'!$B$5:$B$1504,"&lt;"&amp;B175)+COUNTIFS($U$5:U175,"&gt;0.005",$B$5:B175,B175))</f>
        <v/>
      </c>
    </row>
    <row r="176">
      <c r="A176" s="46" t="inlineStr">
        <is>
          <t>J-0172</t>
        </is>
      </c>
      <c r="B176" s="47" t="n">
        <v>46196</v>
      </c>
      <c r="C176" s="94" t="n">
        <v>0.3333333333333333</v>
      </c>
      <c r="D176" s="38" t="inlineStr">
        <is>
          <t>Lane Ivers</t>
        </is>
      </c>
      <c r="E176" s="38" t="inlineStr">
        <is>
          <t>497 Aspen Drive, Sampletown</t>
        </is>
      </c>
      <c r="F176" s="38" t="inlineStr">
        <is>
          <t>Standard Clean</t>
        </is>
      </c>
      <c r="G176" s="38" t="inlineStr">
        <is>
          <t>R-001</t>
        </is>
      </c>
      <c r="H176" s="38" t="inlineStr">
        <is>
          <t>Maria Lopez</t>
        </is>
      </c>
      <c r="I176" s="57" t="n">
        <v>1</v>
      </c>
      <c r="J176" s="95" t="n"/>
      <c r="K176" s="95" t="n">
        <v>5</v>
      </c>
      <c r="L176" s="48" t="n">
        <v>175</v>
      </c>
      <c r="M176" s="96" t="n">
        <v>0</v>
      </c>
      <c r="N176" s="48" t="n"/>
      <c r="O176" s="38" t="inlineStr">
        <is>
          <t>Completed</t>
        </is>
      </c>
      <c r="P176" s="38" t="inlineStr"/>
      <c r="Q176" s="97">
        <f>IF(OR(F176="",E176=""),"",IFERROR(IF(INDEX('PROPERTIES'!$F$5:$F$404,MATCH(E176,'PROPERTIES'!$B$5:$B$404,0))=0,"",ROUND((INDEX('PROPERTIES'!$F$5:$F$404,MATCH(E176,'PROPERTIES'!$B$5:$B$404,0))/INDEX('PRICING'!$C$7:$C$16,MATCH(F176,'PRICING'!$A$7:$A$16,0))+INDEX('PROPERTIES'!$G$5:$G$404,MATCH(E176,'PROPERTIES'!$B$5:$B$404,0))*INDEX('PRICING'!$D$7:$D$16,MATCH(F176,'PRICING'!$A$7:$A$16,0))/60+INDEX('PROPERTIES'!$H$5:$H$404,MATCH(E176,'PROPERTIES'!$B$5:$B$404,0))*INDEX('PRICING'!$E$7:$E$16,MATCH(F176,'PRICING'!$A$7:$A$16,0))/60+INDEX('PRICING'!$F$7:$F$16,MATCH(F176,'PRICING'!$A$7:$A$16,0))/60),2)),""))</f>
        <v/>
      </c>
      <c r="R176" s="97">
        <f>IF(B176="","",IF(N(K176)&gt;0,K176,IF(N(J176)&gt;0,J176,N(Q176))))</f>
        <v/>
      </c>
      <c r="S176" s="55">
        <f>IF(L176="","",ROUND(L176*(1+N(M176)),2))</f>
        <v/>
      </c>
      <c r="T176" s="55">
        <f>IF(B176="","",SUMIFS('REVENUE'!$C$5:$C$1504,'REVENUE'!$B$5:$B$1504,A176))</f>
        <v/>
      </c>
      <c r="U176" s="55">
        <f>IF(B176="","",IF(O176="Completed",MAX(0,N(S176)-T176),""))</f>
        <v/>
      </c>
      <c r="V176" s="49">
        <f>IF(B176="","",IF(O176&lt;&gt;"Completed",IF(T176&gt;0,"Deposit","—"),IF(U176&lt;=0.005,"Paid",IF(T176&gt;0,"Partial","Unpaid"))))</f>
        <v/>
      </c>
      <c r="W176" s="55">
        <f>IF(B176="","",IFERROR(1/(1/INDEX('STAFF &amp; TASKS'!$C$5:$C$24,MATCH(H176,'STAFF &amp; TASKS'!$A$5:$A$24,0))),PayRate))</f>
        <v/>
      </c>
      <c r="X176" s="55">
        <f>IF(B176="","",IF(OR(O176="Cancelled",O176="No-Show"),"",ROUND(R176*W176*(1+Burden),2)))</f>
        <v/>
      </c>
      <c r="Y176" s="55">
        <f>IF(B176="","",IF(OR(O176="Cancelled",O176="No-Show"),"",IF(N176&lt;&gt;"",N176,ROUND(R176*SupHr*IFERROR(INDEX('PRICING'!$G$7:$G$16,MATCH(F176,'PRICING'!$A$7:$A$16,0)),1),2))))</f>
        <v/>
      </c>
      <c r="Z176" s="98">
        <f>IF(B176="","",SUMIFS('MILEAGE'!$J$5:$J$1504,'MILEAGE'!$B$5:$B$1504,A176))</f>
        <v/>
      </c>
      <c r="AA176" s="55">
        <f>IF(B176="","",ROUND(Z176*MileRate,2))</f>
        <v/>
      </c>
      <c r="AB176" s="55">
        <f>IF(B176="","",SUMIFS('REVENUE'!$J$5:$J$1504,'REVENUE'!$B$5:$B$1504,A176))</f>
        <v/>
      </c>
      <c r="AC176" s="55">
        <f>IF(L176="","",IF(OR(O176="Cancelled",O176="No-Show"),"",L176-N(X176)-N(Y176)-AA176-AB176))</f>
        <v/>
      </c>
      <c r="AD176" s="99">
        <f>IF(OR(AC176="",N(L176)=0),"",AC176/L176)</f>
        <v/>
      </c>
      <c r="AE176" s="55">
        <f>IF(OR(AC176="",N(R176)=0),"",L176/R176)</f>
        <v/>
      </c>
      <c r="AF176" s="100">
        <f>IF(OR(N(K176)=0,N(J176)+N(Q176)=0),"",K176-IF(N(J176)&gt;0,J176,Q176))</f>
        <v/>
      </c>
      <c r="AG176" s="99">
        <f>IF(B176="","",IFERROR(AVERAGEIFS('QUALITY CONTROL'!$M$5:$M$304,'QUALITY CONTROL'!$B$5:$B$304,A176),""))</f>
        <v/>
      </c>
      <c r="AH176" s="51">
        <f>IF(B176="","",DATE(YEAR(B176),MONTH(B176),1))</f>
        <v/>
      </c>
      <c r="AI176" s="49">
        <f>IF(D176="","",IFERROR(INDEX('CUSTOMERS'!$E$5:$E$404,MATCH(D176,'CUSTOMERS'!$B$5:$B$404,0)),""))</f>
        <v/>
      </c>
      <c r="AJ176" s="49">
        <f>IF(B176="","",N(C176))</f>
        <v/>
      </c>
      <c r="AK176" s="49">
        <f>IF(OR(B176="",O176="Cancelled",O176="Rescheduled"),"",B176&amp;"|"&amp;(COUNTIFS('JOBS'!$B$5:$B$1504,B176,'JOBS'!$AJ$5:$AJ$1504,"&lt;"&amp;AJ176,'JOBS'!$O$5:$O$1504,"&lt;&gt;Cancelled",'JOBS'!$O$5:$O$1504,"&lt;&gt;Rescheduled")+COUNTIFS($B$5:B176,B176,$AJ$5:AJ176,AJ176,$O$5:O176,"&lt;&gt;Cancelled",$O$5:O176,"&lt;&gt;Rescheduled")))</f>
        <v/>
      </c>
      <c r="AL176" s="49">
        <f>IF(N(U176)&lt;=0.005,"",COUNTIFS('JOBS'!$U$5:$U$1504,"&gt;0.005",'JOBS'!$B$5:$B$1504,"&lt;"&amp;B176)+COUNTIFS($U$5:U176,"&gt;0.005",$B$5:B176,B176))</f>
        <v/>
      </c>
    </row>
    <row r="177">
      <c r="A177" s="46" t="inlineStr">
        <is>
          <t>J-0173</t>
        </is>
      </c>
      <c r="B177" s="47" t="n">
        <v>46197</v>
      </c>
      <c r="C177" s="94" t="n">
        <v>0.5208333333333334</v>
      </c>
      <c r="D177" s="38" t="inlineStr">
        <is>
          <t>Logan Porter</t>
        </is>
      </c>
      <c r="E177" s="38" t="inlineStr">
        <is>
          <t>675 Aspen Drive, Lakeview (fictional)</t>
        </is>
      </c>
      <c r="F177" s="38" t="inlineStr">
        <is>
          <t>Standard Clean</t>
        </is>
      </c>
      <c r="G177" s="38" t="inlineStr">
        <is>
          <t>R-002</t>
        </is>
      </c>
      <c r="H177" s="38" t="inlineStr">
        <is>
          <t>Dana Whitfield</t>
        </is>
      </c>
      <c r="I177" s="57" t="n">
        <v>1</v>
      </c>
      <c r="J177" s="95" t="n"/>
      <c r="K177" s="95" t="n">
        <v>5.29</v>
      </c>
      <c r="L177" s="48" t="n">
        <v>220</v>
      </c>
      <c r="M177" s="96" t="n">
        <v>0</v>
      </c>
      <c r="N177" s="48" t="n"/>
      <c r="O177" s="38" t="inlineStr">
        <is>
          <t>Completed</t>
        </is>
      </c>
      <c r="P177" s="38" t="inlineStr"/>
      <c r="Q177" s="97">
        <f>IF(OR(F177="",E177=""),"",IFERROR(IF(INDEX('PROPERTIES'!$F$5:$F$404,MATCH(E177,'PROPERTIES'!$B$5:$B$404,0))=0,"",ROUND((INDEX('PROPERTIES'!$F$5:$F$404,MATCH(E177,'PROPERTIES'!$B$5:$B$404,0))/INDEX('PRICING'!$C$7:$C$16,MATCH(F177,'PRICING'!$A$7:$A$16,0))+INDEX('PROPERTIES'!$G$5:$G$404,MATCH(E177,'PROPERTIES'!$B$5:$B$404,0))*INDEX('PRICING'!$D$7:$D$16,MATCH(F177,'PRICING'!$A$7:$A$16,0))/60+INDEX('PROPERTIES'!$H$5:$H$404,MATCH(E177,'PROPERTIES'!$B$5:$B$404,0))*INDEX('PRICING'!$E$7:$E$16,MATCH(F177,'PRICING'!$A$7:$A$16,0))/60+INDEX('PRICING'!$F$7:$F$16,MATCH(F177,'PRICING'!$A$7:$A$16,0))/60),2)),""))</f>
        <v/>
      </c>
      <c r="R177" s="97">
        <f>IF(B177="","",IF(N(K177)&gt;0,K177,IF(N(J177)&gt;0,J177,N(Q177))))</f>
        <v/>
      </c>
      <c r="S177" s="55">
        <f>IF(L177="","",ROUND(L177*(1+N(M177)),2))</f>
        <v/>
      </c>
      <c r="T177" s="55">
        <f>IF(B177="","",SUMIFS('REVENUE'!$C$5:$C$1504,'REVENUE'!$B$5:$B$1504,A177))</f>
        <v/>
      </c>
      <c r="U177" s="55">
        <f>IF(B177="","",IF(O177="Completed",MAX(0,N(S177)-T177),""))</f>
        <v/>
      </c>
      <c r="V177" s="49">
        <f>IF(B177="","",IF(O177&lt;&gt;"Completed",IF(T177&gt;0,"Deposit","—"),IF(U177&lt;=0.005,"Paid",IF(T177&gt;0,"Partial","Unpaid"))))</f>
        <v/>
      </c>
      <c r="W177" s="55">
        <f>IF(B177="","",IFERROR(1/(1/INDEX('STAFF &amp; TASKS'!$C$5:$C$24,MATCH(H177,'STAFF &amp; TASKS'!$A$5:$A$24,0))),PayRate))</f>
        <v/>
      </c>
      <c r="X177" s="55">
        <f>IF(B177="","",IF(OR(O177="Cancelled",O177="No-Show"),"",ROUND(R177*W177*(1+Burden),2)))</f>
        <v/>
      </c>
      <c r="Y177" s="55">
        <f>IF(B177="","",IF(OR(O177="Cancelled",O177="No-Show"),"",IF(N177&lt;&gt;"",N177,ROUND(R177*SupHr*IFERROR(INDEX('PRICING'!$G$7:$G$16,MATCH(F177,'PRICING'!$A$7:$A$16,0)),1),2))))</f>
        <v/>
      </c>
      <c r="Z177" s="98">
        <f>IF(B177="","",SUMIFS('MILEAGE'!$J$5:$J$1504,'MILEAGE'!$B$5:$B$1504,A177))</f>
        <v/>
      </c>
      <c r="AA177" s="55">
        <f>IF(B177="","",ROUND(Z177*MileRate,2))</f>
        <v/>
      </c>
      <c r="AB177" s="55">
        <f>IF(B177="","",SUMIFS('REVENUE'!$J$5:$J$1504,'REVENUE'!$B$5:$B$1504,A177))</f>
        <v/>
      </c>
      <c r="AC177" s="55">
        <f>IF(L177="","",IF(OR(O177="Cancelled",O177="No-Show"),"",L177-N(X177)-N(Y177)-AA177-AB177))</f>
        <v/>
      </c>
      <c r="AD177" s="99">
        <f>IF(OR(AC177="",N(L177)=0),"",AC177/L177)</f>
        <v/>
      </c>
      <c r="AE177" s="55">
        <f>IF(OR(AC177="",N(R177)=0),"",L177/R177)</f>
        <v/>
      </c>
      <c r="AF177" s="100">
        <f>IF(OR(N(K177)=0,N(J177)+N(Q177)=0),"",K177-IF(N(J177)&gt;0,J177,Q177))</f>
        <v/>
      </c>
      <c r="AG177" s="99">
        <f>IF(B177="","",IFERROR(AVERAGEIFS('QUALITY CONTROL'!$M$5:$M$304,'QUALITY CONTROL'!$B$5:$B$304,A177),""))</f>
        <v/>
      </c>
      <c r="AH177" s="51">
        <f>IF(B177="","",DATE(YEAR(B177),MONTH(B177),1))</f>
        <v/>
      </c>
      <c r="AI177" s="49">
        <f>IF(D177="","",IFERROR(INDEX('CUSTOMERS'!$E$5:$E$404,MATCH(D177,'CUSTOMERS'!$B$5:$B$404,0)),""))</f>
        <v/>
      </c>
      <c r="AJ177" s="49">
        <f>IF(B177="","",N(C177))</f>
        <v/>
      </c>
      <c r="AK177" s="49">
        <f>IF(OR(B177="",O177="Cancelled",O177="Rescheduled"),"",B177&amp;"|"&amp;(COUNTIFS('JOBS'!$B$5:$B$1504,B177,'JOBS'!$AJ$5:$AJ$1504,"&lt;"&amp;AJ177,'JOBS'!$O$5:$O$1504,"&lt;&gt;Cancelled",'JOBS'!$O$5:$O$1504,"&lt;&gt;Rescheduled")+COUNTIFS($B$5:B177,B177,$AJ$5:AJ177,AJ177,$O$5:O177,"&lt;&gt;Cancelled",$O$5:O177,"&lt;&gt;Rescheduled")))</f>
        <v/>
      </c>
      <c r="AL177" s="49">
        <f>IF(N(U177)&lt;=0.005,"",COUNTIFS('JOBS'!$U$5:$U$1504,"&gt;0.005",'JOBS'!$B$5:$B$1504,"&lt;"&amp;B177)+COUNTIFS($U$5:U177,"&gt;0.005",$B$5:B177,B177))</f>
        <v/>
      </c>
    </row>
    <row r="178">
      <c r="A178" s="46" t="inlineStr">
        <is>
          <t>J-0174</t>
        </is>
      </c>
      <c r="B178" s="47" t="n">
        <v>46199</v>
      </c>
      <c r="C178" s="94" t="n">
        <v>0.3541666666666667</v>
      </c>
      <c r="D178" s="38" t="inlineStr">
        <is>
          <t>Oakview Office Suites (sample)</t>
        </is>
      </c>
      <c r="E178" s="38" t="inlineStr">
        <is>
          <t>957 Hawthorn Road, North Sampletown</t>
        </is>
      </c>
      <c r="F178" s="38" t="inlineStr">
        <is>
          <t>Commercial Clean</t>
        </is>
      </c>
      <c r="G178" s="38" t="inlineStr">
        <is>
          <t>R-012</t>
        </is>
      </c>
      <c r="H178" s="38" t="inlineStr">
        <is>
          <t>Kevin Osei</t>
        </is>
      </c>
      <c r="I178" s="57" t="n">
        <v>2</v>
      </c>
      <c r="J178" s="95" t="n"/>
      <c r="K178" s="95" t="n">
        <v>4.02</v>
      </c>
      <c r="L178" s="48" t="n">
        <v>140</v>
      </c>
      <c r="M178" s="96" t="n">
        <v>0</v>
      </c>
      <c r="N178" s="48" t="n"/>
      <c r="O178" s="38" t="inlineStr">
        <is>
          <t>Completed</t>
        </is>
      </c>
      <c r="P178" s="38" t="inlineStr"/>
      <c r="Q178" s="97">
        <f>IF(OR(F178="",E178=""),"",IFERROR(IF(INDEX('PROPERTIES'!$F$5:$F$404,MATCH(E178,'PROPERTIES'!$B$5:$B$404,0))=0,"",ROUND((INDEX('PROPERTIES'!$F$5:$F$404,MATCH(E178,'PROPERTIES'!$B$5:$B$404,0))/INDEX('PRICING'!$C$7:$C$16,MATCH(F178,'PRICING'!$A$7:$A$16,0))+INDEX('PROPERTIES'!$G$5:$G$404,MATCH(E178,'PROPERTIES'!$B$5:$B$404,0))*INDEX('PRICING'!$D$7:$D$16,MATCH(F178,'PRICING'!$A$7:$A$16,0))/60+INDEX('PROPERTIES'!$H$5:$H$404,MATCH(E178,'PROPERTIES'!$B$5:$B$404,0))*INDEX('PRICING'!$E$7:$E$16,MATCH(F178,'PRICING'!$A$7:$A$16,0))/60+INDEX('PRICING'!$F$7:$F$16,MATCH(F178,'PRICING'!$A$7:$A$16,0))/60),2)),""))</f>
        <v/>
      </c>
      <c r="R178" s="97">
        <f>IF(B178="","",IF(N(K178)&gt;0,K178,IF(N(J178)&gt;0,J178,N(Q178))))</f>
        <v/>
      </c>
      <c r="S178" s="55">
        <f>IF(L178="","",ROUND(L178*(1+N(M178)),2))</f>
        <v/>
      </c>
      <c r="T178" s="55">
        <f>IF(B178="","",SUMIFS('REVENUE'!$C$5:$C$1504,'REVENUE'!$B$5:$B$1504,A178))</f>
        <v/>
      </c>
      <c r="U178" s="55">
        <f>IF(B178="","",IF(O178="Completed",MAX(0,N(S178)-T178),""))</f>
        <v/>
      </c>
      <c r="V178" s="49">
        <f>IF(B178="","",IF(O178&lt;&gt;"Completed",IF(T178&gt;0,"Deposit","—"),IF(U178&lt;=0.005,"Paid",IF(T178&gt;0,"Partial","Unpaid"))))</f>
        <v/>
      </c>
      <c r="W178" s="55">
        <f>IF(B178="","",IFERROR(1/(1/INDEX('STAFF &amp; TASKS'!$C$5:$C$24,MATCH(H178,'STAFF &amp; TASKS'!$A$5:$A$24,0))),PayRate))</f>
        <v/>
      </c>
      <c r="X178" s="55">
        <f>IF(B178="","",IF(OR(O178="Cancelled",O178="No-Show"),"",ROUND(R178*W178*(1+Burden),2)))</f>
        <v/>
      </c>
      <c r="Y178" s="55">
        <f>IF(B178="","",IF(OR(O178="Cancelled",O178="No-Show"),"",IF(N178&lt;&gt;"",N178,ROUND(R178*SupHr*IFERROR(INDEX('PRICING'!$G$7:$G$16,MATCH(F178,'PRICING'!$A$7:$A$16,0)),1),2))))</f>
        <v/>
      </c>
      <c r="Z178" s="98">
        <f>IF(B178="","",SUMIFS('MILEAGE'!$J$5:$J$1504,'MILEAGE'!$B$5:$B$1504,A178))</f>
        <v/>
      </c>
      <c r="AA178" s="55">
        <f>IF(B178="","",ROUND(Z178*MileRate,2))</f>
        <v/>
      </c>
      <c r="AB178" s="55">
        <f>IF(B178="","",SUMIFS('REVENUE'!$J$5:$J$1504,'REVENUE'!$B$5:$B$1504,A178))</f>
        <v/>
      </c>
      <c r="AC178" s="55">
        <f>IF(L178="","",IF(OR(O178="Cancelled",O178="No-Show"),"",L178-N(X178)-N(Y178)-AA178-AB178))</f>
        <v/>
      </c>
      <c r="AD178" s="99">
        <f>IF(OR(AC178="",N(L178)=0),"",AC178/L178)</f>
        <v/>
      </c>
      <c r="AE178" s="55">
        <f>IF(OR(AC178="",N(R178)=0),"",L178/R178)</f>
        <v/>
      </c>
      <c r="AF178" s="100">
        <f>IF(OR(N(K178)=0,N(J178)+N(Q178)=0),"",K178-IF(N(J178)&gt;0,J178,Q178))</f>
        <v/>
      </c>
      <c r="AG178" s="99">
        <f>IF(B178="","",IFERROR(AVERAGEIFS('QUALITY CONTROL'!$M$5:$M$304,'QUALITY CONTROL'!$B$5:$B$304,A178),""))</f>
        <v/>
      </c>
      <c r="AH178" s="51">
        <f>IF(B178="","",DATE(YEAR(B178),MONTH(B178),1))</f>
        <v/>
      </c>
      <c r="AI178" s="49">
        <f>IF(D178="","",IFERROR(INDEX('CUSTOMERS'!$E$5:$E$404,MATCH(D178,'CUSTOMERS'!$B$5:$B$404,0)),""))</f>
        <v/>
      </c>
      <c r="AJ178" s="49">
        <f>IF(B178="","",N(C178))</f>
        <v/>
      </c>
      <c r="AK178" s="49">
        <f>IF(OR(B178="",O178="Cancelled",O178="Rescheduled"),"",B178&amp;"|"&amp;(COUNTIFS('JOBS'!$B$5:$B$1504,B178,'JOBS'!$AJ$5:$AJ$1504,"&lt;"&amp;AJ178,'JOBS'!$O$5:$O$1504,"&lt;&gt;Cancelled",'JOBS'!$O$5:$O$1504,"&lt;&gt;Rescheduled")+COUNTIFS($B$5:B178,B178,$AJ$5:AJ178,AJ178,$O$5:O178,"&lt;&gt;Cancelled",$O$5:O178,"&lt;&gt;Rescheduled")))</f>
        <v/>
      </c>
      <c r="AL178" s="49">
        <f>IF(N(U178)&lt;=0.005,"",COUNTIFS('JOBS'!$U$5:$U$1504,"&gt;0.005",'JOBS'!$B$5:$B$1504,"&lt;"&amp;B178)+COUNTIFS($U$5:U178,"&gt;0.005",$B$5:B178,B178))</f>
        <v/>
      </c>
    </row>
    <row r="179">
      <c r="A179" s="46" t="inlineStr">
        <is>
          <t>J-0175</t>
        </is>
      </c>
      <c r="B179" s="47" t="n">
        <v>46199</v>
      </c>
      <c r="C179" s="94" t="n">
        <v>0.4791666666666667</v>
      </c>
      <c r="D179" s="38" t="inlineStr">
        <is>
          <t>Blake Oakes</t>
        </is>
      </c>
      <c r="E179" s="38" t="inlineStr">
        <is>
          <t>654 Willow Way, North Sampletown</t>
        </is>
      </c>
      <c r="F179" s="38" t="inlineStr">
        <is>
          <t>Airbnb Turnover</t>
        </is>
      </c>
      <c r="G179" s="38" t="n"/>
      <c r="H179" s="38" t="inlineStr">
        <is>
          <t>Kevin Osei</t>
        </is>
      </c>
      <c r="I179" s="57" t="n">
        <v>1</v>
      </c>
      <c r="J179" s="95" t="n"/>
      <c r="K179" s="95" t="n">
        <v>1.58</v>
      </c>
      <c r="L179" s="48" t="n">
        <v>135</v>
      </c>
      <c r="M179" s="96" t="n">
        <v>0</v>
      </c>
      <c r="N179" s="48" t="n"/>
      <c r="O179" s="38" t="inlineStr">
        <is>
          <t>Completed</t>
        </is>
      </c>
      <c r="P179" s="38" t="inlineStr">
        <is>
          <t>Includes laundry</t>
        </is>
      </c>
      <c r="Q179" s="97">
        <f>IF(OR(F179="",E179=""),"",IFERROR(IF(INDEX('PROPERTIES'!$F$5:$F$404,MATCH(E179,'PROPERTIES'!$B$5:$B$404,0))=0,"",ROUND((INDEX('PROPERTIES'!$F$5:$F$404,MATCH(E179,'PROPERTIES'!$B$5:$B$404,0))/INDEX('PRICING'!$C$7:$C$16,MATCH(F179,'PRICING'!$A$7:$A$16,0))+INDEX('PROPERTIES'!$G$5:$G$404,MATCH(E179,'PROPERTIES'!$B$5:$B$404,0))*INDEX('PRICING'!$D$7:$D$16,MATCH(F179,'PRICING'!$A$7:$A$16,0))/60+INDEX('PROPERTIES'!$H$5:$H$404,MATCH(E179,'PROPERTIES'!$B$5:$B$404,0))*INDEX('PRICING'!$E$7:$E$16,MATCH(F179,'PRICING'!$A$7:$A$16,0))/60+INDEX('PRICING'!$F$7:$F$16,MATCH(F179,'PRICING'!$A$7:$A$16,0))/60),2)),""))</f>
        <v/>
      </c>
      <c r="R179" s="97">
        <f>IF(B179="","",IF(N(K179)&gt;0,K179,IF(N(J179)&gt;0,J179,N(Q179))))</f>
        <v/>
      </c>
      <c r="S179" s="55">
        <f>IF(L179="","",ROUND(L179*(1+N(M179)),2))</f>
        <v/>
      </c>
      <c r="T179" s="55">
        <f>IF(B179="","",SUMIFS('REVENUE'!$C$5:$C$1504,'REVENUE'!$B$5:$B$1504,A179))</f>
        <v/>
      </c>
      <c r="U179" s="55">
        <f>IF(B179="","",IF(O179="Completed",MAX(0,N(S179)-T179),""))</f>
        <v/>
      </c>
      <c r="V179" s="49">
        <f>IF(B179="","",IF(O179&lt;&gt;"Completed",IF(T179&gt;0,"Deposit","—"),IF(U179&lt;=0.005,"Paid",IF(T179&gt;0,"Partial","Unpaid"))))</f>
        <v/>
      </c>
      <c r="W179" s="55">
        <f>IF(B179="","",IFERROR(1/(1/INDEX('STAFF &amp; TASKS'!$C$5:$C$24,MATCH(H179,'STAFF &amp; TASKS'!$A$5:$A$24,0))),PayRate))</f>
        <v/>
      </c>
      <c r="X179" s="55">
        <f>IF(B179="","",IF(OR(O179="Cancelled",O179="No-Show"),"",ROUND(R179*W179*(1+Burden),2)))</f>
        <v/>
      </c>
      <c r="Y179" s="55">
        <f>IF(B179="","",IF(OR(O179="Cancelled",O179="No-Show"),"",IF(N179&lt;&gt;"",N179,ROUND(R179*SupHr*IFERROR(INDEX('PRICING'!$G$7:$G$16,MATCH(F179,'PRICING'!$A$7:$A$16,0)),1),2))))</f>
        <v/>
      </c>
      <c r="Z179" s="98">
        <f>IF(B179="","",SUMIFS('MILEAGE'!$J$5:$J$1504,'MILEAGE'!$B$5:$B$1504,A179))</f>
        <v/>
      </c>
      <c r="AA179" s="55">
        <f>IF(B179="","",ROUND(Z179*MileRate,2))</f>
        <v/>
      </c>
      <c r="AB179" s="55">
        <f>IF(B179="","",SUMIFS('REVENUE'!$J$5:$J$1504,'REVENUE'!$B$5:$B$1504,A179))</f>
        <v/>
      </c>
      <c r="AC179" s="55">
        <f>IF(L179="","",IF(OR(O179="Cancelled",O179="No-Show"),"",L179-N(X179)-N(Y179)-AA179-AB179))</f>
        <v/>
      </c>
      <c r="AD179" s="99">
        <f>IF(OR(AC179="",N(L179)=0),"",AC179/L179)</f>
        <v/>
      </c>
      <c r="AE179" s="55">
        <f>IF(OR(AC179="",N(R179)=0),"",L179/R179)</f>
        <v/>
      </c>
      <c r="AF179" s="100">
        <f>IF(OR(N(K179)=0,N(J179)+N(Q179)=0),"",K179-IF(N(J179)&gt;0,J179,Q179))</f>
        <v/>
      </c>
      <c r="AG179" s="99">
        <f>IF(B179="","",IFERROR(AVERAGEIFS('QUALITY CONTROL'!$M$5:$M$304,'QUALITY CONTROL'!$B$5:$B$304,A179),""))</f>
        <v/>
      </c>
      <c r="AH179" s="51">
        <f>IF(B179="","",DATE(YEAR(B179),MONTH(B179),1))</f>
        <v/>
      </c>
      <c r="AI179" s="49">
        <f>IF(D179="","",IFERROR(INDEX('CUSTOMERS'!$E$5:$E$404,MATCH(D179,'CUSTOMERS'!$B$5:$B$404,0)),""))</f>
        <v/>
      </c>
      <c r="AJ179" s="49">
        <f>IF(B179="","",N(C179))</f>
        <v/>
      </c>
      <c r="AK179" s="49">
        <f>IF(OR(B179="",O179="Cancelled",O179="Rescheduled"),"",B179&amp;"|"&amp;(COUNTIFS('JOBS'!$B$5:$B$1504,B179,'JOBS'!$AJ$5:$AJ$1504,"&lt;"&amp;AJ179,'JOBS'!$O$5:$O$1504,"&lt;&gt;Cancelled",'JOBS'!$O$5:$O$1504,"&lt;&gt;Rescheduled")+COUNTIFS($B$5:B179,B179,$AJ$5:AJ179,AJ179,$O$5:O179,"&lt;&gt;Cancelled",$O$5:O179,"&lt;&gt;Rescheduled")))</f>
        <v/>
      </c>
      <c r="AL179" s="49">
        <f>IF(N(U179)&lt;=0.005,"",COUNTIFS('JOBS'!$U$5:$U$1504,"&gt;0.005",'JOBS'!$B$5:$B$1504,"&lt;"&amp;B179)+COUNTIFS($U$5:U179,"&gt;0.005",$B$5:B179,B179))</f>
        <v/>
      </c>
    </row>
    <row r="180">
      <c r="A180" s="46" t="inlineStr">
        <is>
          <t>J-0176</t>
        </is>
      </c>
      <c r="B180" s="47" t="n">
        <v>46199</v>
      </c>
      <c r="C180" s="94" t="n">
        <v>0.5416666666666666</v>
      </c>
      <c r="D180" s="38" t="inlineStr">
        <is>
          <t>Rowan Foxworth</t>
        </is>
      </c>
      <c r="E180" s="38" t="inlineStr">
        <is>
          <t>876 Magnolia Circle, North Sampletown</t>
        </is>
      </c>
      <c r="F180" s="38" t="inlineStr">
        <is>
          <t>Standard Clean</t>
        </is>
      </c>
      <c r="G180" s="38" t="inlineStr">
        <is>
          <t>R-005</t>
        </is>
      </c>
      <c r="H180" s="38" t="inlineStr">
        <is>
          <t>Maria Lopez</t>
        </is>
      </c>
      <c r="I180" s="57" t="n">
        <v>1</v>
      </c>
      <c r="J180" s="95" t="n"/>
      <c r="K180" s="95" t="n">
        <v>5.22</v>
      </c>
      <c r="L180" s="48" t="n">
        <v>220</v>
      </c>
      <c r="M180" s="96" t="n">
        <v>0</v>
      </c>
      <c r="N180" s="48" t="n"/>
      <c r="O180" s="38" t="inlineStr">
        <is>
          <t>Completed</t>
        </is>
      </c>
      <c r="P180" s="38" t="inlineStr"/>
      <c r="Q180" s="97">
        <f>IF(OR(F180="",E180=""),"",IFERROR(IF(INDEX('PROPERTIES'!$F$5:$F$404,MATCH(E180,'PROPERTIES'!$B$5:$B$404,0))=0,"",ROUND((INDEX('PROPERTIES'!$F$5:$F$404,MATCH(E180,'PROPERTIES'!$B$5:$B$404,0))/INDEX('PRICING'!$C$7:$C$16,MATCH(F180,'PRICING'!$A$7:$A$16,0))+INDEX('PROPERTIES'!$G$5:$G$404,MATCH(E180,'PROPERTIES'!$B$5:$B$404,0))*INDEX('PRICING'!$D$7:$D$16,MATCH(F180,'PRICING'!$A$7:$A$16,0))/60+INDEX('PROPERTIES'!$H$5:$H$404,MATCH(E180,'PROPERTIES'!$B$5:$B$404,0))*INDEX('PRICING'!$E$7:$E$16,MATCH(F180,'PRICING'!$A$7:$A$16,0))/60+INDEX('PRICING'!$F$7:$F$16,MATCH(F180,'PRICING'!$A$7:$A$16,0))/60),2)),""))</f>
        <v/>
      </c>
      <c r="R180" s="97">
        <f>IF(B180="","",IF(N(K180)&gt;0,K180,IF(N(J180)&gt;0,J180,N(Q180))))</f>
        <v/>
      </c>
      <c r="S180" s="55">
        <f>IF(L180="","",ROUND(L180*(1+N(M180)),2))</f>
        <v/>
      </c>
      <c r="T180" s="55">
        <f>IF(B180="","",SUMIFS('REVENUE'!$C$5:$C$1504,'REVENUE'!$B$5:$B$1504,A180))</f>
        <v/>
      </c>
      <c r="U180" s="55">
        <f>IF(B180="","",IF(O180="Completed",MAX(0,N(S180)-T180),""))</f>
        <v/>
      </c>
      <c r="V180" s="49">
        <f>IF(B180="","",IF(O180&lt;&gt;"Completed",IF(T180&gt;0,"Deposit","—"),IF(U180&lt;=0.005,"Paid",IF(T180&gt;0,"Partial","Unpaid"))))</f>
        <v/>
      </c>
      <c r="W180" s="55">
        <f>IF(B180="","",IFERROR(1/(1/INDEX('STAFF &amp; TASKS'!$C$5:$C$24,MATCH(H180,'STAFF &amp; TASKS'!$A$5:$A$24,0))),PayRate))</f>
        <v/>
      </c>
      <c r="X180" s="55">
        <f>IF(B180="","",IF(OR(O180="Cancelled",O180="No-Show"),"",ROUND(R180*W180*(1+Burden),2)))</f>
        <v/>
      </c>
      <c r="Y180" s="55">
        <f>IF(B180="","",IF(OR(O180="Cancelled",O180="No-Show"),"",IF(N180&lt;&gt;"",N180,ROUND(R180*SupHr*IFERROR(INDEX('PRICING'!$G$7:$G$16,MATCH(F180,'PRICING'!$A$7:$A$16,0)),1),2))))</f>
        <v/>
      </c>
      <c r="Z180" s="98">
        <f>IF(B180="","",SUMIFS('MILEAGE'!$J$5:$J$1504,'MILEAGE'!$B$5:$B$1504,A180))</f>
        <v/>
      </c>
      <c r="AA180" s="55">
        <f>IF(B180="","",ROUND(Z180*MileRate,2))</f>
        <v/>
      </c>
      <c r="AB180" s="55">
        <f>IF(B180="","",SUMIFS('REVENUE'!$J$5:$J$1504,'REVENUE'!$B$5:$B$1504,A180))</f>
        <v/>
      </c>
      <c r="AC180" s="55">
        <f>IF(L180="","",IF(OR(O180="Cancelled",O180="No-Show"),"",L180-N(X180)-N(Y180)-AA180-AB180))</f>
        <v/>
      </c>
      <c r="AD180" s="99">
        <f>IF(OR(AC180="",N(L180)=0),"",AC180/L180)</f>
        <v/>
      </c>
      <c r="AE180" s="55">
        <f>IF(OR(AC180="",N(R180)=0),"",L180/R180)</f>
        <v/>
      </c>
      <c r="AF180" s="100">
        <f>IF(OR(N(K180)=0,N(J180)+N(Q180)=0),"",K180-IF(N(J180)&gt;0,J180,Q180))</f>
        <v/>
      </c>
      <c r="AG180" s="99">
        <f>IF(B180="","",IFERROR(AVERAGEIFS('QUALITY CONTROL'!$M$5:$M$304,'QUALITY CONTROL'!$B$5:$B$304,A180),""))</f>
        <v/>
      </c>
      <c r="AH180" s="51">
        <f>IF(B180="","",DATE(YEAR(B180),MONTH(B180),1))</f>
        <v/>
      </c>
      <c r="AI180" s="49">
        <f>IF(D180="","",IFERROR(INDEX('CUSTOMERS'!$E$5:$E$404,MATCH(D180,'CUSTOMERS'!$B$5:$B$404,0)),""))</f>
        <v/>
      </c>
      <c r="AJ180" s="49">
        <f>IF(B180="","",N(C180))</f>
        <v/>
      </c>
      <c r="AK180" s="49">
        <f>IF(OR(B180="",O180="Cancelled",O180="Rescheduled"),"",B180&amp;"|"&amp;(COUNTIFS('JOBS'!$B$5:$B$1504,B180,'JOBS'!$AJ$5:$AJ$1504,"&lt;"&amp;AJ180,'JOBS'!$O$5:$O$1504,"&lt;&gt;Cancelled",'JOBS'!$O$5:$O$1504,"&lt;&gt;Rescheduled")+COUNTIFS($B$5:B180,B180,$AJ$5:AJ180,AJ180,$O$5:O180,"&lt;&gt;Cancelled",$O$5:O180,"&lt;&gt;Rescheduled")))</f>
        <v/>
      </c>
      <c r="AL180" s="49">
        <f>IF(N(U180)&lt;=0.005,"",COUNTIFS('JOBS'!$U$5:$U$1504,"&gt;0.005",'JOBS'!$B$5:$B$1504,"&lt;"&amp;B180)+COUNTIFS($U$5:U180,"&gt;0.005",$B$5:B180,B180))</f>
        <v/>
      </c>
    </row>
    <row r="181">
      <c r="A181" s="46" t="inlineStr">
        <is>
          <t>J-0177</t>
        </is>
      </c>
      <c r="B181" s="47" t="n">
        <v>46199</v>
      </c>
      <c r="C181" s="94" t="n">
        <v>0.5833333333333334</v>
      </c>
      <c r="D181" s="38" t="inlineStr">
        <is>
          <t>Devon Hayes</t>
        </is>
      </c>
      <c r="E181" s="38" t="inlineStr">
        <is>
          <t>461 Hawthorn Road, Lakeview (fictional)</t>
        </is>
      </c>
      <c r="F181" s="38" t="inlineStr">
        <is>
          <t>Standard Clean</t>
        </is>
      </c>
      <c r="G181" s="38" t="inlineStr">
        <is>
          <t>R-003</t>
        </is>
      </c>
      <c r="H181" s="38" t="inlineStr">
        <is>
          <t>Maria Lopez</t>
        </is>
      </c>
      <c r="I181" s="57" t="n">
        <v>1</v>
      </c>
      <c r="J181" s="95" t="n"/>
      <c r="K181" s="95" t="n">
        <v>4.47</v>
      </c>
      <c r="L181" s="48" t="n">
        <v>220</v>
      </c>
      <c r="M181" s="96" t="n">
        <v>0</v>
      </c>
      <c r="N181" s="48" t="n"/>
      <c r="O181" s="38" t="inlineStr">
        <is>
          <t>Completed</t>
        </is>
      </c>
      <c r="P181" s="38" t="inlineStr"/>
      <c r="Q181" s="97">
        <f>IF(OR(F181="",E181=""),"",IFERROR(IF(INDEX('PROPERTIES'!$F$5:$F$404,MATCH(E181,'PROPERTIES'!$B$5:$B$404,0))=0,"",ROUND((INDEX('PROPERTIES'!$F$5:$F$404,MATCH(E181,'PROPERTIES'!$B$5:$B$404,0))/INDEX('PRICING'!$C$7:$C$16,MATCH(F181,'PRICING'!$A$7:$A$16,0))+INDEX('PROPERTIES'!$G$5:$G$404,MATCH(E181,'PROPERTIES'!$B$5:$B$404,0))*INDEX('PRICING'!$D$7:$D$16,MATCH(F181,'PRICING'!$A$7:$A$16,0))/60+INDEX('PROPERTIES'!$H$5:$H$404,MATCH(E181,'PROPERTIES'!$B$5:$B$404,0))*INDEX('PRICING'!$E$7:$E$16,MATCH(F181,'PRICING'!$A$7:$A$16,0))/60+INDEX('PRICING'!$F$7:$F$16,MATCH(F181,'PRICING'!$A$7:$A$16,0))/60),2)),""))</f>
        <v/>
      </c>
      <c r="R181" s="97">
        <f>IF(B181="","",IF(N(K181)&gt;0,K181,IF(N(J181)&gt;0,J181,N(Q181))))</f>
        <v/>
      </c>
      <c r="S181" s="55">
        <f>IF(L181="","",ROUND(L181*(1+N(M181)),2))</f>
        <v/>
      </c>
      <c r="T181" s="55">
        <f>IF(B181="","",SUMIFS('REVENUE'!$C$5:$C$1504,'REVENUE'!$B$5:$B$1504,A181))</f>
        <v/>
      </c>
      <c r="U181" s="55">
        <f>IF(B181="","",IF(O181="Completed",MAX(0,N(S181)-T181),""))</f>
        <v/>
      </c>
      <c r="V181" s="49">
        <f>IF(B181="","",IF(O181&lt;&gt;"Completed",IF(T181&gt;0,"Deposit","—"),IF(U181&lt;=0.005,"Paid",IF(T181&gt;0,"Partial","Unpaid"))))</f>
        <v/>
      </c>
      <c r="W181" s="55">
        <f>IF(B181="","",IFERROR(1/(1/INDEX('STAFF &amp; TASKS'!$C$5:$C$24,MATCH(H181,'STAFF &amp; TASKS'!$A$5:$A$24,0))),PayRate))</f>
        <v/>
      </c>
      <c r="X181" s="55">
        <f>IF(B181="","",IF(OR(O181="Cancelled",O181="No-Show"),"",ROUND(R181*W181*(1+Burden),2)))</f>
        <v/>
      </c>
      <c r="Y181" s="55">
        <f>IF(B181="","",IF(OR(O181="Cancelled",O181="No-Show"),"",IF(N181&lt;&gt;"",N181,ROUND(R181*SupHr*IFERROR(INDEX('PRICING'!$G$7:$G$16,MATCH(F181,'PRICING'!$A$7:$A$16,0)),1),2))))</f>
        <v/>
      </c>
      <c r="Z181" s="98">
        <f>IF(B181="","",SUMIFS('MILEAGE'!$J$5:$J$1504,'MILEAGE'!$B$5:$B$1504,A181))</f>
        <v/>
      </c>
      <c r="AA181" s="55">
        <f>IF(B181="","",ROUND(Z181*MileRate,2))</f>
        <v/>
      </c>
      <c r="AB181" s="55">
        <f>IF(B181="","",SUMIFS('REVENUE'!$J$5:$J$1504,'REVENUE'!$B$5:$B$1504,A181))</f>
        <v/>
      </c>
      <c r="AC181" s="55">
        <f>IF(L181="","",IF(OR(O181="Cancelled",O181="No-Show"),"",L181-N(X181)-N(Y181)-AA181-AB181))</f>
        <v/>
      </c>
      <c r="AD181" s="99">
        <f>IF(OR(AC181="",N(L181)=0),"",AC181/L181)</f>
        <v/>
      </c>
      <c r="AE181" s="55">
        <f>IF(OR(AC181="",N(R181)=0),"",L181/R181)</f>
        <v/>
      </c>
      <c r="AF181" s="100">
        <f>IF(OR(N(K181)=0,N(J181)+N(Q181)=0),"",K181-IF(N(J181)&gt;0,J181,Q181))</f>
        <v/>
      </c>
      <c r="AG181" s="99">
        <f>IF(B181="","",IFERROR(AVERAGEIFS('QUALITY CONTROL'!$M$5:$M$304,'QUALITY CONTROL'!$B$5:$B$304,A181),""))</f>
        <v/>
      </c>
      <c r="AH181" s="51">
        <f>IF(B181="","",DATE(YEAR(B181),MONTH(B181),1))</f>
        <v/>
      </c>
      <c r="AI181" s="49">
        <f>IF(D181="","",IFERROR(INDEX('CUSTOMERS'!$E$5:$E$404,MATCH(D181,'CUSTOMERS'!$B$5:$B$404,0)),""))</f>
        <v/>
      </c>
      <c r="AJ181" s="49">
        <f>IF(B181="","",N(C181))</f>
        <v/>
      </c>
      <c r="AK181" s="49">
        <f>IF(OR(B181="",O181="Cancelled",O181="Rescheduled"),"",B181&amp;"|"&amp;(COUNTIFS('JOBS'!$B$5:$B$1504,B181,'JOBS'!$AJ$5:$AJ$1504,"&lt;"&amp;AJ181,'JOBS'!$O$5:$O$1504,"&lt;&gt;Cancelled",'JOBS'!$O$5:$O$1504,"&lt;&gt;Rescheduled")+COUNTIFS($B$5:B181,B181,$AJ$5:AJ181,AJ181,$O$5:O181,"&lt;&gt;Cancelled",$O$5:O181,"&lt;&gt;Rescheduled")))</f>
        <v/>
      </c>
      <c r="AL181" s="49">
        <f>IF(N(U181)&lt;=0.005,"",COUNTIFS('JOBS'!$U$5:$U$1504,"&gt;0.005",'JOBS'!$B$5:$B$1504,"&lt;"&amp;B181)+COUNTIFS($U$5:U181,"&gt;0.005",$B$5:B181,B181))</f>
        <v/>
      </c>
    </row>
    <row r="182">
      <c r="A182" s="46" t="inlineStr">
        <is>
          <t>J-0178</t>
        </is>
      </c>
      <c r="B182" s="47" t="n">
        <v>46199</v>
      </c>
      <c r="C182" s="94" t="n">
        <v>0.5833333333333334</v>
      </c>
      <c r="D182" s="38" t="inlineStr">
        <is>
          <t>Brightside Dental Studio (sample)</t>
        </is>
      </c>
      <c r="E182" s="38" t="inlineStr">
        <is>
          <t>738 Cedar Court, North Sampletown</t>
        </is>
      </c>
      <c r="F182" s="38" t="inlineStr">
        <is>
          <t>Commercial Clean</t>
        </is>
      </c>
      <c r="G182" s="38" t="inlineStr">
        <is>
          <t>R-011</t>
        </is>
      </c>
      <c r="H182" s="38" t="inlineStr">
        <is>
          <t>Kevin Osei</t>
        </is>
      </c>
      <c r="I182" s="57" t="n">
        <v>2</v>
      </c>
      <c r="J182" s="95" t="n"/>
      <c r="K182" s="95" t="n">
        <v>1.76</v>
      </c>
      <c r="L182" s="48" t="n">
        <v>100</v>
      </c>
      <c r="M182" s="96" t="n">
        <v>0</v>
      </c>
      <c r="N182" s="48" t="n"/>
      <c r="O182" s="38" t="inlineStr">
        <is>
          <t>Completed</t>
        </is>
      </c>
      <c r="P182" s="38" t="inlineStr"/>
      <c r="Q182" s="97">
        <f>IF(OR(F182="",E182=""),"",IFERROR(IF(INDEX('PROPERTIES'!$F$5:$F$404,MATCH(E182,'PROPERTIES'!$B$5:$B$404,0))=0,"",ROUND((INDEX('PROPERTIES'!$F$5:$F$404,MATCH(E182,'PROPERTIES'!$B$5:$B$404,0))/INDEX('PRICING'!$C$7:$C$16,MATCH(F182,'PRICING'!$A$7:$A$16,0))+INDEX('PROPERTIES'!$G$5:$G$404,MATCH(E182,'PROPERTIES'!$B$5:$B$404,0))*INDEX('PRICING'!$D$7:$D$16,MATCH(F182,'PRICING'!$A$7:$A$16,0))/60+INDEX('PROPERTIES'!$H$5:$H$404,MATCH(E182,'PROPERTIES'!$B$5:$B$404,0))*INDEX('PRICING'!$E$7:$E$16,MATCH(F182,'PRICING'!$A$7:$A$16,0))/60+INDEX('PRICING'!$F$7:$F$16,MATCH(F182,'PRICING'!$A$7:$A$16,0))/60),2)),""))</f>
        <v/>
      </c>
      <c r="R182" s="97">
        <f>IF(B182="","",IF(N(K182)&gt;0,K182,IF(N(J182)&gt;0,J182,N(Q182))))</f>
        <v/>
      </c>
      <c r="S182" s="55">
        <f>IF(L182="","",ROUND(L182*(1+N(M182)),2))</f>
        <v/>
      </c>
      <c r="T182" s="55">
        <f>IF(B182="","",SUMIFS('REVENUE'!$C$5:$C$1504,'REVENUE'!$B$5:$B$1504,A182))</f>
        <v/>
      </c>
      <c r="U182" s="55">
        <f>IF(B182="","",IF(O182="Completed",MAX(0,N(S182)-T182),""))</f>
        <v/>
      </c>
      <c r="V182" s="49">
        <f>IF(B182="","",IF(O182&lt;&gt;"Completed",IF(T182&gt;0,"Deposit","—"),IF(U182&lt;=0.005,"Paid",IF(T182&gt;0,"Partial","Unpaid"))))</f>
        <v/>
      </c>
      <c r="W182" s="55">
        <f>IF(B182="","",IFERROR(1/(1/INDEX('STAFF &amp; TASKS'!$C$5:$C$24,MATCH(H182,'STAFF &amp; TASKS'!$A$5:$A$24,0))),PayRate))</f>
        <v/>
      </c>
      <c r="X182" s="55">
        <f>IF(B182="","",IF(OR(O182="Cancelled",O182="No-Show"),"",ROUND(R182*W182*(1+Burden),2)))</f>
        <v/>
      </c>
      <c r="Y182" s="55">
        <f>IF(B182="","",IF(OR(O182="Cancelled",O182="No-Show"),"",IF(N182&lt;&gt;"",N182,ROUND(R182*SupHr*IFERROR(INDEX('PRICING'!$G$7:$G$16,MATCH(F182,'PRICING'!$A$7:$A$16,0)),1),2))))</f>
        <v/>
      </c>
      <c r="Z182" s="98">
        <f>IF(B182="","",SUMIFS('MILEAGE'!$J$5:$J$1504,'MILEAGE'!$B$5:$B$1504,A182))</f>
        <v/>
      </c>
      <c r="AA182" s="55">
        <f>IF(B182="","",ROUND(Z182*MileRate,2))</f>
        <v/>
      </c>
      <c r="AB182" s="55">
        <f>IF(B182="","",SUMIFS('REVENUE'!$J$5:$J$1504,'REVENUE'!$B$5:$B$1504,A182))</f>
        <v/>
      </c>
      <c r="AC182" s="55">
        <f>IF(L182="","",IF(OR(O182="Cancelled",O182="No-Show"),"",L182-N(X182)-N(Y182)-AA182-AB182))</f>
        <v/>
      </c>
      <c r="AD182" s="99">
        <f>IF(OR(AC182="",N(L182)=0),"",AC182/L182)</f>
        <v/>
      </c>
      <c r="AE182" s="55">
        <f>IF(OR(AC182="",N(R182)=0),"",L182/R182)</f>
        <v/>
      </c>
      <c r="AF182" s="100">
        <f>IF(OR(N(K182)=0,N(J182)+N(Q182)=0),"",K182-IF(N(J182)&gt;0,J182,Q182))</f>
        <v/>
      </c>
      <c r="AG182" s="99">
        <f>IF(B182="","",IFERROR(AVERAGEIFS('QUALITY CONTROL'!$M$5:$M$304,'QUALITY CONTROL'!$B$5:$B$304,A182),""))</f>
        <v/>
      </c>
      <c r="AH182" s="51">
        <f>IF(B182="","",DATE(YEAR(B182),MONTH(B182),1))</f>
        <v/>
      </c>
      <c r="AI182" s="49">
        <f>IF(D182="","",IFERROR(INDEX('CUSTOMERS'!$E$5:$E$404,MATCH(D182,'CUSTOMERS'!$B$5:$B$404,0)),""))</f>
        <v/>
      </c>
      <c r="AJ182" s="49">
        <f>IF(B182="","",N(C182))</f>
        <v/>
      </c>
      <c r="AK182" s="49">
        <f>IF(OR(B182="",O182="Cancelled",O182="Rescheduled"),"",B182&amp;"|"&amp;(COUNTIFS('JOBS'!$B$5:$B$1504,B182,'JOBS'!$AJ$5:$AJ$1504,"&lt;"&amp;AJ182,'JOBS'!$O$5:$O$1504,"&lt;&gt;Cancelled",'JOBS'!$O$5:$O$1504,"&lt;&gt;Rescheduled")+COUNTIFS($B$5:B182,B182,$AJ$5:AJ182,AJ182,$O$5:O182,"&lt;&gt;Cancelled",$O$5:O182,"&lt;&gt;Rescheduled")))</f>
        <v/>
      </c>
      <c r="AL182" s="49">
        <f>IF(N(U182)&lt;=0.005,"",COUNTIFS('JOBS'!$U$5:$U$1504,"&gt;0.005",'JOBS'!$B$5:$B$1504,"&lt;"&amp;B182)+COUNTIFS($U$5:U182,"&gt;0.005",$B$5:B182,B182))</f>
        <v/>
      </c>
    </row>
    <row r="183">
      <c r="A183" s="46" t="inlineStr">
        <is>
          <t>J-0179</t>
        </is>
      </c>
      <c r="B183" s="47" t="n">
        <v>46200</v>
      </c>
      <c r="C183" s="94" t="n">
        <v>0.5833333333333334</v>
      </c>
      <c r="D183" s="38" t="inlineStr">
        <is>
          <t>Noel Collins</t>
        </is>
      </c>
      <c r="E183" s="38" t="inlineStr">
        <is>
          <t>964 Cedar Court, Lakeview (fictional)</t>
        </is>
      </c>
      <c r="F183" s="38" t="inlineStr">
        <is>
          <t>Standard Clean</t>
        </is>
      </c>
      <c r="G183" s="38" t="inlineStr">
        <is>
          <t>R-004</t>
        </is>
      </c>
      <c r="H183" s="38" t="inlineStr">
        <is>
          <t>Dana Whitfield</t>
        </is>
      </c>
      <c r="I183" s="57" t="n">
        <v>1</v>
      </c>
      <c r="J183" s="95" t="n"/>
      <c r="K183" s="95" t="n">
        <v>5.43</v>
      </c>
      <c r="L183" s="48" t="n">
        <v>245</v>
      </c>
      <c r="M183" s="96" t="n">
        <v>0</v>
      </c>
      <c r="N183" s="48" t="n"/>
      <c r="O183" s="38" t="inlineStr">
        <is>
          <t>Completed</t>
        </is>
      </c>
      <c r="P183" s="38" t="inlineStr"/>
      <c r="Q183" s="97">
        <f>IF(OR(F183="",E183=""),"",IFERROR(IF(INDEX('PROPERTIES'!$F$5:$F$404,MATCH(E183,'PROPERTIES'!$B$5:$B$404,0))=0,"",ROUND((INDEX('PROPERTIES'!$F$5:$F$404,MATCH(E183,'PROPERTIES'!$B$5:$B$404,0))/INDEX('PRICING'!$C$7:$C$16,MATCH(F183,'PRICING'!$A$7:$A$16,0))+INDEX('PROPERTIES'!$G$5:$G$404,MATCH(E183,'PROPERTIES'!$B$5:$B$404,0))*INDEX('PRICING'!$D$7:$D$16,MATCH(F183,'PRICING'!$A$7:$A$16,0))/60+INDEX('PROPERTIES'!$H$5:$H$404,MATCH(E183,'PROPERTIES'!$B$5:$B$404,0))*INDEX('PRICING'!$E$7:$E$16,MATCH(F183,'PRICING'!$A$7:$A$16,0))/60+INDEX('PRICING'!$F$7:$F$16,MATCH(F183,'PRICING'!$A$7:$A$16,0))/60),2)),""))</f>
        <v/>
      </c>
      <c r="R183" s="97">
        <f>IF(B183="","",IF(N(K183)&gt;0,K183,IF(N(J183)&gt;0,J183,N(Q183))))</f>
        <v/>
      </c>
      <c r="S183" s="55">
        <f>IF(L183="","",ROUND(L183*(1+N(M183)),2))</f>
        <v/>
      </c>
      <c r="T183" s="55">
        <f>IF(B183="","",SUMIFS('REVENUE'!$C$5:$C$1504,'REVENUE'!$B$5:$B$1504,A183))</f>
        <v/>
      </c>
      <c r="U183" s="55">
        <f>IF(B183="","",IF(O183="Completed",MAX(0,N(S183)-T183),""))</f>
        <v/>
      </c>
      <c r="V183" s="49">
        <f>IF(B183="","",IF(O183&lt;&gt;"Completed",IF(T183&gt;0,"Deposit","—"),IF(U183&lt;=0.005,"Paid",IF(T183&gt;0,"Partial","Unpaid"))))</f>
        <v/>
      </c>
      <c r="W183" s="55">
        <f>IF(B183="","",IFERROR(1/(1/INDEX('STAFF &amp; TASKS'!$C$5:$C$24,MATCH(H183,'STAFF &amp; TASKS'!$A$5:$A$24,0))),PayRate))</f>
        <v/>
      </c>
      <c r="X183" s="55">
        <f>IF(B183="","",IF(OR(O183="Cancelled",O183="No-Show"),"",ROUND(R183*W183*(1+Burden),2)))</f>
        <v/>
      </c>
      <c r="Y183" s="55">
        <f>IF(B183="","",IF(OR(O183="Cancelled",O183="No-Show"),"",IF(N183&lt;&gt;"",N183,ROUND(R183*SupHr*IFERROR(INDEX('PRICING'!$G$7:$G$16,MATCH(F183,'PRICING'!$A$7:$A$16,0)),1),2))))</f>
        <v/>
      </c>
      <c r="Z183" s="98">
        <f>IF(B183="","",SUMIFS('MILEAGE'!$J$5:$J$1504,'MILEAGE'!$B$5:$B$1504,A183))</f>
        <v/>
      </c>
      <c r="AA183" s="55">
        <f>IF(B183="","",ROUND(Z183*MileRate,2))</f>
        <v/>
      </c>
      <c r="AB183" s="55">
        <f>IF(B183="","",SUMIFS('REVENUE'!$J$5:$J$1504,'REVENUE'!$B$5:$B$1504,A183))</f>
        <v/>
      </c>
      <c r="AC183" s="55">
        <f>IF(L183="","",IF(OR(O183="Cancelled",O183="No-Show"),"",L183-N(X183)-N(Y183)-AA183-AB183))</f>
        <v/>
      </c>
      <c r="AD183" s="99">
        <f>IF(OR(AC183="",N(L183)=0),"",AC183/L183)</f>
        <v/>
      </c>
      <c r="AE183" s="55">
        <f>IF(OR(AC183="",N(R183)=0),"",L183/R183)</f>
        <v/>
      </c>
      <c r="AF183" s="100">
        <f>IF(OR(N(K183)=0,N(J183)+N(Q183)=0),"",K183-IF(N(J183)&gt;0,J183,Q183))</f>
        <v/>
      </c>
      <c r="AG183" s="99">
        <f>IF(B183="","",IFERROR(AVERAGEIFS('QUALITY CONTROL'!$M$5:$M$304,'QUALITY CONTROL'!$B$5:$B$304,A183),""))</f>
        <v/>
      </c>
      <c r="AH183" s="51">
        <f>IF(B183="","",DATE(YEAR(B183),MONTH(B183),1))</f>
        <v/>
      </c>
      <c r="AI183" s="49">
        <f>IF(D183="","",IFERROR(INDEX('CUSTOMERS'!$E$5:$E$404,MATCH(D183,'CUSTOMERS'!$B$5:$B$404,0)),""))</f>
        <v/>
      </c>
      <c r="AJ183" s="49">
        <f>IF(B183="","",N(C183))</f>
        <v/>
      </c>
      <c r="AK183" s="49">
        <f>IF(OR(B183="",O183="Cancelled",O183="Rescheduled"),"",B183&amp;"|"&amp;(COUNTIFS('JOBS'!$B$5:$B$1504,B183,'JOBS'!$AJ$5:$AJ$1504,"&lt;"&amp;AJ183,'JOBS'!$O$5:$O$1504,"&lt;&gt;Cancelled",'JOBS'!$O$5:$O$1504,"&lt;&gt;Rescheduled")+COUNTIFS($B$5:B183,B183,$AJ$5:AJ183,AJ183,$O$5:O183,"&lt;&gt;Cancelled",$O$5:O183,"&lt;&gt;Rescheduled")))</f>
        <v/>
      </c>
      <c r="AL183" s="49">
        <f>IF(N(U183)&lt;=0.005,"",COUNTIFS('JOBS'!$U$5:$U$1504,"&gt;0.005",'JOBS'!$B$5:$B$1504,"&lt;"&amp;B183)+COUNTIFS($U$5:U183,"&gt;0.005",$B$5:B183,B183))</f>
        <v/>
      </c>
    </row>
    <row r="184">
      <c r="A184" s="46" t="inlineStr">
        <is>
          <t>J-0180</t>
        </is>
      </c>
      <c r="B184" s="47" t="n">
        <v>46200</v>
      </c>
      <c r="C184" s="94" t="n">
        <v>0.5833333333333334</v>
      </c>
      <c r="D184" s="38" t="inlineStr">
        <is>
          <t>Emerson Holloway</t>
        </is>
      </c>
      <c r="E184" s="38" t="inlineStr">
        <is>
          <t>192 Birch Lane, North Sampletown</t>
        </is>
      </c>
      <c r="F184" s="38" t="inlineStr">
        <is>
          <t>Airbnb Turnover</t>
        </is>
      </c>
      <c r="G184" s="38" t="n"/>
      <c r="H184" s="38" t="inlineStr">
        <is>
          <t>Kevin Osei</t>
        </is>
      </c>
      <c r="I184" s="57" t="n">
        <v>1</v>
      </c>
      <c r="J184" s="95" t="n"/>
      <c r="K184" s="95" t="n">
        <v>2.11</v>
      </c>
      <c r="L184" s="48" t="n">
        <v>150</v>
      </c>
      <c r="M184" s="96" t="n">
        <v>0</v>
      </c>
      <c r="N184" s="48" t="n"/>
      <c r="O184" s="38" t="inlineStr">
        <is>
          <t>Completed</t>
        </is>
      </c>
      <c r="P184" s="38" t="inlineStr">
        <is>
          <t>Includes laundry</t>
        </is>
      </c>
      <c r="Q184" s="97">
        <f>IF(OR(F184="",E184=""),"",IFERROR(IF(INDEX('PROPERTIES'!$F$5:$F$404,MATCH(E184,'PROPERTIES'!$B$5:$B$404,0))=0,"",ROUND((INDEX('PROPERTIES'!$F$5:$F$404,MATCH(E184,'PROPERTIES'!$B$5:$B$404,0))/INDEX('PRICING'!$C$7:$C$16,MATCH(F184,'PRICING'!$A$7:$A$16,0))+INDEX('PROPERTIES'!$G$5:$G$404,MATCH(E184,'PROPERTIES'!$B$5:$B$404,0))*INDEX('PRICING'!$D$7:$D$16,MATCH(F184,'PRICING'!$A$7:$A$16,0))/60+INDEX('PROPERTIES'!$H$5:$H$404,MATCH(E184,'PROPERTIES'!$B$5:$B$404,0))*INDEX('PRICING'!$E$7:$E$16,MATCH(F184,'PRICING'!$A$7:$A$16,0))/60+INDEX('PRICING'!$F$7:$F$16,MATCH(F184,'PRICING'!$A$7:$A$16,0))/60),2)),""))</f>
        <v/>
      </c>
      <c r="R184" s="97">
        <f>IF(B184="","",IF(N(K184)&gt;0,K184,IF(N(J184)&gt;0,J184,N(Q184))))</f>
        <v/>
      </c>
      <c r="S184" s="55">
        <f>IF(L184="","",ROUND(L184*(1+N(M184)),2))</f>
        <v/>
      </c>
      <c r="T184" s="55">
        <f>IF(B184="","",SUMIFS('REVENUE'!$C$5:$C$1504,'REVENUE'!$B$5:$B$1504,A184))</f>
        <v/>
      </c>
      <c r="U184" s="55">
        <f>IF(B184="","",IF(O184="Completed",MAX(0,N(S184)-T184),""))</f>
        <v/>
      </c>
      <c r="V184" s="49">
        <f>IF(B184="","",IF(O184&lt;&gt;"Completed",IF(T184&gt;0,"Deposit","—"),IF(U184&lt;=0.005,"Paid",IF(T184&gt;0,"Partial","Unpaid"))))</f>
        <v/>
      </c>
      <c r="W184" s="55">
        <f>IF(B184="","",IFERROR(1/(1/INDEX('STAFF &amp; TASKS'!$C$5:$C$24,MATCH(H184,'STAFF &amp; TASKS'!$A$5:$A$24,0))),PayRate))</f>
        <v/>
      </c>
      <c r="X184" s="55">
        <f>IF(B184="","",IF(OR(O184="Cancelled",O184="No-Show"),"",ROUND(R184*W184*(1+Burden),2)))</f>
        <v/>
      </c>
      <c r="Y184" s="55">
        <f>IF(B184="","",IF(OR(O184="Cancelled",O184="No-Show"),"",IF(N184&lt;&gt;"",N184,ROUND(R184*SupHr*IFERROR(INDEX('PRICING'!$G$7:$G$16,MATCH(F184,'PRICING'!$A$7:$A$16,0)),1),2))))</f>
        <v/>
      </c>
      <c r="Z184" s="98">
        <f>IF(B184="","",SUMIFS('MILEAGE'!$J$5:$J$1504,'MILEAGE'!$B$5:$B$1504,A184))</f>
        <v/>
      </c>
      <c r="AA184" s="55">
        <f>IF(B184="","",ROUND(Z184*MileRate,2))</f>
        <v/>
      </c>
      <c r="AB184" s="55">
        <f>IF(B184="","",SUMIFS('REVENUE'!$J$5:$J$1504,'REVENUE'!$B$5:$B$1504,A184))</f>
        <v/>
      </c>
      <c r="AC184" s="55">
        <f>IF(L184="","",IF(OR(O184="Cancelled",O184="No-Show"),"",L184-N(X184)-N(Y184)-AA184-AB184))</f>
        <v/>
      </c>
      <c r="AD184" s="99">
        <f>IF(OR(AC184="",N(L184)=0),"",AC184/L184)</f>
        <v/>
      </c>
      <c r="AE184" s="55">
        <f>IF(OR(AC184="",N(R184)=0),"",L184/R184)</f>
        <v/>
      </c>
      <c r="AF184" s="100">
        <f>IF(OR(N(K184)=0,N(J184)+N(Q184)=0),"",K184-IF(N(J184)&gt;0,J184,Q184))</f>
        <v/>
      </c>
      <c r="AG184" s="99">
        <f>IF(B184="","",IFERROR(AVERAGEIFS('QUALITY CONTROL'!$M$5:$M$304,'QUALITY CONTROL'!$B$5:$B$304,A184),""))</f>
        <v/>
      </c>
      <c r="AH184" s="51">
        <f>IF(B184="","",DATE(YEAR(B184),MONTH(B184),1))</f>
        <v/>
      </c>
      <c r="AI184" s="49">
        <f>IF(D184="","",IFERROR(INDEX('CUSTOMERS'!$E$5:$E$404,MATCH(D184,'CUSTOMERS'!$B$5:$B$404,0)),""))</f>
        <v/>
      </c>
      <c r="AJ184" s="49">
        <f>IF(B184="","",N(C184))</f>
        <v/>
      </c>
      <c r="AK184" s="49">
        <f>IF(OR(B184="",O184="Cancelled",O184="Rescheduled"),"",B184&amp;"|"&amp;(COUNTIFS('JOBS'!$B$5:$B$1504,B184,'JOBS'!$AJ$5:$AJ$1504,"&lt;"&amp;AJ184,'JOBS'!$O$5:$O$1504,"&lt;&gt;Cancelled",'JOBS'!$O$5:$O$1504,"&lt;&gt;Rescheduled")+COUNTIFS($B$5:B184,B184,$AJ$5:AJ184,AJ184,$O$5:O184,"&lt;&gt;Cancelled",$O$5:O184,"&lt;&gt;Rescheduled")))</f>
        <v/>
      </c>
      <c r="AL184" s="49">
        <f>IF(N(U184)&lt;=0.005,"",COUNTIFS('JOBS'!$U$5:$U$1504,"&gt;0.005",'JOBS'!$B$5:$B$1504,"&lt;"&amp;B184)+COUNTIFS($U$5:U184,"&gt;0.005",$B$5:B184,B184))</f>
        <v/>
      </c>
    </row>
    <row r="185">
      <c r="A185" s="46" t="inlineStr">
        <is>
          <t>J-0181</t>
        </is>
      </c>
      <c r="B185" s="47" t="n">
        <v>46203</v>
      </c>
      <c r="C185" s="94" t="n">
        <v>0.4791666666666667</v>
      </c>
      <c r="D185" s="38" t="inlineStr">
        <is>
          <t>Lane Ivers</t>
        </is>
      </c>
      <c r="E185" s="38" t="inlineStr">
        <is>
          <t>497 Aspen Drive, Sampletown</t>
        </is>
      </c>
      <c r="F185" s="38" t="inlineStr">
        <is>
          <t>Standard Clean</t>
        </is>
      </c>
      <c r="G185" s="38" t="inlineStr">
        <is>
          <t>R-001</t>
        </is>
      </c>
      <c r="H185" s="38" t="inlineStr">
        <is>
          <t>Maria Lopez</t>
        </is>
      </c>
      <c r="I185" s="57" t="n">
        <v>1</v>
      </c>
      <c r="J185" s="95" t="n"/>
      <c r="K185" s="95" t="n">
        <v>3.85</v>
      </c>
      <c r="L185" s="48" t="n">
        <v>175</v>
      </c>
      <c r="M185" s="96" t="n">
        <v>0</v>
      </c>
      <c r="N185" s="48" t="n"/>
      <c r="O185" s="38" t="inlineStr">
        <is>
          <t>Completed</t>
        </is>
      </c>
      <c r="P185" s="38" t="inlineStr"/>
      <c r="Q185" s="97">
        <f>IF(OR(F185="",E185=""),"",IFERROR(IF(INDEX('PROPERTIES'!$F$5:$F$404,MATCH(E185,'PROPERTIES'!$B$5:$B$404,0))=0,"",ROUND((INDEX('PROPERTIES'!$F$5:$F$404,MATCH(E185,'PROPERTIES'!$B$5:$B$404,0))/INDEX('PRICING'!$C$7:$C$16,MATCH(F185,'PRICING'!$A$7:$A$16,0))+INDEX('PROPERTIES'!$G$5:$G$404,MATCH(E185,'PROPERTIES'!$B$5:$B$404,0))*INDEX('PRICING'!$D$7:$D$16,MATCH(F185,'PRICING'!$A$7:$A$16,0))/60+INDEX('PROPERTIES'!$H$5:$H$404,MATCH(E185,'PROPERTIES'!$B$5:$B$404,0))*INDEX('PRICING'!$E$7:$E$16,MATCH(F185,'PRICING'!$A$7:$A$16,0))/60+INDEX('PRICING'!$F$7:$F$16,MATCH(F185,'PRICING'!$A$7:$A$16,0))/60),2)),""))</f>
        <v/>
      </c>
      <c r="R185" s="97">
        <f>IF(B185="","",IF(N(K185)&gt;0,K185,IF(N(J185)&gt;0,J185,N(Q185))))</f>
        <v/>
      </c>
      <c r="S185" s="55">
        <f>IF(L185="","",ROUND(L185*(1+N(M185)),2))</f>
        <v/>
      </c>
      <c r="T185" s="55">
        <f>IF(B185="","",SUMIFS('REVENUE'!$C$5:$C$1504,'REVENUE'!$B$5:$B$1504,A185))</f>
        <v/>
      </c>
      <c r="U185" s="55">
        <f>IF(B185="","",IF(O185="Completed",MAX(0,N(S185)-T185),""))</f>
        <v/>
      </c>
      <c r="V185" s="49">
        <f>IF(B185="","",IF(O185&lt;&gt;"Completed",IF(T185&gt;0,"Deposit","—"),IF(U185&lt;=0.005,"Paid",IF(T185&gt;0,"Partial","Unpaid"))))</f>
        <v/>
      </c>
      <c r="W185" s="55">
        <f>IF(B185="","",IFERROR(1/(1/INDEX('STAFF &amp; TASKS'!$C$5:$C$24,MATCH(H185,'STAFF &amp; TASKS'!$A$5:$A$24,0))),PayRate))</f>
        <v/>
      </c>
      <c r="X185" s="55">
        <f>IF(B185="","",IF(OR(O185="Cancelled",O185="No-Show"),"",ROUND(R185*W185*(1+Burden),2)))</f>
        <v/>
      </c>
      <c r="Y185" s="55">
        <f>IF(B185="","",IF(OR(O185="Cancelled",O185="No-Show"),"",IF(N185&lt;&gt;"",N185,ROUND(R185*SupHr*IFERROR(INDEX('PRICING'!$G$7:$G$16,MATCH(F185,'PRICING'!$A$7:$A$16,0)),1),2))))</f>
        <v/>
      </c>
      <c r="Z185" s="98">
        <f>IF(B185="","",SUMIFS('MILEAGE'!$J$5:$J$1504,'MILEAGE'!$B$5:$B$1504,A185))</f>
        <v/>
      </c>
      <c r="AA185" s="55">
        <f>IF(B185="","",ROUND(Z185*MileRate,2))</f>
        <v/>
      </c>
      <c r="AB185" s="55">
        <f>IF(B185="","",SUMIFS('REVENUE'!$J$5:$J$1504,'REVENUE'!$B$5:$B$1504,A185))</f>
        <v/>
      </c>
      <c r="AC185" s="55">
        <f>IF(L185="","",IF(OR(O185="Cancelled",O185="No-Show"),"",L185-N(X185)-N(Y185)-AA185-AB185))</f>
        <v/>
      </c>
      <c r="AD185" s="99">
        <f>IF(OR(AC185="",N(L185)=0),"",AC185/L185)</f>
        <v/>
      </c>
      <c r="AE185" s="55">
        <f>IF(OR(AC185="",N(R185)=0),"",L185/R185)</f>
        <v/>
      </c>
      <c r="AF185" s="100">
        <f>IF(OR(N(K185)=0,N(J185)+N(Q185)=0),"",K185-IF(N(J185)&gt;0,J185,Q185))</f>
        <v/>
      </c>
      <c r="AG185" s="99">
        <f>IF(B185="","",IFERROR(AVERAGEIFS('QUALITY CONTROL'!$M$5:$M$304,'QUALITY CONTROL'!$B$5:$B$304,A185),""))</f>
        <v/>
      </c>
      <c r="AH185" s="51">
        <f>IF(B185="","",DATE(YEAR(B185),MONTH(B185),1))</f>
        <v/>
      </c>
      <c r="AI185" s="49">
        <f>IF(D185="","",IFERROR(INDEX('CUSTOMERS'!$E$5:$E$404,MATCH(D185,'CUSTOMERS'!$B$5:$B$404,0)),""))</f>
        <v/>
      </c>
      <c r="AJ185" s="49">
        <f>IF(B185="","",N(C185))</f>
        <v/>
      </c>
      <c r="AK185" s="49">
        <f>IF(OR(B185="",O185="Cancelled",O185="Rescheduled"),"",B185&amp;"|"&amp;(COUNTIFS('JOBS'!$B$5:$B$1504,B185,'JOBS'!$AJ$5:$AJ$1504,"&lt;"&amp;AJ185,'JOBS'!$O$5:$O$1504,"&lt;&gt;Cancelled",'JOBS'!$O$5:$O$1504,"&lt;&gt;Rescheduled")+COUNTIFS($B$5:B185,B185,$AJ$5:AJ185,AJ185,$O$5:O185,"&lt;&gt;Cancelled",$O$5:O185,"&lt;&gt;Rescheduled")))</f>
        <v/>
      </c>
      <c r="AL185" s="49">
        <f>IF(N(U185)&lt;=0.005,"",COUNTIFS('JOBS'!$U$5:$U$1504,"&gt;0.005",'JOBS'!$B$5:$B$1504,"&lt;"&amp;B185)+COUNTIFS($U$5:U185,"&gt;0.005",$B$5:B185,B185))</f>
        <v/>
      </c>
    </row>
    <row r="186">
      <c r="A186" s="46" t="inlineStr">
        <is>
          <t>J-0182</t>
        </is>
      </c>
      <c r="B186" s="47" t="n">
        <v>46204</v>
      </c>
      <c r="C186" s="94" t="n">
        <v>0.3333333333333333</v>
      </c>
      <c r="D186" s="38" t="inlineStr">
        <is>
          <t>Dana Oakes</t>
        </is>
      </c>
      <c r="E186" s="38" t="inlineStr">
        <is>
          <t>666 Juniper Street, North Sampletown</t>
        </is>
      </c>
      <c r="F186" s="38" t="inlineStr">
        <is>
          <t>Airbnb Turnover</t>
        </is>
      </c>
      <c r="G186" s="38" t="n"/>
      <c r="H186" s="38" t="inlineStr">
        <is>
          <t>Kevin Osei</t>
        </is>
      </c>
      <c r="I186" s="57" t="n">
        <v>1</v>
      </c>
      <c r="J186" s="95" t="n"/>
      <c r="K186" s="95" t="n">
        <v>1.69</v>
      </c>
      <c r="L186" s="48" t="n">
        <v>135</v>
      </c>
      <c r="M186" s="96" t="n">
        <v>0</v>
      </c>
      <c r="N186" s="48" t="n"/>
      <c r="O186" s="38" t="inlineStr">
        <is>
          <t>Completed</t>
        </is>
      </c>
      <c r="P186" s="38" t="inlineStr">
        <is>
          <t>Includes laundry</t>
        </is>
      </c>
      <c r="Q186" s="97">
        <f>IF(OR(F186="",E186=""),"",IFERROR(IF(INDEX('PROPERTIES'!$F$5:$F$404,MATCH(E186,'PROPERTIES'!$B$5:$B$404,0))=0,"",ROUND((INDEX('PROPERTIES'!$F$5:$F$404,MATCH(E186,'PROPERTIES'!$B$5:$B$404,0))/INDEX('PRICING'!$C$7:$C$16,MATCH(F186,'PRICING'!$A$7:$A$16,0))+INDEX('PROPERTIES'!$G$5:$G$404,MATCH(E186,'PROPERTIES'!$B$5:$B$404,0))*INDEX('PRICING'!$D$7:$D$16,MATCH(F186,'PRICING'!$A$7:$A$16,0))/60+INDEX('PROPERTIES'!$H$5:$H$404,MATCH(E186,'PROPERTIES'!$B$5:$B$404,0))*INDEX('PRICING'!$E$7:$E$16,MATCH(F186,'PRICING'!$A$7:$A$16,0))/60+INDEX('PRICING'!$F$7:$F$16,MATCH(F186,'PRICING'!$A$7:$A$16,0))/60),2)),""))</f>
        <v/>
      </c>
      <c r="R186" s="97">
        <f>IF(B186="","",IF(N(K186)&gt;0,K186,IF(N(J186)&gt;0,J186,N(Q186))))</f>
        <v/>
      </c>
      <c r="S186" s="55">
        <f>IF(L186="","",ROUND(L186*(1+N(M186)),2))</f>
        <v/>
      </c>
      <c r="T186" s="55">
        <f>IF(B186="","",SUMIFS('REVENUE'!$C$5:$C$1504,'REVENUE'!$B$5:$B$1504,A186))</f>
        <v/>
      </c>
      <c r="U186" s="55">
        <f>IF(B186="","",IF(O186="Completed",MAX(0,N(S186)-T186),""))</f>
        <v/>
      </c>
      <c r="V186" s="49">
        <f>IF(B186="","",IF(O186&lt;&gt;"Completed",IF(T186&gt;0,"Deposit","—"),IF(U186&lt;=0.005,"Paid",IF(T186&gt;0,"Partial","Unpaid"))))</f>
        <v/>
      </c>
      <c r="W186" s="55">
        <f>IF(B186="","",IFERROR(1/(1/INDEX('STAFF &amp; TASKS'!$C$5:$C$24,MATCH(H186,'STAFF &amp; TASKS'!$A$5:$A$24,0))),PayRate))</f>
        <v/>
      </c>
      <c r="X186" s="55">
        <f>IF(B186="","",IF(OR(O186="Cancelled",O186="No-Show"),"",ROUND(R186*W186*(1+Burden),2)))</f>
        <v/>
      </c>
      <c r="Y186" s="55">
        <f>IF(B186="","",IF(OR(O186="Cancelled",O186="No-Show"),"",IF(N186&lt;&gt;"",N186,ROUND(R186*SupHr*IFERROR(INDEX('PRICING'!$G$7:$G$16,MATCH(F186,'PRICING'!$A$7:$A$16,0)),1),2))))</f>
        <v/>
      </c>
      <c r="Z186" s="98">
        <f>IF(B186="","",SUMIFS('MILEAGE'!$J$5:$J$1504,'MILEAGE'!$B$5:$B$1504,A186))</f>
        <v/>
      </c>
      <c r="AA186" s="55">
        <f>IF(B186="","",ROUND(Z186*MileRate,2))</f>
        <v/>
      </c>
      <c r="AB186" s="55">
        <f>IF(B186="","",SUMIFS('REVENUE'!$J$5:$J$1504,'REVENUE'!$B$5:$B$1504,A186))</f>
        <v/>
      </c>
      <c r="AC186" s="55">
        <f>IF(L186="","",IF(OR(O186="Cancelled",O186="No-Show"),"",L186-N(X186)-N(Y186)-AA186-AB186))</f>
        <v/>
      </c>
      <c r="AD186" s="99">
        <f>IF(OR(AC186="",N(L186)=0),"",AC186/L186)</f>
        <v/>
      </c>
      <c r="AE186" s="55">
        <f>IF(OR(AC186="",N(R186)=0),"",L186/R186)</f>
        <v/>
      </c>
      <c r="AF186" s="100">
        <f>IF(OR(N(K186)=0,N(J186)+N(Q186)=0),"",K186-IF(N(J186)&gt;0,J186,Q186))</f>
        <v/>
      </c>
      <c r="AG186" s="99">
        <f>IF(B186="","",IFERROR(AVERAGEIFS('QUALITY CONTROL'!$M$5:$M$304,'QUALITY CONTROL'!$B$5:$B$304,A186),""))</f>
        <v/>
      </c>
      <c r="AH186" s="51">
        <f>IF(B186="","",DATE(YEAR(B186),MONTH(B186),1))</f>
        <v/>
      </c>
      <c r="AI186" s="49">
        <f>IF(D186="","",IFERROR(INDEX('CUSTOMERS'!$E$5:$E$404,MATCH(D186,'CUSTOMERS'!$B$5:$B$404,0)),""))</f>
        <v/>
      </c>
      <c r="AJ186" s="49">
        <f>IF(B186="","",N(C186))</f>
        <v/>
      </c>
      <c r="AK186" s="49">
        <f>IF(OR(B186="",O186="Cancelled",O186="Rescheduled"),"",B186&amp;"|"&amp;(COUNTIFS('JOBS'!$B$5:$B$1504,B186,'JOBS'!$AJ$5:$AJ$1504,"&lt;"&amp;AJ186,'JOBS'!$O$5:$O$1504,"&lt;&gt;Cancelled",'JOBS'!$O$5:$O$1504,"&lt;&gt;Rescheduled")+COUNTIFS($B$5:B186,B186,$AJ$5:AJ186,AJ186,$O$5:O186,"&lt;&gt;Cancelled",$O$5:O186,"&lt;&gt;Rescheduled")))</f>
        <v/>
      </c>
      <c r="AL186" s="49">
        <f>IF(N(U186)&lt;=0.005,"",COUNTIFS('JOBS'!$U$5:$U$1504,"&gt;0.005",'JOBS'!$B$5:$B$1504,"&lt;"&amp;B186)+COUNTIFS($U$5:U186,"&gt;0.005",$B$5:B186,B186))</f>
        <v/>
      </c>
    </row>
    <row r="187">
      <c r="A187" s="46" t="inlineStr">
        <is>
          <t>J-0183</t>
        </is>
      </c>
      <c r="B187" s="47" t="n">
        <v>46206</v>
      </c>
      <c r="C187" s="94" t="n">
        <v>0.3333333333333333</v>
      </c>
      <c r="D187" s="38" t="inlineStr">
        <is>
          <t>Dana Collins</t>
        </is>
      </c>
      <c r="E187" s="38" t="inlineStr">
        <is>
          <t>84 Hawthorn Road, Lakeview (fictional)</t>
        </is>
      </c>
      <c r="F187" s="38" t="inlineStr">
        <is>
          <t>Standard Clean</t>
        </is>
      </c>
      <c r="G187" s="38" t="inlineStr">
        <is>
          <t>R-006</t>
        </is>
      </c>
      <c r="H187" s="38" t="inlineStr">
        <is>
          <t>Dana Whitfield</t>
        </is>
      </c>
      <c r="I187" s="57" t="n">
        <v>1</v>
      </c>
      <c r="J187" s="95" t="n"/>
      <c r="K187" s="95" t="n">
        <v>3.82</v>
      </c>
      <c r="L187" s="48" t="n">
        <v>195</v>
      </c>
      <c r="M187" s="96" t="n">
        <v>0</v>
      </c>
      <c r="N187" s="48" t="n"/>
      <c r="O187" s="38" t="inlineStr">
        <is>
          <t>Completed</t>
        </is>
      </c>
      <c r="P187" s="38" t="inlineStr"/>
      <c r="Q187" s="97">
        <f>IF(OR(F187="",E187=""),"",IFERROR(IF(INDEX('PROPERTIES'!$F$5:$F$404,MATCH(E187,'PROPERTIES'!$B$5:$B$404,0))=0,"",ROUND((INDEX('PROPERTIES'!$F$5:$F$404,MATCH(E187,'PROPERTIES'!$B$5:$B$404,0))/INDEX('PRICING'!$C$7:$C$16,MATCH(F187,'PRICING'!$A$7:$A$16,0))+INDEX('PROPERTIES'!$G$5:$G$404,MATCH(E187,'PROPERTIES'!$B$5:$B$404,0))*INDEX('PRICING'!$D$7:$D$16,MATCH(F187,'PRICING'!$A$7:$A$16,0))/60+INDEX('PROPERTIES'!$H$5:$H$404,MATCH(E187,'PROPERTIES'!$B$5:$B$404,0))*INDEX('PRICING'!$E$7:$E$16,MATCH(F187,'PRICING'!$A$7:$A$16,0))/60+INDEX('PRICING'!$F$7:$F$16,MATCH(F187,'PRICING'!$A$7:$A$16,0))/60),2)),""))</f>
        <v/>
      </c>
      <c r="R187" s="97">
        <f>IF(B187="","",IF(N(K187)&gt;0,K187,IF(N(J187)&gt;0,J187,N(Q187))))</f>
        <v/>
      </c>
      <c r="S187" s="55">
        <f>IF(L187="","",ROUND(L187*(1+N(M187)),2))</f>
        <v/>
      </c>
      <c r="T187" s="55">
        <f>IF(B187="","",SUMIFS('REVENUE'!$C$5:$C$1504,'REVENUE'!$B$5:$B$1504,A187))</f>
        <v/>
      </c>
      <c r="U187" s="55">
        <f>IF(B187="","",IF(O187="Completed",MAX(0,N(S187)-T187),""))</f>
        <v/>
      </c>
      <c r="V187" s="49">
        <f>IF(B187="","",IF(O187&lt;&gt;"Completed",IF(T187&gt;0,"Deposit","—"),IF(U187&lt;=0.005,"Paid",IF(T187&gt;0,"Partial","Unpaid"))))</f>
        <v/>
      </c>
      <c r="W187" s="55">
        <f>IF(B187="","",IFERROR(1/(1/INDEX('STAFF &amp; TASKS'!$C$5:$C$24,MATCH(H187,'STAFF &amp; TASKS'!$A$5:$A$24,0))),PayRate))</f>
        <v/>
      </c>
      <c r="X187" s="55">
        <f>IF(B187="","",IF(OR(O187="Cancelled",O187="No-Show"),"",ROUND(R187*W187*(1+Burden),2)))</f>
        <v/>
      </c>
      <c r="Y187" s="55">
        <f>IF(B187="","",IF(OR(O187="Cancelled",O187="No-Show"),"",IF(N187&lt;&gt;"",N187,ROUND(R187*SupHr*IFERROR(INDEX('PRICING'!$G$7:$G$16,MATCH(F187,'PRICING'!$A$7:$A$16,0)),1),2))))</f>
        <v/>
      </c>
      <c r="Z187" s="98">
        <f>IF(B187="","",SUMIFS('MILEAGE'!$J$5:$J$1504,'MILEAGE'!$B$5:$B$1504,A187))</f>
        <v/>
      </c>
      <c r="AA187" s="55">
        <f>IF(B187="","",ROUND(Z187*MileRate,2))</f>
        <v/>
      </c>
      <c r="AB187" s="55">
        <f>IF(B187="","",SUMIFS('REVENUE'!$J$5:$J$1504,'REVENUE'!$B$5:$B$1504,A187))</f>
        <v/>
      </c>
      <c r="AC187" s="55">
        <f>IF(L187="","",IF(OR(O187="Cancelled",O187="No-Show"),"",L187-N(X187)-N(Y187)-AA187-AB187))</f>
        <v/>
      </c>
      <c r="AD187" s="99">
        <f>IF(OR(AC187="",N(L187)=0),"",AC187/L187)</f>
        <v/>
      </c>
      <c r="AE187" s="55">
        <f>IF(OR(AC187="",N(R187)=0),"",L187/R187)</f>
        <v/>
      </c>
      <c r="AF187" s="100">
        <f>IF(OR(N(K187)=0,N(J187)+N(Q187)=0),"",K187-IF(N(J187)&gt;0,J187,Q187))</f>
        <v/>
      </c>
      <c r="AG187" s="99">
        <f>IF(B187="","",IFERROR(AVERAGEIFS('QUALITY CONTROL'!$M$5:$M$304,'QUALITY CONTROL'!$B$5:$B$304,A187),""))</f>
        <v/>
      </c>
      <c r="AH187" s="51">
        <f>IF(B187="","",DATE(YEAR(B187),MONTH(B187),1))</f>
        <v/>
      </c>
      <c r="AI187" s="49">
        <f>IF(D187="","",IFERROR(INDEX('CUSTOMERS'!$E$5:$E$404,MATCH(D187,'CUSTOMERS'!$B$5:$B$404,0)),""))</f>
        <v/>
      </c>
      <c r="AJ187" s="49">
        <f>IF(B187="","",N(C187))</f>
        <v/>
      </c>
      <c r="AK187" s="49">
        <f>IF(OR(B187="",O187="Cancelled",O187="Rescheduled"),"",B187&amp;"|"&amp;(COUNTIFS('JOBS'!$B$5:$B$1504,B187,'JOBS'!$AJ$5:$AJ$1504,"&lt;"&amp;AJ187,'JOBS'!$O$5:$O$1504,"&lt;&gt;Cancelled",'JOBS'!$O$5:$O$1504,"&lt;&gt;Rescheduled")+COUNTIFS($B$5:B187,B187,$AJ$5:AJ187,AJ187,$O$5:O187,"&lt;&gt;Cancelled",$O$5:O187,"&lt;&gt;Rescheduled")))</f>
        <v/>
      </c>
      <c r="AL187" s="49">
        <f>IF(N(U187)&lt;=0.005,"",COUNTIFS('JOBS'!$U$5:$U$1504,"&gt;0.005",'JOBS'!$B$5:$B$1504,"&lt;"&amp;B187)+COUNTIFS($U$5:U187,"&gt;0.005",$B$5:B187,B187))</f>
        <v/>
      </c>
    </row>
    <row r="188">
      <c r="A188" s="46" t="inlineStr">
        <is>
          <t>J-0184</t>
        </is>
      </c>
      <c r="B188" s="47" t="n">
        <v>46206</v>
      </c>
      <c r="C188" s="94" t="n">
        <v>0.3541666666666667</v>
      </c>
      <c r="D188" s="38" t="inlineStr">
        <is>
          <t>Oakview Office Suites (sample)</t>
        </is>
      </c>
      <c r="E188" s="38" t="inlineStr">
        <is>
          <t>957 Hawthorn Road, North Sampletown</t>
        </is>
      </c>
      <c r="F188" s="38" t="inlineStr">
        <is>
          <t>Commercial Clean</t>
        </is>
      </c>
      <c r="G188" s="38" t="inlineStr">
        <is>
          <t>R-012</t>
        </is>
      </c>
      <c r="H188" s="38" t="inlineStr">
        <is>
          <t>Kevin Osei</t>
        </is>
      </c>
      <c r="I188" s="57" t="n">
        <v>2</v>
      </c>
      <c r="J188" s="95" t="n"/>
      <c r="K188" s="95" t="n">
        <v>4.05</v>
      </c>
      <c r="L188" s="48" t="n">
        <v>140</v>
      </c>
      <c r="M188" s="96" t="n">
        <v>0</v>
      </c>
      <c r="N188" s="48" t="n"/>
      <c r="O188" s="38" t="inlineStr">
        <is>
          <t>Completed</t>
        </is>
      </c>
      <c r="P188" s="38" t="inlineStr"/>
      <c r="Q188" s="97">
        <f>IF(OR(F188="",E188=""),"",IFERROR(IF(INDEX('PROPERTIES'!$F$5:$F$404,MATCH(E188,'PROPERTIES'!$B$5:$B$404,0))=0,"",ROUND((INDEX('PROPERTIES'!$F$5:$F$404,MATCH(E188,'PROPERTIES'!$B$5:$B$404,0))/INDEX('PRICING'!$C$7:$C$16,MATCH(F188,'PRICING'!$A$7:$A$16,0))+INDEX('PROPERTIES'!$G$5:$G$404,MATCH(E188,'PROPERTIES'!$B$5:$B$404,0))*INDEX('PRICING'!$D$7:$D$16,MATCH(F188,'PRICING'!$A$7:$A$16,0))/60+INDEX('PROPERTIES'!$H$5:$H$404,MATCH(E188,'PROPERTIES'!$B$5:$B$404,0))*INDEX('PRICING'!$E$7:$E$16,MATCH(F188,'PRICING'!$A$7:$A$16,0))/60+INDEX('PRICING'!$F$7:$F$16,MATCH(F188,'PRICING'!$A$7:$A$16,0))/60),2)),""))</f>
        <v/>
      </c>
      <c r="R188" s="97">
        <f>IF(B188="","",IF(N(K188)&gt;0,K188,IF(N(J188)&gt;0,J188,N(Q188))))</f>
        <v/>
      </c>
      <c r="S188" s="55">
        <f>IF(L188="","",ROUND(L188*(1+N(M188)),2))</f>
        <v/>
      </c>
      <c r="T188" s="55">
        <f>IF(B188="","",SUMIFS('REVENUE'!$C$5:$C$1504,'REVENUE'!$B$5:$B$1504,A188))</f>
        <v/>
      </c>
      <c r="U188" s="55">
        <f>IF(B188="","",IF(O188="Completed",MAX(0,N(S188)-T188),""))</f>
        <v/>
      </c>
      <c r="V188" s="49">
        <f>IF(B188="","",IF(O188&lt;&gt;"Completed",IF(T188&gt;0,"Deposit","—"),IF(U188&lt;=0.005,"Paid",IF(T188&gt;0,"Partial","Unpaid"))))</f>
        <v/>
      </c>
      <c r="W188" s="55">
        <f>IF(B188="","",IFERROR(1/(1/INDEX('STAFF &amp; TASKS'!$C$5:$C$24,MATCH(H188,'STAFF &amp; TASKS'!$A$5:$A$24,0))),PayRate))</f>
        <v/>
      </c>
      <c r="X188" s="55">
        <f>IF(B188="","",IF(OR(O188="Cancelled",O188="No-Show"),"",ROUND(R188*W188*(1+Burden),2)))</f>
        <v/>
      </c>
      <c r="Y188" s="55">
        <f>IF(B188="","",IF(OR(O188="Cancelled",O188="No-Show"),"",IF(N188&lt;&gt;"",N188,ROUND(R188*SupHr*IFERROR(INDEX('PRICING'!$G$7:$G$16,MATCH(F188,'PRICING'!$A$7:$A$16,0)),1),2))))</f>
        <v/>
      </c>
      <c r="Z188" s="98">
        <f>IF(B188="","",SUMIFS('MILEAGE'!$J$5:$J$1504,'MILEAGE'!$B$5:$B$1504,A188))</f>
        <v/>
      </c>
      <c r="AA188" s="55">
        <f>IF(B188="","",ROUND(Z188*MileRate,2))</f>
        <v/>
      </c>
      <c r="AB188" s="55">
        <f>IF(B188="","",SUMIFS('REVENUE'!$J$5:$J$1504,'REVENUE'!$B$5:$B$1504,A188))</f>
        <v/>
      </c>
      <c r="AC188" s="55">
        <f>IF(L188="","",IF(OR(O188="Cancelled",O188="No-Show"),"",L188-N(X188)-N(Y188)-AA188-AB188))</f>
        <v/>
      </c>
      <c r="AD188" s="99">
        <f>IF(OR(AC188="",N(L188)=0),"",AC188/L188)</f>
        <v/>
      </c>
      <c r="AE188" s="55">
        <f>IF(OR(AC188="",N(R188)=0),"",L188/R188)</f>
        <v/>
      </c>
      <c r="AF188" s="100">
        <f>IF(OR(N(K188)=0,N(J188)+N(Q188)=0),"",K188-IF(N(J188)&gt;0,J188,Q188))</f>
        <v/>
      </c>
      <c r="AG188" s="99">
        <f>IF(B188="","",IFERROR(AVERAGEIFS('QUALITY CONTROL'!$M$5:$M$304,'QUALITY CONTROL'!$B$5:$B$304,A188),""))</f>
        <v/>
      </c>
      <c r="AH188" s="51">
        <f>IF(B188="","",DATE(YEAR(B188),MONTH(B188),1))</f>
        <v/>
      </c>
      <c r="AI188" s="49">
        <f>IF(D188="","",IFERROR(INDEX('CUSTOMERS'!$E$5:$E$404,MATCH(D188,'CUSTOMERS'!$B$5:$B$404,0)),""))</f>
        <v/>
      </c>
      <c r="AJ188" s="49">
        <f>IF(B188="","",N(C188))</f>
        <v/>
      </c>
      <c r="AK188" s="49">
        <f>IF(OR(B188="",O188="Cancelled",O188="Rescheduled"),"",B188&amp;"|"&amp;(COUNTIFS('JOBS'!$B$5:$B$1504,B188,'JOBS'!$AJ$5:$AJ$1504,"&lt;"&amp;AJ188,'JOBS'!$O$5:$O$1504,"&lt;&gt;Cancelled",'JOBS'!$O$5:$O$1504,"&lt;&gt;Rescheduled")+COUNTIFS($B$5:B188,B188,$AJ$5:AJ188,AJ188,$O$5:O188,"&lt;&gt;Cancelled",$O$5:O188,"&lt;&gt;Rescheduled")))</f>
        <v/>
      </c>
      <c r="AL188" s="49">
        <f>IF(N(U188)&lt;=0.005,"",COUNTIFS('JOBS'!$U$5:$U$1504,"&gt;0.005",'JOBS'!$B$5:$B$1504,"&lt;"&amp;B188)+COUNTIFS($U$5:U188,"&gt;0.005",$B$5:B188,B188))</f>
        <v/>
      </c>
    </row>
    <row r="189">
      <c r="A189" s="46" t="inlineStr">
        <is>
          <t>J-0185</t>
        </is>
      </c>
      <c r="B189" s="47" t="n">
        <v>46206</v>
      </c>
      <c r="C189" s="94" t="n">
        <v>0.375</v>
      </c>
      <c r="D189" s="38" t="inlineStr">
        <is>
          <t>Brightside Dental Studio (sample)</t>
        </is>
      </c>
      <c r="E189" s="38" t="inlineStr">
        <is>
          <t>738 Cedar Court, North Sampletown</t>
        </is>
      </c>
      <c r="F189" s="38" t="inlineStr">
        <is>
          <t>Commercial Clean</t>
        </is>
      </c>
      <c r="G189" s="38" t="inlineStr">
        <is>
          <t>R-011</t>
        </is>
      </c>
      <c r="H189" s="38" t="inlineStr">
        <is>
          <t>Kevin Osei</t>
        </is>
      </c>
      <c r="I189" s="57" t="n">
        <v>2</v>
      </c>
      <c r="J189" s="95" t="n"/>
      <c r="K189" s="95" t="n">
        <v>1.75</v>
      </c>
      <c r="L189" s="48" t="n">
        <v>100</v>
      </c>
      <c r="M189" s="96" t="n">
        <v>0</v>
      </c>
      <c r="N189" s="48" t="n"/>
      <c r="O189" s="38" t="inlineStr">
        <is>
          <t>Completed</t>
        </is>
      </c>
      <c r="P189" s="38" t="inlineStr"/>
      <c r="Q189" s="97">
        <f>IF(OR(F189="",E189=""),"",IFERROR(IF(INDEX('PROPERTIES'!$F$5:$F$404,MATCH(E189,'PROPERTIES'!$B$5:$B$404,0))=0,"",ROUND((INDEX('PROPERTIES'!$F$5:$F$404,MATCH(E189,'PROPERTIES'!$B$5:$B$404,0))/INDEX('PRICING'!$C$7:$C$16,MATCH(F189,'PRICING'!$A$7:$A$16,0))+INDEX('PROPERTIES'!$G$5:$G$404,MATCH(E189,'PROPERTIES'!$B$5:$B$404,0))*INDEX('PRICING'!$D$7:$D$16,MATCH(F189,'PRICING'!$A$7:$A$16,0))/60+INDEX('PROPERTIES'!$H$5:$H$404,MATCH(E189,'PROPERTIES'!$B$5:$B$404,0))*INDEX('PRICING'!$E$7:$E$16,MATCH(F189,'PRICING'!$A$7:$A$16,0))/60+INDEX('PRICING'!$F$7:$F$16,MATCH(F189,'PRICING'!$A$7:$A$16,0))/60),2)),""))</f>
        <v/>
      </c>
      <c r="R189" s="97">
        <f>IF(B189="","",IF(N(K189)&gt;0,K189,IF(N(J189)&gt;0,J189,N(Q189))))</f>
        <v/>
      </c>
      <c r="S189" s="55">
        <f>IF(L189="","",ROUND(L189*(1+N(M189)),2))</f>
        <v/>
      </c>
      <c r="T189" s="55">
        <f>IF(B189="","",SUMIFS('REVENUE'!$C$5:$C$1504,'REVENUE'!$B$5:$B$1504,A189))</f>
        <v/>
      </c>
      <c r="U189" s="55">
        <f>IF(B189="","",IF(O189="Completed",MAX(0,N(S189)-T189),""))</f>
        <v/>
      </c>
      <c r="V189" s="49">
        <f>IF(B189="","",IF(O189&lt;&gt;"Completed",IF(T189&gt;0,"Deposit","—"),IF(U189&lt;=0.005,"Paid",IF(T189&gt;0,"Partial","Unpaid"))))</f>
        <v/>
      </c>
      <c r="W189" s="55">
        <f>IF(B189="","",IFERROR(1/(1/INDEX('STAFF &amp; TASKS'!$C$5:$C$24,MATCH(H189,'STAFF &amp; TASKS'!$A$5:$A$24,0))),PayRate))</f>
        <v/>
      </c>
      <c r="X189" s="55">
        <f>IF(B189="","",IF(OR(O189="Cancelled",O189="No-Show"),"",ROUND(R189*W189*(1+Burden),2)))</f>
        <v/>
      </c>
      <c r="Y189" s="55">
        <f>IF(B189="","",IF(OR(O189="Cancelled",O189="No-Show"),"",IF(N189&lt;&gt;"",N189,ROUND(R189*SupHr*IFERROR(INDEX('PRICING'!$G$7:$G$16,MATCH(F189,'PRICING'!$A$7:$A$16,0)),1),2))))</f>
        <v/>
      </c>
      <c r="Z189" s="98">
        <f>IF(B189="","",SUMIFS('MILEAGE'!$J$5:$J$1504,'MILEAGE'!$B$5:$B$1504,A189))</f>
        <v/>
      </c>
      <c r="AA189" s="55">
        <f>IF(B189="","",ROUND(Z189*MileRate,2))</f>
        <v/>
      </c>
      <c r="AB189" s="55">
        <f>IF(B189="","",SUMIFS('REVENUE'!$J$5:$J$1504,'REVENUE'!$B$5:$B$1504,A189))</f>
        <v/>
      </c>
      <c r="AC189" s="55">
        <f>IF(L189="","",IF(OR(O189="Cancelled",O189="No-Show"),"",L189-N(X189)-N(Y189)-AA189-AB189))</f>
        <v/>
      </c>
      <c r="AD189" s="99">
        <f>IF(OR(AC189="",N(L189)=0),"",AC189/L189)</f>
        <v/>
      </c>
      <c r="AE189" s="55">
        <f>IF(OR(AC189="",N(R189)=0),"",L189/R189)</f>
        <v/>
      </c>
      <c r="AF189" s="100">
        <f>IF(OR(N(K189)=0,N(J189)+N(Q189)=0),"",K189-IF(N(J189)&gt;0,J189,Q189))</f>
        <v/>
      </c>
      <c r="AG189" s="99">
        <f>IF(B189="","",IFERROR(AVERAGEIFS('QUALITY CONTROL'!$M$5:$M$304,'QUALITY CONTROL'!$B$5:$B$304,A189),""))</f>
        <v/>
      </c>
      <c r="AH189" s="51">
        <f>IF(B189="","",DATE(YEAR(B189),MONTH(B189),1))</f>
        <v/>
      </c>
      <c r="AI189" s="49">
        <f>IF(D189="","",IFERROR(INDEX('CUSTOMERS'!$E$5:$E$404,MATCH(D189,'CUSTOMERS'!$B$5:$B$404,0)),""))</f>
        <v/>
      </c>
      <c r="AJ189" s="49">
        <f>IF(B189="","",N(C189))</f>
        <v/>
      </c>
      <c r="AK189" s="49">
        <f>IF(OR(B189="",O189="Cancelled",O189="Rescheduled"),"",B189&amp;"|"&amp;(COUNTIFS('JOBS'!$B$5:$B$1504,B189,'JOBS'!$AJ$5:$AJ$1504,"&lt;"&amp;AJ189,'JOBS'!$O$5:$O$1504,"&lt;&gt;Cancelled",'JOBS'!$O$5:$O$1504,"&lt;&gt;Rescheduled")+COUNTIFS($B$5:B189,B189,$AJ$5:AJ189,AJ189,$O$5:O189,"&lt;&gt;Cancelled",$O$5:O189,"&lt;&gt;Rescheduled")))</f>
        <v/>
      </c>
      <c r="AL189" s="49">
        <f>IF(N(U189)&lt;=0.005,"",COUNTIFS('JOBS'!$U$5:$U$1504,"&gt;0.005",'JOBS'!$B$5:$B$1504,"&lt;"&amp;B189)+COUNTIFS($U$5:U189,"&gt;0.005",$B$5:B189,B189))</f>
        <v/>
      </c>
    </row>
    <row r="190">
      <c r="A190" s="46" t="inlineStr">
        <is>
          <t>J-0186</t>
        </is>
      </c>
      <c r="B190" s="47" t="n">
        <v>46207</v>
      </c>
      <c r="C190" s="94" t="n">
        <v>0.3333333333333333</v>
      </c>
      <c r="D190" s="38" t="inlineStr">
        <is>
          <t>Finley Quigley</t>
        </is>
      </c>
      <c r="E190" s="38" t="inlineStr">
        <is>
          <t>21 Maple Avenue, North Sampletown</t>
        </is>
      </c>
      <c r="F190" s="38" t="inlineStr">
        <is>
          <t>Standard Clean</t>
        </is>
      </c>
      <c r="G190" s="38" t="inlineStr">
        <is>
          <t>R-007</t>
        </is>
      </c>
      <c r="H190" s="38" t="inlineStr">
        <is>
          <t>Maria Lopez</t>
        </is>
      </c>
      <c r="I190" s="57" t="n">
        <v>1</v>
      </c>
      <c r="J190" s="95" t="n"/>
      <c r="K190" s="95" t="n">
        <v>2.02</v>
      </c>
      <c r="L190" s="48" t="n">
        <v>110</v>
      </c>
      <c r="M190" s="96" t="n">
        <v>0</v>
      </c>
      <c r="N190" s="48" t="n"/>
      <c r="O190" s="38" t="inlineStr">
        <is>
          <t>Completed</t>
        </is>
      </c>
      <c r="P190" s="38" t="inlineStr"/>
      <c r="Q190" s="97">
        <f>IF(OR(F190="",E190=""),"",IFERROR(IF(INDEX('PROPERTIES'!$F$5:$F$404,MATCH(E190,'PROPERTIES'!$B$5:$B$404,0))=0,"",ROUND((INDEX('PROPERTIES'!$F$5:$F$404,MATCH(E190,'PROPERTIES'!$B$5:$B$404,0))/INDEX('PRICING'!$C$7:$C$16,MATCH(F190,'PRICING'!$A$7:$A$16,0))+INDEX('PROPERTIES'!$G$5:$G$404,MATCH(E190,'PROPERTIES'!$B$5:$B$404,0))*INDEX('PRICING'!$D$7:$D$16,MATCH(F190,'PRICING'!$A$7:$A$16,0))/60+INDEX('PROPERTIES'!$H$5:$H$404,MATCH(E190,'PROPERTIES'!$B$5:$B$404,0))*INDEX('PRICING'!$E$7:$E$16,MATCH(F190,'PRICING'!$A$7:$A$16,0))/60+INDEX('PRICING'!$F$7:$F$16,MATCH(F190,'PRICING'!$A$7:$A$16,0))/60),2)),""))</f>
        <v/>
      </c>
      <c r="R190" s="97">
        <f>IF(B190="","",IF(N(K190)&gt;0,K190,IF(N(J190)&gt;0,J190,N(Q190))))</f>
        <v/>
      </c>
      <c r="S190" s="55">
        <f>IF(L190="","",ROUND(L190*(1+N(M190)),2))</f>
        <v/>
      </c>
      <c r="T190" s="55">
        <f>IF(B190="","",SUMIFS('REVENUE'!$C$5:$C$1504,'REVENUE'!$B$5:$B$1504,A190))</f>
        <v/>
      </c>
      <c r="U190" s="55">
        <f>IF(B190="","",IF(O190="Completed",MAX(0,N(S190)-T190),""))</f>
        <v/>
      </c>
      <c r="V190" s="49">
        <f>IF(B190="","",IF(O190&lt;&gt;"Completed",IF(T190&gt;0,"Deposit","—"),IF(U190&lt;=0.005,"Paid",IF(T190&gt;0,"Partial","Unpaid"))))</f>
        <v/>
      </c>
      <c r="W190" s="55">
        <f>IF(B190="","",IFERROR(1/(1/INDEX('STAFF &amp; TASKS'!$C$5:$C$24,MATCH(H190,'STAFF &amp; TASKS'!$A$5:$A$24,0))),PayRate))</f>
        <v/>
      </c>
      <c r="X190" s="55">
        <f>IF(B190="","",IF(OR(O190="Cancelled",O190="No-Show"),"",ROUND(R190*W190*(1+Burden),2)))</f>
        <v/>
      </c>
      <c r="Y190" s="55">
        <f>IF(B190="","",IF(OR(O190="Cancelled",O190="No-Show"),"",IF(N190&lt;&gt;"",N190,ROUND(R190*SupHr*IFERROR(INDEX('PRICING'!$G$7:$G$16,MATCH(F190,'PRICING'!$A$7:$A$16,0)),1),2))))</f>
        <v/>
      </c>
      <c r="Z190" s="98">
        <f>IF(B190="","",SUMIFS('MILEAGE'!$J$5:$J$1504,'MILEAGE'!$B$5:$B$1504,A190))</f>
        <v/>
      </c>
      <c r="AA190" s="55">
        <f>IF(B190="","",ROUND(Z190*MileRate,2))</f>
        <v/>
      </c>
      <c r="AB190" s="55">
        <f>IF(B190="","",SUMIFS('REVENUE'!$J$5:$J$1504,'REVENUE'!$B$5:$B$1504,A190))</f>
        <v/>
      </c>
      <c r="AC190" s="55">
        <f>IF(L190="","",IF(OR(O190="Cancelled",O190="No-Show"),"",L190-N(X190)-N(Y190)-AA190-AB190))</f>
        <v/>
      </c>
      <c r="AD190" s="99">
        <f>IF(OR(AC190="",N(L190)=0),"",AC190/L190)</f>
        <v/>
      </c>
      <c r="AE190" s="55">
        <f>IF(OR(AC190="",N(R190)=0),"",L190/R190)</f>
        <v/>
      </c>
      <c r="AF190" s="100">
        <f>IF(OR(N(K190)=0,N(J190)+N(Q190)=0),"",K190-IF(N(J190)&gt;0,J190,Q190))</f>
        <v/>
      </c>
      <c r="AG190" s="99">
        <f>IF(B190="","",IFERROR(AVERAGEIFS('QUALITY CONTROL'!$M$5:$M$304,'QUALITY CONTROL'!$B$5:$B$304,A190),""))</f>
        <v/>
      </c>
      <c r="AH190" s="51">
        <f>IF(B190="","",DATE(YEAR(B190),MONTH(B190),1))</f>
        <v/>
      </c>
      <c r="AI190" s="49">
        <f>IF(D190="","",IFERROR(INDEX('CUSTOMERS'!$E$5:$E$404,MATCH(D190,'CUSTOMERS'!$B$5:$B$404,0)),""))</f>
        <v/>
      </c>
      <c r="AJ190" s="49">
        <f>IF(B190="","",N(C190))</f>
        <v/>
      </c>
      <c r="AK190" s="49">
        <f>IF(OR(B190="",O190="Cancelled",O190="Rescheduled"),"",B190&amp;"|"&amp;(COUNTIFS('JOBS'!$B$5:$B$1504,B190,'JOBS'!$AJ$5:$AJ$1504,"&lt;"&amp;AJ190,'JOBS'!$O$5:$O$1504,"&lt;&gt;Cancelled",'JOBS'!$O$5:$O$1504,"&lt;&gt;Rescheduled")+COUNTIFS($B$5:B190,B190,$AJ$5:AJ190,AJ190,$O$5:O190,"&lt;&gt;Cancelled",$O$5:O190,"&lt;&gt;Rescheduled")))</f>
        <v/>
      </c>
      <c r="AL190" s="49">
        <f>IF(N(U190)&lt;=0.005,"",COUNTIFS('JOBS'!$U$5:$U$1504,"&gt;0.005",'JOBS'!$B$5:$B$1504,"&lt;"&amp;B190)+COUNTIFS($U$5:U190,"&gt;0.005",$B$5:B190,B190))</f>
        <v/>
      </c>
    </row>
    <row r="191">
      <c r="A191" s="46" t="inlineStr">
        <is>
          <t>J-0187</t>
        </is>
      </c>
      <c r="B191" s="47" t="n">
        <v>46209</v>
      </c>
      <c r="C191" s="94" t="n">
        <v>0.375</v>
      </c>
      <c r="D191" s="38" t="inlineStr">
        <is>
          <t>Blake Oakes</t>
        </is>
      </c>
      <c r="E191" s="38" t="inlineStr">
        <is>
          <t>654 Willow Way, North Sampletown</t>
        </is>
      </c>
      <c r="F191" s="38" t="inlineStr">
        <is>
          <t>Airbnb Turnover</t>
        </is>
      </c>
      <c r="G191" s="38" t="n"/>
      <c r="H191" s="38" t="inlineStr">
        <is>
          <t>Kevin Osei</t>
        </is>
      </c>
      <c r="I191" s="57" t="n">
        <v>1</v>
      </c>
      <c r="J191" s="95" t="n"/>
      <c r="K191" s="95" t="n">
        <v>1.56</v>
      </c>
      <c r="L191" s="48" t="n">
        <v>135</v>
      </c>
      <c r="M191" s="96" t="n">
        <v>0</v>
      </c>
      <c r="N191" s="48" t="n"/>
      <c r="O191" s="38" t="inlineStr">
        <is>
          <t>Completed</t>
        </is>
      </c>
      <c r="P191" s="38" t="inlineStr">
        <is>
          <t>Includes laundry</t>
        </is>
      </c>
      <c r="Q191" s="97">
        <f>IF(OR(F191="",E191=""),"",IFERROR(IF(INDEX('PROPERTIES'!$F$5:$F$404,MATCH(E191,'PROPERTIES'!$B$5:$B$404,0))=0,"",ROUND((INDEX('PROPERTIES'!$F$5:$F$404,MATCH(E191,'PROPERTIES'!$B$5:$B$404,0))/INDEX('PRICING'!$C$7:$C$16,MATCH(F191,'PRICING'!$A$7:$A$16,0))+INDEX('PROPERTIES'!$G$5:$G$404,MATCH(E191,'PROPERTIES'!$B$5:$B$404,0))*INDEX('PRICING'!$D$7:$D$16,MATCH(F191,'PRICING'!$A$7:$A$16,0))/60+INDEX('PROPERTIES'!$H$5:$H$404,MATCH(E191,'PROPERTIES'!$B$5:$B$404,0))*INDEX('PRICING'!$E$7:$E$16,MATCH(F191,'PRICING'!$A$7:$A$16,0))/60+INDEX('PRICING'!$F$7:$F$16,MATCH(F191,'PRICING'!$A$7:$A$16,0))/60),2)),""))</f>
        <v/>
      </c>
      <c r="R191" s="97">
        <f>IF(B191="","",IF(N(K191)&gt;0,K191,IF(N(J191)&gt;0,J191,N(Q191))))</f>
        <v/>
      </c>
      <c r="S191" s="55">
        <f>IF(L191="","",ROUND(L191*(1+N(M191)),2))</f>
        <v/>
      </c>
      <c r="T191" s="55">
        <f>IF(B191="","",SUMIFS('REVENUE'!$C$5:$C$1504,'REVENUE'!$B$5:$B$1504,A191))</f>
        <v/>
      </c>
      <c r="U191" s="55">
        <f>IF(B191="","",IF(O191="Completed",MAX(0,N(S191)-T191),""))</f>
        <v/>
      </c>
      <c r="V191" s="49">
        <f>IF(B191="","",IF(O191&lt;&gt;"Completed",IF(T191&gt;0,"Deposit","—"),IF(U191&lt;=0.005,"Paid",IF(T191&gt;0,"Partial","Unpaid"))))</f>
        <v/>
      </c>
      <c r="W191" s="55">
        <f>IF(B191="","",IFERROR(1/(1/INDEX('STAFF &amp; TASKS'!$C$5:$C$24,MATCH(H191,'STAFF &amp; TASKS'!$A$5:$A$24,0))),PayRate))</f>
        <v/>
      </c>
      <c r="X191" s="55">
        <f>IF(B191="","",IF(OR(O191="Cancelled",O191="No-Show"),"",ROUND(R191*W191*(1+Burden),2)))</f>
        <v/>
      </c>
      <c r="Y191" s="55">
        <f>IF(B191="","",IF(OR(O191="Cancelled",O191="No-Show"),"",IF(N191&lt;&gt;"",N191,ROUND(R191*SupHr*IFERROR(INDEX('PRICING'!$G$7:$G$16,MATCH(F191,'PRICING'!$A$7:$A$16,0)),1),2))))</f>
        <v/>
      </c>
      <c r="Z191" s="98">
        <f>IF(B191="","",SUMIFS('MILEAGE'!$J$5:$J$1504,'MILEAGE'!$B$5:$B$1504,A191))</f>
        <v/>
      </c>
      <c r="AA191" s="55">
        <f>IF(B191="","",ROUND(Z191*MileRate,2))</f>
        <v/>
      </c>
      <c r="AB191" s="55">
        <f>IF(B191="","",SUMIFS('REVENUE'!$J$5:$J$1504,'REVENUE'!$B$5:$B$1504,A191))</f>
        <v/>
      </c>
      <c r="AC191" s="55">
        <f>IF(L191="","",IF(OR(O191="Cancelled",O191="No-Show"),"",L191-N(X191)-N(Y191)-AA191-AB191))</f>
        <v/>
      </c>
      <c r="AD191" s="99">
        <f>IF(OR(AC191="",N(L191)=0),"",AC191/L191)</f>
        <v/>
      </c>
      <c r="AE191" s="55">
        <f>IF(OR(AC191="",N(R191)=0),"",L191/R191)</f>
        <v/>
      </c>
      <c r="AF191" s="100">
        <f>IF(OR(N(K191)=0,N(J191)+N(Q191)=0),"",K191-IF(N(J191)&gt;0,J191,Q191))</f>
        <v/>
      </c>
      <c r="AG191" s="99">
        <f>IF(B191="","",IFERROR(AVERAGEIFS('QUALITY CONTROL'!$M$5:$M$304,'QUALITY CONTROL'!$B$5:$B$304,A191),""))</f>
        <v/>
      </c>
      <c r="AH191" s="51">
        <f>IF(B191="","",DATE(YEAR(B191),MONTH(B191),1))</f>
        <v/>
      </c>
      <c r="AI191" s="49">
        <f>IF(D191="","",IFERROR(INDEX('CUSTOMERS'!$E$5:$E$404,MATCH(D191,'CUSTOMERS'!$B$5:$B$404,0)),""))</f>
        <v/>
      </c>
      <c r="AJ191" s="49">
        <f>IF(B191="","",N(C191))</f>
        <v/>
      </c>
      <c r="AK191" s="49">
        <f>IF(OR(B191="",O191="Cancelled",O191="Rescheduled"),"",B191&amp;"|"&amp;(COUNTIFS('JOBS'!$B$5:$B$1504,B191,'JOBS'!$AJ$5:$AJ$1504,"&lt;"&amp;AJ191,'JOBS'!$O$5:$O$1504,"&lt;&gt;Cancelled",'JOBS'!$O$5:$O$1504,"&lt;&gt;Rescheduled")+COUNTIFS($B$5:B191,B191,$AJ$5:AJ191,AJ191,$O$5:O191,"&lt;&gt;Cancelled",$O$5:O191,"&lt;&gt;Rescheduled")))</f>
        <v/>
      </c>
      <c r="AL191" s="49">
        <f>IF(N(U191)&lt;=0.005,"",COUNTIFS('JOBS'!$U$5:$U$1504,"&gt;0.005",'JOBS'!$B$5:$B$1504,"&lt;"&amp;B191)+COUNTIFS($U$5:U191,"&gt;0.005",$B$5:B191,B191))</f>
        <v/>
      </c>
    </row>
    <row r="192">
      <c r="A192" s="46" t="inlineStr">
        <is>
          <t>J-0188</t>
        </is>
      </c>
      <c r="B192" s="47" t="n">
        <v>46210</v>
      </c>
      <c r="C192" s="94" t="n">
        <v>0.5416666666666666</v>
      </c>
      <c r="D192" s="38" t="inlineStr">
        <is>
          <t>Parker Lockhart</t>
        </is>
      </c>
      <c r="E192" s="38" t="inlineStr">
        <is>
          <t>412 Linden Place, Sampletown</t>
        </is>
      </c>
      <c r="F192" s="38" t="inlineStr">
        <is>
          <t>Airbnb Turnover</t>
        </is>
      </c>
      <c r="G192" s="38" t="n"/>
      <c r="H192" s="38" t="inlineStr">
        <is>
          <t>Kevin Osei</t>
        </is>
      </c>
      <c r="I192" s="57" t="n">
        <v>1</v>
      </c>
      <c r="J192" s="95" t="n"/>
      <c r="K192" s="95" t="n">
        <v>1.83</v>
      </c>
      <c r="L192" s="48" t="n">
        <v>150</v>
      </c>
      <c r="M192" s="96" t="n">
        <v>0</v>
      </c>
      <c r="N192" s="48" t="n"/>
      <c r="O192" s="38" t="inlineStr">
        <is>
          <t>Completed</t>
        </is>
      </c>
      <c r="P192" s="38" t="inlineStr">
        <is>
          <t>Includes laundry</t>
        </is>
      </c>
      <c r="Q192" s="97">
        <f>IF(OR(F192="",E192=""),"",IFERROR(IF(INDEX('PROPERTIES'!$F$5:$F$404,MATCH(E192,'PROPERTIES'!$B$5:$B$404,0))=0,"",ROUND((INDEX('PROPERTIES'!$F$5:$F$404,MATCH(E192,'PROPERTIES'!$B$5:$B$404,0))/INDEX('PRICING'!$C$7:$C$16,MATCH(F192,'PRICING'!$A$7:$A$16,0))+INDEX('PROPERTIES'!$G$5:$G$404,MATCH(E192,'PROPERTIES'!$B$5:$B$404,0))*INDEX('PRICING'!$D$7:$D$16,MATCH(F192,'PRICING'!$A$7:$A$16,0))/60+INDEX('PROPERTIES'!$H$5:$H$404,MATCH(E192,'PROPERTIES'!$B$5:$B$404,0))*INDEX('PRICING'!$E$7:$E$16,MATCH(F192,'PRICING'!$A$7:$A$16,0))/60+INDEX('PRICING'!$F$7:$F$16,MATCH(F192,'PRICING'!$A$7:$A$16,0))/60),2)),""))</f>
        <v/>
      </c>
      <c r="R192" s="97">
        <f>IF(B192="","",IF(N(K192)&gt;0,K192,IF(N(J192)&gt;0,J192,N(Q192))))</f>
        <v/>
      </c>
      <c r="S192" s="55">
        <f>IF(L192="","",ROUND(L192*(1+N(M192)),2))</f>
        <v/>
      </c>
      <c r="T192" s="55">
        <f>IF(B192="","",SUMIFS('REVENUE'!$C$5:$C$1504,'REVENUE'!$B$5:$B$1504,A192))</f>
        <v/>
      </c>
      <c r="U192" s="55">
        <f>IF(B192="","",IF(O192="Completed",MAX(0,N(S192)-T192),""))</f>
        <v/>
      </c>
      <c r="V192" s="49">
        <f>IF(B192="","",IF(O192&lt;&gt;"Completed",IF(T192&gt;0,"Deposit","—"),IF(U192&lt;=0.005,"Paid",IF(T192&gt;0,"Partial","Unpaid"))))</f>
        <v/>
      </c>
      <c r="W192" s="55">
        <f>IF(B192="","",IFERROR(1/(1/INDEX('STAFF &amp; TASKS'!$C$5:$C$24,MATCH(H192,'STAFF &amp; TASKS'!$A$5:$A$24,0))),PayRate))</f>
        <v/>
      </c>
      <c r="X192" s="55">
        <f>IF(B192="","",IF(OR(O192="Cancelled",O192="No-Show"),"",ROUND(R192*W192*(1+Burden),2)))</f>
        <v/>
      </c>
      <c r="Y192" s="55">
        <f>IF(B192="","",IF(OR(O192="Cancelled",O192="No-Show"),"",IF(N192&lt;&gt;"",N192,ROUND(R192*SupHr*IFERROR(INDEX('PRICING'!$G$7:$G$16,MATCH(F192,'PRICING'!$A$7:$A$16,0)),1),2))))</f>
        <v/>
      </c>
      <c r="Z192" s="98">
        <f>IF(B192="","",SUMIFS('MILEAGE'!$J$5:$J$1504,'MILEAGE'!$B$5:$B$1504,A192))</f>
        <v/>
      </c>
      <c r="AA192" s="55">
        <f>IF(B192="","",ROUND(Z192*MileRate,2))</f>
        <v/>
      </c>
      <c r="AB192" s="55">
        <f>IF(B192="","",SUMIFS('REVENUE'!$J$5:$J$1504,'REVENUE'!$B$5:$B$1504,A192))</f>
        <v/>
      </c>
      <c r="AC192" s="55">
        <f>IF(L192="","",IF(OR(O192="Cancelled",O192="No-Show"),"",L192-N(X192)-N(Y192)-AA192-AB192))</f>
        <v/>
      </c>
      <c r="AD192" s="99">
        <f>IF(OR(AC192="",N(L192)=0),"",AC192/L192)</f>
        <v/>
      </c>
      <c r="AE192" s="55">
        <f>IF(OR(AC192="",N(R192)=0),"",L192/R192)</f>
        <v/>
      </c>
      <c r="AF192" s="100">
        <f>IF(OR(N(K192)=0,N(J192)+N(Q192)=0),"",K192-IF(N(J192)&gt;0,J192,Q192))</f>
        <v/>
      </c>
      <c r="AG192" s="99">
        <f>IF(B192="","",IFERROR(AVERAGEIFS('QUALITY CONTROL'!$M$5:$M$304,'QUALITY CONTROL'!$B$5:$B$304,A192),""))</f>
        <v/>
      </c>
      <c r="AH192" s="51">
        <f>IF(B192="","",DATE(YEAR(B192),MONTH(B192),1))</f>
        <v/>
      </c>
      <c r="AI192" s="49">
        <f>IF(D192="","",IFERROR(INDEX('CUSTOMERS'!$E$5:$E$404,MATCH(D192,'CUSTOMERS'!$B$5:$B$404,0)),""))</f>
        <v/>
      </c>
      <c r="AJ192" s="49">
        <f>IF(B192="","",N(C192))</f>
        <v/>
      </c>
      <c r="AK192" s="49">
        <f>IF(OR(B192="",O192="Cancelled",O192="Rescheduled"),"",B192&amp;"|"&amp;(COUNTIFS('JOBS'!$B$5:$B$1504,B192,'JOBS'!$AJ$5:$AJ$1504,"&lt;"&amp;AJ192,'JOBS'!$O$5:$O$1504,"&lt;&gt;Cancelled",'JOBS'!$O$5:$O$1504,"&lt;&gt;Rescheduled")+COUNTIFS($B$5:B192,B192,$AJ$5:AJ192,AJ192,$O$5:O192,"&lt;&gt;Cancelled",$O$5:O192,"&lt;&gt;Rescheduled")))</f>
        <v/>
      </c>
      <c r="AL192" s="49">
        <f>IF(N(U192)&lt;=0.005,"",COUNTIFS('JOBS'!$U$5:$U$1504,"&gt;0.005",'JOBS'!$B$5:$B$1504,"&lt;"&amp;B192)+COUNTIFS($U$5:U192,"&gt;0.005",$B$5:B192,B192))</f>
        <v/>
      </c>
    </row>
    <row r="193">
      <c r="A193" s="46" t="inlineStr">
        <is>
          <t>J-0189</t>
        </is>
      </c>
      <c r="B193" s="47" t="n">
        <v>46210</v>
      </c>
      <c r="C193" s="94" t="n">
        <v>0.5833333333333334</v>
      </c>
      <c r="D193" s="38" t="inlineStr">
        <is>
          <t>Lane Ivers</t>
        </is>
      </c>
      <c r="E193" s="38" t="inlineStr">
        <is>
          <t>497 Aspen Drive, Sampletown</t>
        </is>
      </c>
      <c r="F193" s="38" t="inlineStr">
        <is>
          <t>Standard Clean</t>
        </is>
      </c>
      <c r="G193" s="38" t="inlineStr">
        <is>
          <t>R-001</t>
        </is>
      </c>
      <c r="H193" s="38" t="inlineStr">
        <is>
          <t>Maria Lopez</t>
        </is>
      </c>
      <c r="I193" s="57" t="n">
        <v>1</v>
      </c>
      <c r="J193" s="95" t="n"/>
      <c r="K193" s="95" t="n">
        <v>4.05</v>
      </c>
      <c r="L193" s="48" t="n">
        <v>175</v>
      </c>
      <c r="M193" s="96" t="n">
        <v>0</v>
      </c>
      <c r="N193" s="48" t="n"/>
      <c r="O193" s="38" t="inlineStr">
        <is>
          <t>Completed</t>
        </is>
      </c>
      <c r="P193" s="38" t="inlineStr"/>
      <c r="Q193" s="97">
        <f>IF(OR(F193="",E193=""),"",IFERROR(IF(INDEX('PROPERTIES'!$F$5:$F$404,MATCH(E193,'PROPERTIES'!$B$5:$B$404,0))=0,"",ROUND((INDEX('PROPERTIES'!$F$5:$F$404,MATCH(E193,'PROPERTIES'!$B$5:$B$404,0))/INDEX('PRICING'!$C$7:$C$16,MATCH(F193,'PRICING'!$A$7:$A$16,0))+INDEX('PROPERTIES'!$G$5:$G$404,MATCH(E193,'PROPERTIES'!$B$5:$B$404,0))*INDEX('PRICING'!$D$7:$D$16,MATCH(F193,'PRICING'!$A$7:$A$16,0))/60+INDEX('PROPERTIES'!$H$5:$H$404,MATCH(E193,'PROPERTIES'!$B$5:$B$404,0))*INDEX('PRICING'!$E$7:$E$16,MATCH(F193,'PRICING'!$A$7:$A$16,0))/60+INDEX('PRICING'!$F$7:$F$16,MATCH(F193,'PRICING'!$A$7:$A$16,0))/60),2)),""))</f>
        <v/>
      </c>
      <c r="R193" s="97">
        <f>IF(B193="","",IF(N(K193)&gt;0,K193,IF(N(J193)&gt;0,J193,N(Q193))))</f>
        <v/>
      </c>
      <c r="S193" s="55">
        <f>IF(L193="","",ROUND(L193*(1+N(M193)),2))</f>
        <v/>
      </c>
      <c r="T193" s="55">
        <f>IF(B193="","",SUMIFS('REVENUE'!$C$5:$C$1504,'REVENUE'!$B$5:$B$1504,A193))</f>
        <v/>
      </c>
      <c r="U193" s="55">
        <f>IF(B193="","",IF(O193="Completed",MAX(0,N(S193)-T193),""))</f>
        <v/>
      </c>
      <c r="V193" s="49">
        <f>IF(B193="","",IF(O193&lt;&gt;"Completed",IF(T193&gt;0,"Deposit","—"),IF(U193&lt;=0.005,"Paid",IF(T193&gt;0,"Partial","Unpaid"))))</f>
        <v/>
      </c>
      <c r="W193" s="55">
        <f>IF(B193="","",IFERROR(1/(1/INDEX('STAFF &amp; TASKS'!$C$5:$C$24,MATCH(H193,'STAFF &amp; TASKS'!$A$5:$A$24,0))),PayRate))</f>
        <v/>
      </c>
      <c r="X193" s="55">
        <f>IF(B193="","",IF(OR(O193="Cancelled",O193="No-Show"),"",ROUND(R193*W193*(1+Burden),2)))</f>
        <v/>
      </c>
      <c r="Y193" s="55">
        <f>IF(B193="","",IF(OR(O193="Cancelled",O193="No-Show"),"",IF(N193&lt;&gt;"",N193,ROUND(R193*SupHr*IFERROR(INDEX('PRICING'!$G$7:$G$16,MATCH(F193,'PRICING'!$A$7:$A$16,0)),1),2))))</f>
        <v/>
      </c>
      <c r="Z193" s="98">
        <f>IF(B193="","",SUMIFS('MILEAGE'!$J$5:$J$1504,'MILEAGE'!$B$5:$B$1504,A193))</f>
        <v/>
      </c>
      <c r="AA193" s="55">
        <f>IF(B193="","",ROUND(Z193*MileRate,2))</f>
        <v/>
      </c>
      <c r="AB193" s="55">
        <f>IF(B193="","",SUMIFS('REVENUE'!$J$5:$J$1504,'REVENUE'!$B$5:$B$1504,A193))</f>
        <v/>
      </c>
      <c r="AC193" s="55">
        <f>IF(L193="","",IF(OR(O193="Cancelled",O193="No-Show"),"",L193-N(X193)-N(Y193)-AA193-AB193))</f>
        <v/>
      </c>
      <c r="AD193" s="99">
        <f>IF(OR(AC193="",N(L193)=0),"",AC193/L193)</f>
        <v/>
      </c>
      <c r="AE193" s="55">
        <f>IF(OR(AC193="",N(R193)=0),"",L193/R193)</f>
        <v/>
      </c>
      <c r="AF193" s="100">
        <f>IF(OR(N(K193)=0,N(J193)+N(Q193)=0),"",K193-IF(N(J193)&gt;0,J193,Q193))</f>
        <v/>
      </c>
      <c r="AG193" s="99">
        <f>IF(B193="","",IFERROR(AVERAGEIFS('QUALITY CONTROL'!$M$5:$M$304,'QUALITY CONTROL'!$B$5:$B$304,A193),""))</f>
        <v/>
      </c>
      <c r="AH193" s="51">
        <f>IF(B193="","",DATE(YEAR(B193),MONTH(B193),1))</f>
        <v/>
      </c>
      <c r="AI193" s="49">
        <f>IF(D193="","",IFERROR(INDEX('CUSTOMERS'!$E$5:$E$404,MATCH(D193,'CUSTOMERS'!$B$5:$B$404,0)),""))</f>
        <v/>
      </c>
      <c r="AJ193" s="49">
        <f>IF(B193="","",N(C193))</f>
        <v/>
      </c>
      <c r="AK193" s="49">
        <f>IF(OR(B193="",O193="Cancelled",O193="Rescheduled"),"",B193&amp;"|"&amp;(COUNTIFS('JOBS'!$B$5:$B$1504,B193,'JOBS'!$AJ$5:$AJ$1504,"&lt;"&amp;AJ193,'JOBS'!$O$5:$O$1504,"&lt;&gt;Cancelled",'JOBS'!$O$5:$O$1504,"&lt;&gt;Rescheduled")+COUNTIFS($B$5:B193,B193,$AJ$5:AJ193,AJ193,$O$5:O193,"&lt;&gt;Cancelled",$O$5:O193,"&lt;&gt;Rescheduled")))</f>
        <v/>
      </c>
      <c r="AL193" s="49">
        <f>IF(N(U193)&lt;=0.005,"",COUNTIFS('JOBS'!$U$5:$U$1504,"&gt;0.005",'JOBS'!$B$5:$B$1504,"&lt;"&amp;B193)+COUNTIFS($U$5:U193,"&gt;0.005",$B$5:B193,B193))</f>
        <v/>
      </c>
    </row>
    <row r="194">
      <c r="A194" s="46" t="inlineStr">
        <is>
          <t>J-0190</t>
        </is>
      </c>
      <c r="B194" s="47" t="n">
        <v>46211</v>
      </c>
      <c r="C194" s="94" t="n">
        <v>0.4166666666666667</v>
      </c>
      <c r="D194" s="38" t="inlineStr">
        <is>
          <t>Logan Porter</t>
        </is>
      </c>
      <c r="E194" s="38" t="inlineStr">
        <is>
          <t>675 Aspen Drive, Lakeview (fictional)</t>
        </is>
      </c>
      <c r="F194" s="38" t="inlineStr">
        <is>
          <t>Standard Clean</t>
        </is>
      </c>
      <c r="G194" s="38" t="inlineStr">
        <is>
          <t>R-002</t>
        </is>
      </c>
      <c r="H194" s="38" t="inlineStr">
        <is>
          <t>Dana Whitfield</t>
        </is>
      </c>
      <c r="I194" s="57" t="n">
        <v>1</v>
      </c>
      <c r="J194" s="95" t="n"/>
      <c r="K194" s="95" t="n">
        <v>5.38</v>
      </c>
      <c r="L194" s="48" t="n">
        <v>220</v>
      </c>
      <c r="M194" s="96" t="n">
        <v>0</v>
      </c>
      <c r="N194" s="48" t="n"/>
      <c r="O194" s="38" t="inlineStr">
        <is>
          <t>Completed</t>
        </is>
      </c>
      <c r="P194" s="38" t="inlineStr"/>
      <c r="Q194" s="97">
        <f>IF(OR(F194="",E194=""),"",IFERROR(IF(INDEX('PROPERTIES'!$F$5:$F$404,MATCH(E194,'PROPERTIES'!$B$5:$B$404,0))=0,"",ROUND((INDEX('PROPERTIES'!$F$5:$F$404,MATCH(E194,'PROPERTIES'!$B$5:$B$404,0))/INDEX('PRICING'!$C$7:$C$16,MATCH(F194,'PRICING'!$A$7:$A$16,0))+INDEX('PROPERTIES'!$G$5:$G$404,MATCH(E194,'PROPERTIES'!$B$5:$B$404,0))*INDEX('PRICING'!$D$7:$D$16,MATCH(F194,'PRICING'!$A$7:$A$16,0))/60+INDEX('PROPERTIES'!$H$5:$H$404,MATCH(E194,'PROPERTIES'!$B$5:$B$404,0))*INDEX('PRICING'!$E$7:$E$16,MATCH(F194,'PRICING'!$A$7:$A$16,0))/60+INDEX('PRICING'!$F$7:$F$16,MATCH(F194,'PRICING'!$A$7:$A$16,0))/60),2)),""))</f>
        <v/>
      </c>
      <c r="R194" s="97">
        <f>IF(B194="","",IF(N(K194)&gt;0,K194,IF(N(J194)&gt;0,J194,N(Q194))))</f>
        <v/>
      </c>
      <c r="S194" s="55">
        <f>IF(L194="","",ROUND(L194*(1+N(M194)),2))</f>
        <v/>
      </c>
      <c r="T194" s="55">
        <f>IF(B194="","",SUMIFS('REVENUE'!$C$5:$C$1504,'REVENUE'!$B$5:$B$1504,A194))</f>
        <v/>
      </c>
      <c r="U194" s="55">
        <f>IF(B194="","",IF(O194="Completed",MAX(0,N(S194)-T194),""))</f>
        <v/>
      </c>
      <c r="V194" s="49">
        <f>IF(B194="","",IF(O194&lt;&gt;"Completed",IF(T194&gt;0,"Deposit","—"),IF(U194&lt;=0.005,"Paid",IF(T194&gt;0,"Partial","Unpaid"))))</f>
        <v/>
      </c>
      <c r="W194" s="55">
        <f>IF(B194="","",IFERROR(1/(1/INDEX('STAFF &amp; TASKS'!$C$5:$C$24,MATCH(H194,'STAFF &amp; TASKS'!$A$5:$A$24,0))),PayRate))</f>
        <v/>
      </c>
      <c r="X194" s="55">
        <f>IF(B194="","",IF(OR(O194="Cancelled",O194="No-Show"),"",ROUND(R194*W194*(1+Burden),2)))</f>
        <v/>
      </c>
      <c r="Y194" s="55">
        <f>IF(B194="","",IF(OR(O194="Cancelled",O194="No-Show"),"",IF(N194&lt;&gt;"",N194,ROUND(R194*SupHr*IFERROR(INDEX('PRICING'!$G$7:$G$16,MATCH(F194,'PRICING'!$A$7:$A$16,0)),1),2))))</f>
        <v/>
      </c>
      <c r="Z194" s="98">
        <f>IF(B194="","",SUMIFS('MILEAGE'!$J$5:$J$1504,'MILEAGE'!$B$5:$B$1504,A194))</f>
        <v/>
      </c>
      <c r="AA194" s="55">
        <f>IF(B194="","",ROUND(Z194*MileRate,2))</f>
        <v/>
      </c>
      <c r="AB194" s="55">
        <f>IF(B194="","",SUMIFS('REVENUE'!$J$5:$J$1504,'REVENUE'!$B$5:$B$1504,A194))</f>
        <v/>
      </c>
      <c r="AC194" s="55">
        <f>IF(L194="","",IF(OR(O194="Cancelled",O194="No-Show"),"",L194-N(X194)-N(Y194)-AA194-AB194))</f>
        <v/>
      </c>
      <c r="AD194" s="99">
        <f>IF(OR(AC194="",N(L194)=0),"",AC194/L194)</f>
        <v/>
      </c>
      <c r="AE194" s="55">
        <f>IF(OR(AC194="",N(R194)=0),"",L194/R194)</f>
        <v/>
      </c>
      <c r="AF194" s="100">
        <f>IF(OR(N(K194)=0,N(J194)+N(Q194)=0),"",K194-IF(N(J194)&gt;0,J194,Q194))</f>
        <v/>
      </c>
      <c r="AG194" s="99">
        <f>IF(B194="","",IFERROR(AVERAGEIFS('QUALITY CONTROL'!$M$5:$M$304,'QUALITY CONTROL'!$B$5:$B$304,A194),""))</f>
        <v/>
      </c>
      <c r="AH194" s="51">
        <f>IF(B194="","",DATE(YEAR(B194),MONTH(B194),1))</f>
        <v/>
      </c>
      <c r="AI194" s="49">
        <f>IF(D194="","",IFERROR(INDEX('CUSTOMERS'!$E$5:$E$404,MATCH(D194,'CUSTOMERS'!$B$5:$B$404,0)),""))</f>
        <v/>
      </c>
      <c r="AJ194" s="49">
        <f>IF(B194="","",N(C194))</f>
        <v/>
      </c>
      <c r="AK194" s="49">
        <f>IF(OR(B194="",O194="Cancelled",O194="Rescheduled"),"",B194&amp;"|"&amp;(COUNTIFS('JOBS'!$B$5:$B$1504,B194,'JOBS'!$AJ$5:$AJ$1504,"&lt;"&amp;AJ194,'JOBS'!$O$5:$O$1504,"&lt;&gt;Cancelled",'JOBS'!$O$5:$O$1504,"&lt;&gt;Rescheduled")+COUNTIFS($B$5:B194,B194,$AJ$5:AJ194,AJ194,$O$5:O194,"&lt;&gt;Cancelled",$O$5:O194,"&lt;&gt;Rescheduled")))</f>
        <v/>
      </c>
      <c r="AL194" s="49">
        <f>IF(N(U194)&lt;=0.005,"",COUNTIFS('JOBS'!$U$5:$U$1504,"&gt;0.005",'JOBS'!$B$5:$B$1504,"&lt;"&amp;B194)+COUNTIFS($U$5:U194,"&gt;0.005",$B$5:B194,B194))</f>
        <v/>
      </c>
    </row>
    <row r="195">
      <c r="A195" s="46" t="inlineStr">
        <is>
          <t>J-0191</t>
        </is>
      </c>
      <c r="B195" s="47" t="n">
        <v>46213</v>
      </c>
      <c r="C195" s="94" t="n">
        <v>0.3541666666666667</v>
      </c>
      <c r="D195" s="38" t="inlineStr">
        <is>
          <t>Oakview Office Suites (sample)</t>
        </is>
      </c>
      <c r="E195" s="38" t="inlineStr">
        <is>
          <t>957 Hawthorn Road, North Sampletown</t>
        </is>
      </c>
      <c r="F195" s="38" t="inlineStr">
        <is>
          <t>Commercial Clean</t>
        </is>
      </c>
      <c r="G195" s="38" t="inlineStr">
        <is>
          <t>R-012</t>
        </is>
      </c>
      <c r="H195" s="38" t="inlineStr">
        <is>
          <t>Kevin Osei</t>
        </is>
      </c>
      <c r="I195" s="57" t="n">
        <v>2</v>
      </c>
      <c r="J195" s="95" t="n"/>
      <c r="K195" s="95" t="n">
        <v>4.03</v>
      </c>
      <c r="L195" s="48" t="n">
        <v>140</v>
      </c>
      <c r="M195" s="96" t="n">
        <v>0</v>
      </c>
      <c r="N195" s="48" t="n"/>
      <c r="O195" s="38" t="inlineStr">
        <is>
          <t>Completed</t>
        </is>
      </c>
      <c r="P195" s="38" t="inlineStr"/>
      <c r="Q195" s="97">
        <f>IF(OR(F195="",E195=""),"",IFERROR(IF(INDEX('PROPERTIES'!$F$5:$F$404,MATCH(E195,'PROPERTIES'!$B$5:$B$404,0))=0,"",ROUND((INDEX('PROPERTIES'!$F$5:$F$404,MATCH(E195,'PROPERTIES'!$B$5:$B$404,0))/INDEX('PRICING'!$C$7:$C$16,MATCH(F195,'PRICING'!$A$7:$A$16,0))+INDEX('PROPERTIES'!$G$5:$G$404,MATCH(E195,'PROPERTIES'!$B$5:$B$404,0))*INDEX('PRICING'!$D$7:$D$16,MATCH(F195,'PRICING'!$A$7:$A$16,0))/60+INDEX('PROPERTIES'!$H$5:$H$404,MATCH(E195,'PROPERTIES'!$B$5:$B$404,0))*INDEX('PRICING'!$E$7:$E$16,MATCH(F195,'PRICING'!$A$7:$A$16,0))/60+INDEX('PRICING'!$F$7:$F$16,MATCH(F195,'PRICING'!$A$7:$A$16,0))/60),2)),""))</f>
        <v/>
      </c>
      <c r="R195" s="97">
        <f>IF(B195="","",IF(N(K195)&gt;0,K195,IF(N(J195)&gt;0,J195,N(Q195))))</f>
        <v/>
      </c>
      <c r="S195" s="55">
        <f>IF(L195="","",ROUND(L195*(1+N(M195)),2))</f>
        <v/>
      </c>
      <c r="T195" s="55">
        <f>IF(B195="","",SUMIFS('REVENUE'!$C$5:$C$1504,'REVENUE'!$B$5:$B$1504,A195))</f>
        <v/>
      </c>
      <c r="U195" s="55">
        <f>IF(B195="","",IF(O195="Completed",MAX(0,N(S195)-T195),""))</f>
        <v/>
      </c>
      <c r="V195" s="49">
        <f>IF(B195="","",IF(O195&lt;&gt;"Completed",IF(T195&gt;0,"Deposit","—"),IF(U195&lt;=0.005,"Paid",IF(T195&gt;0,"Partial","Unpaid"))))</f>
        <v/>
      </c>
      <c r="W195" s="55">
        <f>IF(B195="","",IFERROR(1/(1/INDEX('STAFF &amp; TASKS'!$C$5:$C$24,MATCH(H195,'STAFF &amp; TASKS'!$A$5:$A$24,0))),PayRate))</f>
        <v/>
      </c>
      <c r="X195" s="55">
        <f>IF(B195="","",IF(OR(O195="Cancelled",O195="No-Show"),"",ROUND(R195*W195*(1+Burden),2)))</f>
        <v/>
      </c>
      <c r="Y195" s="55">
        <f>IF(B195="","",IF(OR(O195="Cancelled",O195="No-Show"),"",IF(N195&lt;&gt;"",N195,ROUND(R195*SupHr*IFERROR(INDEX('PRICING'!$G$7:$G$16,MATCH(F195,'PRICING'!$A$7:$A$16,0)),1),2))))</f>
        <v/>
      </c>
      <c r="Z195" s="98">
        <f>IF(B195="","",SUMIFS('MILEAGE'!$J$5:$J$1504,'MILEAGE'!$B$5:$B$1504,A195))</f>
        <v/>
      </c>
      <c r="AA195" s="55">
        <f>IF(B195="","",ROUND(Z195*MileRate,2))</f>
        <v/>
      </c>
      <c r="AB195" s="55">
        <f>IF(B195="","",SUMIFS('REVENUE'!$J$5:$J$1504,'REVENUE'!$B$5:$B$1504,A195))</f>
        <v/>
      </c>
      <c r="AC195" s="55">
        <f>IF(L195="","",IF(OR(O195="Cancelled",O195="No-Show"),"",L195-N(X195)-N(Y195)-AA195-AB195))</f>
        <v/>
      </c>
      <c r="AD195" s="99">
        <f>IF(OR(AC195="",N(L195)=0),"",AC195/L195)</f>
        <v/>
      </c>
      <c r="AE195" s="55">
        <f>IF(OR(AC195="",N(R195)=0),"",L195/R195)</f>
        <v/>
      </c>
      <c r="AF195" s="100">
        <f>IF(OR(N(K195)=0,N(J195)+N(Q195)=0),"",K195-IF(N(J195)&gt;0,J195,Q195))</f>
        <v/>
      </c>
      <c r="AG195" s="99">
        <f>IF(B195="","",IFERROR(AVERAGEIFS('QUALITY CONTROL'!$M$5:$M$304,'QUALITY CONTROL'!$B$5:$B$304,A195),""))</f>
        <v/>
      </c>
      <c r="AH195" s="51">
        <f>IF(B195="","",DATE(YEAR(B195),MONTH(B195),1))</f>
        <v/>
      </c>
      <c r="AI195" s="49">
        <f>IF(D195="","",IFERROR(INDEX('CUSTOMERS'!$E$5:$E$404,MATCH(D195,'CUSTOMERS'!$B$5:$B$404,0)),""))</f>
        <v/>
      </c>
      <c r="AJ195" s="49">
        <f>IF(B195="","",N(C195))</f>
        <v/>
      </c>
      <c r="AK195" s="49">
        <f>IF(OR(B195="",O195="Cancelled",O195="Rescheduled"),"",B195&amp;"|"&amp;(COUNTIFS('JOBS'!$B$5:$B$1504,B195,'JOBS'!$AJ$5:$AJ$1504,"&lt;"&amp;AJ195,'JOBS'!$O$5:$O$1504,"&lt;&gt;Cancelled",'JOBS'!$O$5:$O$1504,"&lt;&gt;Rescheduled")+COUNTIFS($B$5:B195,B195,$AJ$5:AJ195,AJ195,$O$5:O195,"&lt;&gt;Cancelled",$O$5:O195,"&lt;&gt;Rescheduled")))</f>
        <v/>
      </c>
      <c r="AL195" s="49">
        <f>IF(N(U195)&lt;=0.005,"",COUNTIFS('JOBS'!$U$5:$U$1504,"&gt;0.005",'JOBS'!$B$5:$B$1504,"&lt;"&amp;B195)+COUNTIFS($U$5:U195,"&gt;0.005",$B$5:B195,B195))</f>
        <v/>
      </c>
    </row>
    <row r="196">
      <c r="A196" s="46" t="inlineStr">
        <is>
          <t>J-0192</t>
        </is>
      </c>
      <c r="B196" s="47" t="n">
        <v>46213</v>
      </c>
      <c r="C196" s="94" t="n">
        <v>0.4166666666666667</v>
      </c>
      <c r="D196" s="38" t="inlineStr">
        <is>
          <t>Devon Hayes</t>
        </is>
      </c>
      <c r="E196" s="38" t="inlineStr">
        <is>
          <t>461 Hawthorn Road, Lakeview (fictional)</t>
        </is>
      </c>
      <c r="F196" s="38" t="inlineStr">
        <is>
          <t>Standard Clean</t>
        </is>
      </c>
      <c r="G196" s="38" t="inlineStr">
        <is>
          <t>R-003</t>
        </is>
      </c>
      <c r="H196" s="38" t="inlineStr">
        <is>
          <t>Maria Lopez</t>
        </is>
      </c>
      <c r="I196" s="57" t="n">
        <v>1</v>
      </c>
      <c r="J196" s="95" t="n"/>
      <c r="K196" s="95" t="n">
        <v>4.81</v>
      </c>
      <c r="L196" s="48" t="n">
        <v>220</v>
      </c>
      <c r="M196" s="96" t="n">
        <v>0</v>
      </c>
      <c r="N196" s="48" t="n"/>
      <c r="O196" s="38" t="inlineStr">
        <is>
          <t>Completed</t>
        </is>
      </c>
      <c r="P196" s="38" t="inlineStr"/>
      <c r="Q196" s="97">
        <f>IF(OR(F196="",E196=""),"",IFERROR(IF(INDEX('PROPERTIES'!$F$5:$F$404,MATCH(E196,'PROPERTIES'!$B$5:$B$404,0))=0,"",ROUND((INDEX('PROPERTIES'!$F$5:$F$404,MATCH(E196,'PROPERTIES'!$B$5:$B$404,0))/INDEX('PRICING'!$C$7:$C$16,MATCH(F196,'PRICING'!$A$7:$A$16,0))+INDEX('PROPERTIES'!$G$5:$G$404,MATCH(E196,'PROPERTIES'!$B$5:$B$404,0))*INDEX('PRICING'!$D$7:$D$16,MATCH(F196,'PRICING'!$A$7:$A$16,0))/60+INDEX('PROPERTIES'!$H$5:$H$404,MATCH(E196,'PROPERTIES'!$B$5:$B$404,0))*INDEX('PRICING'!$E$7:$E$16,MATCH(F196,'PRICING'!$A$7:$A$16,0))/60+INDEX('PRICING'!$F$7:$F$16,MATCH(F196,'PRICING'!$A$7:$A$16,0))/60),2)),""))</f>
        <v/>
      </c>
      <c r="R196" s="97">
        <f>IF(B196="","",IF(N(K196)&gt;0,K196,IF(N(J196)&gt;0,J196,N(Q196))))</f>
        <v/>
      </c>
      <c r="S196" s="55">
        <f>IF(L196="","",ROUND(L196*(1+N(M196)),2))</f>
        <v/>
      </c>
      <c r="T196" s="55">
        <f>IF(B196="","",SUMIFS('REVENUE'!$C$5:$C$1504,'REVENUE'!$B$5:$B$1504,A196))</f>
        <v/>
      </c>
      <c r="U196" s="55">
        <f>IF(B196="","",IF(O196="Completed",MAX(0,N(S196)-T196),""))</f>
        <v/>
      </c>
      <c r="V196" s="49">
        <f>IF(B196="","",IF(O196&lt;&gt;"Completed",IF(T196&gt;0,"Deposit","—"),IF(U196&lt;=0.005,"Paid",IF(T196&gt;0,"Partial","Unpaid"))))</f>
        <v/>
      </c>
      <c r="W196" s="55">
        <f>IF(B196="","",IFERROR(1/(1/INDEX('STAFF &amp; TASKS'!$C$5:$C$24,MATCH(H196,'STAFF &amp; TASKS'!$A$5:$A$24,0))),PayRate))</f>
        <v/>
      </c>
      <c r="X196" s="55">
        <f>IF(B196="","",IF(OR(O196="Cancelled",O196="No-Show"),"",ROUND(R196*W196*(1+Burden),2)))</f>
        <v/>
      </c>
      <c r="Y196" s="55">
        <f>IF(B196="","",IF(OR(O196="Cancelled",O196="No-Show"),"",IF(N196&lt;&gt;"",N196,ROUND(R196*SupHr*IFERROR(INDEX('PRICING'!$G$7:$G$16,MATCH(F196,'PRICING'!$A$7:$A$16,0)),1),2))))</f>
        <v/>
      </c>
      <c r="Z196" s="98">
        <f>IF(B196="","",SUMIFS('MILEAGE'!$J$5:$J$1504,'MILEAGE'!$B$5:$B$1504,A196))</f>
        <v/>
      </c>
      <c r="AA196" s="55">
        <f>IF(B196="","",ROUND(Z196*MileRate,2))</f>
        <v/>
      </c>
      <c r="AB196" s="55">
        <f>IF(B196="","",SUMIFS('REVENUE'!$J$5:$J$1504,'REVENUE'!$B$5:$B$1504,A196))</f>
        <v/>
      </c>
      <c r="AC196" s="55">
        <f>IF(L196="","",IF(OR(O196="Cancelled",O196="No-Show"),"",L196-N(X196)-N(Y196)-AA196-AB196))</f>
        <v/>
      </c>
      <c r="AD196" s="99">
        <f>IF(OR(AC196="",N(L196)=0),"",AC196/L196)</f>
        <v/>
      </c>
      <c r="AE196" s="55">
        <f>IF(OR(AC196="",N(R196)=0),"",L196/R196)</f>
        <v/>
      </c>
      <c r="AF196" s="100">
        <f>IF(OR(N(K196)=0,N(J196)+N(Q196)=0),"",K196-IF(N(J196)&gt;0,J196,Q196))</f>
        <v/>
      </c>
      <c r="AG196" s="99">
        <f>IF(B196="","",IFERROR(AVERAGEIFS('QUALITY CONTROL'!$M$5:$M$304,'QUALITY CONTROL'!$B$5:$B$304,A196),""))</f>
        <v/>
      </c>
      <c r="AH196" s="51">
        <f>IF(B196="","",DATE(YEAR(B196),MONTH(B196),1))</f>
        <v/>
      </c>
      <c r="AI196" s="49">
        <f>IF(D196="","",IFERROR(INDEX('CUSTOMERS'!$E$5:$E$404,MATCH(D196,'CUSTOMERS'!$B$5:$B$404,0)),""))</f>
        <v/>
      </c>
      <c r="AJ196" s="49">
        <f>IF(B196="","",N(C196))</f>
        <v/>
      </c>
      <c r="AK196" s="49">
        <f>IF(OR(B196="",O196="Cancelled",O196="Rescheduled"),"",B196&amp;"|"&amp;(COUNTIFS('JOBS'!$B$5:$B$1504,B196,'JOBS'!$AJ$5:$AJ$1504,"&lt;"&amp;AJ196,'JOBS'!$O$5:$O$1504,"&lt;&gt;Cancelled",'JOBS'!$O$5:$O$1504,"&lt;&gt;Rescheduled")+COUNTIFS($B$5:B196,B196,$AJ$5:AJ196,AJ196,$O$5:O196,"&lt;&gt;Cancelled",$O$5:O196,"&lt;&gt;Rescheduled")))</f>
        <v/>
      </c>
      <c r="AL196" s="49">
        <f>IF(N(U196)&lt;=0.005,"",COUNTIFS('JOBS'!$U$5:$U$1504,"&gt;0.005",'JOBS'!$B$5:$B$1504,"&lt;"&amp;B196)+COUNTIFS($U$5:U196,"&gt;0.005",$B$5:B196,B196))</f>
        <v/>
      </c>
    </row>
    <row r="197">
      <c r="A197" s="46" t="inlineStr">
        <is>
          <t>J-0193</t>
        </is>
      </c>
      <c r="B197" s="47" t="n">
        <v>46213</v>
      </c>
      <c r="C197" s="94" t="n">
        <v>0.4791666666666667</v>
      </c>
      <c r="D197" s="38" t="inlineStr">
        <is>
          <t>Brightside Dental Studio (sample)</t>
        </is>
      </c>
      <c r="E197" s="38" t="inlineStr">
        <is>
          <t>738 Cedar Court, North Sampletown</t>
        </is>
      </c>
      <c r="F197" s="38" t="inlineStr">
        <is>
          <t>Commercial Clean</t>
        </is>
      </c>
      <c r="G197" s="38" t="inlineStr">
        <is>
          <t>R-011</t>
        </is>
      </c>
      <c r="H197" s="38" t="inlineStr">
        <is>
          <t>Kevin Osei</t>
        </is>
      </c>
      <c r="I197" s="57" t="n">
        <v>2</v>
      </c>
      <c r="J197" s="95" t="n"/>
      <c r="K197" s="95" t="n">
        <v>1.87</v>
      </c>
      <c r="L197" s="48" t="n">
        <v>100</v>
      </c>
      <c r="M197" s="96" t="n">
        <v>0</v>
      </c>
      <c r="N197" s="48" t="n"/>
      <c r="O197" s="38" t="inlineStr">
        <is>
          <t>Completed</t>
        </is>
      </c>
      <c r="P197" s="38" t="inlineStr"/>
      <c r="Q197" s="97">
        <f>IF(OR(F197="",E197=""),"",IFERROR(IF(INDEX('PROPERTIES'!$F$5:$F$404,MATCH(E197,'PROPERTIES'!$B$5:$B$404,0))=0,"",ROUND((INDEX('PROPERTIES'!$F$5:$F$404,MATCH(E197,'PROPERTIES'!$B$5:$B$404,0))/INDEX('PRICING'!$C$7:$C$16,MATCH(F197,'PRICING'!$A$7:$A$16,0))+INDEX('PROPERTIES'!$G$5:$G$404,MATCH(E197,'PROPERTIES'!$B$5:$B$404,0))*INDEX('PRICING'!$D$7:$D$16,MATCH(F197,'PRICING'!$A$7:$A$16,0))/60+INDEX('PROPERTIES'!$H$5:$H$404,MATCH(E197,'PROPERTIES'!$B$5:$B$404,0))*INDEX('PRICING'!$E$7:$E$16,MATCH(F197,'PRICING'!$A$7:$A$16,0))/60+INDEX('PRICING'!$F$7:$F$16,MATCH(F197,'PRICING'!$A$7:$A$16,0))/60),2)),""))</f>
        <v/>
      </c>
      <c r="R197" s="97">
        <f>IF(B197="","",IF(N(K197)&gt;0,K197,IF(N(J197)&gt;0,J197,N(Q197))))</f>
        <v/>
      </c>
      <c r="S197" s="55">
        <f>IF(L197="","",ROUND(L197*(1+N(M197)),2))</f>
        <v/>
      </c>
      <c r="T197" s="55">
        <f>IF(B197="","",SUMIFS('REVENUE'!$C$5:$C$1504,'REVENUE'!$B$5:$B$1504,A197))</f>
        <v/>
      </c>
      <c r="U197" s="55">
        <f>IF(B197="","",IF(O197="Completed",MAX(0,N(S197)-T197),""))</f>
        <v/>
      </c>
      <c r="V197" s="49">
        <f>IF(B197="","",IF(O197&lt;&gt;"Completed",IF(T197&gt;0,"Deposit","—"),IF(U197&lt;=0.005,"Paid",IF(T197&gt;0,"Partial","Unpaid"))))</f>
        <v/>
      </c>
      <c r="W197" s="55">
        <f>IF(B197="","",IFERROR(1/(1/INDEX('STAFF &amp; TASKS'!$C$5:$C$24,MATCH(H197,'STAFF &amp; TASKS'!$A$5:$A$24,0))),PayRate))</f>
        <v/>
      </c>
      <c r="X197" s="55">
        <f>IF(B197="","",IF(OR(O197="Cancelled",O197="No-Show"),"",ROUND(R197*W197*(1+Burden),2)))</f>
        <v/>
      </c>
      <c r="Y197" s="55">
        <f>IF(B197="","",IF(OR(O197="Cancelled",O197="No-Show"),"",IF(N197&lt;&gt;"",N197,ROUND(R197*SupHr*IFERROR(INDEX('PRICING'!$G$7:$G$16,MATCH(F197,'PRICING'!$A$7:$A$16,0)),1),2))))</f>
        <v/>
      </c>
      <c r="Z197" s="98">
        <f>IF(B197="","",SUMIFS('MILEAGE'!$J$5:$J$1504,'MILEAGE'!$B$5:$B$1504,A197))</f>
        <v/>
      </c>
      <c r="AA197" s="55">
        <f>IF(B197="","",ROUND(Z197*MileRate,2))</f>
        <v/>
      </c>
      <c r="AB197" s="55">
        <f>IF(B197="","",SUMIFS('REVENUE'!$J$5:$J$1504,'REVENUE'!$B$5:$B$1504,A197))</f>
        <v/>
      </c>
      <c r="AC197" s="55">
        <f>IF(L197="","",IF(OR(O197="Cancelled",O197="No-Show"),"",L197-N(X197)-N(Y197)-AA197-AB197))</f>
        <v/>
      </c>
      <c r="AD197" s="99">
        <f>IF(OR(AC197="",N(L197)=0),"",AC197/L197)</f>
        <v/>
      </c>
      <c r="AE197" s="55">
        <f>IF(OR(AC197="",N(R197)=0),"",L197/R197)</f>
        <v/>
      </c>
      <c r="AF197" s="100">
        <f>IF(OR(N(K197)=0,N(J197)+N(Q197)=0),"",K197-IF(N(J197)&gt;0,J197,Q197))</f>
        <v/>
      </c>
      <c r="AG197" s="99">
        <f>IF(B197="","",IFERROR(AVERAGEIFS('QUALITY CONTROL'!$M$5:$M$304,'QUALITY CONTROL'!$B$5:$B$304,A197),""))</f>
        <v/>
      </c>
      <c r="AH197" s="51">
        <f>IF(B197="","",DATE(YEAR(B197),MONTH(B197),1))</f>
        <v/>
      </c>
      <c r="AI197" s="49">
        <f>IF(D197="","",IFERROR(INDEX('CUSTOMERS'!$E$5:$E$404,MATCH(D197,'CUSTOMERS'!$B$5:$B$404,0)),""))</f>
        <v/>
      </c>
      <c r="AJ197" s="49">
        <f>IF(B197="","",N(C197))</f>
        <v/>
      </c>
      <c r="AK197" s="49">
        <f>IF(OR(B197="",O197="Cancelled",O197="Rescheduled"),"",B197&amp;"|"&amp;(COUNTIFS('JOBS'!$B$5:$B$1504,B197,'JOBS'!$AJ$5:$AJ$1504,"&lt;"&amp;AJ197,'JOBS'!$O$5:$O$1504,"&lt;&gt;Cancelled",'JOBS'!$O$5:$O$1504,"&lt;&gt;Rescheduled")+COUNTIFS($B$5:B197,B197,$AJ$5:AJ197,AJ197,$O$5:O197,"&lt;&gt;Cancelled",$O$5:O197,"&lt;&gt;Rescheduled")))</f>
        <v/>
      </c>
      <c r="AL197" s="49">
        <f>IF(N(U197)&lt;=0.005,"",COUNTIFS('JOBS'!$U$5:$U$1504,"&gt;0.005",'JOBS'!$B$5:$B$1504,"&lt;"&amp;B197)+COUNTIFS($U$5:U197,"&gt;0.005",$B$5:B197,B197))</f>
        <v/>
      </c>
    </row>
    <row r="198">
      <c r="A198" s="46" t="inlineStr">
        <is>
          <t>J-0194</t>
        </is>
      </c>
      <c r="B198" s="47" t="n">
        <v>46213</v>
      </c>
      <c r="C198" s="94" t="n">
        <v>0.625</v>
      </c>
      <c r="D198" s="38" t="inlineStr">
        <is>
          <t>Rowan Foxworth</t>
        </is>
      </c>
      <c r="E198" s="38" t="inlineStr">
        <is>
          <t>876 Magnolia Circle, North Sampletown</t>
        </is>
      </c>
      <c r="F198" s="38" t="inlineStr">
        <is>
          <t>Standard Clean</t>
        </is>
      </c>
      <c r="G198" s="38" t="inlineStr">
        <is>
          <t>R-005</t>
        </is>
      </c>
      <c r="H198" s="38" t="inlineStr">
        <is>
          <t>Maria Lopez</t>
        </is>
      </c>
      <c r="I198" s="57" t="n">
        <v>1</v>
      </c>
      <c r="J198" s="95" t="n"/>
      <c r="K198" s="95" t="n">
        <v>4.9</v>
      </c>
      <c r="L198" s="48" t="n">
        <v>220</v>
      </c>
      <c r="M198" s="96" t="n">
        <v>0</v>
      </c>
      <c r="N198" s="48" t="n"/>
      <c r="O198" s="38" t="inlineStr">
        <is>
          <t>Completed</t>
        </is>
      </c>
      <c r="P198" s="38" t="inlineStr"/>
      <c r="Q198" s="97">
        <f>IF(OR(F198="",E198=""),"",IFERROR(IF(INDEX('PROPERTIES'!$F$5:$F$404,MATCH(E198,'PROPERTIES'!$B$5:$B$404,0))=0,"",ROUND((INDEX('PROPERTIES'!$F$5:$F$404,MATCH(E198,'PROPERTIES'!$B$5:$B$404,0))/INDEX('PRICING'!$C$7:$C$16,MATCH(F198,'PRICING'!$A$7:$A$16,0))+INDEX('PROPERTIES'!$G$5:$G$404,MATCH(E198,'PROPERTIES'!$B$5:$B$404,0))*INDEX('PRICING'!$D$7:$D$16,MATCH(F198,'PRICING'!$A$7:$A$16,0))/60+INDEX('PROPERTIES'!$H$5:$H$404,MATCH(E198,'PROPERTIES'!$B$5:$B$404,0))*INDEX('PRICING'!$E$7:$E$16,MATCH(F198,'PRICING'!$A$7:$A$16,0))/60+INDEX('PRICING'!$F$7:$F$16,MATCH(F198,'PRICING'!$A$7:$A$16,0))/60),2)),""))</f>
        <v/>
      </c>
      <c r="R198" s="97">
        <f>IF(B198="","",IF(N(K198)&gt;0,K198,IF(N(J198)&gt;0,J198,N(Q198))))</f>
        <v/>
      </c>
      <c r="S198" s="55">
        <f>IF(L198="","",ROUND(L198*(1+N(M198)),2))</f>
        <v/>
      </c>
      <c r="T198" s="55">
        <f>IF(B198="","",SUMIFS('REVENUE'!$C$5:$C$1504,'REVENUE'!$B$5:$B$1504,A198))</f>
        <v/>
      </c>
      <c r="U198" s="55">
        <f>IF(B198="","",IF(O198="Completed",MAX(0,N(S198)-T198),""))</f>
        <v/>
      </c>
      <c r="V198" s="49">
        <f>IF(B198="","",IF(O198&lt;&gt;"Completed",IF(T198&gt;0,"Deposit","—"),IF(U198&lt;=0.005,"Paid",IF(T198&gt;0,"Partial","Unpaid"))))</f>
        <v/>
      </c>
      <c r="W198" s="55">
        <f>IF(B198="","",IFERROR(1/(1/INDEX('STAFF &amp; TASKS'!$C$5:$C$24,MATCH(H198,'STAFF &amp; TASKS'!$A$5:$A$24,0))),PayRate))</f>
        <v/>
      </c>
      <c r="X198" s="55">
        <f>IF(B198="","",IF(OR(O198="Cancelled",O198="No-Show"),"",ROUND(R198*W198*(1+Burden),2)))</f>
        <v/>
      </c>
      <c r="Y198" s="55">
        <f>IF(B198="","",IF(OR(O198="Cancelled",O198="No-Show"),"",IF(N198&lt;&gt;"",N198,ROUND(R198*SupHr*IFERROR(INDEX('PRICING'!$G$7:$G$16,MATCH(F198,'PRICING'!$A$7:$A$16,0)),1),2))))</f>
        <v/>
      </c>
      <c r="Z198" s="98">
        <f>IF(B198="","",SUMIFS('MILEAGE'!$J$5:$J$1504,'MILEAGE'!$B$5:$B$1504,A198))</f>
        <v/>
      </c>
      <c r="AA198" s="55">
        <f>IF(B198="","",ROUND(Z198*MileRate,2))</f>
        <v/>
      </c>
      <c r="AB198" s="55">
        <f>IF(B198="","",SUMIFS('REVENUE'!$J$5:$J$1504,'REVENUE'!$B$5:$B$1504,A198))</f>
        <v/>
      </c>
      <c r="AC198" s="55">
        <f>IF(L198="","",IF(OR(O198="Cancelled",O198="No-Show"),"",L198-N(X198)-N(Y198)-AA198-AB198))</f>
        <v/>
      </c>
      <c r="AD198" s="99">
        <f>IF(OR(AC198="",N(L198)=0),"",AC198/L198)</f>
        <v/>
      </c>
      <c r="AE198" s="55">
        <f>IF(OR(AC198="",N(R198)=0),"",L198/R198)</f>
        <v/>
      </c>
      <c r="AF198" s="100">
        <f>IF(OR(N(K198)=0,N(J198)+N(Q198)=0),"",K198-IF(N(J198)&gt;0,J198,Q198))</f>
        <v/>
      </c>
      <c r="AG198" s="99">
        <f>IF(B198="","",IFERROR(AVERAGEIFS('QUALITY CONTROL'!$M$5:$M$304,'QUALITY CONTROL'!$B$5:$B$304,A198),""))</f>
        <v/>
      </c>
      <c r="AH198" s="51">
        <f>IF(B198="","",DATE(YEAR(B198),MONTH(B198),1))</f>
        <v/>
      </c>
      <c r="AI198" s="49">
        <f>IF(D198="","",IFERROR(INDEX('CUSTOMERS'!$E$5:$E$404,MATCH(D198,'CUSTOMERS'!$B$5:$B$404,0)),""))</f>
        <v/>
      </c>
      <c r="AJ198" s="49">
        <f>IF(B198="","",N(C198))</f>
        <v/>
      </c>
      <c r="AK198" s="49">
        <f>IF(OR(B198="",O198="Cancelled",O198="Rescheduled"),"",B198&amp;"|"&amp;(COUNTIFS('JOBS'!$B$5:$B$1504,B198,'JOBS'!$AJ$5:$AJ$1504,"&lt;"&amp;AJ198,'JOBS'!$O$5:$O$1504,"&lt;&gt;Cancelled",'JOBS'!$O$5:$O$1504,"&lt;&gt;Rescheduled")+COUNTIFS($B$5:B198,B198,$AJ$5:AJ198,AJ198,$O$5:O198,"&lt;&gt;Cancelled",$O$5:O198,"&lt;&gt;Rescheduled")))</f>
        <v/>
      </c>
      <c r="AL198" s="49">
        <f>IF(N(U198)&lt;=0.005,"",COUNTIFS('JOBS'!$U$5:$U$1504,"&gt;0.005",'JOBS'!$B$5:$B$1504,"&lt;"&amp;B198)+COUNTIFS($U$5:U198,"&gt;0.005",$B$5:B198,B198))</f>
        <v/>
      </c>
    </row>
    <row r="199">
      <c r="A199" s="46" t="inlineStr">
        <is>
          <t>J-0195</t>
        </is>
      </c>
      <c r="B199" s="47" t="n">
        <v>46214</v>
      </c>
      <c r="C199" s="94" t="n">
        <v>0.4166666666666667</v>
      </c>
      <c r="D199" s="38" t="inlineStr">
        <is>
          <t>Harbor Yoga Loft (sample)</t>
        </is>
      </c>
      <c r="E199" s="38" t="inlineStr">
        <is>
          <t>338 Cedar Court, Sampletown</t>
        </is>
      </c>
      <c r="F199" s="38" t="inlineStr">
        <is>
          <t>Commercial Clean</t>
        </is>
      </c>
      <c r="G199" s="38" t="n"/>
      <c r="H199" s="38" t="inlineStr">
        <is>
          <t>Dana Whitfield</t>
        </is>
      </c>
      <c r="I199" s="57" t="n">
        <v>2</v>
      </c>
      <c r="J199" s="95" t="n"/>
      <c r="K199" s="95" t="n">
        <v>1.86</v>
      </c>
      <c r="L199" s="48" t="n">
        <v>160</v>
      </c>
      <c r="M199" s="96" t="n">
        <v>0</v>
      </c>
      <c r="N199" s="48" t="n"/>
      <c r="O199" s="38" t="inlineStr">
        <is>
          <t>Completed</t>
        </is>
      </c>
      <c r="P199" s="38" t="inlineStr"/>
      <c r="Q199" s="97">
        <f>IF(OR(F199="",E199=""),"",IFERROR(IF(INDEX('PROPERTIES'!$F$5:$F$404,MATCH(E199,'PROPERTIES'!$B$5:$B$404,0))=0,"",ROUND((INDEX('PROPERTIES'!$F$5:$F$404,MATCH(E199,'PROPERTIES'!$B$5:$B$404,0))/INDEX('PRICING'!$C$7:$C$16,MATCH(F199,'PRICING'!$A$7:$A$16,0))+INDEX('PROPERTIES'!$G$5:$G$404,MATCH(E199,'PROPERTIES'!$B$5:$B$404,0))*INDEX('PRICING'!$D$7:$D$16,MATCH(F199,'PRICING'!$A$7:$A$16,0))/60+INDEX('PROPERTIES'!$H$5:$H$404,MATCH(E199,'PROPERTIES'!$B$5:$B$404,0))*INDEX('PRICING'!$E$7:$E$16,MATCH(F199,'PRICING'!$A$7:$A$16,0))/60+INDEX('PRICING'!$F$7:$F$16,MATCH(F199,'PRICING'!$A$7:$A$16,0))/60),2)),""))</f>
        <v/>
      </c>
      <c r="R199" s="97">
        <f>IF(B199="","",IF(N(K199)&gt;0,K199,IF(N(J199)&gt;0,J199,N(Q199))))</f>
        <v/>
      </c>
      <c r="S199" s="55">
        <f>IF(L199="","",ROUND(L199*(1+N(M199)),2))</f>
        <v/>
      </c>
      <c r="T199" s="55">
        <f>IF(B199="","",SUMIFS('REVENUE'!$C$5:$C$1504,'REVENUE'!$B$5:$B$1504,A199))</f>
        <v/>
      </c>
      <c r="U199" s="55">
        <f>IF(B199="","",IF(O199="Completed",MAX(0,N(S199)-T199),""))</f>
        <v/>
      </c>
      <c r="V199" s="49">
        <f>IF(B199="","",IF(O199&lt;&gt;"Completed",IF(T199&gt;0,"Deposit","—"),IF(U199&lt;=0.005,"Paid",IF(T199&gt;0,"Partial","Unpaid"))))</f>
        <v/>
      </c>
      <c r="W199" s="55">
        <f>IF(B199="","",IFERROR(1/(1/INDEX('STAFF &amp; TASKS'!$C$5:$C$24,MATCH(H199,'STAFF &amp; TASKS'!$A$5:$A$24,0))),PayRate))</f>
        <v/>
      </c>
      <c r="X199" s="55">
        <f>IF(B199="","",IF(OR(O199="Cancelled",O199="No-Show"),"",ROUND(R199*W199*(1+Burden),2)))</f>
        <v/>
      </c>
      <c r="Y199" s="55">
        <f>IF(B199="","",IF(OR(O199="Cancelled",O199="No-Show"),"",IF(N199&lt;&gt;"",N199,ROUND(R199*SupHr*IFERROR(INDEX('PRICING'!$G$7:$G$16,MATCH(F199,'PRICING'!$A$7:$A$16,0)),1),2))))</f>
        <v/>
      </c>
      <c r="Z199" s="98">
        <f>IF(B199="","",SUMIFS('MILEAGE'!$J$5:$J$1504,'MILEAGE'!$B$5:$B$1504,A199))</f>
        <v/>
      </c>
      <c r="AA199" s="55">
        <f>IF(B199="","",ROUND(Z199*MileRate,2))</f>
        <v/>
      </c>
      <c r="AB199" s="55">
        <f>IF(B199="","",SUMIFS('REVENUE'!$J$5:$J$1504,'REVENUE'!$B$5:$B$1504,A199))</f>
        <v/>
      </c>
      <c r="AC199" s="55">
        <f>IF(L199="","",IF(OR(O199="Cancelled",O199="No-Show"),"",L199-N(X199)-N(Y199)-AA199-AB199))</f>
        <v/>
      </c>
      <c r="AD199" s="99">
        <f>IF(OR(AC199="",N(L199)=0),"",AC199/L199)</f>
        <v/>
      </c>
      <c r="AE199" s="55">
        <f>IF(OR(AC199="",N(R199)=0),"",L199/R199)</f>
        <v/>
      </c>
      <c r="AF199" s="100">
        <f>IF(OR(N(K199)=0,N(J199)+N(Q199)=0),"",K199-IF(N(J199)&gt;0,J199,Q199))</f>
        <v/>
      </c>
      <c r="AG199" s="99">
        <f>IF(B199="","",IFERROR(AVERAGEIFS('QUALITY CONTROL'!$M$5:$M$304,'QUALITY CONTROL'!$B$5:$B$304,A199),""))</f>
        <v/>
      </c>
      <c r="AH199" s="51">
        <f>IF(B199="","",DATE(YEAR(B199),MONTH(B199),1))</f>
        <v/>
      </c>
      <c r="AI199" s="49">
        <f>IF(D199="","",IFERROR(INDEX('CUSTOMERS'!$E$5:$E$404,MATCH(D199,'CUSTOMERS'!$B$5:$B$404,0)),""))</f>
        <v/>
      </c>
      <c r="AJ199" s="49">
        <f>IF(B199="","",N(C199))</f>
        <v/>
      </c>
      <c r="AK199" s="49">
        <f>IF(OR(B199="",O199="Cancelled",O199="Rescheduled"),"",B199&amp;"|"&amp;(COUNTIFS('JOBS'!$B$5:$B$1504,B199,'JOBS'!$AJ$5:$AJ$1504,"&lt;"&amp;AJ199,'JOBS'!$O$5:$O$1504,"&lt;&gt;Cancelled",'JOBS'!$O$5:$O$1504,"&lt;&gt;Rescheduled")+COUNTIFS($B$5:B199,B199,$AJ$5:AJ199,AJ199,$O$5:O199,"&lt;&gt;Cancelled",$O$5:O199,"&lt;&gt;Rescheduled")))</f>
        <v/>
      </c>
      <c r="AL199" s="49">
        <f>IF(N(U199)&lt;=0.005,"",COUNTIFS('JOBS'!$U$5:$U$1504,"&gt;0.005",'JOBS'!$B$5:$B$1504,"&lt;"&amp;B199)+COUNTIFS($U$5:U199,"&gt;0.005",$B$5:B199,B199))</f>
        <v/>
      </c>
    </row>
    <row r="200">
      <c r="A200" s="46" t="inlineStr">
        <is>
          <t>J-0196</t>
        </is>
      </c>
      <c r="B200" s="47" t="n">
        <v>46214</v>
      </c>
      <c r="C200" s="94" t="n">
        <v>0.5416666666666666</v>
      </c>
      <c r="D200" s="38" t="inlineStr">
        <is>
          <t>Noel Collins</t>
        </is>
      </c>
      <c r="E200" s="38" t="inlineStr">
        <is>
          <t>964 Cedar Court, Lakeview (fictional)</t>
        </is>
      </c>
      <c r="F200" s="38" t="inlineStr">
        <is>
          <t>Standard Clean</t>
        </is>
      </c>
      <c r="G200" s="38" t="inlineStr">
        <is>
          <t>R-004</t>
        </is>
      </c>
      <c r="H200" s="38" t="inlineStr">
        <is>
          <t>Dana Whitfield</t>
        </is>
      </c>
      <c r="I200" s="57" t="n">
        <v>1</v>
      </c>
      <c r="J200" s="95" t="n"/>
      <c r="K200" s="95" t="n">
        <v>6.06</v>
      </c>
      <c r="L200" s="48" t="n">
        <v>245</v>
      </c>
      <c r="M200" s="96" t="n">
        <v>0</v>
      </c>
      <c r="N200" s="48" t="n"/>
      <c r="O200" s="38" t="inlineStr">
        <is>
          <t>Completed</t>
        </is>
      </c>
      <c r="P200" s="38" t="inlineStr"/>
      <c r="Q200" s="97">
        <f>IF(OR(F200="",E200=""),"",IFERROR(IF(INDEX('PROPERTIES'!$F$5:$F$404,MATCH(E200,'PROPERTIES'!$B$5:$B$404,0))=0,"",ROUND((INDEX('PROPERTIES'!$F$5:$F$404,MATCH(E200,'PROPERTIES'!$B$5:$B$404,0))/INDEX('PRICING'!$C$7:$C$16,MATCH(F200,'PRICING'!$A$7:$A$16,0))+INDEX('PROPERTIES'!$G$5:$G$404,MATCH(E200,'PROPERTIES'!$B$5:$B$404,0))*INDEX('PRICING'!$D$7:$D$16,MATCH(F200,'PRICING'!$A$7:$A$16,0))/60+INDEX('PROPERTIES'!$H$5:$H$404,MATCH(E200,'PROPERTIES'!$B$5:$B$404,0))*INDEX('PRICING'!$E$7:$E$16,MATCH(F200,'PRICING'!$A$7:$A$16,0))/60+INDEX('PRICING'!$F$7:$F$16,MATCH(F200,'PRICING'!$A$7:$A$16,0))/60),2)),""))</f>
        <v/>
      </c>
      <c r="R200" s="97">
        <f>IF(B200="","",IF(N(K200)&gt;0,K200,IF(N(J200)&gt;0,J200,N(Q200))))</f>
        <v/>
      </c>
      <c r="S200" s="55">
        <f>IF(L200="","",ROUND(L200*(1+N(M200)),2))</f>
        <v/>
      </c>
      <c r="T200" s="55">
        <f>IF(B200="","",SUMIFS('REVENUE'!$C$5:$C$1504,'REVENUE'!$B$5:$B$1504,A200))</f>
        <v/>
      </c>
      <c r="U200" s="55">
        <f>IF(B200="","",IF(O200="Completed",MAX(0,N(S200)-T200),""))</f>
        <v/>
      </c>
      <c r="V200" s="49">
        <f>IF(B200="","",IF(O200&lt;&gt;"Completed",IF(T200&gt;0,"Deposit","—"),IF(U200&lt;=0.005,"Paid",IF(T200&gt;0,"Partial","Unpaid"))))</f>
        <v/>
      </c>
      <c r="W200" s="55">
        <f>IF(B200="","",IFERROR(1/(1/INDEX('STAFF &amp; TASKS'!$C$5:$C$24,MATCH(H200,'STAFF &amp; TASKS'!$A$5:$A$24,0))),PayRate))</f>
        <v/>
      </c>
      <c r="X200" s="55">
        <f>IF(B200="","",IF(OR(O200="Cancelled",O200="No-Show"),"",ROUND(R200*W200*(1+Burden),2)))</f>
        <v/>
      </c>
      <c r="Y200" s="55">
        <f>IF(B200="","",IF(OR(O200="Cancelled",O200="No-Show"),"",IF(N200&lt;&gt;"",N200,ROUND(R200*SupHr*IFERROR(INDEX('PRICING'!$G$7:$G$16,MATCH(F200,'PRICING'!$A$7:$A$16,0)),1),2))))</f>
        <v/>
      </c>
      <c r="Z200" s="98">
        <f>IF(B200="","",SUMIFS('MILEAGE'!$J$5:$J$1504,'MILEAGE'!$B$5:$B$1504,A200))</f>
        <v/>
      </c>
      <c r="AA200" s="55">
        <f>IF(B200="","",ROUND(Z200*MileRate,2))</f>
        <v/>
      </c>
      <c r="AB200" s="55">
        <f>IF(B200="","",SUMIFS('REVENUE'!$J$5:$J$1504,'REVENUE'!$B$5:$B$1504,A200))</f>
        <v/>
      </c>
      <c r="AC200" s="55">
        <f>IF(L200="","",IF(OR(O200="Cancelled",O200="No-Show"),"",L200-N(X200)-N(Y200)-AA200-AB200))</f>
        <v/>
      </c>
      <c r="AD200" s="99">
        <f>IF(OR(AC200="",N(L200)=0),"",AC200/L200)</f>
        <v/>
      </c>
      <c r="AE200" s="55">
        <f>IF(OR(AC200="",N(R200)=0),"",L200/R200)</f>
        <v/>
      </c>
      <c r="AF200" s="100">
        <f>IF(OR(N(K200)=0,N(J200)+N(Q200)=0),"",K200-IF(N(J200)&gt;0,J200,Q200))</f>
        <v/>
      </c>
      <c r="AG200" s="99">
        <f>IF(B200="","",IFERROR(AVERAGEIFS('QUALITY CONTROL'!$M$5:$M$304,'QUALITY CONTROL'!$B$5:$B$304,A200),""))</f>
        <v/>
      </c>
      <c r="AH200" s="51">
        <f>IF(B200="","",DATE(YEAR(B200),MONTH(B200),1))</f>
        <v/>
      </c>
      <c r="AI200" s="49">
        <f>IF(D200="","",IFERROR(INDEX('CUSTOMERS'!$E$5:$E$404,MATCH(D200,'CUSTOMERS'!$B$5:$B$404,0)),""))</f>
        <v/>
      </c>
      <c r="AJ200" s="49">
        <f>IF(B200="","",N(C200))</f>
        <v/>
      </c>
      <c r="AK200" s="49">
        <f>IF(OR(B200="",O200="Cancelled",O200="Rescheduled"),"",B200&amp;"|"&amp;(COUNTIFS('JOBS'!$B$5:$B$1504,B200,'JOBS'!$AJ$5:$AJ$1504,"&lt;"&amp;AJ200,'JOBS'!$O$5:$O$1504,"&lt;&gt;Cancelled",'JOBS'!$O$5:$O$1504,"&lt;&gt;Rescheduled")+COUNTIFS($B$5:B200,B200,$AJ$5:AJ200,AJ200,$O$5:O200,"&lt;&gt;Cancelled",$O$5:O200,"&lt;&gt;Rescheduled")))</f>
        <v/>
      </c>
      <c r="AL200" s="49">
        <f>IF(N(U200)&lt;=0.005,"",COUNTIFS('JOBS'!$U$5:$U$1504,"&gt;0.005",'JOBS'!$B$5:$B$1504,"&lt;"&amp;B200)+COUNTIFS($U$5:U200,"&gt;0.005",$B$5:B200,B200))</f>
        <v/>
      </c>
    </row>
    <row r="201">
      <c r="A201" s="46" t="inlineStr">
        <is>
          <t>J-0197</t>
        </is>
      </c>
      <c r="B201" s="47" t="n">
        <v>46217</v>
      </c>
      <c r="C201" s="94" t="n">
        <v>0.3541666666666667</v>
      </c>
      <c r="D201" s="38" t="inlineStr">
        <is>
          <t>Lane Ivers</t>
        </is>
      </c>
      <c r="E201" s="38" t="inlineStr">
        <is>
          <t>497 Aspen Drive, Sampletown</t>
        </is>
      </c>
      <c r="F201" s="38" t="inlineStr">
        <is>
          <t>Standard Clean</t>
        </is>
      </c>
      <c r="G201" s="38" t="inlineStr">
        <is>
          <t>R-001</t>
        </is>
      </c>
      <c r="H201" s="38" t="inlineStr">
        <is>
          <t>Maria Lopez</t>
        </is>
      </c>
      <c r="I201" s="57" t="n">
        <v>1</v>
      </c>
      <c r="J201" s="95" t="n"/>
      <c r="K201" s="95" t="n">
        <v>4.62</v>
      </c>
      <c r="L201" s="48" t="n">
        <v>175</v>
      </c>
      <c r="M201" s="96" t="n">
        <v>0</v>
      </c>
      <c r="N201" s="48" t="n"/>
      <c r="O201" s="38" t="inlineStr">
        <is>
          <t>Completed</t>
        </is>
      </c>
      <c r="P201" s="38" t="inlineStr"/>
      <c r="Q201" s="97">
        <f>IF(OR(F201="",E201=""),"",IFERROR(IF(INDEX('PROPERTIES'!$F$5:$F$404,MATCH(E201,'PROPERTIES'!$B$5:$B$404,0))=0,"",ROUND((INDEX('PROPERTIES'!$F$5:$F$404,MATCH(E201,'PROPERTIES'!$B$5:$B$404,0))/INDEX('PRICING'!$C$7:$C$16,MATCH(F201,'PRICING'!$A$7:$A$16,0))+INDEX('PROPERTIES'!$G$5:$G$404,MATCH(E201,'PROPERTIES'!$B$5:$B$404,0))*INDEX('PRICING'!$D$7:$D$16,MATCH(F201,'PRICING'!$A$7:$A$16,0))/60+INDEX('PROPERTIES'!$H$5:$H$404,MATCH(E201,'PROPERTIES'!$B$5:$B$404,0))*INDEX('PRICING'!$E$7:$E$16,MATCH(F201,'PRICING'!$A$7:$A$16,0))/60+INDEX('PRICING'!$F$7:$F$16,MATCH(F201,'PRICING'!$A$7:$A$16,0))/60),2)),""))</f>
        <v/>
      </c>
      <c r="R201" s="97">
        <f>IF(B201="","",IF(N(K201)&gt;0,K201,IF(N(J201)&gt;0,J201,N(Q201))))</f>
        <v/>
      </c>
      <c r="S201" s="55">
        <f>IF(L201="","",ROUND(L201*(1+N(M201)),2))</f>
        <v/>
      </c>
      <c r="T201" s="55">
        <f>IF(B201="","",SUMIFS('REVENUE'!$C$5:$C$1504,'REVENUE'!$B$5:$B$1504,A201))</f>
        <v/>
      </c>
      <c r="U201" s="55">
        <f>IF(B201="","",IF(O201="Completed",MAX(0,N(S201)-T201),""))</f>
        <v/>
      </c>
      <c r="V201" s="49">
        <f>IF(B201="","",IF(O201&lt;&gt;"Completed",IF(T201&gt;0,"Deposit","—"),IF(U201&lt;=0.005,"Paid",IF(T201&gt;0,"Partial","Unpaid"))))</f>
        <v/>
      </c>
      <c r="W201" s="55">
        <f>IF(B201="","",IFERROR(1/(1/INDEX('STAFF &amp; TASKS'!$C$5:$C$24,MATCH(H201,'STAFF &amp; TASKS'!$A$5:$A$24,0))),PayRate))</f>
        <v/>
      </c>
      <c r="X201" s="55">
        <f>IF(B201="","",IF(OR(O201="Cancelled",O201="No-Show"),"",ROUND(R201*W201*(1+Burden),2)))</f>
        <v/>
      </c>
      <c r="Y201" s="55">
        <f>IF(B201="","",IF(OR(O201="Cancelled",O201="No-Show"),"",IF(N201&lt;&gt;"",N201,ROUND(R201*SupHr*IFERROR(INDEX('PRICING'!$G$7:$G$16,MATCH(F201,'PRICING'!$A$7:$A$16,0)),1),2))))</f>
        <v/>
      </c>
      <c r="Z201" s="98">
        <f>IF(B201="","",SUMIFS('MILEAGE'!$J$5:$J$1504,'MILEAGE'!$B$5:$B$1504,A201))</f>
        <v/>
      </c>
      <c r="AA201" s="55">
        <f>IF(B201="","",ROUND(Z201*MileRate,2))</f>
        <v/>
      </c>
      <c r="AB201" s="55">
        <f>IF(B201="","",SUMIFS('REVENUE'!$J$5:$J$1504,'REVENUE'!$B$5:$B$1504,A201))</f>
        <v/>
      </c>
      <c r="AC201" s="55">
        <f>IF(L201="","",IF(OR(O201="Cancelled",O201="No-Show"),"",L201-N(X201)-N(Y201)-AA201-AB201))</f>
        <v/>
      </c>
      <c r="AD201" s="99">
        <f>IF(OR(AC201="",N(L201)=0),"",AC201/L201)</f>
        <v/>
      </c>
      <c r="AE201" s="55">
        <f>IF(OR(AC201="",N(R201)=0),"",L201/R201)</f>
        <v/>
      </c>
      <c r="AF201" s="100">
        <f>IF(OR(N(K201)=0,N(J201)+N(Q201)=0),"",K201-IF(N(J201)&gt;0,J201,Q201))</f>
        <v/>
      </c>
      <c r="AG201" s="99">
        <f>IF(B201="","",IFERROR(AVERAGEIFS('QUALITY CONTROL'!$M$5:$M$304,'QUALITY CONTROL'!$B$5:$B$304,A201),""))</f>
        <v/>
      </c>
      <c r="AH201" s="51">
        <f>IF(B201="","",DATE(YEAR(B201),MONTH(B201),1))</f>
        <v/>
      </c>
      <c r="AI201" s="49">
        <f>IF(D201="","",IFERROR(INDEX('CUSTOMERS'!$E$5:$E$404,MATCH(D201,'CUSTOMERS'!$B$5:$B$404,0)),""))</f>
        <v/>
      </c>
      <c r="AJ201" s="49">
        <f>IF(B201="","",N(C201))</f>
        <v/>
      </c>
      <c r="AK201" s="49">
        <f>IF(OR(B201="",O201="Cancelled",O201="Rescheduled"),"",B201&amp;"|"&amp;(COUNTIFS('JOBS'!$B$5:$B$1504,B201,'JOBS'!$AJ$5:$AJ$1504,"&lt;"&amp;AJ201,'JOBS'!$O$5:$O$1504,"&lt;&gt;Cancelled",'JOBS'!$O$5:$O$1504,"&lt;&gt;Rescheduled")+COUNTIFS($B$5:B201,B201,$AJ$5:AJ201,AJ201,$O$5:O201,"&lt;&gt;Cancelled",$O$5:O201,"&lt;&gt;Rescheduled")))</f>
        <v/>
      </c>
      <c r="AL201" s="49">
        <f>IF(N(U201)&lt;=0.005,"",COUNTIFS('JOBS'!$U$5:$U$1504,"&gt;0.005",'JOBS'!$B$5:$B$1504,"&lt;"&amp;B201)+COUNTIFS($U$5:U201,"&gt;0.005",$B$5:B201,B201))</f>
        <v/>
      </c>
    </row>
    <row r="202">
      <c r="A202" s="46" t="inlineStr">
        <is>
          <t>J-0198</t>
        </is>
      </c>
      <c r="B202" s="47" t="n">
        <v>46217</v>
      </c>
      <c r="C202" s="94" t="n">
        <v>0.4166666666666667</v>
      </c>
      <c r="D202" s="38" t="inlineStr">
        <is>
          <t>Drew Bennett</t>
        </is>
      </c>
      <c r="E202" s="38" t="inlineStr">
        <is>
          <t>22 Cedar Court, Sampletown</t>
        </is>
      </c>
      <c r="F202" s="38" t="inlineStr">
        <is>
          <t>Deep Clean</t>
        </is>
      </c>
      <c r="G202" s="38" t="n"/>
      <c r="H202" s="38" t="inlineStr">
        <is>
          <t>Maria Lopez</t>
        </is>
      </c>
      <c r="I202" s="57" t="n">
        <v>2</v>
      </c>
      <c r="J202" s="95" t="n"/>
      <c r="K202" s="95" t="n">
        <v>8.31</v>
      </c>
      <c r="L202" s="48" t="n">
        <v>530</v>
      </c>
      <c r="M202" s="96" t="n">
        <v>0</v>
      </c>
      <c r="N202" s="48" t="n"/>
      <c r="O202" s="38" t="inlineStr">
        <is>
          <t>Completed</t>
        </is>
      </c>
      <c r="P202" s="38" t="inlineStr"/>
      <c r="Q202" s="97">
        <f>IF(OR(F202="",E202=""),"",IFERROR(IF(INDEX('PROPERTIES'!$F$5:$F$404,MATCH(E202,'PROPERTIES'!$B$5:$B$404,0))=0,"",ROUND((INDEX('PROPERTIES'!$F$5:$F$404,MATCH(E202,'PROPERTIES'!$B$5:$B$404,0))/INDEX('PRICING'!$C$7:$C$16,MATCH(F202,'PRICING'!$A$7:$A$16,0))+INDEX('PROPERTIES'!$G$5:$G$404,MATCH(E202,'PROPERTIES'!$B$5:$B$404,0))*INDEX('PRICING'!$D$7:$D$16,MATCH(F202,'PRICING'!$A$7:$A$16,0))/60+INDEX('PROPERTIES'!$H$5:$H$404,MATCH(E202,'PROPERTIES'!$B$5:$B$404,0))*INDEX('PRICING'!$E$7:$E$16,MATCH(F202,'PRICING'!$A$7:$A$16,0))/60+INDEX('PRICING'!$F$7:$F$16,MATCH(F202,'PRICING'!$A$7:$A$16,0))/60),2)),""))</f>
        <v/>
      </c>
      <c r="R202" s="97">
        <f>IF(B202="","",IF(N(K202)&gt;0,K202,IF(N(J202)&gt;0,J202,N(Q202))))</f>
        <v/>
      </c>
      <c r="S202" s="55">
        <f>IF(L202="","",ROUND(L202*(1+N(M202)),2))</f>
        <v/>
      </c>
      <c r="T202" s="55">
        <f>IF(B202="","",SUMIFS('REVENUE'!$C$5:$C$1504,'REVENUE'!$B$5:$B$1504,A202))</f>
        <v/>
      </c>
      <c r="U202" s="55">
        <f>IF(B202="","",IF(O202="Completed",MAX(0,N(S202)-T202),""))</f>
        <v/>
      </c>
      <c r="V202" s="49">
        <f>IF(B202="","",IF(O202&lt;&gt;"Completed",IF(T202&gt;0,"Deposit","—"),IF(U202&lt;=0.005,"Paid",IF(T202&gt;0,"Partial","Unpaid"))))</f>
        <v/>
      </c>
      <c r="W202" s="55">
        <f>IF(B202="","",IFERROR(1/(1/INDEX('STAFF &amp; TASKS'!$C$5:$C$24,MATCH(H202,'STAFF &amp; TASKS'!$A$5:$A$24,0))),PayRate))</f>
        <v/>
      </c>
      <c r="X202" s="55">
        <f>IF(B202="","",IF(OR(O202="Cancelled",O202="No-Show"),"",ROUND(R202*W202*(1+Burden),2)))</f>
        <v/>
      </c>
      <c r="Y202" s="55">
        <f>IF(B202="","",IF(OR(O202="Cancelled",O202="No-Show"),"",IF(N202&lt;&gt;"",N202,ROUND(R202*SupHr*IFERROR(INDEX('PRICING'!$G$7:$G$16,MATCH(F202,'PRICING'!$A$7:$A$16,0)),1),2))))</f>
        <v/>
      </c>
      <c r="Z202" s="98">
        <f>IF(B202="","",SUMIFS('MILEAGE'!$J$5:$J$1504,'MILEAGE'!$B$5:$B$1504,A202))</f>
        <v/>
      </c>
      <c r="AA202" s="55">
        <f>IF(B202="","",ROUND(Z202*MileRate,2))</f>
        <v/>
      </c>
      <c r="AB202" s="55">
        <f>IF(B202="","",SUMIFS('REVENUE'!$J$5:$J$1504,'REVENUE'!$B$5:$B$1504,A202))</f>
        <v/>
      </c>
      <c r="AC202" s="55">
        <f>IF(L202="","",IF(OR(O202="Cancelled",O202="No-Show"),"",L202-N(X202)-N(Y202)-AA202-AB202))</f>
        <v/>
      </c>
      <c r="AD202" s="99">
        <f>IF(OR(AC202="",N(L202)=0),"",AC202/L202)</f>
        <v/>
      </c>
      <c r="AE202" s="55">
        <f>IF(OR(AC202="",N(R202)=0),"",L202/R202)</f>
        <v/>
      </c>
      <c r="AF202" s="100">
        <f>IF(OR(N(K202)=0,N(J202)+N(Q202)=0),"",K202-IF(N(J202)&gt;0,J202,Q202))</f>
        <v/>
      </c>
      <c r="AG202" s="99">
        <f>IF(B202="","",IFERROR(AVERAGEIFS('QUALITY CONTROL'!$M$5:$M$304,'QUALITY CONTROL'!$B$5:$B$304,A202),""))</f>
        <v/>
      </c>
      <c r="AH202" s="51">
        <f>IF(B202="","",DATE(YEAR(B202),MONTH(B202),1))</f>
        <v/>
      </c>
      <c r="AI202" s="49">
        <f>IF(D202="","",IFERROR(INDEX('CUSTOMERS'!$E$5:$E$404,MATCH(D202,'CUSTOMERS'!$B$5:$B$404,0)),""))</f>
        <v/>
      </c>
      <c r="AJ202" s="49">
        <f>IF(B202="","",N(C202))</f>
        <v/>
      </c>
      <c r="AK202" s="49">
        <f>IF(OR(B202="",O202="Cancelled",O202="Rescheduled"),"",B202&amp;"|"&amp;(COUNTIFS('JOBS'!$B$5:$B$1504,B202,'JOBS'!$AJ$5:$AJ$1504,"&lt;"&amp;AJ202,'JOBS'!$O$5:$O$1504,"&lt;&gt;Cancelled",'JOBS'!$O$5:$O$1504,"&lt;&gt;Rescheduled")+COUNTIFS($B$5:B202,B202,$AJ$5:AJ202,AJ202,$O$5:O202,"&lt;&gt;Cancelled",$O$5:O202,"&lt;&gt;Rescheduled")))</f>
        <v/>
      </c>
      <c r="AL202" s="49">
        <f>IF(N(U202)&lt;=0.005,"",COUNTIFS('JOBS'!$U$5:$U$1504,"&gt;0.005",'JOBS'!$B$5:$B$1504,"&lt;"&amp;B202)+COUNTIFS($U$5:U202,"&gt;0.005",$B$5:B202,B202))</f>
        <v/>
      </c>
    </row>
    <row r="203">
      <c r="A203" s="46" t="inlineStr">
        <is>
          <t>J-0199</t>
        </is>
      </c>
      <c r="B203" s="47" t="n">
        <v>46217</v>
      </c>
      <c r="C203" s="94" t="n">
        <v>0.4166666666666667</v>
      </c>
      <c r="D203" s="38" t="inlineStr">
        <is>
          <t>Emerson Holloway</t>
        </is>
      </c>
      <c r="E203" s="38" t="inlineStr">
        <is>
          <t>192 Birch Lane, North Sampletown</t>
        </is>
      </c>
      <c r="F203" s="38" t="inlineStr">
        <is>
          <t>Airbnb Turnover</t>
        </is>
      </c>
      <c r="G203" s="38" t="n"/>
      <c r="H203" s="38" t="inlineStr">
        <is>
          <t>Kevin Osei</t>
        </is>
      </c>
      <c r="I203" s="57" t="n">
        <v>1</v>
      </c>
      <c r="J203" s="95" t="n"/>
      <c r="K203" s="95" t="n">
        <v>2.57</v>
      </c>
      <c r="L203" s="48" t="n">
        <v>150</v>
      </c>
      <c r="M203" s="96" t="n">
        <v>0</v>
      </c>
      <c r="N203" s="48" t="n"/>
      <c r="O203" s="38" t="inlineStr">
        <is>
          <t>Completed</t>
        </is>
      </c>
      <c r="P203" s="38" t="inlineStr">
        <is>
          <t>Includes laundry</t>
        </is>
      </c>
      <c r="Q203" s="97">
        <f>IF(OR(F203="",E203=""),"",IFERROR(IF(INDEX('PROPERTIES'!$F$5:$F$404,MATCH(E203,'PROPERTIES'!$B$5:$B$404,0))=0,"",ROUND((INDEX('PROPERTIES'!$F$5:$F$404,MATCH(E203,'PROPERTIES'!$B$5:$B$404,0))/INDEX('PRICING'!$C$7:$C$16,MATCH(F203,'PRICING'!$A$7:$A$16,0))+INDEX('PROPERTIES'!$G$5:$G$404,MATCH(E203,'PROPERTIES'!$B$5:$B$404,0))*INDEX('PRICING'!$D$7:$D$16,MATCH(F203,'PRICING'!$A$7:$A$16,0))/60+INDEX('PROPERTIES'!$H$5:$H$404,MATCH(E203,'PROPERTIES'!$B$5:$B$404,0))*INDEX('PRICING'!$E$7:$E$16,MATCH(F203,'PRICING'!$A$7:$A$16,0))/60+INDEX('PRICING'!$F$7:$F$16,MATCH(F203,'PRICING'!$A$7:$A$16,0))/60),2)),""))</f>
        <v/>
      </c>
      <c r="R203" s="97">
        <f>IF(B203="","",IF(N(K203)&gt;0,K203,IF(N(J203)&gt;0,J203,N(Q203))))</f>
        <v/>
      </c>
      <c r="S203" s="55">
        <f>IF(L203="","",ROUND(L203*(1+N(M203)),2))</f>
        <v/>
      </c>
      <c r="T203" s="55">
        <f>IF(B203="","",SUMIFS('REVENUE'!$C$5:$C$1504,'REVENUE'!$B$5:$B$1504,A203))</f>
        <v/>
      </c>
      <c r="U203" s="55">
        <f>IF(B203="","",IF(O203="Completed",MAX(0,N(S203)-T203),""))</f>
        <v/>
      </c>
      <c r="V203" s="49">
        <f>IF(B203="","",IF(O203&lt;&gt;"Completed",IF(T203&gt;0,"Deposit","—"),IF(U203&lt;=0.005,"Paid",IF(T203&gt;0,"Partial","Unpaid"))))</f>
        <v/>
      </c>
      <c r="W203" s="55">
        <f>IF(B203="","",IFERROR(1/(1/INDEX('STAFF &amp; TASKS'!$C$5:$C$24,MATCH(H203,'STAFF &amp; TASKS'!$A$5:$A$24,0))),PayRate))</f>
        <v/>
      </c>
      <c r="X203" s="55">
        <f>IF(B203="","",IF(OR(O203="Cancelled",O203="No-Show"),"",ROUND(R203*W203*(1+Burden),2)))</f>
        <v/>
      </c>
      <c r="Y203" s="55">
        <f>IF(B203="","",IF(OR(O203="Cancelled",O203="No-Show"),"",IF(N203&lt;&gt;"",N203,ROUND(R203*SupHr*IFERROR(INDEX('PRICING'!$G$7:$G$16,MATCH(F203,'PRICING'!$A$7:$A$16,0)),1),2))))</f>
        <v/>
      </c>
      <c r="Z203" s="98">
        <f>IF(B203="","",SUMIFS('MILEAGE'!$J$5:$J$1504,'MILEAGE'!$B$5:$B$1504,A203))</f>
        <v/>
      </c>
      <c r="AA203" s="55">
        <f>IF(B203="","",ROUND(Z203*MileRate,2))</f>
        <v/>
      </c>
      <c r="AB203" s="55">
        <f>IF(B203="","",SUMIFS('REVENUE'!$J$5:$J$1504,'REVENUE'!$B$5:$B$1504,A203))</f>
        <v/>
      </c>
      <c r="AC203" s="55">
        <f>IF(L203="","",IF(OR(O203="Cancelled",O203="No-Show"),"",L203-N(X203)-N(Y203)-AA203-AB203))</f>
        <v/>
      </c>
      <c r="AD203" s="99">
        <f>IF(OR(AC203="",N(L203)=0),"",AC203/L203)</f>
        <v/>
      </c>
      <c r="AE203" s="55">
        <f>IF(OR(AC203="",N(R203)=0),"",L203/R203)</f>
        <v/>
      </c>
      <c r="AF203" s="100">
        <f>IF(OR(N(K203)=0,N(J203)+N(Q203)=0),"",K203-IF(N(J203)&gt;0,J203,Q203))</f>
        <v/>
      </c>
      <c r="AG203" s="99">
        <f>IF(B203="","",IFERROR(AVERAGEIFS('QUALITY CONTROL'!$M$5:$M$304,'QUALITY CONTROL'!$B$5:$B$304,A203),""))</f>
        <v/>
      </c>
      <c r="AH203" s="51">
        <f>IF(B203="","",DATE(YEAR(B203),MONTH(B203),1))</f>
        <v/>
      </c>
      <c r="AI203" s="49">
        <f>IF(D203="","",IFERROR(INDEX('CUSTOMERS'!$E$5:$E$404,MATCH(D203,'CUSTOMERS'!$B$5:$B$404,0)),""))</f>
        <v/>
      </c>
      <c r="AJ203" s="49">
        <f>IF(B203="","",N(C203))</f>
        <v/>
      </c>
      <c r="AK203" s="49">
        <f>IF(OR(B203="",O203="Cancelled",O203="Rescheduled"),"",B203&amp;"|"&amp;(COUNTIFS('JOBS'!$B$5:$B$1504,B203,'JOBS'!$AJ$5:$AJ$1504,"&lt;"&amp;AJ203,'JOBS'!$O$5:$O$1504,"&lt;&gt;Cancelled",'JOBS'!$O$5:$O$1504,"&lt;&gt;Rescheduled")+COUNTIFS($B$5:B203,B203,$AJ$5:AJ203,AJ203,$O$5:O203,"&lt;&gt;Cancelled",$O$5:O203,"&lt;&gt;Rescheduled")))</f>
        <v/>
      </c>
      <c r="AL203" s="49">
        <f>IF(N(U203)&lt;=0.005,"",COUNTIFS('JOBS'!$U$5:$U$1504,"&gt;0.005",'JOBS'!$B$5:$B$1504,"&lt;"&amp;B203)+COUNTIFS($U$5:U203,"&gt;0.005",$B$5:B203,B203))</f>
        <v/>
      </c>
    </row>
    <row r="204">
      <c r="A204" s="46" t="inlineStr">
        <is>
          <t>J-0200</t>
        </is>
      </c>
      <c r="B204" s="47" t="n">
        <v>46219</v>
      </c>
      <c r="C204" s="94" t="n">
        <v>0.5416666666666666</v>
      </c>
      <c r="D204" s="38" t="inlineStr">
        <is>
          <t>Parker Pembrook</t>
        </is>
      </c>
      <c r="E204" s="38" t="inlineStr">
        <is>
          <t>348 Hazel Court, Lakeview (fictional)</t>
        </is>
      </c>
      <c r="F204" s="38" t="inlineStr">
        <is>
          <t>Standard Clean</t>
        </is>
      </c>
      <c r="G204" s="38" t="n"/>
      <c r="H204" s="38" t="inlineStr">
        <is>
          <t>Dana Whitfield</t>
        </is>
      </c>
      <c r="I204" s="57" t="n">
        <v>1</v>
      </c>
      <c r="J204" s="95" t="n"/>
      <c r="K204" s="95" t="n">
        <v>2.08</v>
      </c>
      <c r="L204" s="48" t="n">
        <v>120</v>
      </c>
      <c r="M204" s="96" t="n">
        <v>0</v>
      </c>
      <c r="N204" s="48" t="n"/>
      <c r="O204" s="38" t="inlineStr">
        <is>
          <t>Completed</t>
        </is>
      </c>
      <c r="P204" s="38" t="inlineStr"/>
      <c r="Q204" s="97">
        <f>IF(OR(F204="",E204=""),"",IFERROR(IF(INDEX('PROPERTIES'!$F$5:$F$404,MATCH(E204,'PROPERTIES'!$B$5:$B$404,0))=0,"",ROUND((INDEX('PROPERTIES'!$F$5:$F$404,MATCH(E204,'PROPERTIES'!$B$5:$B$404,0))/INDEX('PRICING'!$C$7:$C$16,MATCH(F204,'PRICING'!$A$7:$A$16,0))+INDEX('PROPERTIES'!$G$5:$G$404,MATCH(E204,'PROPERTIES'!$B$5:$B$404,0))*INDEX('PRICING'!$D$7:$D$16,MATCH(F204,'PRICING'!$A$7:$A$16,0))/60+INDEX('PROPERTIES'!$H$5:$H$404,MATCH(E204,'PROPERTIES'!$B$5:$B$404,0))*INDEX('PRICING'!$E$7:$E$16,MATCH(F204,'PRICING'!$A$7:$A$16,0))/60+INDEX('PRICING'!$F$7:$F$16,MATCH(F204,'PRICING'!$A$7:$A$16,0))/60),2)),""))</f>
        <v/>
      </c>
      <c r="R204" s="97">
        <f>IF(B204="","",IF(N(K204)&gt;0,K204,IF(N(J204)&gt;0,J204,N(Q204))))</f>
        <v/>
      </c>
      <c r="S204" s="55">
        <f>IF(L204="","",ROUND(L204*(1+N(M204)),2))</f>
        <v/>
      </c>
      <c r="T204" s="55">
        <f>IF(B204="","",SUMIFS('REVENUE'!$C$5:$C$1504,'REVENUE'!$B$5:$B$1504,A204))</f>
        <v/>
      </c>
      <c r="U204" s="55">
        <f>IF(B204="","",IF(O204="Completed",MAX(0,N(S204)-T204),""))</f>
        <v/>
      </c>
      <c r="V204" s="49">
        <f>IF(B204="","",IF(O204&lt;&gt;"Completed",IF(T204&gt;0,"Deposit","—"),IF(U204&lt;=0.005,"Paid",IF(T204&gt;0,"Partial","Unpaid"))))</f>
        <v/>
      </c>
      <c r="W204" s="55">
        <f>IF(B204="","",IFERROR(1/(1/INDEX('STAFF &amp; TASKS'!$C$5:$C$24,MATCH(H204,'STAFF &amp; TASKS'!$A$5:$A$24,0))),PayRate))</f>
        <v/>
      </c>
      <c r="X204" s="55">
        <f>IF(B204="","",IF(OR(O204="Cancelled",O204="No-Show"),"",ROUND(R204*W204*(1+Burden),2)))</f>
        <v/>
      </c>
      <c r="Y204" s="55">
        <f>IF(B204="","",IF(OR(O204="Cancelled",O204="No-Show"),"",IF(N204&lt;&gt;"",N204,ROUND(R204*SupHr*IFERROR(INDEX('PRICING'!$G$7:$G$16,MATCH(F204,'PRICING'!$A$7:$A$16,0)),1),2))))</f>
        <v/>
      </c>
      <c r="Z204" s="98">
        <f>IF(B204="","",SUMIFS('MILEAGE'!$J$5:$J$1504,'MILEAGE'!$B$5:$B$1504,A204))</f>
        <v/>
      </c>
      <c r="AA204" s="55">
        <f>IF(B204="","",ROUND(Z204*MileRate,2))</f>
        <v/>
      </c>
      <c r="AB204" s="55">
        <f>IF(B204="","",SUMIFS('REVENUE'!$J$5:$J$1504,'REVENUE'!$B$5:$B$1504,A204))</f>
        <v/>
      </c>
      <c r="AC204" s="55">
        <f>IF(L204="","",IF(OR(O204="Cancelled",O204="No-Show"),"",L204-N(X204)-N(Y204)-AA204-AB204))</f>
        <v/>
      </c>
      <c r="AD204" s="99">
        <f>IF(OR(AC204="",N(L204)=0),"",AC204/L204)</f>
        <v/>
      </c>
      <c r="AE204" s="55">
        <f>IF(OR(AC204="",N(R204)=0),"",L204/R204)</f>
        <v/>
      </c>
      <c r="AF204" s="100">
        <f>IF(OR(N(K204)=0,N(J204)+N(Q204)=0),"",K204-IF(N(J204)&gt;0,J204,Q204))</f>
        <v/>
      </c>
      <c r="AG204" s="99">
        <f>IF(B204="","",IFERROR(AVERAGEIFS('QUALITY CONTROL'!$M$5:$M$304,'QUALITY CONTROL'!$B$5:$B$304,A204),""))</f>
        <v/>
      </c>
      <c r="AH204" s="51">
        <f>IF(B204="","",DATE(YEAR(B204),MONTH(B204),1))</f>
        <v/>
      </c>
      <c r="AI204" s="49">
        <f>IF(D204="","",IFERROR(INDEX('CUSTOMERS'!$E$5:$E$404,MATCH(D204,'CUSTOMERS'!$B$5:$B$404,0)),""))</f>
        <v/>
      </c>
      <c r="AJ204" s="49">
        <f>IF(B204="","",N(C204))</f>
        <v/>
      </c>
      <c r="AK204" s="49">
        <f>IF(OR(B204="",O204="Cancelled",O204="Rescheduled"),"",B204&amp;"|"&amp;(COUNTIFS('JOBS'!$B$5:$B$1504,B204,'JOBS'!$AJ$5:$AJ$1504,"&lt;"&amp;AJ204,'JOBS'!$O$5:$O$1504,"&lt;&gt;Cancelled",'JOBS'!$O$5:$O$1504,"&lt;&gt;Rescheduled")+COUNTIFS($B$5:B204,B204,$AJ$5:AJ204,AJ204,$O$5:O204,"&lt;&gt;Cancelled",$O$5:O204,"&lt;&gt;Rescheduled")))</f>
        <v/>
      </c>
      <c r="AL204" s="49">
        <f>IF(N(U204)&lt;=0.005,"",COUNTIFS('JOBS'!$U$5:$U$1504,"&gt;0.005",'JOBS'!$B$5:$B$1504,"&lt;"&amp;B204)+COUNTIFS($U$5:U204,"&gt;0.005",$B$5:B204,B204))</f>
        <v/>
      </c>
    </row>
    <row r="205">
      <c r="A205" s="46" t="inlineStr">
        <is>
          <t>J-0201</t>
        </is>
      </c>
      <c r="B205" s="47" t="n">
        <v>46220</v>
      </c>
      <c r="C205" s="94" t="n">
        <v>0.4166666666666667</v>
      </c>
      <c r="D205" s="38" t="inlineStr">
        <is>
          <t>Dana Oakes</t>
        </is>
      </c>
      <c r="E205" s="38" t="inlineStr">
        <is>
          <t>666 Juniper Street, North Sampletown</t>
        </is>
      </c>
      <c r="F205" s="38" t="inlineStr">
        <is>
          <t>Airbnb Turnover</t>
        </is>
      </c>
      <c r="G205" s="38" t="n"/>
      <c r="H205" s="38" t="inlineStr">
        <is>
          <t>Kevin Osei</t>
        </is>
      </c>
      <c r="I205" s="57" t="n">
        <v>1</v>
      </c>
      <c r="J205" s="95" t="n"/>
      <c r="K205" s="95" t="n">
        <v>1.77</v>
      </c>
      <c r="L205" s="48" t="n">
        <v>135</v>
      </c>
      <c r="M205" s="96" t="n">
        <v>0</v>
      </c>
      <c r="N205" s="48" t="n"/>
      <c r="O205" s="38" t="inlineStr">
        <is>
          <t>Completed</t>
        </is>
      </c>
      <c r="P205" s="38" t="inlineStr">
        <is>
          <t>Includes laundry</t>
        </is>
      </c>
      <c r="Q205" s="97">
        <f>IF(OR(F205="",E205=""),"",IFERROR(IF(INDEX('PROPERTIES'!$F$5:$F$404,MATCH(E205,'PROPERTIES'!$B$5:$B$404,0))=0,"",ROUND((INDEX('PROPERTIES'!$F$5:$F$404,MATCH(E205,'PROPERTIES'!$B$5:$B$404,0))/INDEX('PRICING'!$C$7:$C$16,MATCH(F205,'PRICING'!$A$7:$A$16,0))+INDEX('PROPERTIES'!$G$5:$G$404,MATCH(E205,'PROPERTIES'!$B$5:$B$404,0))*INDEX('PRICING'!$D$7:$D$16,MATCH(F205,'PRICING'!$A$7:$A$16,0))/60+INDEX('PROPERTIES'!$H$5:$H$404,MATCH(E205,'PROPERTIES'!$B$5:$B$404,0))*INDEX('PRICING'!$E$7:$E$16,MATCH(F205,'PRICING'!$A$7:$A$16,0))/60+INDEX('PRICING'!$F$7:$F$16,MATCH(F205,'PRICING'!$A$7:$A$16,0))/60),2)),""))</f>
        <v/>
      </c>
      <c r="R205" s="97">
        <f>IF(B205="","",IF(N(K205)&gt;0,K205,IF(N(J205)&gt;0,J205,N(Q205))))</f>
        <v/>
      </c>
      <c r="S205" s="55">
        <f>IF(L205="","",ROUND(L205*(1+N(M205)),2))</f>
        <v/>
      </c>
      <c r="T205" s="55">
        <f>IF(B205="","",SUMIFS('REVENUE'!$C$5:$C$1504,'REVENUE'!$B$5:$B$1504,A205))</f>
        <v/>
      </c>
      <c r="U205" s="55">
        <f>IF(B205="","",IF(O205="Completed",MAX(0,N(S205)-T205),""))</f>
        <v/>
      </c>
      <c r="V205" s="49">
        <f>IF(B205="","",IF(O205&lt;&gt;"Completed",IF(T205&gt;0,"Deposit","—"),IF(U205&lt;=0.005,"Paid",IF(T205&gt;0,"Partial","Unpaid"))))</f>
        <v/>
      </c>
      <c r="W205" s="55">
        <f>IF(B205="","",IFERROR(1/(1/INDEX('STAFF &amp; TASKS'!$C$5:$C$24,MATCH(H205,'STAFF &amp; TASKS'!$A$5:$A$24,0))),PayRate))</f>
        <v/>
      </c>
      <c r="X205" s="55">
        <f>IF(B205="","",IF(OR(O205="Cancelled",O205="No-Show"),"",ROUND(R205*W205*(1+Burden),2)))</f>
        <v/>
      </c>
      <c r="Y205" s="55">
        <f>IF(B205="","",IF(OR(O205="Cancelled",O205="No-Show"),"",IF(N205&lt;&gt;"",N205,ROUND(R205*SupHr*IFERROR(INDEX('PRICING'!$G$7:$G$16,MATCH(F205,'PRICING'!$A$7:$A$16,0)),1),2))))</f>
        <v/>
      </c>
      <c r="Z205" s="98">
        <f>IF(B205="","",SUMIFS('MILEAGE'!$J$5:$J$1504,'MILEAGE'!$B$5:$B$1504,A205))</f>
        <v/>
      </c>
      <c r="AA205" s="55">
        <f>IF(B205="","",ROUND(Z205*MileRate,2))</f>
        <v/>
      </c>
      <c r="AB205" s="55">
        <f>IF(B205="","",SUMIFS('REVENUE'!$J$5:$J$1504,'REVENUE'!$B$5:$B$1504,A205))</f>
        <v/>
      </c>
      <c r="AC205" s="55">
        <f>IF(L205="","",IF(OR(O205="Cancelled",O205="No-Show"),"",L205-N(X205)-N(Y205)-AA205-AB205))</f>
        <v/>
      </c>
      <c r="AD205" s="99">
        <f>IF(OR(AC205="",N(L205)=0),"",AC205/L205)</f>
        <v/>
      </c>
      <c r="AE205" s="55">
        <f>IF(OR(AC205="",N(R205)=0),"",L205/R205)</f>
        <v/>
      </c>
      <c r="AF205" s="100">
        <f>IF(OR(N(K205)=0,N(J205)+N(Q205)=0),"",K205-IF(N(J205)&gt;0,J205,Q205))</f>
        <v/>
      </c>
      <c r="AG205" s="99">
        <f>IF(B205="","",IFERROR(AVERAGEIFS('QUALITY CONTROL'!$M$5:$M$304,'QUALITY CONTROL'!$B$5:$B$304,A205),""))</f>
        <v/>
      </c>
      <c r="AH205" s="51">
        <f>IF(B205="","",DATE(YEAR(B205),MONTH(B205),1))</f>
        <v/>
      </c>
      <c r="AI205" s="49">
        <f>IF(D205="","",IFERROR(INDEX('CUSTOMERS'!$E$5:$E$404,MATCH(D205,'CUSTOMERS'!$B$5:$B$404,0)),""))</f>
        <v/>
      </c>
      <c r="AJ205" s="49">
        <f>IF(B205="","",N(C205))</f>
        <v/>
      </c>
      <c r="AK205" s="49">
        <f>IF(OR(B205="",O205="Cancelled",O205="Rescheduled"),"",B205&amp;"|"&amp;(COUNTIFS('JOBS'!$B$5:$B$1504,B205,'JOBS'!$AJ$5:$AJ$1504,"&lt;"&amp;AJ205,'JOBS'!$O$5:$O$1504,"&lt;&gt;Cancelled",'JOBS'!$O$5:$O$1504,"&lt;&gt;Rescheduled")+COUNTIFS($B$5:B205,B205,$AJ$5:AJ205,AJ205,$O$5:O205,"&lt;&gt;Cancelled",$O$5:O205,"&lt;&gt;Rescheduled")))</f>
        <v/>
      </c>
      <c r="AL205" s="49">
        <f>IF(N(U205)&lt;=0.005,"",COUNTIFS('JOBS'!$U$5:$U$1504,"&gt;0.005",'JOBS'!$B$5:$B$1504,"&lt;"&amp;B205)+COUNTIFS($U$5:U205,"&gt;0.005",$B$5:B205,B205))</f>
        <v/>
      </c>
    </row>
    <row r="206">
      <c r="A206" s="46" t="inlineStr">
        <is>
          <t>J-0202</t>
        </is>
      </c>
      <c r="B206" s="47" t="n">
        <v>46220</v>
      </c>
      <c r="C206" s="94" t="n">
        <v>0.5416666666666666</v>
      </c>
      <c r="D206" s="38" t="inlineStr">
        <is>
          <t>Oakview Office Suites (sample)</t>
        </is>
      </c>
      <c r="E206" s="38" t="inlineStr">
        <is>
          <t>957 Hawthorn Road, North Sampletown</t>
        </is>
      </c>
      <c r="F206" s="38" t="inlineStr">
        <is>
          <t>Commercial Clean</t>
        </is>
      </c>
      <c r="G206" s="38" t="inlineStr">
        <is>
          <t>R-012</t>
        </is>
      </c>
      <c r="H206" s="38" t="inlineStr">
        <is>
          <t>Kevin Osei</t>
        </is>
      </c>
      <c r="I206" s="57" t="n">
        <v>2</v>
      </c>
      <c r="J206" s="95" t="n"/>
      <c r="K206" s="95" t="n">
        <v>3.13</v>
      </c>
      <c r="L206" s="48" t="n">
        <v>140</v>
      </c>
      <c r="M206" s="96" t="n">
        <v>0</v>
      </c>
      <c r="N206" s="48" t="n"/>
      <c r="O206" s="38" t="inlineStr">
        <is>
          <t>Completed</t>
        </is>
      </c>
      <c r="P206" s="38" t="inlineStr"/>
      <c r="Q206" s="97">
        <f>IF(OR(F206="",E206=""),"",IFERROR(IF(INDEX('PROPERTIES'!$F$5:$F$404,MATCH(E206,'PROPERTIES'!$B$5:$B$404,0))=0,"",ROUND((INDEX('PROPERTIES'!$F$5:$F$404,MATCH(E206,'PROPERTIES'!$B$5:$B$404,0))/INDEX('PRICING'!$C$7:$C$16,MATCH(F206,'PRICING'!$A$7:$A$16,0))+INDEX('PROPERTIES'!$G$5:$G$404,MATCH(E206,'PROPERTIES'!$B$5:$B$404,0))*INDEX('PRICING'!$D$7:$D$16,MATCH(F206,'PRICING'!$A$7:$A$16,0))/60+INDEX('PROPERTIES'!$H$5:$H$404,MATCH(E206,'PROPERTIES'!$B$5:$B$404,0))*INDEX('PRICING'!$E$7:$E$16,MATCH(F206,'PRICING'!$A$7:$A$16,0))/60+INDEX('PRICING'!$F$7:$F$16,MATCH(F206,'PRICING'!$A$7:$A$16,0))/60),2)),""))</f>
        <v/>
      </c>
      <c r="R206" s="97">
        <f>IF(B206="","",IF(N(K206)&gt;0,K206,IF(N(J206)&gt;0,J206,N(Q206))))</f>
        <v/>
      </c>
      <c r="S206" s="55">
        <f>IF(L206="","",ROUND(L206*(1+N(M206)),2))</f>
        <v/>
      </c>
      <c r="T206" s="55">
        <f>IF(B206="","",SUMIFS('REVENUE'!$C$5:$C$1504,'REVENUE'!$B$5:$B$1504,A206))</f>
        <v/>
      </c>
      <c r="U206" s="55">
        <f>IF(B206="","",IF(O206="Completed",MAX(0,N(S206)-T206),""))</f>
        <v/>
      </c>
      <c r="V206" s="49">
        <f>IF(B206="","",IF(O206&lt;&gt;"Completed",IF(T206&gt;0,"Deposit","—"),IF(U206&lt;=0.005,"Paid",IF(T206&gt;0,"Partial","Unpaid"))))</f>
        <v/>
      </c>
      <c r="W206" s="55">
        <f>IF(B206="","",IFERROR(1/(1/INDEX('STAFF &amp; TASKS'!$C$5:$C$24,MATCH(H206,'STAFF &amp; TASKS'!$A$5:$A$24,0))),PayRate))</f>
        <v/>
      </c>
      <c r="X206" s="55">
        <f>IF(B206="","",IF(OR(O206="Cancelled",O206="No-Show"),"",ROUND(R206*W206*(1+Burden),2)))</f>
        <v/>
      </c>
      <c r="Y206" s="55">
        <f>IF(B206="","",IF(OR(O206="Cancelled",O206="No-Show"),"",IF(N206&lt;&gt;"",N206,ROUND(R206*SupHr*IFERROR(INDEX('PRICING'!$G$7:$G$16,MATCH(F206,'PRICING'!$A$7:$A$16,0)),1),2))))</f>
        <v/>
      </c>
      <c r="Z206" s="98">
        <f>IF(B206="","",SUMIFS('MILEAGE'!$J$5:$J$1504,'MILEAGE'!$B$5:$B$1504,A206))</f>
        <v/>
      </c>
      <c r="AA206" s="55">
        <f>IF(B206="","",ROUND(Z206*MileRate,2))</f>
        <v/>
      </c>
      <c r="AB206" s="55">
        <f>IF(B206="","",SUMIFS('REVENUE'!$J$5:$J$1504,'REVENUE'!$B$5:$B$1504,A206))</f>
        <v/>
      </c>
      <c r="AC206" s="55">
        <f>IF(L206="","",IF(OR(O206="Cancelled",O206="No-Show"),"",L206-N(X206)-N(Y206)-AA206-AB206))</f>
        <v/>
      </c>
      <c r="AD206" s="99">
        <f>IF(OR(AC206="",N(L206)=0),"",AC206/L206)</f>
        <v/>
      </c>
      <c r="AE206" s="55">
        <f>IF(OR(AC206="",N(R206)=0),"",L206/R206)</f>
        <v/>
      </c>
      <c r="AF206" s="100">
        <f>IF(OR(N(K206)=0,N(J206)+N(Q206)=0),"",K206-IF(N(J206)&gt;0,J206,Q206))</f>
        <v/>
      </c>
      <c r="AG206" s="99">
        <f>IF(B206="","",IFERROR(AVERAGEIFS('QUALITY CONTROL'!$M$5:$M$304,'QUALITY CONTROL'!$B$5:$B$304,A206),""))</f>
        <v/>
      </c>
      <c r="AH206" s="51">
        <f>IF(B206="","",DATE(YEAR(B206),MONTH(B206),1))</f>
        <v/>
      </c>
      <c r="AI206" s="49">
        <f>IF(D206="","",IFERROR(INDEX('CUSTOMERS'!$E$5:$E$404,MATCH(D206,'CUSTOMERS'!$B$5:$B$404,0)),""))</f>
        <v/>
      </c>
      <c r="AJ206" s="49">
        <f>IF(B206="","",N(C206))</f>
        <v/>
      </c>
      <c r="AK206" s="49">
        <f>IF(OR(B206="",O206="Cancelled",O206="Rescheduled"),"",B206&amp;"|"&amp;(COUNTIFS('JOBS'!$B$5:$B$1504,B206,'JOBS'!$AJ$5:$AJ$1504,"&lt;"&amp;AJ206,'JOBS'!$O$5:$O$1504,"&lt;&gt;Cancelled",'JOBS'!$O$5:$O$1504,"&lt;&gt;Rescheduled")+COUNTIFS($B$5:B206,B206,$AJ$5:AJ206,AJ206,$O$5:O206,"&lt;&gt;Cancelled",$O$5:O206,"&lt;&gt;Rescheduled")))</f>
        <v/>
      </c>
      <c r="AL206" s="49">
        <f>IF(N(U206)&lt;=0.005,"",COUNTIFS('JOBS'!$U$5:$U$1504,"&gt;0.005",'JOBS'!$B$5:$B$1504,"&lt;"&amp;B206)+COUNTIFS($U$5:U206,"&gt;0.005",$B$5:B206,B206))</f>
        <v/>
      </c>
    </row>
    <row r="207">
      <c r="A207" s="46" t="inlineStr">
        <is>
          <t>J-0203</t>
        </is>
      </c>
      <c r="B207" s="47" t="n">
        <v>46220</v>
      </c>
      <c r="C207" s="94" t="n">
        <v>0.625</v>
      </c>
      <c r="D207" s="38" t="inlineStr">
        <is>
          <t>Brightside Dental Studio (sample)</t>
        </is>
      </c>
      <c r="E207" s="38" t="inlineStr">
        <is>
          <t>738 Cedar Court, North Sampletown</t>
        </is>
      </c>
      <c r="F207" s="38" t="inlineStr">
        <is>
          <t>Commercial Clean</t>
        </is>
      </c>
      <c r="G207" s="38" t="inlineStr">
        <is>
          <t>R-011</t>
        </is>
      </c>
      <c r="H207" s="38" t="inlineStr">
        <is>
          <t>Kevin Osei</t>
        </is>
      </c>
      <c r="I207" s="57" t="n">
        <v>2</v>
      </c>
      <c r="J207" s="95" t="n"/>
      <c r="K207" s="95" t="n">
        <v>2.25</v>
      </c>
      <c r="L207" s="48" t="n">
        <v>100</v>
      </c>
      <c r="M207" s="96" t="n">
        <v>0</v>
      </c>
      <c r="N207" s="48" t="n"/>
      <c r="O207" s="38" t="inlineStr">
        <is>
          <t>Completed</t>
        </is>
      </c>
      <c r="P207" s="38" t="inlineStr"/>
      <c r="Q207" s="97">
        <f>IF(OR(F207="",E207=""),"",IFERROR(IF(INDEX('PROPERTIES'!$F$5:$F$404,MATCH(E207,'PROPERTIES'!$B$5:$B$404,0))=0,"",ROUND((INDEX('PROPERTIES'!$F$5:$F$404,MATCH(E207,'PROPERTIES'!$B$5:$B$404,0))/INDEX('PRICING'!$C$7:$C$16,MATCH(F207,'PRICING'!$A$7:$A$16,0))+INDEX('PROPERTIES'!$G$5:$G$404,MATCH(E207,'PROPERTIES'!$B$5:$B$404,0))*INDEX('PRICING'!$D$7:$D$16,MATCH(F207,'PRICING'!$A$7:$A$16,0))/60+INDEX('PROPERTIES'!$H$5:$H$404,MATCH(E207,'PROPERTIES'!$B$5:$B$404,0))*INDEX('PRICING'!$E$7:$E$16,MATCH(F207,'PRICING'!$A$7:$A$16,0))/60+INDEX('PRICING'!$F$7:$F$16,MATCH(F207,'PRICING'!$A$7:$A$16,0))/60),2)),""))</f>
        <v/>
      </c>
      <c r="R207" s="97">
        <f>IF(B207="","",IF(N(K207)&gt;0,K207,IF(N(J207)&gt;0,J207,N(Q207))))</f>
        <v/>
      </c>
      <c r="S207" s="55">
        <f>IF(L207="","",ROUND(L207*(1+N(M207)),2))</f>
        <v/>
      </c>
      <c r="T207" s="55">
        <f>IF(B207="","",SUMIFS('REVENUE'!$C$5:$C$1504,'REVENUE'!$B$5:$B$1504,A207))</f>
        <v/>
      </c>
      <c r="U207" s="55">
        <f>IF(B207="","",IF(O207="Completed",MAX(0,N(S207)-T207),""))</f>
        <v/>
      </c>
      <c r="V207" s="49">
        <f>IF(B207="","",IF(O207&lt;&gt;"Completed",IF(T207&gt;0,"Deposit","—"),IF(U207&lt;=0.005,"Paid",IF(T207&gt;0,"Partial","Unpaid"))))</f>
        <v/>
      </c>
      <c r="W207" s="55">
        <f>IF(B207="","",IFERROR(1/(1/INDEX('STAFF &amp; TASKS'!$C$5:$C$24,MATCH(H207,'STAFF &amp; TASKS'!$A$5:$A$24,0))),PayRate))</f>
        <v/>
      </c>
      <c r="X207" s="55">
        <f>IF(B207="","",IF(OR(O207="Cancelled",O207="No-Show"),"",ROUND(R207*W207*(1+Burden),2)))</f>
        <v/>
      </c>
      <c r="Y207" s="55">
        <f>IF(B207="","",IF(OR(O207="Cancelled",O207="No-Show"),"",IF(N207&lt;&gt;"",N207,ROUND(R207*SupHr*IFERROR(INDEX('PRICING'!$G$7:$G$16,MATCH(F207,'PRICING'!$A$7:$A$16,0)),1),2))))</f>
        <v/>
      </c>
      <c r="Z207" s="98">
        <f>IF(B207="","",SUMIFS('MILEAGE'!$J$5:$J$1504,'MILEAGE'!$B$5:$B$1504,A207))</f>
        <v/>
      </c>
      <c r="AA207" s="55">
        <f>IF(B207="","",ROUND(Z207*MileRate,2))</f>
        <v/>
      </c>
      <c r="AB207" s="55">
        <f>IF(B207="","",SUMIFS('REVENUE'!$J$5:$J$1504,'REVENUE'!$B$5:$B$1504,A207))</f>
        <v/>
      </c>
      <c r="AC207" s="55">
        <f>IF(L207="","",IF(OR(O207="Cancelled",O207="No-Show"),"",L207-N(X207)-N(Y207)-AA207-AB207))</f>
        <v/>
      </c>
      <c r="AD207" s="99">
        <f>IF(OR(AC207="",N(L207)=0),"",AC207/L207)</f>
        <v/>
      </c>
      <c r="AE207" s="55">
        <f>IF(OR(AC207="",N(R207)=0),"",L207/R207)</f>
        <v/>
      </c>
      <c r="AF207" s="100">
        <f>IF(OR(N(K207)=0,N(J207)+N(Q207)=0),"",K207-IF(N(J207)&gt;0,J207,Q207))</f>
        <v/>
      </c>
      <c r="AG207" s="99">
        <f>IF(B207="","",IFERROR(AVERAGEIFS('QUALITY CONTROL'!$M$5:$M$304,'QUALITY CONTROL'!$B$5:$B$304,A207),""))</f>
        <v/>
      </c>
      <c r="AH207" s="51">
        <f>IF(B207="","",DATE(YEAR(B207),MONTH(B207),1))</f>
        <v/>
      </c>
      <c r="AI207" s="49">
        <f>IF(D207="","",IFERROR(INDEX('CUSTOMERS'!$E$5:$E$404,MATCH(D207,'CUSTOMERS'!$B$5:$B$404,0)),""))</f>
        <v/>
      </c>
      <c r="AJ207" s="49">
        <f>IF(B207="","",N(C207))</f>
        <v/>
      </c>
      <c r="AK207" s="49">
        <f>IF(OR(B207="",O207="Cancelled",O207="Rescheduled"),"",B207&amp;"|"&amp;(COUNTIFS('JOBS'!$B$5:$B$1504,B207,'JOBS'!$AJ$5:$AJ$1504,"&lt;"&amp;AJ207,'JOBS'!$O$5:$O$1504,"&lt;&gt;Cancelled",'JOBS'!$O$5:$O$1504,"&lt;&gt;Rescheduled")+COUNTIFS($B$5:B207,B207,$AJ$5:AJ207,AJ207,$O$5:O207,"&lt;&gt;Cancelled",$O$5:O207,"&lt;&gt;Rescheduled")))</f>
        <v/>
      </c>
      <c r="AL207" s="49">
        <f>IF(N(U207)&lt;=0.005,"",COUNTIFS('JOBS'!$U$5:$U$1504,"&gt;0.005",'JOBS'!$B$5:$B$1504,"&lt;"&amp;B207)+COUNTIFS($U$5:U207,"&gt;0.005",$B$5:B207,B207))</f>
        <v/>
      </c>
    </row>
    <row r="208">
      <c r="A208" s="46" t="inlineStr">
        <is>
          <t>J-0204</t>
        </is>
      </c>
      <c r="B208" s="47" t="n">
        <v>46221</v>
      </c>
      <c r="C208" s="94" t="n">
        <v>0.5416666666666666</v>
      </c>
      <c r="D208" s="38" t="inlineStr">
        <is>
          <t>Finley Quigley</t>
        </is>
      </c>
      <c r="E208" s="38" t="inlineStr">
        <is>
          <t>21 Maple Avenue, North Sampletown</t>
        </is>
      </c>
      <c r="F208" s="38" t="inlineStr">
        <is>
          <t>Standard Clean</t>
        </is>
      </c>
      <c r="G208" s="38" t="inlineStr">
        <is>
          <t>R-007</t>
        </is>
      </c>
      <c r="H208" s="38" t="inlineStr">
        <is>
          <t>Maria Lopez</t>
        </is>
      </c>
      <c r="I208" s="57" t="n">
        <v>1</v>
      </c>
      <c r="J208" s="95" t="n"/>
      <c r="K208" s="95" t="n"/>
      <c r="L208" s="48" t="n">
        <v>110</v>
      </c>
      <c r="M208" s="96" t="n">
        <v>0</v>
      </c>
      <c r="N208" s="48" t="n"/>
      <c r="O208" s="38" t="inlineStr">
        <is>
          <t>Rescheduled</t>
        </is>
      </c>
      <c r="P208" s="38" t="inlineStr"/>
      <c r="Q208" s="97">
        <f>IF(OR(F208="",E208=""),"",IFERROR(IF(INDEX('PROPERTIES'!$F$5:$F$404,MATCH(E208,'PROPERTIES'!$B$5:$B$404,0))=0,"",ROUND((INDEX('PROPERTIES'!$F$5:$F$404,MATCH(E208,'PROPERTIES'!$B$5:$B$404,0))/INDEX('PRICING'!$C$7:$C$16,MATCH(F208,'PRICING'!$A$7:$A$16,0))+INDEX('PROPERTIES'!$G$5:$G$404,MATCH(E208,'PROPERTIES'!$B$5:$B$404,0))*INDEX('PRICING'!$D$7:$D$16,MATCH(F208,'PRICING'!$A$7:$A$16,0))/60+INDEX('PROPERTIES'!$H$5:$H$404,MATCH(E208,'PROPERTIES'!$B$5:$B$404,0))*INDEX('PRICING'!$E$7:$E$16,MATCH(F208,'PRICING'!$A$7:$A$16,0))/60+INDEX('PRICING'!$F$7:$F$16,MATCH(F208,'PRICING'!$A$7:$A$16,0))/60),2)),""))</f>
        <v/>
      </c>
      <c r="R208" s="97">
        <f>IF(B208="","",IF(N(K208)&gt;0,K208,IF(N(J208)&gt;0,J208,N(Q208))))</f>
        <v/>
      </c>
      <c r="S208" s="55">
        <f>IF(L208="","",ROUND(L208*(1+N(M208)),2))</f>
        <v/>
      </c>
      <c r="T208" s="55">
        <f>IF(B208="","",SUMIFS('REVENUE'!$C$5:$C$1504,'REVENUE'!$B$5:$B$1504,A208))</f>
        <v/>
      </c>
      <c r="U208" s="55">
        <f>IF(B208="","",IF(O208="Completed",MAX(0,N(S208)-T208),""))</f>
        <v/>
      </c>
      <c r="V208" s="49">
        <f>IF(B208="","",IF(O208&lt;&gt;"Completed",IF(T208&gt;0,"Deposit","—"),IF(U208&lt;=0.005,"Paid",IF(T208&gt;0,"Partial","Unpaid"))))</f>
        <v/>
      </c>
      <c r="W208" s="55">
        <f>IF(B208="","",IFERROR(1/(1/INDEX('STAFF &amp; TASKS'!$C$5:$C$24,MATCH(H208,'STAFF &amp; TASKS'!$A$5:$A$24,0))),PayRate))</f>
        <v/>
      </c>
      <c r="X208" s="55">
        <f>IF(B208="","",IF(OR(O208="Cancelled",O208="No-Show"),"",ROUND(R208*W208*(1+Burden),2)))</f>
        <v/>
      </c>
      <c r="Y208" s="55">
        <f>IF(B208="","",IF(OR(O208="Cancelled",O208="No-Show"),"",IF(N208&lt;&gt;"",N208,ROUND(R208*SupHr*IFERROR(INDEX('PRICING'!$G$7:$G$16,MATCH(F208,'PRICING'!$A$7:$A$16,0)),1),2))))</f>
        <v/>
      </c>
      <c r="Z208" s="98">
        <f>IF(B208="","",SUMIFS('MILEAGE'!$J$5:$J$1504,'MILEAGE'!$B$5:$B$1504,A208))</f>
        <v/>
      </c>
      <c r="AA208" s="55">
        <f>IF(B208="","",ROUND(Z208*MileRate,2))</f>
        <v/>
      </c>
      <c r="AB208" s="55">
        <f>IF(B208="","",SUMIFS('REVENUE'!$J$5:$J$1504,'REVENUE'!$B$5:$B$1504,A208))</f>
        <v/>
      </c>
      <c r="AC208" s="55">
        <f>IF(L208="","",IF(OR(O208="Cancelled",O208="No-Show"),"",L208-N(X208)-N(Y208)-AA208-AB208))</f>
        <v/>
      </c>
      <c r="AD208" s="99">
        <f>IF(OR(AC208="",N(L208)=0),"",AC208/L208)</f>
        <v/>
      </c>
      <c r="AE208" s="55">
        <f>IF(OR(AC208="",N(R208)=0),"",L208/R208)</f>
        <v/>
      </c>
      <c r="AF208" s="100">
        <f>IF(OR(N(K208)=0,N(J208)+N(Q208)=0),"",K208-IF(N(J208)&gt;0,J208,Q208))</f>
        <v/>
      </c>
      <c r="AG208" s="99">
        <f>IF(B208="","",IFERROR(AVERAGEIFS('QUALITY CONTROL'!$M$5:$M$304,'QUALITY CONTROL'!$B$5:$B$304,A208),""))</f>
        <v/>
      </c>
      <c r="AH208" s="51">
        <f>IF(B208="","",DATE(YEAR(B208),MONTH(B208),1))</f>
        <v/>
      </c>
      <c r="AI208" s="49">
        <f>IF(D208="","",IFERROR(INDEX('CUSTOMERS'!$E$5:$E$404,MATCH(D208,'CUSTOMERS'!$B$5:$B$404,0)),""))</f>
        <v/>
      </c>
      <c r="AJ208" s="49">
        <f>IF(B208="","",N(C208))</f>
        <v/>
      </c>
      <c r="AK208" s="49">
        <f>IF(OR(B208="",O208="Cancelled",O208="Rescheduled"),"",B208&amp;"|"&amp;(COUNTIFS('JOBS'!$B$5:$B$1504,B208,'JOBS'!$AJ$5:$AJ$1504,"&lt;"&amp;AJ208,'JOBS'!$O$5:$O$1504,"&lt;&gt;Cancelled",'JOBS'!$O$5:$O$1504,"&lt;&gt;Rescheduled")+COUNTIFS($B$5:B208,B208,$AJ$5:AJ208,AJ208,$O$5:O208,"&lt;&gt;Cancelled",$O$5:O208,"&lt;&gt;Rescheduled")))</f>
        <v/>
      </c>
      <c r="AL208" s="49">
        <f>IF(N(U208)&lt;=0.005,"",COUNTIFS('JOBS'!$U$5:$U$1504,"&gt;0.005",'JOBS'!$B$5:$B$1504,"&lt;"&amp;B208)+COUNTIFS($U$5:U208,"&gt;0.005",$B$5:B208,B208))</f>
        <v/>
      </c>
    </row>
    <row r="209">
      <c r="A209" s="46" t="inlineStr">
        <is>
          <t>J-0205</t>
        </is>
      </c>
      <c r="B209" s="47" t="n">
        <v>46223</v>
      </c>
      <c r="C209" s="94" t="n">
        <v>0.4791666666666667</v>
      </c>
      <c r="D209" s="38" t="inlineStr">
        <is>
          <t>Taylor Quigley</t>
        </is>
      </c>
      <c r="E209" s="38" t="inlineStr">
        <is>
          <t>667 Willow Way, Sampletown</t>
        </is>
      </c>
      <c r="F209" s="38" t="inlineStr">
        <is>
          <t>Standard Clean</t>
        </is>
      </c>
      <c r="G209" s="38" t="inlineStr">
        <is>
          <t>R-009</t>
        </is>
      </c>
      <c r="H209" s="38" t="inlineStr">
        <is>
          <t>Maria Lopez</t>
        </is>
      </c>
      <c r="I209" s="57" t="n">
        <v>1</v>
      </c>
      <c r="J209" s="95" t="n"/>
      <c r="K209" s="95" t="n">
        <v>3.08</v>
      </c>
      <c r="L209" s="48" t="n">
        <v>145</v>
      </c>
      <c r="M209" s="96" t="n">
        <v>0</v>
      </c>
      <c r="N209" s="48" t="n"/>
      <c r="O209" s="38" t="inlineStr">
        <is>
          <t>Completed</t>
        </is>
      </c>
      <c r="P209" s="38" t="inlineStr"/>
      <c r="Q209" s="97">
        <f>IF(OR(F209="",E209=""),"",IFERROR(IF(INDEX('PROPERTIES'!$F$5:$F$404,MATCH(E209,'PROPERTIES'!$B$5:$B$404,0))=0,"",ROUND((INDEX('PROPERTIES'!$F$5:$F$404,MATCH(E209,'PROPERTIES'!$B$5:$B$404,0))/INDEX('PRICING'!$C$7:$C$16,MATCH(F209,'PRICING'!$A$7:$A$16,0))+INDEX('PROPERTIES'!$G$5:$G$404,MATCH(E209,'PROPERTIES'!$B$5:$B$404,0))*INDEX('PRICING'!$D$7:$D$16,MATCH(F209,'PRICING'!$A$7:$A$16,0))/60+INDEX('PROPERTIES'!$H$5:$H$404,MATCH(E209,'PROPERTIES'!$B$5:$B$404,0))*INDEX('PRICING'!$E$7:$E$16,MATCH(F209,'PRICING'!$A$7:$A$16,0))/60+INDEX('PRICING'!$F$7:$F$16,MATCH(F209,'PRICING'!$A$7:$A$16,0))/60),2)),""))</f>
        <v/>
      </c>
      <c r="R209" s="97">
        <f>IF(B209="","",IF(N(K209)&gt;0,K209,IF(N(J209)&gt;0,J209,N(Q209))))</f>
        <v/>
      </c>
      <c r="S209" s="55">
        <f>IF(L209="","",ROUND(L209*(1+N(M209)),2))</f>
        <v/>
      </c>
      <c r="T209" s="55">
        <f>IF(B209="","",SUMIFS('REVENUE'!$C$5:$C$1504,'REVENUE'!$B$5:$B$1504,A209))</f>
        <v/>
      </c>
      <c r="U209" s="55">
        <f>IF(B209="","",IF(O209="Completed",MAX(0,N(S209)-T209),""))</f>
        <v/>
      </c>
      <c r="V209" s="49">
        <f>IF(B209="","",IF(O209&lt;&gt;"Completed",IF(T209&gt;0,"Deposit","—"),IF(U209&lt;=0.005,"Paid",IF(T209&gt;0,"Partial","Unpaid"))))</f>
        <v/>
      </c>
      <c r="W209" s="55">
        <f>IF(B209="","",IFERROR(1/(1/INDEX('STAFF &amp; TASKS'!$C$5:$C$24,MATCH(H209,'STAFF &amp; TASKS'!$A$5:$A$24,0))),PayRate))</f>
        <v/>
      </c>
      <c r="X209" s="55">
        <f>IF(B209="","",IF(OR(O209="Cancelled",O209="No-Show"),"",ROUND(R209*W209*(1+Burden),2)))</f>
        <v/>
      </c>
      <c r="Y209" s="55">
        <f>IF(B209="","",IF(OR(O209="Cancelled",O209="No-Show"),"",IF(N209&lt;&gt;"",N209,ROUND(R209*SupHr*IFERROR(INDEX('PRICING'!$G$7:$G$16,MATCH(F209,'PRICING'!$A$7:$A$16,0)),1),2))))</f>
        <v/>
      </c>
      <c r="Z209" s="98">
        <f>IF(B209="","",SUMIFS('MILEAGE'!$J$5:$J$1504,'MILEAGE'!$B$5:$B$1504,A209))</f>
        <v/>
      </c>
      <c r="AA209" s="55">
        <f>IF(B209="","",ROUND(Z209*MileRate,2))</f>
        <v/>
      </c>
      <c r="AB209" s="55">
        <f>IF(B209="","",SUMIFS('REVENUE'!$J$5:$J$1504,'REVENUE'!$B$5:$B$1504,A209))</f>
        <v/>
      </c>
      <c r="AC209" s="55">
        <f>IF(L209="","",IF(OR(O209="Cancelled",O209="No-Show"),"",L209-N(X209)-N(Y209)-AA209-AB209))</f>
        <v/>
      </c>
      <c r="AD209" s="99">
        <f>IF(OR(AC209="",N(L209)=0),"",AC209/L209)</f>
        <v/>
      </c>
      <c r="AE209" s="55">
        <f>IF(OR(AC209="",N(R209)=0),"",L209/R209)</f>
        <v/>
      </c>
      <c r="AF209" s="100">
        <f>IF(OR(N(K209)=0,N(J209)+N(Q209)=0),"",K209-IF(N(J209)&gt;0,J209,Q209))</f>
        <v/>
      </c>
      <c r="AG209" s="99">
        <f>IF(B209="","",IFERROR(AVERAGEIFS('QUALITY CONTROL'!$M$5:$M$304,'QUALITY CONTROL'!$B$5:$B$304,A209),""))</f>
        <v/>
      </c>
      <c r="AH209" s="51">
        <f>IF(B209="","",DATE(YEAR(B209),MONTH(B209),1))</f>
        <v/>
      </c>
      <c r="AI209" s="49">
        <f>IF(D209="","",IFERROR(INDEX('CUSTOMERS'!$E$5:$E$404,MATCH(D209,'CUSTOMERS'!$B$5:$B$404,0)),""))</f>
        <v/>
      </c>
      <c r="AJ209" s="49">
        <f>IF(B209="","",N(C209))</f>
        <v/>
      </c>
      <c r="AK209" s="49">
        <f>IF(OR(B209="",O209="Cancelled",O209="Rescheduled"),"",B209&amp;"|"&amp;(COUNTIFS('JOBS'!$B$5:$B$1504,B209,'JOBS'!$AJ$5:$AJ$1504,"&lt;"&amp;AJ209,'JOBS'!$O$5:$O$1504,"&lt;&gt;Cancelled",'JOBS'!$O$5:$O$1504,"&lt;&gt;Rescheduled")+COUNTIFS($B$5:B209,B209,$AJ$5:AJ209,AJ209,$O$5:O209,"&lt;&gt;Cancelled",$O$5:O209,"&lt;&gt;Rescheduled")))</f>
        <v/>
      </c>
      <c r="AL209" s="49">
        <f>IF(N(U209)&lt;=0.005,"",COUNTIFS('JOBS'!$U$5:$U$1504,"&gt;0.005",'JOBS'!$B$5:$B$1504,"&lt;"&amp;B209)+COUNTIFS($U$5:U209,"&gt;0.005",$B$5:B209,B209))</f>
        <v/>
      </c>
    </row>
    <row r="210">
      <c r="A210" s="46" t="inlineStr">
        <is>
          <t>J-0206</t>
        </is>
      </c>
      <c r="B210" s="47" t="n">
        <v>46224</v>
      </c>
      <c r="C210" s="94" t="n">
        <v>0.3541666666666667</v>
      </c>
      <c r="D210" s="38" t="inlineStr">
        <is>
          <t>Lane Northcott</t>
        </is>
      </c>
      <c r="E210" s="38" t="inlineStr">
        <is>
          <t>102 Hawthorn Road, Lakeview (fictional)</t>
        </is>
      </c>
      <c r="F210" s="38" t="inlineStr">
        <is>
          <t>Standard Clean</t>
        </is>
      </c>
      <c r="G210" s="38" t="inlineStr">
        <is>
          <t>R-010</t>
        </is>
      </c>
      <c r="H210" s="38" t="inlineStr">
        <is>
          <t>Dana Whitfield</t>
        </is>
      </c>
      <c r="I210" s="57" t="n">
        <v>1</v>
      </c>
      <c r="J210" s="95" t="n"/>
      <c r="K210" s="95" t="n">
        <v>3.63</v>
      </c>
      <c r="L210" s="48" t="n">
        <v>150</v>
      </c>
      <c r="M210" s="96" t="n">
        <v>0</v>
      </c>
      <c r="N210" s="48" t="n"/>
      <c r="O210" s="38" t="inlineStr">
        <is>
          <t>Completed</t>
        </is>
      </c>
      <c r="P210" s="38" t="inlineStr"/>
      <c r="Q210" s="97">
        <f>IF(OR(F210="",E210=""),"",IFERROR(IF(INDEX('PROPERTIES'!$F$5:$F$404,MATCH(E210,'PROPERTIES'!$B$5:$B$404,0))=0,"",ROUND((INDEX('PROPERTIES'!$F$5:$F$404,MATCH(E210,'PROPERTIES'!$B$5:$B$404,0))/INDEX('PRICING'!$C$7:$C$16,MATCH(F210,'PRICING'!$A$7:$A$16,0))+INDEX('PROPERTIES'!$G$5:$G$404,MATCH(E210,'PROPERTIES'!$B$5:$B$404,0))*INDEX('PRICING'!$D$7:$D$16,MATCH(F210,'PRICING'!$A$7:$A$16,0))/60+INDEX('PROPERTIES'!$H$5:$H$404,MATCH(E210,'PROPERTIES'!$B$5:$B$404,0))*INDEX('PRICING'!$E$7:$E$16,MATCH(F210,'PRICING'!$A$7:$A$16,0))/60+INDEX('PRICING'!$F$7:$F$16,MATCH(F210,'PRICING'!$A$7:$A$16,0))/60),2)),""))</f>
        <v/>
      </c>
      <c r="R210" s="97">
        <f>IF(B210="","",IF(N(K210)&gt;0,K210,IF(N(J210)&gt;0,J210,N(Q210))))</f>
        <v/>
      </c>
      <c r="S210" s="55">
        <f>IF(L210="","",ROUND(L210*(1+N(M210)),2))</f>
        <v/>
      </c>
      <c r="T210" s="55">
        <f>IF(B210="","",SUMIFS('REVENUE'!$C$5:$C$1504,'REVENUE'!$B$5:$B$1504,A210))</f>
        <v/>
      </c>
      <c r="U210" s="55">
        <f>IF(B210="","",IF(O210="Completed",MAX(0,N(S210)-T210),""))</f>
        <v/>
      </c>
      <c r="V210" s="49">
        <f>IF(B210="","",IF(O210&lt;&gt;"Completed",IF(T210&gt;0,"Deposit","—"),IF(U210&lt;=0.005,"Paid",IF(T210&gt;0,"Partial","Unpaid"))))</f>
        <v/>
      </c>
      <c r="W210" s="55">
        <f>IF(B210="","",IFERROR(1/(1/INDEX('STAFF &amp; TASKS'!$C$5:$C$24,MATCH(H210,'STAFF &amp; TASKS'!$A$5:$A$24,0))),PayRate))</f>
        <v/>
      </c>
      <c r="X210" s="55">
        <f>IF(B210="","",IF(OR(O210="Cancelled",O210="No-Show"),"",ROUND(R210*W210*(1+Burden),2)))</f>
        <v/>
      </c>
      <c r="Y210" s="55">
        <f>IF(B210="","",IF(OR(O210="Cancelled",O210="No-Show"),"",IF(N210&lt;&gt;"",N210,ROUND(R210*SupHr*IFERROR(INDEX('PRICING'!$G$7:$G$16,MATCH(F210,'PRICING'!$A$7:$A$16,0)),1),2))))</f>
        <v/>
      </c>
      <c r="Z210" s="98">
        <f>IF(B210="","",SUMIFS('MILEAGE'!$J$5:$J$1504,'MILEAGE'!$B$5:$B$1504,A210))</f>
        <v/>
      </c>
      <c r="AA210" s="55">
        <f>IF(B210="","",ROUND(Z210*MileRate,2))</f>
        <v/>
      </c>
      <c r="AB210" s="55">
        <f>IF(B210="","",SUMIFS('REVENUE'!$J$5:$J$1504,'REVENUE'!$B$5:$B$1504,A210))</f>
        <v/>
      </c>
      <c r="AC210" s="55">
        <f>IF(L210="","",IF(OR(O210="Cancelled",O210="No-Show"),"",L210-N(X210)-N(Y210)-AA210-AB210))</f>
        <v/>
      </c>
      <c r="AD210" s="99">
        <f>IF(OR(AC210="",N(L210)=0),"",AC210/L210)</f>
        <v/>
      </c>
      <c r="AE210" s="55">
        <f>IF(OR(AC210="",N(R210)=0),"",L210/R210)</f>
        <v/>
      </c>
      <c r="AF210" s="100">
        <f>IF(OR(N(K210)=0,N(J210)+N(Q210)=0),"",K210-IF(N(J210)&gt;0,J210,Q210))</f>
        <v/>
      </c>
      <c r="AG210" s="99">
        <f>IF(B210="","",IFERROR(AVERAGEIFS('QUALITY CONTROL'!$M$5:$M$304,'QUALITY CONTROL'!$B$5:$B$304,A210),""))</f>
        <v/>
      </c>
      <c r="AH210" s="51">
        <f>IF(B210="","",DATE(YEAR(B210),MONTH(B210),1))</f>
        <v/>
      </c>
      <c r="AI210" s="49">
        <f>IF(D210="","",IFERROR(INDEX('CUSTOMERS'!$E$5:$E$404,MATCH(D210,'CUSTOMERS'!$B$5:$B$404,0)),""))</f>
        <v/>
      </c>
      <c r="AJ210" s="49">
        <f>IF(B210="","",N(C210))</f>
        <v/>
      </c>
      <c r="AK210" s="49">
        <f>IF(OR(B210="",O210="Cancelled",O210="Rescheduled"),"",B210&amp;"|"&amp;(COUNTIFS('JOBS'!$B$5:$B$1504,B210,'JOBS'!$AJ$5:$AJ$1504,"&lt;"&amp;AJ210,'JOBS'!$O$5:$O$1504,"&lt;&gt;Cancelled",'JOBS'!$O$5:$O$1504,"&lt;&gt;Rescheduled")+COUNTIFS($B$5:B210,B210,$AJ$5:AJ210,AJ210,$O$5:O210,"&lt;&gt;Cancelled",$O$5:O210,"&lt;&gt;Rescheduled")))</f>
        <v/>
      </c>
      <c r="AL210" s="49">
        <f>IF(N(U210)&lt;=0.005,"",COUNTIFS('JOBS'!$U$5:$U$1504,"&gt;0.005",'JOBS'!$B$5:$B$1504,"&lt;"&amp;B210)+COUNTIFS($U$5:U210,"&gt;0.005",$B$5:B210,B210))</f>
        <v/>
      </c>
    </row>
    <row r="211">
      <c r="A211" s="46" t="inlineStr">
        <is>
          <t>J-0207</t>
        </is>
      </c>
      <c r="B211" s="47" t="n">
        <v>46224</v>
      </c>
      <c r="C211" s="94" t="n">
        <v>0.4166666666666667</v>
      </c>
      <c r="D211" s="38" t="inlineStr">
        <is>
          <t>Lane Ivers</t>
        </is>
      </c>
      <c r="E211" s="38" t="inlineStr">
        <is>
          <t>497 Aspen Drive, Sampletown</t>
        </is>
      </c>
      <c r="F211" s="38" t="inlineStr">
        <is>
          <t>Standard Clean</t>
        </is>
      </c>
      <c r="G211" s="38" t="inlineStr">
        <is>
          <t>R-001</t>
        </is>
      </c>
      <c r="H211" s="38" t="inlineStr">
        <is>
          <t>Maria Lopez</t>
        </is>
      </c>
      <c r="I211" s="57" t="n">
        <v>1</v>
      </c>
      <c r="J211" s="95" t="n"/>
      <c r="K211" s="95" t="n">
        <v>4.46</v>
      </c>
      <c r="L211" s="48" t="n">
        <v>175</v>
      </c>
      <c r="M211" s="96" t="n">
        <v>0</v>
      </c>
      <c r="N211" s="48" t="n"/>
      <c r="O211" s="38" t="inlineStr">
        <is>
          <t>Completed</t>
        </is>
      </c>
      <c r="P211" s="38" t="inlineStr"/>
      <c r="Q211" s="97">
        <f>IF(OR(F211="",E211=""),"",IFERROR(IF(INDEX('PROPERTIES'!$F$5:$F$404,MATCH(E211,'PROPERTIES'!$B$5:$B$404,0))=0,"",ROUND((INDEX('PROPERTIES'!$F$5:$F$404,MATCH(E211,'PROPERTIES'!$B$5:$B$404,0))/INDEX('PRICING'!$C$7:$C$16,MATCH(F211,'PRICING'!$A$7:$A$16,0))+INDEX('PROPERTIES'!$G$5:$G$404,MATCH(E211,'PROPERTIES'!$B$5:$B$404,0))*INDEX('PRICING'!$D$7:$D$16,MATCH(F211,'PRICING'!$A$7:$A$16,0))/60+INDEX('PROPERTIES'!$H$5:$H$404,MATCH(E211,'PROPERTIES'!$B$5:$B$404,0))*INDEX('PRICING'!$E$7:$E$16,MATCH(F211,'PRICING'!$A$7:$A$16,0))/60+INDEX('PRICING'!$F$7:$F$16,MATCH(F211,'PRICING'!$A$7:$A$16,0))/60),2)),""))</f>
        <v/>
      </c>
      <c r="R211" s="97">
        <f>IF(B211="","",IF(N(K211)&gt;0,K211,IF(N(J211)&gt;0,J211,N(Q211))))</f>
        <v/>
      </c>
      <c r="S211" s="55">
        <f>IF(L211="","",ROUND(L211*(1+N(M211)),2))</f>
        <v/>
      </c>
      <c r="T211" s="55">
        <f>IF(B211="","",SUMIFS('REVENUE'!$C$5:$C$1504,'REVENUE'!$B$5:$B$1504,A211))</f>
        <v/>
      </c>
      <c r="U211" s="55">
        <f>IF(B211="","",IF(O211="Completed",MAX(0,N(S211)-T211),""))</f>
        <v/>
      </c>
      <c r="V211" s="49">
        <f>IF(B211="","",IF(O211&lt;&gt;"Completed",IF(T211&gt;0,"Deposit","—"),IF(U211&lt;=0.005,"Paid",IF(T211&gt;0,"Partial","Unpaid"))))</f>
        <v/>
      </c>
      <c r="W211" s="55">
        <f>IF(B211="","",IFERROR(1/(1/INDEX('STAFF &amp; TASKS'!$C$5:$C$24,MATCH(H211,'STAFF &amp; TASKS'!$A$5:$A$24,0))),PayRate))</f>
        <v/>
      </c>
      <c r="X211" s="55">
        <f>IF(B211="","",IF(OR(O211="Cancelled",O211="No-Show"),"",ROUND(R211*W211*(1+Burden),2)))</f>
        <v/>
      </c>
      <c r="Y211" s="55">
        <f>IF(B211="","",IF(OR(O211="Cancelled",O211="No-Show"),"",IF(N211&lt;&gt;"",N211,ROUND(R211*SupHr*IFERROR(INDEX('PRICING'!$G$7:$G$16,MATCH(F211,'PRICING'!$A$7:$A$16,0)),1),2))))</f>
        <v/>
      </c>
      <c r="Z211" s="98">
        <f>IF(B211="","",SUMIFS('MILEAGE'!$J$5:$J$1504,'MILEAGE'!$B$5:$B$1504,A211))</f>
        <v/>
      </c>
      <c r="AA211" s="55">
        <f>IF(B211="","",ROUND(Z211*MileRate,2))</f>
        <v/>
      </c>
      <c r="AB211" s="55">
        <f>IF(B211="","",SUMIFS('REVENUE'!$J$5:$J$1504,'REVENUE'!$B$5:$B$1504,A211))</f>
        <v/>
      </c>
      <c r="AC211" s="55">
        <f>IF(L211="","",IF(OR(O211="Cancelled",O211="No-Show"),"",L211-N(X211)-N(Y211)-AA211-AB211))</f>
        <v/>
      </c>
      <c r="AD211" s="99">
        <f>IF(OR(AC211="",N(L211)=0),"",AC211/L211)</f>
        <v/>
      </c>
      <c r="AE211" s="55">
        <f>IF(OR(AC211="",N(R211)=0),"",L211/R211)</f>
        <v/>
      </c>
      <c r="AF211" s="100">
        <f>IF(OR(N(K211)=0,N(J211)+N(Q211)=0),"",K211-IF(N(J211)&gt;0,J211,Q211))</f>
        <v/>
      </c>
      <c r="AG211" s="99">
        <f>IF(B211="","",IFERROR(AVERAGEIFS('QUALITY CONTROL'!$M$5:$M$304,'QUALITY CONTROL'!$B$5:$B$304,A211),""))</f>
        <v/>
      </c>
      <c r="AH211" s="51">
        <f>IF(B211="","",DATE(YEAR(B211),MONTH(B211),1))</f>
        <v/>
      </c>
      <c r="AI211" s="49">
        <f>IF(D211="","",IFERROR(INDEX('CUSTOMERS'!$E$5:$E$404,MATCH(D211,'CUSTOMERS'!$B$5:$B$404,0)),""))</f>
        <v/>
      </c>
      <c r="AJ211" s="49">
        <f>IF(B211="","",N(C211))</f>
        <v/>
      </c>
      <c r="AK211" s="49">
        <f>IF(OR(B211="",O211="Cancelled",O211="Rescheduled"),"",B211&amp;"|"&amp;(COUNTIFS('JOBS'!$B$5:$B$1504,B211,'JOBS'!$AJ$5:$AJ$1504,"&lt;"&amp;AJ211,'JOBS'!$O$5:$O$1504,"&lt;&gt;Cancelled",'JOBS'!$O$5:$O$1504,"&lt;&gt;Rescheduled")+COUNTIFS($B$5:B211,B211,$AJ$5:AJ211,AJ211,$O$5:O211,"&lt;&gt;Cancelled",$O$5:O211,"&lt;&gt;Rescheduled")))</f>
        <v/>
      </c>
      <c r="AL211" s="49">
        <f>IF(N(U211)&lt;=0.005,"",COUNTIFS('JOBS'!$U$5:$U$1504,"&gt;0.005",'JOBS'!$B$5:$B$1504,"&lt;"&amp;B211)+COUNTIFS($U$5:U211,"&gt;0.005",$B$5:B211,B211))</f>
        <v/>
      </c>
    </row>
    <row r="212">
      <c r="A212" s="46" t="inlineStr">
        <is>
          <t>J-0208</t>
        </is>
      </c>
      <c r="B212" s="47" t="n">
        <v>46225</v>
      </c>
      <c r="C212" s="94" t="n">
        <v>0.3333333333333333</v>
      </c>
      <c r="D212" s="38" t="inlineStr">
        <is>
          <t>Logan Porter</t>
        </is>
      </c>
      <c r="E212" s="38" t="inlineStr">
        <is>
          <t>675 Aspen Drive, Lakeview (fictional)</t>
        </is>
      </c>
      <c r="F212" s="38" t="inlineStr">
        <is>
          <t>Standard Clean</t>
        </is>
      </c>
      <c r="G212" s="38" t="inlineStr">
        <is>
          <t>R-002</t>
        </is>
      </c>
      <c r="H212" s="38" t="inlineStr">
        <is>
          <t>Dana Whitfield</t>
        </is>
      </c>
      <c r="I212" s="57" t="n">
        <v>1</v>
      </c>
      <c r="J212" s="95" t="n"/>
      <c r="K212" s="95" t="n">
        <v>5.01</v>
      </c>
      <c r="L212" s="48" t="n">
        <v>220</v>
      </c>
      <c r="M212" s="96" t="n">
        <v>0</v>
      </c>
      <c r="N212" s="48" t="n"/>
      <c r="O212" s="38" t="inlineStr">
        <is>
          <t>Completed</t>
        </is>
      </c>
      <c r="P212" s="38" t="inlineStr"/>
      <c r="Q212" s="97">
        <f>IF(OR(F212="",E212=""),"",IFERROR(IF(INDEX('PROPERTIES'!$F$5:$F$404,MATCH(E212,'PROPERTIES'!$B$5:$B$404,0))=0,"",ROUND((INDEX('PROPERTIES'!$F$5:$F$404,MATCH(E212,'PROPERTIES'!$B$5:$B$404,0))/INDEX('PRICING'!$C$7:$C$16,MATCH(F212,'PRICING'!$A$7:$A$16,0))+INDEX('PROPERTIES'!$G$5:$G$404,MATCH(E212,'PROPERTIES'!$B$5:$B$404,0))*INDEX('PRICING'!$D$7:$D$16,MATCH(F212,'PRICING'!$A$7:$A$16,0))/60+INDEX('PROPERTIES'!$H$5:$H$404,MATCH(E212,'PROPERTIES'!$B$5:$B$404,0))*INDEX('PRICING'!$E$7:$E$16,MATCH(F212,'PRICING'!$A$7:$A$16,0))/60+INDEX('PRICING'!$F$7:$F$16,MATCH(F212,'PRICING'!$A$7:$A$16,0))/60),2)),""))</f>
        <v/>
      </c>
      <c r="R212" s="97">
        <f>IF(B212="","",IF(N(K212)&gt;0,K212,IF(N(J212)&gt;0,J212,N(Q212))))</f>
        <v/>
      </c>
      <c r="S212" s="55">
        <f>IF(L212="","",ROUND(L212*(1+N(M212)),2))</f>
        <v/>
      </c>
      <c r="T212" s="55">
        <f>IF(B212="","",SUMIFS('REVENUE'!$C$5:$C$1504,'REVENUE'!$B$5:$B$1504,A212))</f>
        <v/>
      </c>
      <c r="U212" s="55">
        <f>IF(B212="","",IF(O212="Completed",MAX(0,N(S212)-T212),""))</f>
        <v/>
      </c>
      <c r="V212" s="49">
        <f>IF(B212="","",IF(O212&lt;&gt;"Completed",IF(T212&gt;0,"Deposit","—"),IF(U212&lt;=0.005,"Paid",IF(T212&gt;0,"Partial","Unpaid"))))</f>
        <v/>
      </c>
      <c r="W212" s="55">
        <f>IF(B212="","",IFERROR(1/(1/INDEX('STAFF &amp; TASKS'!$C$5:$C$24,MATCH(H212,'STAFF &amp; TASKS'!$A$5:$A$24,0))),PayRate))</f>
        <v/>
      </c>
      <c r="X212" s="55">
        <f>IF(B212="","",IF(OR(O212="Cancelled",O212="No-Show"),"",ROUND(R212*W212*(1+Burden),2)))</f>
        <v/>
      </c>
      <c r="Y212" s="55">
        <f>IF(B212="","",IF(OR(O212="Cancelled",O212="No-Show"),"",IF(N212&lt;&gt;"",N212,ROUND(R212*SupHr*IFERROR(INDEX('PRICING'!$G$7:$G$16,MATCH(F212,'PRICING'!$A$7:$A$16,0)),1),2))))</f>
        <v/>
      </c>
      <c r="Z212" s="98">
        <f>IF(B212="","",SUMIFS('MILEAGE'!$J$5:$J$1504,'MILEAGE'!$B$5:$B$1504,A212))</f>
        <v/>
      </c>
      <c r="AA212" s="55">
        <f>IF(B212="","",ROUND(Z212*MileRate,2))</f>
        <v/>
      </c>
      <c r="AB212" s="55">
        <f>IF(B212="","",SUMIFS('REVENUE'!$J$5:$J$1504,'REVENUE'!$B$5:$B$1504,A212))</f>
        <v/>
      </c>
      <c r="AC212" s="55">
        <f>IF(L212="","",IF(OR(O212="Cancelled",O212="No-Show"),"",L212-N(X212)-N(Y212)-AA212-AB212))</f>
        <v/>
      </c>
      <c r="AD212" s="99">
        <f>IF(OR(AC212="",N(L212)=0),"",AC212/L212)</f>
        <v/>
      </c>
      <c r="AE212" s="55">
        <f>IF(OR(AC212="",N(R212)=0),"",L212/R212)</f>
        <v/>
      </c>
      <c r="AF212" s="100">
        <f>IF(OR(N(K212)=0,N(J212)+N(Q212)=0),"",K212-IF(N(J212)&gt;0,J212,Q212))</f>
        <v/>
      </c>
      <c r="AG212" s="99">
        <f>IF(B212="","",IFERROR(AVERAGEIFS('QUALITY CONTROL'!$M$5:$M$304,'QUALITY CONTROL'!$B$5:$B$304,A212),""))</f>
        <v/>
      </c>
      <c r="AH212" s="51">
        <f>IF(B212="","",DATE(YEAR(B212),MONTH(B212),1))</f>
        <v/>
      </c>
      <c r="AI212" s="49">
        <f>IF(D212="","",IFERROR(INDEX('CUSTOMERS'!$E$5:$E$404,MATCH(D212,'CUSTOMERS'!$B$5:$B$404,0)),""))</f>
        <v/>
      </c>
      <c r="AJ212" s="49">
        <f>IF(B212="","",N(C212))</f>
        <v/>
      </c>
      <c r="AK212" s="49">
        <f>IF(OR(B212="",O212="Cancelled",O212="Rescheduled"),"",B212&amp;"|"&amp;(COUNTIFS('JOBS'!$B$5:$B$1504,B212,'JOBS'!$AJ$5:$AJ$1504,"&lt;"&amp;AJ212,'JOBS'!$O$5:$O$1504,"&lt;&gt;Cancelled",'JOBS'!$O$5:$O$1504,"&lt;&gt;Rescheduled")+COUNTIFS($B$5:B212,B212,$AJ$5:AJ212,AJ212,$O$5:O212,"&lt;&gt;Cancelled",$O$5:O212,"&lt;&gt;Rescheduled")))</f>
        <v/>
      </c>
      <c r="AL212" s="49">
        <f>IF(N(U212)&lt;=0.005,"",COUNTIFS('JOBS'!$U$5:$U$1504,"&gt;0.005",'JOBS'!$B$5:$B$1504,"&lt;"&amp;B212)+COUNTIFS($U$5:U212,"&gt;0.005",$B$5:B212,B212))</f>
        <v/>
      </c>
    </row>
    <row r="213">
      <c r="A213" s="46" t="inlineStr">
        <is>
          <t>J-0209</t>
        </is>
      </c>
      <c r="B213" s="47" t="n">
        <v>46227</v>
      </c>
      <c r="C213" s="94" t="n">
        <v>0.3333333333333333</v>
      </c>
      <c r="D213" s="38" t="inlineStr">
        <is>
          <t>Devon Hayes</t>
        </is>
      </c>
      <c r="E213" s="38" t="inlineStr">
        <is>
          <t>461 Hawthorn Road, Lakeview (fictional)</t>
        </is>
      </c>
      <c r="F213" s="38" t="inlineStr">
        <is>
          <t>Standard Clean</t>
        </is>
      </c>
      <c r="G213" s="38" t="inlineStr">
        <is>
          <t>R-003</t>
        </is>
      </c>
      <c r="H213" s="38" t="inlineStr">
        <is>
          <t>Maria Lopez</t>
        </is>
      </c>
      <c r="I213" s="57" t="n">
        <v>1</v>
      </c>
      <c r="J213" s="95" t="n"/>
      <c r="K213" s="95" t="n">
        <v>4.31</v>
      </c>
      <c r="L213" s="48" t="n">
        <v>220</v>
      </c>
      <c r="M213" s="96" t="n">
        <v>0</v>
      </c>
      <c r="N213" s="48" t="n"/>
      <c r="O213" s="38" t="inlineStr">
        <is>
          <t>Completed</t>
        </is>
      </c>
      <c r="P213" s="38" t="inlineStr"/>
      <c r="Q213" s="97">
        <f>IF(OR(F213="",E213=""),"",IFERROR(IF(INDEX('PROPERTIES'!$F$5:$F$404,MATCH(E213,'PROPERTIES'!$B$5:$B$404,0))=0,"",ROUND((INDEX('PROPERTIES'!$F$5:$F$404,MATCH(E213,'PROPERTIES'!$B$5:$B$404,0))/INDEX('PRICING'!$C$7:$C$16,MATCH(F213,'PRICING'!$A$7:$A$16,0))+INDEX('PROPERTIES'!$G$5:$G$404,MATCH(E213,'PROPERTIES'!$B$5:$B$404,0))*INDEX('PRICING'!$D$7:$D$16,MATCH(F213,'PRICING'!$A$7:$A$16,0))/60+INDEX('PROPERTIES'!$H$5:$H$404,MATCH(E213,'PROPERTIES'!$B$5:$B$404,0))*INDEX('PRICING'!$E$7:$E$16,MATCH(F213,'PRICING'!$A$7:$A$16,0))/60+INDEX('PRICING'!$F$7:$F$16,MATCH(F213,'PRICING'!$A$7:$A$16,0))/60),2)),""))</f>
        <v/>
      </c>
      <c r="R213" s="97">
        <f>IF(B213="","",IF(N(K213)&gt;0,K213,IF(N(J213)&gt;0,J213,N(Q213))))</f>
        <v/>
      </c>
      <c r="S213" s="55">
        <f>IF(L213="","",ROUND(L213*(1+N(M213)),2))</f>
        <v/>
      </c>
      <c r="T213" s="55">
        <f>IF(B213="","",SUMIFS('REVENUE'!$C$5:$C$1504,'REVENUE'!$B$5:$B$1504,A213))</f>
        <v/>
      </c>
      <c r="U213" s="55">
        <f>IF(B213="","",IF(O213="Completed",MAX(0,N(S213)-T213),""))</f>
        <v/>
      </c>
      <c r="V213" s="49">
        <f>IF(B213="","",IF(O213&lt;&gt;"Completed",IF(T213&gt;0,"Deposit","—"),IF(U213&lt;=0.005,"Paid",IF(T213&gt;0,"Partial","Unpaid"))))</f>
        <v/>
      </c>
      <c r="W213" s="55">
        <f>IF(B213="","",IFERROR(1/(1/INDEX('STAFF &amp; TASKS'!$C$5:$C$24,MATCH(H213,'STAFF &amp; TASKS'!$A$5:$A$24,0))),PayRate))</f>
        <v/>
      </c>
      <c r="X213" s="55">
        <f>IF(B213="","",IF(OR(O213="Cancelled",O213="No-Show"),"",ROUND(R213*W213*(1+Burden),2)))</f>
        <v/>
      </c>
      <c r="Y213" s="55">
        <f>IF(B213="","",IF(OR(O213="Cancelled",O213="No-Show"),"",IF(N213&lt;&gt;"",N213,ROUND(R213*SupHr*IFERROR(INDEX('PRICING'!$G$7:$G$16,MATCH(F213,'PRICING'!$A$7:$A$16,0)),1),2))))</f>
        <v/>
      </c>
      <c r="Z213" s="98">
        <f>IF(B213="","",SUMIFS('MILEAGE'!$J$5:$J$1504,'MILEAGE'!$B$5:$B$1504,A213))</f>
        <v/>
      </c>
      <c r="AA213" s="55">
        <f>IF(B213="","",ROUND(Z213*MileRate,2))</f>
        <v/>
      </c>
      <c r="AB213" s="55">
        <f>IF(B213="","",SUMIFS('REVENUE'!$J$5:$J$1504,'REVENUE'!$B$5:$B$1504,A213))</f>
        <v/>
      </c>
      <c r="AC213" s="55">
        <f>IF(L213="","",IF(OR(O213="Cancelled",O213="No-Show"),"",L213-N(X213)-N(Y213)-AA213-AB213))</f>
        <v/>
      </c>
      <c r="AD213" s="99">
        <f>IF(OR(AC213="",N(L213)=0),"",AC213/L213)</f>
        <v/>
      </c>
      <c r="AE213" s="55">
        <f>IF(OR(AC213="",N(R213)=0),"",L213/R213)</f>
        <v/>
      </c>
      <c r="AF213" s="100">
        <f>IF(OR(N(K213)=0,N(J213)+N(Q213)=0),"",K213-IF(N(J213)&gt;0,J213,Q213))</f>
        <v/>
      </c>
      <c r="AG213" s="99">
        <f>IF(B213="","",IFERROR(AVERAGEIFS('QUALITY CONTROL'!$M$5:$M$304,'QUALITY CONTROL'!$B$5:$B$304,A213),""))</f>
        <v/>
      </c>
      <c r="AH213" s="51">
        <f>IF(B213="","",DATE(YEAR(B213),MONTH(B213),1))</f>
        <v/>
      </c>
      <c r="AI213" s="49">
        <f>IF(D213="","",IFERROR(INDEX('CUSTOMERS'!$E$5:$E$404,MATCH(D213,'CUSTOMERS'!$B$5:$B$404,0)),""))</f>
        <v/>
      </c>
      <c r="AJ213" s="49">
        <f>IF(B213="","",N(C213))</f>
        <v/>
      </c>
      <c r="AK213" s="49">
        <f>IF(OR(B213="",O213="Cancelled",O213="Rescheduled"),"",B213&amp;"|"&amp;(COUNTIFS('JOBS'!$B$5:$B$1504,B213,'JOBS'!$AJ$5:$AJ$1504,"&lt;"&amp;AJ213,'JOBS'!$O$5:$O$1504,"&lt;&gt;Cancelled",'JOBS'!$O$5:$O$1504,"&lt;&gt;Rescheduled")+COUNTIFS($B$5:B213,B213,$AJ$5:AJ213,AJ213,$O$5:O213,"&lt;&gt;Cancelled",$O$5:O213,"&lt;&gt;Rescheduled")))</f>
        <v/>
      </c>
      <c r="AL213" s="49">
        <f>IF(N(U213)&lt;=0.005,"",COUNTIFS('JOBS'!$U$5:$U$1504,"&gt;0.005",'JOBS'!$B$5:$B$1504,"&lt;"&amp;B213)+COUNTIFS($U$5:U213,"&gt;0.005",$B$5:B213,B213))</f>
        <v/>
      </c>
    </row>
    <row r="214">
      <c r="A214" s="46" t="inlineStr">
        <is>
          <t>J-0210</t>
        </is>
      </c>
      <c r="B214" s="47" t="n">
        <v>46227</v>
      </c>
      <c r="C214" s="94" t="n">
        <v>0.3541666666666667</v>
      </c>
      <c r="D214" s="38" t="inlineStr">
        <is>
          <t>Parker Lockhart</t>
        </is>
      </c>
      <c r="E214" s="38" t="inlineStr">
        <is>
          <t>412 Linden Place, Sampletown</t>
        </is>
      </c>
      <c r="F214" s="38" t="inlineStr">
        <is>
          <t>Airbnb Turnover</t>
        </is>
      </c>
      <c r="G214" s="38" t="n"/>
      <c r="H214" s="38" t="inlineStr">
        <is>
          <t>Kevin Osei</t>
        </is>
      </c>
      <c r="I214" s="57" t="n">
        <v>1</v>
      </c>
      <c r="J214" s="95" t="n"/>
      <c r="K214" s="95" t="n">
        <v>2.04</v>
      </c>
      <c r="L214" s="48" t="n">
        <v>150</v>
      </c>
      <c r="M214" s="96" t="n">
        <v>0</v>
      </c>
      <c r="N214" s="48" t="n"/>
      <c r="O214" s="38" t="inlineStr">
        <is>
          <t>Completed</t>
        </is>
      </c>
      <c r="P214" s="38" t="inlineStr">
        <is>
          <t>Includes laundry</t>
        </is>
      </c>
      <c r="Q214" s="97">
        <f>IF(OR(F214="",E214=""),"",IFERROR(IF(INDEX('PROPERTIES'!$F$5:$F$404,MATCH(E214,'PROPERTIES'!$B$5:$B$404,0))=0,"",ROUND((INDEX('PROPERTIES'!$F$5:$F$404,MATCH(E214,'PROPERTIES'!$B$5:$B$404,0))/INDEX('PRICING'!$C$7:$C$16,MATCH(F214,'PRICING'!$A$7:$A$16,0))+INDEX('PROPERTIES'!$G$5:$G$404,MATCH(E214,'PROPERTIES'!$B$5:$B$404,0))*INDEX('PRICING'!$D$7:$D$16,MATCH(F214,'PRICING'!$A$7:$A$16,0))/60+INDEX('PROPERTIES'!$H$5:$H$404,MATCH(E214,'PROPERTIES'!$B$5:$B$404,0))*INDEX('PRICING'!$E$7:$E$16,MATCH(F214,'PRICING'!$A$7:$A$16,0))/60+INDEX('PRICING'!$F$7:$F$16,MATCH(F214,'PRICING'!$A$7:$A$16,0))/60),2)),""))</f>
        <v/>
      </c>
      <c r="R214" s="97">
        <f>IF(B214="","",IF(N(K214)&gt;0,K214,IF(N(J214)&gt;0,J214,N(Q214))))</f>
        <v/>
      </c>
      <c r="S214" s="55">
        <f>IF(L214="","",ROUND(L214*(1+N(M214)),2))</f>
        <v/>
      </c>
      <c r="T214" s="55">
        <f>IF(B214="","",SUMIFS('REVENUE'!$C$5:$C$1504,'REVENUE'!$B$5:$B$1504,A214))</f>
        <v/>
      </c>
      <c r="U214" s="55">
        <f>IF(B214="","",IF(O214="Completed",MAX(0,N(S214)-T214),""))</f>
        <v/>
      </c>
      <c r="V214" s="49">
        <f>IF(B214="","",IF(O214&lt;&gt;"Completed",IF(T214&gt;0,"Deposit","—"),IF(U214&lt;=0.005,"Paid",IF(T214&gt;0,"Partial","Unpaid"))))</f>
        <v/>
      </c>
      <c r="W214" s="55">
        <f>IF(B214="","",IFERROR(1/(1/INDEX('STAFF &amp; TASKS'!$C$5:$C$24,MATCH(H214,'STAFF &amp; TASKS'!$A$5:$A$24,0))),PayRate))</f>
        <v/>
      </c>
      <c r="X214" s="55">
        <f>IF(B214="","",IF(OR(O214="Cancelled",O214="No-Show"),"",ROUND(R214*W214*(1+Burden),2)))</f>
        <v/>
      </c>
      <c r="Y214" s="55">
        <f>IF(B214="","",IF(OR(O214="Cancelled",O214="No-Show"),"",IF(N214&lt;&gt;"",N214,ROUND(R214*SupHr*IFERROR(INDEX('PRICING'!$G$7:$G$16,MATCH(F214,'PRICING'!$A$7:$A$16,0)),1),2))))</f>
        <v/>
      </c>
      <c r="Z214" s="98">
        <f>IF(B214="","",SUMIFS('MILEAGE'!$J$5:$J$1504,'MILEAGE'!$B$5:$B$1504,A214))</f>
        <v/>
      </c>
      <c r="AA214" s="55">
        <f>IF(B214="","",ROUND(Z214*MileRate,2))</f>
        <v/>
      </c>
      <c r="AB214" s="55">
        <f>IF(B214="","",SUMIFS('REVENUE'!$J$5:$J$1504,'REVENUE'!$B$5:$B$1504,A214))</f>
        <v/>
      </c>
      <c r="AC214" s="55">
        <f>IF(L214="","",IF(OR(O214="Cancelled",O214="No-Show"),"",L214-N(X214)-N(Y214)-AA214-AB214))</f>
        <v/>
      </c>
      <c r="AD214" s="99">
        <f>IF(OR(AC214="",N(L214)=0),"",AC214/L214)</f>
        <v/>
      </c>
      <c r="AE214" s="55">
        <f>IF(OR(AC214="",N(R214)=0),"",L214/R214)</f>
        <v/>
      </c>
      <c r="AF214" s="100">
        <f>IF(OR(N(K214)=0,N(J214)+N(Q214)=0),"",K214-IF(N(J214)&gt;0,J214,Q214))</f>
        <v/>
      </c>
      <c r="AG214" s="99">
        <f>IF(B214="","",IFERROR(AVERAGEIFS('QUALITY CONTROL'!$M$5:$M$304,'QUALITY CONTROL'!$B$5:$B$304,A214),""))</f>
        <v/>
      </c>
      <c r="AH214" s="51">
        <f>IF(B214="","",DATE(YEAR(B214),MONTH(B214),1))</f>
        <v/>
      </c>
      <c r="AI214" s="49">
        <f>IF(D214="","",IFERROR(INDEX('CUSTOMERS'!$E$5:$E$404,MATCH(D214,'CUSTOMERS'!$B$5:$B$404,0)),""))</f>
        <v/>
      </c>
      <c r="AJ214" s="49">
        <f>IF(B214="","",N(C214))</f>
        <v/>
      </c>
      <c r="AK214" s="49">
        <f>IF(OR(B214="",O214="Cancelled",O214="Rescheduled"),"",B214&amp;"|"&amp;(COUNTIFS('JOBS'!$B$5:$B$1504,B214,'JOBS'!$AJ$5:$AJ$1504,"&lt;"&amp;AJ214,'JOBS'!$O$5:$O$1504,"&lt;&gt;Cancelled",'JOBS'!$O$5:$O$1504,"&lt;&gt;Rescheduled")+COUNTIFS($B$5:B214,B214,$AJ$5:AJ214,AJ214,$O$5:O214,"&lt;&gt;Cancelled",$O$5:O214,"&lt;&gt;Rescheduled")))</f>
        <v/>
      </c>
      <c r="AL214" s="49">
        <f>IF(N(U214)&lt;=0.005,"",COUNTIFS('JOBS'!$U$5:$U$1504,"&gt;0.005",'JOBS'!$B$5:$B$1504,"&lt;"&amp;B214)+COUNTIFS($U$5:U214,"&gt;0.005",$B$5:B214,B214))</f>
        <v/>
      </c>
    </row>
    <row r="215">
      <c r="A215" s="46" t="inlineStr">
        <is>
          <t>J-0211</t>
        </is>
      </c>
      <c r="B215" s="47" t="n">
        <v>46227</v>
      </c>
      <c r="C215" s="94" t="n">
        <v>0.4791666666666667</v>
      </c>
      <c r="D215" s="38" t="inlineStr">
        <is>
          <t>Oakview Office Suites (sample)</t>
        </is>
      </c>
      <c r="E215" s="38" t="inlineStr">
        <is>
          <t>957 Hawthorn Road, North Sampletown</t>
        </is>
      </c>
      <c r="F215" s="38" t="inlineStr">
        <is>
          <t>Commercial Clean</t>
        </is>
      </c>
      <c r="G215" s="38" t="inlineStr">
        <is>
          <t>R-012</t>
        </is>
      </c>
      <c r="H215" s="38" t="inlineStr">
        <is>
          <t>Kevin Osei</t>
        </is>
      </c>
      <c r="I215" s="57" t="n">
        <v>2</v>
      </c>
      <c r="J215" s="95" t="n"/>
      <c r="K215" s="95" t="n">
        <v>3.76</v>
      </c>
      <c r="L215" s="48" t="n">
        <v>140</v>
      </c>
      <c r="M215" s="96" t="n">
        <v>0</v>
      </c>
      <c r="N215" s="48" t="n"/>
      <c r="O215" s="38" t="inlineStr">
        <is>
          <t>Completed</t>
        </is>
      </c>
      <c r="P215" s="38" t="inlineStr"/>
      <c r="Q215" s="97">
        <f>IF(OR(F215="",E215=""),"",IFERROR(IF(INDEX('PROPERTIES'!$F$5:$F$404,MATCH(E215,'PROPERTIES'!$B$5:$B$404,0))=0,"",ROUND((INDEX('PROPERTIES'!$F$5:$F$404,MATCH(E215,'PROPERTIES'!$B$5:$B$404,0))/INDEX('PRICING'!$C$7:$C$16,MATCH(F215,'PRICING'!$A$7:$A$16,0))+INDEX('PROPERTIES'!$G$5:$G$404,MATCH(E215,'PROPERTIES'!$B$5:$B$404,0))*INDEX('PRICING'!$D$7:$D$16,MATCH(F215,'PRICING'!$A$7:$A$16,0))/60+INDEX('PROPERTIES'!$H$5:$H$404,MATCH(E215,'PROPERTIES'!$B$5:$B$404,0))*INDEX('PRICING'!$E$7:$E$16,MATCH(F215,'PRICING'!$A$7:$A$16,0))/60+INDEX('PRICING'!$F$7:$F$16,MATCH(F215,'PRICING'!$A$7:$A$16,0))/60),2)),""))</f>
        <v/>
      </c>
      <c r="R215" s="97">
        <f>IF(B215="","",IF(N(K215)&gt;0,K215,IF(N(J215)&gt;0,J215,N(Q215))))</f>
        <v/>
      </c>
      <c r="S215" s="55">
        <f>IF(L215="","",ROUND(L215*(1+N(M215)),2))</f>
        <v/>
      </c>
      <c r="T215" s="55">
        <f>IF(B215="","",SUMIFS('REVENUE'!$C$5:$C$1504,'REVENUE'!$B$5:$B$1504,A215))</f>
        <v/>
      </c>
      <c r="U215" s="55">
        <f>IF(B215="","",IF(O215="Completed",MAX(0,N(S215)-T215),""))</f>
        <v/>
      </c>
      <c r="V215" s="49">
        <f>IF(B215="","",IF(O215&lt;&gt;"Completed",IF(T215&gt;0,"Deposit","—"),IF(U215&lt;=0.005,"Paid",IF(T215&gt;0,"Partial","Unpaid"))))</f>
        <v/>
      </c>
      <c r="W215" s="55">
        <f>IF(B215="","",IFERROR(1/(1/INDEX('STAFF &amp; TASKS'!$C$5:$C$24,MATCH(H215,'STAFF &amp; TASKS'!$A$5:$A$24,0))),PayRate))</f>
        <v/>
      </c>
      <c r="X215" s="55">
        <f>IF(B215="","",IF(OR(O215="Cancelled",O215="No-Show"),"",ROUND(R215*W215*(1+Burden),2)))</f>
        <v/>
      </c>
      <c r="Y215" s="55">
        <f>IF(B215="","",IF(OR(O215="Cancelled",O215="No-Show"),"",IF(N215&lt;&gt;"",N215,ROUND(R215*SupHr*IFERROR(INDEX('PRICING'!$G$7:$G$16,MATCH(F215,'PRICING'!$A$7:$A$16,0)),1),2))))</f>
        <v/>
      </c>
      <c r="Z215" s="98">
        <f>IF(B215="","",SUMIFS('MILEAGE'!$J$5:$J$1504,'MILEAGE'!$B$5:$B$1504,A215))</f>
        <v/>
      </c>
      <c r="AA215" s="55">
        <f>IF(B215="","",ROUND(Z215*MileRate,2))</f>
        <v/>
      </c>
      <c r="AB215" s="55">
        <f>IF(B215="","",SUMIFS('REVENUE'!$J$5:$J$1504,'REVENUE'!$B$5:$B$1504,A215))</f>
        <v/>
      </c>
      <c r="AC215" s="55">
        <f>IF(L215="","",IF(OR(O215="Cancelled",O215="No-Show"),"",L215-N(X215)-N(Y215)-AA215-AB215))</f>
        <v/>
      </c>
      <c r="AD215" s="99">
        <f>IF(OR(AC215="",N(L215)=0),"",AC215/L215)</f>
        <v/>
      </c>
      <c r="AE215" s="55">
        <f>IF(OR(AC215="",N(R215)=0),"",L215/R215)</f>
        <v/>
      </c>
      <c r="AF215" s="100">
        <f>IF(OR(N(K215)=0,N(J215)+N(Q215)=0),"",K215-IF(N(J215)&gt;0,J215,Q215))</f>
        <v/>
      </c>
      <c r="AG215" s="99">
        <f>IF(B215="","",IFERROR(AVERAGEIFS('QUALITY CONTROL'!$M$5:$M$304,'QUALITY CONTROL'!$B$5:$B$304,A215),""))</f>
        <v/>
      </c>
      <c r="AH215" s="51">
        <f>IF(B215="","",DATE(YEAR(B215),MONTH(B215),1))</f>
        <v/>
      </c>
      <c r="AI215" s="49">
        <f>IF(D215="","",IFERROR(INDEX('CUSTOMERS'!$E$5:$E$404,MATCH(D215,'CUSTOMERS'!$B$5:$B$404,0)),""))</f>
        <v/>
      </c>
      <c r="AJ215" s="49">
        <f>IF(B215="","",N(C215))</f>
        <v/>
      </c>
      <c r="AK215" s="49">
        <f>IF(OR(B215="",O215="Cancelled",O215="Rescheduled"),"",B215&amp;"|"&amp;(COUNTIFS('JOBS'!$B$5:$B$1504,B215,'JOBS'!$AJ$5:$AJ$1504,"&lt;"&amp;AJ215,'JOBS'!$O$5:$O$1504,"&lt;&gt;Cancelled",'JOBS'!$O$5:$O$1504,"&lt;&gt;Rescheduled")+COUNTIFS($B$5:B215,B215,$AJ$5:AJ215,AJ215,$O$5:O215,"&lt;&gt;Cancelled",$O$5:O215,"&lt;&gt;Rescheduled")))</f>
        <v/>
      </c>
      <c r="AL215" s="49">
        <f>IF(N(U215)&lt;=0.005,"",COUNTIFS('JOBS'!$U$5:$U$1504,"&gt;0.005",'JOBS'!$B$5:$B$1504,"&lt;"&amp;B215)+COUNTIFS($U$5:U215,"&gt;0.005",$B$5:B215,B215))</f>
        <v/>
      </c>
    </row>
    <row r="216">
      <c r="A216" s="46" t="inlineStr">
        <is>
          <t>J-0212</t>
        </is>
      </c>
      <c r="B216" s="47" t="n">
        <v>46227</v>
      </c>
      <c r="C216" s="94" t="n">
        <v>0.5416666666666666</v>
      </c>
      <c r="D216" s="38" t="inlineStr">
        <is>
          <t>Brightside Dental Studio (sample)</t>
        </is>
      </c>
      <c r="E216" s="38" t="inlineStr">
        <is>
          <t>738 Cedar Court, North Sampletown</t>
        </is>
      </c>
      <c r="F216" s="38" t="inlineStr">
        <is>
          <t>Commercial Clean</t>
        </is>
      </c>
      <c r="G216" s="38" t="inlineStr">
        <is>
          <t>R-011</t>
        </is>
      </c>
      <c r="H216" s="38" t="inlineStr">
        <is>
          <t>Kevin Osei</t>
        </is>
      </c>
      <c r="I216" s="57" t="n">
        <v>2</v>
      </c>
      <c r="J216" s="95" t="n"/>
      <c r="K216" s="95" t="n">
        <v>1.78</v>
      </c>
      <c r="L216" s="48" t="n">
        <v>100</v>
      </c>
      <c r="M216" s="96" t="n">
        <v>0</v>
      </c>
      <c r="N216" s="48" t="n"/>
      <c r="O216" s="38" t="inlineStr">
        <is>
          <t>Completed</t>
        </is>
      </c>
      <c r="P216" s="38" t="inlineStr"/>
      <c r="Q216" s="97">
        <f>IF(OR(F216="",E216=""),"",IFERROR(IF(INDEX('PROPERTIES'!$F$5:$F$404,MATCH(E216,'PROPERTIES'!$B$5:$B$404,0))=0,"",ROUND((INDEX('PROPERTIES'!$F$5:$F$404,MATCH(E216,'PROPERTIES'!$B$5:$B$404,0))/INDEX('PRICING'!$C$7:$C$16,MATCH(F216,'PRICING'!$A$7:$A$16,0))+INDEX('PROPERTIES'!$G$5:$G$404,MATCH(E216,'PROPERTIES'!$B$5:$B$404,0))*INDEX('PRICING'!$D$7:$D$16,MATCH(F216,'PRICING'!$A$7:$A$16,0))/60+INDEX('PROPERTIES'!$H$5:$H$404,MATCH(E216,'PROPERTIES'!$B$5:$B$404,0))*INDEX('PRICING'!$E$7:$E$16,MATCH(F216,'PRICING'!$A$7:$A$16,0))/60+INDEX('PRICING'!$F$7:$F$16,MATCH(F216,'PRICING'!$A$7:$A$16,0))/60),2)),""))</f>
        <v/>
      </c>
      <c r="R216" s="97">
        <f>IF(B216="","",IF(N(K216)&gt;0,K216,IF(N(J216)&gt;0,J216,N(Q216))))</f>
        <v/>
      </c>
      <c r="S216" s="55">
        <f>IF(L216="","",ROUND(L216*(1+N(M216)),2))</f>
        <v/>
      </c>
      <c r="T216" s="55">
        <f>IF(B216="","",SUMIFS('REVENUE'!$C$5:$C$1504,'REVENUE'!$B$5:$B$1504,A216))</f>
        <v/>
      </c>
      <c r="U216" s="55">
        <f>IF(B216="","",IF(O216="Completed",MAX(0,N(S216)-T216),""))</f>
        <v/>
      </c>
      <c r="V216" s="49">
        <f>IF(B216="","",IF(O216&lt;&gt;"Completed",IF(T216&gt;0,"Deposit","—"),IF(U216&lt;=0.005,"Paid",IF(T216&gt;0,"Partial","Unpaid"))))</f>
        <v/>
      </c>
      <c r="W216" s="55">
        <f>IF(B216="","",IFERROR(1/(1/INDEX('STAFF &amp; TASKS'!$C$5:$C$24,MATCH(H216,'STAFF &amp; TASKS'!$A$5:$A$24,0))),PayRate))</f>
        <v/>
      </c>
      <c r="X216" s="55">
        <f>IF(B216="","",IF(OR(O216="Cancelled",O216="No-Show"),"",ROUND(R216*W216*(1+Burden),2)))</f>
        <v/>
      </c>
      <c r="Y216" s="55">
        <f>IF(B216="","",IF(OR(O216="Cancelled",O216="No-Show"),"",IF(N216&lt;&gt;"",N216,ROUND(R216*SupHr*IFERROR(INDEX('PRICING'!$G$7:$G$16,MATCH(F216,'PRICING'!$A$7:$A$16,0)),1),2))))</f>
        <v/>
      </c>
      <c r="Z216" s="98">
        <f>IF(B216="","",SUMIFS('MILEAGE'!$J$5:$J$1504,'MILEAGE'!$B$5:$B$1504,A216))</f>
        <v/>
      </c>
      <c r="AA216" s="55">
        <f>IF(B216="","",ROUND(Z216*MileRate,2))</f>
        <v/>
      </c>
      <c r="AB216" s="55">
        <f>IF(B216="","",SUMIFS('REVENUE'!$J$5:$J$1504,'REVENUE'!$B$5:$B$1504,A216))</f>
        <v/>
      </c>
      <c r="AC216" s="55">
        <f>IF(L216="","",IF(OR(O216="Cancelled",O216="No-Show"),"",L216-N(X216)-N(Y216)-AA216-AB216))</f>
        <v/>
      </c>
      <c r="AD216" s="99">
        <f>IF(OR(AC216="",N(L216)=0),"",AC216/L216)</f>
        <v/>
      </c>
      <c r="AE216" s="55">
        <f>IF(OR(AC216="",N(R216)=0),"",L216/R216)</f>
        <v/>
      </c>
      <c r="AF216" s="100">
        <f>IF(OR(N(K216)=0,N(J216)+N(Q216)=0),"",K216-IF(N(J216)&gt;0,J216,Q216))</f>
        <v/>
      </c>
      <c r="AG216" s="99">
        <f>IF(B216="","",IFERROR(AVERAGEIFS('QUALITY CONTROL'!$M$5:$M$304,'QUALITY CONTROL'!$B$5:$B$304,A216),""))</f>
        <v/>
      </c>
      <c r="AH216" s="51">
        <f>IF(B216="","",DATE(YEAR(B216),MONTH(B216),1))</f>
        <v/>
      </c>
      <c r="AI216" s="49">
        <f>IF(D216="","",IFERROR(INDEX('CUSTOMERS'!$E$5:$E$404,MATCH(D216,'CUSTOMERS'!$B$5:$B$404,0)),""))</f>
        <v/>
      </c>
      <c r="AJ216" s="49">
        <f>IF(B216="","",N(C216))</f>
        <v/>
      </c>
      <c r="AK216" s="49">
        <f>IF(OR(B216="",O216="Cancelled",O216="Rescheduled"),"",B216&amp;"|"&amp;(COUNTIFS('JOBS'!$B$5:$B$1504,B216,'JOBS'!$AJ$5:$AJ$1504,"&lt;"&amp;AJ216,'JOBS'!$O$5:$O$1504,"&lt;&gt;Cancelled",'JOBS'!$O$5:$O$1504,"&lt;&gt;Rescheduled")+COUNTIFS($B$5:B216,B216,$AJ$5:AJ216,AJ216,$O$5:O216,"&lt;&gt;Cancelled",$O$5:O216,"&lt;&gt;Rescheduled")))</f>
        <v/>
      </c>
      <c r="AL216" s="49">
        <f>IF(N(U216)&lt;=0.005,"",COUNTIFS('JOBS'!$U$5:$U$1504,"&gt;0.005",'JOBS'!$B$5:$B$1504,"&lt;"&amp;B216)+COUNTIFS($U$5:U216,"&gt;0.005",$B$5:B216,B216))</f>
        <v/>
      </c>
    </row>
    <row r="217">
      <c r="A217" s="46" t="inlineStr">
        <is>
          <t>J-0213</t>
        </is>
      </c>
      <c r="B217" s="47" t="n">
        <v>46227</v>
      </c>
      <c r="C217" s="94" t="n">
        <v>0.625</v>
      </c>
      <c r="D217" s="38" t="inlineStr">
        <is>
          <t>Rowan Foxworth</t>
        </is>
      </c>
      <c r="E217" s="38" t="inlineStr">
        <is>
          <t>876 Magnolia Circle, North Sampletown</t>
        </is>
      </c>
      <c r="F217" s="38" t="inlineStr">
        <is>
          <t>Standard Clean</t>
        </is>
      </c>
      <c r="G217" s="38" t="inlineStr">
        <is>
          <t>R-005</t>
        </is>
      </c>
      <c r="H217" s="38" t="inlineStr">
        <is>
          <t>Maria Lopez</t>
        </is>
      </c>
      <c r="I217" s="57" t="n">
        <v>1</v>
      </c>
      <c r="J217" s="95" t="n"/>
      <c r="K217" s="95" t="n">
        <v>4.71</v>
      </c>
      <c r="L217" s="48" t="n">
        <v>220</v>
      </c>
      <c r="M217" s="96" t="n">
        <v>0</v>
      </c>
      <c r="N217" s="48" t="n"/>
      <c r="O217" s="38" t="inlineStr">
        <is>
          <t>Completed</t>
        </is>
      </c>
      <c r="P217" s="38" t="inlineStr"/>
      <c r="Q217" s="97">
        <f>IF(OR(F217="",E217=""),"",IFERROR(IF(INDEX('PROPERTIES'!$F$5:$F$404,MATCH(E217,'PROPERTIES'!$B$5:$B$404,0))=0,"",ROUND((INDEX('PROPERTIES'!$F$5:$F$404,MATCH(E217,'PROPERTIES'!$B$5:$B$404,0))/INDEX('PRICING'!$C$7:$C$16,MATCH(F217,'PRICING'!$A$7:$A$16,0))+INDEX('PROPERTIES'!$G$5:$G$404,MATCH(E217,'PROPERTIES'!$B$5:$B$404,0))*INDEX('PRICING'!$D$7:$D$16,MATCH(F217,'PRICING'!$A$7:$A$16,0))/60+INDEX('PROPERTIES'!$H$5:$H$404,MATCH(E217,'PROPERTIES'!$B$5:$B$404,0))*INDEX('PRICING'!$E$7:$E$16,MATCH(F217,'PRICING'!$A$7:$A$16,0))/60+INDEX('PRICING'!$F$7:$F$16,MATCH(F217,'PRICING'!$A$7:$A$16,0))/60),2)),""))</f>
        <v/>
      </c>
      <c r="R217" s="97">
        <f>IF(B217="","",IF(N(K217)&gt;0,K217,IF(N(J217)&gt;0,J217,N(Q217))))</f>
        <v/>
      </c>
      <c r="S217" s="55">
        <f>IF(L217="","",ROUND(L217*(1+N(M217)),2))</f>
        <v/>
      </c>
      <c r="T217" s="55">
        <f>IF(B217="","",SUMIFS('REVENUE'!$C$5:$C$1504,'REVENUE'!$B$5:$B$1504,A217))</f>
        <v/>
      </c>
      <c r="U217" s="55">
        <f>IF(B217="","",IF(O217="Completed",MAX(0,N(S217)-T217),""))</f>
        <v/>
      </c>
      <c r="V217" s="49">
        <f>IF(B217="","",IF(O217&lt;&gt;"Completed",IF(T217&gt;0,"Deposit","—"),IF(U217&lt;=0.005,"Paid",IF(T217&gt;0,"Partial","Unpaid"))))</f>
        <v/>
      </c>
      <c r="W217" s="55">
        <f>IF(B217="","",IFERROR(1/(1/INDEX('STAFF &amp; TASKS'!$C$5:$C$24,MATCH(H217,'STAFF &amp; TASKS'!$A$5:$A$24,0))),PayRate))</f>
        <v/>
      </c>
      <c r="X217" s="55">
        <f>IF(B217="","",IF(OR(O217="Cancelled",O217="No-Show"),"",ROUND(R217*W217*(1+Burden),2)))</f>
        <v/>
      </c>
      <c r="Y217" s="55">
        <f>IF(B217="","",IF(OR(O217="Cancelled",O217="No-Show"),"",IF(N217&lt;&gt;"",N217,ROUND(R217*SupHr*IFERROR(INDEX('PRICING'!$G$7:$G$16,MATCH(F217,'PRICING'!$A$7:$A$16,0)),1),2))))</f>
        <v/>
      </c>
      <c r="Z217" s="98">
        <f>IF(B217="","",SUMIFS('MILEAGE'!$J$5:$J$1504,'MILEAGE'!$B$5:$B$1504,A217))</f>
        <v/>
      </c>
      <c r="AA217" s="55">
        <f>IF(B217="","",ROUND(Z217*MileRate,2))</f>
        <v/>
      </c>
      <c r="AB217" s="55">
        <f>IF(B217="","",SUMIFS('REVENUE'!$J$5:$J$1504,'REVENUE'!$B$5:$B$1504,A217))</f>
        <v/>
      </c>
      <c r="AC217" s="55">
        <f>IF(L217="","",IF(OR(O217="Cancelled",O217="No-Show"),"",L217-N(X217)-N(Y217)-AA217-AB217))</f>
        <v/>
      </c>
      <c r="AD217" s="99">
        <f>IF(OR(AC217="",N(L217)=0),"",AC217/L217)</f>
        <v/>
      </c>
      <c r="AE217" s="55">
        <f>IF(OR(AC217="",N(R217)=0),"",L217/R217)</f>
        <v/>
      </c>
      <c r="AF217" s="100">
        <f>IF(OR(N(K217)=0,N(J217)+N(Q217)=0),"",K217-IF(N(J217)&gt;0,J217,Q217))</f>
        <v/>
      </c>
      <c r="AG217" s="99">
        <f>IF(B217="","",IFERROR(AVERAGEIFS('QUALITY CONTROL'!$M$5:$M$304,'QUALITY CONTROL'!$B$5:$B$304,A217),""))</f>
        <v/>
      </c>
      <c r="AH217" s="51">
        <f>IF(B217="","",DATE(YEAR(B217),MONTH(B217),1))</f>
        <v/>
      </c>
      <c r="AI217" s="49">
        <f>IF(D217="","",IFERROR(INDEX('CUSTOMERS'!$E$5:$E$404,MATCH(D217,'CUSTOMERS'!$B$5:$B$404,0)),""))</f>
        <v/>
      </c>
      <c r="AJ217" s="49">
        <f>IF(B217="","",N(C217))</f>
        <v/>
      </c>
      <c r="AK217" s="49">
        <f>IF(OR(B217="",O217="Cancelled",O217="Rescheduled"),"",B217&amp;"|"&amp;(COUNTIFS('JOBS'!$B$5:$B$1504,B217,'JOBS'!$AJ$5:$AJ$1504,"&lt;"&amp;AJ217,'JOBS'!$O$5:$O$1504,"&lt;&gt;Cancelled",'JOBS'!$O$5:$O$1504,"&lt;&gt;Rescheduled")+COUNTIFS($B$5:B217,B217,$AJ$5:AJ217,AJ217,$O$5:O217,"&lt;&gt;Cancelled",$O$5:O217,"&lt;&gt;Rescheduled")))</f>
        <v/>
      </c>
      <c r="AL217" s="49">
        <f>IF(N(U217)&lt;=0.005,"",COUNTIFS('JOBS'!$U$5:$U$1504,"&gt;0.005",'JOBS'!$B$5:$B$1504,"&lt;"&amp;B217)+COUNTIFS($U$5:U217,"&gt;0.005",$B$5:B217,B217))</f>
        <v/>
      </c>
    </row>
    <row r="218">
      <c r="A218" s="46" t="inlineStr">
        <is>
          <t>J-0214</t>
        </is>
      </c>
      <c r="B218" s="47" t="n">
        <v>46228</v>
      </c>
      <c r="C218" s="94" t="n">
        <v>0.3541666666666667</v>
      </c>
      <c r="D218" s="38" t="inlineStr">
        <is>
          <t>Noel Collins</t>
        </is>
      </c>
      <c r="E218" s="38" t="inlineStr">
        <is>
          <t>964 Cedar Court, Lakeview (fictional)</t>
        </is>
      </c>
      <c r="F218" s="38" t="inlineStr">
        <is>
          <t>Standard Clean</t>
        </is>
      </c>
      <c r="G218" s="38" t="inlineStr">
        <is>
          <t>R-004</t>
        </is>
      </c>
      <c r="H218" s="38" t="inlineStr">
        <is>
          <t>Dana Whitfield</t>
        </is>
      </c>
      <c r="I218" s="57" t="n">
        <v>1</v>
      </c>
      <c r="J218" s="95" t="n"/>
      <c r="K218" s="95" t="n">
        <v>4.69</v>
      </c>
      <c r="L218" s="48" t="n">
        <v>245</v>
      </c>
      <c r="M218" s="96" t="n">
        <v>0</v>
      </c>
      <c r="N218" s="48" t="n"/>
      <c r="O218" s="38" t="inlineStr">
        <is>
          <t>Completed</t>
        </is>
      </c>
      <c r="P218" s="38" t="inlineStr"/>
      <c r="Q218" s="97">
        <f>IF(OR(F218="",E218=""),"",IFERROR(IF(INDEX('PROPERTIES'!$F$5:$F$404,MATCH(E218,'PROPERTIES'!$B$5:$B$404,0))=0,"",ROUND((INDEX('PROPERTIES'!$F$5:$F$404,MATCH(E218,'PROPERTIES'!$B$5:$B$404,0))/INDEX('PRICING'!$C$7:$C$16,MATCH(F218,'PRICING'!$A$7:$A$16,0))+INDEX('PROPERTIES'!$G$5:$G$404,MATCH(E218,'PROPERTIES'!$B$5:$B$404,0))*INDEX('PRICING'!$D$7:$D$16,MATCH(F218,'PRICING'!$A$7:$A$16,0))/60+INDEX('PROPERTIES'!$H$5:$H$404,MATCH(E218,'PROPERTIES'!$B$5:$B$404,0))*INDEX('PRICING'!$E$7:$E$16,MATCH(F218,'PRICING'!$A$7:$A$16,0))/60+INDEX('PRICING'!$F$7:$F$16,MATCH(F218,'PRICING'!$A$7:$A$16,0))/60),2)),""))</f>
        <v/>
      </c>
      <c r="R218" s="97">
        <f>IF(B218="","",IF(N(K218)&gt;0,K218,IF(N(J218)&gt;0,J218,N(Q218))))</f>
        <v/>
      </c>
      <c r="S218" s="55">
        <f>IF(L218="","",ROUND(L218*(1+N(M218)),2))</f>
        <v/>
      </c>
      <c r="T218" s="55">
        <f>IF(B218="","",SUMIFS('REVENUE'!$C$5:$C$1504,'REVENUE'!$B$5:$B$1504,A218))</f>
        <v/>
      </c>
      <c r="U218" s="55">
        <f>IF(B218="","",IF(O218="Completed",MAX(0,N(S218)-T218),""))</f>
        <v/>
      </c>
      <c r="V218" s="49">
        <f>IF(B218="","",IF(O218&lt;&gt;"Completed",IF(T218&gt;0,"Deposit","—"),IF(U218&lt;=0.005,"Paid",IF(T218&gt;0,"Partial","Unpaid"))))</f>
        <v/>
      </c>
      <c r="W218" s="55">
        <f>IF(B218="","",IFERROR(1/(1/INDEX('STAFF &amp; TASKS'!$C$5:$C$24,MATCH(H218,'STAFF &amp; TASKS'!$A$5:$A$24,0))),PayRate))</f>
        <v/>
      </c>
      <c r="X218" s="55">
        <f>IF(B218="","",IF(OR(O218="Cancelled",O218="No-Show"),"",ROUND(R218*W218*(1+Burden),2)))</f>
        <v/>
      </c>
      <c r="Y218" s="55">
        <f>IF(B218="","",IF(OR(O218="Cancelled",O218="No-Show"),"",IF(N218&lt;&gt;"",N218,ROUND(R218*SupHr*IFERROR(INDEX('PRICING'!$G$7:$G$16,MATCH(F218,'PRICING'!$A$7:$A$16,0)),1),2))))</f>
        <v/>
      </c>
      <c r="Z218" s="98">
        <f>IF(B218="","",SUMIFS('MILEAGE'!$J$5:$J$1504,'MILEAGE'!$B$5:$B$1504,A218))</f>
        <v/>
      </c>
      <c r="AA218" s="55">
        <f>IF(B218="","",ROUND(Z218*MileRate,2))</f>
        <v/>
      </c>
      <c r="AB218" s="55">
        <f>IF(B218="","",SUMIFS('REVENUE'!$J$5:$J$1504,'REVENUE'!$B$5:$B$1504,A218))</f>
        <v/>
      </c>
      <c r="AC218" s="55">
        <f>IF(L218="","",IF(OR(O218="Cancelled",O218="No-Show"),"",L218-N(X218)-N(Y218)-AA218-AB218))</f>
        <v/>
      </c>
      <c r="AD218" s="99">
        <f>IF(OR(AC218="",N(L218)=0),"",AC218/L218)</f>
        <v/>
      </c>
      <c r="AE218" s="55">
        <f>IF(OR(AC218="",N(R218)=0),"",L218/R218)</f>
        <v/>
      </c>
      <c r="AF218" s="100">
        <f>IF(OR(N(K218)=0,N(J218)+N(Q218)=0),"",K218-IF(N(J218)&gt;0,J218,Q218))</f>
        <v/>
      </c>
      <c r="AG218" s="99">
        <f>IF(B218="","",IFERROR(AVERAGEIFS('QUALITY CONTROL'!$M$5:$M$304,'QUALITY CONTROL'!$B$5:$B$304,A218),""))</f>
        <v/>
      </c>
      <c r="AH218" s="51">
        <f>IF(B218="","",DATE(YEAR(B218),MONTH(B218),1))</f>
        <v/>
      </c>
      <c r="AI218" s="49">
        <f>IF(D218="","",IFERROR(INDEX('CUSTOMERS'!$E$5:$E$404,MATCH(D218,'CUSTOMERS'!$B$5:$B$404,0)),""))</f>
        <v/>
      </c>
      <c r="AJ218" s="49">
        <f>IF(B218="","",N(C218))</f>
        <v/>
      </c>
      <c r="AK218" s="49">
        <f>IF(OR(B218="",O218="Cancelled",O218="Rescheduled"),"",B218&amp;"|"&amp;(COUNTIFS('JOBS'!$B$5:$B$1504,B218,'JOBS'!$AJ$5:$AJ$1504,"&lt;"&amp;AJ218,'JOBS'!$O$5:$O$1504,"&lt;&gt;Cancelled",'JOBS'!$O$5:$O$1504,"&lt;&gt;Rescheduled")+COUNTIFS($B$5:B218,B218,$AJ$5:AJ218,AJ218,$O$5:O218,"&lt;&gt;Cancelled",$O$5:O218,"&lt;&gt;Rescheduled")))</f>
        <v/>
      </c>
      <c r="AL218" s="49">
        <f>IF(N(U218)&lt;=0.005,"",COUNTIFS('JOBS'!$U$5:$U$1504,"&gt;0.005",'JOBS'!$B$5:$B$1504,"&lt;"&amp;B218)+COUNTIFS($U$5:U218,"&gt;0.005",$B$5:B218,B218))</f>
        <v/>
      </c>
    </row>
    <row r="219">
      <c r="A219" s="46" t="inlineStr">
        <is>
          <t>J-0215</t>
        </is>
      </c>
      <c r="B219" s="47" t="n">
        <v>46229</v>
      </c>
      <c r="C219" s="94" t="n">
        <v>0.4791666666666667</v>
      </c>
      <c r="D219" s="38" t="inlineStr">
        <is>
          <t>Blake Oakes</t>
        </is>
      </c>
      <c r="E219" s="38" t="inlineStr">
        <is>
          <t>654 Willow Way, North Sampletown</t>
        </is>
      </c>
      <c r="F219" s="38" t="inlineStr">
        <is>
          <t>Airbnb Turnover</t>
        </is>
      </c>
      <c r="G219" s="38" t="n"/>
      <c r="H219" s="38" t="inlineStr">
        <is>
          <t>Kevin Osei</t>
        </is>
      </c>
      <c r="I219" s="57" t="n">
        <v>1</v>
      </c>
      <c r="J219" s="95" t="n"/>
      <c r="K219" s="95" t="n">
        <v>1.86</v>
      </c>
      <c r="L219" s="48" t="n">
        <v>135</v>
      </c>
      <c r="M219" s="96" t="n">
        <v>0</v>
      </c>
      <c r="N219" s="48" t="n"/>
      <c r="O219" s="38" t="inlineStr">
        <is>
          <t>Completed</t>
        </is>
      </c>
      <c r="P219" s="38" t="inlineStr">
        <is>
          <t>Includes laundry</t>
        </is>
      </c>
      <c r="Q219" s="97">
        <f>IF(OR(F219="",E219=""),"",IFERROR(IF(INDEX('PROPERTIES'!$F$5:$F$404,MATCH(E219,'PROPERTIES'!$B$5:$B$404,0))=0,"",ROUND((INDEX('PROPERTIES'!$F$5:$F$404,MATCH(E219,'PROPERTIES'!$B$5:$B$404,0))/INDEX('PRICING'!$C$7:$C$16,MATCH(F219,'PRICING'!$A$7:$A$16,0))+INDEX('PROPERTIES'!$G$5:$G$404,MATCH(E219,'PROPERTIES'!$B$5:$B$404,0))*INDEX('PRICING'!$D$7:$D$16,MATCH(F219,'PRICING'!$A$7:$A$16,0))/60+INDEX('PROPERTIES'!$H$5:$H$404,MATCH(E219,'PROPERTIES'!$B$5:$B$404,0))*INDEX('PRICING'!$E$7:$E$16,MATCH(F219,'PRICING'!$A$7:$A$16,0))/60+INDEX('PRICING'!$F$7:$F$16,MATCH(F219,'PRICING'!$A$7:$A$16,0))/60),2)),""))</f>
        <v/>
      </c>
      <c r="R219" s="97">
        <f>IF(B219="","",IF(N(K219)&gt;0,K219,IF(N(J219)&gt;0,J219,N(Q219))))</f>
        <v/>
      </c>
      <c r="S219" s="55">
        <f>IF(L219="","",ROUND(L219*(1+N(M219)),2))</f>
        <v/>
      </c>
      <c r="T219" s="55">
        <f>IF(B219="","",SUMIFS('REVENUE'!$C$5:$C$1504,'REVENUE'!$B$5:$B$1504,A219))</f>
        <v/>
      </c>
      <c r="U219" s="55">
        <f>IF(B219="","",IF(O219="Completed",MAX(0,N(S219)-T219),""))</f>
        <v/>
      </c>
      <c r="V219" s="49">
        <f>IF(B219="","",IF(O219&lt;&gt;"Completed",IF(T219&gt;0,"Deposit","—"),IF(U219&lt;=0.005,"Paid",IF(T219&gt;0,"Partial","Unpaid"))))</f>
        <v/>
      </c>
      <c r="W219" s="55">
        <f>IF(B219="","",IFERROR(1/(1/INDEX('STAFF &amp; TASKS'!$C$5:$C$24,MATCH(H219,'STAFF &amp; TASKS'!$A$5:$A$24,0))),PayRate))</f>
        <v/>
      </c>
      <c r="X219" s="55">
        <f>IF(B219="","",IF(OR(O219="Cancelled",O219="No-Show"),"",ROUND(R219*W219*(1+Burden),2)))</f>
        <v/>
      </c>
      <c r="Y219" s="55">
        <f>IF(B219="","",IF(OR(O219="Cancelled",O219="No-Show"),"",IF(N219&lt;&gt;"",N219,ROUND(R219*SupHr*IFERROR(INDEX('PRICING'!$G$7:$G$16,MATCH(F219,'PRICING'!$A$7:$A$16,0)),1),2))))</f>
        <v/>
      </c>
      <c r="Z219" s="98">
        <f>IF(B219="","",SUMIFS('MILEAGE'!$J$5:$J$1504,'MILEAGE'!$B$5:$B$1504,A219))</f>
        <v/>
      </c>
      <c r="AA219" s="55">
        <f>IF(B219="","",ROUND(Z219*MileRate,2))</f>
        <v/>
      </c>
      <c r="AB219" s="55">
        <f>IF(B219="","",SUMIFS('REVENUE'!$J$5:$J$1504,'REVENUE'!$B$5:$B$1504,A219))</f>
        <v/>
      </c>
      <c r="AC219" s="55">
        <f>IF(L219="","",IF(OR(O219="Cancelled",O219="No-Show"),"",L219-N(X219)-N(Y219)-AA219-AB219))</f>
        <v/>
      </c>
      <c r="AD219" s="99">
        <f>IF(OR(AC219="",N(L219)=0),"",AC219/L219)</f>
        <v/>
      </c>
      <c r="AE219" s="55">
        <f>IF(OR(AC219="",N(R219)=0),"",L219/R219)</f>
        <v/>
      </c>
      <c r="AF219" s="100">
        <f>IF(OR(N(K219)=0,N(J219)+N(Q219)=0),"",K219-IF(N(J219)&gt;0,J219,Q219))</f>
        <v/>
      </c>
      <c r="AG219" s="99">
        <f>IF(B219="","",IFERROR(AVERAGEIFS('QUALITY CONTROL'!$M$5:$M$304,'QUALITY CONTROL'!$B$5:$B$304,A219),""))</f>
        <v/>
      </c>
      <c r="AH219" s="51">
        <f>IF(B219="","",DATE(YEAR(B219),MONTH(B219),1))</f>
        <v/>
      </c>
      <c r="AI219" s="49">
        <f>IF(D219="","",IFERROR(INDEX('CUSTOMERS'!$E$5:$E$404,MATCH(D219,'CUSTOMERS'!$B$5:$B$404,0)),""))</f>
        <v/>
      </c>
      <c r="AJ219" s="49">
        <f>IF(B219="","",N(C219))</f>
        <v/>
      </c>
      <c r="AK219" s="49">
        <f>IF(OR(B219="",O219="Cancelled",O219="Rescheduled"),"",B219&amp;"|"&amp;(COUNTIFS('JOBS'!$B$5:$B$1504,B219,'JOBS'!$AJ$5:$AJ$1504,"&lt;"&amp;AJ219,'JOBS'!$O$5:$O$1504,"&lt;&gt;Cancelled",'JOBS'!$O$5:$O$1504,"&lt;&gt;Rescheduled")+COUNTIFS($B$5:B219,B219,$AJ$5:AJ219,AJ219,$O$5:O219,"&lt;&gt;Cancelled",$O$5:O219,"&lt;&gt;Rescheduled")))</f>
        <v/>
      </c>
      <c r="AL219" s="49">
        <f>IF(N(U219)&lt;=0.005,"",COUNTIFS('JOBS'!$U$5:$U$1504,"&gt;0.005",'JOBS'!$B$5:$B$1504,"&lt;"&amp;B219)+COUNTIFS($U$5:U219,"&gt;0.005",$B$5:B219,B219))</f>
        <v/>
      </c>
    </row>
    <row r="220">
      <c r="A220" s="46" t="inlineStr">
        <is>
          <t>J-0216</t>
        </is>
      </c>
      <c r="B220" s="47" t="n">
        <v>46230</v>
      </c>
      <c r="C220" s="94" t="n">
        <v>0.3333333333333333</v>
      </c>
      <c r="D220" s="38" t="inlineStr">
        <is>
          <t>Quinn Ashworth</t>
        </is>
      </c>
      <c r="E220" s="38" t="inlineStr">
        <is>
          <t>952 Poplar Trail, Sampletown</t>
        </is>
      </c>
      <c r="F220" s="38" t="inlineStr">
        <is>
          <t>Deep Clean</t>
        </is>
      </c>
      <c r="G220" s="38" t="n"/>
      <c r="H220" s="38" t="inlineStr">
        <is>
          <t>Maria Lopez</t>
        </is>
      </c>
      <c r="I220" s="57" t="n">
        <v>2</v>
      </c>
      <c r="J220" s="95" t="n"/>
      <c r="K220" s="95" t="n">
        <v>6.47</v>
      </c>
      <c r="L220" s="48" t="n">
        <v>400</v>
      </c>
      <c r="M220" s="96" t="n">
        <v>0</v>
      </c>
      <c r="N220" s="48" t="n"/>
      <c r="O220" s="38" t="inlineStr">
        <is>
          <t>Completed</t>
        </is>
      </c>
      <c r="P220" s="38" t="inlineStr"/>
      <c r="Q220" s="97">
        <f>IF(OR(F220="",E220=""),"",IFERROR(IF(INDEX('PROPERTIES'!$F$5:$F$404,MATCH(E220,'PROPERTIES'!$B$5:$B$404,0))=0,"",ROUND((INDEX('PROPERTIES'!$F$5:$F$404,MATCH(E220,'PROPERTIES'!$B$5:$B$404,0))/INDEX('PRICING'!$C$7:$C$16,MATCH(F220,'PRICING'!$A$7:$A$16,0))+INDEX('PROPERTIES'!$G$5:$G$404,MATCH(E220,'PROPERTIES'!$B$5:$B$404,0))*INDEX('PRICING'!$D$7:$D$16,MATCH(F220,'PRICING'!$A$7:$A$16,0))/60+INDEX('PROPERTIES'!$H$5:$H$404,MATCH(E220,'PROPERTIES'!$B$5:$B$404,0))*INDEX('PRICING'!$E$7:$E$16,MATCH(F220,'PRICING'!$A$7:$A$16,0))/60+INDEX('PRICING'!$F$7:$F$16,MATCH(F220,'PRICING'!$A$7:$A$16,0))/60),2)),""))</f>
        <v/>
      </c>
      <c r="R220" s="97">
        <f>IF(B220="","",IF(N(K220)&gt;0,K220,IF(N(J220)&gt;0,J220,N(Q220))))</f>
        <v/>
      </c>
      <c r="S220" s="55">
        <f>IF(L220="","",ROUND(L220*(1+N(M220)),2))</f>
        <v/>
      </c>
      <c r="T220" s="55">
        <f>IF(B220="","",SUMIFS('REVENUE'!$C$5:$C$1504,'REVENUE'!$B$5:$B$1504,A220))</f>
        <v/>
      </c>
      <c r="U220" s="55">
        <f>IF(B220="","",IF(O220="Completed",MAX(0,N(S220)-T220),""))</f>
        <v/>
      </c>
      <c r="V220" s="49">
        <f>IF(B220="","",IF(O220&lt;&gt;"Completed",IF(T220&gt;0,"Deposit","—"),IF(U220&lt;=0.005,"Paid",IF(T220&gt;0,"Partial","Unpaid"))))</f>
        <v/>
      </c>
      <c r="W220" s="55">
        <f>IF(B220="","",IFERROR(1/(1/INDEX('STAFF &amp; TASKS'!$C$5:$C$24,MATCH(H220,'STAFF &amp; TASKS'!$A$5:$A$24,0))),PayRate))</f>
        <v/>
      </c>
      <c r="X220" s="55">
        <f>IF(B220="","",IF(OR(O220="Cancelled",O220="No-Show"),"",ROUND(R220*W220*(1+Burden),2)))</f>
        <v/>
      </c>
      <c r="Y220" s="55">
        <f>IF(B220="","",IF(OR(O220="Cancelled",O220="No-Show"),"",IF(N220&lt;&gt;"",N220,ROUND(R220*SupHr*IFERROR(INDEX('PRICING'!$G$7:$G$16,MATCH(F220,'PRICING'!$A$7:$A$16,0)),1),2))))</f>
        <v/>
      </c>
      <c r="Z220" s="98">
        <f>IF(B220="","",SUMIFS('MILEAGE'!$J$5:$J$1504,'MILEAGE'!$B$5:$B$1504,A220))</f>
        <v/>
      </c>
      <c r="AA220" s="55">
        <f>IF(B220="","",ROUND(Z220*MileRate,2))</f>
        <v/>
      </c>
      <c r="AB220" s="55">
        <f>IF(B220="","",SUMIFS('REVENUE'!$J$5:$J$1504,'REVENUE'!$B$5:$B$1504,A220))</f>
        <v/>
      </c>
      <c r="AC220" s="55">
        <f>IF(L220="","",IF(OR(O220="Cancelled",O220="No-Show"),"",L220-N(X220)-N(Y220)-AA220-AB220))</f>
        <v/>
      </c>
      <c r="AD220" s="99">
        <f>IF(OR(AC220="",N(L220)=0),"",AC220/L220)</f>
        <v/>
      </c>
      <c r="AE220" s="55">
        <f>IF(OR(AC220="",N(R220)=0),"",L220/R220)</f>
        <v/>
      </c>
      <c r="AF220" s="100">
        <f>IF(OR(N(K220)=0,N(J220)+N(Q220)=0),"",K220-IF(N(J220)&gt;0,J220,Q220))</f>
        <v/>
      </c>
      <c r="AG220" s="99">
        <f>IF(B220="","",IFERROR(AVERAGEIFS('QUALITY CONTROL'!$M$5:$M$304,'QUALITY CONTROL'!$B$5:$B$304,A220),""))</f>
        <v/>
      </c>
      <c r="AH220" s="51">
        <f>IF(B220="","",DATE(YEAR(B220),MONTH(B220),1))</f>
        <v/>
      </c>
      <c r="AI220" s="49">
        <f>IF(D220="","",IFERROR(INDEX('CUSTOMERS'!$E$5:$E$404,MATCH(D220,'CUSTOMERS'!$B$5:$B$404,0)),""))</f>
        <v/>
      </c>
      <c r="AJ220" s="49">
        <f>IF(B220="","",N(C220))</f>
        <v/>
      </c>
      <c r="AK220" s="49">
        <f>IF(OR(B220="",O220="Cancelled",O220="Rescheduled"),"",B220&amp;"|"&amp;(COUNTIFS('JOBS'!$B$5:$B$1504,B220,'JOBS'!$AJ$5:$AJ$1504,"&lt;"&amp;AJ220,'JOBS'!$O$5:$O$1504,"&lt;&gt;Cancelled",'JOBS'!$O$5:$O$1504,"&lt;&gt;Rescheduled")+COUNTIFS($B$5:B220,B220,$AJ$5:AJ220,AJ220,$O$5:O220,"&lt;&gt;Cancelled",$O$5:O220,"&lt;&gt;Rescheduled")))</f>
        <v/>
      </c>
      <c r="AL220" s="49">
        <f>IF(N(U220)&lt;=0.005,"",COUNTIFS('JOBS'!$U$5:$U$1504,"&gt;0.005",'JOBS'!$B$5:$B$1504,"&lt;"&amp;B220)+COUNTIFS($U$5:U220,"&gt;0.005",$B$5:B220,B220))</f>
        <v/>
      </c>
    </row>
    <row r="221">
      <c r="A221" s="46" t="inlineStr">
        <is>
          <t>J-0217</t>
        </is>
      </c>
      <c r="B221" s="47" t="n">
        <v>46230</v>
      </c>
      <c r="C221" s="94" t="n">
        <v>0.5833333333333334</v>
      </c>
      <c r="D221" s="38" t="inlineStr">
        <is>
          <t>Emerson Holloway</t>
        </is>
      </c>
      <c r="E221" s="38" t="inlineStr">
        <is>
          <t>192 Birch Lane, North Sampletown</t>
        </is>
      </c>
      <c r="F221" s="38" t="inlineStr">
        <is>
          <t>Airbnb Turnover</t>
        </is>
      </c>
      <c r="G221" s="38" t="n"/>
      <c r="H221" s="38" t="inlineStr">
        <is>
          <t>Kevin Osei</t>
        </is>
      </c>
      <c r="I221" s="57" t="n">
        <v>1</v>
      </c>
      <c r="J221" s="95" t="n"/>
      <c r="K221" s="95" t="n">
        <v>2.1</v>
      </c>
      <c r="L221" s="48" t="n">
        <v>150</v>
      </c>
      <c r="M221" s="96" t="n">
        <v>0</v>
      </c>
      <c r="N221" s="48" t="n"/>
      <c r="O221" s="38" t="inlineStr">
        <is>
          <t>Completed</t>
        </is>
      </c>
      <c r="P221" s="38" t="inlineStr">
        <is>
          <t>Includes laundry</t>
        </is>
      </c>
      <c r="Q221" s="97">
        <f>IF(OR(F221="",E221=""),"",IFERROR(IF(INDEX('PROPERTIES'!$F$5:$F$404,MATCH(E221,'PROPERTIES'!$B$5:$B$404,0))=0,"",ROUND((INDEX('PROPERTIES'!$F$5:$F$404,MATCH(E221,'PROPERTIES'!$B$5:$B$404,0))/INDEX('PRICING'!$C$7:$C$16,MATCH(F221,'PRICING'!$A$7:$A$16,0))+INDEX('PROPERTIES'!$G$5:$G$404,MATCH(E221,'PROPERTIES'!$B$5:$B$404,0))*INDEX('PRICING'!$D$7:$D$16,MATCH(F221,'PRICING'!$A$7:$A$16,0))/60+INDEX('PROPERTIES'!$H$5:$H$404,MATCH(E221,'PROPERTIES'!$B$5:$B$404,0))*INDEX('PRICING'!$E$7:$E$16,MATCH(F221,'PRICING'!$A$7:$A$16,0))/60+INDEX('PRICING'!$F$7:$F$16,MATCH(F221,'PRICING'!$A$7:$A$16,0))/60),2)),""))</f>
        <v/>
      </c>
      <c r="R221" s="97">
        <f>IF(B221="","",IF(N(K221)&gt;0,K221,IF(N(J221)&gt;0,J221,N(Q221))))</f>
        <v/>
      </c>
      <c r="S221" s="55">
        <f>IF(L221="","",ROUND(L221*(1+N(M221)),2))</f>
        <v/>
      </c>
      <c r="T221" s="55">
        <f>IF(B221="","",SUMIFS('REVENUE'!$C$5:$C$1504,'REVENUE'!$B$5:$B$1504,A221))</f>
        <v/>
      </c>
      <c r="U221" s="55">
        <f>IF(B221="","",IF(O221="Completed",MAX(0,N(S221)-T221),""))</f>
        <v/>
      </c>
      <c r="V221" s="49">
        <f>IF(B221="","",IF(O221&lt;&gt;"Completed",IF(T221&gt;0,"Deposit","—"),IF(U221&lt;=0.005,"Paid",IF(T221&gt;0,"Partial","Unpaid"))))</f>
        <v/>
      </c>
      <c r="W221" s="55">
        <f>IF(B221="","",IFERROR(1/(1/INDEX('STAFF &amp; TASKS'!$C$5:$C$24,MATCH(H221,'STAFF &amp; TASKS'!$A$5:$A$24,0))),PayRate))</f>
        <v/>
      </c>
      <c r="X221" s="55">
        <f>IF(B221="","",IF(OR(O221="Cancelled",O221="No-Show"),"",ROUND(R221*W221*(1+Burden),2)))</f>
        <v/>
      </c>
      <c r="Y221" s="55">
        <f>IF(B221="","",IF(OR(O221="Cancelled",O221="No-Show"),"",IF(N221&lt;&gt;"",N221,ROUND(R221*SupHr*IFERROR(INDEX('PRICING'!$G$7:$G$16,MATCH(F221,'PRICING'!$A$7:$A$16,0)),1),2))))</f>
        <v/>
      </c>
      <c r="Z221" s="98">
        <f>IF(B221="","",SUMIFS('MILEAGE'!$J$5:$J$1504,'MILEAGE'!$B$5:$B$1504,A221))</f>
        <v/>
      </c>
      <c r="AA221" s="55">
        <f>IF(B221="","",ROUND(Z221*MileRate,2))</f>
        <v/>
      </c>
      <c r="AB221" s="55">
        <f>IF(B221="","",SUMIFS('REVENUE'!$J$5:$J$1504,'REVENUE'!$B$5:$B$1504,A221))</f>
        <v/>
      </c>
      <c r="AC221" s="55">
        <f>IF(L221="","",IF(OR(O221="Cancelled",O221="No-Show"),"",L221-N(X221)-N(Y221)-AA221-AB221))</f>
        <v/>
      </c>
      <c r="AD221" s="99">
        <f>IF(OR(AC221="",N(L221)=0),"",AC221/L221)</f>
        <v/>
      </c>
      <c r="AE221" s="55">
        <f>IF(OR(AC221="",N(R221)=0),"",L221/R221)</f>
        <v/>
      </c>
      <c r="AF221" s="100">
        <f>IF(OR(N(K221)=0,N(J221)+N(Q221)=0),"",K221-IF(N(J221)&gt;0,J221,Q221))</f>
        <v/>
      </c>
      <c r="AG221" s="99">
        <f>IF(B221="","",IFERROR(AVERAGEIFS('QUALITY CONTROL'!$M$5:$M$304,'QUALITY CONTROL'!$B$5:$B$304,A221),""))</f>
        <v/>
      </c>
      <c r="AH221" s="51">
        <f>IF(B221="","",DATE(YEAR(B221),MONTH(B221),1))</f>
        <v/>
      </c>
      <c r="AI221" s="49">
        <f>IF(D221="","",IFERROR(INDEX('CUSTOMERS'!$E$5:$E$404,MATCH(D221,'CUSTOMERS'!$B$5:$B$404,0)),""))</f>
        <v/>
      </c>
      <c r="AJ221" s="49">
        <f>IF(B221="","",N(C221))</f>
        <v/>
      </c>
      <c r="AK221" s="49">
        <f>IF(OR(B221="",O221="Cancelled",O221="Rescheduled"),"",B221&amp;"|"&amp;(COUNTIFS('JOBS'!$B$5:$B$1504,B221,'JOBS'!$AJ$5:$AJ$1504,"&lt;"&amp;AJ221,'JOBS'!$O$5:$O$1504,"&lt;&gt;Cancelled",'JOBS'!$O$5:$O$1504,"&lt;&gt;Rescheduled")+COUNTIFS($B$5:B221,B221,$AJ$5:AJ221,AJ221,$O$5:O221,"&lt;&gt;Cancelled",$O$5:O221,"&lt;&gt;Rescheduled")))</f>
        <v/>
      </c>
      <c r="AL221" s="49">
        <f>IF(N(U221)&lt;=0.005,"",COUNTIFS('JOBS'!$U$5:$U$1504,"&gt;0.005",'JOBS'!$B$5:$B$1504,"&lt;"&amp;B221)+COUNTIFS($U$5:U221,"&gt;0.005",$B$5:B221,B221))</f>
        <v/>
      </c>
    </row>
    <row r="222">
      <c r="A222" s="46" t="inlineStr">
        <is>
          <t>J-0218</t>
        </is>
      </c>
      <c r="B222" s="47" t="n">
        <v>46231</v>
      </c>
      <c r="C222" s="94" t="n">
        <v>0.3333333333333333</v>
      </c>
      <c r="D222" s="38" t="inlineStr">
        <is>
          <t>Lane Ivers</t>
        </is>
      </c>
      <c r="E222" s="38" t="inlineStr">
        <is>
          <t>497 Aspen Drive, Sampletown</t>
        </is>
      </c>
      <c r="F222" s="38" t="inlineStr">
        <is>
          <t>Standard Clean</t>
        </is>
      </c>
      <c r="G222" s="38" t="inlineStr">
        <is>
          <t>R-001</t>
        </is>
      </c>
      <c r="H222" s="38" t="inlineStr">
        <is>
          <t>Maria Lopez</t>
        </is>
      </c>
      <c r="I222" s="57" t="n">
        <v>1</v>
      </c>
      <c r="J222" s="95" t="n"/>
      <c r="K222" s="95" t="n">
        <v>4.85</v>
      </c>
      <c r="L222" s="48" t="n">
        <v>175</v>
      </c>
      <c r="M222" s="96" t="n">
        <v>0</v>
      </c>
      <c r="N222" s="48" t="n"/>
      <c r="O222" s="38" t="inlineStr">
        <is>
          <t>Completed</t>
        </is>
      </c>
      <c r="P222" s="38" t="inlineStr"/>
      <c r="Q222" s="97">
        <f>IF(OR(F222="",E222=""),"",IFERROR(IF(INDEX('PROPERTIES'!$F$5:$F$404,MATCH(E222,'PROPERTIES'!$B$5:$B$404,0))=0,"",ROUND((INDEX('PROPERTIES'!$F$5:$F$404,MATCH(E222,'PROPERTIES'!$B$5:$B$404,0))/INDEX('PRICING'!$C$7:$C$16,MATCH(F222,'PRICING'!$A$7:$A$16,0))+INDEX('PROPERTIES'!$G$5:$G$404,MATCH(E222,'PROPERTIES'!$B$5:$B$404,0))*INDEX('PRICING'!$D$7:$D$16,MATCH(F222,'PRICING'!$A$7:$A$16,0))/60+INDEX('PROPERTIES'!$H$5:$H$404,MATCH(E222,'PROPERTIES'!$B$5:$B$404,0))*INDEX('PRICING'!$E$7:$E$16,MATCH(F222,'PRICING'!$A$7:$A$16,0))/60+INDEX('PRICING'!$F$7:$F$16,MATCH(F222,'PRICING'!$A$7:$A$16,0))/60),2)),""))</f>
        <v/>
      </c>
      <c r="R222" s="97">
        <f>IF(B222="","",IF(N(K222)&gt;0,K222,IF(N(J222)&gt;0,J222,N(Q222))))</f>
        <v/>
      </c>
      <c r="S222" s="55">
        <f>IF(L222="","",ROUND(L222*(1+N(M222)),2))</f>
        <v/>
      </c>
      <c r="T222" s="55">
        <f>IF(B222="","",SUMIFS('REVENUE'!$C$5:$C$1504,'REVENUE'!$B$5:$B$1504,A222))</f>
        <v/>
      </c>
      <c r="U222" s="55">
        <f>IF(B222="","",IF(O222="Completed",MAX(0,N(S222)-T222),""))</f>
        <v/>
      </c>
      <c r="V222" s="49">
        <f>IF(B222="","",IF(O222&lt;&gt;"Completed",IF(T222&gt;0,"Deposit","—"),IF(U222&lt;=0.005,"Paid",IF(T222&gt;0,"Partial","Unpaid"))))</f>
        <v/>
      </c>
      <c r="W222" s="55">
        <f>IF(B222="","",IFERROR(1/(1/INDEX('STAFF &amp; TASKS'!$C$5:$C$24,MATCH(H222,'STAFF &amp; TASKS'!$A$5:$A$24,0))),PayRate))</f>
        <v/>
      </c>
      <c r="X222" s="55">
        <f>IF(B222="","",IF(OR(O222="Cancelled",O222="No-Show"),"",ROUND(R222*W222*(1+Burden),2)))</f>
        <v/>
      </c>
      <c r="Y222" s="55">
        <f>IF(B222="","",IF(OR(O222="Cancelled",O222="No-Show"),"",IF(N222&lt;&gt;"",N222,ROUND(R222*SupHr*IFERROR(INDEX('PRICING'!$G$7:$G$16,MATCH(F222,'PRICING'!$A$7:$A$16,0)),1),2))))</f>
        <v/>
      </c>
      <c r="Z222" s="98">
        <f>IF(B222="","",SUMIFS('MILEAGE'!$J$5:$J$1504,'MILEAGE'!$B$5:$B$1504,A222))</f>
        <v/>
      </c>
      <c r="AA222" s="55">
        <f>IF(B222="","",ROUND(Z222*MileRate,2))</f>
        <v/>
      </c>
      <c r="AB222" s="55">
        <f>IF(B222="","",SUMIFS('REVENUE'!$J$5:$J$1504,'REVENUE'!$B$5:$B$1504,A222))</f>
        <v/>
      </c>
      <c r="AC222" s="55">
        <f>IF(L222="","",IF(OR(O222="Cancelled",O222="No-Show"),"",L222-N(X222)-N(Y222)-AA222-AB222))</f>
        <v/>
      </c>
      <c r="AD222" s="99">
        <f>IF(OR(AC222="",N(L222)=0),"",AC222/L222)</f>
        <v/>
      </c>
      <c r="AE222" s="55">
        <f>IF(OR(AC222="",N(R222)=0),"",L222/R222)</f>
        <v/>
      </c>
      <c r="AF222" s="100">
        <f>IF(OR(N(K222)=0,N(J222)+N(Q222)=0),"",K222-IF(N(J222)&gt;0,J222,Q222))</f>
        <v/>
      </c>
      <c r="AG222" s="99">
        <f>IF(B222="","",IFERROR(AVERAGEIFS('QUALITY CONTROL'!$M$5:$M$304,'QUALITY CONTROL'!$B$5:$B$304,A222),""))</f>
        <v/>
      </c>
      <c r="AH222" s="51">
        <f>IF(B222="","",DATE(YEAR(B222),MONTH(B222),1))</f>
        <v/>
      </c>
      <c r="AI222" s="49">
        <f>IF(D222="","",IFERROR(INDEX('CUSTOMERS'!$E$5:$E$404,MATCH(D222,'CUSTOMERS'!$B$5:$B$404,0)),""))</f>
        <v/>
      </c>
      <c r="AJ222" s="49">
        <f>IF(B222="","",N(C222))</f>
        <v/>
      </c>
      <c r="AK222" s="49">
        <f>IF(OR(B222="",O222="Cancelled",O222="Rescheduled"),"",B222&amp;"|"&amp;(COUNTIFS('JOBS'!$B$5:$B$1504,B222,'JOBS'!$AJ$5:$AJ$1504,"&lt;"&amp;AJ222,'JOBS'!$O$5:$O$1504,"&lt;&gt;Cancelled",'JOBS'!$O$5:$O$1504,"&lt;&gt;Rescheduled")+COUNTIFS($B$5:B222,B222,$AJ$5:AJ222,AJ222,$O$5:O222,"&lt;&gt;Cancelled",$O$5:O222,"&lt;&gt;Rescheduled")))</f>
        <v/>
      </c>
      <c r="AL222" s="49">
        <f>IF(N(U222)&lt;=0.005,"",COUNTIFS('JOBS'!$U$5:$U$1504,"&gt;0.005",'JOBS'!$B$5:$B$1504,"&lt;"&amp;B222)+COUNTIFS($U$5:U222,"&gt;0.005",$B$5:B222,B222))</f>
        <v/>
      </c>
    </row>
    <row r="223">
      <c r="A223" s="46" t="inlineStr">
        <is>
          <t>J-0219</t>
        </is>
      </c>
      <c r="B223" s="47" t="n">
        <v>46233</v>
      </c>
      <c r="C223" s="94" t="n">
        <v>0.625</v>
      </c>
      <c r="D223" s="38" t="inlineStr">
        <is>
          <t>Kendall Sutton</t>
        </is>
      </c>
      <c r="E223" s="38" t="inlineStr">
        <is>
          <t>370 Cedar Court, Lakeview (fictional)</t>
        </is>
      </c>
      <c r="F223" s="38" t="inlineStr">
        <is>
          <t>Deep Clean</t>
        </is>
      </c>
      <c r="G223" s="38" t="n"/>
      <c r="H223" s="38" t="inlineStr">
        <is>
          <t>Maria Lopez</t>
        </is>
      </c>
      <c r="I223" s="57" t="n">
        <v>2</v>
      </c>
      <c r="J223" s="95" t="n"/>
      <c r="K223" s="95" t="n">
        <v>11.6</v>
      </c>
      <c r="L223" s="48" t="n">
        <v>685</v>
      </c>
      <c r="M223" s="96" t="n">
        <v>0</v>
      </c>
      <c r="N223" s="48" t="n"/>
      <c r="O223" s="38" t="inlineStr">
        <is>
          <t>Completed</t>
        </is>
      </c>
      <c r="P223" s="38" t="inlineStr"/>
      <c r="Q223" s="97">
        <f>IF(OR(F223="",E223=""),"",IFERROR(IF(INDEX('PROPERTIES'!$F$5:$F$404,MATCH(E223,'PROPERTIES'!$B$5:$B$404,0))=0,"",ROUND((INDEX('PROPERTIES'!$F$5:$F$404,MATCH(E223,'PROPERTIES'!$B$5:$B$404,0))/INDEX('PRICING'!$C$7:$C$16,MATCH(F223,'PRICING'!$A$7:$A$16,0))+INDEX('PROPERTIES'!$G$5:$G$404,MATCH(E223,'PROPERTIES'!$B$5:$B$404,0))*INDEX('PRICING'!$D$7:$D$16,MATCH(F223,'PRICING'!$A$7:$A$16,0))/60+INDEX('PROPERTIES'!$H$5:$H$404,MATCH(E223,'PROPERTIES'!$B$5:$B$404,0))*INDEX('PRICING'!$E$7:$E$16,MATCH(F223,'PRICING'!$A$7:$A$16,0))/60+INDEX('PRICING'!$F$7:$F$16,MATCH(F223,'PRICING'!$A$7:$A$16,0))/60),2)),""))</f>
        <v/>
      </c>
      <c r="R223" s="97">
        <f>IF(B223="","",IF(N(K223)&gt;0,K223,IF(N(J223)&gt;0,J223,N(Q223))))</f>
        <v/>
      </c>
      <c r="S223" s="55">
        <f>IF(L223="","",ROUND(L223*(1+N(M223)),2))</f>
        <v/>
      </c>
      <c r="T223" s="55">
        <f>IF(B223="","",SUMIFS('REVENUE'!$C$5:$C$1504,'REVENUE'!$B$5:$B$1504,A223))</f>
        <v/>
      </c>
      <c r="U223" s="55">
        <f>IF(B223="","",IF(O223="Completed",MAX(0,N(S223)-T223),""))</f>
        <v/>
      </c>
      <c r="V223" s="49">
        <f>IF(B223="","",IF(O223&lt;&gt;"Completed",IF(T223&gt;0,"Deposit","—"),IF(U223&lt;=0.005,"Paid",IF(T223&gt;0,"Partial","Unpaid"))))</f>
        <v/>
      </c>
      <c r="W223" s="55">
        <f>IF(B223="","",IFERROR(1/(1/INDEX('STAFF &amp; TASKS'!$C$5:$C$24,MATCH(H223,'STAFF &amp; TASKS'!$A$5:$A$24,0))),PayRate))</f>
        <v/>
      </c>
      <c r="X223" s="55">
        <f>IF(B223="","",IF(OR(O223="Cancelled",O223="No-Show"),"",ROUND(R223*W223*(1+Burden),2)))</f>
        <v/>
      </c>
      <c r="Y223" s="55">
        <f>IF(B223="","",IF(OR(O223="Cancelled",O223="No-Show"),"",IF(N223&lt;&gt;"",N223,ROUND(R223*SupHr*IFERROR(INDEX('PRICING'!$G$7:$G$16,MATCH(F223,'PRICING'!$A$7:$A$16,0)),1),2))))</f>
        <v/>
      </c>
      <c r="Z223" s="98">
        <f>IF(B223="","",SUMIFS('MILEAGE'!$J$5:$J$1504,'MILEAGE'!$B$5:$B$1504,A223))</f>
        <v/>
      </c>
      <c r="AA223" s="55">
        <f>IF(B223="","",ROUND(Z223*MileRate,2))</f>
        <v/>
      </c>
      <c r="AB223" s="55">
        <f>IF(B223="","",SUMIFS('REVENUE'!$J$5:$J$1504,'REVENUE'!$B$5:$B$1504,A223))</f>
        <v/>
      </c>
      <c r="AC223" s="55">
        <f>IF(L223="","",IF(OR(O223="Cancelled",O223="No-Show"),"",L223-N(X223)-N(Y223)-AA223-AB223))</f>
        <v/>
      </c>
      <c r="AD223" s="99">
        <f>IF(OR(AC223="",N(L223)=0),"",AC223/L223)</f>
        <v/>
      </c>
      <c r="AE223" s="55">
        <f>IF(OR(AC223="",N(R223)=0),"",L223/R223)</f>
        <v/>
      </c>
      <c r="AF223" s="100">
        <f>IF(OR(N(K223)=0,N(J223)+N(Q223)=0),"",K223-IF(N(J223)&gt;0,J223,Q223))</f>
        <v/>
      </c>
      <c r="AG223" s="99">
        <f>IF(B223="","",IFERROR(AVERAGEIFS('QUALITY CONTROL'!$M$5:$M$304,'QUALITY CONTROL'!$B$5:$B$304,A223),""))</f>
        <v/>
      </c>
      <c r="AH223" s="51">
        <f>IF(B223="","",DATE(YEAR(B223),MONTH(B223),1))</f>
        <v/>
      </c>
      <c r="AI223" s="49">
        <f>IF(D223="","",IFERROR(INDEX('CUSTOMERS'!$E$5:$E$404,MATCH(D223,'CUSTOMERS'!$B$5:$B$404,0)),""))</f>
        <v/>
      </c>
      <c r="AJ223" s="49">
        <f>IF(B223="","",N(C223))</f>
        <v/>
      </c>
      <c r="AK223" s="49">
        <f>IF(OR(B223="",O223="Cancelled",O223="Rescheduled"),"",B223&amp;"|"&amp;(COUNTIFS('JOBS'!$B$5:$B$1504,B223,'JOBS'!$AJ$5:$AJ$1504,"&lt;"&amp;AJ223,'JOBS'!$O$5:$O$1504,"&lt;&gt;Cancelled",'JOBS'!$O$5:$O$1504,"&lt;&gt;Rescheduled")+COUNTIFS($B$5:B223,B223,$AJ$5:AJ223,AJ223,$O$5:O223,"&lt;&gt;Cancelled",$O$5:O223,"&lt;&gt;Rescheduled")))</f>
        <v/>
      </c>
      <c r="AL223" s="49">
        <f>IF(N(U223)&lt;=0.005,"",COUNTIFS('JOBS'!$U$5:$U$1504,"&gt;0.005",'JOBS'!$B$5:$B$1504,"&lt;"&amp;B223)+COUNTIFS($U$5:U223,"&gt;0.005",$B$5:B223,B223))</f>
        <v/>
      </c>
    </row>
    <row r="224">
      <c r="A224" s="46" t="inlineStr">
        <is>
          <t>J-0220</t>
        </is>
      </c>
      <c r="B224" s="47" t="n">
        <v>46234</v>
      </c>
      <c r="C224" s="94" t="n">
        <v>0.3333333333333333</v>
      </c>
      <c r="D224" s="38" t="inlineStr">
        <is>
          <t>Oakview Office Suites (sample)</t>
        </is>
      </c>
      <c r="E224" s="38" t="inlineStr">
        <is>
          <t>957 Hawthorn Road, North Sampletown</t>
        </is>
      </c>
      <c r="F224" s="38" t="inlineStr">
        <is>
          <t>Commercial Clean</t>
        </is>
      </c>
      <c r="G224" s="38" t="inlineStr">
        <is>
          <t>R-012</t>
        </is>
      </c>
      <c r="H224" s="38" t="inlineStr">
        <is>
          <t>Kevin Osei</t>
        </is>
      </c>
      <c r="I224" s="57" t="n">
        <v>2</v>
      </c>
      <c r="J224" s="95" t="n"/>
      <c r="K224" s="95" t="n">
        <v>3.73</v>
      </c>
      <c r="L224" s="48" t="n">
        <v>140</v>
      </c>
      <c r="M224" s="96" t="n">
        <v>0</v>
      </c>
      <c r="N224" s="48" t="n"/>
      <c r="O224" s="38" t="inlineStr">
        <is>
          <t>Completed</t>
        </is>
      </c>
      <c r="P224" s="38" t="inlineStr"/>
      <c r="Q224" s="97">
        <f>IF(OR(F224="",E224=""),"",IFERROR(IF(INDEX('PROPERTIES'!$F$5:$F$404,MATCH(E224,'PROPERTIES'!$B$5:$B$404,0))=0,"",ROUND((INDEX('PROPERTIES'!$F$5:$F$404,MATCH(E224,'PROPERTIES'!$B$5:$B$404,0))/INDEX('PRICING'!$C$7:$C$16,MATCH(F224,'PRICING'!$A$7:$A$16,0))+INDEX('PROPERTIES'!$G$5:$G$404,MATCH(E224,'PROPERTIES'!$B$5:$B$404,0))*INDEX('PRICING'!$D$7:$D$16,MATCH(F224,'PRICING'!$A$7:$A$16,0))/60+INDEX('PROPERTIES'!$H$5:$H$404,MATCH(E224,'PROPERTIES'!$B$5:$B$404,0))*INDEX('PRICING'!$E$7:$E$16,MATCH(F224,'PRICING'!$A$7:$A$16,0))/60+INDEX('PRICING'!$F$7:$F$16,MATCH(F224,'PRICING'!$A$7:$A$16,0))/60),2)),""))</f>
        <v/>
      </c>
      <c r="R224" s="97">
        <f>IF(B224="","",IF(N(K224)&gt;0,K224,IF(N(J224)&gt;0,J224,N(Q224))))</f>
        <v/>
      </c>
      <c r="S224" s="55">
        <f>IF(L224="","",ROUND(L224*(1+N(M224)),2))</f>
        <v/>
      </c>
      <c r="T224" s="55">
        <f>IF(B224="","",SUMIFS('REVENUE'!$C$5:$C$1504,'REVENUE'!$B$5:$B$1504,A224))</f>
        <v/>
      </c>
      <c r="U224" s="55">
        <f>IF(B224="","",IF(O224="Completed",MAX(0,N(S224)-T224),""))</f>
        <v/>
      </c>
      <c r="V224" s="49">
        <f>IF(B224="","",IF(O224&lt;&gt;"Completed",IF(T224&gt;0,"Deposit","—"),IF(U224&lt;=0.005,"Paid",IF(T224&gt;0,"Partial","Unpaid"))))</f>
        <v/>
      </c>
      <c r="W224" s="55">
        <f>IF(B224="","",IFERROR(1/(1/INDEX('STAFF &amp; TASKS'!$C$5:$C$24,MATCH(H224,'STAFF &amp; TASKS'!$A$5:$A$24,0))),PayRate))</f>
        <v/>
      </c>
      <c r="X224" s="55">
        <f>IF(B224="","",IF(OR(O224="Cancelled",O224="No-Show"),"",ROUND(R224*W224*(1+Burden),2)))</f>
        <v/>
      </c>
      <c r="Y224" s="55">
        <f>IF(B224="","",IF(OR(O224="Cancelled",O224="No-Show"),"",IF(N224&lt;&gt;"",N224,ROUND(R224*SupHr*IFERROR(INDEX('PRICING'!$G$7:$G$16,MATCH(F224,'PRICING'!$A$7:$A$16,0)),1),2))))</f>
        <v/>
      </c>
      <c r="Z224" s="98">
        <f>IF(B224="","",SUMIFS('MILEAGE'!$J$5:$J$1504,'MILEAGE'!$B$5:$B$1504,A224))</f>
        <v/>
      </c>
      <c r="AA224" s="55">
        <f>IF(B224="","",ROUND(Z224*MileRate,2))</f>
        <v/>
      </c>
      <c r="AB224" s="55">
        <f>IF(B224="","",SUMIFS('REVENUE'!$J$5:$J$1504,'REVENUE'!$B$5:$B$1504,A224))</f>
        <v/>
      </c>
      <c r="AC224" s="55">
        <f>IF(L224="","",IF(OR(O224="Cancelled",O224="No-Show"),"",L224-N(X224)-N(Y224)-AA224-AB224))</f>
        <v/>
      </c>
      <c r="AD224" s="99">
        <f>IF(OR(AC224="",N(L224)=0),"",AC224/L224)</f>
        <v/>
      </c>
      <c r="AE224" s="55">
        <f>IF(OR(AC224="",N(R224)=0),"",L224/R224)</f>
        <v/>
      </c>
      <c r="AF224" s="100">
        <f>IF(OR(N(K224)=0,N(J224)+N(Q224)=0),"",K224-IF(N(J224)&gt;0,J224,Q224))</f>
        <v/>
      </c>
      <c r="AG224" s="99">
        <f>IF(B224="","",IFERROR(AVERAGEIFS('QUALITY CONTROL'!$M$5:$M$304,'QUALITY CONTROL'!$B$5:$B$304,A224),""))</f>
        <v/>
      </c>
      <c r="AH224" s="51">
        <f>IF(B224="","",DATE(YEAR(B224),MONTH(B224),1))</f>
        <v/>
      </c>
      <c r="AI224" s="49">
        <f>IF(D224="","",IFERROR(INDEX('CUSTOMERS'!$E$5:$E$404,MATCH(D224,'CUSTOMERS'!$B$5:$B$404,0)),""))</f>
        <v/>
      </c>
      <c r="AJ224" s="49">
        <f>IF(B224="","",N(C224))</f>
        <v/>
      </c>
      <c r="AK224" s="49">
        <f>IF(OR(B224="",O224="Cancelled",O224="Rescheduled"),"",B224&amp;"|"&amp;(COUNTIFS('JOBS'!$B$5:$B$1504,B224,'JOBS'!$AJ$5:$AJ$1504,"&lt;"&amp;AJ224,'JOBS'!$O$5:$O$1504,"&lt;&gt;Cancelled",'JOBS'!$O$5:$O$1504,"&lt;&gt;Rescheduled")+COUNTIFS($B$5:B224,B224,$AJ$5:AJ224,AJ224,$O$5:O224,"&lt;&gt;Cancelled",$O$5:O224,"&lt;&gt;Rescheduled")))</f>
        <v/>
      </c>
      <c r="AL224" s="49">
        <f>IF(N(U224)&lt;=0.005,"",COUNTIFS('JOBS'!$U$5:$U$1504,"&gt;0.005",'JOBS'!$B$5:$B$1504,"&lt;"&amp;B224)+COUNTIFS($U$5:U224,"&gt;0.005",$B$5:B224,B224))</f>
        <v/>
      </c>
    </row>
    <row r="225">
      <c r="A225" s="46" t="inlineStr">
        <is>
          <t>J-0221</t>
        </is>
      </c>
      <c r="B225" s="47" t="n">
        <v>46234</v>
      </c>
      <c r="C225" s="94" t="n">
        <v>0.375</v>
      </c>
      <c r="D225" s="38" t="inlineStr">
        <is>
          <t>Crescent Property Group (sample)</t>
        </is>
      </c>
      <c r="E225" s="38" t="inlineStr">
        <is>
          <t>749 Willow Way, Sampletown</t>
        </is>
      </c>
      <c r="F225" s="38" t="inlineStr">
        <is>
          <t>Move-In/Move-Out</t>
        </is>
      </c>
      <c r="G225" s="38" t="n"/>
      <c r="H225" s="38" t="inlineStr">
        <is>
          <t>Maria Lopez</t>
        </is>
      </c>
      <c r="I225" s="57" t="n">
        <v>2</v>
      </c>
      <c r="J225" s="95" t="n">
        <v>7.67</v>
      </c>
      <c r="K225" s="95" t="n">
        <v>6.62</v>
      </c>
      <c r="L225" s="48" t="n">
        <v>430</v>
      </c>
      <c r="M225" s="96" t="n">
        <v>0</v>
      </c>
      <c r="N225" s="48" t="n"/>
      <c r="O225" s="38" t="inlineStr">
        <is>
          <t>Completed</t>
        </is>
      </c>
      <c r="P225" s="38" t="inlineStr">
        <is>
          <t>Inside oven, fridge, cabinets</t>
        </is>
      </c>
      <c r="Q225" s="97">
        <f>IF(OR(F225="",E225=""),"",IFERROR(IF(INDEX('PROPERTIES'!$F$5:$F$404,MATCH(E225,'PROPERTIES'!$B$5:$B$404,0))=0,"",ROUND((INDEX('PROPERTIES'!$F$5:$F$404,MATCH(E225,'PROPERTIES'!$B$5:$B$404,0))/INDEX('PRICING'!$C$7:$C$16,MATCH(F225,'PRICING'!$A$7:$A$16,0))+INDEX('PROPERTIES'!$G$5:$G$404,MATCH(E225,'PROPERTIES'!$B$5:$B$404,0))*INDEX('PRICING'!$D$7:$D$16,MATCH(F225,'PRICING'!$A$7:$A$16,0))/60+INDEX('PROPERTIES'!$H$5:$H$404,MATCH(E225,'PROPERTIES'!$B$5:$B$404,0))*INDEX('PRICING'!$E$7:$E$16,MATCH(F225,'PRICING'!$A$7:$A$16,0))/60+INDEX('PRICING'!$F$7:$F$16,MATCH(F225,'PRICING'!$A$7:$A$16,0))/60),2)),""))</f>
        <v/>
      </c>
      <c r="R225" s="97">
        <f>IF(B225="","",IF(N(K225)&gt;0,K225,IF(N(J225)&gt;0,J225,N(Q225))))</f>
        <v/>
      </c>
      <c r="S225" s="55">
        <f>IF(L225="","",ROUND(L225*(1+N(M225)),2))</f>
        <v/>
      </c>
      <c r="T225" s="55">
        <f>IF(B225="","",SUMIFS('REVENUE'!$C$5:$C$1504,'REVENUE'!$B$5:$B$1504,A225))</f>
        <v/>
      </c>
      <c r="U225" s="55">
        <f>IF(B225="","",IF(O225="Completed",MAX(0,N(S225)-T225),""))</f>
        <v/>
      </c>
      <c r="V225" s="49">
        <f>IF(B225="","",IF(O225&lt;&gt;"Completed",IF(T225&gt;0,"Deposit","—"),IF(U225&lt;=0.005,"Paid",IF(T225&gt;0,"Partial","Unpaid"))))</f>
        <v/>
      </c>
      <c r="W225" s="55">
        <f>IF(B225="","",IFERROR(1/(1/INDEX('STAFF &amp; TASKS'!$C$5:$C$24,MATCH(H225,'STAFF &amp; TASKS'!$A$5:$A$24,0))),PayRate))</f>
        <v/>
      </c>
      <c r="X225" s="55">
        <f>IF(B225="","",IF(OR(O225="Cancelled",O225="No-Show"),"",ROUND(R225*W225*(1+Burden),2)))</f>
        <v/>
      </c>
      <c r="Y225" s="55">
        <f>IF(B225="","",IF(OR(O225="Cancelled",O225="No-Show"),"",IF(N225&lt;&gt;"",N225,ROUND(R225*SupHr*IFERROR(INDEX('PRICING'!$G$7:$G$16,MATCH(F225,'PRICING'!$A$7:$A$16,0)),1),2))))</f>
        <v/>
      </c>
      <c r="Z225" s="98">
        <f>IF(B225="","",SUMIFS('MILEAGE'!$J$5:$J$1504,'MILEAGE'!$B$5:$B$1504,A225))</f>
        <v/>
      </c>
      <c r="AA225" s="55">
        <f>IF(B225="","",ROUND(Z225*MileRate,2))</f>
        <v/>
      </c>
      <c r="AB225" s="55">
        <f>IF(B225="","",SUMIFS('REVENUE'!$J$5:$J$1504,'REVENUE'!$B$5:$B$1504,A225))</f>
        <v/>
      </c>
      <c r="AC225" s="55">
        <f>IF(L225="","",IF(OR(O225="Cancelled",O225="No-Show"),"",L225-N(X225)-N(Y225)-AA225-AB225))</f>
        <v/>
      </c>
      <c r="AD225" s="99">
        <f>IF(OR(AC225="",N(L225)=0),"",AC225/L225)</f>
        <v/>
      </c>
      <c r="AE225" s="55">
        <f>IF(OR(AC225="",N(R225)=0),"",L225/R225)</f>
        <v/>
      </c>
      <c r="AF225" s="100">
        <f>IF(OR(N(K225)=0,N(J225)+N(Q225)=0),"",K225-IF(N(J225)&gt;0,J225,Q225))</f>
        <v/>
      </c>
      <c r="AG225" s="99">
        <f>IF(B225="","",IFERROR(AVERAGEIFS('QUALITY CONTROL'!$M$5:$M$304,'QUALITY CONTROL'!$B$5:$B$304,A225),""))</f>
        <v/>
      </c>
      <c r="AH225" s="51">
        <f>IF(B225="","",DATE(YEAR(B225),MONTH(B225),1))</f>
        <v/>
      </c>
      <c r="AI225" s="49">
        <f>IF(D225="","",IFERROR(INDEX('CUSTOMERS'!$E$5:$E$404,MATCH(D225,'CUSTOMERS'!$B$5:$B$404,0)),""))</f>
        <v/>
      </c>
      <c r="AJ225" s="49">
        <f>IF(B225="","",N(C225))</f>
        <v/>
      </c>
      <c r="AK225" s="49">
        <f>IF(OR(B225="",O225="Cancelled",O225="Rescheduled"),"",B225&amp;"|"&amp;(COUNTIFS('JOBS'!$B$5:$B$1504,B225,'JOBS'!$AJ$5:$AJ$1504,"&lt;"&amp;AJ225,'JOBS'!$O$5:$O$1504,"&lt;&gt;Cancelled",'JOBS'!$O$5:$O$1504,"&lt;&gt;Rescheduled")+COUNTIFS($B$5:B225,B225,$AJ$5:AJ225,AJ225,$O$5:O225,"&lt;&gt;Cancelled",$O$5:O225,"&lt;&gt;Rescheduled")))</f>
        <v/>
      </c>
      <c r="AL225" s="49">
        <f>IF(N(U225)&lt;=0.005,"",COUNTIFS('JOBS'!$U$5:$U$1504,"&gt;0.005",'JOBS'!$B$5:$B$1504,"&lt;"&amp;B225)+COUNTIFS($U$5:U225,"&gt;0.005",$B$5:B225,B225))</f>
        <v/>
      </c>
    </row>
    <row r="226">
      <c r="A226" s="46" t="inlineStr">
        <is>
          <t>J-0222</t>
        </is>
      </c>
      <c r="B226" s="47" t="n">
        <v>46234</v>
      </c>
      <c r="C226" s="94" t="n">
        <v>0.5208333333333334</v>
      </c>
      <c r="D226" s="38" t="inlineStr">
        <is>
          <t>Dana Collins</t>
        </is>
      </c>
      <c r="E226" s="38" t="inlineStr">
        <is>
          <t>84 Hawthorn Road, Lakeview (fictional)</t>
        </is>
      </c>
      <c r="F226" s="38" t="inlineStr">
        <is>
          <t>Standard Clean</t>
        </is>
      </c>
      <c r="G226" s="38" t="inlineStr">
        <is>
          <t>R-006</t>
        </is>
      </c>
      <c r="H226" s="38" t="inlineStr">
        <is>
          <t>Dana Whitfield</t>
        </is>
      </c>
      <c r="I226" s="57" t="n">
        <v>1</v>
      </c>
      <c r="J226" s="95" t="n"/>
      <c r="K226" s="95" t="n">
        <v>3.74</v>
      </c>
      <c r="L226" s="48" t="n">
        <v>195</v>
      </c>
      <c r="M226" s="96" t="n">
        <v>0</v>
      </c>
      <c r="N226" s="48" t="n"/>
      <c r="O226" s="38" t="inlineStr">
        <is>
          <t>Completed</t>
        </is>
      </c>
      <c r="P226" s="38" t="inlineStr"/>
      <c r="Q226" s="97">
        <f>IF(OR(F226="",E226=""),"",IFERROR(IF(INDEX('PROPERTIES'!$F$5:$F$404,MATCH(E226,'PROPERTIES'!$B$5:$B$404,0))=0,"",ROUND((INDEX('PROPERTIES'!$F$5:$F$404,MATCH(E226,'PROPERTIES'!$B$5:$B$404,0))/INDEX('PRICING'!$C$7:$C$16,MATCH(F226,'PRICING'!$A$7:$A$16,0))+INDEX('PROPERTIES'!$G$5:$G$404,MATCH(E226,'PROPERTIES'!$B$5:$B$404,0))*INDEX('PRICING'!$D$7:$D$16,MATCH(F226,'PRICING'!$A$7:$A$16,0))/60+INDEX('PROPERTIES'!$H$5:$H$404,MATCH(E226,'PROPERTIES'!$B$5:$B$404,0))*INDEX('PRICING'!$E$7:$E$16,MATCH(F226,'PRICING'!$A$7:$A$16,0))/60+INDEX('PRICING'!$F$7:$F$16,MATCH(F226,'PRICING'!$A$7:$A$16,0))/60),2)),""))</f>
        <v/>
      </c>
      <c r="R226" s="97">
        <f>IF(B226="","",IF(N(K226)&gt;0,K226,IF(N(J226)&gt;0,J226,N(Q226))))</f>
        <v/>
      </c>
      <c r="S226" s="55">
        <f>IF(L226="","",ROUND(L226*(1+N(M226)),2))</f>
        <v/>
      </c>
      <c r="T226" s="55">
        <f>IF(B226="","",SUMIFS('REVENUE'!$C$5:$C$1504,'REVENUE'!$B$5:$B$1504,A226))</f>
        <v/>
      </c>
      <c r="U226" s="55">
        <f>IF(B226="","",IF(O226="Completed",MAX(0,N(S226)-T226),""))</f>
        <v/>
      </c>
      <c r="V226" s="49">
        <f>IF(B226="","",IF(O226&lt;&gt;"Completed",IF(T226&gt;0,"Deposit","—"),IF(U226&lt;=0.005,"Paid",IF(T226&gt;0,"Partial","Unpaid"))))</f>
        <v/>
      </c>
      <c r="W226" s="55">
        <f>IF(B226="","",IFERROR(1/(1/INDEX('STAFF &amp; TASKS'!$C$5:$C$24,MATCH(H226,'STAFF &amp; TASKS'!$A$5:$A$24,0))),PayRate))</f>
        <v/>
      </c>
      <c r="X226" s="55">
        <f>IF(B226="","",IF(OR(O226="Cancelled",O226="No-Show"),"",ROUND(R226*W226*(1+Burden),2)))</f>
        <v/>
      </c>
      <c r="Y226" s="55">
        <f>IF(B226="","",IF(OR(O226="Cancelled",O226="No-Show"),"",IF(N226&lt;&gt;"",N226,ROUND(R226*SupHr*IFERROR(INDEX('PRICING'!$G$7:$G$16,MATCH(F226,'PRICING'!$A$7:$A$16,0)),1),2))))</f>
        <v/>
      </c>
      <c r="Z226" s="98">
        <f>IF(B226="","",SUMIFS('MILEAGE'!$J$5:$J$1504,'MILEAGE'!$B$5:$B$1504,A226))</f>
        <v/>
      </c>
      <c r="AA226" s="55">
        <f>IF(B226="","",ROUND(Z226*MileRate,2))</f>
        <v/>
      </c>
      <c r="AB226" s="55">
        <f>IF(B226="","",SUMIFS('REVENUE'!$J$5:$J$1504,'REVENUE'!$B$5:$B$1504,A226))</f>
        <v/>
      </c>
      <c r="AC226" s="55">
        <f>IF(L226="","",IF(OR(O226="Cancelled",O226="No-Show"),"",L226-N(X226)-N(Y226)-AA226-AB226))</f>
        <v/>
      </c>
      <c r="AD226" s="99">
        <f>IF(OR(AC226="",N(L226)=0),"",AC226/L226)</f>
        <v/>
      </c>
      <c r="AE226" s="55">
        <f>IF(OR(AC226="",N(R226)=0),"",L226/R226)</f>
        <v/>
      </c>
      <c r="AF226" s="100">
        <f>IF(OR(N(K226)=0,N(J226)+N(Q226)=0),"",K226-IF(N(J226)&gt;0,J226,Q226))</f>
        <v/>
      </c>
      <c r="AG226" s="99">
        <f>IF(B226="","",IFERROR(AVERAGEIFS('QUALITY CONTROL'!$M$5:$M$304,'QUALITY CONTROL'!$B$5:$B$304,A226),""))</f>
        <v/>
      </c>
      <c r="AH226" s="51">
        <f>IF(B226="","",DATE(YEAR(B226),MONTH(B226),1))</f>
        <v/>
      </c>
      <c r="AI226" s="49">
        <f>IF(D226="","",IFERROR(INDEX('CUSTOMERS'!$E$5:$E$404,MATCH(D226,'CUSTOMERS'!$B$5:$B$404,0)),""))</f>
        <v/>
      </c>
      <c r="AJ226" s="49">
        <f>IF(B226="","",N(C226))</f>
        <v/>
      </c>
      <c r="AK226" s="49">
        <f>IF(OR(B226="",O226="Cancelled",O226="Rescheduled"),"",B226&amp;"|"&amp;(COUNTIFS('JOBS'!$B$5:$B$1504,B226,'JOBS'!$AJ$5:$AJ$1504,"&lt;"&amp;AJ226,'JOBS'!$O$5:$O$1504,"&lt;&gt;Cancelled",'JOBS'!$O$5:$O$1504,"&lt;&gt;Rescheduled")+COUNTIFS($B$5:B226,B226,$AJ$5:AJ226,AJ226,$O$5:O226,"&lt;&gt;Cancelled",$O$5:O226,"&lt;&gt;Rescheduled")))</f>
        <v/>
      </c>
      <c r="AL226" s="49">
        <f>IF(N(U226)&lt;=0.005,"",COUNTIFS('JOBS'!$U$5:$U$1504,"&gt;0.005",'JOBS'!$B$5:$B$1504,"&lt;"&amp;B226)+COUNTIFS($U$5:U226,"&gt;0.005",$B$5:B226,B226))</f>
        <v/>
      </c>
    </row>
    <row r="227">
      <c r="A227" s="46" t="inlineStr">
        <is>
          <t>J-0223</t>
        </is>
      </c>
      <c r="B227" s="47" t="n">
        <v>46234</v>
      </c>
      <c r="C227" s="94" t="n">
        <v>0.625</v>
      </c>
      <c r="D227" s="38" t="inlineStr">
        <is>
          <t>Brightside Dental Studio (sample)</t>
        </is>
      </c>
      <c r="E227" s="38" t="inlineStr">
        <is>
          <t>738 Cedar Court, North Sampletown</t>
        </is>
      </c>
      <c r="F227" s="38" t="inlineStr">
        <is>
          <t>Commercial Clean</t>
        </is>
      </c>
      <c r="G227" s="38" t="inlineStr">
        <is>
          <t>R-011</t>
        </is>
      </c>
      <c r="H227" s="38" t="inlineStr">
        <is>
          <t>Kevin Osei</t>
        </is>
      </c>
      <c r="I227" s="57" t="n">
        <v>2</v>
      </c>
      <c r="J227" s="95" t="n"/>
      <c r="K227" s="95" t="n">
        <v>1.83</v>
      </c>
      <c r="L227" s="48" t="n">
        <v>100</v>
      </c>
      <c r="M227" s="96" t="n">
        <v>0</v>
      </c>
      <c r="N227" s="48" t="n"/>
      <c r="O227" s="38" t="inlineStr">
        <is>
          <t>Completed</t>
        </is>
      </c>
      <c r="P227" s="38" t="inlineStr"/>
      <c r="Q227" s="97">
        <f>IF(OR(F227="",E227=""),"",IFERROR(IF(INDEX('PROPERTIES'!$F$5:$F$404,MATCH(E227,'PROPERTIES'!$B$5:$B$404,0))=0,"",ROUND((INDEX('PROPERTIES'!$F$5:$F$404,MATCH(E227,'PROPERTIES'!$B$5:$B$404,0))/INDEX('PRICING'!$C$7:$C$16,MATCH(F227,'PRICING'!$A$7:$A$16,0))+INDEX('PROPERTIES'!$G$5:$G$404,MATCH(E227,'PROPERTIES'!$B$5:$B$404,0))*INDEX('PRICING'!$D$7:$D$16,MATCH(F227,'PRICING'!$A$7:$A$16,0))/60+INDEX('PROPERTIES'!$H$5:$H$404,MATCH(E227,'PROPERTIES'!$B$5:$B$404,0))*INDEX('PRICING'!$E$7:$E$16,MATCH(F227,'PRICING'!$A$7:$A$16,0))/60+INDEX('PRICING'!$F$7:$F$16,MATCH(F227,'PRICING'!$A$7:$A$16,0))/60),2)),""))</f>
        <v/>
      </c>
      <c r="R227" s="97">
        <f>IF(B227="","",IF(N(K227)&gt;0,K227,IF(N(J227)&gt;0,J227,N(Q227))))</f>
        <v/>
      </c>
      <c r="S227" s="55">
        <f>IF(L227="","",ROUND(L227*(1+N(M227)),2))</f>
        <v/>
      </c>
      <c r="T227" s="55">
        <f>IF(B227="","",SUMIFS('REVENUE'!$C$5:$C$1504,'REVENUE'!$B$5:$B$1504,A227))</f>
        <v/>
      </c>
      <c r="U227" s="55">
        <f>IF(B227="","",IF(O227="Completed",MAX(0,N(S227)-T227),""))</f>
        <v/>
      </c>
      <c r="V227" s="49">
        <f>IF(B227="","",IF(O227&lt;&gt;"Completed",IF(T227&gt;0,"Deposit","—"),IF(U227&lt;=0.005,"Paid",IF(T227&gt;0,"Partial","Unpaid"))))</f>
        <v/>
      </c>
      <c r="W227" s="55">
        <f>IF(B227="","",IFERROR(1/(1/INDEX('STAFF &amp; TASKS'!$C$5:$C$24,MATCH(H227,'STAFF &amp; TASKS'!$A$5:$A$24,0))),PayRate))</f>
        <v/>
      </c>
      <c r="X227" s="55">
        <f>IF(B227="","",IF(OR(O227="Cancelled",O227="No-Show"),"",ROUND(R227*W227*(1+Burden),2)))</f>
        <v/>
      </c>
      <c r="Y227" s="55">
        <f>IF(B227="","",IF(OR(O227="Cancelled",O227="No-Show"),"",IF(N227&lt;&gt;"",N227,ROUND(R227*SupHr*IFERROR(INDEX('PRICING'!$G$7:$G$16,MATCH(F227,'PRICING'!$A$7:$A$16,0)),1),2))))</f>
        <v/>
      </c>
      <c r="Z227" s="98">
        <f>IF(B227="","",SUMIFS('MILEAGE'!$J$5:$J$1504,'MILEAGE'!$B$5:$B$1504,A227))</f>
        <v/>
      </c>
      <c r="AA227" s="55">
        <f>IF(B227="","",ROUND(Z227*MileRate,2))</f>
        <v/>
      </c>
      <c r="AB227" s="55">
        <f>IF(B227="","",SUMIFS('REVENUE'!$J$5:$J$1504,'REVENUE'!$B$5:$B$1504,A227))</f>
        <v/>
      </c>
      <c r="AC227" s="55">
        <f>IF(L227="","",IF(OR(O227="Cancelled",O227="No-Show"),"",L227-N(X227)-N(Y227)-AA227-AB227))</f>
        <v/>
      </c>
      <c r="AD227" s="99">
        <f>IF(OR(AC227="",N(L227)=0),"",AC227/L227)</f>
        <v/>
      </c>
      <c r="AE227" s="55">
        <f>IF(OR(AC227="",N(R227)=0),"",L227/R227)</f>
        <v/>
      </c>
      <c r="AF227" s="100">
        <f>IF(OR(N(K227)=0,N(J227)+N(Q227)=0),"",K227-IF(N(J227)&gt;0,J227,Q227))</f>
        <v/>
      </c>
      <c r="AG227" s="99">
        <f>IF(B227="","",IFERROR(AVERAGEIFS('QUALITY CONTROL'!$M$5:$M$304,'QUALITY CONTROL'!$B$5:$B$304,A227),""))</f>
        <v/>
      </c>
      <c r="AH227" s="51">
        <f>IF(B227="","",DATE(YEAR(B227),MONTH(B227),1))</f>
        <v/>
      </c>
      <c r="AI227" s="49">
        <f>IF(D227="","",IFERROR(INDEX('CUSTOMERS'!$E$5:$E$404,MATCH(D227,'CUSTOMERS'!$B$5:$B$404,0)),""))</f>
        <v/>
      </c>
      <c r="AJ227" s="49">
        <f>IF(B227="","",N(C227))</f>
        <v/>
      </c>
      <c r="AK227" s="49">
        <f>IF(OR(B227="",O227="Cancelled",O227="Rescheduled"),"",B227&amp;"|"&amp;(COUNTIFS('JOBS'!$B$5:$B$1504,B227,'JOBS'!$AJ$5:$AJ$1504,"&lt;"&amp;AJ227,'JOBS'!$O$5:$O$1504,"&lt;&gt;Cancelled",'JOBS'!$O$5:$O$1504,"&lt;&gt;Rescheduled")+COUNTIFS($B$5:B227,B227,$AJ$5:AJ227,AJ227,$O$5:O227,"&lt;&gt;Cancelled",$O$5:O227,"&lt;&gt;Rescheduled")))</f>
        <v/>
      </c>
      <c r="AL227" s="49">
        <f>IF(N(U227)&lt;=0.005,"",COUNTIFS('JOBS'!$U$5:$U$1504,"&gt;0.005",'JOBS'!$B$5:$B$1504,"&lt;"&amp;B227)+COUNTIFS($U$5:U227,"&gt;0.005",$B$5:B227,B227))</f>
        <v/>
      </c>
    </row>
    <row r="228">
      <c r="A228" s="46" t="inlineStr">
        <is>
          <t>J-0224</t>
        </is>
      </c>
      <c r="B228" s="47" t="n">
        <v>46235</v>
      </c>
      <c r="C228" s="94" t="n">
        <v>0.3541666666666667</v>
      </c>
      <c r="D228" s="38" t="inlineStr">
        <is>
          <t>Finley Quigley</t>
        </is>
      </c>
      <c r="E228" s="38" t="inlineStr">
        <is>
          <t>21 Maple Avenue, North Sampletown</t>
        </is>
      </c>
      <c r="F228" s="38" t="inlineStr">
        <is>
          <t>Standard Clean</t>
        </is>
      </c>
      <c r="G228" s="38" t="inlineStr">
        <is>
          <t>R-007</t>
        </is>
      </c>
      <c r="H228" s="38" t="inlineStr">
        <is>
          <t>Maria Lopez</t>
        </is>
      </c>
      <c r="I228" s="57" t="n">
        <v>1</v>
      </c>
      <c r="J228" s="95" t="n"/>
      <c r="K228" s="95" t="n"/>
      <c r="L228" s="48" t="n">
        <v>110</v>
      </c>
      <c r="M228" s="96" t="n">
        <v>0</v>
      </c>
      <c r="N228" s="48" t="n"/>
      <c r="O228" s="38" t="inlineStr">
        <is>
          <t>Cancelled</t>
        </is>
      </c>
      <c r="P228" s="38" t="inlineStr"/>
      <c r="Q228" s="97">
        <f>IF(OR(F228="",E228=""),"",IFERROR(IF(INDEX('PROPERTIES'!$F$5:$F$404,MATCH(E228,'PROPERTIES'!$B$5:$B$404,0))=0,"",ROUND((INDEX('PROPERTIES'!$F$5:$F$404,MATCH(E228,'PROPERTIES'!$B$5:$B$404,0))/INDEX('PRICING'!$C$7:$C$16,MATCH(F228,'PRICING'!$A$7:$A$16,0))+INDEX('PROPERTIES'!$G$5:$G$404,MATCH(E228,'PROPERTIES'!$B$5:$B$404,0))*INDEX('PRICING'!$D$7:$D$16,MATCH(F228,'PRICING'!$A$7:$A$16,0))/60+INDEX('PROPERTIES'!$H$5:$H$404,MATCH(E228,'PROPERTIES'!$B$5:$B$404,0))*INDEX('PRICING'!$E$7:$E$16,MATCH(F228,'PRICING'!$A$7:$A$16,0))/60+INDEX('PRICING'!$F$7:$F$16,MATCH(F228,'PRICING'!$A$7:$A$16,0))/60),2)),""))</f>
        <v/>
      </c>
      <c r="R228" s="97">
        <f>IF(B228="","",IF(N(K228)&gt;0,K228,IF(N(J228)&gt;0,J228,N(Q228))))</f>
        <v/>
      </c>
      <c r="S228" s="55">
        <f>IF(L228="","",ROUND(L228*(1+N(M228)),2))</f>
        <v/>
      </c>
      <c r="T228" s="55">
        <f>IF(B228="","",SUMIFS('REVENUE'!$C$5:$C$1504,'REVENUE'!$B$5:$B$1504,A228))</f>
        <v/>
      </c>
      <c r="U228" s="55">
        <f>IF(B228="","",IF(O228="Completed",MAX(0,N(S228)-T228),""))</f>
        <v/>
      </c>
      <c r="V228" s="49">
        <f>IF(B228="","",IF(O228&lt;&gt;"Completed",IF(T228&gt;0,"Deposit","—"),IF(U228&lt;=0.005,"Paid",IF(T228&gt;0,"Partial","Unpaid"))))</f>
        <v/>
      </c>
      <c r="W228" s="55">
        <f>IF(B228="","",IFERROR(1/(1/INDEX('STAFF &amp; TASKS'!$C$5:$C$24,MATCH(H228,'STAFF &amp; TASKS'!$A$5:$A$24,0))),PayRate))</f>
        <v/>
      </c>
      <c r="X228" s="55">
        <f>IF(B228="","",IF(OR(O228="Cancelled",O228="No-Show"),"",ROUND(R228*W228*(1+Burden),2)))</f>
        <v/>
      </c>
      <c r="Y228" s="55">
        <f>IF(B228="","",IF(OR(O228="Cancelled",O228="No-Show"),"",IF(N228&lt;&gt;"",N228,ROUND(R228*SupHr*IFERROR(INDEX('PRICING'!$G$7:$G$16,MATCH(F228,'PRICING'!$A$7:$A$16,0)),1),2))))</f>
        <v/>
      </c>
      <c r="Z228" s="98">
        <f>IF(B228="","",SUMIFS('MILEAGE'!$J$5:$J$1504,'MILEAGE'!$B$5:$B$1504,A228))</f>
        <v/>
      </c>
      <c r="AA228" s="55">
        <f>IF(B228="","",ROUND(Z228*MileRate,2))</f>
        <v/>
      </c>
      <c r="AB228" s="55">
        <f>IF(B228="","",SUMIFS('REVENUE'!$J$5:$J$1504,'REVENUE'!$B$5:$B$1504,A228))</f>
        <v/>
      </c>
      <c r="AC228" s="55">
        <f>IF(L228="","",IF(OR(O228="Cancelled",O228="No-Show"),"",L228-N(X228)-N(Y228)-AA228-AB228))</f>
        <v/>
      </c>
      <c r="AD228" s="99">
        <f>IF(OR(AC228="",N(L228)=0),"",AC228/L228)</f>
        <v/>
      </c>
      <c r="AE228" s="55">
        <f>IF(OR(AC228="",N(R228)=0),"",L228/R228)</f>
        <v/>
      </c>
      <c r="AF228" s="100">
        <f>IF(OR(N(K228)=0,N(J228)+N(Q228)=0),"",K228-IF(N(J228)&gt;0,J228,Q228))</f>
        <v/>
      </c>
      <c r="AG228" s="99">
        <f>IF(B228="","",IFERROR(AVERAGEIFS('QUALITY CONTROL'!$M$5:$M$304,'QUALITY CONTROL'!$B$5:$B$304,A228),""))</f>
        <v/>
      </c>
      <c r="AH228" s="51">
        <f>IF(B228="","",DATE(YEAR(B228),MONTH(B228),1))</f>
        <v/>
      </c>
      <c r="AI228" s="49">
        <f>IF(D228="","",IFERROR(INDEX('CUSTOMERS'!$E$5:$E$404,MATCH(D228,'CUSTOMERS'!$B$5:$B$404,0)),""))</f>
        <v/>
      </c>
      <c r="AJ228" s="49">
        <f>IF(B228="","",N(C228))</f>
        <v/>
      </c>
      <c r="AK228" s="49">
        <f>IF(OR(B228="",O228="Cancelled",O228="Rescheduled"),"",B228&amp;"|"&amp;(COUNTIFS('JOBS'!$B$5:$B$1504,B228,'JOBS'!$AJ$5:$AJ$1504,"&lt;"&amp;AJ228,'JOBS'!$O$5:$O$1504,"&lt;&gt;Cancelled",'JOBS'!$O$5:$O$1504,"&lt;&gt;Rescheduled")+COUNTIFS($B$5:B228,B228,$AJ$5:AJ228,AJ228,$O$5:O228,"&lt;&gt;Cancelled",$O$5:O228,"&lt;&gt;Rescheduled")))</f>
        <v/>
      </c>
      <c r="AL228" s="49">
        <f>IF(N(U228)&lt;=0.005,"",COUNTIFS('JOBS'!$U$5:$U$1504,"&gt;0.005",'JOBS'!$B$5:$B$1504,"&lt;"&amp;B228)+COUNTIFS($U$5:U228,"&gt;0.005",$B$5:B228,B228))</f>
        <v/>
      </c>
    </row>
    <row r="229">
      <c r="A229" s="46" t="inlineStr">
        <is>
          <t>J-0225</t>
        </is>
      </c>
      <c r="B229" s="47" t="n">
        <v>46236</v>
      </c>
      <c r="C229" s="94" t="n">
        <v>0.4166666666666667</v>
      </c>
      <c r="D229" s="38" t="inlineStr">
        <is>
          <t>Parker Lockhart</t>
        </is>
      </c>
      <c r="E229" s="38" t="inlineStr">
        <is>
          <t>412 Linden Place, Sampletown</t>
        </is>
      </c>
      <c r="F229" s="38" t="inlineStr">
        <is>
          <t>Airbnb Turnover</t>
        </is>
      </c>
      <c r="G229" s="38" t="n"/>
      <c r="H229" s="38" t="inlineStr">
        <is>
          <t>Kevin Osei</t>
        </is>
      </c>
      <c r="I229" s="57" t="n">
        <v>1</v>
      </c>
      <c r="J229" s="95" t="n"/>
      <c r="K229" s="95" t="n">
        <v>2.26</v>
      </c>
      <c r="L229" s="48" t="n">
        <v>150</v>
      </c>
      <c r="M229" s="96" t="n">
        <v>0</v>
      </c>
      <c r="N229" s="48" t="n"/>
      <c r="O229" s="38" t="inlineStr">
        <is>
          <t>Completed</t>
        </is>
      </c>
      <c r="P229" s="38" t="inlineStr">
        <is>
          <t>Includes laundry</t>
        </is>
      </c>
      <c r="Q229" s="97">
        <f>IF(OR(F229="",E229=""),"",IFERROR(IF(INDEX('PROPERTIES'!$F$5:$F$404,MATCH(E229,'PROPERTIES'!$B$5:$B$404,0))=0,"",ROUND((INDEX('PROPERTIES'!$F$5:$F$404,MATCH(E229,'PROPERTIES'!$B$5:$B$404,0))/INDEX('PRICING'!$C$7:$C$16,MATCH(F229,'PRICING'!$A$7:$A$16,0))+INDEX('PROPERTIES'!$G$5:$G$404,MATCH(E229,'PROPERTIES'!$B$5:$B$404,0))*INDEX('PRICING'!$D$7:$D$16,MATCH(F229,'PRICING'!$A$7:$A$16,0))/60+INDEX('PROPERTIES'!$H$5:$H$404,MATCH(E229,'PROPERTIES'!$B$5:$B$404,0))*INDEX('PRICING'!$E$7:$E$16,MATCH(F229,'PRICING'!$A$7:$A$16,0))/60+INDEX('PRICING'!$F$7:$F$16,MATCH(F229,'PRICING'!$A$7:$A$16,0))/60),2)),""))</f>
        <v/>
      </c>
      <c r="R229" s="97">
        <f>IF(B229="","",IF(N(K229)&gt;0,K229,IF(N(J229)&gt;0,J229,N(Q229))))</f>
        <v/>
      </c>
      <c r="S229" s="55">
        <f>IF(L229="","",ROUND(L229*(1+N(M229)),2))</f>
        <v/>
      </c>
      <c r="T229" s="55">
        <f>IF(B229="","",SUMIFS('REVENUE'!$C$5:$C$1504,'REVENUE'!$B$5:$B$1504,A229))</f>
        <v/>
      </c>
      <c r="U229" s="55">
        <f>IF(B229="","",IF(O229="Completed",MAX(0,N(S229)-T229),""))</f>
        <v/>
      </c>
      <c r="V229" s="49">
        <f>IF(B229="","",IF(O229&lt;&gt;"Completed",IF(T229&gt;0,"Deposit","—"),IF(U229&lt;=0.005,"Paid",IF(T229&gt;0,"Partial","Unpaid"))))</f>
        <v/>
      </c>
      <c r="W229" s="55">
        <f>IF(B229="","",IFERROR(1/(1/INDEX('STAFF &amp; TASKS'!$C$5:$C$24,MATCH(H229,'STAFF &amp; TASKS'!$A$5:$A$24,0))),PayRate))</f>
        <v/>
      </c>
      <c r="X229" s="55">
        <f>IF(B229="","",IF(OR(O229="Cancelled",O229="No-Show"),"",ROUND(R229*W229*(1+Burden),2)))</f>
        <v/>
      </c>
      <c r="Y229" s="55">
        <f>IF(B229="","",IF(OR(O229="Cancelled",O229="No-Show"),"",IF(N229&lt;&gt;"",N229,ROUND(R229*SupHr*IFERROR(INDEX('PRICING'!$G$7:$G$16,MATCH(F229,'PRICING'!$A$7:$A$16,0)),1),2))))</f>
        <v/>
      </c>
      <c r="Z229" s="98">
        <f>IF(B229="","",SUMIFS('MILEAGE'!$J$5:$J$1504,'MILEAGE'!$B$5:$B$1504,A229))</f>
        <v/>
      </c>
      <c r="AA229" s="55">
        <f>IF(B229="","",ROUND(Z229*MileRate,2))</f>
        <v/>
      </c>
      <c r="AB229" s="55">
        <f>IF(B229="","",SUMIFS('REVENUE'!$J$5:$J$1504,'REVENUE'!$B$5:$B$1504,A229))</f>
        <v/>
      </c>
      <c r="AC229" s="55">
        <f>IF(L229="","",IF(OR(O229="Cancelled",O229="No-Show"),"",L229-N(X229)-N(Y229)-AA229-AB229))</f>
        <v/>
      </c>
      <c r="AD229" s="99">
        <f>IF(OR(AC229="",N(L229)=0),"",AC229/L229)</f>
        <v/>
      </c>
      <c r="AE229" s="55">
        <f>IF(OR(AC229="",N(R229)=0),"",L229/R229)</f>
        <v/>
      </c>
      <c r="AF229" s="100">
        <f>IF(OR(N(K229)=0,N(J229)+N(Q229)=0),"",K229-IF(N(J229)&gt;0,J229,Q229))</f>
        <v/>
      </c>
      <c r="AG229" s="99">
        <f>IF(B229="","",IFERROR(AVERAGEIFS('QUALITY CONTROL'!$M$5:$M$304,'QUALITY CONTROL'!$B$5:$B$304,A229),""))</f>
        <v/>
      </c>
      <c r="AH229" s="51">
        <f>IF(B229="","",DATE(YEAR(B229),MONTH(B229),1))</f>
        <v/>
      </c>
      <c r="AI229" s="49">
        <f>IF(D229="","",IFERROR(INDEX('CUSTOMERS'!$E$5:$E$404,MATCH(D229,'CUSTOMERS'!$B$5:$B$404,0)),""))</f>
        <v/>
      </c>
      <c r="AJ229" s="49">
        <f>IF(B229="","",N(C229))</f>
        <v/>
      </c>
      <c r="AK229" s="49">
        <f>IF(OR(B229="",O229="Cancelled",O229="Rescheduled"),"",B229&amp;"|"&amp;(COUNTIFS('JOBS'!$B$5:$B$1504,B229,'JOBS'!$AJ$5:$AJ$1504,"&lt;"&amp;AJ229,'JOBS'!$O$5:$O$1504,"&lt;&gt;Cancelled",'JOBS'!$O$5:$O$1504,"&lt;&gt;Rescheduled")+COUNTIFS($B$5:B229,B229,$AJ$5:AJ229,AJ229,$O$5:O229,"&lt;&gt;Cancelled",$O$5:O229,"&lt;&gt;Rescheduled")))</f>
        <v/>
      </c>
      <c r="AL229" s="49">
        <f>IF(N(U229)&lt;=0.005,"",COUNTIFS('JOBS'!$U$5:$U$1504,"&gt;0.005",'JOBS'!$B$5:$B$1504,"&lt;"&amp;B229)+COUNTIFS($U$5:U229,"&gt;0.005",$B$5:B229,B229))</f>
        <v/>
      </c>
    </row>
    <row r="230">
      <c r="A230" s="46" t="inlineStr">
        <is>
          <t>J-0226</t>
        </is>
      </c>
      <c r="B230" s="47" t="n">
        <v>46237</v>
      </c>
      <c r="C230" s="94" t="n">
        <v>0.4166666666666667</v>
      </c>
      <c r="D230" s="38" t="inlineStr">
        <is>
          <t>Dana Oakes</t>
        </is>
      </c>
      <c r="E230" s="38" t="inlineStr">
        <is>
          <t>666 Juniper Street, North Sampletown</t>
        </is>
      </c>
      <c r="F230" s="38" t="inlineStr">
        <is>
          <t>Airbnb Turnover</t>
        </is>
      </c>
      <c r="G230" s="38" t="n"/>
      <c r="H230" s="38" t="inlineStr">
        <is>
          <t>Kevin Osei</t>
        </is>
      </c>
      <c r="I230" s="57" t="n">
        <v>1</v>
      </c>
      <c r="J230" s="95" t="n"/>
      <c r="K230" s="95" t="n">
        <v>1.69</v>
      </c>
      <c r="L230" s="48" t="n">
        <v>135</v>
      </c>
      <c r="M230" s="96" t="n">
        <v>0</v>
      </c>
      <c r="N230" s="48" t="n"/>
      <c r="O230" s="38" t="inlineStr">
        <is>
          <t>Completed</t>
        </is>
      </c>
      <c r="P230" s="38" t="inlineStr">
        <is>
          <t>Includes laundry</t>
        </is>
      </c>
      <c r="Q230" s="97">
        <f>IF(OR(F230="",E230=""),"",IFERROR(IF(INDEX('PROPERTIES'!$F$5:$F$404,MATCH(E230,'PROPERTIES'!$B$5:$B$404,0))=0,"",ROUND((INDEX('PROPERTIES'!$F$5:$F$404,MATCH(E230,'PROPERTIES'!$B$5:$B$404,0))/INDEX('PRICING'!$C$7:$C$16,MATCH(F230,'PRICING'!$A$7:$A$16,0))+INDEX('PROPERTIES'!$G$5:$G$404,MATCH(E230,'PROPERTIES'!$B$5:$B$404,0))*INDEX('PRICING'!$D$7:$D$16,MATCH(F230,'PRICING'!$A$7:$A$16,0))/60+INDEX('PROPERTIES'!$H$5:$H$404,MATCH(E230,'PROPERTIES'!$B$5:$B$404,0))*INDEX('PRICING'!$E$7:$E$16,MATCH(F230,'PRICING'!$A$7:$A$16,0))/60+INDEX('PRICING'!$F$7:$F$16,MATCH(F230,'PRICING'!$A$7:$A$16,0))/60),2)),""))</f>
        <v/>
      </c>
      <c r="R230" s="97">
        <f>IF(B230="","",IF(N(K230)&gt;0,K230,IF(N(J230)&gt;0,J230,N(Q230))))</f>
        <v/>
      </c>
      <c r="S230" s="55">
        <f>IF(L230="","",ROUND(L230*(1+N(M230)),2))</f>
        <v/>
      </c>
      <c r="T230" s="55">
        <f>IF(B230="","",SUMIFS('REVENUE'!$C$5:$C$1504,'REVENUE'!$B$5:$B$1504,A230))</f>
        <v/>
      </c>
      <c r="U230" s="55">
        <f>IF(B230="","",IF(O230="Completed",MAX(0,N(S230)-T230),""))</f>
        <v/>
      </c>
      <c r="V230" s="49">
        <f>IF(B230="","",IF(O230&lt;&gt;"Completed",IF(T230&gt;0,"Deposit","—"),IF(U230&lt;=0.005,"Paid",IF(T230&gt;0,"Partial","Unpaid"))))</f>
        <v/>
      </c>
      <c r="W230" s="55">
        <f>IF(B230="","",IFERROR(1/(1/INDEX('STAFF &amp; TASKS'!$C$5:$C$24,MATCH(H230,'STAFF &amp; TASKS'!$A$5:$A$24,0))),PayRate))</f>
        <v/>
      </c>
      <c r="X230" s="55">
        <f>IF(B230="","",IF(OR(O230="Cancelled",O230="No-Show"),"",ROUND(R230*W230*(1+Burden),2)))</f>
        <v/>
      </c>
      <c r="Y230" s="55">
        <f>IF(B230="","",IF(OR(O230="Cancelled",O230="No-Show"),"",IF(N230&lt;&gt;"",N230,ROUND(R230*SupHr*IFERROR(INDEX('PRICING'!$G$7:$G$16,MATCH(F230,'PRICING'!$A$7:$A$16,0)),1),2))))</f>
        <v/>
      </c>
      <c r="Z230" s="98">
        <f>IF(B230="","",SUMIFS('MILEAGE'!$J$5:$J$1504,'MILEAGE'!$B$5:$B$1504,A230))</f>
        <v/>
      </c>
      <c r="AA230" s="55">
        <f>IF(B230="","",ROUND(Z230*MileRate,2))</f>
        <v/>
      </c>
      <c r="AB230" s="55">
        <f>IF(B230="","",SUMIFS('REVENUE'!$J$5:$J$1504,'REVENUE'!$B$5:$B$1504,A230))</f>
        <v/>
      </c>
      <c r="AC230" s="55">
        <f>IF(L230="","",IF(OR(O230="Cancelled",O230="No-Show"),"",L230-N(X230)-N(Y230)-AA230-AB230))</f>
        <v/>
      </c>
      <c r="AD230" s="99">
        <f>IF(OR(AC230="",N(L230)=0),"",AC230/L230)</f>
        <v/>
      </c>
      <c r="AE230" s="55">
        <f>IF(OR(AC230="",N(R230)=0),"",L230/R230)</f>
        <v/>
      </c>
      <c r="AF230" s="100">
        <f>IF(OR(N(K230)=0,N(J230)+N(Q230)=0),"",K230-IF(N(J230)&gt;0,J230,Q230))</f>
        <v/>
      </c>
      <c r="AG230" s="99">
        <f>IF(B230="","",IFERROR(AVERAGEIFS('QUALITY CONTROL'!$M$5:$M$304,'QUALITY CONTROL'!$B$5:$B$304,A230),""))</f>
        <v/>
      </c>
      <c r="AH230" s="51">
        <f>IF(B230="","",DATE(YEAR(B230),MONTH(B230),1))</f>
        <v/>
      </c>
      <c r="AI230" s="49">
        <f>IF(D230="","",IFERROR(INDEX('CUSTOMERS'!$E$5:$E$404,MATCH(D230,'CUSTOMERS'!$B$5:$B$404,0)),""))</f>
        <v/>
      </c>
      <c r="AJ230" s="49">
        <f>IF(B230="","",N(C230))</f>
        <v/>
      </c>
      <c r="AK230" s="49">
        <f>IF(OR(B230="",O230="Cancelled",O230="Rescheduled"),"",B230&amp;"|"&amp;(COUNTIFS('JOBS'!$B$5:$B$1504,B230,'JOBS'!$AJ$5:$AJ$1504,"&lt;"&amp;AJ230,'JOBS'!$O$5:$O$1504,"&lt;&gt;Cancelled",'JOBS'!$O$5:$O$1504,"&lt;&gt;Rescheduled")+COUNTIFS($B$5:B230,B230,$AJ$5:AJ230,AJ230,$O$5:O230,"&lt;&gt;Cancelled",$O$5:O230,"&lt;&gt;Rescheduled")))</f>
        <v/>
      </c>
      <c r="AL230" s="49">
        <f>IF(N(U230)&lt;=0.005,"",COUNTIFS('JOBS'!$U$5:$U$1504,"&gt;0.005",'JOBS'!$B$5:$B$1504,"&lt;"&amp;B230)+COUNTIFS($U$5:U230,"&gt;0.005",$B$5:B230,B230))</f>
        <v/>
      </c>
    </row>
    <row r="231">
      <c r="A231" s="46" t="inlineStr">
        <is>
          <t>J-0227</t>
        </is>
      </c>
      <c r="B231" s="47" t="n">
        <v>46238</v>
      </c>
      <c r="C231" s="94" t="n">
        <v>0.625</v>
      </c>
      <c r="D231" s="38" t="inlineStr">
        <is>
          <t>Lane Ivers</t>
        </is>
      </c>
      <c r="E231" s="38" t="inlineStr">
        <is>
          <t>497 Aspen Drive, Sampletown</t>
        </is>
      </c>
      <c r="F231" s="38" t="inlineStr">
        <is>
          <t>Standard Clean</t>
        </is>
      </c>
      <c r="G231" s="38" t="inlineStr">
        <is>
          <t>R-001</t>
        </is>
      </c>
      <c r="H231" s="38" t="inlineStr">
        <is>
          <t>Maria Lopez</t>
        </is>
      </c>
      <c r="I231" s="57" t="n">
        <v>1</v>
      </c>
      <c r="J231" s="95" t="n"/>
      <c r="K231" s="95" t="n">
        <v>4.14</v>
      </c>
      <c r="L231" s="48" t="n">
        <v>175</v>
      </c>
      <c r="M231" s="96" t="n">
        <v>0</v>
      </c>
      <c r="N231" s="48" t="n"/>
      <c r="O231" s="38" t="inlineStr">
        <is>
          <t>Completed</t>
        </is>
      </c>
      <c r="P231" s="38" t="inlineStr"/>
      <c r="Q231" s="97">
        <f>IF(OR(F231="",E231=""),"",IFERROR(IF(INDEX('PROPERTIES'!$F$5:$F$404,MATCH(E231,'PROPERTIES'!$B$5:$B$404,0))=0,"",ROUND((INDEX('PROPERTIES'!$F$5:$F$404,MATCH(E231,'PROPERTIES'!$B$5:$B$404,0))/INDEX('PRICING'!$C$7:$C$16,MATCH(F231,'PRICING'!$A$7:$A$16,0))+INDEX('PROPERTIES'!$G$5:$G$404,MATCH(E231,'PROPERTIES'!$B$5:$B$404,0))*INDEX('PRICING'!$D$7:$D$16,MATCH(F231,'PRICING'!$A$7:$A$16,0))/60+INDEX('PROPERTIES'!$H$5:$H$404,MATCH(E231,'PROPERTIES'!$B$5:$B$404,0))*INDEX('PRICING'!$E$7:$E$16,MATCH(F231,'PRICING'!$A$7:$A$16,0))/60+INDEX('PRICING'!$F$7:$F$16,MATCH(F231,'PRICING'!$A$7:$A$16,0))/60),2)),""))</f>
        <v/>
      </c>
      <c r="R231" s="97">
        <f>IF(B231="","",IF(N(K231)&gt;0,K231,IF(N(J231)&gt;0,J231,N(Q231))))</f>
        <v/>
      </c>
      <c r="S231" s="55">
        <f>IF(L231="","",ROUND(L231*(1+N(M231)),2))</f>
        <v/>
      </c>
      <c r="T231" s="55">
        <f>IF(B231="","",SUMIFS('REVENUE'!$C$5:$C$1504,'REVENUE'!$B$5:$B$1504,A231))</f>
        <v/>
      </c>
      <c r="U231" s="55">
        <f>IF(B231="","",IF(O231="Completed",MAX(0,N(S231)-T231),""))</f>
        <v/>
      </c>
      <c r="V231" s="49">
        <f>IF(B231="","",IF(O231&lt;&gt;"Completed",IF(T231&gt;0,"Deposit","—"),IF(U231&lt;=0.005,"Paid",IF(T231&gt;0,"Partial","Unpaid"))))</f>
        <v/>
      </c>
      <c r="W231" s="55">
        <f>IF(B231="","",IFERROR(1/(1/INDEX('STAFF &amp; TASKS'!$C$5:$C$24,MATCH(H231,'STAFF &amp; TASKS'!$A$5:$A$24,0))),PayRate))</f>
        <v/>
      </c>
      <c r="X231" s="55">
        <f>IF(B231="","",IF(OR(O231="Cancelled",O231="No-Show"),"",ROUND(R231*W231*(1+Burden),2)))</f>
        <v/>
      </c>
      <c r="Y231" s="55">
        <f>IF(B231="","",IF(OR(O231="Cancelled",O231="No-Show"),"",IF(N231&lt;&gt;"",N231,ROUND(R231*SupHr*IFERROR(INDEX('PRICING'!$G$7:$G$16,MATCH(F231,'PRICING'!$A$7:$A$16,0)),1),2))))</f>
        <v/>
      </c>
      <c r="Z231" s="98">
        <f>IF(B231="","",SUMIFS('MILEAGE'!$J$5:$J$1504,'MILEAGE'!$B$5:$B$1504,A231))</f>
        <v/>
      </c>
      <c r="AA231" s="55">
        <f>IF(B231="","",ROUND(Z231*MileRate,2))</f>
        <v/>
      </c>
      <c r="AB231" s="55">
        <f>IF(B231="","",SUMIFS('REVENUE'!$J$5:$J$1504,'REVENUE'!$B$5:$B$1504,A231))</f>
        <v/>
      </c>
      <c r="AC231" s="55">
        <f>IF(L231="","",IF(OR(O231="Cancelled",O231="No-Show"),"",L231-N(X231)-N(Y231)-AA231-AB231))</f>
        <v/>
      </c>
      <c r="AD231" s="99">
        <f>IF(OR(AC231="",N(L231)=0),"",AC231/L231)</f>
        <v/>
      </c>
      <c r="AE231" s="55">
        <f>IF(OR(AC231="",N(R231)=0),"",L231/R231)</f>
        <v/>
      </c>
      <c r="AF231" s="100">
        <f>IF(OR(N(K231)=0,N(J231)+N(Q231)=0),"",K231-IF(N(J231)&gt;0,J231,Q231))</f>
        <v/>
      </c>
      <c r="AG231" s="99">
        <f>IF(B231="","",IFERROR(AVERAGEIFS('QUALITY CONTROL'!$M$5:$M$304,'QUALITY CONTROL'!$B$5:$B$304,A231),""))</f>
        <v/>
      </c>
      <c r="AH231" s="51">
        <f>IF(B231="","",DATE(YEAR(B231),MONTH(B231),1))</f>
        <v/>
      </c>
      <c r="AI231" s="49">
        <f>IF(D231="","",IFERROR(INDEX('CUSTOMERS'!$E$5:$E$404,MATCH(D231,'CUSTOMERS'!$B$5:$B$404,0)),""))</f>
        <v/>
      </c>
      <c r="AJ231" s="49">
        <f>IF(B231="","",N(C231))</f>
        <v/>
      </c>
      <c r="AK231" s="49">
        <f>IF(OR(B231="",O231="Cancelled",O231="Rescheduled"),"",B231&amp;"|"&amp;(COUNTIFS('JOBS'!$B$5:$B$1504,B231,'JOBS'!$AJ$5:$AJ$1504,"&lt;"&amp;AJ231,'JOBS'!$O$5:$O$1504,"&lt;&gt;Cancelled",'JOBS'!$O$5:$O$1504,"&lt;&gt;Rescheduled")+COUNTIFS($B$5:B231,B231,$AJ$5:AJ231,AJ231,$O$5:O231,"&lt;&gt;Cancelled",$O$5:O231,"&lt;&gt;Rescheduled")))</f>
        <v/>
      </c>
      <c r="AL231" s="49">
        <f>IF(N(U231)&lt;=0.005,"",COUNTIFS('JOBS'!$U$5:$U$1504,"&gt;0.005",'JOBS'!$B$5:$B$1504,"&lt;"&amp;B231)+COUNTIFS($U$5:U231,"&gt;0.005",$B$5:B231,B231))</f>
        <v/>
      </c>
    </row>
    <row r="232">
      <c r="A232" s="46" t="inlineStr">
        <is>
          <t>J-0228</t>
        </is>
      </c>
      <c r="B232" s="47" t="n">
        <v>46239</v>
      </c>
      <c r="C232" s="94" t="n">
        <v>0.625</v>
      </c>
      <c r="D232" s="38" t="inlineStr">
        <is>
          <t>Logan Porter</t>
        </is>
      </c>
      <c r="E232" s="38" t="inlineStr">
        <is>
          <t>675 Aspen Drive, Lakeview (fictional)</t>
        </is>
      </c>
      <c r="F232" s="38" t="inlineStr">
        <is>
          <t>Standard Clean</t>
        </is>
      </c>
      <c r="G232" s="38" t="inlineStr">
        <is>
          <t>R-002</t>
        </is>
      </c>
      <c r="H232" s="38" t="inlineStr">
        <is>
          <t>Dana Whitfield</t>
        </is>
      </c>
      <c r="I232" s="57" t="n">
        <v>1</v>
      </c>
      <c r="J232" s="95" t="n"/>
      <c r="K232" s="95" t="n">
        <v>5.14</v>
      </c>
      <c r="L232" s="48" t="n">
        <v>220</v>
      </c>
      <c r="M232" s="96" t="n">
        <v>0</v>
      </c>
      <c r="N232" s="48" t="n"/>
      <c r="O232" s="38" t="inlineStr">
        <is>
          <t>Completed</t>
        </is>
      </c>
      <c r="P232" s="38" t="inlineStr"/>
      <c r="Q232" s="97">
        <f>IF(OR(F232="",E232=""),"",IFERROR(IF(INDEX('PROPERTIES'!$F$5:$F$404,MATCH(E232,'PROPERTIES'!$B$5:$B$404,0))=0,"",ROUND((INDEX('PROPERTIES'!$F$5:$F$404,MATCH(E232,'PROPERTIES'!$B$5:$B$404,0))/INDEX('PRICING'!$C$7:$C$16,MATCH(F232,'PRICING'!$A$7:$A$16,0))+INDEX('PROPERTIES'!$G$5:$G$404,MATCH(E232,'PROPERTIES'!$B$5:$B$404,0))*INDEX('PRICING'!$D$7:$D$16,MATCH(F232,'PRICING'!$A$7:$A$16,0))/60+INDEX('PROPERTIES'!$H$5:$H$404,MATCH(E232,'PROPERTIES'!$B$5:$B$404,0))*INDEX('PRICING'!$E$7:$E$16,MATCH(F232,'PRICING'!$A$7:$A$16,0))/60+INDEX('PRICING'!$F$7:$F$16,MATCH(F232,'PRICING'!$A$7:$A$16,0))/60),2)),""))</f>
        <v/>
      </c>
      <c r="R232" s="97">
        <f>IF(B232="","",IF(N(K232)&gt;0,K232,IF(N(J232)&gt;0,J232,N(Q232))))</f>
        <v/>
      </c>
      <c r="S232" s="55">
        <f>IF(L232="","",ROUND(L232*(1+N(M232)),2))</f>
        <v/>
      </c>
      <c r="T232" s="55">
        <f>IF(B232="","",SUMIFS('REVENUE'!$C$5:$C$1504,'REVENUE'!$B$5:$B$1504,A232))</f>
        <v/>
      </c>
      <c r="U232" s="55">
        <f>IF(B232="","",IF(O232="Completed",MAX(0,N(S232)-T232),""))</f>
        <v/>
      </c>
      <c r="V232" s="49">
        <f>IF(B232="","",IF(O232&lt;&gt;"Completed",IF(T232&gt;0,"Deposit","—"),IF(U232&lt;=0.005,"Paid",IF(T232&gt;0,"Partial","Unpaid"))))</f>
        <v/>
      </c>
      <c r="W232" s="55">
        <f>IF(B232="","",IFERROR(1/(1/INDEX('STAFF &amp; TASKS'!$C$5:$C$24,MATCH(H232,'STAFF &amp; TASKS'!$A$5:$A$24,0))),PayRate))</f>
        <v/>
      </c>
      <c r="X232" s="55">
        <f>IF(B232="","",IF(OR(O232="Cancelled",O232="No-Show"),"",ROUND(R232*W232*(1+Burden),2)))</f>
        <v/>
      </c>
      <c r="Y232" s="55">
        <f>IF(B232="","",IF(OR(O232="Cancelled",O232="No-Show"),"",IF(N232&lt;&gt;"",N232,ROUND(R232*SupHr*IFERROR(INDEX('PRICING'!$G$7:$G$16,MATCH(F232,'PRICING'!$A$7:$A$16,0)),1),2))))</f>
        <v/>
      </c>
      <c r="Z232" s="98">
        <f>IF(B232="","",SUMIFS('MILEAGE'!$J$5:$J$1504,'MILEAGE'!$B$5:$B$1504,A232))</f>
        <v/>
      </c>
      <c r="AA232" s="55">
        <f>IF(B232="","",ROUND(Z232*MileRate,2))</f>
        <v/>
      </c>
      <c r="AB232" s="55">
        <f>IF(B232="","",SUMIFS('REVENUE'!$J$5:$J$1504,'REVENUE'!$B$5:$B$1504,A232))</f>
        <v/>
      </c>
      <c r="AC232" s="55">
        <f>IF(L232="","",IF(OR(O232="Cancelled",O232="No-Show"),"",L232-N(X232)-N(Y232)-AA232-AB232))</f>
        <v/>
      </c>
      <c r="AD232" s="99">
        <f>IF(OR(AC232="",N(L232)=0),"",AC232/L232)</f>
        <v/>
      </c>
      <c r="AE232" s="55">
        <f>IF(OR(AC232="",N(R232)=0),"",L232/R232)</f>
        <v/>
      </c>
      <c r="AF232" s="100">
        <f>IF(OR(N(K232)=0,N(J232)+N(Q232)=0),"",K232-IF(N(J232)&gt;0,J232,Q232))</f>
        <v/>
      </c>
      <c r="AG232" s="99">
        <f>IF(B232="","",IFERROR(AVERAGEIFS('QUALITY CONTROL'!$M$5:$M$304,'QUALITY CONTROL'!$B$5:$B$304,A232),""))</f>
        <v/>
      </c>
      <c r="AH232" s="51">
        <f>IF(B232="","",DATE(YEAR(B232),MONTH(B232),1))</f>
        <v/>
      </c>
      <c r="AI232" s="49">
        <f>IF(D232="","",IFERROR(INDEX('CUSTOMERS'!$E$5:$E$404,MATCH(D232,'CUSTOMERS'!$B$5:$B$404,0)),""))</f>
        <v/>
      </c>
      <c r="AJ232" s="49">
        <f>IF(B232="","",N(C232))</f>
        <v/>
      </c>
      <c r="AK232" s="49">
        <f>IF(OR(B232="",O232="Cancelled",O232="Rescheduled"),"",B232&amp;"|"&amp;(COUNTIFS('JOBS'!$B$5:$B$1504,B232,'JOBS'!$AJ$5:$AJ$1504,"&lt;"&amp;AJ232,'JOBS'!$O$5:$O$1504,"&lt;&gt;Cancelled",'JOBS'!$O$5:$O$1504,"&lt;&gt;Rescheduled")+COUNTIFS($B$5:B232,B232,$AJ$5:AJ232,AJ232,$O$5:O232,"&lt;&gt;Cancelled",$O$5:O232,"&lt;&gt;Rescheduled")))</f>
        <v/>
      </c>
      <c r="AL232" s="49">
        <f>IF(N(U232)&lt;=0.005,"",COUNTIFS('JOBS'!$U$5:$U$1504,"&gt;0.005",'JOBS'!$B$5:$B$1504,"&lt;"&amp;B232)+COUNTIFS($U$5:U232,"&gt;0.005",$B$5:B232,B232))</f>
        <v/>
      </c>
    </row>
    <row r="233">
      <c r="A233" s="46" t="inlineStr">
        <is>
          <t>J-0229</t>
        </is>
      </c>
      <c r="B233" s="47" t="n">
        <v>46241</v>
      </c>
      <c r="C233" s="94" t="n">
        <v>0.4166666666666667</v>
      </c>
      <c r="D233" s="38" t="inlineStr">
        <is>
          <t>Brightside Dental Studio (sample)</t>
        </is>
      </c>
      <c r="E233" s="38" t="inlineStr">
        <is>
          <t>738 Cedar Court, North Sampletown</t>
        </is>
      </c>
      <c r="F233" s="38" t="inlineStr">
        <is>
          <t>Commercial Clean</t>
        </is>
      </c>
      <c r="G233" s="38" t="inlineStr">
        <is>
          <t>R-011</t>
        </is>
      </c>
      <c r="H233" s="38" t="inlineStr">
        <is>
          <t>Kevin Osei</t>
        </is>
      </c>
      <c r="I233" s="57" t="n">
        <v>2</v>
      </c>
      <c r="J233" s="95" t="n"/>
      <c r="K233" s="95" t="n">
        <v>1.66</v>
      </c>
      <c r="L233" s="48" t="n">
        <v>100</v>
      </c>
      <c r="M233" s="96" t="n">
        <v>0</v>
      </c>
      <c r="N233" s="48" t="n"/>
      <c r="O233" s="38" t="inlineStr">
        <is>
          <t>Completed</t>
        </is>
      </c>
      <c r="P233" s="38" t="inlineStr"/>
      <c r="Q233" s="97">
        <f>IF(OR(F233="",E233=""),"",IFERROR(IF(INDEX('PROPERTIES'!$F$5:$F$404,MATCH(E233,'PROPERTIES'!$B$5:$B$404,0))=0,"",ROUND((INDEX('PROPERTIES'!$F$5:$F$404,MATCH(E233,'PROPERTIES'!$B$5:$B$404,0))/INDEX('PRICING'!$C$7:$C$16,MATCH(F233,'PRICING'!$A$7:$A$16,0))+INDEX('PROPERTIES'!$G$5:$G$404,MATCH(E233,'PROPERTIES'!$B$5:$B$404,0))*INDEX('PRICING'!$D$7:$D$16,MATCH(F233,'PRICING'!$A$7:$A$16,0))/60+INDEX('PROPERTIES'!$H$5:$H$404,MATCH(E233,'PROPERTIES'!$B$5:$B$404,0))*INDEX('PRICING'!$E$7:$E$16,MATCH(F233,'PRICING'!$A$7:$A$16,0))/60+INDEX('PRICING'!$F$7:$F$16,MATCH(F233,'PRICING'!$A$7:$A$16,0))/60),2)),""))</f>
        <v/>
      </c>
      <c r="R233" s="97">
        <f>IF(B233="","",IF(N(K233)&gt;0,K233,IF(N(J233)&gt;0,J233,N(Q233))))</f>
        <v/>
      </c>
      <c r="S233" s="55">
        <f>IF(L233="","",ROUND(L233*(1+N(M233)),2))</f>
        <v/>
      </c>
      <c r="T233" s="55">
        <f>IF(B233="","",SUMIFS('REVENUE'!$C$5:$C$1504,'REVENUE'!$B$5:$B$1504,A233))</f>
        <v/>
      </c>
      <c r="U233" s="55">
        <f>IF(B233="","",IF(O233="Completed",MAX(0,N(S233)-T233),""))</f>
        <v/>
      </c>
      <c r="V233" s="49">
        <f>IF(B233="","",IF(O233&lt;&gt;"Completed",IF(T233&gt;0,"Deposit","—"),IF(U233&lt;=0.005,"Paid",IF(T233&gt;0,"Partial","Unpaid"))))</f>
        <v/>
      </c>
      <c r="W233" s="55">
        <f>IF(B233="","",IFERROR(1/(1/INDEX('STAFF &amp; TASKS'!$C$5:$C$24,MATCH(H233,'STAFF &amp; TASKS'!$A$5:$A$24,0))),PayRate))</f>
        <v/>
      </c>
      <c r="X233" s="55">
        <f>IF(B233="","",IF(OR(O233="Cancelled",O233="No-Show"),"",ROUND(R233*W233*(1+Burden),2)))</f>
        <v/>
      </c>
      <c r="Y233" s="55">
        <f>IF(B233="","",IF(OR(O233="Cancelled",O233="No-Show"),"",IF(N233&lt;&gt;"",N233,ROUND(R233*SupHr*IFERROR(INDEX('PRICING'!$G$7:$G$16,MATCH(F233,'PRICING'!$A$7:$A$16,0)),1),2))))</f>
        <v/>
      </c>
      <c r="Z233" s="98">
        <f>IF(B233="","",SUMIFS('MILEAGE'!$J$5:$J$1504,'MILEAGE'!$B$5:$B$1504,A233))</f>
        <v/>
      </c>
      <c r="AA233" s="55">
        <f>IF(B233="","",ROUND(Z233*MileRate,2))</f>
        <v/>
      </c>
      <c r="AB233" s="55">
        <f>IF(B233="","",SUMIFS('REVENUE'!$J$5:$J$1504,'REVENUE'!$B$5:$B$1504,A233))</f>
        <v/>
      </c>
      <c r="AC233" s="55">
        <f>IF(L233="","",IF(OR(O233="Cancelled",O233="No-Show"),"",L233-N(X233)-N(Y233)-AA233-AB233))</f>
        <v/>
      </c>
      <c r="AD233" s="99">
        <f>IF(OR(AC233="",N(L233)=0),"",AC233/L233)</f>
        <v/>
      </c>
      <c r="AE233" s="55">
        <f>IF(OR(AC233="",N(R233)=0),"",L233/R233)</f>
        <v/>
      </c>
      <c r="AF233" s="100">
        <f>IF(OR(N(K233)=0,N(J233)+N(Q233)=0),"",K233-IF(N(J233)&gt;0,J233,Q233))</f>
        <v/>
      </c>
      <c r="AG233" s="99">
        <f>IF(B233="","",IFERROR(AVERAGEIFS('QUALITY CONTROL'!$M$5:$M$304,'QUALITY CONTROL'!$B$5:$B$304,A233),""))</f>
        <v/>
      </c>
      <c r="AH233" s="51">
        <f>IF(B233="","",DATE(YEAR(B233),MONTH(B233),1))</f>
        <v/>
      </c>
      <c r="AI233" s="49">
        <f>IF(D233="","",IFERROR(INDEX('CUSTOMERS'!$E$5:$E$404,MATCH(D233,'CUSTOMERS'!$B$5:$B$404,0)),""))</f>
        <v/>
      </c>
      <c r="AJ233" s="49">
        <f>IF(B233="","",N(C233))</f>
        <v/>
      </c>
      <c r="AK233" s="49">
        <f>IF(OR(B233="",O233="Cancelled",O233="Rescheduled"),"",B233&amp;"|"&amp;(COUNTIFS('JOBS'!$B$5:$B$1504,B233,'JOBS'!$AJ$5:$AJ$1504,"&lt;"&amp;AJ233,'JOBS'!$O$5:$O$1504,"&lt;&gt;Cancelled",'JOBS'!$O$5:$O$1504,"&lt;&gt;Rescheduled")+COUNTIFS($B$5:B233,B233,$AJ$5:AJ233,AJ233,$O$5:O233,"&lt;&gt;Cancelled",$O$5:O233,"&lt;&gt;Rescheduled")))</f>
        <v/>
      </c>
      <c r="AL233" s="49">
        <f>IF(N(U233)&lt;=0.005,"",COUNTIFS('JOBS'!$U$5:$U$1504,"&gt;0.005",'JOBS'!$B$5:$B$1504,"&lt;"&amp;B233)+COUNTIFS($U$5:U233,"&gt;0.005",$B$5:B233,B233))</f>
        <v/>
      </c>
    </row>
    <row r="234">
      <c r="A234" s="46" t="inlineStr">
        <is>
          <t>J-0230</t>
        </is>
      </c>
      <c r="B234" s="47" t="n">
        <v>46241</v>
      </c>
      <c r="C234" s="94" t="n">
        <v>0.4166666666666667</v>
      </c>
      <c r="D234" s="38" t="inlineStr">
        <is>
          <t>Oakview Office Suites (sample)</t>
        </is>
      </c>
      <c r="E234" s="38" t="inlineStr">
        <is>
          <t>957 Hawthorn Road, North Sampletown</t>
        </is>
      </c>
      <c r="F234" s="38" t="inlineStr">
        <is>
          <t>Commercial Clean</t>
        </is>
      </c>
      <c r="G234" s="38" t="inlineStr">
        <is>
          <t>R-012</t>
        </is>
      </c>
      <c r="H234" s="38" t="inlineStr">
        <is>
          <t>Kevin Osei</t>
        </is>
      </c>
      <c r="I234" s="57" t="n">
        <v>2</v>
      </c>
      <c r="J234" s="95" t="n"/>
      <c r="K234" s="95" t="n">
        <v>4.26</v>
      </c>
      <c r="L234" s="48" t="n">
        <v>140</v>
      </c>
      <c r="M234" s="96" t="n">
        <v>0</v>
      </c>
      <c r="N234" s="48" t="n"/>
      <c r="O234" s="38" t="inlineStr">
        <is>
          <t>Completed</t>
        </is>
      </c>
      <c r="P234" s="38" t="inlineStr"/>
      <c r="Q234" s="97">
        <f>IF(OR(F234="",E234=""),"",IFERROR(IF(INDEX('PROPERTIES'!$F$5:$F$404,MATCH(E234,'PROPERTIES'!$B$5:$B$404,0))=0,"",ROUND((INDEX('PROPERTIES'!$F$5:$F$404,MATCH(E234,'PROPERTIES'!$B$5:$B$404,0))/INDEX('PRICING'!$C$7:$C$16,MATCH(F234,'PRICING'!$A$7:$A$16,0))+INDEX('PROPERTIES'!$G$5:$G$404,MATCH(E234,'PROPERTIES'!$B$5:$B$404,0))*INDEX('PRICING'!$D$7:$D$16,MATCH(F234,'PRICING'!$A$7:$A$16,0))/60+INDEX('PROPERTIES'!$H$5:$H$404,MATCH(E234,'PROPERTIES'!$B$5:$B$404,0))*INDEX('PRICING'!$E$7:$E$16,MATCH(F234,'PRICING'!$A$7:$A$16,0))/60+INDEX('PRICING'!$F$7:$F$16,MATCH(F234,'PRICING'!$A$7:$A$16,0))/60),2)),""))</f>
        <v/>
      </c>
      <c r="R234" s="97">
        <f>IF(B234="","",IF(N(K234)&gt;0,K234,IF(N(J234)&gt;0,J234,N(Q234))))</f>
        <v/>
      </c>
      <c r="S234" s="55">
        <f>IF(L234="","",ROUND(L234*(1+N(M234)),2))</f>
        <v/>
      </c>
      <c r="T234" s="55">
        <f>IF(B234="","",SUMIFS('REVENUE'!$C$5:$C$1504,'REVENUE'!$B$5:$B$1504,A234))</f>
        <v/>
      </c>
      <c r="U234" s="55">
        <f>IF(B234="","",IF(O234="Completed",MAX(0,N(S234)-T234),""))</f>
        <v/>
      </c>
      <c r="V234" s="49">
        <f>IF(B234="","",IF(O234&lt;&gt;"Completed",IF(T234&gt;0,"Deposit","—"),IF(U234&lt;=0.005,"Paid",IF(T234&gt;0,"Partial","Unpaid"))))</f>
        <v/>
      </c>
      <c r="W234" s="55">
        <f>IF(B234="","",IFERROR(1/(1/INDEX('STAFF &amp; TASKS'!$C$5:$C$24,MATCH(H234,'STAFF &amp; TASKS'!$A$5:$A$24,0))),PayRate))</f>
        <v/>
      </c>
      <c r="X234" s="55">
        <f>IF(B234="","",IF(OR(O234="Cancelled",O234="No-Show"),"",ROUND(R234*W234*(1+Burden),2)))</f>
        <v/>
      </c>
      <c r="Y234" s="55">
        <f>IF(B234="","",IF(OR(O234="Cancelled",O234="No-Show"),"",IF(N234&lt;&gt;"",N234,ROUND(R234*SupHr*IFERROR(INDEX('PRICING'!$G$7:$G$16,MATCH(F234,'PRICING'!$A$7:$A$16,0)),1),2))))</f>
        <v/>
      </c>
      <c r="Z234" s="98">
        <f>IF(B234="","",SUMIFS('MILEAGE'!$J$5:$J$1504,'MILEAGE'!$B$5:$B$1504,A234))</f>
        <v/>
      </c>
      <c r="AA234" s="55">
        <f>IF(B234="","",ROUND(Z234*MileRate,2))</f>
        <v/>
      </c>
      <c r="AB234" s="55">
        <f>IF(B234="","",SUMIFS('REVENUE'!$J$5:$J$1504,'REVENUE'!$B$5:$B$1504,A234))</f>
        <v/>
      </c>
      <c r="AC234" s="55">
        <f>IF(L234="","",IF(OR(O234="Cancelled",O234="No-Show"),"",L234-N(X234)-N(Y234)-AA234-AB234))</f>
        <v/>
      </c>
      <c r="AD234" s="99">
        <f>IF(OR(AC234="",N(L234)=0),"",AC234/L234)</f>
        <v/>
      </c>
      <c r="AE234" s="55">
        <f>IF(OR(AC234="",N(R234)=0),"",L234/R234)</f>
        <v/>
      </c>
      <c r="AF234" s="100">
        <f>IF(OR(N(K234)=0,N(J234)+N(Q234)=0),"",K234-IF(N(J234)&gt;0,J234,Q234))</f>
        <v/>
      </c>
      <c r="AG234" s="99">
        <f>IF(B234="","",IFERROR(AVERAGEIFS('QUALITY CONTROL'!$M$5:$M$304,'QUALITY CONTROL'!$B$5:$B$304,A234),""))</f>
        <v/>
      </c>
      <c r="AH234" s="51">
        <f>IF(B234="","",DATE(YEAR(B234),MONTH(B234),1))</f>
        <v/>
      </c>
      <c r="AI234" s="49">
        <f>IF(D234="","",IFERROR(INDEX('CUSTOMERS'!$E$5:$E$404,MATCH(D234,'CUSTOMERS'!$B$5:$B$404,0)),""))</f>
        <v/>
      </c>
      <c r="AJ234" s="49">
        <f>IF(B234="","",N(C234))</f>
        <v/>
      </c>
      <c r="AK234" s="49">
        <f>IF(OR(B234="",O234="Cancelled",O234="Rescheduled"),"",B234&amp;"|"&amp;(COUNTIFS('JOBS'!$B$5:$B$1504,B234,'JOBS'!$AJ$5:$AJ$1504,"&lt;"&amp;AJ234,'JOBS'!$O$5:$O$1504,"&lt;&gt;Cancelled",'JOBS'!$O$5:$O$1504,"&lt;&gt;Rescheduled")+COUNTIFS($B$5:B234,B234,$AJ$5:AJ234,AJ234,$O$5:O234,"&lt;&gt;Cancelled",$O$5:O234,"&lt;&gt;Rescheduled")))</f>
        <v/>
      </c>
      <c r="AL234" s="49">
        <f>IF(N(U234)&lt;=0.005,"",COUNTIFS('JOBS'!$U$5:$U$1504,"&gt;0.005",'JOBS'!$B$5:$B$1504,"&lt;"&amp;B234)+COUNTIFS($U$5:U234,"&gt;0.005",$B$5:B234,B234))</f>
        <v/>
      </c>
    </row>
    <row r="235">
      <c r="A235" s="46" t="inlineStr">
        <is>
          <t>J-0231</t>
        </is>
      </c>
      <c r="B235" s="47" t="n">
        <v>46241</v>
      </c>
      <c r="C235" s="94" t="n">
        <v>0.5416666666666666</v>
      </c>
      <c r="D235" s="38" t="inlineStr">
        <is>
          <t>Devon Hayes</t>
        </is>
      </c>
      <c r="E235" s="38" t="inlineStr">
        <is>
          <t>461 Hawthorn Road, Lakeview (fictional)</t>
        </is>
      </c>
      <c r="F235" s="38" t="inlineStr">
        <is>
          <t>Standard Clean</t>
        </is>
      </c>
      <c r="G235" s="38" t="inlineStr">
        <is>
          <t>R-003</t>
        </is>
      </c>
      <c r="H235" s="38" t="inlineStr">
        <is>
          <t>Maria Lopez</t>
        </is>
      </c>
      <c r="I235" s="57" t="n">
        <v>1</v>
      </c>
      <c r="J235" s="95" t="n"/>
      <c r="K235" s="95" t="n">
        <v>4.3</v>
      </c>
      <c r="L235" s="48" t="n">
        <v>220</v>
      </c>
      <c r="M235" s="96" t="n">
        <v>0</v>
      </c>
      <c r="N235" s="48" t="n"/>
      <c r="O235" s="38" t="inlineStr">
        <is>
          <t>Completed</t>
        </is>
      </c>
      <c r="P235" s="38" t="inlineStr"/>
      <c r="Q235" s="97">
        <f>IF(OR(F235="",E235=""),"",IFERROR(IF(INDEX('PROPERTIES'!$F$5:$F$404,MATCH(E235,'PROPERTIES'!$B$5:$B$404,0))=0,"",ROUND((INDEX('PROPERTIES'!$F$5:$F$404,MATCH(E235,'PROPERTIES'!$B$5:$B$404,0))/INDEX('PRICING'!$C$7:$C$16,MATCH(F235,'PRICING'!$A$7:$A$16,0))+INDEX('PROPERTIES'!$G$5:$G$404,MATCH(E235,'PROPERTIES'!$B$5:$B$404,0))*INDEX('PRICING'!$D$7:$D$16,MATCH(F235,'PRICING'!$A$7:$A$16,0))/60+INDEX('PROPERTIES'!$H$5:$H$404,MATCH(E235,'PROPERTIES'!$B$5:$B$404,0))*INDEX('PRICING'!$E$7:$E$16,MATCH(F235,'PRICING'!$A$7:$A$16,0))/60+INDEX('PRICING'!$F$7:$F$16,MATCH(F235,'PRICING'!$A$7:$A$16,0))/60),2)),""))</f>
        <v/>
      </c>
      <c r="R235" s="97">
        <f>IF(B235="","",IF(N(K235)&gt;0,K235,IF(N(J235)&gt;0,J235,N(Q235))))</f>
        <v/>
      </c>
      <c r="S235" s="55">
        <f>IF(L235="","",ROUND(L235*(1+N(M235)),2))</f>
        <v/>
      </c>
      <c r="T235" s="55">
        <f>IF(B235="","",SUMIFS('REVENUE'!$C$5:$C$1504,'REVENUE'!$B$5:$B$1504,A235))</f>
        <v/>
      </c>
      <c r="U235" s="55">
        <f>IF(B235="","",IF(O235="Completed",MAX(0,N(S235)-T235),""))</f>
        <v/>
      </c>
      <c r="V235" s="49">
        <f>IF(B235="","",IF(O235&lt;&gt;"Completed",IF(T235&gt;0,"Deposit","—"),IF(U235&lt;=0.005,"Paid",IF(T235&gt;0,"Partial","Unpaid"))))</f>
        <v/>
      </c>
      <c r="W235" s="55">
        <f>IF(B235="","",IFERROR(1/(1/INDEX('STAFF &amp; TASKS'!$C$5:$C$24,MATCH(H235,'STAFF &amp; TASKS'!$A$5:$A$24,0))),PayRate))</f>
        <v/>
      </c>
      <c r="X235" s="55">
        <f>IF(B235="","",IF(OR(O235="Cancelled",O235="No-Show"),"",ROUND(R235*W235*(1+Burden),2)))</f>
        <v/>
      </c>
      <c r="Y235" s="55">
        <f>IF(B235="","",IF(OR(O235="Cancelled",O235="No-Show"),"",IF(N235&lt;&gt;"",N235,ROUND(R235*SupHr*IFERROR(INDEX('PRICING'!$G$7:$G$16,MATCH(F235,'PRICING'!$A$7:$A$16,0)),1),2))))</f>
        <v/>
      </c>
      <c r="Z235" s="98">
        <f>IF(B235="","",SUMIFS('MILEAGE'!$J$5:$J$1504,'MILEAGE'!$B$5:$B$1504,A235))</f>
        <v/>
      </c>
      <c r="AA235" s="55">
        <f>IF(B235="","",ROUND(Z235*MileRate,2))</f>
        <v/>
      </c>
      <c r="AB235" s="55">
        <f>IF(B235="","",SUMIFS('REVENUE'!$J$5:$J$1504,'REVENUE'!$B$5:$B$1504,A235))</f>
        <v/>
      </c>
      <c r="AC235" s="55">
        <f>IF(L235="","",IF(OR(O235="Cancelled",O235="No-Show"),"",L235-N(X235)-N(Y235)-AA235-AB235))</f>
        <v/>
      </c>
      <c r="AD235" s="99">
        <f>IF(OR(AC235="",N(L235)=0),"",AC235/L235)</f>
        <v/>
      </c>
      <c r="AE235" s="55">
        <f>IF(OR(AC235="",N(R235)=0),"",L235/R235)</f>
        <v/>
      </c>
      <c r="AF235" s="100">
        <f>IF(OR(N(K235)=0,N(J235)+N(Q235)=0),"",K235-IF(N(J235)&gt;0,J235,Q235))</f>
        <v/>
      </c>
      <c r="AG235" s="99">
        <f>IF(B235="","",IFERROR(AVERAGEIFS('QUALITY CONTROL'!$M$5:$M$304,'QUALITY CONTROL'!$B$5:$B$304,A235),""))</f>
        <v/>
      </c>
      <c r="AH235" s="51">
        <f>IF(B235="","",DATE(YEAR(B235),MONTH(B235),1))</f>
        <v/>
      </c>
      <c r="AI235" s="49">
        <f>IF(D235="","",IFERROR(INDEX('CUSTOMERS'!$E$5:$E$404,MATCH(D235,'CUSTOMERS'!$B$5:$B$404,0)),""))</f>
        <v/>
      </c>
      <c r="AJ235" s="49">
        <f>IF(B235="","",N(C235))</f>
        <v/>
      </c>
      <c r="AK235" s="49">
        <f>IF(OR(B235="",O235="Cancelled",O235="Rescheduled"),"",B235&amp;"|"&amp;(COUNTIFS('JOBS'!$B$5:$B$1504,B235,'JOBS'!$AJ$5:$AJ$1504,"&lt;"&amp;AJ235,'JOBS'!$O$5:$O$1504,"&lt;&gt;Cancelled",'JOBS'!$O$5:$O$1504,"&lt;&gt;Rescheduled")+COUNTIFS($B$5:B235,B235,$AJ$5:AJ235,AJ235,$O$5:O235,"&lt;&gt;Cancelled",$O$5:O235,"&lt;&gt;Rescheduled")))</f>
        <v/>
      </c>
      <c r="AL235" s="49">
        <f>IF(N(U235)&lt;=0.005,"",COUNTIFS('JOBS'!$U$5:$U$1504,"&gt;0.005",'JOBS'!$B$5:$B$1504,"&lt;"&amp;B235)+COUNTIFS($U$5:U235,"&gt;0.005",$B$5:B235,B235))</f>
        <v/>
      </c>
    </row>
    <row r="236">
      <c r="A236" s="46" t="inlineStr">
        <is>
          <t>J-0232</t>
        </is>
      </c>
      <c r="B236" s="47" t="n">
        <v>46241</v>
      </c>
      <c r="C236" s="94" t="n">
        <v>0.625</v>
      </c>
      <c r="D236" s="38" t="inlineStr">
        <is>
          <t>Rowan Foxworth</t>
        </is>
      </c>
      <c r="E236" s="38" t="inlineStr">
        <is>
          <t>876 Magnolia Circle, North Sampletown</t>
        </is>
      </c>
      <c r="F236" s="38" t="inlineStr">
        <is>
          <t>Standard Clean</t>
        </is>
      </c>
      <c r="G236" s="38" t="inlineStr">
        <is>
          <t>R-005</t>
        </is>
      </c>
      <c r="H236" s="38" t="inlineStr">
        <is>
          <t>Maria Lopez</t>
        </is>
      </c>
      <c r="I236" s="57" t="n">
        <v>1</v>
      </c>
      <c r="J236" s="95" t="n"/>
      <c r="K236" s="95" t="n">
        <v>5.33</v>
      </c>
      <c r="L236" s="48" t="n">
        <v>220</v>
      </c>
      <c r="M236" s="96" t="n">
        <v>0</v>
      </c>
      <c r="N236" s="48" t="n"/>
      <c r="O236" s="38" t="inlineStr">
        <is>
          <t>Completed</t>
        </is>
      </c>
      <c r="P236" s="38" t="inlineStr"/>
      <c r="Q236" s="97">
        <f>IF(OR(F236="",E236=""),"",IFERROR(IF(INDEX('PROPERTIES'!$F$5:$F$404,MATCH(E236,'PROPERTIES'!$B$5:$B$404,0))=0,"",ROUND((INDEX('PROPERTIES'!$F$5:$F$404,MATCH(E236,'PROPERTIES'!$B$5:$B$404,0))/INDEX('PRICING'!$C$7:$C$16,MATCH(F236,'PRICING'!$A$7:$A$16,0))+INDEX('PROPERTIES'!$G$5:$G$404,MATCH(E236,'PROPERTIES'!$B$5:$B$404,0))*INDEX('PRICING'!$D$7:$D$16,MATCH(F236,'PRICING'!$A$7:$A$16,0))/60+INDEX('PROPERTIES'!$H$5:$H$404,MATCH(E236,'PROPERTIES'!$B$5:$B$404,0))*INDEX('PRICING'!$E$7:$E$16,MATCH(F236,'PRICING'!$A$7:$A$16,0))/60+INDEX('PRICING'!$F$7:$F$16,MATCH(F236,'PRICING'!$A$7:$A$16,0))/60),2)),""))</f>
        <v/>
      </c>
      <c r="R236" s="97">
        <f>IF(B236="","",IF(N(K236)&gt;0,K236,IF(N(J236)&gt;0,J236,N(Q236))))</f>
        <v/>
      </c>
      <c r="S236" s="55">
        <f>IF(L236="","",ROUND(L236*(1+N(M236)),2))</f>
        <v/>
      </c>
      <c r="T236" s="55">
        <f>IF(B236="","",SUMIFS('REVENUE'!$C$5:$C$1504,'REVENUE'!$B$5:$B$1504,A236))</f>
        <v/>
      </c>
      <c r="U236" s="55">
        <f>IF(B236="","",IF(O236="Completed",MAX(0,N(S236)-T236),""))</f>
        <v/>
      </c>
      <c r="V236" s="49">
        <f>IF(B236="","",IF(O236&lt;&gt;"Completed",IF(T236&gt;0,"Deposit","—"),IF(U236&lt;=0.005,"Paid",IF(T236&gt;0,"Partial","Unpaid"))))</f>
        <v/>
      </c>
      <c r="W236" s="55">
        <f>IF(B236="","",IFERROR(1/(1/INDEX('STAFF &amp; TASKS'!$C$5:$C$24,MATCH(H236,'STAFF &amp; TASKS'!$A$5:$A$24,0))),PayRate))</f>
        <v/>
      </c>
      <c r="X236" s="55">
        <f>IF(B236="","",IF(OR(O236="Cancelled",O236="No-Show"),"",ROUND(R236*W236*(1+Burden),2)))</f>
        <v/>
      </c>
      <c r="Y236" s="55">
        <f>IF(B236="","",IF(OR(O236="Cancelled",O236="No-Show"),"",IF(N236&lt;&gt;"",N236,ROUND(R236*SupHr*IFERROR(INDEX('PRICING'!$G$7:$G$16,MATCH(F236,'PRICING'!$A$7:$A$16,0)),1),2))))</f>
        <v/>
      </c>
      <c r="Z236" s="98">
        <f>IF(B236="","",SUMIFS('MILEAGE'!$J$5:$J$1504,'MILEAGE'!$B$5:$B$1504,A236))</f>
        <v/>
      </c>
      <c r="AA236" s="55">
        <f>IF(B236="","",ROUND(Z236*MileRate,2))</f>
        <v/>
      </c>
      <c r="AB236" s="55">
        <f>IF(B236="","",SUMIFS('REVENUE'!$J$5:$J$1504,'REVENUE'!$B$5:$B$1504,A236))</f>
        <v/>
      </c>
      <c r="AC236" s="55">
        <f>IF(L236="","",IF(OR(O236="Cancelled",O236="No-Show"),"",L236-N(X236)-N(Y236)-AA236-AB236))</f>
        <v/>
      </c>
      <c r="AD236" s="99">
        <f>IF(OR(AC236="",N(L236)=0),"",AC236/L236)</f>
        <v/>
      </c>
      <c r="AE236" s="55">
        <f>IF(OR(AC236="",N(R236)=0),"",L236/R236)</f>
        <v/>
      </c>
      <c r="AF236" s="100">
        <f>IF(OR(N(K236)=0,N(J236)+N(Q236)=0),"",K236-IF(N(J236)&gt;0,J236,Q236))</f>
        <v/>
      </c>
      <c r="AG236" s="99">
        <f>IF(B236="","",IFERROR(AVERAGEIFS('QUALITY CONTROL'!$M$5:$M$304,'QUALITY CONTROL'!$B$5:$B$304,A236),""))</f>
        <v/>
      </c>
      <c r="AH236" s="51">
        <f>IF(B236="","",DATE(YEAR(B236),MONTH(B236),1))</f>
        <v/>
      </c>
      <c r="AI236" s="49">
        <f>IF(D236="","",IFERROR(INDEX('CUSTOMERS'!$E$5:$E$404,MATCH(D236,'CUSTOMERS'!$B$5:$B$404,0)),""))</f>
        <v/>
      </c>
      <c r="AJ236" s="49">
        <f>IF(B236="","",N(C236))</f>
        <v/>
      </c>
      <c r="AK236" s="49">
        <f>IF(OR(B236="",O236="Cancelled",O236="Rescheduled"),"",B236&amp;"|"&amp;(COUNTIFS('JOBS'!$B$5:$B$1504,B236,'JOBS'!$AJ$5:$AJ$1504,"&lt;"&amp;AJ236,'JOBS'!$O$5:$O$1504,"&lt;&gt;Cancelled",'JOBS'!$O$5:$O$1504,"&lt;&gt;Rescheduled")+COUNTIFS($B$5:B236,B236,$AJ$5:AJ236,AJ236,$O$5:O236,"&lt;&gt;Cancelled",$O$5:O236,"&lt;&gt;Rescheduled")))</f>
        <v/>
      </c>
      <c r="AL236" s="49">
        <f>IF(N(U236)&lt;=0.005,"",COUNTIFS('JOBS'!$U$5:$U$1504,"&gt;0.005",'JOBS'!$B$5:$B$1504,"&lt;"&amp;B236)+COUNTIFS($U$5:U236,"&gt;0.005",$B$5:B236,B236))</f>
        <v/>
      </c>
    </row>
    <row r="237">
      <c r="A237" s="46" t="inlineStr">
        <is>
          <t>J-0233</t>
        </is>
      </c>
      <c r="B237" s="47" t="n">
        <v>46242</v>
      </c>
      <c r="C237" s="94" t="n">
        <v>0.5416666666666666</v>
      </c>
      <c r="D237" s="38" t="inlineStr">
        <is>
          <t>Noel Collins</t>
        </is>
      </c>
      <c r="E237" s="38" t="inlineStr">
        <is>
          <t>964 Cedar Court, Lakeview (fictional)</t>
        </is>
      </c>
      <c r="F237" s="38" t="inlineStr">
        <is>
          <t>Standard Clean</t>
        </is>
      </c>
      <c r="G237" s="38" t="inlineStr">
        <is>
          <t>R-004</t>
        </is>
      </c>
      <c r="H237" s="38" t="inlineStr">
        <is>
          <t>Dana Whitfield</t>
        </is>
      </c>
      <c r="I237" s="57" t="n">
        <v>1</v>
      </c>
      <c r="J237" s="95" t="n"/>
      <c r="K237" s="95" t="n">
        <v>5.16</v>
      </c>
      <c r="L237" s="48" t="n">
        <v>245</v>
      </c>
      <c r="M237" s="96" t="n">
        <v>0</v>
      </c>
      <c r="N237" s="48" t="n"/>
      <c r="O237" s="38" t="inlineStr">
        <is>
          <t>Completed</t>
        </is>
      </c>
      <c r="P237" s="38" t="inlineStr"/>
      <c r="Q237" s="97">
        <f>IF(OR(F237="",E237=""),"",IFERROR(IF(INDEX('PROPERTIES'!$F$5:$F$404,MATCH(E237,'PROPERTIES'!$B$5:$B$404,0))=0,"",ROUND((INDEX('PROPERTIES'!$F$5:$F$404,MATCH(E237,'PROPERTIES'!$B$5:$B$404,0))/INDEX('PRICING'!$C$7:$C$16,MATCH(F237,'PRICING'!$A$7:$A$16,0))+INDEX('PROPERTIES'!$G$5:$G$404,MATCH(E237,'PROPERTIES'!$B$5:$B$404,0))*INDEX('PRICING'!$D$7:$D$16,MATCH(F237,'PRICING'!$A$7:$A$16,0))/60+INDEX('PROPERTIES'!$H$5:$H$404,MATCH(E237,'PROPERTIES'!$B$5:$B$404,0))*INDEX('PRICING'!$E$7:$E$16,MATCH(F237,'PRICING'!$A$7:$A$16,0))/60+INDEX('PRICING'!$F$7:$F$16,MATCH(F237,'PRICING'!$A$7:$A$16,0))/60),2)),""))</f>
        <v/>
      </c>
      <c r="R237" s="97">
        <f>IF(B237="","",IF(N(K237)&gt;0,K237,IF(N(J237)&gt;0,J237,N(Q237))))</f>
        <v/>
      </c>
      <c r="S237" s="55">
        <f>IF(L237="","",ROUND(L237*(1+N(M237)),2))</f>
        <v/>
      </c>
      <c r="T237" s="55">
        <f>IF(B237="","",SUMIFS('REVENUE'!$C$5:$C$1504,'REVENUE'!$B$5:$B$1504,A237))</f>
        <v/>
      </c>
      <c r="U237" s="55">
        <f>IF(B237="","",IF(O237="Completed",MAX(0,N(S237)-T237),""))</f>
        <v/>
      </c>
      <c r="V237" s="49">
        <f>IF(B237="","",IF(O237&lt;&gt;"Completed",IF(T237&gt;0,"Deposit","—"),IF(U237&lt;=0.005,"Paid",IF(T237&gt;0,"Partial","Unpaid"))))</f>
        <v/>
      </c>
      <c r="W237" s="55">
        <f>IF(B237="","",IFERROR(1/(1/INDEX('STAFF &amp; TASKS'!$C$5:$C$24,MATCH(H237,'STAFF &amp; TASKS'!$A$5:$A$24,0))),PayRate))</f>
        <v/>
      </c>
      <c r="X237" s="55">
        <f>IF(B237="","",IF(OR(O237="Cancelled",O237="No-Show"),"",ROUND(R237*W237*(1+Burden),2)))</f>
        <v/>
      </c>
      <c r="Y237" s="55">
        <f>IF(B237="","",IF(OR(O237="Cancelled",O237="No-Show"),"",IF(N237&lt;&gt;"",N237,ROUND(R237*SupHr*IFERROR(INDEX('PRICING'!$G$7:$G$16,MATCH(F237,'PRICING'!$A$7:$A$16,0)),1),2))))</f>
        <v/>
      </c>
      <c r="Z237" s="98">
        <f>IF(B237="","",SUMIFS('MILEAGE'!$J$5:$J$1504,'MILEAGE'!$B$5:$B$1504,A237))</f>
        <v/>
      </c>
      <c r="AA237" s="55">
        <f>IF(B237="","",ROUND(Z237*MileRate,2))</f>
        <v/>
      </c>
      <c r="AB237" s="55">
        <f>IF(B237="","",SUMIFS('REVENUE'!$J$5:$J$1504,'REVENUE'!$B$5:$B$1504,A237))</f>
        <v/>
      </c>
      <c r="AC237" s="55">
        <f>IF(L237="","",IF(OR(O237="Cancelled",O237="No-Show"),"",L237-N(X237)-N(Y237)-AA237-AB237))</f>
        <v/>
      </c>
      <c r="AD237" s="99">
        <f>IF(OR(AC237="",N(L237)=0),"",AC237/L237)</f>
        <v/>
      </c>
      <c r="AE237" s="55">
        <f>IF(OR(AC237="",N(R237)=0),"",L237/R237)</f>
        <v/>
      </c>
      <c r="AF237" s="100">
        <f>IF(OR(N(K237)=0,N(J237)+N(Q237)=0),"",K237-IF(N(J237)&gt;0,J237,Q237))</f>
        <v/>
      </c>
      <c r="AG237" s="99">
        <f>IF(B237="","",IFERROR(AVERAGEIFS('QUALITY CONTROL'!$M$5:$M$304,'QUALITY CONTROL'!$B$5:$B$304,A237),""))</f>
        <v/>
      </c>
      <c r="AH237" s="51">
        <f>IF(B237="","",DATE(YEAR(B237),MONTH(B237),1))</f>
        <v/>
      </c>
      <c r="AI237" s="49">
        <f>IF(D237="","",IFERROR(INDEX('CUSTOMERS'!$E$5:$E$404,MATCH(D237,'CUSTOMERS'!$B$5:$B$404,0)),""))</f>
        <v/>
      </c>
      <c r="AJ237" s="49">
        <f>IF(B237="","",N(C237))</f>
        <v/>
      </c>
      <c r="AK237" s="49">
        <f>IF(OR(B237="",O237="Cancelled",O237="Rescheduled"),"",B237&amp;"|"&amp;(COUNTIFS('JOBS'!$B$5:$B$1504,B237,'JOBS'!$AJ$5:$AJ$1504,"&lt;"&amp;AJ237,'JOBS'!$O$5:$O$1504,"&lt;&gt;Cancelled",'JOBS'!$O$5:$O$1504,"&lt;&gt;Rescheduled")+COUNTIFS($B$5:B237,B237,$AJ$5:AJ237,AJ237,$O$5:O237,"&lt;&gt;Cancelled",$O$5:O237,"&lt;&gt;Rescheduled")))</f>
        <v/>
      </c>
      <c r="AL237" s="49">
        <f>IF(N(U237)&lt;=0.005,"",COUNTIFS('JOBS'!$U$5:$U$1504,"&gt;0.005",'JOBS'!$B$5:$B$1504,"&lt;"&amp;B237)+COUNTIFS($U$5:U237,"&gt;0.005",$B$5:B237,B237))</f>
        <v/>
      </c>
    </row>
    <row r="238">
      <c r="A238" s="46" t="inlineStr">
        <is>
          <t>J-0234</t>
        </is>
      </c>
      <c r="B238" s="47" t="n">
        <v>46243</v>
      </c>
      <c r="C238" s="94" t="n">
        <v>0.3333333333333333</v>
      </c>
      <c r="D238" s="38" t="inlineStr">
        <is>
          <t>Emerson Holloway</t>
        </is>
      </c>
      <c r="E238" s="38" t="inlineStr">
        <is>
          <t>192 Birch Lane, North Sampletown</t>
        </is>
      </c>
      <c r="F238" s="38" t="inlineStr">
        <is>
          <t>Airbnb Turnover</t>
        </is>
      </c>
      <c r="G238" s="38" t="n"/>
      <c r="H238" s="38" t="inlineStr">
        <is>
          <t>Kevin Osei</t>
        </is>
      </c>
      <c r="I238" s="57" t="n">
        <v>1</v>
      </c>
      <c r="J238" s="95" t="n"/>
      <c r="K238" s="95" t="n">
        <v>2.41</v>
      </c>
      <c r="L238" s="48" t="n">
        <v>150</v>
      </c>
      <c r="M238" s="96" t="n">
        <v>0</v>
      </c>
      <c r="N238" s="48" t="n"/>
      <c r="O238" s="38" t="inlineStr">
        <is>
          <t>Completed</t>
        </is>
      </c>
      <c r="P238" s="38" t="inlineStr">
        <is>
          <t>Includes laundry</t>
        </is>
      </c>
      <c r="Q238" s="97">
        <f>IF(OR(F238="",E238=""),"",IFERROR(IF(INDEX('PROPERTIES'!$F$5:$F$404,MATCH(E238,'PROPERTIES'!$B$5:$B$404,0))=0,"",ROUND((INDEX('PROPERTIES'!$F$5:$F$404,MATCH(E238,'PROPERTIES'!$B$5:$B$404,0))/INDEX('PRICING'!$C$7:$C$16,MATCH(F238,'PRICING'!$A$7:$A$16,0))+INDEX('PROPERTIES'!$G$5:$G$404,MATCH(E238,'PROPERTIES'!$B$5:$B$404,0))*INDEX('PRICING'!$D$7:$D$16,MATCH(F238,'PRICING'!$A$7:$A$16,0))/60+INDEX('PROPERTIES'!$H$5:$H$404,MATCH(E238,'PROPERTIES'!$B$5:$B$404,0))*INDEX('PRICING'!$E$7:$E$16,MATCH(F238,'PRICING'!$A$7:$A$16,0))/60+INDEX('PRICING'!$F$7:$F$16,MATCH(F238,'PRICING'!$A$7:$A$16,0))/60),2)),""))</f>
        <v/>
      </c>
      <c r="R238" s="97">
        <f>IF(B238="","",IF(N(K238)&gt;0,K238,IF(N(J238)&gt;0,J238,N(Q238))))</f>
        <v/>
      </c>
      <c r="S238" s="55">
        <f>IF(L238="","",ROUND(L238*(1+N(M238)),2))</f>
        <v/>
      </c>
      <c r="T238" s="55">
        <f>IF(B238="","",SUMIFS('REVENUE'!$C$5:$C$1504,'REVENUE'!$B$5:$B$1504,A238))</f>
        <v/>
      </c>
      <c r="U238" s="55">
        <f>IF(B238="","",IF(O238="Completed",MAX(0,N(S238)-T238),""))</f>
        <v/>
      </c>
      <c r="V238" s="49">
        <f>IF(B238="","",IF(O238&lt;&gt;"Completed",IF(T238&gt;0,"Deposit","—"),IF(U238&lt;=0.005,"Paid",IF(T238&gt;0,"Partial","Unpaid"))))</f>
        <v/>
      </c>
      <c r="W238" s="55">
        <f>IF(B238="","",IFERROR(1/(1/INDEX('STAFF &amp; TASKS'!$C$5:$C$24,MATCH(H238,'STAFF &amp; TASKS'!$A$5:$A$24,0))),PayRate))</f>
        <v/>
      </c>
      <c r="X238" s="55">
        <f>IF(B238="","",IF(OR(O238="Cancelled",O238="No-Show"),"",ROUND(R238*W238*(1+Burden),2)))</f>
        <v/>
      </c>
      <c r="Y238" s="55">
        <f>IF(B238="","",IF(OR(O238="Cancelled",O238="No-Show"),"",IF(N238&lt;&gt;"",N238,ROUND(R238*SupHr*IFERROR(INDEX('PRICING'!$G$7:$G$16,MATCH(F238,'PRICING'!$A$7:$A$16,0)),1),2))))</f>
        <v/>
      </c>
      <c r="Z238" s="98">
        <f>IF(B238="","",SUMIFS('MILEAGE'!$J$5:$J$1504,'MILEAGE'!$B$5:$B$1504,A238))</f>
        <v/>
      </c>
      <c r="AA238" s="55">
        <f>IF(B238="","",ROUND(Z238*MileRate,2))</f>
        <v/>
      </c>
      <c r="AB238" s="55">
        <f>IF(B238="","",SUMIFS('REVENUE'!$J$5:$J$1504,'REVENUE'!$B$5:$B$1504,A238))</f>
        <v/>
      </c>
      <c r="AC238" s="55">
        <f>IF(L238="","",IF(OR(O238="Cancelled",O238="No-Show"),"",L238-N(X238)-N(Y238)-AA238-AB238))</f>
        <v/>
      </c>
      <c r="AD238" s="99">
        <f>IF(OR(AC238="",N(L238)=0),"",AC238/L238)</f>
        <v/>
      </c>
      <c r="AE238" s="55">
        <f>IF(OR(AC238="",N(R238)=0),"",L238/R238)</f>
        <v/>
      </c>
      <c r="AF238" s="100">
        <f>IF(OR(N(K238)=0,N(J238)+N(Q238)=0),"",K238-IF(N(J238)&gt;0,J238,Q238))</f>
        <v/>
      </c>
      <c r="AG238" s="99">
        <f>IF(B238="","",IFERROR(AVERAGEIFS('QUALITY CONTROL'!$M$5:$M$304,'QUALITY CONTROL'!$B$5:$B$304,A238),""))</f>
        <v/>
      </c>
      <c r="AH238" s="51">
        <f>IF(B238="","",DATE(YEAR(B238),MONTH(B238),1))</f>
        <v/>
      </c>
      <c r="AI238" s="49">
        <f>IF(D238="","",IFERROR(INDEX('CUSTOMERS'!$E$5:$E$404,MATCH(D238,'CUSTOMERS'!$B$5:$B$404,0)),""))</f>
        <v/>
      </c>
      <c r="AJ238" s="49">
        <f>IF(B238="","",N(C238))</f>
        <v/>
      </c>
      <c r="AK238" s="49">
        <f>IF(OR(B238="",O238="Cancelled",O238="Rescheduled"),"",B238&amp;"|"&amp;(COUNTIFS('JOBS'!$B$5:$B$1504,B238,'JOBS'!$AJ$5:$AJ$1504,"&lt;"&amp;AJ238,'JOBS'!$O$5:$O$1504,"&lt;&gt;Cancelled",'JOBS'!$O$5:$O$1504,"&lt;&gt;Rescheduled")+COUNTIFS($B$5:B238,B238,$AJ$5:AJ238,AJ238,$O$5:O238,"&lt;&gt;Cancelled",$O$5:O238,"&lt;&gt;Rescheduled")))</f>
        <v/>
      </c>
      <c r="AL238" s="49">
        <f>IF(N(U238)&lt;=0.005,"",COUNTIFS('JOBS'!$U$5:$U$1504,"&gt;0.005",'JOBS'!$B$5:$B$1504,"&lt;"&amp;B238)+COUNTIFS($U$5:U238,"&gt;0.005",$B$5:B238,B238))</f>
        <v/>
      </c>
    </row>
    <row r="239">
      <c r="A239" s="46" t="inlineStr">
        <is>
          <t>J-0235</t>
        </is>
      </c>
      <c r="B239" s="47" t="n">
        <v>46243</v>
      </c>
      <c r="C239" s="94" t="n">
        <v>0.3541666666666667</v>
      </c>
      <c r="D239" s="38" t="inlineStr">
        <is>
          <t>Blake Oakes</t>
        </is>
      </c>
      <c r="E239" s="38" t="inlineStr">
        <is>
          <t>654 Willow Way, North Sampletown</t>
        </is>
      </c>
      <c r="F239" s="38" t="inlineStr">
        <is>
          <t>Airbnb Turnover</t>
        </is>
      </c>
      <c r="G239" s="38" t="n"/>
      <c r="H239" s="38" t="inlineStr">
        <is>
          <t>Kevin Osei</t>
        </is>
      </c>
      <c r="I239" s="57" t="n">
        <v>1</v>
      </c>
      <c r="J239" s="95" t="n"/>
      <c r="K239" s="95" t="n">
        <v>1.77</v>
      </c>
      <c r="L239" s="48" t="n">
        <v>135</v>
      </c>
      <c r="M239" s="96" t="n">
        <v>0</v>
      </c>
      <c r="N239" s="48" t="n"/>
      <c r="O239" s="38" t="inlineStr">
        <is>
          <t>Completed</t>
        </is>
      </c>
      <c r="P239" s="38" t="inlineStr">
        <is>
          <t>Includes laundry</t>
        </is>
      </c>
      <c r="Q239" s="97">
        <f>IF(OR(F239="",E239=""),"",IFERROR(IF(INDEX('PROPERTIES'!$F$5:$F$404,MATCH(E239,'PROPERTIES'!$B$5:$B$404,0))=0,"",ROUND((INDEX('PROPERTIES'!$F$5:$F$404,MATCH(E239,'PROPERTIES'!$B$5:$B$404,0))/INDEX('PRICING'!$C$7:$C$16,MATCH(F239,'PRICING'!$A$7:$A$16,0))+INDEX('PROPERTIES'!$G$5:$G$404,MATCH(E239,'PROPERTIES'!$B$5:$B$404,0))*INDEX('PRICING'!$D$7:$D$16,MATCH(F239,'PRICING'!$A$7:$A$16,0))/60+INDEX('PROPERTIES'!$H$5:$H$404,MATCH(E239,'PROPERTIES'!$B$5:$B$404,0))*INDEX('PRICING'!$E$7:$E$16,MATCH(F239,'PRICING'!$A$7:$A$16,0))/60+INDEX('PRICING'!$F$7:$F$16,MATCH(F239,'PRICING'!$A$7:$A$16,0))/60),2)),""))</f>
        <v/>
      </c>
      <c r="R239" s="97">
        <f>IF(B239="","",IF(N(K239)&gt;0,K239,IF(N(J239)&gt;0,J239,N(Q239))))</f>
        <v/>
      </c>
      <c r="S239" s="55">
        <f>IF(L239="","",ROUND(L239*(1+N(M239)),2))</f>
        <v/>
      </c>
      <c r="T239" s="55">
        <f>IF(B239="","",SUMIFS('REVENUE'!$C$5:$C$1504,'REVENUE'!$B$5:$B$1504,A239))</f>
        <v/>
      </c>
      <c r="U239" s="55">
        <f>IF(B239="","",IF(O239="Completed",MAX(0,N(S239)-T239),""))</f>
        <v/>
      </c>
      <c r="V239" s="49">
        <f>IF(B239="","",IF(O239&lt;&gt;"Completed",IF(T239&gt;0,"Deposit","—"),IF(U239&lt;=0.005,"Paid",IF(T239&gt;0,"Partial","Unpaid"))))</f>
        <v/>
      </c>
      <c r="W239" s="55">
        <f>IF(B239="","",IFERROR(1/(1/INDEX('STAFF &amp; TASKS'!$C$5:$C$24,MATCH(H239,'STAFF &amp; TASKS'!$A$5:$A$24,0))),PayRate))</f>
        <v/>
      </c>
      <c r="X239" s="55">
        <f>IF(B239="","",IF(OR(O239="Cancelled",O239="No-Show"),"",ROUND(R239*W239*(1+Burden),2)))</f>
        <v/>
      </c>
      <c r="Y239" s="55">
        <f>IF(B239="","",IF(OR(O239="Cancelled",O239="No-Show"),"",IF(N239&lt;&gt;"",N239,ROUND(R239*SupHr*IFERROR(INDEX('PRICING'!$G$7:$G$16,MATCH(F239,'PRICING'!$A$7:$A$16,0)),1),2))))</f>
        <v/>
      </c>
      <c r="Z239" s="98">
        <f>IF(B239="","",SUMIFS('MILEAGE'!$J$5:$J$1504,'MILEAGE'!$B$5:$B$1504,A239))</f>
        <v/>
      </c>
      <c r="AA239" s="55">
        <f>IF(B239="","",ROUND(Z239*MileRate,2))</f>
        <v/>
      </c>
      <c r="AB239" s="55">
        <f>IF(B239="","",SUMIFS('REVENUE'!$J$5:$J$1504,'REVENUE'!$B$5:$B$1504,A239))</f>
        <v/>
      </c>
      <c r="AC239" s="55">
        <f>IF(L239="","",IF(OR(O239="Cancelled",O239="No-Show"),"",L239-N(X239)-N(Y239)-AA239-AB239))</f>
        <v/>
      </c>
      <c r="AD239" s="99">
        <f>IF(OR(AC239="",N(L239)=0),"",AC239/L239)</f>
        <v/>
      </c>
      <c r="AE239" s="55">
        <f>IF(OR(AC239="",N(R239)=0),"",L239/R239)</f>
        <v/>
      </c>
      <c r="AF239" s="100">
        <f>IF(OR(N(K239)=0,N(J239)+N(Q239)=0),"",K239-IF(N(J239)&gt;0,J239,Q239))</f>
        <v/>
      </c>
      <c r="AG239" s="99">
        <f>IF(B239="","",IFERROR(AVERAGEIFS('QUALITY CONTROL'!$M$5:$M$304,'QUALITY CONTROL'!$B$5:$B$304,A239),""))</f>
        <v/>
      </c>
      <c r="AH239" s="51">
        <f>IF(B239="","",DATE(YEAR(B239),MONTH(B239),1))</f>
        <v/>
      </c>
      <c r="AI239" s="49">
        <f>IF(D239="","",IFERROR(INDEX('CUSTOMERS'!$E$5:$E$404,MATCH(D239,'CUSTOMERS'!$B$5:$B$404,0)),""))</f>
        <v/>
      </c>
      <c r="AJ239" s="49">
        <f>IF(B239="","",N(C239))</f>
        <v/>
      </c>
      <c r="AK239" s="49">
        <f>IF(OR(B239="",O239="Cancelled",O239="Rescheduled"),"",B239&amp;"|"&amp;(COUNTIFS('JOBS'!$B$5:$B$1504,B239,'JOBS'!$AJ$5:$AJ$1504,"&lt;"&amp;AJ239,'JOBS'!$O$5:$O$1504,"&lt;&gt;Cancelled",'JOBS'!$O$5:$O$1504,"&lt;&gt;Rescheduled")+COUNTIFS($B$5:B239,B239,$AJ$5:AJ239,AJ239,$O$5:O239,"&lt;&gt;Cancelled",$O$5:O239,"&lt;&gt;Rescheduled")))</f>
        <v/>
      </c>
      <c r="AL239" s="49">
        <f>IF(N(U239)&lt;=0.005,"",COUNTIFS('JOBS'!$U$5:$U$1504,"&gt;0.005",'JOBS'!$B$5:$B$1504,"&lt;"&amp;B239)+COUNTIFS($U$5:U239,"&gt;0.005",$B$5:B239,B239))</f>
        <v/>
      </c>
    </row>
    <row r="240">
      <c r="A240" s="46" t="inlineStr">
        <is>
          <t>J-0236</t>
        </is>
      </c>
      <c r="B240" s="47" t="n">
        <v>46245</v>
      </c>
      <c r="C240" s="94" t="n">
        <v>0.625</v>
      </c>
      <c r="D240" s="38" t="inlineStr">
        <is>
          <t>Lane Ivers</t>
        </is>
      </c>
      <c r="E240" s="38" t="inlineStr">
        <is>
          <t>497 Aspen Drive, Sampletown</t>
        </is>
      </c>
      <c r="F240" s="38" t="inlineStr">
        <is>
          <t>Standard Clean</t>
        </is>
      </c>
      <c r="G240" s="38" t="inlineStr">
        <is>
          <t>R-001</t>
        </is>
      </c>
      <c r="H240" s="38" t="inlineStr">
        <is>
          <t>Maria Lopez</t>
        </is>
      </c>
      <c r="I240" s="57" t="n">
        <v>1</v>
      </c>
      <c r="J240" s="95" t="n"/>
      <c r="K240" s="95" t="n">
        <v>4.33</v>
      </c>
      <c r="L240" s="48" t="n">
        <v>175</v>
      </c>
      <c r="M240" s="96" t="n">
        <v>0</v>
      </c>
      <c r="N240" s="48" t="n"/>
      <c r="O240" s="38" t="inlineStr">
        <is>
          <t>Completed</t>
        </is>
      </c>
      <c r="P240" s="38" t="inlineStr"/>
      <c r="Q240" s="97">
        <f>IF(OR(F240="",E240=""),"",IFERROR(IF(INDEX('PROPERTIES'!$F$5:$F$404,MATCH(E240,'PROPERTIES'!$B$5:$B$404,0))=0,"",ROUND((INDEX('PROPERTIES'!$F$5:$F$404,MATCH(E240,'PROPERTIES'!$B$5:$B$404,0))/INDEX('PRICING'!$C$7:$C$16,MATCH(F240,'PRICING'!$A$7:$A$16,0))+INDEX('PROPERTIES'!$G$5:$G$404,MATCH(E240,'PROPERTIES'!$B$5:$B$404,0))*INDEX('PRICING'!$D$7:$D$16,MATCH(F240,'PRICING'!$A$7:$A$16,0))/60+INDEX('PROPERTIES'!$H$5:$H$404,MATCH(E240,'PROPERTIES'!$B$5:$B$404,0))*INDEX('PRICING'!$E$7:$E$16,MATCH(F240,'PRICING'!$A$7:$A$16,0))/60+INDEX('PRICING'!$F$7:$F$16,MATCH(F240,'PRICING'!$A$7:$A$16,0))/60),2)),""))</f>
        <v/>
      </c>
      <c r="R240" s="97">
        <f>IF(B240="","",IF(N(K240)&gt;0,K240,IF(N(J240)&gt;0,J240,N(Q240))))</f>
        <v/>
      </c>
      <c r="S240" s="55">
        <f>IF(L240="","",ROUND(L240*(1+N(M240)),2))</f>
        <v/>
      </c>
      <c r="T240" s="55">
        <f>IF(B240="","",SUMIFS('REVENUE'!$C$5:$C$1504,'REVENUE'!$B$5:$B$1504,A240))</f>
        <v/>
      </c>
      <c r="U240" s="55">
        <f>IF(B240="","",IF(O240="Completed",MAX(0,N(S240)-T240),""))</f>
        <v/>
      </c>
      <c r="V240" s="49">
        <f>IF(B240="","",IF(O240&lt;&gt;"Completed",IF(T240&gt;0,"Deposit","—"),IF(U240&lt;=0.005,"Paid",IF(T240&gt;0,"Partial","Unpaid"))))</f>
        <v/>
      </c>
      <c r="W240" s="55">
        <f>IF(B240="","",IFERROR(1/(1/INDEX('STAFF &amp; TASKS'!$C$5:$C$24,MATCH(H240,'STAFF &amp; TASKS'!$A$5:$A$24,0))),PayRate))</f>
        <v/>
      </c>
      <c r="X240" s="55">
        <f>IF(B240="","",IF(OR(O240="Cancelled",O240="No-Show"),"",ROUND(R240*W240*(1+Burden),2)))</f>
        <v/>
      </c>
      <c r="Y240" s="55">
        <f>IF(B240="","",IF(OR(O240="Cancelled",O240="No-Show"),"",IF(N240&lt;&gt;"",N240,ROUND(R240*SupHr*IFERROR(INDEX('PRICING'!$G$7:$G$16,MATCH(F240,'PRICING'!$A$7:$A$16,0)),1),2))))</f>
        <v/>
      </c>
      <c r="Z240" s="98">
        <f>IF(B240="","",SUMIFS('MILEAGE'!$J$5:$J$1504,'MILEAGE'!$B$5:$B$1504,A240))</f>
        <v/>
      </c>
      <c r="AA240" s="55">
        <f>IF(B240="","",ROUND(Z240*MileRate,2))</f>
        <v/>
      </c>
      <c r="AB240" s="55">
        <f>IF(B240="","",SUMIFS('REVENUE'!$J$5:$J$1504,'REVENUE'!$B$5:$B$1504,A240))</f>
        <v/>
      </c>
      <c r="AC240" s="55">
        <f>IF(L240="","",IF(OR(O240="Cancelled",O240="No-Show"),"",L240-N(X240)-N(Y240)-AA240-AB240))</f>
        <v/>
      </c>
      <c r="AD240" s="99">
        <f>IF(OR(AC240="",N(L240)=0),"",AC240/L240)</f>
        <v/>
      </c>
      <c r="AE240" s="55">
        <f>IF(OR(AC240="",N(R240)=0),"",L240/R240)</f>
        <v/>
      </c>
      <c r="AF240" s="100">
        <f>IF(OR(N(K240)=0,N(J240)+N(Q240)=0),"",K240-IF(N(J240)&gt;0,J240,Q240))</f>
        <v/>
      </c>
      <c r="AG240" s="99">
        <f>IF(B240="","",IFERROR(AVERAGEIFS('QUALITY CONTROL'!$M$5:$M$304,'QUALITY CONTROL'!$B$5:$B$304,A240),""))</f>
        <v/>
      </c>
      <c r="AH240" s="51">
        <f>IF(B240="","",DATE(YEAR(B240),MONTH(B240),1))</f>
        <v/>
      </c>
      <c r="AI240" s="49">
        <f>IF(D240="","",IFERROR(INDEX('CUSTOMERS'!$E$5:$E$404,MATCH(D240,'CUSTOMERS'!$B$5:$B$404,0)),""))</f>
        <v/>
      </c>
      <c r="AJ240" s="49">
        <f>IF(B240="","",N(C240))</f>
        <v/>
      </c>
      <c r="AK240" s="49">
        <f>IF(OR(B240="",O240="Cancelled",O240="Rescheduled"),"",B240&amp;"|"&amp;(COUNTIFS('JOBS'!$B$5:$B$1504,B240,'JOBS'!$AJ$5:$AJ$1504,"&lt;"&amp;AJ240,'JOBS'!$O$5:$O$1504,"&lt;&gt;Cancelled",'JOBS'!$O$5:$O$1504,"&lt;&gt;Rescheduled")+COUNTIFS($B$5:B240,B240,$AJ$5:AJ240,AJ240,$O$5:O240,"&lt;&gt;Cancelled",$O$5:O240,"&lt;&gt;Rescheduled")))</f>
        <v/>
      </c>
      <c r="AL240" s="49">
        <f>IF(N(U240)&lt;=0.005,"",COUNTIFS('JOBS'!$U$5:$U$1504,"&gt;0.005",'JOBS'!$B$5:$B$1504,"&lt;"&amp;B240)+COUNTIFS($U$5:U240,"&gt;0.005",$B$5:B240,B240))</f>
        <v/>
      </c>
    </row>
    <row r="241">
      <c r="A241" s="46" t="inlineStr">
        <is>
          <t>J-0237</t>
        </is>
      </c>
      <c r="B241" s="47" t="n">
        <v>46247</v>
      </c>
      <c r="C241" s="94" t="n">
        <v>0.3333333333333333</v>
      </c>
      <c r="D241" s="38" t="inlineStr">
        <is>
          <t>Emerson Calloway</t>
        </is>
      </c>
      <c r="E241" s="38" t="inlineStr">
        <is>
          <t>80 Sycamore Street, North Sampletown</t>
        </is>
      </c>
      <c r="F241" s="38" t="inlineStr">
        <is>
          <t>Deep Clean</t>
        </is>
      </c>
      <c r="G241" s="38" t="n"/>
      <c r="H241" s="38" t="inlineStr">
        <is>
          <t>Maria Lopez</t>
        </is>
      </c>
      <c r="I241" s="57" t="n">
        <v>2</v>
      </c>
      <c r="J241" s="95" t="n"/>
      <c r="K241" s="95" t="n">
        <v>7.44</v>
      </c>
      <c r="L241" s="48" t="n">
        <v>380</v>
      </c>
      <c r="M241" s="96" t="n">
        <v>0</v>
      </c>
      <c r="N241" s="48" t="n"/>
      <c r="O241" s="38" t="inlineStr">
        <is>
          <t>Completed</t>
        </is>
      </c>
      <c r="P241" s="38" t="inlineStr"/>
      <c r="Q241" s="97">
        <f>IF(OR(F241="",E241=""),"",IFERROR(IF(INDEX('PROPERTIES'!$F$5:$F$404,MATCH(E241,'PROPERTIES'!$B$5:$B$404,0))=0,"",ROUND((INDEX('PROPERTIES'!$F$5:$F$404,MATCH(E241,'PROPERTIES'!$B$5:$B$404,0))/INDEX('PRICING'!$C$7:$C$16,MATCH(F241,'PRICING'!$A$7:$A$16,0))+INDEX('PROPERTIES'!$G$5:$G$404,MATCH(E241,'PROPERTIES'!$B$5:$B$404,0))*INDEX('PRICING'!$D$7:$D$16,MATCH(F241,'PRICING'!$A$7:$A$16,0))/60+INDEX('PROPERTIES'!$H$5:$H$404,MATCH(E241,'PROPERTIES'!$B$5:$B$404,0))*INDEX('PRICING'!$E$7:$E$16,MATCH(F241,'PRICING'!$A$7:$A$16,0))/60+INDEX('PRICING'!$F$7:$F$16,MATCH(F241,'PRICING'!$A$7:$A$16,0))/60),2)),""))</f>
        <v/>
      </c>
      <c r="R241" s="97">
        <f>IF(B241="","",IF(N(K241)&gt;0,K241,IF(N(J241)&gt;0,J241,N(Q241))))</f>
        <v/>
      </c>
      <c r="S241" s="55">
        <f>IF(L241="","",ROUND(L241*(1+N(M241)),2))</f>
        <v/>
      </c>
      <c r="T241" s="55">
        <f>IF(B241="","",SUMIFS('REVENUE'!$C$5:$C$1504,'REVENUE'!$B$5:$B$1504,A241))</f>
        <v/>
      </c>
      <c r="U241" s="55">
        <f>IF(B241="","",IF(O241="Completed",MAX(0,N(S241)-T241),""))</f>
        <v/>
      </c>
      <c r="V241" s="49">
        <f>IF(B241="","",IF(O241&lt;&gt;"Completed",IF(T241&gt;0,"Deposit","—"),IF(U241&lt;=0.005,"Paid",IF(T241&gt;0,"Partial","Unpaid"))))</f>
        <v/>
      </c>
      <c r="W241" s="55">
        <f>IF(B241="","",IFERROR(1/(1/INDEX('STAFF &amp; TASKS'!$C$5:$C$24,MATCH(H241,'STAFF &amp; TASKS'!$A$5:$A$24,0))),PayRate))</f>
        <v/>
      </c>
      <c r="X241" s="55">
        <f>IF(B241="","",IF(OR(O241="Cancelled",O241="No-Show"),"",ROUND(R241*W241*(1+Burden),2)))</f>
        <v/>
      </c>
      <c r="Y241" s="55">
        <f>IF(B241="","",IF(OR(O241="Cancelled",O241="No-Show"),"",IF(N241&lt;&gt;"",N241,ROUND(R241*SupHr*IFERROR(INDEX('PRICING'!$G$7:$G$16,MATCH(F241,'PRICING'!$A$7:$A$16,0)),1),2))))</f>
        <v/>
      </c>
      <c r="Z241" s="98">
        <f>IF(B241="","",SUMIFS('MILEAGE'!$J$5:$J$1504,'MILEAGE'!$B$5:$B$1504,A241))</f>
        <v/>
      </c>
      <c r="AA241" s="55">
        <f>IF(B241="","",ROUND(Z241*MileRate,2))</f>
        <v/>
      </c>
      <c r="AB241" s="55">
        <f>IF(B241="","",SUMIFS('REVENUE'!$J$5:$J$1504,'REVENUE'!$B$5:$B$1504,A241))</f>
        <v/>
      </c>
      <c r="AC241" s="55">
        <f>IF(L241="","",IF(OR(O241="Cancelled",O241="No-Show"),"",L241-N(X241)-N(Y241)-AA241-AB241))</f>
        <v/>
      </c>
      <c r="AD241" s="99">
        <f>IF(OR(AC241="",N(L241)=0),"",AC241/L241)</f>
        <v/>
      </c>
      <c r="AE241" s="55">
        <f>IF(OR(AC241="",N(R241)=0),"",L241/R241)</f>
        <v/>
      </c>
      <c r="AF241" s="100">
        <f>IF(OR(N(K241)=0,N(J241)+N(Q241)=0),"",K241-IF(N(J241)&gt;0,J241,Q241))</f>
        <v/>
      </c>
      <c r="AG241" s="99">
        <f>IF(B241="","",IFERROR(AVERAGEIFS('QUALITY CONTROL'!$M$5:$M$304,'QUALITY CONTROL'!$B$5:$B$304,A241),""))</f>
        <v/>
      </c>
      <c r="AH241" s="51">
        <f>IF(B241="","",DATE(YEAR(B241),MONTH(B241),1))</f>
        <v/>
      </c>
      <c r="AI241" s="49">
        <f>IF(D241="","",IFERROR(INDEX('CUSTOMERS'!$E$5:$E$404,MATCH(D241,'CUSTOMERS'!$B$5:$B$404,0)),""))</f>
        <v/>
      </c>
      <c r="AJ241" s="49">
        <f>IF(B241="","",N(C241))</f>
        <v/>
      </c>
      <c r="AK241" s="49">
        <f>IF(OR(B241="",O241="Cancelled",O241="Rescheduled"),"",B241&amp;"|"&amp;(COUNTIFS('JOBS'!$B$5:$B$1504,B241,'JOBS'!$AJ$5:$AJ$1504,"&lt;"&amp;AJ241,'JOBS'!$O$5:$O$1504,"&lt;&gt;Cancelled",'JOBS'!$O$5:$O$1504,"&lt;&gt;Rescheduled")+COUNTIFS($B$5:B241,B241,$AJ$5:AJ241,AJ241,$O$5:O241,"&lt;&gt;Cancelled",$O$5:O241,"&lt;&gt;Rescheduled")))</f>
        <v/>
      </c>
      <c r="AL241" s="49">
        <f>IF(N(U241)&lt;=0.005,"",COUNTIFS('JOBS'!$U$5:$U$1504,"&gt;0.005",'JOBS'!$B$5:$B$1504,"&lt;"&amp;B241)+COUNTIFS($U$5:U241,"&gt;0.005",$B$5:B241,B241))</f>
        <v/>
      </c>
    </row>
    <row r="242">
      <c r="A242" s="46" t="inlineStr">
        <is>
          <t>J-0238</t>
        </is>
      </c>
      <c r="B242" s="47" t="n">
        <v>46247</v>
      </c>
      <c r="C242" s="94" t="n">
        <v>0.5208333333333334</v>
      </c>
      <c r="D242" s="38" t="inlineStr">
        <is>
          <t>Dana Oakes</t>
        </is>
      </c>
      <c r="E242" s="38" t="inlineStr">
        <is>
          <t>666 Juniper Street, North Sampletown</t>
        </is>
      </c>
      <c r="F242" s="38" t="inlineStr">
        <is>
          <t>Airbnb Turnover</t>
        </is>
      </c>
      <c r="G242" s="38" t="n"/>
      <c r="H242" s="38" t="inlineStr">
        <is>
          <t>Kevin Osei</t>
        </is>
      </c>
      <c r="I242" s="57" t="n">
        <v>1</v>
      </c>
      <c r="J242" s="95" t="n"/>
      <c r="K242" s="95" t="n">
        <v>1.9</v>
      </c>
      <c r="L242" s="48" t="n">
        <v>135</v>
      </c>
      <c r="M242" s="96" t="n">
        <v>0</v>
      </c>
      <c r="N242" s="48" t="n"/>
      <c r="O242" s="38" t="inlineStr">
        <is>
          <t>Completed</t>
        </is>
      </c>
      <c r="P242" s="38" t="inlineStr">
        <is>
          <t>Includes laundry</t>
        </is>
      </c>
      <c r="Q242" s="97">
        <f>IF(OR(F242="",E242=""),"",IFERROR(IF(INDEX('PROPERTIES'!$F$5:$F$404,MATCH(E242,'PROPERTIES'!$B$5:$B$404,0))=0,"",ROUND((INDEX('PROPERTIES'!$F$5:$F$404,MATCH(E242,'PROPERTIES'!$B$5:$B$404,0))/INDEX('PRICING'!$C$7:$C$16,MATCH(F242,'PRICING'!$A$7:$A$16,0))+INDEX('PROPERTIES'!$G$5:$G$404,MATCH(E242,'PROPERTIES'!$B$5:$B$404,0))*INDEX('PRICING'!$D$7:$D$16,MATCH(F242,'PRICING'!$A$7:$A$16,0))/60+INDEX('PROPERTIES'!$H$5:$H$404,MATCH(E242,'PROPERTIES'!$B$5:$B$404,0))*INDEX('PRICING'!$E$7:$E$16,MATCH(F242,'PRICING'!$A$7:$A$16,0))/60+INDEX('PRICING'!$F$7:$F$16,MATCH(F242,'PRICING'!$A$7:$A$16,0))/60),2)),""))</f>
        <v/>
      </c>
      <c r="R242" s="97">
        <f>IF(B242="","",IF(N(K242)&gt;0,K242,IF(N(J242)&gt;0,J242,N(Q242))))</f>
        <v/>
      </c>
      <c r="S242" s="55">
        <f>IF(L242="","",ROUND(L242*(1+N(M242)),2))</f>
        <v/>
      </c>
      <c r="T242" s="55">
        <f>IF(B242="","",SUMIFS('REVENUE'!$C$5:$C$1504,'REVENUE'!$B$5:$B$1504,A242))</f>
        <v/>
      </c>
      <c r="U242" s="55">
        <f>IF(B242="","",IF(O242="Completed",MAX(0,N(S242)-T242),""))</f>
        <v/>
      </c>
      <c r="V242" s="49">
        <f>IF(B242="","",IF(O242&lt;&gt;"Completed",IF(T242&gt;0,"Deposit","—"),IF(U242&lt;=0.005,"Paid",IF(T242&gt;0,"Partial","Unpaid"))))</f>
        <v/>
      </c>
      <c r="W242" s="55">
        <f>IF(B242="","",IFERROR(1/(1/INDEX('STAFF &amp; TASKS'!$C$5:$C$24,MATCH(H242,'STAFF &amp; TASKS'!$A$5:$A$24,0))),PayRate))</f>
        <v/>
      </c>
      <c r="X242" s="55">
        <f>IF(B242="","",IF(OR(O242="Cancelled",O242="No-Show"),"",ROUND(R242*W242*(1+Burden),2)))</f>
        <v/>
      </c>
      <c r="Y242" s="55">
        <f>IF(B242="","",IF(OR(O242="Cancelled",O242="No-Show"),"",IF(N242&lt;&gt;"",N242,ROUND(R242*SupHr*IFERROR(INDEX('PRICING'!$G$7:$G$16,MATCH(F242,'PRICING'!$A$7:$A$16,0)),1),2))))</f>
        <v/>
      </c>
      <c r="Z242" s="98">
        <f>IF(B242="","",SUMIFS('MILEAGE'!$J$5:$J$1504,'MILEAGE'!$B$5:$B$1504,A242))</f>
        <v/>
      </c>
      <c r="AA242" s="55">
        <f>IF(B242="","",ROUND(Z242*MileRate,2))</f>
        <v/>
      </c>
      <c r="AB242" s="55">
        <f>IF(B242="","",SUMIFS('REVENUE'!$J$5:$J$1504,'REVENUE'!$B$5:$B$1504,A242))</f>
        <v/>
      </c>
      <c r="AC242" s="55">
        <f>IF(L242="","",IF(OR(O242="Cancelled",O242="No-Show"),"",L242-N(X242)-N(Y242)-AA242-AB242))</f>
        <v/>
      </c>
      <c r="AD242" s="99">
        <f>IF(OR(AC242="",N(L242)=0),"",AC242/L242)</f>
        <v/>
      </c>
      <c r="AE242" s="55">
        <f>IF(OR(AC242="",N(R242)=0),"",L242/R242)</f>
        <v/>
      </c>
      <c r="AF242" s="100">
        <f>IF(OR(N(K242)=0,N(J242)+N(Q242)=0),"",K242-IF(N(J242)&gt;0,J242,Q242))</f>
        <v/>
      </c>
      <c r="AG242" s="99">
        <f>IF(B242="","",IFERROR(AVERAGEIFS('QUALITY CONTROL'!$M$5:$M$304,'QUALITY CONTROL'!$B$5:$B$304,A242),""))</f>
        <v/>
      </c>
      <c r="AH242" s="51">
        <f>IF(B242="","",DATE(YEAR(B242),MONTH(B242),1))</f>
        <v/>
      </c>
      <c r="AI242" s="49">
        <f>IF(D242="","",IFERROR(INDEX('CUSTOMERS'!$E$5:$E$404,MATCH(D242,'CUSTOMERS'!$B$5:$B$404,0)),""))</f>
        <v/>
      </c>
      <c r="AJ242" s="49">
        <f>IF(B242="","",N(C242))</f>
        <v/>
      </c>
      <c r="AK242" s="49">
        <f>IF(OR(B242="",O242="Cancelled",O242="Rescheduled"),"",B242&amp;"|"&amp;(COUNTIFS('JOBS'!$B$5:$B$1504,B242,'JOBS'!$AJ$5:$AJ$1504,"&lt;"&amp;AJ242,'JOBS'!$O$5:$O$1504,"&lt;&gt;Cancelled",'JOBS'!$O$5:$O$1504,"&lt;&gt;Rescheduled")+COUNTIFS($B$5:B242,B242,$AJ$5:AJ242,AJ242,$O$5:O242,"&lt;&gt;Cancelled",$O$5:O242,"&lt;&gt;Rescheduled")))</f>
        <v/>
      </c>
      <c r="AL242" s="49">
        <f>IF(N(U242)&lt;=0.005,"",COUNTIFS('JOBS'!$U$5:$U$1504,"&gt;0.005",'JOBS'!$B$5:$B$1504,"&lt;"&amp;B242)+COUNTIFS($U$5:U242,"&gt;0.005",$B$5:B242,B242))</f>
        <v/>
      </c>
    </row>
    <row r="243">
      <c r="A243" s="46" t="inlineStr">
        <is>
          <t>J-0239</t>
        </is>
      </c>
      <c r="B243" s="47" t="n">
        <v>46248</v>
      </c>
      <c r="C243" s="94" t="n">
        <v>0.375</v>
      </c>
      <c r="D243" s="38" t="inlineStr">
        <is>
          <t>Brightside Dental Studio (sample)</t>
        </is>
      </c>
      <c r="E243" s="38" t="inlineStr">
        <is>
          <t>738 Cedar Court, North Sampletown</t>
        </is>
      </c>
      <c r="F243" s="38" t="inlineStr">
        <is>
          <t>Commercial Clean</t>
        </is>
      </c>
      <c r="G243" s="38" t="inlineStr">
        <is>
          <t>R-011</t>
        </is>
      </c>
      <c r="H243" s="38" t="inlineStr">
        <is>
          <t>Kevin Osei</t>
        </is>
      </c>
      <c r="I243" s="57" t="n">
        <v>2</v>
      </c>
      <c r="J243" s="95" t="n"/>
      <c r="K243" s="95" t="n">
        <v>1.75</v>
      </c>
      <c r="L243" s="48" t="n">
        <v>100</v>
      </c>
      <c r="M243" s="96" t="n">
        <v>0</v>
      </c>
      <c r="N243" s="48" t="n"/>
      <c r="O243" s="38" t="inlineStr">
        <is>
          <t>Completed</t>
        </is>
      </c>
      <c r="P243" s="38" t="inlineStr"/>
      <c r="Q243" s="97">
        <f>IF(OR(F243="",E243=""),"",IFERROR(IF(INDEX('PROPERTIES'!$F$5:$F$404,MATCH(E243,'PROPERTIES'!$B$5:$B$404,0))=0,"",ROUND((INDEX('PROPERTIES'!$F$5:$F$404,MATCH(E243,'PROPERTIES'!$B$5:$B$404,0))/INDEX('PRICING'!$C$7:$C$16,MATCH(F243,'PRICING'!$A$7:$A$16,0))+INDEX('PROPERTIES'!$G$5:$G$404,MATCH(E243,'PROPERTIES'!$B$5:$B$404,0))*INDEX('PRICING'!$D$7:$D$16,MATCH(F243,'PRICING'!$A$7:$A$16,0))/60+INDEX('PROPERTIES'!$H$5:$H$404,MATCH(E243,'PROPERTIES'!$B$5:$B$404,0))*INDEX('PRICING'!$E$7:$E$16,MATCH(F243,'PRICING'!$A$7:$A$16,0))/60+INDEX('PRICING'!$F$7:$F$16,MATCH(F243,'PRICING'!$A$7:$A$16,0))/60),2)),""))</f>
        <v/>
      </c>
      <c r="R243" s="97">
        <f>IF(B243="","",IF(N(K243)&gt;0,K243,IF(N(J243)&gt;0,J243,N(Q243))))</f>
        <v/>
      </c>
      <c r="S243" s="55">
        <f>IF(L243="","",ROUND(L243*(1+N(M243)),2))</f>
        <v/>
      </c>
      <c r="T243" s="55">
        <f>IF(B243="","",SUMIFS('REVENUE'!$C$5:$C$1504,'REVENUE'!$B$5:$B$1504,A243))</f>
        <v/>
      </c>
      <c r="U243" s="55">
        <f>IF(B243="","",IF(O243="Completed",MAX(0,N(S243)-T243),""))</f>
        <v/>
      </c>
      <c r="V243" s="49">
        <f>IF(B243="","",IF(O243&lt;&gt;"Completed",IF(T243&gt;0,"Deposit","—"),IF(U243&lt;=0.005,"Paid",IF(T243&gt;0,"Partial","Unpaid"))))</f>
        <v/>
      </c>
      <c r="W243" s="55">
        <f>IF(B243="","",IFERROR(1/(1/INDEX('STAFF &amp; TASKS'!$C$5:$C$24,MATCH(H243,'STAFF &amp; TASKS'!$A$5:$A$24,0))),PayRate))</f>
        <v/>
      </c>
      <c r="X243" s="55">
        <f>IF(B243="","",IF(OR(O243="Cancelled",O243="No-Show"),"",ROUND(R243*W243*(1+Burden),2)))</f>
        <v/>
      </c>
      <c r="Y243" s="55">
        <f>IF(B243="","",IF(OR(O243="Cancelled",O243="No-Show"),"",IF(N243&lt;&gt;"",N243,ROUND(R243*SupHr*IFERROR(INDEX('PRICING'!$G$7:$G$16,MATCH(F243,'PRICING'!$A$7:$A$16,0)),1),2))))</f>
        <v/>
      </c>
      <c r="Z243" s="98">
        <f>IF(B243="","",SUMIFS('MILEAGE'!$J$5:$J$1504,'MILEAGE'!$B$5:$B$1504,A243))</f>
        <v/>
      </c>
      <c r="AA243" s="55">
        <f>IF(B243="","",ROUND(Z243*MileRate,2))</f>
        <v/>
      </c>
      <c r="AB243" s="55">
        <f>IF(B243="","",SUMIFS('REVENUE'!$J$5:$J$1504,'REVENUE'!$B$5:$B$1504,A243))</f>
        <v/>
      </c>
      <c r="AC243" s="55">
        <f>IF(L243="","",IF(OR(O243="Cancelled",O243="No-Show"),"",L243-N(X243)-N(Y243)-AA243-AB243))</f>
        <v/>
      </c>
      <c r="AD243" s="99">
        <f>IF(OR(AC243="",N(L243)=0),"",AC243/L243)</f>
        <v/>
      </c>
      <c r="AE243" s="55">
        <f>IF(OR(AC243="",N(R243)=0),"",L243/R243)</f>
        <v/>
      </c>
      <c r="AF243" s="100">
        <f>IF(OR(N(K243)=0,N(J243)+N(Q243)=0),"",K243-IF(N(J243)&gt;0,J243,Q243))</f>
        <v/>
      </c>
      <c r="AG243" s="99">
        <f>IF(B243="","",IFERROR(AVERAGEIFS('QUALITY CONTROL'!$M$5:$M$304,'QUALITY CONTROL'!$B$5:$B$304,A243),""))</f>
        <v/>
      </c>
      <c r="AH243" s="51">
        <f>IF(B243="","",DATE(YEAR(B243),MONTH(B243),1))</f>
        <v/>
      </c>
      <c r="AI243" s="49">
        <f>IF(D243="","",IFERROR(INDEX('CUSTOMERS'!$E$5:$E$404,MATCH(D243,'CUSTOMERS'!$B$5:$B$404,0)),""))</f>
        <v/>
      </c>
      <c r="AJ243" s="49">
        <f>IF(B243="","",N(C243))</f>
        <v/>
      </c>
      <c r="AK243" s="49">
        <f>IF(OR(B243="",O243="Cancelled",O243="Rescheduled"),"",B243&amp;"|"&amp;(COUNTIFS('JOBS'!$B$5:$B$1504,B243,'JOBS'!$AJ$5:$AJ$1504,"&lt;"&amp;AJ243,'JOBS'!$O$5:$O$1504,"&lt;&gt;Cancelled",'JOBS'!$O$5:$O$1504,"&lt;&gt;Rescheduled")+COUNTIFS($B$5:B243,B243,$AJ$5:AJ243,AJ243,$O$5:O243,"&lt;&gt;Cancelled",$O$5:O243,"&lt;&gt;Rescheduled")))</f>
        <v/>
      </c>
      <c r="AL243" s="49">
        <f>IF(N(U243)&lt;=0.005,"",COUNTIFS('JOBS'!$U$5:$U$1504,"&gt;0.005",'JOBS'!$B$5:$B$1504,"&lt;"&amp;B243)+COUNTIFS($U$5:U243,"&gt;0.005",$B$5:B243,B243))</f>
        <v/>
      </c>
    </row>
    <row r="244">
      <c r="A244" s="46" t="inlineStr">
        <is>
          <t>J-0240</t>
        </is>
      </c>
      <c r="B244" s="47" t="n">
        <v>46248</v>
      </c>
      <c r="C244" s="94" t="n">
        <v>0.5416666666666666</v>
      </c>
      <c r="D244" s="38" t="inlineStr">
        <is>
          <t>Oakview Office Suites (sample)</t>
        </is>
      </c>
      <c r="E244" s="38" t="inlineStr">
        <is>
          <t>957 Hawthorn Road, North Sampletown</t>
        </is>
      </c>
      <c r="F244" s="38" t="inlineStr">
        <is>
          <t>Commercial Clean</t>
        </is>
      </c>
      <c r="G244" s="38" t="inlineStr">
        <is>
          <t>R-012</t>
        </is>
      </c>
      <c r="H244" s="38" t="inlineStr">
        <is>
          <t>Kevin Osei</t>
        </is>
      </c>
      <c r="I244" s="57" t="n">
        <v>2</v>
      </c>
      <c r="J244" s="95" t="n"/>
      <c r="K244" s="95" t="n">
        <v>3.32</v>
      </c>
      <c r="L244" s="48" t="n">
        <v>140</v>
      </c>
      <c r="M244" s="96" t="n">
        <v>0</v>
      </c>
      <c r="N244" s="48" t="n"/>
      <c r="O244" s="38" t="inlineStr">
        <is>
          <t>Completed</t>
        </is>
      </c>
      <c r="P244" s="38" t="inlineStr"/>
      <c r="Q244" s="97">
        <f>IF(OR(F244="",E244=""),"",IFERROR(IF(INDEX('PROPERTIES'!$F$5:$F$404,MATCH(E244,'PROPERTIES'!$B$5:$B$404,0))=0,"",ROUND((INDEX('PROPERTIES'!$F$5:$F$404,MATCH(E244,'PROPERTIES'!$B$5:$B$404,0))/INDEX('PRICING'!$C$7:$C$16,MATCH(F244,'PRICING'!$A$7:$A$16,0))+INDEX('PROPERTIES'!$G$5:$G$404,MATCH(E244,'PROPERTIES'!$B$5:$B$404,0))*INDEX('PRICING'!$D$7:$D$16,MATCH(F244,'PRICING'!$A$7:$A$16,0))/60+INDEX('PROPERTIES'!$H$5:$H$404,MATCH(E244,'PROPERTIES'!$B$5:$B$404,0))*INDEX('PRICING'!$E$7:$E$16,MATCH(F244,'PRICING'!$A$7:$A$16,0))/60+INDEX('PRICING'!$F$7:$F$16,MATCH(F244,'PRICING'!$A$7:$A$16,0))/60),2)),""))</f>
        <v/>
      </c>
      <c r="R244" s="97">
        <f>IF(B244="","",IF(N(K244)&gt;0,K244,IF(N(J244)&gt;0,J244,N(Q244))))</f>
        <v/>
      </c>
      <c r="S244" s="55">
        <f>IF(L244="","",ROUND(L244*(1+N(M244)),2))</f>
        <v/>
      </c>
      <c r="T244" s="55">
        <f>IF(B244="","",SUMIFS('REVENUE'!$C$5:$C$1504,'REVENUE'!$B$5:$B$1504,A244))</f>
        <v/>
      </c>
      <c r="U244" s="55">
        <f>IF(B244="","",IF(O244="Completed",MAX(0,N(S244)-T244),""))</f>
        <v/>
      </c>
      <c r="V244" s="49">
        <f>IF(B244="","",IF(O244&lt;&gt;"Completed",IF(T244&gt;0,"Deposit","—"),IF(U244&lt;=0.005,"Paid",IF(T244&gt;0,"Partial","Unpaid"))))</f>
        <v/>
      </c>
      <c r="W244" s="55">
        <f>IF(B244="","",IFERROR(1/(1/INDEX('STAFF &amp; TASKS'!$C$5:$C$24,MATCH(H244,'STAFF &amp; TASKS'!$A$5:$A$24,0))),PayRate))</f>
        <v/>
      </c>
      <c r="X244" s="55">
        <f>IF(B244="","",IF(OR(O244="Cancelled",O244="No-Show"),"",ROUND(R244*W244*(1+Burden),2)))</f>
        <v/>
      </c>
      <c r="Y244" s="55">
        <f>IF(B244="","",IF(OR(O244="Cancelled",O244="No-Show"),"",IF(N244&lt;&gt;"",N244,ROUND(R244*SupHr*IFERROR(INDEX('PRICING'!$G$7:$G$16,MATCH(F244,'PRICING'!$A$7:$A$16,0)),1),2))))</f>
        <v/>
      </c>
      <c r="Z244" s="98">
        <f>IF(B244="","",SUMIFS('MILEAGE'!$J$5:$J$1504,'MILEAGE'!$B$5:$B$1504,A244))</f>
        <v/>
      </c>
      <c r="AA244" s="55">
        <f>IF(B244="","",ROUND(Z244*MileRate,2))</f>
        <v/>
      </c>
      <c r="AB244" s="55">
        <f>IF(B244="","",SUMIFS('REVENUE'!$J$5:$J$1504,'REVENUE'!$B$5:$B$1504,A244))</f>
        <v/>
      </c>
      <c r="AC244" s="55">
        <f>IF(L244="","",IF(OR(O244="Cancelled",O244="No-Show"),"",L244-N(X244)-N(Y244)-AA244-AB244))</f>
        <v/>
      </c>
      <c r="AD244" s="99">
        <f>IF(OR(AC244="",N(L244)=0),"",AC244/L244)</f>
        <v/>
      </c>
      <c r="AE244" s="55">
        <f>IF(OR(AC244="",N(R244)=0),"",L244/R244)</f>
        <v/>
      </c>
      <c r="AF244" s="100">
        <f>IF(OR(N(K244)=0,N(J244)+N(Q244)=0),"",K244-IF(N(J244)&gt;0,J244,Q244))</f>
        <v/>
      </c>
      <c r="AG244" s="99">
        <f>IF(B244="","",IFERROR(AVERAGEIFS('QUALITY CONTROL'!$M$5:$M$304,'QUALITY CONTROL'!$B$5:$B$304,A244),""))</f>
        <v/>
      </c>
      <c r="AH244" s="51">
        <f>IF(B244="","",DATE(YEAR(B244),MONTH(B244),1))</f>
        <v/>
      </c>
      <c r="AI244" s="49">
        <f>IF(D244="","",IFERROR(INDEX('CUSTOMERS'!$E$5:$E$404,MATCH(D244,'CUSTOMERS'!$B$5:$B$404,0)),""))</f>
        <v/>
      </c>
      <c r="AJ244" s="49">
        <f>IF(B244="","",N(C244))</f>
        <v/>
      </c>
      <c r="AK244" s="49">
        <f>IF(OR(B244="",O244="Cancelled",O244="Rescheduled"),"",B244&amp;"|"&amp;(COUNTIFS('JOBS'!$B$5:$B$1504,B244,'JOBS'!$AJ$5:$AJ$1504,"&lt;"&amp;AJ244,'JOBS'!$O$5:$O$1504,"&lt;&gt;Cancelled",'JOBS'!$O$5:$O$1504,"&lt;&gt;Rescheduled")+COUNTIFS($B$5:B244,B244,$AJ$5:AJ244,AJ244,$O$5:O244,"&lt;&gt;Cancelled",$O$5:O244,"&lt;&gt;Rescheduled")))</f>
        <v/>
      </c>
      <c r="AL244" s="49">
        <f>IF(N(U244)&lt;=0.005,"",COUNTIFS('JOBS'!$U$5:$U$1504,"&gt;0.005",'JOBS'!$B$5:$B$1504,"&lt;"&amp;B244)+COUNTIFS($U$5:U244,"&gt;0.005",$B$5:B244,B244))</f>
        <v/>
      </c>
    </row>
    <row r="245">
      <c r="A245" s="46" t="inlineStr">
        <is>
          <t>J-0241</t>
        </is>
      </c>
      <c r="B245" s="47" t="n">
        <v>46249</v>
      </c>
      <c r="C245" s="94" t="n">
        <v>0.3541666666666667</v>
      </c>
      <c r="D245" s="38" t="inlineStr">
        <is>
          <t>Finley Quigley</t>
        </is>
      </c>
      <c r="E245" s="38" t="inlineStr">
        <is>
          <t>21 Maple Avenue, North Sampletown</t>
        </is>
      </c>
      <c r="F245" s="38" t="inlineStr">
        <is>
          <t>Standard Clean</t>
        </is>
      </c>
      <c r="G245" s="38" t="inlineStr">
        <is>
          <t>R-007</t>
        </is>
      </c>
      <c r="H245" s="38" t="inlineStr">
        <is>
          <t>Maria Lopez</t>
        </is>
      </c>
      <c r="I245" s="57" t="n">
        <v>1</v>
      </c>
      <c r="J245" s="95" t="n"/>
      <c r="K245" s="95" t="n">
        <v>2.22</v>
      </c>
      <c r="L245" s="48" t="n">
        <v>110</v>
      </c>
      <c r="M245" s="96" t="n">
        <v>0</v>
      </c>
      <c r="N245" s="48" t="n"/>
      <c r="O245" s="38" t="inlineStr">
        <is>
          <t>Completed</t>
        </is>
      </c>
      <c r="P245" s="38" t="inlineStr"/>
      <c r="Q245" s="97">
        <f>IF(OR(F245="",E245=""),"",IFERROR(IF(INDEX('PROPERTIES'!$F$5:$F$404,MATCH(E245,'PROPERTIES'!$B$5:$B$404,0))=0,"",ROUND((INDEX('PROPERTIES'!$F$5:$F$404,MATCH(E245,'PROPERTIES'!$B$5:$B$404,0))/INDEX('PRICING'!$C$7:$C$16,MATCH(F245,'PRICING'!$A$7:$A$16,0))+INDEX('PROPERTIES'!$G$5:$G$404,MATCH(E245,'PROPERTIES'!$B$5:$B$404,0))*INDEX('PRICING'!$D$7:$D$16,MATCH(F245,'PRICING'!$A$7:$A$16,0))/60+INDEX('PROPERTIES'!$H$5:$H$404,MATCH(E245,'PROPERTIES'!$B$5:$B$404,0))*INDEX('PRICING'!$E$7:$E$16,MATCH(F245,'PRICING'!$A$7:$A$16,0))/60+INDEX('PRICING'!$F$7:$F$16,MATCH(F245,'PRICING'!$A$7:$A$16,0))/60),2)),""))</f>
        <v/>
      </c>
      <c r="R245" s="97">
        <f>IF(B245="","",IF(N(K245)&gt;0,K245,IF(N(J245)&gt;0,J245,N(Q245))))</f>
        <v/>
      </c>
      <c r="S245" s="55">
        <f>IF(L245="","",ROUND(L245*(1+N(M245)),2))</f>
        <v/>
      </c>
      <c r="T245" s="55">
        <f>IF(B245="","",SUMIFS('REVENUE'!$C$5:$C$1504,'REVENUE'!$B$5:$B$1504,A245))</f>
        <v/>
      </c>
      <c r="U245" s="55">
        <f>IF(B245="","",IF(O245="Completed",MAX(0,N(S245)-T245),""))</f>
        <v/>
      </c>
      <c r="V245" s="49">
        <f>IF(B245="","",IF(O245&lt;&gt;"Completed",IF(T245&gt;0,"Deposit","—"),IF(U245&lt;=0.005,"Paid",IF(T245&gt;0,"Partial","Unpaid"))))</f>
        <v/>
      </c>
      <c r="W245" s="55">
        <f>IF(B245="","",IFERROR(1/(1/INDEX('STAFF &amp; TASKS'!$C$5:$C$24,MATCH(H245,'STAFF &amp; TASKS'!$A$5:$A$24,0))),PayRate))</f>
        <v/>
      </c>
      <c r="X245" s="55">
        <f>IF(B245="","",IF(OR(O245="Cancelled",O245="No-Show"),"",ROUND(R245*W245*(1+Burden),2)))</f>
        <v/>
      </c>
      <c r="Y245" s="55">
        <f>IF(B245="","",IF(OR(O245="Cancelled",O245="No-Show"),"",IF(N245&lt;&gt;"",N245,ROUND(R245*SupHr*IFERROR(INDEX('PRICING'!$G$7:$G$16,MATCH(F245,'PRICING'!$A$7:$A$16,0)),1),2))))</f>
        <v/>
      </c>
      <c r="Z245" s="98">
        <f>IF(B245="","",SUMIFS('MILEAGE'!$J$5:$J$1504,'MILEAGE'!$B$5:$B$1504,A245))</f>
        <v/>
      </c>
      <c r="AA245" s="55">
        <f>IF(B245="","",ROUND(Z245*MileRate,2))</f>
        <v/>
      </c>
      <c r="AB245" s="55">
        <f>IF(B245="","",SUMIFS('REVENUE'!$J$5:$J$1504,'REVENUE'!$B$5:$B$1504,A245))</f>
        <v/>
      </c>
      <c r="AC245" s="55">
        <f>IF(L245="","",IF(OR(O245="Cancelled",O245="No-Show"),"",L245-N(X245)-N(Y245)-AA245-AB245))</f>
        <v/>
      </c>
      <c r="AD245" s="99">
        <f>IF(OR(AC245="",N(L245)=0),"",AC245/L245)</f>
        <v/>
      </c>
      <c r="AE245" s="55">
        <f>IF(OR(AC245="",N(R245)=0),"",L245/R245)</f>
        <v/>
      </c>
      <c r="AF245" s="100">
        <f>IF(OR(N(K245)=0,N(J245)+N(Q245)=0),"",K245-IF(N(J245)&gt;0,J245,Q245))</f>
        <v/>
      </c>
      <c r="AG245" s="99">
        <f>IF(B245="","",IFERROR(AVERAGEIFS('QUALITY CONTROL'!$M$5:$M$304,'QUALITY CONTROL'!$B$5:$B$304,A245),""))</f>
        <v/>
      </c>
      <c r="AH245" s="51">
        <f>IF(B245="","",DATE(YEAR(B245),MONTH(B245),1))</f>
        <v/>
      </c>
      <c r="AI245" s="49">
        <f>IF(D245="","",IFERROR(INDEX('CUSTOMERS'!$E$5:$E$404,MATCH(D245,'CUSTOMERS'!$B$5:$B$404,0)),""))</f>
        <v/>
      </c>
      <c r="AJ245" s="49">
        <f>IF(B245="","",N(C245))</f>
        <v/>
      </c>
      <c r="AK245" s="49">
        <f>IF(OR(B245="",O245="Cancelled",O245="Rescheduled"),"",B245&amp;"|"&amp;(COUNTIFS('JOBS'!$B$5:$B$1504,B245,'JOBS'!$AJ$5:$AJ$1504,"&lt;"&amp;AJ245,'JOBS'!$O$5:$O$1504,"&lt;&gt;Cancelled",'JOBS'!$O$5:$O$1504,"&lt;&gt;Rescheduled")+COUNTIFS($B$5:B245,B245,$AJ$5:AJ245,AJ245,$O$5:O245,"&lt;&gt;Cancelled",$O$5:O245,"&lt;&gt;Rescheduled")))</f>
        <v/>
      </c>
      <c r="AL245" s="49">
        <f>IF(N(U245)&lt;=0.005,"",COUNTIFS('JOBS'!$U$5:$U$1504,"&gt;0.005",'JOBS'!$B$5:$B$1504,"&lt;"&amp;B245)+COUNTIFS($U$5:U245,"&gt;0.005",$B$5:B245,B245))</f>
        <v/>
      </c>
    </row>
    <row r="246">
      <c r="A246" s="46" t="inlineStr">
        <is>
          <t>J-0242</t>
        </is>
      </c>
      <c r="B246" s="47" t="n">
        <v>46249</v>
      </c>
      <c r="C246" s="94" t="n">
        <v>0.4166666666666667</v>
      </c>
      <c r="D246" s="38" t="inlineStr">
        <is>
          <t>Parker Lockhart</t>
        </is>
      </c>
      <c r="E246" s="38" t="inlineStr">
        <is>
          <t>412 Linden Place, Sampletown</t>
        </is>
      </c>
      <c r="F246" s="38" t="inlineStr">
        <is>
          <t>Airbnb Turnover</t>
        </is>
      </c>
      <c r="G246" s="38" t="n"/>
      <c r="H246" s="38" t="inlineStr">
        <is>
          <t>Kevin Osei</t>
        </is>
      </c>
      <c r="I246" s="57" t="n">
        <v>1</v>
      </c>
      <c r="J246" s="95" t="n"/>
      <c r="K246" s="95" t="n">
        <v>2.14</v>
      </c>
      <c r="L246" s="48" t="n">
        <v>150</v>
      </c>
      <c r="M246" s="96" t="n">
        <v>0</v>
      </c>
      <c r="N246" s="48" t="n"/>
      <c r="O246" s="38" t="inlineStr">
        <is>
          <t>Completed</t>
        </is>
      </c>
      <c r="P246" s="38" t="inlineStr">
        <is>
          <t>Includes laundry</t>
        </is>
      </c>
      <c r="Q246" s="97">
        <f>IF(OR(F246="",E246=""),"",IFERROR(IF(INDEX('PROPERTIES'!$F$5:$F$404,MATCH(E246,'PROPERTIES'!$B$5:$B$404,0))=0,"",ROUND((INDEX('PROPERTIES'!$F$5:$F$404,MATCH(E246,'PROPERTIES'!$B$5:$B$404,0))/INDEX('PRICING'!$C$7:$C$16,MATCH(F246,'PRICING'!$A$7:$A$16,0))+INDEX('PROPERTIES'!$G$5:$G$404,MATCH(E246,'PROPERTIES'!$B$5:$B$404,0))*INDEX('PRICING'!$D$7:$D$16,MATCH(F246,'PRICING'!$A$7:$A$16,0))/60+INDEX('PROPERTIES'!$H$5:$H$404,MATCH(E246,'PROPERTIES'!$B$5:$B$404,0))*INDEX('PRICING'!$E$7:$E$16,MATCH(F246,'PRICING'!$A$7:$A$16,0))/60+INDEX('PRICING'!$F$7:$F$16,MATCH(F246,'PRICING'!$A$7:$A$16,0))/60),2)),""))</f>
        <v/>
      </c>
      <c r="R246" s="97">
        <f>IF(B246="","",IF(N(K246)&gt;0,K246,IF(N(J246)&gt;0,J246,N(Q246))))</f>
        <v/>
      </c>
      <c r="S246" s="55">
        <f>IF(L246="","",ROUND(L246*(1+N(M246)),2))</f>
        <v/>
      </c>
      <c r="T246" s="55">
        <f>IF(B246="","",SUMIFS('REVENUE'!$C$5:$C$1504,'REVENUE'!$B$5:$B$1504,A246))</f>
        <v/>
      </c>
      <c r="U246" s="55">
        <f>IF(B246="","",IF(O246="Completed",MAX(0,N(S246)-T246),""))</f>
        <v/>
      </c>
      <c r="V246" s="49">
        <f>IF(B246="","",IF(O246&lt;&gt;"Completed",IF(T246&gt;0,"Deposit","—"),IF(U246&lt;=0.005,"Paid",IF(T246&gt;0,"Partial","Unpaid"))))</f>
        <v/>
      </c>
      <c r="W246" s="55">
        <f>IF(B246="","",IFERROR(1/(1/INDEX('STAFF &amp; TASKS'!$C$5:$C$24,MATCH(H246,'STAFF &amp; TASKS'!$A$5:$A$24,0))),PayRate))</f>
        <v/>
      </c>
      <c r="X246" s="55">
        <f>IF(B246="","",IF(OR(O246="Cancelled",O246="No-Show"),"",ROUND(R246*W246*(1+Burden),2)))</f>
        <v/>
      </c>
      <c r="Y246" s="55">
        <f>IF(B246="","",IF(OR(O246="Cancelled",O246="No-Show"),"",IF(N246&lt;&gt;"",N246,ROUND(R246*SupHr*IFERROR(INDEX('PRICING'!$G$7:$G$16,MATCH(F246,'PRICING'!$A$7:$A$16,0)),1),2))))</f>
        <v/>
      </c>
      <c r="Z246" s="98">
        <f>IF(B246="","",SUMIFS('MILEAGE'!$J$5:$J$1504,'MILEAGE'!$B$5:$B$1504,A246))</f>
        <v/>
      </c>
      <c r="AA246" s="55">
        <f>IF(B246="","",ROUND(Z246*MileRate,2))</f>
        <v/>
      </c>
      <c r="AB246" s="55">
        <f>IF(B246="","",SUMIFS('REVENUE'!$J$5:$J$1504,'REVENUE'!$B$5:$B$1504,A246))</f>
        <v/>
      </c>
      <c r="AC246" s="55">
        <f>IF(L246="","",IF(OR(O246="Cancelled",O246="No-Show"),"",L246-N(X246)-N(Y246)-AA246-AB246))</f>
        <v/>
      </c>
      <c r="AD246" s="99">
        <f>IF(OR(AC246="",N(L246)=0),"",AC246/L246)</f>
        <v/>
      </c>
      <c r="AE246" s="55">
        <f>IF(OR(AC246="",N(R246)=0),"",L246/R246)</f>
        <v/>
      </c>
      <c r="AF246" s="100">
        <f>IF(OR(N(K246)=0,N(J246)+N(Q246)=0),"",K246-IF(N(J246)&gt;0,J246,Q246))</f>
        <v/>
      </c>
      <c r="AG246" s="99">
        <f>IF(B246="","",IFERROR(AVERAGEIFS('QUALITY CONTROL'!$M$5:$M$304,'QUALITY CONTROL'!$B$5:$B$304,A246),""))</f>
        <v/>
      </c>
      <c r="AH246" s="51">
        <f>IF(B246="","",DATE(YEAR(B246),MONTH(B246),1))</f>
        <v/>
      </c>
      <c r="AI246" s="49">
        <f>IF(D246="","",IFERROR(INDEX('CUSTOMERS'!$E$5:$E$404,MATCH(D246,'CUSTOMERS'!$B$5:$B$404,0)),""))</f>
        <v/>
      </c>
      <c r="AJ246" s="49">
        <f>IF(B246="","",N(C246))</f>
        <v/>
      </c>
      <c r="AK246" s="49">
        <f>IF(OR(B246="",O246="Cancelled",O246="Rescheduled"),"",B246&amp;"|"&amp;(COUNTIFS('JOBS'!$B$5:$B$1504,B246,'JOBS'!$AJ$5:$AJ$1504,"&lt;"&amp;AJ246,'JOBS'!$O$5:$O$1504,"&lt;&gt;Cancelled",'JOBS'!$O$5:$O$1504,"&lt;&gt;Rescheduled")+COUNTIFS($B$5:B246,B246,$AJ$5:AJ246,AJ246,$O$5:O246,"&lt;&gt;Cancelled",$O$5:O246,"&lt;&gt;Rescheduled")))</f>
        <v/>
      </c>
      <c r="AL246" s="49">
        <f>IF(N(U246)&lt;=0.005,"",COUNTIFS('JOBS'!$U$5:$U$1504,"&gt;0.005",'JOBS'!$B$5:$B$1504,"&lt;"&amp;B246)+COUNTIFS($U$5:U246,"&gt;0.005",$B$5:B246,B246))</f>
        <v/>
      </c>
    </row>
    <row r="247">
      <c r="A247" s="46" t="inlineStr">
        <is>
          <t>J-0243</t>
        </is>
      </c>
      <c r="B247" s="47" t="n">
        <v>46251</v>
      </c>
      <c r="C247" s="94" t="n">
        <v>0.4791666666666667</v>
      </c>
      <c r="D247" s="38" t="inlineStr">
        <is>
          <t>Taylor Quigley</t>
        </is>
      </c>
      <c r="E247" s="38" t="inlineStr">
        <is>
          <t>667 Willow Way, Sampletown</t>
        </is>
      </c>
      <c r="F247" s="38" t="inlineStr">
        <is>
          <t>Standard Clean</t>
        </is>
      </c>
      <c r="G247" s="38" t="inlineStr">
        <is>
          <t>R-009</t>
        </is>
      </c>
      <c r="H247" s="38" t="inlineStr">
        <is>
          <t>Maria Lopez</t>
        </is>
      </c>
      <c r="I247" s="57" t="n">
        <v>1</v>
      </c>
      <c r="J247" s="95" t="n"/>
      <c r="K247" s="95" t="n">
        <v>3.49</v>
      </c>
      <c r="L247" s="48" t="n">
        <v>145</v>
      </c>
      <c r="M247" s="96" t="n">
        <v>0</v>
      </c>
      <c r="N247" s="48" t="n"/>
      <c r="O247" s="38" t="inlineStr">
        <is>
          <t>Completed</t>
        </is>
      </c>
      <c r="P247" s="38" t="inlineStr"/>
      <c r="Q247" s="97">
        <f>IF(OR(F247="",E247=""),"",IFERROR(IF(INDEX('PROPERTIES'!$F$5:$F$404,MATCH(E247,'PROPERTIES'!$B$5:$B$404,0))=0,"",ROUND((INDEX('PROPERTIES'!$F$5:$F$404,MATCH(E247,'PROPERTIES'!$B$5:$B$404,0))/INDEX('PRICING'!$C$7:$C$16,MATCH(F247,'PRICING'!$A$7:$A$16,0))+INDEX('PROPERTIES'!$G$5:$G$404,MATCH(E247,'PROPERTIES'!$B$5:$B$404,0))*INDEX('PRICING'!$D$7:$D$16,MATCH(F247,'PRICING'!$A$7:$A$16,0))/60+INDEX('PROPERTIES'!$H$5:$H$404,MATCH(E247,'PROPERTIES'!$B$5:$B$404,0))*INDEX('PRICING'!$E$7:$E$16,MATCH(F247,'PRICING'!$A$7:$A$16,0))/60+INDEX('PRICING'!$F$7:$F$16,MATCH(F247,'PRICING'!$A$7:$A$16,0))/60),2)),""))</f>
        <v/>
      </c>
      <c r="R247" s="97">
        <f>IF(B247="","",IF(N(K247)&gt;0,K247,IF(N(J247)&gt;0,J247,N(Q247))))</f>
        <v/>
      </c>
      <c r="S247" s="55">
        <f>IF(L247="","",ROUND(L247*(1+N(M247)),2))</f>
        <v/>
      </c>
      <c r="T247" s="55">
        <f>IF(B247="","",SUMIFS('REVENUE'!$C$5:$C$1504,'REVENUE'!$B$5:$B$1504,A247))</f>
        <v/>
      </c>
      <c r="U247" s="55">
        <f>IF(B247="","",IF(O247="Completed",MAX(0,N(S247)-T247),""))</f>
        <v/>
      </c>
      <c r="V247" s="49">
        <f>IF(B247="","",IF(O247&lt;&gt;"Completed",IF(T247&gt;0,"Deposit","—"),IF(U247&lt;=0.005,"Paid",IF(T247&gt;0,"Partial","Unpaid"))))</f>
        <v/>
      </c>
      <c r="W247" s="55">
        <f>IF(B247="","",IFERROR(1/(1/INDEX('STAFF &amp; TASKS'!$C$5:$C$24,MATCH(H247,'STAFF &amp; TASKS'!$A$5:$A$24,0))),PayRate))</f>
        <v/>
      </c>
      <c r="X247" s="55">
        <f>IF(B247="","",IF(OR(O247="Cancelled",O247="No-Show"),"",ROUND(R247*W247*(1+Burden),2)))</f>
        <v/>
      </c>
      <c r="Y247" s="55">
        <f>IF(B247="","",IF(OR(O247="Cancelled",O247="No-Show"),"",IF(N247&lt;&gt;"",N247,ROUND(R247*SupHr*IFERROR(INDEX('PRICING'!$G$7:$G$16,MATCH(F247,'PRICING'!$A$7:$A$16,0)),1),2))))</f>
        <v/>
      </c>
      <c r="Z247" s="98">
        <f>IF(B247="","",SUMIFS('MILEAGE'!$J$5:$J$1504,'MILEAGE'!$B$5:$B$1504,A247))</f>
        <v/>
      </c>
      <c r="AA247" s="55">
        <f>IF(B247="","",ROUND(Z247*MileRate,2))</f>
        <v/>
      </c>
      <c r="AB247" s="55">
        <f>IF(B247="","",SUMIFS('REVENUE'!$J$5:$J$1504,'REVENUE'!$B$5:$B$1504,A247))</f>
        <v/>
      </c>
      <c r="AC247" s="55">
        <f>IF(L247="","",IF(OR(O247="Cancelled",O247="No-Show"),"",L247-N(X247)-N(Y247)-AA247-AB247))</f>
        <v/>
      </c>
      <c r="AD247" s="99">
        <f>IF(OR(AC247="",N(L247)=0),"",AC247/L247)</f>
        <v/>
      </c>
      <c r="AE247" s="55">
        <f>IF(OR(AC247="",N(R247)=0),"",L247/R247)</f>
        <v/>
      </c>
      <c r="AF247" s="100">
        <f>IF(OR(N(K247)=0,N(J247)+N(Q247)=0),"",K247-IF(N(J247)&gt;0,J247,Q247))</f>
        <v/>
      </c>
      <c r="AG247" s="99">
        <f>IF(B247="","",IFERROR(AVERAGEIFS('QUALITY CONTROL'!$M$5:$M$304,'QUALITY CONTROL'!$B$5:$B$304,A247),""))</f>
        <v/>
      </c>
      <c r="AH247" s="51">
        <f>IF(B247="","",DATE(YEAR(B247),MONTH(B247),1))</f>
        <v/>
      </c>
      <c r="AI247" s="49">
        <f>IF(D247="","",IFERROR(INDEX('CUSTOMERS'!$E$5:$E$404,MATCH(D247,'CUSTOMERS'!$B$5:$B$404,0)),""))</f>
        <v/>
      </c>
      <c r="AJ247" s="49">
        <f>IF(B247="","",N(C247))</f>
        <v/>
      </c>
      <c r="AK247" s="49">
        <f>IF(OR(B247="",O247="Cancelled",O247="Rescheduled"),"",B247&amp;"|"&amp;(COUNTIFS('JOBS'!$B$5:$B$1504,B247,'JOBS'!$AJ$5:$AJ$1504,"&lt;"&amp;AJ247,'JOBS'!$O$5:$O$1504,"&lt;&gt;Cancelled",'JOBS'!$O$5:$O$1504,"&lt;&gt;Rescheduled")+COUNTIFS($B$5:B247,B247,$AJ$5:AJ247,AJ247,$O$5:O247,"&lt;&gt;Cancelled",$O$5:O247,"&lt;&gt;Rescheduled")))</f>
        <v/>
      </c>
      <c r="AL247" s="49">
        <f>IF(N(U247)&lt;=0.005,"",COUNTIFS('JOBS'!$U$5:$U$1504,"&gt;0.005",'JOBS'!$B$5:$B$1504,"&lt;"&amp;B247)+COUNTIFS($U$5:U247,"&gt;0.005",$B$5:B247,B247))</f>
        <v/>
      </c>
    </row>
    <row r="248">
      <c r="A248" s="46" t="inlineStr">
        <is>
          <t>J-0244</t>
        </is>
      </c>
      <c r="B248" s="47" t="n">
        <v>46252</v>
      </c>
      <c r="C248" s="94" t="n">
        <v>0.625</v>
      </c>
      <c r="D248" s="38" t="inlineStr">
        <is>
          <t>Lane Ivers</t>
        </is>
      </c>
      <c r="E248" s="38" t="inlineStr">
        <is>
          <t>497 Aspen Drive, Sampletown</t>
        </is>
      </c>
      <c r="F248" s="38" t="inlineStr">
        <is>
          <t>Standard Clean</t>
        </is>
      </c>
      <c r="G248" s="38" t="inlineStr">
        <is>
          <t>R-001</t>
        </is>
      </c>
      <c r="H248" s="38" t="inlineStr">
        <is>
          <t>Maria Lopez</t>
        </is>
      </c>
      <c r="I248" s="57" t="n">
        <v>1</v>
      </c>
      <c r="J248" s="95" t="n"/>
      <c r="K248" s="95" t="n">
        <v>4.31</v>
      </c>
      <c r="L248" s="48" t="n">
        <v>175</v>
      </c>
      <c r="M248" s="96" t="n">
        <v>0</v>
      </c>
      <c r="N248" s="48" t="n"/>
      <c r="O248" s="38" t="inlineStr">
        <is>
          <t>Completed</t>
        </is>
      </c>
      <c r="P248" s="38" t="inlineStr"/>
      <c r="Q248" s="97">
        <f>IF(OR(F248="",E248=""),"",IFERROR(IF(INDEX('PROPERTIES'!$F$5:$F$404,MATCH(E248,'PROPERTIES'!$B$5:$B$404,0))=0,"",ROUND((INDEX('PROPERTIES'!$F$5:$F$404,MATCH(E248,'PROPERTIES'!$B$5:$B$404,0))/INDEX('PRICING'!$C$7:$C$16,MATCH(F248,'PRICING'!$A$7:$A$16,0))+INDEX('PROPERTIES'!$G$5:$G$404,MATCH(E248,'PROPERTIES'!$B$5:$B$404,0))*INDEX('PRICING'!$D$7:$D$16,MATCH(F248,'PRICING'!$A$7:$A$16,0))/60+INDEX('PROPERTIES'!$H$5:$H$404,MATCH(E248,'PROPERTIES'!$B$5:$B$404,0))*INDEX('PRICING'!$E$7:$E$16,MATCH(F248,'PRICING'!$A$7:$A$16,0))/60+INDEX('PRICING'!$F$7:$F$16,MATCH(F248,'PRICING'!$A$7:$A$16,0))/60),2)),""))</f>
        <v/>
      </c>
      <c r="R248" s="97">
        <f>IF(B248="","",IF(N(K248)&gt;0,K248,IF(N(J248)&gt;0,J248,N(Q248))))</f>
        <v/>
      </c>
      <c r="S248" s="55">
        <f>IF(L248="","",ROUND(L248*(1+N(M248)),2))</f>
        <v/>
      </c>
      <c r="T248" s="55">
        <f>IF(B248="","",SUMIFS('REVENUE'!$C$5:$C$1504,'REVENUE'!$B$5:$B$1504,A248))</f>
        <v/>
      </c>
      <c r="U248" s="55">
        <f>IF(B248="","",IF(O248="Completed",MAX(0,N(S248)-T248),""))</f>
        <v/>
      </c>
      <c r="V248" s="49">
        <f>IF(B248="","",IF(O248&lt;&gt;"Completed",IF(T248&gt;0,"Deposit","—"),IF(U248&lt;=0.005,"Paid",IF(T248&gt;0,"Partial","Unpaid"))))</f>
        <v/>
      </c>
      <c r="W248" s="55">
        <f>IF(B248="","",IFERROR(1/(1/INDEX('STAFF &amp; TASKS'!$C$5:$C$24,MATCH(H248,'STAFF &amp; TASKS'!$A$5:$A$24,0))),PayRate))</f>
        <v/>
      </c>
      <c r="X248" s="55">
        <f>IF(B248="","",IF(OR(O248="Cancelled",O248="No-Show"),"",ROUND(R248*W248*(1+Burden),2)))</f>
        <v/>
      </c>
      <c r="Y248" s="55">
        <f>IF(B248="","",IF(OR(O248="Cancelled",O248="No-Show"),"",IF(N248&lt;&gt;"",N248,ROUND(R248*SupHr*IFERROR(INDEX('PRICING'!$G$7:$G$16,MATCH(F248,'PRICING'!$A$7:$A$16,0)),1),2))))</f>
        <v/>
      </c>
      <c r="Z248" s="98">
        <f>IF(B248="","",SUMIFS('MILEAGE'!$J$5:$J$1504,'MILEAGE'!$B$5:$B$1504,A248))</f>
        <v/>
      </c>
      <c r="AA248" s="55">
        <f>IF(B248="","",ROUND(Z248*MileRate,2))</f>
        <v/>
      </c>
      <c r="AB248" s="55">
        <f>IF(B248="","",SUMIFS('REVENUE'!$J$5:$J$1504,'REVENUE'!$B$5:$B$1504,A248))</f>
        <v/>
      </c>
      <c r="AC248" s="55">
        <f>IF(L248="","",IF(OR(O248="Cancelled",O248="No-Show"),"",L248-N(X248)-N(Y248)-AA248-AB248))</f>
        <v/>
      </c>
      <c r="AD248" s="99">
        <f>IF(OR(AC248="",N(L248)=0),"",AC248/L248)</f>
        <v/>
      </c>
      <c r="AE248" s="55">
        <f>IF(OR(AC248="",N(R248)=0),"",L248/R248)</f>
        <v/>
      </c>
      <c r="AF248" s="100">
        <f>IF(OR(N(K248)=0,N(J248)+N(Q248)=0),"",K248-IF(N(J248)&gt;0,J248,Q248))</f>
        <v/>
      </c>
      <c r="AG248" s="99">
        <f>IF(B248="","",IFERROR(AVERAGEIFS('QUALITY CONTROL'!$M$5:$M$304,'QUALITY CONTROL'!$B$5:$B$304,A248),""))</f>
        <v/>
      </c>
      <c r="AH248" s="51">
        <f>IF(B248="","",DATE(YEAR(B248),MONTH(B248),1))</f>
        <v/>
      </c>
      <c r="AI248" s="49">
        <f>IF(D248="","",IFERROR(INDEX('CUSTOMERS'!$E$5:$E$404,MATCH(D248,'CUSTOMERS'!$B$5:$B$404,0)),""))</f>
        <v/>
      </c>
      <c r="AJ248" s="49">
        <f>IF(B248="","",N(C248))</f>
        <v/>
      </c>
      <c r="AK248" s="49">
        <f>IF(OR(B248="",O248="Cancelled",O248="Rescheduled"),"",B248&amp;"|"&amp;(COUNTIFS('JOBS'!$B$5:$B$1504,B248,'JOBS'!$AJ$5:$AJ$1504,"&lt;"&amp;AJ248,'JOBS'!$O$5:$O$1504,"&lt;&gt;Cancelled",'JOBS'!$O$5:$O$1504,"&lt;&gt;Rescheduled")+COUNTIFS($B$5:B248,B248,$AJ$5:AJ248,AJ248,$O$5:O248,"&lt;&gt;Cancelled",$O$5:O248,"&lt;&gt;Rescheduled")))</f>
        <v/>
      </c>
      <c r="AL248" s="49">
        <f>IF(N(U248)&lt;=0.005,"",COUNTIFS('JOBS'!$U$5:$U$1504,"&gt;0.005",'JOBS'!$B$5:$B$1504,"&lt;"&amp;B248)+COUNTIFS($U$5:U248,"&gt;0.005",$B$5:B248,B248))</f>
        <v/>
      </c>
    </row>
    <row r="249">
      <c r="A249" s="46" t="inlineStr">
        <is>
          <t>J-0245</t>
        </is>
      </c>
      <c r="B249" s="47" t="n">
        <v>46253</v>
      </c>
      <c r="C249" s="94" t="n">
        <v>0.4166666666666667</v>
      </c>
      <c r="D249" s="38" t="inlineStr">
        <is>
          <t>Logan Porter</t>
        </is>
      </c>
      <c r="E249" s="38" t="inlineStr">
        <is>
          <t>675 Aspen Drive, Lakeview (fictional)</t>
        </is>
      </c>
      <c r="F249" s="38" t="inlineStr">
        <is>
          <t>Standard Clean</t>
        </is>
      </c>
      <c r="G249" s="38" t="inlineStr">
        <is>
          <t>R-002</t>
        </is>
      </c>
      <c r="H249" s="38" t="inlineStr">
        <is>
          <t>Dana Whitfield</t>
        </is>
      </c>
      <c r="I249" s="57" t="n">
        <v>1</v>
      </c>
      <c r="J249" s="95" t="n"/>
      <c r="K249" s="95" t="n">
        <v>5.01</v>
      </c>
      <c r="L249" s="48" t="n">
        <v>220</v>
      </c>
      <c r="M249" s="96" t="n">
        <v>0</v>
      </c>
      <c r="N249" s="48" t="n"/>
      <c r="O249" s="38" t="inlineStr">
        <is>
          <t>Completed</t>
        </is>
      </c>
      <c r="P249" s="38" t="inlineStr"/>
      <c r="Q249" s="97">
        <f>IF(OR(F249="",E249=""),"",IFERROR(IF(INDEX('PROPERTIES'!$F$5:$F$404,MATCH(E249,'PROPERTIES'!$B$5:$B$404,0))=0,"",ROUND((INDEX('PROPERTIES'!$F$5:$F$404,MATCH(E249,'PROPERTIES'!$B$5:$B$404,0))/INDEX('PRICING'!$C$7:$C$16,MATCH(F249,'PRICING'!$A$7:$A$16,0))+INDEX('PROPERTIES'!$G$5:$G$404,MATCH(E249,'PROPERTIES'!$B$5:$B$404,0))*INDEX('PRICING'!$D$7:$D$16,MATCH(F249,'PRICING'!$A$7:$A$16,0))/60+INDEX('PROPERTIES'!$H$5:$H$404,MATCH(E249,'PROPERTIES'!$B$5:$B$404,0))*INDEX('PRICING'!$E$7:$E$16,MATCH(F249,'PRICING'!$A$7:$A$16,0))/60+INDEX('PRICING'!$F$7:$F$16,MATCH(F249,'PRICING'!$A$7:$A$16,0))/60),2)),""))</f>
        <v/>
      </c>
      <c r="R249" s="97">
        <f>IF(B249="","",IF(N(K249)&gt;0,K249,IF(N(J249)&gt;0,J249,N(Q249))))</f>
        <v/>
      </c>
      <c r="S249" s="55">
        <f>IF(L249="","",ROUND(L249*(1+N(M249)),2))</f>
        <v/>
      </c>
      <c r="T249" s="55">
        <f>IF(B249="","",SUMIFS('REVENUE'!$C$5:$C$1504,'REVENUE'!$B$5:$B$1504,A249))</f>
        <v/>
      </c>
      <c r="U249" s="55">
        <f>IF(B249="","",IF(O249="Completed",MAX(0,N(S249)-T249),""))</f>
        <v/>
      </c>
      <c r="V249" s="49">
        <f>IF(B249="","",IF(O249&lt;&gt;"Completed",IF(T249&gt;0,"Deposit","—"),IF(U249&lt;=0.005,"Paid",IF(T249&gt;0,"Partial","Unpaid"))))</f>
        <v/>
      </c>
      <c r="W249" s="55">
        <f>IF(B249="","",IFERROR(1/(1/INDEX('STAFF &amp; TASKS'!$C$5:$C$24,MATCH(H249,'STAFF &amp; TASKS'!$A$5:$A$24,0))),PayRate))</f>
        <v/>
      </c>
      <c r="X249" s="55">
        <f>IF(B249="","",IF(OR(O249="Cancelled",O249="No-Show"),"",ROUND(R249*W249*(1+Burden),2)))</f>
        <v/>
      </c>
      <c r="Y249" s="55">
        <f>IF(B249="","",IF(OR(O249="Cancelled",O249="No-Show"),"",IF(N249&lt;&gt;"",N249,ROUND(R249*SupHr*IFERROR(INDEX('PRICING'!$G$7:$G$16,MATCH(F249,'PRICING'!$A$7:$A$16,0)),1),2))))</f>
        <v/>
      </c>
      <c r="Z249" s="98">
        <f>IF(B249="","",SUMIFS('MILEAGE'!$J$5:$J$1504,'MILEAGE'!$B$5:$B$1504,A249))</f>
        <v/>
      </c>
      <c r="AA249" s="55">
        <f>IF(B249="","",ROUND(Z249*MileRate,2))</f>
        <v/>
      </c>
      <c r="AB249" s="55">
        <f>IF(B249="","",SUMIFS('REVENUE'!$J$5:$J$1504,'REVENUE'!$B$5:$B$1504,A249))</f>
        <v/>
      </c>
      <c r="AC249" s="55">
        <f>IF(L249="","",IF(OR(O249="Cancelled",O249="No-Show"),"",L249-N(X249)-N(Y249)-AA249-AB249))</f>
        <v/>
      </c>
      <c r="AD249" s="99">
        <f>IF(OR(AC249="",N(L249)=0),"",AC249/L249)</f>
        <v/>
      </c>
      <c r="AE249" s="55">
        <f>IF(OR(AC249="",N(R249)=0),"",L249/R249)</f>
        <v/>
      </c>
      <c r="AF249" s="100">
        <f>IF(OR(N(K249)=0,N(J249)+N(Q249)=0),"",K249-IF(N(J249)&gt;0,J249,Q249))</f>
        <v/>
      </c>
      <c r="AG249" s="99">
        <f>IF(B249="","",IFERROR(AVERAGEIFS('QUALITY CONTROL'!$M$5:$M$304,'QUALITY CONTROL'!$B$5:$B$304,A249),""))</f>
        <v/>
      </c>
      <c r="AH249" s="51">
        <f>IF(B249="","",DATE(YEAR(B249),MONTH(B249),1))</f>
        <v/>
      </c>
      <c r="AI249" s="49">
        <f>IF(D249="","",IFERROR(INDEX('CUSTOMERS'!$E$5:$E$404,MATCH(D249,'CUSTOMERS'!$B$5:$B$404,0)),""))</f>
        <v/>
      </c>
      <c r="AJ249" s="49">
        <f>IF(B249="","",N(C249))</f>
        <v/>
      </c>
      <c r="AK249" s="49">
        <f>IF(OR(B249="",O249="Cancelled",O249="Rescheduled"),"",B249&amp;"|"&amp;(COUNTIFS('JOBS'!$B$5:$B$1504,B249,'JOBS'!$AJ$5:$AJ$1504,"&lt;"&amp;AJ249,'JOBS'!$O$5:$O$1504,"&lt;&gt;Cancelled",'JOBS'!$O$5:$O$1504,"&lt;&gt;Rescheduled")+COUNTIFS($B$5:B249,B249,$AJ$5:AJ249,AJ249,$O$5:O249,"&lt;&gt;Cancelled",$O$5:O249,"&lt;&gt;Rescheduled")))</f>
        <v/>
      </c>
      <c r="AL249" s="49">
        <f>IF(N(U249)&lt;=0.005,"",COUNTIFS('JOBS'!$U$5:$U$1504,"&gt;0.005",'JOBS'!$B$5:$B$1504,"&lt;"&amp;B249)+COUNTIFS($U$5:U249,"&gt;0.005",$B$5:B249,B249))</f>
        <v/>
      </c>
    </row>
    <row r="250">
      <c r="A250" s="46" t="inlineStr">
        <is>
          <t>J-0246</t>
        </is>
      </c>
      <c r="B250" s="47" t="n">
        <v>46255</v>
      </c>
      <c r="C250" s="94" t="n">
        <v>0.4791666666666667</v>
      </c>
      <c r="D250" s="38" t="inlineStr">
        <is>
          <t>Rowan Foxworth</t>
        </is>
      </c>
      <c r="E250" s="38" t="inlineStr">
        <is>
          <t>876 Magnolia Circle, North Sampletown</t>
        </is>
      </c>
      <c r="F250" s="38" t="inlineStr">
        <is>
          <t>Standard Clean</t>
        </is>
      </c>
      <c r="G250" s="38" t="inlineStr">
        <is>
          <t>R-005</t>
        </is>
      </c>
      <c r="H250" s="38" t="inlineStr">
        <is>
          <t>Maria Lopez</t>
        </is>
      </c>
      <c r="I250" s="57" t="n">
        <v>1</v>
      </c>
      <c r="J250" s="95" t="n"/>
      <c r="K250" s="95" t="n">
        <v>5.34</v>
      </c>
      <c r="L250" s="48" t="n">
        <v>220</v>
      </c>
      <c r="M250" s="96" t="n">
        <v>0</v>
      </c>
      <c r="N250" s="48" t="n"/>
      <c r="O250" s="38" t="inlineStr">
        <is>
          <t>Completed</t>
        </is>
      </c>
      <c r="P250" s="38" t="inlineStr"/>
      <c r="Q250" s="97">
        <f>IF(OR(F250="",E250=""),"",IFERROR(IF(INDEX('PROPERTIES'!$F$5:$F$404,MATCH(E250,'PROPERTIES'!$B$5:$B$404,0))=0,"",ROUND((INDEX('PROPERTIES'!$F$5:$F$404,MATCH(E250,'PROPERTIES'!$B$5:$B$404,0))/INDEX('PRICING'!$C$7:$C$16,MATCH(F250,'PRICING'!$A$7:$A$16,0))+INDEX('PROPERTIES'!$G$5:$G$404,MATCH(E250,'PROPERTIES'!$B$5:$B$404,0))*INDEX('PRICING'!$D$7:$D$16,MATCH(F250,'PRICING'!$A$7:$A$16,0))/60+INDEX('PROPERTIES'!$H$5:$H$404,MATCH(E250,'PROPERTIES'!$B$5:$B$404,0))*INDEX('PRICING'!$E$7:$E$16,MATCH(F250,'PRICING'!$A$7:$A$16,0))/60+INDEX('PRICING'!$F$7:$F$16,MATCH(F250,'PRICING'!$A$7:$A$16,0))/60),2)),""))</f>
        <v/>
      </c>
      <c r="R250" s="97">
        <f>IF(B250="","",IF(N(K250)&gt;0,K250,IF(N(J250)&gt;0,J250,N(Q250))))</f>
        <v/>
      </c>
      <c r="S250" s="55">
        <f>IF(L250="","",ROUND(L250*(1+N(M250)),2))</f>
        <v/>
      </c>
      <c r="T250" s="55">
        <f>IF(B250="","",SUMIFS('REVENUE'!$C$5:$C$1504,'REVENUE'!$B$5:$B$1504,A250))</f>
        <v/>
      </c>
      <c r="U250" s="55">
        <f>IF(B250="","",IF(O250="Completed",MAX(0,N(S250)-T250),""))</f>
        <v/>
      </c>
      <c r="V250" s="49">
        <f>IF(B250="","",IF(O250&lt;&gt;"Completed",IF(T250&gt;0,"Deposit","—"),IF(U250&lt;=0.005,"Paid",IF(T250&gt;0,"Partial","Unpaid"))))</f>
        <v/>
      </c>
      <c r="W250" s="55">
        <f>IF(B250="","",IFERROR(1/(1/INDEX('STAFF &amp; TASKS'!$C$5:$C$24,MATCH(H250,'STAFF &amp; TASKS'!$A$5:$A$24,0))),PayRate))</f>
        <v/>
      </c>
      <c r="X250" s="55">
        <f>IF(B250="","",IF(OR(O250="Cancelled",O250="No-Show"),"",ROUND(R250*W250*(1+Burden),2)))</f>
        <v/>
      </c>
      <c r="Y250" s="55">
        <f>IF(B250="","",IF(OR(O250="Cancelled",O250="No-Show"),"",IF(N250&lt;&gt;"",N250,ROUND(R250*SupHr*IFERROR(INDEX('PRICING'!$G$7:$G$16,MATCH(F250,'PRICING'!$A$7:$A$16,0)),1),2))))</f>
        <v/>
      </c>
      <c r="Z250" s="98">
        <f>IF(B250="","",SUMIFS('MILEAGE'!$J$5:$J$1504,'MILEAGE'!$B$5:$B$1504,A250))</f>
        <v/>
      </c>
      <c r="AA250" s="55">
        <f>IF(B250="","",ROUND(Z250*MileRate,2))</f>
        <v/>
      </c>
      <c r="AB250" s="55">
        <f>IF(B250="","",SUMIFS('REVENUE'!$J$5:$J$1504,'REVENUE'!$B$5:$B$1504,A250))</f>
        <v/>
      </c>
      <c r="AC250" s="55">
        <f>IF(L250="","",IF(OR(O250="Cancelled",O250="No-Show"),"",L250-N(X250)-N(Y250)-AA250-AB250))</f>
        <v/>
      </c>
      <c r="AD250" s="99">
        <f>IF(OR(AC250="",N(L250)=0),"",AC250/L250)</f>
        <v/>
      </c>
      <c r="AE250" s="55">
        <f>IF(OR(AC250="",N(R250)=0),"",L250/R250)</f>
        <v/>
      </c>
      <c r="AF250" s="100">
        <f>IF(OR(N(K250)=0,N(J250)+N(Q250)=0),"",K250-IF(N(J250)&gt;0,J250,Q250))</f>
        <v/>
      </c>
      <c r="AG250" s="99">
        <f>IF(B250="","",IFERROR(AVERAGEIFS('QUALITY CONTROL'!$M$5:$M$304,'QUALITY CONTROL'!$B$5:$B$304,A250),""))</f>
        <v/>
      </c>
      <c r="AH250" s="51">
        <f>IF(B250="","",DATE(YEAR(B250),MONTH(B250),1))</f>
        <v/>
      </c>
      <c r="AI250" s="49">
        <f>IF(D250="","",IFERROR(INDEX('CUSTOMERS'!$E$5:$E$404,MATCH(D250,'CUSTOMERS'!$B$5:$B$404,0)),""))</f>
        <v/>
      </c>
      <c r="AJ250" s="49">
        <f>IF(B250="","",N(C250))</f>
        <v/>
      </c>
      <c r="AK250" s="49">
        <f>IF(OR(B250="",O250="Cancelled",O250="Rescheduled"),"",B250&amp;"|"&amp;(COUNTIFS('JOBS'!$B$5:$B$1504,B250,'JOBS'!$AJ$5:$AJ$1504,"&lt;"&amp;AJ250,'JOBS'!$O$5:$O$1504,"&lt;&gt;Cancelled",'JOBS'!$O$5:$O$1504,"&lt;&gt;Rescheduled")+COUNTIFS($B$5:B250,B250,$AJ$5:AJ250,AJ250,$O$5:O250,"&lt;&gt;Cancelled",$O$5:O250,"&lt;&gt;Rescheduled")))</f>
        <v/>
      </c>
      <c r="AL250" s="49">
        <f>IF(N(U250)&lt;=0.005,"",COUNTIFS('JOBS'!$U$5:$U$1504,"&gt;0.005",'JOBS'!$B$5:$B$1504,"&lt;"&amp;B250)+COUNTIFS($U$5:U250,"&gt;0.005",$B$5:B250,B250))</f>
        <v/>
      </c>
    </row>
    <row r="251">
      <c r="A251" s="46" t="inlineStr">
        <is>
          <t>J-0247</t>
        </is>
      </c>
      <c r="B251" s="47" t="n">
        <v>46255</v>
      </c>
      <c r="C251" s="94" t="n">
        <v>0.5208333333333334</v>
      </c>
      <c r="D251" s="38" t="inlineStr">
        <is>
          <t>Devon Hayes</t>
        </is>
      </c>
      <c r="E251" s="38" t="inlineStr">
        <is>
          <t>461 Hawthorn Road, Lakeview (fictional)</t>
        </is>
      </c>
      <c r="F251" s="38" t="inlineStr">
        <is>
          <t>Standard Clean</t>
        </is>
      </c>
      <c r="G251" s="38" t="inlineStr">
        <is>
          <t>R-003</t>
        </is>
      </c>
      <c r="H251" s="38" t="inlineStr">
        <is>
          <t>Maria Lopez</t>
        </is>
      </c>
      <c r="I251" s="57" t="n">
        <v>1</v>
      </c>
      <c r="J251" s="95" t="n"/>
      <c r="K251" s="95" t="n">
        <v>4.49</v>
      </c>
      <c r="L251" s="48" t="n">
        <v>220</v>
      </c>
      <c r="M251" s="96" t="n">
        <v>0</v>
      </c>
      <c r="N251" s="48" t="n"/>
      <c r="O251" s="38" t="inlineStr">
        <is>
          <t>Completed</t>
        </is>
      </c>
      <c r="P251" s="38" t="inlineStr"/>
      <c r="Q251" s="97">
        <f>IF(OR(F251="",E251=""),"",IFERROR(IF(INDEX('PROPERTIES'!$F$5:$F$404,MATCH(E251,'PROPERTIES'!$B$5:$B$404,0))=0,"",ROUND((INDEX('PROPERTIES'!$F$5:$F$404,MATCH(E251,'PROPERTIES'!$B$5:$B$404,0))/INDEX('PRICING'!$C$7:$C$16,MATCH(F251,'PRICING'!$A$7:$A$16,0))+INDEX('PROPERTIES'!$G$5:$G$404,MATCH(E251,'PROPERTIES'!$B$5:$B$404,0))*INDEX('PRICING'!$D$7:$D$16,MATCH(F251,'PRICING'!$A$7:$A$16,0))/60+INDEX('PROPERTIES'!$H$5:$H$404,MATCH(E251,'PROPERTIES'!$B$5:$B$404,0))*INDEX('PRICING'!$E$7:$E$16,MATCH(F251,'PRICING'!$A$7:$A$16,0))/60+INDEX('PRICING'!$F$7:$F$16,MATCH(F251,'PRICING'!$A$7:$A$16,0))/60),2)),""))</f>
        <v/>
      </c>
      <c r="R251" s="97">
        <f>IF(B251="","",IF(N(K251)&gt;0,K251,IF(N(J251)&gt;0,J251,N(Q251))))</f>
        <v/>
      </c>
      <c r="S251" s="55">
        <f>IF(L251="","",ROUND(L251*(1+N(M251)),2))</f>
        <v/>
      </c>
      <c r="T251" s="55">
        <f>IF(B251="","",SUMIFS('REVENUE'!$C$5:$C$1504,'REVENUE'!$B$5:$B$1504,A251))</f>
        <v/>
      </c>
      <c r="U251" s="55">
        <f>IF(B251="","",IF(O251="Completed",MAX(0,N(S251)-T251),""))</f>
        <v/>
      </c>
      <c r="V251" s="49">
        <f>IF(B251="","",IF(O251&lt;&gt;"Completed",IF(T251&gt;0,"Deposit","—"),IF(U251&lt;=0.005,"Paid",IF(T251&gt;0,"Partial","Unpaid"))))</f>
        <v/>
      </c>
      <c r="W251" s="55">
        <f>IF(B251="","",IFERROR(1/(1/INDEX('STAFF &amp; TASKS'!$C$5:$C$24,MATCH(H251,'STAFF &amp; TASKS'!$A$5:$A$24,0))),PayRate))</f>
        <v/>
      </c>
      <c r="X251" s="55">
        <f>IF(B251="","",IF(OR(O251="Cancelled",O251="No-Show"),"",ROUND(R251*W251*(1+Burden),2)))</f>
        <v/>
      </c>
      <c r="Y251" s="55">
        <f>IF(B251="","",IF(OR(O251="Cancelled",O251="No-Show"),"",IF(N251&lt;&gt;"",N251,ROUND(R251*SupHr*IFERROR(INDEX('PRICING'!$G$7:$G$16,MATCH(F251,'PRICING'!$A$7:$A$16,0)),1),2))))</f>
        <v/>
      </c>
      <c r="Z251" s="98">
        <f>IF(B251="","",SUMIFS('MILEAGE'!$J$5:$J$1504,'MILEAGE'!$B$5:$B$1504,A251))</f>
        <v/>
      </c>
      <c r="AA251" s="55">
        <f>IF(B251="","",ROUND(Z251*MileRate,2))</f>
        <v/>
      </c>
      <c r="AB251" s="55">
        <f>IF(B251="","",SUMIFS('REVENUE'!$J$5:$J$1504,'REVENUE'!$B$5:$B$1504,A251))</f>
        <v/>
      </c>
      <c r="AC251" s="55">
        <f>IF(L251="","",IF(OR(O251="Cancelled",O251="No-Show"),"",L251-N(X251)-N(Y251)-AA251-AB251))</f>
        <v/>
      </c>
      <c r="AD251" s="99">
        <f>IF(OR(AC251="",N(L251)=0),"",AC251/L251)</f>
        <v/>
      </c>
      <c r="AE251" s="55">
        <f>IF(OR(AC251="",N(R251)=0),"",L251/R251)</f>
        <v/>
      </c>
      <c r="AF251" s="100">
        <f>IF(OR(N(K251)=0,N(J251)+N(Q251)=0),"",K251-IF(N(J251)&gt;0,J251,Q251))</f>
        <v/>
      </c>
      <c r="AG251" s="99">
        <f>IF(B251="","",IFERROR(AVERAGEIFS('QUALITY CONTROL'!$M$5:$M$304,'QUALITY CONTROL'!$B$5:$B$304,A251),""))</f>
        <v/>
      </c>
      <c r="AH251" s="51">
        <f>IF(B251="","",DATE(YEAR(B251),MONTH(B251),1))</f>
        <v/>
      </c>
      <c r="AI251" s="49">
        <f>IF(D251="","",IFERROR(INDEX('CUSTOMERS'!$E$5:$E$404,MATCH(D251,'CUSTOMERS'!$B$5:$B$404,0)),""))</f>
        <v/>
      </c>
      <c r="AJ251" s="49">
        <f>IF(B251="","",N(C251))</f>
        <v/>
      </c>
      <c r="AK251" s="49">
        <f>IF(OR(B251="",O251="Cancelled",O251="Rescheduled"),"",B251&amp;"|"&amp;(COUNTIFS('JOBS'!$B$5:$B$1504,B251,'JOBS'!$AJ$5:$AJ$1504,"&lt;"&amp;AJ251,'JOBS'!$O$5:$O$1504,"&lt;&gt;Cancelled",'JOBS'!$O$5:$O$1504,"&lt;&gt;Rescheduled")+COUNTIFS($B$5:B251,B251,$AJ$5:AJ251,AJ251,$O$5:O251,"&lt;&gt;Cancelled",$O$5:O251,"&lt;&gt;Rescheduled")))</f>
        <v/>
      </c>
      <c r="AL251" s="49">
        <f>IF(N(U251)&lt;=0.005,"",COUNTIFS('JOBS'!$U$5:$U$1504,"&gt;0.005",'JOBS'!$B$5:$B$1504,"&lt;"&amp;B251)+COUNTIFS($U$5:U251,"&gt;0.005",$B$5:B251,B251))</f>
        <v/>
      </c>
    </row>
    <row r="252">
      <c r="A252" s="46" t="inlineStr">
        <is>
          <t>J-0248</t>
        </is>
      </c>
      <c r="B252" s="47" t="n">
        <v>46255</v>
      </c>
      <c r="C252" s="94" t="n">
        <v>0.5208333333333334</v>
      </c>
      <c r="D252" s="38" t="inlineStr">
        <is>
          <t>Oakview Office Suites (sample)</t>
        </is>
      </c>
      <c r="E252" s="38" t="inlineStr">
        <is>
          <t>957 Hawthorn Road, North Sampletown</t>
        </is>
      </c>
      <c r="F252" s="38" t="inlineStr">
        <is>
          <t>Commercial Clean</t>
        </is>
      </c>
      <c r="G252" s="38" t="inlineStr">
        <is>
          <t>R-012</t>
        </is>
      </c>
      <c r="H252" s="38" t="inlineStr">
        <is>
          <t>Kevin Osei</t>
        </is>
      </c>
      <c r="I252" s="57" t="n">
        <v>2</v>
      </c>
      <c r="J252" s="95" t="n"/>
      <c r="K252" s="95" t="n">
        <v>4.13</v>
      </c>
      <c r="L252" s="48" t="n">
        <v>140</v>
      </c>
      <c r="M252" s="96" t="n">
        <v>0</v>
      </c>
      <c r="N252" s="48" t="n"/>
      <c r="O252" s="38" t="inlineStr">
        <is>
          <t>Completed</t>
        </is>
      </c>
      <c r="P252" s="38" t="inlineStr"/>
      <c r="Q252" s="97">
        <f>IF(OR(F252="",E252=""),"",IFERROR(IF(INDEX('PROPERTIES'!$F$5:$F$404,MATCH(E252,'PROPERTIES'!$B$5:$B$404,0))=0,"",ROUND((INDEX('PROPERTIES'!$F$5:$F$404,MATCH(E252,'PROPERTIES'!$B$5:$B$404,0))/INDEX('PRICING'!$C$7:$C$16,MATCH(F252,'PRICING'!$A$7:$A$16,0))+INDEX('PROPERTIES'!$G$5:$G$404,MATCH(E252,'PROPERTIES'!$B$5:$B$404,0))*INDEX('PRICING'!$D$7:$D$16,MATCH(F252,'PRICING'!$A$7:$A$16,0))/60+INDEX('PROPERTIES'!$H$5:$H$404,MATCH(E252,'PROPERTIES'!$B$5:$B$404,0))*INDEX('PRICING'!$E$7:$E$16,MATCH(F252,'PRICING'!$A$7:$A$16,0))/60+INDEX('PRICING'!$F$7:$F$16,MATCH(F252,'PRICING'!$A$7:$A$16,0))/60),2)),""))</f>
        <v/>
      </c>
      <c r="R252" s="97">
        <f>IF(B252="","",IF(N(K252)&gt;0,K252,IF(N(J252)&gt;0,J252,N(Q252))))</f>
        <v/>
      </c>
      <c r="S252" s="55">
        <f>IF(L252="","",ROUND(L252*(1+N(M252)),2))</f>
        <v/>
      </c>
      <c r="T252" s="55">
        <f>IF(B252="","",SUMIFS('REVENUE'!$C$5:$C$1504,'REVENUE'!$B$5:$B$1504,A252))</f>
        <v/>
      </c>
      <c r="U252" s="55">
        <f>IF(B252="","",IF(O252="Completed",MAX(0,N(S252)-T252),""))</f>
        <v/>
      </c>
      <c r="V252" s="49">
        <f>IF(B252="","",IF(O252&lt;&gt;"Completed",IF(T252&gt;0,"Deposit","—"),IF(U252&lt;=0.005,"Paid",IF(T252&gt;0,"Partial","Unpaid"))))</f>
        <v/>
      </c>
      <c r="W252" s="55">
        <f>IF(B252="","",IFERROR(1/(1/INDEX('STAFF &amp; TASKS'!$C$5:$C$24,MATCH(H252,'STAFF &amp; TASKS'!$A$5:$A$24,0))),PayRate))</f>
        <v/>
      </c>
      <c r="X252" s="55">
        <f>IF(B252="","",IF(OR(O252="Cancelled",O252="No-Show"),"",ROUND(R252*W252*(1+Burden),2)))</f>
        <v/>
      </c>
      <c r="Y252" s="55">
        <f>IF(B252="","",IF(OR(O252="Cancelled",O252="No-Show"),"",IF(N252&lt;&gt;"",N252,ROUND(R252*SupHr*IFERROR(INDEX('PRICING'!$G$7:$G$16,MATCH(F252,'PRICING'!$A$7:$A$16,0)),1),2))))</f>
        <v/>
      </c>
      <c r="Z252" s="98">
        <f>IF(B252="","",SUMIFS('MILEAGE'!$J$5:$J$1504,'MILEAGE'!$B$5:$B$1504,A252))</f>
        <v/>
      </c>
      <c r="AA252" s="55">
        <f>IF(B252="","",ROUND(Z252*MileRate,2))</f>
        <v/>
      </c>
      <c r="AB252" s="55">
        <f>IF(B252="","",SUMIFS('REVENUE'!$J$5:$J$1504,'REVENUE'!$B$5:$B$1504,A252))</f>
        <v/>
      </c>
      <c r="AC252" s="55">
        <f>IF(L252="","",IF(OR(O252="Cancelled",O252="No-Show"),"",L252-N(X252)-N(Y252)-AA252-AB252))</f>
        <v/>
      </c>
      <c r="AD252" s="99">
        <f>IF(OR(AC252="",N(L252)=0),"",AC252/L252)</f>
        <v/>
      </c>
      <c r="AE252" s="55">
        <f>IF(OR(AC252="",N(R252)=0),"",L252/R252)</f>
        <v/>
      </c>
      <c r="AF252" s="100">
        <f>IF(OR(N(K252)=0,N(J252)+N(Q252)=0),"",K252-IF(N(J252)&gt;0,J252,Q252))</f>
        <v/>
      </c>
      <c r="AG252" s="99">
        <f>IF(B252="","",IFERROR(AVERAGEIFS('QUALITY CONTROL'!$M$5:$M$304,'QUALITY CONTROL'!$B$5:$B$304,A252),""))</f>
        <v/>
      </c>
      <c r="AH252" s="51">
        <f>IF(B252="","",DATE(YEAR(B252),MONTH(B252),1))</f>
        <v/>
      </c>
      <c r="AI252" s="49">
        <f>IF(D252="","",IFERROR(INDEX('CUSTOMERS'!$E$5:$E$404,MATCH(D252,'CUSTOMERS'!$B$5:$B$404,0)),""))</f>
        <v/>
      </c>
      <c r="AJ252" s="49">
        <f>IF(B252="","",N(C252))</f>
        <v/>
      </c>
      <c r="AK252" s="49">
        <f>IF(OR(B252="",O252="Cancelled",O252="Rescheduled"),"",B252&amp;"|"&amp;(COUNTIFS('JOBS'!$B$5:$B$1504,B252,'JOBS'!$AJ$5:$AJ$1504,"&lt;"&amp;AJ252,'JOBS'!$O$5:$O$1504,"&lt;&gt;Cancelled",'JOBS'!$O$5:$O$1504,"&lt;&gt;Rescheduled")+COUNTIFS($B$5:B252,B252,$AJ$5:AJ252,AJ252,$O$5:O252,"&lt;&gt;Cancelled",$O$5:O252,"&lt;&gt;Rescheduled")))</f>
        <v/>
      </c>
      <c r="AL252" s="49">
        <f>IF(N(U252)&lt;=0.005,"",COUNTIFS('JOBS'!$U$5:$U$1504,"&gt;0.005",'JOBS'!$B$5:$B$1504,"&lt;"&amp;B252)+COUNTIFS($U$5:U252,"&gt;0.005",$B$5:B252,B252))</f>
        <v/>
      </c>
    </row>
    <row r="253">
      <c r="A253" s="46" t="inlineStr">
        <is>
          <t>J-0249</t>
        </is>
      </c>
      <c r="B253" s="47" t="n">
        <v>46255</v>
      </c>
      <c r="C253" s="94" t="n">
        <v>0.625</v>
      </c>
      <c r="D253" s="38" t="inlineStr">
        <is>
          <t>Lane Northcott</t>
        </is>
      </c>
      <c r="E253" s="38" t="inlineStr">
        <is>
          <t>102 Hawthorn Road, Lakeview (fictional)</t>
        </is>
      </c>
      <c r="F253" s="38" t="inlineStr">
        <is>
          <t>Standard Clean</t>
        </is>
      </c>
      <c r="G253" s="38" t="inlineStr">
        <is>
          <t>R-010</t>
        </is>
      </c>
      <c r="H253" s="38" t="inlineStr">
        <is>
          <t>Dana Whitfield</t>
        </is>
      </c>
      <c r="I253" s="57" t="n">
        <v>1</v>
      </c>
      <c r="J253" s="95" t="n"/>
      <c r="K253" s="95" t="n">
        <v>3.05</v>
      </c>
      <c r="L253" s="48" t="n">
        <v>150</v>
      </c>
      <c r="M253" s="96" t="n">
        <v>0</v>
      </c>
      <c r="N253" s="48" t="n"/>
      <c r="O253" s="38" t="inlineStr">
        <is>
          <t>Completed</t>
        </is>
      </c>
      <c r="P253" s="38" t="inlineStr"/>
      <c r="Q253" s="97">
        <f>IF(OR(F253="",E253=""),"",IFERROR(IF(INDEX('PROPERTIES'!$F$5:$F$404,MATCH(E253,'PROPERTIES'!$B$5:$B$404,0))=0,"",ROUND((INDEX('PROPERTIES'!$F$5:$F$404,MATCH(E253,'PROPERTIES'!$B$5:$B$404,0))/INDEX('PRICING'!$C$7:$C$16,MATCH(F253,'PRICING'!$A$7:$A$16,0))+INDEX('PROPERTIES'!$G$5:$G$404,MATCH(E253,'PROPERTIES'!$B$5:$B$404,0))*INDEX('PRICING'!$D$7:$D$16,MATCH(F253,'PRICING'!$A$7:$A$16,0))/60+INDEX('PROPERTIES'!$H$5:$H$404,MATCH(E253,'PROPERTIES'!$B$5:$B$404,0))*INDEX('PRICING'!$E$7:$E$16,MATCH(F253,'PRICING'!$A$7:$A$16,0))/60+INDEX('PRICING'!$F$7:$F$16,MATCH(F253,'PRICING'!$A$7:$A$16,0))/60),2)),""))</f>
        <v/>
      </c>
      <c r="R253" s="97">
        <f>IF(B253="","",IF(N(K253)&gt;0,K253,IF(N(J253)&gt;0,J253,N(Q253))))</f>
        <v/>
      </c>
      <c r="S253" s="55">
        <f>IF(L253="","",ROUND(L253*(1+N(M253)),2))</f>
        <v/>
      </c>
      <c r="T253" s="55">
        <f>IF(B253="","",SUMIFS('REVENUE'!$C$5:$C$1504,'REVENUE'!$B$5:$B$1504,A253))</f>
        <v/>
      </c>
      <c r="U253" s="55">
        <f>IF(B253="","",IF(O253="Completed",MAX(0,N(S253)-T253),""))</f>
        <v/>
      </c>
      <c r="V253" s="49">
        <f>IF(B253="","",IF(O253&lt;&gt;"Completed",IF(T253&gt;0,"Deposit","—"),IF(U253&lt;=0.005,"Paid",IF(T253&gt;0,"Partial","Unpaid"))))</f>
        <v/>
      </c>
      <c r="W253" s="55">
        <f>IF(B253="","",IFERROR(1/(1/INDEX('STAFF &amp; TASKS'!$C$5:$C$24,MATCH(H253,'STAFF &amp; TASKS'!$A$5:$A$24,0))),PayRate))</f>
        <v/>
      </c>
      <c r="X253" s="55">
        <f>IF(B253="","",IF(OR(O253="Cancelled",O253="No-Show"),"",ROUND(R253*W253*(1+Burden),2)))</f>
        <v/>
      </c>
      <c r="Y253" s="55">
        <f>IF(B253="","",IF(OR(O253="Cancelled",O253="No-Show"),"",IF(N253&lt;&gt;"",N253,ROUND(R253*SupHr*IFERROR(INDEX('PRICING'!$G$7:$G$16,MATCH(F253,'PRICING'!$A$7:$A$16,0)),1),2))))</f>
        <v/>
      </c>
      <c r="Z253" s="98">
        <f>IF(B253="","",SUMIFS('MILEAGE'!$J$5:$J$1504,'MILEAGE'!$B$5:$B$1504,A253))</f>
        <v/>
      </c>
      <c r="AA253" s="55">
        <f>IF(B253="","",ROUND(Z253*MileRate,2))</f>
        <v/>
      </c>
      <c r="AB253" s="55">
        <f>IF(B253="","",SUMIFS('REVENUE'!$J$5:$J$1504,'REVENUE'!$B$5:$B$1504,A253))</f>
        <v/>
      </c>
      <c r="AC253" s="55">
        <f>IF(L253="","",IF(OR(O253="Cancelled",O253="No-Show"),"",L253-N(X253)-N(Y253)-AA253-AB253))</f>
        <v/>
      </c>
      <c r="AD253" s="99">
        <f>IF(OR(AC253="",N(L253)=0),"",AC253/L253)</f>
        <v/>
      </c>
      <c r="AE253" s="55">
        <f>IF(OR(AC253="",N(R253)=0),"",L253/R253)</f>
        <v/>
      </c>
      <c r="AF253" s="100">
        <f>IF(OR(N(K253)=0,N(J253)+N(Q253)=0),"",K253-IF(N(J253)&gt;0,J253,Q253))</f>
        <v/>
      </c>
      <c r="AG253" s="99">
        <f>IF(B253="","",IFERROR(AVERAGEIFS('QUALITY CONTROL'!$M$5:$M$304,'QUALITY CONTROL'!$B$5:$B$304,A253),""))</f>
        <v/>
      </c>
      <c r="AH253" s="51">
        <f>IF(B253="","",DATE(YEAR(B253),MONTH(B253),1))</f>
        <v/>
      </c>
      <c r="AI253" s="49">
        <f>IF(D253="","",IFERROR(INDEX('CUSTOMERS'!$E$5:$E$404,MATCH(D253,'CUSTOMERS'!$B$5:$B$404,0)),""))</f>
        <v/>
      </c>
      <c r="AJ253" s="49">
        <f>IF(B253="","",N(C253))</f>
        <v/>
      </c>
      <c r="AK253" s="49">
        <f>IF(OR(B253="",O253="Cancelled",O253="Rescheduled"),"",B253&amp;"|"&amp;(COUNTIFS('JOBS'!$B$5:$B$1504,B253,'JOBS'!$AJ$5:$AJ$1504,"&lt;"&amp;AJ253,'JOBS'!$O$5:$O$1504,"&lt;&gt;Cancelled",'JOBS'!$O$5:$O$1504,"&lt;&gt;Rescheduled")+COUNTIFS($B$5:B253,B253,$AJ$5:AJ253,AJ253,$O$5:O253,"&lt;&gt;Cancelled",$O$5:O253,"&lt;&gt;Rescheduled")))</f>
        <v/>
      </c>
      <c r="AL253" s="49">
        <f>IF(N(U253)&lt;=0.005,"",COUNTIFS('JOBS'!$U$5:$U$1504,"&gt;0.005",'JOBS'!$B$5:$B$1504,"&lt;"&amp;B253)+COUNTIFS($U$5:U253,"&gt;0.005",$B$5:B253,B253))</f>
        <v/>
      </c>
    </row>
    <row r="254">
      <c r="A254" s="46" t="inlineStr">
        <is>
          <t>J-0250</t>
        </is>
      </c>
      <c r="B254" s="47" t="n">
        <v>46255</v>
      </c>
      <c r="C254" s="94" t="n">
        <v>0.625</v>
      </c>
      <c r="D254" s="38" t="inlineStr">
        <is>
          <t>Brightside Dental Studio (sample)</t>
        </is>
      </c>
      <c r="E254" s="38" t="inlineStr">
        <is>
          <t>738 Cedar Court, North Sampletown</t>
        </is>
      </c>
      <c r="F254" s="38" t="inlineStr">
        <is>
          <t>Commercial Clean</t>
        </is>
      </c>
      <c r="G254" s="38" t="inlineStr">
        <is>
          <t>R-011</t>
        </is>
      </c>
      <c r="H254" s="38" t="inlineStr">
        <is>
          <t>Kevin Osei</t>
        </is>
      </c>
      <c r="I254" s="57" t="n">
        <v>2</v>
      </c>
      <c r="J254" s="95" t="n"/>
      <c r="K254" s="95" t="n">
        <v>1.86</v>
      </c>
      <c r="L254" s="48" t="n">
        <v>100</v>
      </c>
      <c r="M254" s="96" t="n">
        <v>0</v>
      </c>
      <c r="N254" s="48" t="n"/>
      <c r="O254" s="38" t="inlineStr">
        <is>
          <t>Completed</t>
        </is>
      </c>
      <c r="P254" s="38" t="inlineStr"/>
      <c r="Q254" s="97">
        <f>IF(OR(F254="",E254=""),"",IFERROR(IF(INDEX('PROPERTIES'!$F$5:$F$404,MATCH(E254,'PROPERTIES'!$B$5:$B$404,0))=0,"",ROUND((INDEX('PROPERTIES'!$F$5:$F$404,MATCH(E254,'PROPERTIES'!$B$5:$B$404,0))/INDEX('PRICING'!$C$7:$C$16,MATCH(F254,'PRICING'!$A$7:$A$16,0))+INDEX('PROPERTIES'!$G$5:$G$404,MATCH(E254,'PROPERTIES'!$B$5:$B$404,0))*INDEX('PRICING'!$D$7:$D$16,MATCH(F254,'PRICING'!$A$7:$A$16,0))/60+INDEX('PROPERTIES'!$H$5:$H$404,MATCH(E254,'PROPERTIES'!$B$5:$B$404,0))*INDEX('PRICING'!$E$7:$E$16,MATCH(F254,'PRICING'!$A$7:$A$16,0))/60+INDEX('PRICING'!$F$7:$F$16,MATCH(F254,'PRICING'!$A$7:$A$16,0))/60),2)),""))</f>
        <v/>
      </c>
      <c r="R254" s="97">
        <f>IF(B254="","",IF(N(K254)&gt;0,K254,IF(N(J254)&gt;0,J254,N(Q254))))</f>
        <v/>
      </c>
      <c r="S254" s="55">
        <f>IF(L254="","",ROUND(L254*(1+N(M254)),2))</f>
        <v/>
      </c>
      <c r="T254" s="55">
        <f>IF(B254="","",SUMIFS('REVENUE'!$C$5:$C$1504,'REVENUE'!$B$5:$B$1504,A254))</f>
        <v/>
      </c>
      <c r="U254" s="55">
        <f>IF(B254="","",IF(O254="Completed",MAX(0,N(S254)-T254),""))</f>
        <v/>
      </c>
      <c r="V254" s="49">
        <f>IF(B254="","",IF(O254&lt;&gt;"Completed",IF(T254&gt;0,"Deposit","—"),IF(U254&lt;=0.005,"Paid",IF(T254&gt;0,"Partial","Unpaid"))))</f>
        <v/>
      </c>
      <c r="W254" s="55">
        <f>IF(B254="","",IFERROR(1/(1/INDEX('STAFF &amp; TASKS'!$C$5:$C$24,MATCH(H254,'STAFF &amp; TASKS'!$A$5:$A$24,0))),PayRate))</f>
        <v/>
      </c>
      <c r="X254" s="55">
        <f>IF(B254="","",IF(OR(O254="Cancelled",O254="No-Show"),"",ROUND(R254*W254*(1+Burden),2)))</f>
        <v/>
      </c>
      <c r="Y254" s="55">
        <f>IF(B254="","",IF(OR(O254="Cancelled",O254="No-Show"),"",IF(N254&lt;&gt;"",N254,ROUND(R254*SupHr*IFERROR(INDEX('PRICING'!$G$7:$G$16,MATCH(F254,'PRICING'!$A$7:$A$16,0)),1),2))))</f>
        <v/>
      </c>
      <c r="Z254" s="98">
        <f>IF(B254="","",SUMIFS('MILEAGE'!$J$5:$J$1504,'MILEAGE'!$B$5:$B$1504,A254))</f>
        <v/>
      </c>
      <c r="AA254" s="55">
        <f>IF(B254="","",ROUND(Z254*MileRate,2))</f>
        <v/>
      </c>
      <c r="AB254" s="55">
        <f>IF(B254="","",SUMIFS('REVENUE'!$J$5:$J$1504,'REVENUE'!$B$5:$B$1504,A254))</f>
        <v/>
      </c>
      <c r="AC254" s="55">
        <f>IF(L254="","",IF(OR(O254="Cancelled",O254="No-Show"),"",L254-N(X254)-N(Y254)-AA254-AB254))</f>
        <v/>
      </c>
      <c r="AD254" s="99">
        <f>IF(OR(AC254="",N(L254)=0),"",AC254/L254)</f>
        <v/>
      </c>
      <c r="AE254" s="55">
        <f>IF(OR(AC254="",N(R254)=0),"",L254/R254)</f>
        <v/>
      </c>
      <c r="AF254" s="100">
        <f>IF(OR(N(K254)=0,N(J254)+N(Q254)=0),"",K254-IF(N(J254)&gt;0,J254,Q254))</f>
        <v/>
      </c>
      <c r="AG254" s="99">
        <f>IF(B254="","",IFERROR(AVERAGEIFS('QUALITY CONTROL'!$M$5:$M$304,'QUALITY CONTROL'!$B$5:$B$304,A254),""))</f>
        <v/>
      </c>
      <c r="AH254" s="51">
        <f>IF(B254="","",DATE(YEAR(B254),MONTH(B254),1))</f>
        <v/>
      </c>
      <c r="AI254" s="49">
        <f>IF(D254="","",IFERROR(INDEX('CUSTOMERS'!$E$5:$E$404,MATCH(D254,'CUSTOMERS'!$B$5:$B$404,0)),""))</f>
        <v/>
      </c>
      <c r="AJ254" s="49">
        <f>IF(B254="","",N(C254))</f>
        <v/>
      </c>
      <c r="AK254" s="49">
        <f>IF(OR(B254="",O254="Cancelled",O254="Rescheduled"),"",B254&amp;"|"&amp;(COUNTIFS('JOBS'!$B$5:$B$1504,B254,'JOBS'!$AJ$5:$AJ$1504,"&lt;"&amp;AJ254,'JOBS'!$O$5:$O$1504,"&lt;&gt;Cancelled",'JOBS'!$O$5:$O$1504,"&lt;&gt;Rescheduled")+COUNTIFS($B$5:B254,B254,$AJ$5:AJ254,AJ254,$O$5:O254,"&lt;&gt;Cancelled",$O$5:O254,"&lt;&gt;Rescheduled")))</f>
        <v/>
      </c>
      <c r="AL254" s="49">
        <f>IF(N(U254)&lt;=0.005,"",COUNTIFS('JOBS'!$U$5:$U$1504,"&gt;0.005",'JOBS'!$B$5:$B$1504,"&lt;"&amp;B254)+COUNTIFS($U$5:U254,"&gt;0.005",$B$5:B254,B254))</f>
        <v/>
      </c>
    </row>
    <row r="255">
      <c r="A255" s="46" t="inlineStr">
        <is>
          <t>J-0251</t>
        </is>
      </c>
      <c r="B255" s="47" t="n">
        <v>46259</v>
      </c>
      <c r="C255" s="94" t="n">
        <v>0.4166666666666667</v>
      </c>
      <c r="D255" s="38" t="inlineStr">
        <is>
          <t>Lane Ivers</t>
        </is>
      </c>
      <c r="E255" s="38" t="inlineStr">
        <is>
          <t>497 Aspen Drive, Sampletown</t>
        </is>
      </c>
      <c r="F255" s="38" t="inlineStr">
        <is>
          <t>Standard Clean</t>
        </is>
      </c>
      <c r="G255" s="38" t="inlineStr">
        <is>
          <t>R-001</t>
        </is>
      </c>
      <c r="H255" s="38" t="inlineStr">
        <is>
          <t>Maria Lopez</t>
        </is>
      </c>
      <c r="I255" s="57" t="n">
        <v>1</v>
      </c>
      <c r="J255" s="95" t="n"/>
      <c r="K255" s="95" t="n">
        <v>4.81</v>
      </c>
      <c r="L255" s="48" t="n">
        <v>175</v>
      </c>
      <c r="M255" s="96" t="n">
        <v>0</v>
      </c>
      <c r="N255" s="48" t="n"/>
      <c r="O255" s="38" t="inlineStr">
        <is>
          <t>Completed</t>
        </is>
      </c>
      <c r="P255" s="38" t="inlineStr"/>
      <c r="Q255" s="97">
        <f>IF(OR(F255="",E255=""),"",IFERROR(IF(INDEX('PROPERTIES'!$F$5:$F$404,MATCH(E255,'PROPERTIES'!$B$5:$B$404,0))=0,"",ROUND((INDEX('PROPERTIES'!$F$5:$F$404,MATCH(E255,'PROPERTIES'!$B$5:$B$404,0))/INDEX('PRICING'!$C$7:$C$16,MATCH(F255,'PRICING'!$A$7:$A$16,0))+INDEX('PROPERTIES'!$G$5:$G$404,MATCH(E255,'PROPERTIES'!$B$5:$B$404,0))*INDEX('PRICING'!$D$7:$D$16,MATCH(F255,'PRICING'!$A$7:$A$16,0))/60+INDEX('PROPERTIES'!$H$5:$H$404,MATCH(E255,'PROPERTIES'!$B$5:$B$404,0))*INDEX('PRICING'!$E$7:$E$16,MATCH(F255,'PRICING'!$A$7:$A$16,0))/60+INDEX('PRICING'!$F$7:$F$16,MATCH(F255,'PRICING'!$A$7:$A$16,0))/60),2)),""))</f>
        <v/>
      </c>
      <c r="R255" s="97">
        <f>IF(B255="","",IF(N(K255)&gt;0,K255,IF(N(J255)&gt;0,J255,N(Q255))))</f>
        <v/>
      </c>
      <c r="S255" s="55">
        <f>IF(L255="","",ROUND(L255*(1+N(M255)),2))</f>
        <v/>
      </c>
      <c r="T255" s="55">
        <f>IF(B255="","",SUMIFS('REVENUE'!$C$5:$C$1504,'REVENUE'!$B$5:$B$1504,A255))</f>
        <v/>
      </c>
      <c r="U255" s="55">
        <f>IF(B255="","",IF(O255="Completed",MAX(0,N(S255)-T255),""))</f>
        <v/>
      </c>
      <c r="V255" s="49">
        <f>IF(B255="","",IF(O255&lt;&gt;"Completed",IF(T255&gt;0,"Deposit","—"),IF(U255&lt;=0.005,"Paid",IF(T255&gt;0,"Partial","Unpaid"))))</f>
        <v/>
      </c>
      <c r="W255" s="55">
        <f>IF(B255="","",IFERROR(1/(1/INDEX('STAFF &amp; TASKS'!$C$5:$C$24,MATCH(H255,'STAFF &amp; TASKS'!$A$5:$A$24,0))),PayRate))</f>
        <v/>
      </c>
      <c r="X255" s="55">
        <f>IF(B255="","",IF(OR(O255="Cancelled",O255="No-Show"),"",ROUND(R255*W255*(1+Burden),2)))</f>
        <v/>
      </c>
      <c r="Y255" s="55">
        <f>IF(B255="","",IF(OR(O255="Cancelled",O255="No-Show"),"",IF(N255&lt;&gt;"",N255,ROUND(R255*SupHr*IFERROR(INDEX('PRICING'!$G$7:$G$16,MATCH(F255,'PRICING'!$A$7:$A$16,0)),1),2))))</f>
        <v/>
      </c>
      <c r="Z255" s="98">
        <f>IF(B255="","",SUMIFS('MILEAGE'!$J$5:$J$1504,'MILEAGE'!$B$5:$B$1504,A255))</f>
        <v/>
      </c>
      <c r="AA255" s="55">
        <f>IF(B255="","",ROUND(Z255*MileRate,2))</f>
        <v/>
      </c>
      <c r="AB255" s="55">
        <f>IF(B255="","",SUMIFS('REVENUE'!$J$5:$J$1504,'REVENUE'!$B$5:$B$1504,A255))</f>
        <v/>
      </c>
      <c r="AC255" s="55">
        <f>IF(L255="","",IF(OR(O255="Cancelled",O255="No-Show"),"",L255-N(X255)-N(Y255)-AA255-AB255))</f>
        <v/>
      </c>
      <c r="AD255" s="99">
        <f>IF(OR(AC255="",N(L255)=0),"",AC255/L255)</f>
        <v/>
      </c>
      <c r="AE255" s="55">
        <f>IF(OR(AC255="",N(R255)=0),"",L255/R255)</f>
        <v/>
      </c>
      <c r="AF255" s="100">
        <f>IF(OR(N(K255)=0,N(J255)+N(Q255)=0),"",K255-IF(N(J255)&gt;0,J255,Q255))</f>
        <v/>
      </c>
      <c r="AG255" s="99">
        <f>IF(B255="","",IFERROR(AVERAGEIFS('QUALITY CONTROL'!$M$5:$M$304,'QUALITY CONTROL'!$B$5:$B$304,A255),""))</f>
        <v/>
      </c>
      <c r="AH255" s="51">
        <f>IF(B255="","",DATE(YEAR(B255),MONTH(B255),1))</f>
        <v/>
      </c>
      <c r="AI255" s="49">
        <f>IF(D255="","",IFERROR(INDEX('CUSTOMERS'!$E$5:$E$404,MATCH(D255,'CUSTOMERS'!$B$5:$B$404,0)),""))</f>
        <v/>
      </c>
      <c r="AJ255" s="49">
        <f>IF(B255="","",N(C255))</f>
        <v/>
      </c>
      <c r="AK255" s="49">
        <f>IF(OR(B255="",O255="Cancelled",O255="Rescheduled"),"",B255&amp;"|"&amp;(COUNTIFS('JOBS'!$B$5:$B$1504,B255,'JOBS'!$AJ$5:$AJ$1504,"&lt;"&amp;AJ255,'JOBS'!$O$5:$O$1504,"&lt;&gt;Cancelled",'JOBS'!$O$5:$O$1504,"&lt;&gt;Rescheduled")+COUNTIFS($B$5:B255,B255,$AJ$5:AJ255,AJ255,$O$5:O255,"&lt;&gt;Cancelled",$O$5:O255,"&lt;&gt;Rescheduled")))</f>
        <v/>
      </c>
      <c r="AL255" s="49">
        <f>IF(N(U255)&lt;=0.005,"",COUNTIFS('JOBS'!$U$5:$U$1504,"&gt;0.005",'JOBS'!$B$5:$B$1504,"&lt;"&amp;B255)+COUNTIFS($U$5:U255,"&gt;0.005",$B$5:B255,B255))</f>
        <v/>
      </c>
    </row>
    <row r="256">
      <c r="A256" s="46" t="inlineStr">
        <is>
          <t>J-0252</t>
        </is>
      </c>
      <c r="B256" s="47" t="n">
        <v>46261</v>
      </c>
      <c r="C256" s="94" t="n">
        <v>0.375</v>
      </c>
      <c r="D256" s="38" t="inlineStr">
        <is>
          <t>Blake Oakes</t>
        </is>
      </c>
      <c r="E256" s="38" t="inlineStr">
        <is>
          <t>654 Willow Way, North Sampletown</t>
        </is>
      </c>
      <c r="F256" s="38" t="inlineStr">
        <is>
          <t>Airbnb Turnover</t>
        </is>
      </c>
      <c r="G256" s="38" t="n"/>
      <c r="H256" s="38" t="inlineStr">
        <is>
          <t>Kevin Osei</t>
        </is>
      </c>
      <c r="I256" s="57" t="n">
        <v>1</v>
      </c>
      <c r="J256" s="95" t="n"/>
      <c r="K256" s="95" t="n">
        <v>2.05</v>
      </c>
      <c r="L256" s="48" t="n">
        <v>135</v>
      </c>
      <c r="M256" s="96" t="n">
        <v>0</v>
      </c>
      <c r="N256" s="48" t="n"/>
      <c r="O256" s="38" t="inlineStr">
        <is>
          <t>Completed</t>
        </is>
      </c>
      <c r="P256" s="38" t="inlineStr">
        <is>
          <t>Includes laundry</t>
        </is>
      </c>
      <c r="Q256" s="97">
        <f>IF(OR(F256="",E256=""),"",IFERROR(IF(INDEX('PROPERTIES'!$F$5:$F$404,MATCH(E256,'PROPERTIES'!$B$5:$B$404,0))=0,"",ROUND((INDEX('PROPERTIES'!$F$5:$F$404,MATCH(E256,'PROPERTIES'!$B$5:$B$404,0))/INDEX('PRICING'!$C$7:$C$16,MATCH(F256,'PRICING'!$A$7:$A$16,0))+INDEX('PROPERTIES'!$G$5:$G$404,MATCH(E256,'PROPERTIES'!$B$5:$B$404,0))*INDEX('PRICING'!$D$7:$D$16,MATCH(F256,'PRICING'!$A$7:$A$16,0))/60+INDEX('PROPERTIES'!$H$5:$H$404,MATCH(E256,'PROPERTIES'!$B$5:$B$404,0))*INDEX('PRICING'!$E$7:$E$16,MATCH(F256,'PRICING'!$A$7:$A$16,0))/60+INDEX('PRICING'!$F$7:$F$16,MATCH(F256,'PRICING'!$A$7:$A$16,0))/60),2)),""))</f>
        <v/>
      </c>
      <c r="R256" s="97">
        <f>IF(B256="","",IF(N(K256)&gt;0,K256,IF(N(J256)&gt;0,J256,N(Q256))))</f>
        <v/>
      </c>
      <c r="S256" s="55">
        <f>IF(L256="","",ROUND(L256*(1+N(M256)),2))</f>
        <v/>
      </c>
      <c r="T256" s="55">
        <f>IF(B256="","",SUMIFS('REVENUE'!$C$5:$C$1504,'REVENUE'!$B$5:$B$1504,A256))</f>
        <v/>
      </c>
      <c r="U256" s="55">
        <f>IF(B256="","",IF(O256="Completed",MAX(0,N(S256)-T256),""))</f>
        <v/>
      </c>
      <c r="V256" s="49">
        <f>IF(B256="","",IF(O256&lt;&gt;"Completed",IF(T256&gt;0,"Deposit","—"),IF(U256&lt;=0.005,"Paid",IF(T256&gt;0,"Partial","Unpaid"))))</f>
        <v/>
      </c>
      <c r="W256" s="55">
        <f>IF(B256="","",IFERROR(1/(1/INDEX('STAFF &amp; TASKS'!$C$5:$C$24,MATCH(H256,'STAFF &amp; TASKS'!$A$5:$A$24,0))),PayRate))</f>
        <v/>
      </c>
      <c r="X256" s="55">
        <f>IF(B256="","",IF(OR(O256="Cancelled",O256="No-Show"),"",ROUND(R256*W256*(1+Burden),2)))</f>
        <v/>
      </c>
      <c r="Y256" s="55">
        <f>IF(B256="","",IF(OR(O256="Cancelled",O256="No-Show"),"",IF(N256&lt;&gt;"",N256,ROUND(R256*SupHr*IFERROR(INDEX('PRICING'!$G$7:$G$16,MATCH(F256,'PRICING'!$A$7:$A$16,0)),1),2))))</f>
        <v/>
      </c>
      <c r="Z256" s="98">
        <f>IF(B256="","",SUMIFS('MILEAGE'!$J$5:$J$1504,'MILEAGE'!$B$5:$B$1504,A256))</f>
        <v/>
      </c>
      <c r="AA256" s="55">
        <f>IF(B256="","",ROUND(Z256*MileRate,2))</f>
        <v/>
      </c>
      <c r="AB256" s="55">
        <f>IF(B256="","",SUMIFS('REVENUE'!$J$5:$J$1504,'REVENUE'!$B$5:$B$1504,A256))</f>
        <v/>
      </c>
      <c r="AC256" s="55">
        <f>IF(L256="","",IF(OR(O256="Cancelled",O256="No-Show"),"",L256-N(X256)-N(Y256)-AA256-AB256))</f>
        <v/>
      </c>
      <c r="AD256" s="99">
        <f>IF(OR(AC256="",N(L256)=0),"",AC256/L256)</f>
        <v/>
      </c>
      <c r="AE256" s="55">
        <f>IF(OR(AC256="",N(R256)=0),"",L256/R256)</f>
        <v/>
      </c>
      <c r="AF256" s="100">
        <f>IF(OR(N(K256)=0,N(J256)+N(Q256)=0),"",K256-IF(N(J256)&gt;0,J256,Q256))</f>
        <v/>
      </c>
      <c r="AG256" s="99">
        <f>IF(B256="","",IFERROR(AVERAGEIFS('QUALITY CONTROL'!$M$5:$M$304,'QUALITY CONTROL'!$B$5:$B$304,A256),""))</f>
        <v/>
      </c>
      <c r="AH256" s="51">
        <f>IF(B256="","",DATE(YEAR(B256),MONTH(B256),1))</f>
        <v/>
      </c>
      <c r="AI256" s="49">
        <f>IF(D256="","",IFERROR(INDEX('CUSTOMERS'!$E$5:$E$404,MATCH(D256,'CUSTOMERS'!$B$5:$B$404,0)),""))</f>
        <v/>
      </c>
      <c r="AJ256" s="49">
        <f>IF(B256="","",N(C256))</f>
        <v/>
      </c>
      <c r="AK256" s="49">
        <f>IF(OR(B256="",O256="Cancelled",O256="Rescheduled"),"",B256&amp;"|"&amp;(COUNTIFS('JOBS'!$B$5:$B$1504,B256,'JOBS'!$AJ$5:$AJ$1504,"&lt;"&amp;AJ256,'JOBS'!$O$5:$O$1504,"&lt;&gt;Cancelled",'JOBS'!$O$5:$O$1504,"&lt;&gt;Rescheduled")+COUNTIFS($B$5:B256,B256,$AJ$5:AJ256,AJ256,$O$5:O256,"&lt;&gt;Cancelled",$O$5:O256,"&lt;&gt;Rescheduled")))</f>
        <v/>
      </c>
      <c r="AL256" s="49">
        <f>IF(N(U256)&lt;=0.005,"",COUNTIFS('JOBS'!$U$5:$U$1504,"&gt;0.005",'JOBS'!$B$5:$B$1504,"&lt;"&amp;B256)+COUNTIFS($U$5:U256,"&gt;0.005",$B$5:B256,B256))</f>
        <v/>
      </c>
    </row>
    <row r="257">
      <c r="A257" s="46" t="inlineStr">
        <is>
          <t>J-0253</t>
        </is>
      </c>
      <c r="B257" s="47" t="n">
        <v>46261</v>
      </c>
      <c r="C257" s="94" t="n">
        <v>0.5208333333333334</v>
      </c>
      <c r="D257" s="38" t="inlineStr">
        <is>
          <t>Emerson Holloway</t>
        </is>
      </c>
      <c r="E257" s="38" t="inlineStr">
        <is>
          <t>192 Birch Lane, North Sampletown</t>
        </is>
      </c>
      <c r="F257" s="38" t="inlineStr">
        <is>
          <t>Airbnb Turnover</t>
        </is>
      </c>
      <c r="G257" s="38" t="n"/>
      <c r="H257" s="38" t="inlineStr">
        <is>
          <t>Kevin Osei</t>
        </is>
      </c>
      <c r="I257" s="57" t="n">
        <v>1</v>
      </c>
      <c r="J257" s="95" t="n"/>
      <c r="K257" s="95" t="n">
        <v>2.65</v>
      </c>
      <c r="L257" s="48" t="n">
        <v>150</v>
      </c>
      <c r="M257" s="96" t="n">
        <v>0</v>
      </c>
      <c r="N257" s="48" t="n"/>
      <c r="O257" s="38" t="inlineStr">
        <is>
          <t>Completed</t>
        </is>
      </c>
      <c r="P257" s="38" t="inlineStr">
        <is>
          <t>Includes laundry</t>
        </is>
      </c>
      <c r="Q257" s="97">
        <f>IF(OR(F257="",E257=""),"",IFERROR(IF(INDEX('PROPERTIES'!$F$5:$F$404,MATCH(E257,'PROPERTIES'!$B$5:$B$404,0))=0,"",ROUND((INDEX('PROPERTIES'!$F$5:$F$404,MATCH(E257,'PROPERTIES'!$B$5:$B$404,0))/INDEX('PRICING'!$C$7:$C$16,MATCH(F257,'PRICING'!$A$7:$A$16,0))+INDEX('PROPERTIES'!$G$5:$G$404,MATCH(E257,'PROPERTIES'!$B$5:$B$404,0))*INDEX('PRICING'!$D$7:$D$16,MATCH(F257,'PRICING'!$A$7:$A$16,0))/60+INDEX('PROPERTIES'!$H$5:$H$404,MATCH(E257,'PROPERTIES'!$B$5:$B$404,0))*INDEX('PRICING'!$E$7:$E$16,MATCH(F257,'PRICING'!$A$7:$A$16,0))/60+INDEX('PRICING'!$F$7:$F$16,MATCH(F257,'PRICING'!$A$7:$A$16,0))/60),2)),""))</f>
        <v/>
      </c>
      <c r="R257" s="97">
        <f>IF(B257="","",IF(N(K257)&gt;0,K257,IF(N(J257)&gt;0,J257,N(Q257))))</f>
        <v/>
      </c>
      <c r="S257" s="55">
        <f>IF(L257="","",ROUND(L257*(1+N(M257)),2))</f>
        <v/>
      </c>
      <c r="T257" s="55">
        <f>IF(B257="","",SUMIFS('REVENUE'!$C$5:$C$1504,'REVENUE'!$B$5:$B$1504,A257))</f>
        <v/>
      </c>
      <c r="U257" s="55">
        <f>IF(B257="","",IF(O257="Completed",MAX(0,N(S257)-T257),""))</f>
        <v/>
      </c>
      <c r="V257" s="49">
        <f>IF(B257="","",IF(O257&lt;&gt;"Completed",IF(T257&gt;0,"Deposit","—"),IF(U257&lt;=0.005,"Paid",IF(T257&gt;0,"Partial","Unpaid"))))</f>
        <v/>
      </c>
      <c r="W257" s="55">
        <f>IF(B257="","",IFERROR(1/(1/INDEX('STAFF &amp; TASKS'!$C$5:$C$24,MATCH(H257,'STAFF &amp; TASKS'!$A$5:$A$24,0))),PayRate))</f>
        <v/>
      </c>
      <c r="X257" s="55">
        <f>IF(B257="","",IF(OR(O257="Cancelled",O257="No-Show"),"",ROUND(R257*W257*(1+Burden),2)))</f>
        <v/>
      </c>
      <c r="Y257" s="55">
        <f>IF(B257="","",IF(OR(O257="Cancelled",O257="No-Show"),"",IF(N257&lt;&gt;"",N257,ROUND(R257*SupHr*IFERROR(INDEX('PRICING'!$G$7:$G$16,MATCH(F257,'PRICING'!$A$7:$A$16,0)),1),2))))</f>
        <v/>
      </c>
      <c r="Z257" s="98">
        <f>IF(B257="","",SUMIFS('MILEAGE'!$J$5:$J$1504,'MILEAGE'!$B$5:$B$1504,A257))</f>
        <v/>
      </c>
      <c r="AA257" s="55">
        <f>IF(B257="","",ROUND(Z257*MileRate,2))</f>
        <v/>
      </c>
      <c r="AB257" s="55">
        <f>IF(B257="","",SUMIFS('REVENUE'!$J$5:$J$1504,'REVENUE'!$B$5:$B$1504,A257))</f>
        <v/>
      </c>
      <c r="AC257" s="55">
        <f>IF(L257="","",IF(OR(O257="Cancelled",O257="No-Show"),"",L257-N(X257)-N(Y257)-AA257-AB257))</f>
        <v/>
      </c>
      <c r="AD257" s="99">
        <f>IF(OR(AC257="",N(L257)=0),"",AC257/L257)</f>
        <v/>
      </c>
      <c r="AE257" s="55">
        <f>IF(OR(AC257="",N(R257)=0),"",L257/R257)</f>
        <v/>
      </c>
      <c r="AF257" s="100">
        <f>IF(OR(N(K257)=0,N(J257)+N(Q257)=0),"",K257-IF(N(J257)&gt;0,J257,Q257))</f>
        <v/>
      </c>
      <c r="AG257" s="99">
        <f>IF(B257="","",IFERROR(AVERAGEIFS('QUALITY CONTROL'!$M$5:$M$304,'QUALITY CONTROL'!$B$5:$B$304,A257),""))</f>
        <v/>
      </c>
      <c r="AH257" s="51">
        <f>IF(B257="","",DATE(YEAR(B257),MONTH(B257),1))</f>
        <v/>
      </c>
      <c r="AI257" s="49">
        <f>IF(D257="","",IFERROR(INDEX('CUSTOMERS'!$E$5:$E$404,MATCH(D257,'CUSTOMERS'!$B$5:$B$404,0)),""))</f>
        <v/>
      </c>
      <c r="AJ257" s="49">
        <f>IF(B257="","",N(C257))</f>
        <v/>
      </c>
      <c r="AK257" s="49">
        <f>IF(OR(B257="",O257="Cancelled",O257="Rescheduled"),"",B257&amp;"|"&amp;(COUNTIFS('JOBS'!$B$5:$B$1504,B257,'JOBS'!$AJ$5:$AJ$1504,"&lt;"&amp;AJ257,'JOBS'!$O$5:$O$1504,"&lt;&gt;Cancelled",'JOBS'!$O$5:$O$1504,"&lt;&gt;Rescheduled")+COUNTIFS($B$5:B257,B257,$AJ$5:AJ257,AJ257,$O$5:O257,"&lt;&gt;Cancelled",$O$5:O257,"&lt;&gt;Rescheduled")))</f>
        <v/>
      </c>
      <c r="AL257" s="49">
        <f>IF(N(U257)&lt;=0.005,"",COUNTIFS('JOBS'!$U$5:$U$1504,"&gt;0.005",'JOBS'!$B$5:$B$1504,"&lt;"&amp;B257)+COUNTIFS($U$5:U257,"&gt;0.005",$B$5:B257,B257))</f>
        <v/>
      </c>
    </row>
    <row r="258">
      <c r="A258" s="46" t="inlineStr">
        <is>
          <t>J-0254</t>
        </is>
      </c>
      <c r="B258" s="47" t="n">
        <v>46262</v>
      </c>
      <c r="C258" s="94" t="n">
        <v>0.3333333333333333</v>
      </c>
      <c r="D258" s="38" t="inlineStr">
        <is>
          <t>Brightside Dental Studio (sample)</t>
        </is>
      </c>
      <c r="E258" s="38" t="inlineStr">
        <is>
          <t>738 Cedar Court, North Sampletown</t>
        </is>
      </c>
      <c r="F258" s="38" t="inlineStr">
        <is>
          <t>Commercial Clean</t>
        </is>
      </c>
      <c r="G258" s="38" t="inlineStr">
        <is>
          <t>R-011</t>
        </is>
      </c>
      <c r="H258" s="38" t="inlineStr">
        <is>
          <t>Kevin Osei</t>
        </is>
      </c>
      <c r="I258" s="57" t="n">
        <v>2</v>
      </c>
      <c r="J258" s="95" t="n"/>
      <c r="K258" s="95" t="n">
        <v>2.13</v>
      </c>
      <c r="L258" s="48" t="n">
        <v>100</v>
      </c>
      <c r="M258" s="96" t="n">
        <v>0</v>
      </c>
      <c r="N258" s="48" t="n"/>
      <c r="O258" s="38" t="inlineStr">
        <is>
          <t>Completed</t>
        </is>
      </c>
      <c r="P258" s="38" t="inlineStr"/>
      <c r="Q258" s="97">
        <f>IF(OR(F258="",E258=""),"",IFERROR(IF(INDEX('PROPERTIES'!$F$5:$F$404,MATCH(E258,'PROPERTIES'!$B$5:$B$404,0))=0,"",ROUND((INDEX('PROPERTIES'!$F$5:$F$404,MATCH(E258,'PROPERTIES'!$B$5:$B$404,0))/INDEX('PRICING'!$C$7:$C$16,MATCH(F258,'PRICING'!$A$7:$A$16,0))+INDEX('PROPERTIES'!$G$5:$G$404,MATCH(E258,'PROPERTIES'!$B$5:$B$404,0))*INDEX('PRICING'!$D$7:$D$16,MATCH(F258,'PRICING'!$A$7:$A$16,0))/60+INDEX('PROPERTIES'!$H$5:$H$404,MATCH(E258,'PROPERTIES'!$B$5:$B$404,0))*INDEX('PRICING'!$E$7:$E$16,MATCH(F258,'PRICING'!$A$7:$A$16,0))/60+INDEX('PRICING'!$F$7:$F$16,MATCH(F258,'PRICING'!$A$7:$A$16,0))/60),2)),""))</f>
        <v/>
      </c>
      <c r="R258" s="97">
        <f>IF(B258="","",IF(N(K258)&gt;0,K258,IF(N(J258)&gt;0,J258,N(Q258))))</f>
        <v/>
      </c>
      <c r="S258" s="55">
        <f>IF(L258="","",ROUND(L258*(1+N(M258)),2))</f>
        <v/>
      </c>
      <c r="T258" s="55">
        <f>IF(B258="","",SUMIFS('REVENUE'!$C$5:$C$1504,'REVENUE'!$B$5:$B$1504,A258))</f>
        <v/>
      </c>
      <c r="U258" s="55">
        <f>IF(B258="","",IF(O258="Completed",MAX(0,N(S258)-T258),""))</f>
        <v/>
      </c>
      <c r="V258" s="49">
        <f>IF(B258="","",IF(O258&lt;&gt;"Completed",IF(T258&gt;0,"Deposit","—"),IF(U258&lt;=0.005,"Paid",IF(T258&gt;0,"Partial","Unpaid"))))</f>
        <v/>
      </c>
      <c r="W258" s="55">
        <f>IF(B258="","",IFERROR(1/(1/INDEX('STAFF &amp; TASKS'!$C$5:$C$24,MATCH(H258,'STAFF &amp; TASKS'!$A$5:$A$24,0))),PayRate))</f>
        <v/>
      </c>
      <c r="X258" s="55">
        <f>IF(B258="","",IF(OR(O258="Cancelled",O258="No-Show"),"",ROUND(R258*W258*(1+Burden),2)))</f>
        <v/>
      </c>
      <c r="Y258" s="55">
        <f>IF(B258="","",IF(OR(O258="Cancelled",O258="No-Show"),"",IF(N258&lt;&gt;"",N258,ROUND(R258*SupHr*IFERROR(INDEX('PRICING'!$G$7:$G$16,MATCH(F258,'PRICING'!$A$7:$A$16,0)),1),2))))</f>
        <v/>
      </c>
      <c r="Z258" s="98">
        <f>IF(B258="","",SUMIFS('MILEAGE'!$J$5:$J$1504,'MILEAGE'!$B$5:$B$1504,A258))</f>
        <v/>
      </c>
      <c r="AA258" s="55">
        <f>IF(B258="","",ROUND(Z258*MileRate,2))</f>
        <v/>
      </c>
      <c r="AB258" s="55">
        <f>IF(B258="","",SUMIFS('REVENUE'!$J$5:$J$1504,'REVENUE'!$B$5:$B$1504,A258))</f>
        <v/>
      </c>
      <c r="AC258" s="55">
        <f>IF(L258="","",IF(OR(O258="Cancelled",O258="No-Show"),"",L258-N(X258)-N(Y258)-AA258-AB258))</f>
        <v/>
      </c>
      <c r="AD258" s="99">
        <f>IF(OR(AC258="",N(L258)=0),"",AC258/L258)</f>
        <v/>
      </c>
      <c r="AE258" s="55">
        <f>IF(OR(AC258="",N(R258)=0),"",L258/R258)</f>
        <v/>
      </c>
      <c r="AF258" s="100">
        <f>IF(OR(N(K258)=0,N(J258)+N(Q258)=0),"",K258-IF(N(J258)&gt;0,J258,Q258))</f>
        <v/>
      </c>
      <c r="AG258" s="99">
        <f>IF(B258="","",IFERROR(AVERAGEIFS('QUALITY CONTROL'!$M$5:$M$304,'QUALITY CONTROL'!$B$5:$B$304,A258),""))</f>
        <v/>
      </c>
      <c r="AH258" s="51">
        <f>IF(B258="","",DATE(YEAR(B258),MONTH(B258),1))</f>
        <v/>
      </c>
      <c r="AI258" s="49">
        <f>IF(D258="","",IFERROR(INDEX('CUSTOMERS'!$E$5:$E$404,MATCH(D258,'CUSTOMERS'!$B$5:$B$404,0)),""))</f>
        <v/>
      </c>
      <c r="AJ258" s="49">
        <f>IF(B258="","",N(C258))</f>
        <v/>
      </c>
      <c r="AK258" s="49">
        <f>IF(OR(B258="",O258="Cancelled",O258="Rescheduled"),"",B258&amp;"|"&amp;(COUNTIFS('JOBS'!$B$5:$B$1504,B258,'JOBS'!$AJ$5:$AJ$1504,"&lt;"&amp;AJ258,'JOBS'!$O$5:$O$1504,"&lt;&gt;Cancelled",'JOBS'!$O$5:$O$1504,"&lt;&gt;Rescheduled")+COUNTIFS($B$5:B258,B258,$AJ$5:AJ258,AJ258,$O$5:O258,"&lt;&gt;Cancelled",$O$5:O258,"&lt;&gt;Rescheduled")))</f>
        <v/>
      </c>
      <c r="AL258" s="49">
        <f>IF(N(U258)&lt;=0.005,"",COUNTIFS('JOBS'!$U$5:$U$1504,"&gt;0.005",'JOBS'!$B$5:$B$1504,"&lt;"&amp;B258)+COUNTIFS($U$5:U258,"&gt;0.005",$B$5:B258,B258))</f>
        <v/>
      </c>
    </row>
    <row r="259">
      <c r="A259" s="46" t="inlineStr">
        <is>
          <t>J-0255</t>
        </is>
      </c>
      <c r="B259" s="47" t="n">
        <v>46262</v>
      </c>
      <c r="C259" s="94" t="n">
        <v>0.3541666666666667</v>
      </c>
      <c r="D259" s="38" t="inlineStr">
        <is>
          <t>Oakview Office Suites (sample)</t>
        </is>
      </c>
      <c r="E259" s="38" t="inlineStr">
        <is>
          <t>957 Hawthorn Road, North Sampletown</t>
        </is>
      </c>
      <c r="F259" s="38" t="inlineStr">
        <is>
          <t>Commercial Clean</t>
        </is>
      </c>
      <c r="G259" s="38" t="inlineStr">
        <is>
          <t>R-012</t>
        </is>
      </c>
      <c r="H259" s="38" t="inlineStr">
        <is>
          <t>Kevin Osei</t>
        </is>
      </c>
      <c r="I259" s="57" t="n">
        <v>2</v>
      </c>
      <c r="J259" s="95" t="n"/>
      <c r="K259" s="95" t="n">
        <v>3.87</v>
      </c>
      <c r="L259" s="48" t="n">
        <v>140</v>
      </c>
      <c r="M259" s="96" t="n">
        <v>0</v>
      </c>
      <c r="N259" s="48" t="n"/>
      <c r="O259" s="38" t="inlineStr">
        <is>
          <t>Completed</t>
        </is>
      </c>
      <c r="P259" s="38" t="inlineStr"/>
      <c r="Q259" s="97">
        <f>IF(OR(F259="",E259=""),"",IFERROR(IF(INDEX('PROPERTIES'!$F$5:$F$404,MATCH(E259,'PROPERTIES'!$B$5:$B$404,0))=0,"",ROUND((INDEX('PROPERTIES'!$F$5:$F$404,MATCH(E259,'PROPERTIES'!$B$5:$B$404,0))/INDEX('PRICING'!$C$7:$C$16,MATCH(F259,'PRICING'!$A$7:$A$16,0))+INDEX('PROPERTIES'!$G$5:$G$404,MATCH(E259,'PROPERTIES'!$B$5:$B$404,0))*INDEX('PRICING'!$D$7:$D$16,MATCH(F259,'PRICING'!$A$7:$A$16,0))/60+INDEX('PROPERTIES'!$H$5:$H$404,MATCH(E259,'PROPERTIES'!$B$5:$B$404,0))*INDEX('PRICING'!$E$7:$E$16,MATCH(F259,'PRICING'!$A$7:$A$16,0))/60+INDEX('PRICING'!$F$7:$F$16,MATCH(F259,'PRICING'!$A$7:$A$16,0))/60),2)),""))</f>
        <v/>
      </c>
      <c r="R259" s="97">
        <f>IF(B259="","",IF(N(K259)&gt;0,K259,IF(N(J259)&gt;0,J259,N(Q259))))</f>
        <v/>
      </c>
      <c r="S259" s="55">
        <f>IF(L259="","",ROUND(L259*(1+N(M259)),2))</f>
        <v/>
      </c>
      <c r="T259" s="55">
        <f>IF(B259="","",SUMIFS('REVENUE'!$C$5:$C$1504,'REVENUE'!$B$5:$B$1504,A259))</f>
        <v/>
      </c>
      <c r="U259" s="55">
        <f>IF(B259="","",IF(O259="Completed",MAX(0,N(S259)-T259),""))</f>
        <v/>
      </c>
      <c r="V259" s="49">
        <f>IF(B259="","",IF(O259&lt;&gt;"Completed",IF(T259&gt;0,"Deposit","—"),IF(U259&lt;=0.005,"Paid",IF(T259&gt;0,"Partial","Unpaid"))))</f>
        <v/>
      </c>
      <c r="W259" s="55">
        <f>IF(B259="","",IFERROR(1/(1/INDEX('STAFF &amp; TASKS'!$C$5:$C$24,MATCH(H259,'STAFF &amp; TASKS'!$A$5:$A$24,0))),PayRate))</f>
        <v/>
      </c>
      <c r="X259" s="55">
        <f>IF(B259="","",IF(OR(O259="Cancelled",O259="No-Show"),"",ROUND(R259*W259*(1+Burden),2)))</f>
        <v/>
      </c>
      <c r="Y259" s="55">
        <f>IF(B259="","",IF(OR(O259="Cancelled",O259="No-Show"),"",IF(N259&lt;&gt;"",N259,ROUND(R259*SupHr*IFERROR(INDEX('PRICING'!$G$7:$G$16,MATCH(F259,'PRICING'!$A$7:$A$16,0)),1),2))))</f>
        <v/>
      </c>
      <c r="Z259" s="98">
        <f>IF(B259="","",SUMIFS('MILEAGE'!$J$5:$J$1504,'MILEAGE'!$B$5:$B$1504,A259))</f>
        <v/>
      </c>
      <c r="AA259" s="55">
        <f>IF(B259="","",ROUND(Z259*MileRate,2))</f>
        <v/>
      </c>
      <c r="AB259" s="55">
        <f>IF(B259="","",SUMIFS('REVENUE'!$J$5:$J$1504,'REVENUE'!$B$5:$B$1504,A259))</f>
        <v/>
      </c>
      <c r="AC259" s="55">
        <f>IF(L259="","",IF(OR(O259="Cancelled",O259="No-Show"),"",L259-N(X259)-N(Y259)-AA259-AB259))</f>
        <v/>
      </c>
      <c r="AD259" s="99">
        <f>IF(OR(AC259="",N(L259)=0),"",AC259/L259)</f>
        <v/>
      </c>
      <c r="AE259" s="55">
        <f>IF(OR(AC259="",N(R259)=0),"",L259/R259)</f>
        <v/>
      </c>
      <c r="AF259" s="100">
        <f>IF(OR(N(K259)=0,N(J259)+N(Q259)=0),"",K259-IF(N(J259)&gt;0,J259,Q259))</f>
        <v/>
      </c>
      <c r="AG259" s="99">
        <f>IF(B259="","",IFERROR(AVERAGEIFS('QUALITY CONTROL'!$M$5:$M$304,'QUALITY CONTROL'!$B$5:$B$304,A259),""))</f>
        <v/>
      </c>
      <c r="AH259" s="51">
        <f>IF(B259="","",DATE(YEAR(B259),MONTH(B259),1))</f>
        <v/>
      </c>
      <c r="AI259" s="49">
        <f>IF(D259="","",IFERROR(INDEX('CUSTOMERS'!$E$5:$E$404,MATCH(D259,'CUSTOMERS'!$B$5:$B$404,0)),""))</f>
        <v/>
      </c>
      <c r="AJ259" s="49">
        <f>IF(B259="","",N(C259))</f>
        <v/>
      </c>
      <c r="AK259" s="49">
        <f>IF(OR(B259="",O259="Cancelled",O259="Rescheduled"),"",B259&amp;"|"&amp;(COUNTIFS('JOBS'!$B$5:$B$1504,B259,'JOBS'!$AJ$5:$AJ$1504,"&lt;"&amp;AJ259,'JOBS'!$O$5:$O$1504,"&lt;&gt;Cancelled",'JOBS'!$O$5:$O$1504,"&lt;&gt;Rescheduled")+COUNTIFS($B$5:B259,B259,$AJ$5:AJ259,AJ259,$O$5:O259,"&lt;&gt;Cancelled",$O$5:O259,"&lt;&gt;Rescheduled")))</f>
        <v/>
      </c>
      <c r="AL259" s="49">
        <f>IF(N(U259)&lt;=0.005,"",COUNTIFS('JOBS'!$U$5:$U$1504,"&gt;0.005",'JOBS'!$B$5:$B$1504,"&lt;"&amp;B259)+COUNTIFS($U$5:U259,"&gt;0.005",$B$5:B259,B259))</f>
        <v/>
      </c>
    </row>
    <row r="260">
      <c r="A260" s="46" t="inlineStr">
        <is>
          <t>J-0256</t>
        </is>
      </c>
      <c r="B260" s="47" t="n">
        <v>46262</v>
      </c>
      <c r="C260" s="94" t="n">
        <v>0.5833333333333334</v>
      </c>
      <c r="D260" s="38" t="inlineStr">
        <is>
          <t>Dana Collins</t>
        </is>
      </c>
      <c r="E260" s="38" t="inlineStr">
        <is>
          <t>84 Hawthorn Road, Lakeview (fictional)</t>
        </is>
      </c>
      <c r="F260" s="38" t="inlineStr">
        <is>
          <t>Standard Clean</t>
        </is>
      </c>
      <c r="G260" s="38" t="inlineStr">
        <is>
          <t>R-006</t>
        </is>
      </c>
      <c r="H260" s="38" t="inlineStr">
        <is>
          <t>Dana Whitfield</t>
        </is>
      </c>
      <c r="I260" s="57" t="n">
        <v>1</v>
      </c>
      <c r="J260" s="95" t="n"/>
      <c r="K260" s="95" t="n">
        <v>4.53</v>
      </c>
      <c r="L260" s="48" t="n">
        <v>195</v>
      </c>
      <c r="M260" s="96" t="n">
        <v>0</v>
      </c>
      <c r="N260" s="48" t="n"/>
      <c r="O260" s="38" t="inlineStr">
        <is>
          <t>Completed</t>
        </is>
      </c>
      <c r="P260" s="38" t="inlineStr"/>
      <c r="Q260" s="97">
        <f>IF(OR(F260="",E260=""),"",IFERROR(IF(INDEX('PROPERTIES'!$F$5:$F$404,MATCH(E260,'PROPERTIES'!$B$5:$B$404,0))=0,"",ROUND((INDEX('PROPERTIES'!$F$5:$F$404,MATCH(E260,'PROPERTIES'!$B$5:$B$404,0))/INDEX('PRICING'!$C$7:$C$16,MATCH(F260,'PRICING'!$A$7:$A$16,0))+INDEX('PROPERTIES'!$G$5:$G$404,MATCH(E260,'PROPERTIES'!$B$5:$B$404,0))*INDEX('PRICING'!$D$7:$D$16,MATCH(F260,'PRICING'!$A$7:$A$16,0))/60+INDEX('PROPERTIES'!$H$5:$H$404,MATCH(E260,'PROPERTIES'!$B$5:$B$404,0))*INDEX('PRICING'!$E$7:$E$16,MATCH(F260,'PRICING'!$A$7:$A$16,0))/60+INDEX('PRICING'!$F$7:$F$16,MATCH(F260,'PRICING'!$A$7:$A$16,0))/60),2)),""))</f>
        <v/>
      </c>
      <c r="R260" s="97">
        <f>IF(B260="","",IF(N(K260)&gt;0,K260,IF(N(J260)&gt;0,J260,N(Q260))))</f>
        <v/>
      </c>
      <c r="S260" s="55">
        <f>IF(L260="","",ROUND(L260*(1+N(M260)),2))</f>
        <v/>
      </c>
      <c r="T260" s="55">
        <f>IF(B260="","",SUMIFS('REVENUE'!$C$5:$C$1504,'REVENUE'!$B$5:$B$1504,A260))</f>
        <v/>
      </c>
      <c r="U260" s="55">
        <f>IF(B260="","",IF(O260="Completed",MAX(0,N(S260)-T260),""))</f>
        <v/>
      </c>
      <c r="V260" s="49">
        <f>IF(B260="","",IF(O260&lt;&gt;"Completed",IF(T260&gt;0,"Deposit","—"),IF(U260&lt;=0.005,"Paid",IF(T260&gt;0,"Partial","Unpaid"))))</f>
        <v/>
      </c>
      <c r="W260" s="55">
        <f>IF(B260="","",IFERROR(1/(1/INDEX('STAFF &amp; TASKS'!$C$5:$C$24,MATCH(H260,'STAFF &amp; TASKS'!$A$5:$A$24,0))),PayRate))</f>
        <v/>
      </c>
      <c r="X260" s="55">
        <f>IF(B260="","",IF(OR(O260="Cancelled",O260="No-Show"),"",ROUND(R260*W260*(1+Burden),2)))</f>
        <v/>
      </c>
      <c r="Y260" s="55">
        <f>IF(B260="","",IF(OR(O260="Cancelled",O260="No-Show"),"",IF(N260&lt;&gt;"",N260,ROUND(R260*SupHr*IFERROR(INDEX('PRICING'!$G$7:$G$16,MATCH(F260,'PRICING'!$A$7:$A$16,0)),1),2))))</f>
        <v/>
      </c>
      <c r="Z260" s="98">
        <f>IF(B260="","",SUMIFS('MILEAGE'!$J$5:$J$1504,'MILEAGE'!$B$5:$B$1504,A260))</f>
        <v/>
      </c>
      <c r="AA260" s="55">
        <f>IF(B260="","",ROUND(Z260*MileRate,2))</f>
        <v/>
      </c>
      <c r="AB260" s="55">
        <f>IF(B260="","",SUMIFS('REVENUE'!$J$5:$J$1504,'REVENUE'!$B$5:$B$1504,A260))</f>
        <v/>
      </c>
      <c r="AC260" s="55">
        <f>IF(L260="","",IF(OR(O260="Cancelled",O260="No-Show"),"",L260-N(X260)-N(Y260)-AA260-AB260))</f>
        <v/>
      </c>
      <c r="AD260" s="99">
        <f>IF(OR(AC260="",N(L260)=0),"",AC260/L260)</f>
        <v/>
      </c>
      <c r="AE260" s="55">
        <f>IF(OR(AC260="",N(R260)=0),"",L260/R260)</f>
        <v/>
      </c>
      <c r="AF260" s="100">
        <f>IF(OR(N(K260)=0,N(J260)+N(Q260)=0),"",K260-IF(N(J260)&gt;0,J260,Q260))</f>
        <v/>
      </c>
      <c r="AG260" s="99">
        <f>IF(B260="","",IFERROR(AVERAGEIFS('QUALITY CONTROL'!$M$5:$M$304,'QUALITY CONTROL'!$B$5:$B$304,A260),""))</f>
        <v/>
      </c>
      <c r="AH260" s="51">
        <f>IF(B260="","",DATE(YEAR(B260),MONTH(B260),1))</f>
        <v/>
      </c>
      <c r="AI260" s="49">
        <f>IF(D260="","",IFERROR(INDEX('CUSTOMERS'!$E$5:$E$404,MATCH(D260,'CUSTOMERS'!$B$5:$B$404,0)),""))</f>
        <v/>
      </c>
      <c r="AJ260" s="49">
        <f>IF(B260="","",N(C260))</f>
        <v/>
      </c>
      <c r="AK260" s="49">
        <f>IF(OR(B260="",O260="Cancelled",O260="Rescheduled"),"",B260&amp;"|"&amp;(COUNTIFS('JOBS'!$B$5:$B$1504,B260,'JOBS'!$AJ$5:$AJ$1504,"&lt;"&amp;AJ260,'JOBS'!$O$5:$O$1504,"&lt;&gt;Cancelled",'JOBS'!$O$5:$O$1504,"&lt;&gt;Rescheduled")+COUNTIFS($B$5:B260,B260,$AJ$5:AJ260,AJ260,$O$5:O260,"&lt;&gt;Cancelled",$O$5:O260,"&lt;&gt;Rescheduled")))</f>
        <v/>
      </c>
      <c r="AL260" s="49">
        <f>IF(N(U260)&lt;=0.005,"",COUNTIFS('JOBS'!$U$5:$U$1504,"&gt;0.005",'JOBS'!$B$5:$B$1504,"&lt;"&amp;B260)+COUNTIFS($U$5:U260,"&gt;0.005",$B$5:B260,B260))</f>
        <v/>
      </c>
    </row>
    <row r="261">
      <c r="A261" s="46" t="inlineStr">
        <is>
          <t>J-0257</t>
        </is>
      </c>
      <c r="B261" s="47" t="n">
        <v>46263</v>
      </c>
      <c r="C261" s="94" t="n">
        <v>0.4166666666666667</v>
      </c>
      <c r="D261" s="38" t="inlineStr">
        <is>
          <t>Finley Quigley</t>
        </is>
      </c>
      <c r="E261" s="38" t="inlineStr">
        <is>
          <t>21 Maple Avenue, North Sampletown</t>
        </is>
      </c>
      <c r="F261" s="38" t="inlineStr">
        <is>
          <t>Standard Clean</t>
        </is>
      </c>
      <c r="G261" s="38" t="inlineStr">
        <is>
          <t>R-007</t>
        </is>
      </c>
      <c r="H261" s="38" t="inlineStr">
        <is>
          <t>Maria Lopez</t>
        </is>
      </c>
      <c r="I261" s="57" t="n">
        <v>1</v>
      </c>
      <c r="J261" s="95" t="n"/>
      <c r="K261" s="95" t="n">
        <v>2.12</v>
      </c>
      <c r="L261" s="48" t="n">
        <v>110</v>
      </c>
      <c r="M261" s="96" t="n">
        <v>0</v>
      </c>
      <c r="N261" s="48" t="n"/>
      <c r="O261" s="38" t="inlineStr">
        <is>
          <t>Completed</t>
        </is>
      </c>
      <c r="P261" s="38" t="inlineStr"/>
      <c r="Q261" s="97">
        <f>IF(OR(F261="",E261=""),"",IFERROR(IF(INDEX('PROPERTIES'!$F$5:$F$404,MATCH(E261,'PROPERTIES'!$B$5:$B$404,0))=0,"",ROUND((INDEX('PROPERTIES'!$F$5:$F$404,MATCH(E261,'PROPERTIES'!$B$5:$B$404,0))/INDEX('PRICING'!$C$7:$C$16,MATCH(F261,'PRICING'!$A$7:$A$16,0))+INDEX('PROPERTIES'!$G$5:$G$404,MATCH(E261,'PROPERTIES'!$B$5:$B$404,0))*INDEX('PRICING'!$D$7:$D$16,MATCH(F261,'PRICING'!$A$7:$A$16,0))/60+INDEX('PROPERTIES'!$H$5:$H$404,MATCH(E261,'PROPERTIES'!$B$5:$B$404,0))*INDEX('PRICING'!$E$7:$E$16,MATCH(F261,'PRICING'!$A$7:$A$16,0))/60+INDEX('PRICING'!$F$7:$F$16,MATCH(F261,'PRICING'!$A$7:$A$16,0))/60),2)),""))</f>
        <v/>
      </c>
      <c r="R261" s="97">
        <f>IF(B261="","",IF(N(K261)&gt;0,K261,IF(N(J261)&gt;0,J261,N(Q261))))</f>
        <v/>
      </c>
      <c r="S261" s="55">
        <f>IF(L261="","",ROUND(L261*(1+N(M261)),2))</f>
        <v/>
      </c>
      <c r="T261" s="55">
        <f>IF(B261="","",SUMIFS('REVENUE'!$C$5:$C$1504,'REVENUE'!$B$5:$B$1504,A261))</f>
        <v/>
      </c>
      <c r="U261" s="55">
        <f>IF(B261="","",IF(O261="Completed",MAX(0,N(S261)-T261),""))</f>
        <v/>
      </c>
      <c r="V261" s="49">
        <f>IF(B261="","",IF(O261&lt;&gt;"Completed",IF(T261&gt;0,"Deposit","—"),IF(U261&lt;=0.005,"Paid",IF(T261&gt;0,"Partial","Unpaid"))))</f>
        <v/>
      </c>
      <c r="W261" s="55">
        <f>IF(B261="","",IFERROR(1/(1/INDEX('STAFF &amp; TASKS'!$C$5:$C$24,MATCH(H261,'STAFF &amp; TASKS'!$A$5:$A$24,0))),PayRate))</f>
        <v/>
      </c>
      <c r="X261" s="55">
        <f>IF(B261="","",IF(OR(O261="Cancelled",O261="No-Show"),"",ROUND(R261*W261*(1+Burden),2)))</f>
        <v/>
      </c>
      <c r="Y261" s="55">
        <f>IF(B261="","",IF(OR(O261="Cancelled",O261="No-Show"),"",IF(N261&lt;&gt;"",N261,ROUND(R261*SupHr*IFERROR(INDEX('PRICING'!$G$7:$G$16,MATCH(F261,'PRICING'!$A$7:$A$16,0)),1),2))))</f>
        <v/>
      </c>
      <c r="Z261" s="98">
        <f>IF(B261="","",SUMIFS('MILEAGE'!$J$5:$J$1504,'MILEAGE'!$B$5:$B$1504,A261))</f>
        <v/>
      </c>
      <c r="AA261" s="55">
        <f>IF(B261="","",ROUND(Z261*MileRate,2))</f>
        <v/>
      </c>
      <c r="AB261" s="55">
        <f>IF(B261="","",SUMIFS('REVENUE'!$J$5:$J$1504,'REVENUE'!$B$5:$B$1504,A261))</f>
        <v/>
      </c>
      <c r="AC261" s="55">
        <f>IF(L261="","",IF(OR(O261="Cancelled",O261="No-Show"),"",L261-N(X261)-N(Y261)-AA261-AB261))</f>
        <v/>
      </c>
      <c r="AD261" s="99">
        <f>IF(OR(AC261="",N(L261)=0),"",AC261/L261)</f>
        <v/>
      </c>
      <c r="AE261" s="55">
        <f>IF(OR(AC261="",N(R261)=0),"",L261/R261)</f>
        <v/>
      </c>
      <c r="AF261" s="100">
        <f>IF(OR(N(K261)=0,N(J261)+N(Q261)=0),"",K261-IF(N(J261)&gt;0,J261,Q261))</f>
        <v/>
      </c>
      <c r="AG261" s="99">
        <f>IF(B261="","",IFERROR(AVERAGEIFS('QUALITY CONTROL'!$M$5:$M$304,'QUALITY CONTROL'!$B$5:$B$304,A261),""))</f>
        <v/>
      </c>
      <c r="AH261" s="51">
        <f>IF(B261="","",DATE(YEAR(B261),MONTH(B261),1))</f>
        <v/>
      </c>
      <c r="AI261" s="49">
        <f>IF(D261="","",IFERROR(INDEX('CUSTOMERS'!$E$5:$E$404,MATCH(D261,'CUSTOMERS'!$B$5:$B$404,0)),""))</f>
        <v/>
      </c>
      <c r="AJ261" s="49">
        <f>IF(B261="","",N(C261))</f>
        <v/>
      </c>
      <c r="AK261" s="49">
        <f>IF(OR(B261="",O261="Cancelled",O261="Rescheduled"),"",B261&amp;"|"&amp;(COUNTIFS('JOBS'!$B$5:$B$1504,B261,'JOBS'!$AJ$5:$AJ$1504,"&lt;"&amp;AJ261,'JOBS'!$O$5:$O$1504,"&lt;&gt;Cancelled",'JOBS'!$O$5:$O$1504,"&lt;&gt;Rescheduled")+COUNTIFS($B$5:B261,B261,$AJ$5:AJ261,AJ261,$O$5:O261,"&lt;&gt;Cancelled",$O$5:O261,"&lt;&gt;Rescheduled")))</f>
        <v/>
      </c>
      <c r="AL261" s="49">
        <f>IF(N(U261)&lt;=0.005,"",COUNTIFS('JOBS'!$U$5:$U$1504,"&gt;0.005",'JOBS'!$B$5:$B$1504,"&lt;"&amp;B261)+COUNTIFS($U$5:U261,"&gt;0.005",$B$5:B261,B261))</f>
        <v/>
      </c>
    </row>
    <row r="262">
      <c r="A262" s="46" t="inlineStr">
        <is>
          <t>J-0258</t>
        </is>
      </c>
      <c r="B262" s="47" t="n">
        <v>46264</v>
      </c>
      <c r="C262" s="94" t="n">
        <v>0.4166666666666667</v>
      </c>
      <c r="D262" s="38" t="inlineStr">
        <is>
          <t>Dana Oakes</t>
        </is>
      </c>
      <c r="E262" s="38" t="inlineStr">
        <is>
          <t>666 Juniper Street, North Sampletown</t>
        </is>
      </c>
      <c r="F262" s="38" t="inlineStr">
        <is>
          <t>Airbnb Turnover</t>
        </is>
      </c>
      <c r="G262" s="38" t="n"/>
      <c r="H262" s="38" t="inlineStr">
        <is>
          <t>Kevin Osei</t>
        </is>
      </c>
      <c r="I262" s="57" t="n">
        <v>1</v>
      </c>
      <c r="J262" s="95" t="n"/>
      <c r="K262" s="95" t="n">
        <v>1.95</v>
      </c>
      <c r="L262" s="48" t="n">
        <v>135</v>
      </c>
      <c r="M262" s="96" t="n">
        <v>0</v>
      </c>
      <c r="N262" s="48" t="n"/>
      <c r="O262" s="38" t="inlineStr">
        <is>
          <t>Completed</t>
        </is>
      </c>
      <c r="P262" s="38" t="inlineStr">
        <is>
          <t>Includes laundry</t>
        </is>
      </c>
      <c r="Q262" s="97">
        <f>IF(OR(F262="",E262=""),"",IFERROR(IF(INDEX('PROPERTIES'!$F$5:$F$404,MATCH(E262,'PROPERTIES'!$B$5:$B$404,0))=0,"",ROUND((INDEX('PROPERTIES'!$F$5:$F$404,MATCH(E262,'PROPERTIES'!$B$5:$B$404,0))/INDEX('PRICING'!$C$7:$C$16,MATCH(F262,'PRICING'!$A$7:$A$16,0))+INDEX('PROPERTIES'!$G$5:$G$404,MATCH(E262,'PROPERTIES'!$B$5:$B$404,0))*INDEX('PRICING'!$D$7:$D$16,MATCH(F262,'PRICING'!$A$7:$A$16,0))/60+INDEX('PROPERTIES'!$H$5:$H$404,MATCH(E262,'PROPERTIES'!$B$5:$B$404,0))*INDEX('PRICING'!$E$7:$E$16,MATCH(F262,'PRICING'!$A$7:$A$16,0))/60+INDEX('PRICING'!$F$7:$F$16,MATCH(F262,'PRICING'!$A$7:$A$16,0))/60),2)),""))</f>
        <v/>
      </c>
      <c r="R262" s="97">
        <f>IF(B262="","",IF(N(K262)&gt;0,K262,IF(N(J262)&gt;0,J262,N(Q262))))</f>
        <v/>
      </c>
      <c r="S262" s="55">
        <f>IF(L262="","",ROUND(L262*(1+N(M262)),2))</f>
        <v/>
      </c>
      <c r="T262" s="55">
        <f>IF(B262="","",SUMIFS('REVENUE'!$C$5:$C$1504,'REVENUE'!$B$5:$B$1504,A262))</f>
        <v/>
      </c>
      <c r="U262" s="55">
        <f>IF(B262="","",IF(O262="Completed",MAX(0,N(S262)-T262),""))</f>
        <v/>
      </c>
      <c r="V262" s="49">
        <f>IF(B262="","",IF(O262&lt;&gt;"Completed",IF(T262&gt;0,"Deposit","—"),IF(U262&lt;=0.005,"Paid",IF(T262&gt;0,"Partial","Unpaid"))))</f>
        <v/>
      </c>
      <c r="W262" s="55">
        <f>IF(B262="","",IFERROR(1/(1/INDEX('STAFF &amp; TASKS'!$C$5:$C$24,MATCH(H262,'STAFF &amp; TASKS'!$A$5:$A$24,0))),PayRate))</f>
        <v/>
      </c>
      <c r="X262" s="55">
        <f>IF(B262="","",IF(OR(O262="Cancelled",O262="No-Show"),"",ROUND(R262*W262*(1+Burden),2)))</f>
        <v/>
      </c>
      <c r="Y262" s="55">
        <f>IF(B262="","",IF(OR(O262="Cancelled",O262="No-Show"),"",IF(N262&lt;&gt;"",N262,ROUND(R262*SupHr*IFERROR(INDEX('PRICING'!$G$7:$G$16,MATCH(F262,'PRICING'!$A$7:$A$16,0)),1),2))))</f>
        <v/>
      </c>
      <c r="Z262" s="98">
        <f>IF(B262="","",SUMIFS('MILEAGE'!$J$5:$J$1504,'MILEAGE'!$B$5:$B$1504,A262))</f>
        <v/>
      </c>
      <c r="AA262" s="55">
        <f>IF(B262="","",ROUND(Z262*MileRate,2))</f>
        <v/>
      </c>
      <c r="AB262" s="55">
        <f>IF(B262="","",SUMIFS('REVENUE'!$J$5:$J$1504,'REVENUE'!$B$5:$B$1504,A262))</f>
        <v/>
      </c>
      <c r="AC262" s="55">
        <f>IF(L262="","",IF(OR(O262="Cancelled",O262="No-Show"),"",L262-N(X262)-N(Y262)-AA262-AB262))</f>
        <v/>
      </c>
      <c r="AD262" s="99">
        <f>IF(OR(AC262="",N(L262)=0),"",AC262/L262)</f>
        <v/>
      </c>
      <c r="AE262" s="55">
        <f>IF(OR(AC262="",N(R262)=0),"",L262/R262)</f>
        <v/>
      </c>
      <c r="AF262" s="100">
        <f>IF(OR(N(K262)=0,N(J262)+N(Q262)=0),"",K262-IF(N(J262)&gt;0,J262,Q262))</f>
        <v/>
      </c>
      <c r="AG262" s="99">
        <f>IF(B262="","",IFERROR(AVERAGEIFS('QUALITY CONTROL'!$M$5:$M$304,'QUALITY CONTROL'!$B$5:$B$304,A262),""))</f>
        <v/>
      </c>
      <c r="AH262" s="51">
        <f>IF(B262="","",DATE(YEAR(B262),MONTH(B262),1))</f>
        <v/>
      </c>
      <c r="AI262" s="49">
        <f>IF(D262="","",IFERROR(INDEX('CUSTOMERS'!$E$5:$E$404,MATCH(D262,'CUSTOMERS'!$B$5:$B$404,0)),""))</f>
        <v/>
      </c>
      <c r="AJ262" s="49">
        <f>IF(B262="","",N(C262))</f>
        <v/>
      </c>
      <c r="AK262" s="49">
        <f>IF(OR(B262="",O262="Cancelled",O262="Rescheduled"),"",B262&amp;"|"&amp;(COUNTIFS('JOBS'!$B$5:$B$1504,B262,'JOBS'!$AJ$5:$AJ$1504,"&lt;"&amp;AJ262,'JOBS'!$O$5:$O$1504,"&lt;&gt;Cancelled",'JOBS'!$O$5:$O$1504,"&lt;&gt;Rescheduled")+COUNTIFS($B$5:B262,B262,$AJ$5:AJ262,AJ262,$O$5:O262,"&lt;&gt;Cancelled",$O$5:O262,"&lt;&gt;Rescheduled")))</f>
        <v/>
      </c>
      <c r="AL262" s="49">
        <f>IF(N(U262)&lt;=0.005,"",COUNTIFS('JOBS'!$U$5:$U$1504,"&gt;0.005",'JOBS'!$B$5:$B$1504,"&lt;"&amp;B262)+COUNTIFS($U$5:U262,"&gt;0.005",$B$5:B262,B262))</f>
        <v/>
      </c>
    </row>
    <row r="263">
      <c r="A263" s="46" t="inlineStr">
        <is>
          <t>J-0259</t>
        </is>
      </c>
      <c r="B263" s="47" t="n">
        <v>46264</v>
      </c>
      <c r="C263" s="94" t="n">
        <v>0.5208333333333334</v>
      </c>
      <c r="D263" s="38" t="inlineStr">
        <is>
          <t>Parker Lockhart</t>
        </is>
      </c>
      <c r="E263" s="38" t="inlineStr">
        <is>
          <t>412 Linden Place, Sampletown</t>
        </is>
      </c>
      <c r="F263" s="38" t="inlineStr">
        <is>
          <t>Airbnb Turnover</t>
        </is>
      </c>
      <c r="G263" s="38" t="n"/>
      <c r="H263" s="38" t="inlineStr">
        <is>
          <t>Kevin Osei</t>
        </is>
      </c>
      <c r="I263" s="57" t="n">
        <v>1</v>
      </c>
      <c r="J263" s="95" t="n"/>
      <c r="K263" s="95" t="n">
        <v>2.42</v>
      </c>
      <c r="L263" s="48" t="n">
        <v>150</v>
      </c>
      <c r="M263" s="96" t="n">
        <v>0</v>
      </c>
      <c r="N263" s="48" t="n"/>
      <c r="O263" s="38" t="inlineStr">
        <is>
          <t>Completed</t>
        </is>
      </c>
      <c r="P263" s="38" t="inlineStr">
        <is>
          <t>Includes laundry</t>
        </is>
      </c>
      <c r="Q263" s="97">
        <f>IF(OR(F263="",E263=""),"",IFERROR(IF(INDEX('PROPERTIES'!$F$5:$F$404,MATCH(E263,'PROPERTIES'!$B$5:$B$404,0))=0,"",ROUND((INDEX('PROPERTIES'!$F$5:$F$404,MATCH(E263,'PROPERTIES'!$B$5:$B$404,0))/INDEX('PRICING'!$C$7:$C$16,MATCH(F263,'PRICING'!$A$7:$A$16,0))+INDEX('PROPERTIES'!$G$5:$G$404,MATCH(E263,'PROPERTIES'!$B$5:$B$404,0))*INDEX('PRICING'!$D$7:$D$16,MATCH(F263,'PRICING'!$A$7:$A$16,0))/60+INDEX('PROPERTIES'!$H$5:$H$404,MATCH(E263,'PROPERTIES'!$B$5:$B$404,0))*INDEX('PRICING'!$E$7:$E$16,MATCH(F263,'PRICING'!$A$7:$A$16,0))/60+INDEX('PRICING'!$F$7:$F$16,MATCH(F263,'PRICING'!$A$7:$A$16,0))/60),2)),""))</f>
        <v/>
      </c>
      <c r="R263" s="97">
        <f>IF(B263="","",IF(N(K263)&gt;0,K263,IF(N(J263)&gt;0,J263,N(Q263))))</f>
        <v/>
      </c>
      <c r="S263" s="55">
        <f>IF(L263="","",ROUND(L263*(1+N(M263)),2))</f>
        <v/>
      </c>
      <c r="T263" s="55">
        <f>IF(B263="","",SUMIFS('REVENUE'!$C$5:$C$1504,'REVENUE'!$B$5:$B$1504,A263))</f>
        <v/>
      </c>
      <c r="U263" s="55">
        <f>IF(B263="","",IF(O263="Completed",MAX(0,N(S263)-T263),""))</f>
        <v/>
      </c>
      <c r="V263" s="49">
        <f>IF(B263="","",IF(O263&lt;&gt;"Completed",IF(T263&gt;0,"Deposit","—"),IF(U263&lt;=0.005,"Paid",IF(T263&gt;0,"Partial","Unpaid"))))</f>
        <v/>
      </c>
      <c r="W263" s="55">
        <f>IF(B263="","",IFERROR(1/(1/INDEX('STAFF &amp; TASKS'!$C$5:$C$24,MATCH(H263,'STAFF &amp; TASKS'!$A$5:$A$24,0))),PayRate))</f>
        <v/>
      </c>
      <c r="X263" s="55">
        <f>IF(B263="","",IF(OR(O263="Cancelled",O263="No-Show"),"",ROUND(R263*W263*(1+Burden),2)))</f>
        <v/>
      </c>
      <c r="Y263" s="55">
        <f>IF(B263="","",IF(OR(O263="Cancelled",O263="No-Show"),"",IF(N263&lt;&gt;"",N263,ROUND(R263*SupHr*IFERROR(INDEX('PRICING'!$G$7:$G$16,MATCH(F263,'PRICING'!$A$7:$A$16,0)),1),2))))</f>
        <v/>
      </c>
      <c r="Z263" s="98">
        <f>IF(B263="","",SUMIFS('MILEAGE'!$J$5:$J$1504,'MILEAGE'!$B$5:$B$1504,A263))</f>
        <v/>
      </c>
      <c r="AA263" s="55">
        <f>IF(B263="","",ROUND(Z263*MileRate,2))</f>
        <v/>
      </c>
      <c r="AB263" s="55">
        <f>IF(B263="","",SUMIFS('REVENUE'!$J$5:$J$1504,'REVENUE'!$B$5:$B$1504,A263))</f>
        <v/>
      </c>
      <c r="AC263" s="55">
        <f>IF(L263="","",IF(OR(O263="Cancelled",O263="No-Show"),"",L263-N(X263)-N(Y263)-AA263-AB263))</f>
        <v/>
      </c>
      <c r="AD263" s="99">
        <f>IF(OR(AC263="",N(L263)=0),"",AC263/L263)</f>
        <v/>
      </c>
      <c r="AE263" s="55">
        <f>IF(OR(AC263="",N(R263)=0),"",L263/R263)</f>
        <v/>
      </c>
      <c r="AF263" s="100">
        <f>IF(OR(N(K263)=0,N(J263)+N(Q263)=0),"",K263-IF(N(J263)&gt;0,J263,Q263))</f>
        <v/>
      </c>
      <c r="AG263" s="99">
        <f>IF(B263="","",IFERROR(AVERAGEIFS('QUALITY CONTROL'!$M$5:$M$304,'QUALITY CONTROL'!$B$5:$B$304,A263),""))</f>
        <v/>
      </c>
      <c r="AH263" s="51">
        <f>IF(B263="","",DATE(YEAR(B263),MONTH(B263),1))</f>
        <v/>
      </c>
      <c r="AI263" s="49">
        <f>IF(D263="","",IFERROR(INDEX('CUSTOMERS'!$E$5:$E$404,MATCH(D263,'CUSTOMERS'!$B$5:$B$404,0)),""))</f>
        <v/>
      </c>
      <c r="AJ263" s="49">
        <f>IF(B263="","",N(C263))</f>
        <v/>
      </c>
      <c r="AK263" s="49">
        <f>IF(OR(B263="",O263="Cancelled",O263="Rescheduled"),"",B263&amp;"|"&amp;(COUNTIFS('JOBS'!$B$5:$B$1504,B263,'JOBS'!$AJ$5:$AJ$1504,"&lt;"&amp;AJ263,'JOBS'!$O$5:$O$1504,"&lt;&gt;Cancelled",'JOBS'!$O$5:$O$1504,"&lt;&gt;Rescheduled")+COUNTIFS($B$5:B263,B263,$AJ$5:AJ263,AJ263,$O$5:O263,"&lt;&gt;Cancelled",$O$5:O263,"&lt;&gt;Rescheduled")))</f>
        <v/>
      </c>
      <c r="AL263" s="49">
        <f>IF(N(U263)&lt;=0.005,"",COUNTIFS('JOBS'!$U$5:$U$1504,"&gt;0.005",'JOBS'!$B$5:$B$1504,"&lt;"&amp;B263)+COUNTIFS($U$5:U263,"&gt;0.005",$B$5:B263,B263))</f>
        <v/>
      </c>
    </row>
    <row r="264">
      <c r="A264" s="46" t="inlineStr">
        <is>
          <t>J-0260</t>
        </is>
      </c>
      <c r="B264" s="47" t="n">
        <v>46265</v>
      </c>
      <c r="C264" s="94" t="n">
        <v>0.625</v>
      </c>
      <c r="D264" s="38" t="inlineStr">
        <is>
          <t>Quinn Ashworth</t>
        </is>
      </c>
      <c r="E264" s="38" t="inlineStr">
        <is>
          <t>952 Poplar Trail, Sampletown</t>
        </is>
      </c>
      <c r="F264" s="38" t="inlineStr">
        <is>
          <t>Standard Clean</t>
        </is>
      </c>
      <c r="G264" s="38" t="n"/>
      <c r="H264" s="38" t="inlineStr">
        <is>
          <t>Maria Lopez</t>
        </is>
      </c>
      <c r="I264" s="57" t="n">
        <v>1</v>
      </c>
      <c r="J264" s="95" t="n"/>
      <c r="K264" s="95" t="n">
        <v>2.62</v>
      </c>
      <c r="L264" s="48" t="n">
        <v>150</v>
      </c>
      <c r="M264" s="96" t="n">
        <v>0</v>
      </c>
      <c r="N264" s="48" t="n"/>
      <c r="O264" s="38" t="inlineStr">
        <is>
          <t>Completed</t>
        </is>
      </c>
      <c r="P264" s="38" t="inlineStr"/>
      <c r="Q264" s="97">
        <f>IF(OR(F264="",E264=""),"",IFERROR(IF(INDEX('PROPERTIES'!$F$5:$F$404,MATCH(E264,'PROPERTIES'!$B$5:$B$404,0))=0,"",ROUND((INDEX('PROPERTIES'!$F$5:$F$404,MATCH(E264,'PROPERTIES'!$B$5:$B$404,0))/INDEX('PRICING'!$C$7:$C$16,MATCH(F264,'PRICING'!$A$7:$A$16,0))+INDEX('PROPERTIES'!$G$5:$G$404,MATCH(E264,'PROPERTIES'!$B$5:$B$404,0))*INDEX('PRICING'!$D$7:$D$16,MATCH(F264,'PRICING'!$A$7:$A$16,0))/60+INDEX('PROPERTIES'!$H$5:$H$404,MATCH(E264,'PROPERTIES'!$B$5:$B$404,0))*INDEX('PRICING'!$E$7:$E$16,MATCH(F264,'PRICING'!$A$7:$A$16,0))/60+INDEX('PRICING'!$F$7:$F$16,MATCH(F264,'PRICING'!$A$7:$A$16,0))/60),2)),""))</f>
        <v/>
      </c>
      <c r="R264" s="97">
        <f>IF(B264="","",IF(N(K264)&gt;0,K264,IF(N(J264)&gt;0,J264,N(Q264))))</f>
        <v/>
      </c>
      <c r="S264" s="55">
        <f>IF(L264="","",ROUND(L264*(1+N(M264)),2))</f>
        <v/>
      </c>
      <c r="T264" s="55">
        <f>IF(B264="","",SUMIFS('REVENUE'!$C$5:$C$1504,'REVENUE'!$B$5:$B$1504,A264))</f>
        <v/>
      </c>
      <c r="U264" s="55">
        <f>IF(B264="","",IF(O264="Completed",MAX(0,N(S264)-T264),""))</f>
        <v/>
      </c>
      <c r="V264" s="49">
        <f>IF(B264="","",IF(O264&lt;&gt;"Completed",IF(T264&gt;0,"Deposit","—"),IF(U264&lt;=0.005,"Paid",IF(T264&gt;0,"Partial","Unpaid"))))</f>
        <v/>
      </c>
      <c r="W264" s="55">
        <f>IF(B264="","",IFERROR(1/(1/INDEX('STAFF &amp; TASKS'!$C$5:$C$24,MATCH(H264,'STAFF &amp; TASKS'!$A$5:$A$24,0))),PayRate))</f>
        <v/>
      </c>
      <c r="X264" s="55">
        <f>IF(B264="","",IF(OR(O264="Cancelled",O264="No-Show"),"",ROUND(R264*W264*(1+Burden),2)))</f>
        <v/>
      </c>
      <c r="Y264" s="55">
        <f>IF(B264="","",IF(OR(O264="Cancelled",O264="No-Show"),"",IF(N264&lt;&gt;"",N264,ROUND(R264*SupHr*IFERROR(INDEX('PRICING'!$G$7:$G$16,MATCH(F264,'PRICING'!$A$7:$A$16,0)),1),2))))</f>
        <v/>
      </c>
      <c r="Z264" s="98">
        <f>IF(B264="","",SUMIFS('MILEAGE'!$J$5:$J$1504,'MILEAGE'!$B$5:$B$1504,A264))</f>
        <v/>
      </c>
      <c r="AA264" s="55">
        <f>IF(B264="","",ROUND(Z264*MileRate,2))</f>
        <v/>
      </c>
      <c r="AB264" s="55">
        <f>IF(B264="","",SUMIFS('REVENUE'!$J$5:$J$1504,'REVENUE'!$B$5:$B$1504,A264))</f>
        <v/>
      </c>
      <c r="AC264" s="55">
        <f>IF(L264="","",IF(OR(O264="Cancelled",O264="No-Show"),"",L264-N(X264)-N(Y264)-AA264-AB264))</f>
        <v/>
      </c>
      <c r="AD264" s="99">
        <f>IF(OR(AC264="",N(L264)=0),"",AC264/L264)</f>
        <v/>
      </c>
      <c r="AE264" s="55">
        <f>IF(OR(AC264="",N(R264)=0),"",L264/R264)</f>
        <v/>
      </c>
      <c r="AF264" s="100">
        <f>IF(OR(N(K264)=0,N(J264)+N(Q264)=0),"",K264-IF(N(J264)&gt;0,J264,Q264))</f>
        <v/>
      </c>
      <c r="AG264" s="99">
        <f>IF(B264="","",IFERROR(AVERAGEIFS('QUALITY CONTROL'!$M$5:$M$304,'QUALITY CONTROL'!$B$5:$B$304,A264),""))</f>
        <v/>
      </c>
      <c r="AH264" s="51">
        <f>IF(B264="","",DATE(YEAR(B264),MONTH(B264),1))</f>
        <v/>
      </c>
      <c r="AI264" s="49">
        <f>IF(D264="","",IFERROR(INDEX('CUSTOMERS'!$E$5:$E$404,MATCH(D264,'CUSTOMERS'!$B$5:$B$404,0)),""))</f>
        <v/>
      </c>
      <c r="AJ264" s="49">
        <f>IF(B264="","",N(C264))</f>
        <v/>
      </c>
      <c r="AK264" s="49">
        <f>IF(OR(B264="",O264="Cancelled",O264="Rescheduled"),"",B264&amp;"|"&amp;(COUNTIFS('JOBS'!$B$5:$B$1504,B264,'JOBS'!$AJ$5:$AJ$1504,"&lt;"&amp;AJ264,'JOBS'!$O$5:$O$1504,"&lt;&gt;Cancelled",'JOBS'!$O$5:$O$1504,"&lt;&gt;Rescheduled")+COUNTIFS($B$5:B264,B264,$AJ$5:AJ264,AJ264,$O$5:O264,"&lt;&gt;Cancelled",$O$5:O264,"&lt;&gt;Rescheduled")))</f>
        <v/>
      </c>
      <c r="AL264" s="49">
        <f>IF(N(U264)&lt;=0.005,"",COUNTIFS('JOBS'!$U$5:$U$1504,"&gt;0.005",'JOBS'!$B$5:$B$1504,"&lt;"&amp;B264)+COUNTIFS($U$5:U264,"&gt;0.005",$B$5:B264,B264))</f>
        <v/>
      </c>
    </row>
    <row r="265">
      <c r="A265" s="46" t="inlineStr">
        <is>
          <t>J-0261</t>
        </is>
      </c>
      <c r="B265" s="47" t="n">
        <v>46266</v>
      </c>
      <c r="C265" s="94" t="n">
        <v>0.5208333333333334</v>
      </c>
      <c r="D265" s="38" t="inlineStr">
        <is>
          <t>Lane Ivers</t>
        </is>
      </c>
      <c r="E265" s="38" t="inlineStr">
        <is>
          <t>497 Aspen Drive, Sampletown</t>
        </is>
      </c>
      <c r="F265" s="38" t="inlineStr">
        <is>
          <t>Standard Clean</t>
        </is>
      </c>
      <c r="G265" s="38" t="inlineStr">
        <is>
          <t>R-001</t>
        </is>
      </c>
      <c r="H265" s="38" t="inlineStr">
        <is>
          <t>Maria Lopez</t>
        </is>
      </c>
      <c r="I265" s="57" t="n">
        <v>1</v>
      </c>
      <c r="J265" s="95" t="n"/>
      <c r="K265" s="95" t="n">
        <v>4.46</v>
      </c>
      <c r="L265" s="48" t="n">
        <v>175</v>
      </c>
      <c r="M265" s="96" t="n">
        <v>0</v>
      </c>
      <c r="N265" s="48" t="n"/>
      <c r="O265" s="38" t="inlineStr">
        <is>
          <t>Completed</t>
        </is>
      </c>
      <c r="P265" s="38" t="inlineStr"/>
      <c r="Q265" s="97">
        <f>IF(OR(F265="",E265=""),"",IFERROR(IF(INDEX('PROPERTIES'!$F$5:$F$404,MATCH(E265,'PROPERTIES'!$B$5:$B$404,0))=0,"",ROUND((INDEX('PROPERTIES'!$F$5:$F$404,MATCH(E265,'PROPERTIES'!$B$5:$B$404,0))/INDEX('PRICING'!$C$7:$C$16,MATCH(F265,'PRICING'!$A$7:$A$16,0))+INDEX('PROPERTIES'!$G$5:$G$404,MATCH(E265,'PROPERTIES'!$B$5:$B$404,0))*INDEX('PRICING'!$D$7:$D$16,MATCH(F265,'PRICING'!$A$7:$A$16,0))/60+INDEX('PROPERTIES'!$H$5:$H$404,MATCH(E265,'PROPERTIES'!$B$5:$B$404,0))*INDEX('PRICING'!$E$7:$E$16,MATCH(F265,'PRICING'!$A$7:$A$16,0))/60+INDEX('PRICING'!$F$7:$F$16,MATCH(F265,'PRICING'!$A$7:$A$16,0))/60),2)),""))</f>
        <v/>
      </c>
      <c r="R265" s="97">
        <f>IF(B265="","",IF(N(K265)&gt;0,K265,IF(N(J265)&gt;0,J265,N(Q265))))</f>
        <v/>
      </c>
      <c r="S265" s="55">
        <f>IF(L265="","",ROUND(L265*(1+N(M265)),2))</f>
        <v/>
      </c>
      <c r="T265" s="55">
        <f>IF(B265="","",SUMIFS('REVENUE'!$C$5:$C$1504,'REVENUE'!$B$5:$B$1504,A265))</f>
        <v/>
      </c>
      <c r="U265" s="55">
        <f>IF(B265="","",IF(O265="Completed",MAX(0,N(S265)-T265),""))</f>
        <v/>
      </c>
      <c r="V265" s="49">
        <f>IF(B265="","",IF(O265&lt;&gt;"Completed",IF(T265&gt;0,"Deposit","—"),IF(U265&lt;=0.005,"Paid",IF(T265&gt;0,"Partial","Unpaid"))))</f>
        <v/>
      </c>
      <c r="W265" s="55">
        <f>IF(B265="","",IFERROR(1/(1/INDEX('STAFF &amp; TASKS'!$C$5:$C$24,MATCH(H265,'STAFF &amp; TASKS'!$A$5:$A$24,0))),PayRate))</f>
        <v/>
      </c>
      <c r="X265" s="55">
        <f>IF(B265="","",IF(OR(O265="Cancelled",O265="No-Show"),"",ROUND(R265*W265*(1+Burden),2)))</f>
        <v/>
      </c>
      <c r="Y265" s="55">
        <f>IF(B265="","",IF(OR(O265="Cancelled",O265="No-Show"),"",IF(N265&lt;&gt;"",N265,ROUND(R265*SupHr*IFERROR(INDEX('PRICING'!$G$7:$G$16,MATCH(F265,'PRICING'!$A$7:$A$16,0)),1),2))))</f>
        <v/>
      </c>
      <c r="Z265" s="98">
        <f>IF(B265="","",SUMIFS('MILEAGE'!$J$5:$J$1504,'MILEAGE'!$B$5:$B$1504,A265))</f>
        <v/>
      </c>
      <c r="AA265" s="55">
        <f>IF(B265="","",ROUND(Z265*MileRate,2))</f>
        <v/>
      </c>
      <c r="AB265" s="55">
        <f>IF(B265="","",SUMIFS('REVENUE'!$J$5:$J$1504,'REVENUE'!$B$5:$B$1504,A265))</f>
        <v/>
      </c>
      <c r="AC265" s="55">
        <f>IF(L265="","",IF(OR(O265="Cancelled",O265="No-Show"),"",L265-N(X265)-N(Y265)-AA265-AB265))</f>
        <v/>
      </c>
      <c r="AD265" s="99">
        <f>IF(OR(AC265="",N(L265)=0),"",AC265/L265)</f>
        <v/>
      </c>
      <c r="AE265" s="55">
        <f>IF(OR(AC265="",N(R265)=0),"",L265/R265)</f>
        <v/>
      </c>
      <c r="AF265" s="100">
        <f>IF(OR(N(K265)=0,N(J265)+N(Q265)=0),"",K265-IF(N(J265)&gt;0,J265,Q265))</f>
        <v/>
      </c>
      <c r="AG265" s="99">
        <f>IF(B265="","",IFERROR(AVERAGEIFS('QUALITY CONTROL'!$M$5:$M$304,'QUALITY CONTROL'!$B$5:$B$304,A265),""))</f>
        <v/>
      </c>
      <c r="AH265" s="51">
        <f>IF(B265="","",DATE(YEAR(B265),MONTH(B265),1))</f>
        <v/>
      </c>
      <c r="AI265" s="49">
        <f>IF(D265="","",IFERROR(INDEX('CUSTOMERS'!$E$5:$E$404,MATCH(D265,'CUSTOMERS'!$B$5:$B$404,0)),""))</f>
        <v/>
      </c>
      <c r="AJ265" s="49">
        <f>IF(B265="","",N(C265))</f>
        <v/>
      </c>
      <c r="AK265" s="49">
        <f>IF(OR(B265="",O265="Cancelled",O265="Rescheduled"),"",B265&amp;"|"&amp;(COUNTIFS('JOBS'!$B$5:$B$1504,B265,'JOBS'!$AJ$5:$AJ$1504,"&lt;"&amp;AJ265,'JOBS'!$O$5:$O$1504,"&lt;&gt;Cancelled",'JOBS'!$O$5:$O$1504,"&lt;&gt;Rescheduled")+COUNTIFS($B$5:B265,B265,$AJ$5:AJ265,AJ265,$O$5:O265,"&lt;&gt;Cancelled",$O$5:O265,"&lt;&gt;Rescheduled")))</f>
        <v/>
      </c>
      <c r="AL265" s="49">
        <f>IF(N(U265)&lt;=0.005,"",COUNTIFS('JOBS'!$U$5:$U$1504,"&gt;0.005",'JOBS'!$B$5:$B$1504,"&lt;"&amp;B265)+COUNTIFS($U$5:U265,"&gt;0.005",$B$5:B265,B265))</f>
        <v/>
      </c>
    </row>
    <row r="266">
      <c r="A266" s="46" t="inlineStr">
        <is>
          <t>J-0262</t>
        </is>
      </c>
      <c r="B266" s="47" t="n">
        <v>46267</v>
      </c>
      <c r="C266" s="94" t="n">
        <v>0.375</v>
      </c>
      <c r="D266" s="38" t="inlineStr">
        <is>
          <t>Logan Porter</t>
        </is>
      </c>
      <c r="E266" s="38" t="inlineStr">
        <is>
          <t>675 Aspen Drive, Lakeview (fictional)</t>
        </is>
      </c>
      <c r="F266" s="38" t="inlineStr">
        <is>
          <t>Standard Clean</t>
        </is>
      </c>
      <c r="G266" s="38" t="inlineStr">
        <is>
          <t>R-002</t>
        </is>
      </c>
      <c r="H266" s="38" t="inlineStr">
        <is>
          <t>Dana Whitfield</t>
        </is>
      </c>
      <c r="I266" s="57" t="n">
        <v>1</v>
      </c>
      <c r="J266" s="95" t="n"/>
      <c r="K266" s="95" t="n">
        <v>4.51</v>
      </c>
      <c r="L266" s="48" t="n">
        <v>220</v>
      </c>
      <c r="M266" s="96" t="n">
        <v>0</v>
      </c>
      <c r="N266" s="48" t="n"/>
      <c r="O266" s="38" t="inlineStr">
        <is>
          <t>Completed</t>
        </is>
      </c>
      <c r="P266" s="38" t="inlineStr"/>
      <c r="Q266" s="97">
        <f>IF(OR(F266="",E266=""),"",IFERROR(IF(INDEX('PROPERTIES'!$F$5:$F$404,MATCH(E266,'PROPERTIES'!$B$5:$B$404,0))=0,"",ROUND((INDEX('PROPERTIES'!$F$5:$F$404,MATCH(E266,'PROPERTIES'!$B$5:$B$404,0))/INDEX('PRICING'!$C$7:$C$16,MATCH(F266,'PRICING'!$A$7:$A$16,0))+INDEX('PROPERTIES'!$G$5:$G$404,MATCH(E266,'PROPERTIES'!$B$5:$B$404,0))*INDEX('PRICING'!$D$7:$D$16,MATCH(F266,'PRICING'!$A$7:$A$16,0))/60+INDEX('PROPERTIES'!$H$5:$H$404,MATCH(E266,'PROPERTIES'!$B$5:$B$404,0))*INDEX('PRICING'!$E$7:$E$16,MATCH(F266,'PRICING'!$A$7:$A$16,0))/60+INDEX('PRICING'!$F$7:$F$16,MATCH(F266,'PRICING'!$A$7:$A$16,0))/60),2)),""))</f>
        <v/>
      </c>
      <c r="R266" s="97">
        <f>IF(B266="","",IF(N(K266)&gt;0,K266,IF(N(J266)&gt;0,J266,N(Q266))))</f>
        <v/>
      </c>
      <c r="S266" s="55">
        <f>IF(L266="","",ROUND(L266*(1+N(M266)),2))</f>
        <v/>
      </c>
      <c r="T266" s="55">
        <f>IF(B266="","",SUMIFS('REVENUE'!$C$5:$C$1504,'REVENUE'!$B$5:$B$1504,A266))</f>
        <v/>
      </c>
      <c r="U266" s="55">
        <f>IF(B266="","",IF(O266="Completed",MAX(0,N(S266)-T266),""))</f>
        <v/>
      </c>
      <c r="V266" s="49">
        <f>IF(B266="","",IF(O266&lt;&gt;"Completed",IF(T266&gt;0,"Deposit","—"),IF(U266&lt;=0.005,"Paid",IF(T266&gt;0,"Partial","Unpaid"))))</f>
        <v/>
      </c>
      <c r="W266" s="55">
        <f>IF(B266="","",IFERROR(1/(1/INDEX('STAFF &amp; TASKS'!$C$5:$C$24,MATCH(H266,'STAFF &amp; TASKS'!$A$5:$A$24,0))),PayRate))</f>
        <v/>
      </c>
      <c r="X266" s="55">
        <f>IF(B266="","",IF(OR(O266="Cancelled",O266="No-Show"),"",ROUND(R266*W266*(1+Burden),2)))</f>
        <v/>
      </c>
      <c r="Y266" s="55">
        <f>IF(B266="","",IF(OR(O266="Cancelled",O266="No-Show"),"",IF(N266&lt;&gt;"",N266,ROUND(R266*SupHr*IFERROR(INDEX('PRICING'!$G$7:$G$16,MATCH(F266,'PRICING'!$A$7:$A$16,0)),1),2))))</f>
        <v/>
      </c>
      <c r="Z266" s="98">
        <f>IF(B266="","",SUMIFS('MILEAGE'!$J$5:$J$1504,'MILEAGE'!$B$5:$B$1504,A266))</f>
        <v/>
      </c>
      <c r="AA266" s="55">
        <f>IF(B266="","",ROUND(Z266*MileRate,2))</f>
        <v/>
      </c>
      <c r="AB266" s="55">
        <f>IF(B266="","",SUMIFS('REVENUE'!$J$5:$J$1504,'REVENUE'!$B$5:$B$1504,A266))</f>
        <v/>
      </c>
      <c r="AC266" s="55">
        <f>IF(L266="","",IF(OR(O266="Cancelled",O266="No-Show"),"",L266-N(X266)-N(Y266)-AA266-AB266))</f>
        <v/>
      </c>
      <c r="AD266" s="99">
        <f>IF(OR(AC266="",N(L266)=0),"",AC266/L266)</f>
        <v/>
      </c>
      <c r="AE266" s="55">
        <f>IF(OR(AC266="",N(R266)=0),"",L266/R266)</f>
        <v/>
      </c>
      <c r="AF266" s="100">
        <f>IF(OR(N(K266)=0,N(J266)+N(Q266)=0),"",K266-IF(N(J266)&gt;0,J266,Q266))</f>
        <v/>
      </c>
      <c r="AG266" s="99">
        <f>IF(B266="","",IFERROR(AVERAGEIFS('QUALITY CONTROL'!$M$5:$M$304,'QUALITY CONTROL'!$B$5:$B$304,A266),""))</f>
        <v/>
      </c>
      <c r="AH266" s="51">
        <f>IF(B266="","",DATE(YEAR(B266),MONTH(B266),1))</f>
        <v/>
      </c>
      <c r="AI266" s="49">
        <f>IF(D266="","",IFERROR(INDEX('CUSTOMERS'!$E$5:$E$404,MATCH(D266,'CUSTOMERS'!$B$5:$B$404,0)),""))</f>
        <v/>
      </c>
      <c r="AJ266" s="49">
        <f>IF(B266="","",N(C266))</f>
        <v/>
      </c>
      <c r="AK266" s="49">
        <f>IF(OR(B266="",O266="Cancelled",O266="Rescheduled"),"",B266&amp;"|"&amp;(COUNTIFS('JOBS'!$B$5:$B$1504,B266,'JOBS'!$AJ$5:$AJ$1504,"&lt;"&amp;AJ266,'JOBS'!$O$5:$O$1504,"&lt;&gt;Cancelled",'JOBS'!$O$5:$O$1504,"&lt;&gt;Rescheduled")+COUNTIFS($B$5:B266,B266,$AJ$5:AJ266,AJ266,$O$5:O266,"&lt;&gt;Cancelled",$O$5:O266,"&lt;&gt;Rescheduled")))</f>
        <v/>
      </c>
      <c r="AL266" s="49">
        <f>IF(N(U266)&lt;=0.005,"",COUNTIFS('JOBS'!$U$5:$U$1504,"&gt;0.005",'JOBS'!$B$5:$B$1504,"&lt;"&amp;B266)+COUNTIFS($U$5:U266,"&gt;0.005",$B$5:B266,B266))</f>
        <v/>
      </c>
    </row>
    <row r="267">
      <c r="A267" s="46" t="inlineStr">
        <is>
          <t>J-0263</t>
        </is>
      </c>
      <c r="B267" s="47" t="n">
        <v>46269</v>
      </c>
      <c r="C267" s="94" t="n">
        <v>0.3333333333333333</v>
      </c>
      <c r="D267" s="38" t="inlineStr">
        <is>
          <t>Rowan Foxworth</t>
        </is>
      </c>
      <c r="E267" s="38" t="inlineStr">
        <is>
          <t>876 Magnolia Circle, North Sampletown</t>
        </is>
      </c>
      <c r="F267" s="38" t="inlineStr">
        <is>
          <t>Standard Clean</t>
        </is>
      </c>
      <c r="G267" s="38" t="inlineStr">
        <is>
          <t>R-005</t>
        </is>
      </c>
      <c r="H267" s="38" t="inlineStr">
        <is>
          <t>Maria Lopez</t>
        </is>
      </c>
      <c r="I267" s="57" t="n">
        <v>1</v>
      </c>
      <c r="J267" s="95" t="n"/>
      <c r="K267" s="95" t="n"/>
      <c r="L267" s="48" t="n">
        <v>220</v>
      </c>
      <c r="M267" s="96" t="n">
        <v>0</v>
      </c>
      <c r="N267" s="48" t="n"/>
      <c r="O267" s="38" t="inlineStr">
        <is>
          <t>Cancelled</t>
        </is>
      </c>
      <c r="P267" s="38" t="inlineStr"/>
      <c r="Q267" s="97">
        <f>IF(OR(F267="",E267=""),"",IFERROR(IF(INDEX('PROPERTIES'!$F$5:$F$404,MATCH(E267,'PROPERTIES'!$B$5:$B$404,0))=0,"",ROUND((INDEX('PROPERTIES'!$F$5:$F$404,MATCH(E267,'PROPERTIES'!$B$5:$B$404,0))/INDEX('PRICING'!$C$7:$C$16,MATCH(F267,'PRICING'!$A$7:$A$16,0))+INDEX('PROPERTIES'!$G$5:$G$404,MATCH(E267,'PROPERTIES'!$B$5:$B$404,0))*INDEX('PRICING'!$D$7:$D$16,MATCH(F267,'PRICING'!$A$7:$A$16,0))/60+INDEX('PROPERTIES'!$H$5:$H$404,MATCH(E267,'PROPERTIES'!$B$5:$B$404,0))*INDEX('PRICING'!$E$7:$E$16,MATCH(F267,'PRICING'!$A$7:$A$16,0))/60+INDEX('PRICING'!$F$7:$F$16,MATCH(F267,'PRICING'!$A$7:$A$16,0))/60),2)),""))</f>
        <v/>
      </c>
      <c r="R267" s="97">
        <f>IF(B267="","",IF(N(K267)&gt;0,K267,IF(N(J267)&gt;0,J267,N(Q267))))</f>
        <v/>
      </c>
      <c r="S267" s="55">
        <f>IF(L267="","",ROUND(L267*(1+N(M267)),2))</f>
        <v/>
      </c>
      <c r="T267" s="55">
        <f>IF(B267="","",SUMIFS('REVENUE'!$C$5:$C$1504,'REVENUE'!$B$5:$B$1504,A267))</f>
        <v/>
      </c>
      <c r="U267" s="55">
        <f>IF(B267="","",IF(O267="Completed",MAX(0,N(S267)-T267),""))</f>
        <v/>
      </c>
      <c r="V267" s="49">
        <f>IF(B267="","",IF(O267&lt;&gt;"Completed",IF(T267&gt;0,"Deposit","—"),IF(U267&lt;=0.005,"Paid",IF(T267&gt;0,"Partial","Unpaid"))))</f>
        <v/>
      </c>
      <c r="W267" s="55">
        <f>IF(B267="","",IFERROR(1/(1/INDEX('STAFF &amp; TASKS'!$C$5:$C$24,MATCH(H267,'STAFF &amp; TASKS'!$A$5:$A$24,0))),PayRate))</f>
        <v/>
      </c>
      <c r="X267" s="55">
        <f>IF(B267="","",IF(OR(O267="Cancelled",O267="No-Show"),"",ROUND(R267*W267*(1+Burden),2)))</f>
        <v/>
      </c>
      <c r="Y267" s="55">
        <f>IF(B267="","",IF(OR(O267="Cancelled",O267="No-Show"),"",IF(N267&lt;&gt;"",N267,ROUND(R267*SupHr*IFERROR(INDEX('PRICING'!$G$7:$G$16,MATCH(F267,'PRICING'!$A$7:$A$16,0)),1),2))))</f>
        <v/>
      </c>
      <c r="Z267" s="98">
        <f>IF(B267="","",SUMIFS('MILEAGE'!$J$5:$J$1504,'MILEAGE'!$B$5:$B$1504,A267))</f>
        <v/>
      </c>
      <c r="AA267" s="55">
        <f>IF(B267="","",ROUND(Z267*MileRate,2))</f>
        <v/>
      </c>
      <c r="AB267" s="55">
        <f>IF(B267="","",SUMIFS('REVENUE'!$J$5:$J$1504,'REVENUE'!$B$5:$B$1504,A267))</f>
        <v/>
      </c>
      <c r="AC267" s="55">
        <f>IF(L267="","",IF(OR(O267="Cancelled",O267="No-Show"),"",L267-N(X267)-N(Y267)-AA267-AB267))</f>
        <v/>
      </c>
      <c r="AD267" s="99">
        <f>IF(OR(AC267="",N(L267)=0),"",AC267/L267)</f>
        <v/>
      </c>
      <c r="AE267" s="55">
        <f>IF(OR(AC267="",N(R267)=0),"",L267/R267)</f>
        <v/>
      </c>
      <c r="AF267" s="100">
        <f>IF(OR(N(K267)=0,N(J267)+N(Q267)=0),"",K267-IF(N(J267)&gt;0,J267,Q267))</f>
        <v/>
      </c>
      <c r="AG267" s="99">
        <f>IF(B267="","",IFERROR(AVERAGEIFS('QUALITY CONTROL'!$M$5:$M$304,'QUALITY CONTROL'!$B$5:$B$304,A267),""))</f>
        <v/>
      </c>
      <c r="AH267" s="51">
        <f>IF(B267="","",DATE(YEAR(B267),MONTH(B267),1))</f>
        <v/>
      </c>
      <c r="AI267" s="49">
        <f>IF(D267="","",IFERROR(INDEX('CUSTOMERS'!$E$5:$E$404,MATCH(D267,'CUSTOMERS'!$B$5:$B$404,0)),""))</f>
        <v/>
      </c>
      <c r="AJ267" s="49">
        <f>IF(B267="","",N(C267))</f>
        <v/>
      </c>
      <c r="AK267" s="49">
        <f>IF(OR(B267="",O267="Cancelled",O267="Rescheduled"),"",B267&amp;"|"&amp;(COUNTIFS('JOBS'!$B$5:$B$1504,B267,'JOBS'!$AJ$5:$AJ$1504,"&lt;"&amp;AJ267,'JOBS'!$O$5:$O$1504,"&lt;&gt;Cancelled",'JOBS'!$O$5:$O$1504,"&lt;&gt;Rescheduled")+COUNTIFS($B$5:B267,B267,$AJ$5:AJ267,AJ267,$O$5:O267,"&lt;&gt;Cancelled",$O$5:O267,"&lt;&gt;Rescheduled")))</f>
        <v/>
      </c>
      <c r="AL267" s="49">
        <f>IF(N(U267)&lt;=0.005,"",COUNTIFS('JOBS'!$U$5:$U$1504,"&gt;0.005",'JOBS'!$B$5:$B$1504,"&lt;"&amp;B267)+COUNTIFS($U$5:U267,"&gt;0.005",$B$5:B267,B267))</f>
        <v/>
      </c>
    </row>
    <row r="268">
      <c r="A268" s="46" t="inlineStr">
        <is>
          <t>J-0264</t>
        </is>
      </c>
      <c r="B268" s="47" t="n">
        <v>46269</v>
      </c>
      <c r="C268" s="94" t="n">
        <v>0.3333333333333333</v>
      </c>
      <c r="D268" s="38" t="inlineStr">
        <is>
          <t>Brightside Dental Studio (sample)</t>
        </is>
      </c>
      <c r="E268" s="38" t="inlineStr">
        <is>
          <t>738 Cedar Court, North Sampletown</t>
        </is>
      </c>
      <c r="F268" s="38" t="inlineStr">
        <is>
          <t>Commercial Clean</t>
        </is>
      </c>
      <c r="G268" s="38" t="inlineStr">
        <is>
          <t>R-011</t>
        </is>
      </c>
      <c r="H268" s="38" t="inlineStr">
        <is>
          <t>Kevin Osei</t>
        </is>
      </c>
      <c r="I268" s="57" t="n">
        <v>2</v>
      </c>
      <c r="J268" s="95" t="n"/>
      <c r="K268" s="95" t="n">
        <v>1.76</v>
      </c>
      <c r="L268" s="48" t="n">
        <v>100</v>
      </c>
      <c r="M268" s="96" t="n">
        <v>0</v>
      </c>
      <c r="N268" s="48" t="n"/>
      <c r="O268" s="38" t="inlineStr">
        <is>
          <t>Completed</t>
        </is>
      </c>
      <c r="P268" s="38" t="inlineStr"/>
      <c r="Q268" s="97">
        <f>IF(OR(F268="",E268=""),"",IFERROR(IF(INDEX('PROPERTIES'!$F$5:$F$404,MATCH(E268,'PROPERTIES'!$B$5:$B$404,0))=0,"",ROUND((INDEX('PROPERTIES'!$F$5:$F$404,MATCH(E268,'PROPERTIES'!$B$5:$B$404,0))/INDEX('PRICING'!$C$7:$C$16,MATCH(F268,'PRICING'!$A$7:$A$16,0))+INDEX('PROPERTIES'!$G$5:$G$404,MATCH(E268,'PROPERTIES'!$B$5:$B$404,0))*INDEX('PRICING'!$D$7:$D$16,MATCH(F268,'PRICING'!$A$7:$A$16,0))/60+INDEX('PROPERTIES'!$H$5:$H$404,MATCH(E268,'PROPERTIES'!$B$5:$B$404,0))*INDEX('PRICING'!$E$7:$E$16,MATCH(F268,'PRICING'!$A$7:$A$16,0))/60+INDEX('PRICING'!$F$7:$F$16,MATCH(F268,'PRICING'!$A$7:$A$16,0))/60),2)),""))</f>
        <v/>
      </c>
      <c r="R268" s="97">
        <f>IF(B268="","",IF(N(K268)&gt;0,K268,IF(N(J268)&gt;0,J268,N(Q268))))</f>
        <v/>
      </c>
      <c r="S268" s="55">
        <f>IF(L268="","",ROUND(L268*(1+N(M268)),2))</f>
        <v/>
      </c>
      <c r="T268" s="55">
        <f>IF(B268="","",SUMIFS('REVENUE'!$C$5:$C$1504,'REVENUE'!$B$5:$B$1504,A268))</f>
        <v/>
      </c>
      <c r="U268" s="55">
        <f>IF(B268="","",IF(O268="Completed",MAX(0,N(S268)-T268),""))</f>
        <v/>
      </c>
      <c r="V268" s="49">
        <f>IF(B268="","",IF(O268&lt;&gt;"Completed",IF(T268&gt;0,"Deposit","—"),IF(U268&lt;=0.005,"Paid",IF(T268&gt;0,"Partial","Unpaid"))))</f>
        <v/>
      </c>
      <c r="W268" s="55">
        <f>IF(B268="","",IFERROR(1/(1/INDEX('STAFF &amp; TASKS'!$C$5:$C$24,MATCH(H268,'STAFF &amp; TASKS'!$A$5:$A$24,0))),PayRate))</f>
        <v/>
      </c>
      <c r="X268" s="55">
        <f>IF(B268="","",IF(OR(O268="Cancelled",O268="No-Show"),"",ROUND(R268*W268*(1+Burden),2)))</f>
        <v/>
      </c>
      <c r="Y268" s="55">
        <f>IF(B268="","",IF(OR(O268="Cancelled",O268="No-Show"),"",IF(N268&lt;&gt;"",N268,ROUND(R268*SupHr*IFERROR(INDEX('PRICING'!$G$7:$G$16,MATCH(F268,'PRICING'!$A$7:$A$16,0)),1),2))))</f>
        <v/>
      </c>
      <c r="Z268" s="98">
        <f>IF(B268="","",SUMIFS('MILEAGE'!$J$5:$J$1504,'MILEAGE'!$B$5:$B$1504,A268))</f>
        <v/>
      </c>
      <c r="AA268" s="55">
        <f>IF(B268="","",ROUND(Z268*MileRate,2))</f>
        <v/>
      </c>
      <c r="AB268" s="55">
        <f>IF(B268="","",SUMIFS('REVENUE'!$J$5:$J$1504,'REVENUE'!$B$5:$B$1504,A268))</f>
        <v/>
      </c>
      <c r="AC268" s="55">
        <f>IF(L268="","",IF(OR(O268="Cancelled",O268="No-Show"),"",L268-N(X268)-N(Y268)-AA268-AB268))</f>
        <v/>
      </c>
      <c r="AD268" s="99">
        <f>IF(OR(AC268="",N(L268)=0),"",AC268/L268)</f>
        <v/>
      </c>
      <c r="AE268" s="55">
        <f>IF(OR(AC268="",N(R268)=0),"",L268/R268)</f>
        <v/>
      </c>
      <c r="AF268" s="100">
        <f>IF(OR(N(K268)=0,N(J268)+N(Q268)=0),"",K268-IF(N(J268)&gt;0,J268,Q268))</f>
        <v/>
      </c>
      <c r="AG268" s="99">
        <f>IF(B268="","",IFERROR(AVERAGEIFS('QUALITY CONTROL'!$M$5:$M$304,'QUALITY CONTROL'!$B$5:$B$304,A268),""))</f>
        <v/>
      </c>
      <c r="AH268" s="51">
        <f>IF(B268="","",DATE(YEAR(B268),MONTH(B268),1))</f>
        <v/>
      </c>
      <c r="AI268" s="49">
        <f>IF(D268="","",IFERROR(INDEX('CUSTOMERS'!$E$5:$E$404,MATCH(D268,'CUSTOMERS'!$B$5:$B$404,0)),""))</f>
        <v/>
      </c>
      <c r="AJ268" s="49">
        <f>IF(B268="","",N(C268))</f>
        <v/>
      </c>
      <c r="AK268" s="49">
        <f>IF(OR(B268="",O268="Cancelled",O268="Rescheduled"),"",B268&amp;"|"&amp;(COUNTIFS('JOBS'!$B$5:$B$1504,B268,'JOBS'!$AJ$5:$AJ$1504,"&lt;"&amp;AJ268,'JOBS'!$O$5:$O$1504,"&lt;&gt;Cancelled",'JOBS'!$O$5:$O$1504,"&lt;&gt;Rescheduled")+COUNTIFS($B$5:B268,B268,$AJ$5:AJ268,AJ268,$O$5:O268,"&lt;&gt;Cancelled",$O$5:O268,"&lt;&gt;Rescheduled")))</f>
        <v/>
      </c>
      <c r="AL268" s="49">
        <f>IF(N(U268)&lt;=0.005,"",COUNTIFS('JOBS'!$U$5:$U$1504,"&gt;0.005",'JOBS'!$B$5:$B$1504,"&lt;"&amp;B268)+COUNTIFS($U$5:U268,"&gt;0.005",$B$5:B268,B268))</f>
        <v/>
      </c>
    </row>
    <row r="269">
      <c r="A269" s="46" t="inlineStr">
        <is>
          <t>J-0265</t>
        </is>
      </c>
      <c r="B269" s="47" t="n">
        <v>46269</v>
      </c>
      <c r="C269" s="94" t="n">
        <v>0.3541666666666667</v>
      </c>
      <c r="D269" s="38" t="inlineStr">
        <is>
          <t>Devon Hayes</t>
        </is>
      </c>
      <c r="E269" s="38" t="inlineStr">
        <is>
          <t>461 Hawthorn Road, Lakeview (fictional)</t>
        </is>
      </c>
      <c r="F269" s="38" t="inlineStr">
        <is>
          <t>Standard Clean</t>
        </is>
      </c>
      <c r="G269" s="38" t="inlineStr">
        <is>
          <t>R-003</t>
        </is>
      </c>
      <c r="H269" s="38" t="inlineStr">
        <is>
          <t>Maria Lopez</t>
        </is>
      </c>
      <c r="I269" s="57" t="n">
        <v>1</v>
      </c>
      <c r="J269" s="95" t="n"/>
      <c r="K269" s="95" t="n">
        <v>4.61</v>
      </c>
      <c r="L269" s="48" t="n">
        <v>220</v>
      </c>
      <c r="M269" s="96" t="n">
        <v>0</v>
      </c>
      <c r="N269" s="48" t="n"/>
      <c r="O269" s="38" t="inlineStr">
        <is>
          <t>Completed</t>
        </is>
      </c>
      <c r="P269" s="38" t="inlineStr"/>
      <c r="Q269" s="97">
        <f>IF(OR(F269="",E269=""),"",IFERROR(IF(INDEX('PROPERTIES'!$F$5:$F$404,MATCH(E269,'PROPERTIES'!$B$5:$B$404,0))=0,"",ROUND((INDEX('PROPERTIES'!$F$5:$F$404,MATCH(E269,'PROPERTIES'!$B$5:$B$404,0))/INDEX('PRICING'!$C$7:$C$16,MATCH(F269,'PRICING'!$A$7:$A$16,0))+INDEX('PROPERTIES'!$G$5:$G$404,MATCH(E269,'PROPERTIES'!$B$5:$B$404,0))*INDEX('PRICING'!$D$7:$D$16,MATCH(F269,'PRICING'!$A$7:$A$16,0))/60+INDEX('PROPERTIES'!$H$5:$H$404,MATCH(E269,'PROPERTIES'!$B$5:$B$404,0))*INDEX('PRICING'!$E$7:$E$16,MATCH(F269,'PRICING'!$A$7:$A$16,0))/60+INDEX('PRICING'!$F$7:$F$16,MATCH(F269,'PRICING'!$A$7:$A$16,0))/60),2)),""))</f>
        <v/>
      </c>
      <c r="R269" s="97">
        <f>IF(B269="","",IF(N(K269)&gt;0,K269,IF(N(J269)&gt;0,J269,N(Q269))))</f>
        <v/>
      </c>
      <c r="S269" s="55">
        <f>IF(L269="","",ROUND(L269*(1+N(M269)),2))</f>
        <v/>
      </c>
      <c r="T269" s="55">
        <f>IF(B269="","",SUMIFS('REVENUE'!$C$5:$C$1504,'REVENUE'!$B$5:$B$1504,A269))</f>
        <v/>
      </c>
      <c r="U269" s="55">
        <f>IF(B269="","",IF(O269="Completed",MAX(0,N(S269)-T269),""))</f>
        <v/>
      </c>
      <c r="V269" s="49">
        <f>IF(B269="","",IF(O269&lt;&gt;"Completed",IF(T269&gt;0,"Deposit","—"),IF(U269&lt;=0.005,"Paid",IF(T269&gt;0,"Partial","Unpaid"))))</f>
        <v/>
      </c>
      <c r="W269" s="55">
        <f>IF(B269="","",IFERROR(1/(1/INDEX('STAFF &amp; TASKS'!$C$5:$C$24,MATCH(H269,'STAFF &amp; TASKS'!$A$5:$A$24,0))),PayRate))</f>
        <v/>
      </c>
      <c r="X269" s="55">
        <f>IF(B269="","",IF(OR(O269="Cancelled",O269="No-Show"),"",ROUND(R269*W269*(1+Burden),2)))</f>
        <v/>
      </c>
      <c r="Y269" s="55">
        <f>IF(B269="","",IF(OR(O269="Cancelled",O269="No-Show"),"",IF(N269&lt;&gt;"",N269,ROUND(R269*SupHr*IFERROR(INDEX('PRICING'!$G$7:$G$16,MATCH(F269,'PRICING'!$A$7:$A$16,0)),1),2))))</f>
        <v/>
      </c>
      <c r="Z269" s="98">
        <f>IF(B269="","",SUMIFS('MILEAGE'!$J$5:$J$1504,'MILEAGE'!$B$5:$B$1504,A269))</f>
        <v/>
      </c>
      <c r="AA269" s="55">
        <f>IF(B269="","",ROUND(Z269*MileRate,2))</f>
        <v/>
      </c>
      <c r="AB269" s="55">
        <f>IF(B269="","",SUMIFS('REVENUE'!$J$5:$J$1504,'REVENUE'!$B$5:$B$1504,A269))</f>
        <v/>
      </c>
      <c r="AC269" s="55">
        <f>IF(L269="","",IF(OR(O269="Cancelled",O269="No-Show"),"",L269-N(X269)-N(Y269)-AA269-AB269))</f>
        <v/>
      </c>
      <c r="AD269" s="99">
        <f>IF(OR(AC269="",N(L269)=0),"",AC269/L269)</f>
        <v/>
      </c>
      <c r="AE269" s="55">
        <f>IF(OR(AC269="",N(R269)=0),"",L269/R269)</f>
        <v/>
      </c>
      <c r="AF269" s="100">
        <f>IF(OR(N(K269)=0,N(J269)+N(Q269)=0),"",K269-IF(N(J269)&gt;0,J269,Q269))</f>
        <v/>
      </c>
      <c r="AG269" s="99">
        <f>IF(B269="","",IFERROR(AVERAGEIFS('QUALITY CONTROL'!$M$5:$M$304,'QUALITY CONTROL'!$B$5:$B$304,A269),""))</f>
        <v/>
      </c>
      <c r="AH269" s="51">
        <f>IF(B269="","",DATE(YEAR(B269),MONTH(B269),1))</f>
        <v/>
      </c>
      <c r="AI269" s="49">
        <f>IF(D269="","",IFERROR(INDEX('CUSTOMERS'!$E$5:$E$404,MATCH(D269,'CUSTOMERS'!$B$5:$B$404,0)),""))</f>
        <v/>
      </c>
      <c r="AJ269" s="49">
        <f>IF(B269="","",N(C269))</f>
        <v/>
      </c>
      <c r="AK269" s="49">
        <f>IF(OR(B269="",O269="Cancelled",O269="Rescheduled"),"",B269&amp;"|"&amp;(COUNTIFS('JOBS'!$B$5:$B$1504,B269,'JOBS'!$AJ$5:$AJ$1504,"&lt;"&amp;AJ269,'JOBS'!$O$5:$O$1504,"&lt;&gt;Cancelled",'JOBS'!$O$5:$O$1504,"&lt;&gt;Rescheduled")+COUNTIFS($B$5:B269,B269,$AJ$5:AJ269,AJ269,$O$5:O269,"&lt;&gt;Cancelled",$O$5:O269,"&lt;&gt;Rescheduled")))</f>
        <v/>
      </c>
      <c r="AL269" s="49">
        <f>IF(N(U269)&lt;=0.005,"",COUNTIFS('JOBS'!$U$5:$U$1504,"&gt;0.005",'JOBS'!$B$5:$B$1504,"&lt;"&amp;B269)+COUNTIFS($U$5:U269,"&gt;0.005",$B$5:B269,B269))</f>
        <v/>
      </c>
    </row>
    <row r="270">
      <c r="A270" s="46" t="inlineStr">
        <is>
          <t>J-0266</t>
        </is>
      </c>
      <c r="B270" s="47" t="n">
        <v>46269</v>
      </c>
      <c r="C270" s="94" t="n">
        <v>0.3541666666666667</v>
      </c>
      <c r="D270" s="38" t="inlineStr">
        <is>
          <t>Oakview Office Suites (sample)</t>
        </is>
      </c>
      <c r="E270" s="38" t="inlineStr">
        <is>
          <t>957 Hawthorn Road, North Sampletown</t>
        </is>
      </c>
      <c r="F270" s="38" t="inlineStr">
        <is>
          <t>Commercial Clean</t>
        </is>
      </c>
      <c r="G270" s="38" t="inlineStr">
        <is>
          <t>R-012</t>
        </is>
      </c>
      <c r="H270" s="38" t="inlineStr">
        <is>
          <t>Kevin Osei</t>
        </is>
      </c>
      <c r="I270" s="57" t="n">
        <v>2</v>
      </c>
      <c r="J270" s="95" t="n"/>
      <c r="K270" s="95" t="n">
        <v>3.38</v>
      </c>
      <c r="L270" s="48" t="n">
        <v>140</v>
      </c>
      <c r="M270" s="96" t="n">
        <v>0</v>
      </c>
      <c r="N270" s="48" t="n"/>
      <c r="O270" s="38" t="inlineStr">
        <is>
          <t>Completed</t>
        </is>
      </c>
      <c r="P270" s="38" t="inlineStr"/>
      <c r="Q270" s="97">
        <f>IF(OR(F270="",E270=""),"",IFERROR(IF(INDEX('PROPERTIES'!$F$5:$F$404,MATCH(E270,'PROPERTIES'!$B$5:$B$404,0))=0,"",ROUND((INDEX('PROPERTIES'!$F$5:$F$404,MATCH(E270,'PROPERTIES'!$B$5:$B$404,0))/INDEX('PRICING'!$C$7:$C$16,MATCH(F270,'PRICING'!$A$7:$A$16,0))+INDEX('PROPERTIES'!$G$5:$G$404,MATCH(E270,'PROPERTIES'!$B$5:$B$404,0))*INDEX('PRICING'!$D$7:$D$16,MATCH(F270,'PRICING'!$A$7:$A$16,0))/60+INDEX('PROPERTIES'!$H$5:$H$404,MATCH(E270,'PROPERTIES'!$B$5:$B$404,0))*INDEX('PRICING'!$E$7:$E$16,MATCH(F270,'PRICING'!$A$7:$A$16,0))/60+INDEX('PRICING'!$F$7:$F$16,MATCH(F270,'PRICING'!$A$7:$A$16,0))/60),2)),""))</f>
        <v/>
      </c>
      <c r="R270" s="97">
        <f>IF(B270="","",IF(N(K270)&gt;0,K270,IF(N(J270)&gt;0,J270,N(Q270))))</f>
        <v/>
      </c>
      <c r="S270" s="55">
        <f>IF(L270="","",ROUND(L270*(1+N(M270)),2))</f>
        <v/>
      </c>
      <c r="T270" s="55">
        <f>IF(B270="","",SUMIFS('REVENUE'!$C$5:$C$1504,'REVENUE'!$B$5:$B$1504,A270))</f>
        <v/>
      </c>
      <c r="U270" s="55">
        <f>IF(B270="","",IF(O270="Completed",MAX(0,N(S270)-T270),""))</f>
        <v/>
      </c>
      <c r="V270" s="49">
        <f>IF(B270="","",IF(O270&lt;&gt;"Completed",IF(T270&gt;0,"Deposit","—"),IF(U270&lt;=0.005,"Paid",IF(T270&gt;0,"Partial","Unpaid"))))</f>
        <v/>
      </c>
      <c r="W270" s="55">
        <f>IF(B270="","",IFERROR(1/(1/INDEX('STAFF &amp; TASKS'!$C$5:$C$24,MATCH(H270,'STAFF &amp; TASKS'!$A$5:$A$24,0))),PayRate))</f>
        <v/>
      </c>
      <c r="X270" s="55">
        <f>IF(B270="","",IF(OR(O270="Cancelled",O270="No-Show"),"",ROUND(R270*W270*(1+Burden),2)))</f>
        <v/>
      </c>
      <c r="Y270" s="55">
        <f>IF(B270="","",IF(OR(O270="Cancelled",O270="No-Show"),"",IF(N270&lt;&gt;"",N270,ROUND(R270*SupHr*IFERROR(INDEX('PRICING'!$G$7:$G$16,MATCH(F270,'PRICING'!$A$7:$A$16,0)),1),2))))</f>
        <v/>
      </c>
      <c r="Z270" s="98">
        <f>IF(B270="","",SUMIFS('MILEAGE'!$J$5:$J$1504,'MILEAGE'!$B$5:$B$1504,A270))</f>
        <v/>
      </c>
      <c r="AA270" s="55">
        <f>IF(B270="","",ROUND(Z270*MileRate,2))</f>
        <v/>
      </c>
      <c r="AB270" s="55">
        <f>IF(B270="","",SUMIFS('REVENUE'!$J$5:$J$1504,'REVENUE'!$B$5:$B$1504,A270))</f>
        <v/>
      </c>
      <c r="AC270" s="55">
        <f>IF(L270="","",IF(OR(O270="Cancelled",O270="No-Show"),"",L270-N(X270)-N(Y270)-AA270-AB270))</f>
        <v/>
      </c>
      <c r="AD270" s="99">
        <f>IF(OR(AC270="",N(L270)=0),"",AC270/L270)</f>
        <v/>
      </c>
      <c r="AE270" s="55">
        <f>IF(OR(AC270="",N(R270)=0),"",L270/R270)</f>
        <v/>
      </c>
      <c r="AF270" s="100">
        <f>IF(OR(N(K270)=0,N(J270)+N(Q270)=0),"",K270-IF(N(J270)&gt;0,J270,Q270))</f>
        <v/>
      </c>
      <c r="AG270" s="99">
        <f>IF(B270="","",IFERROR(AVERAGEIFS('QUALITY CONTROL'!$M$5:$M$304,'QUALITY CONTROL'!$B$5:$B$304,A270),""))</f>
        <v/>
      </c>
      <c r="AH270" s="51">
        <f>IF(B270="","",DATE(YEAR(B270),MONTH(B270),1))</f>
        <v/>
      </c>
      <c r="AI270" s="49">
        <f>IF(D270="","",IFERROR(INDEX('CUSTOMERS'!$E$5:$E$404,MATCH(D270,'CUSTOMERS'!$B$5:$B$404,0)),""))</f>
        <v/>
      </c>
      <c r="AJ270" s="49">
        <f>IF(B270="","",N(C270))</f>
        <v/>
      </c>
      <c r="AK270" s="49">
        <f>IF(OR(B270="",O270="Cancelled",O270="Rescheduled"),"",B270&amp;"|"&amp;(COUNTIFS('JOBS'!$B$5:$B$1504,B270,'JOBS'!$AJ$5:$AJ$1504,"&lt;"&amp;AJ270,'JOBS'!$O$5:$O$1504,"&lt;&gt;Cancelled",'JOBS'!$O$5:$O$1504,"&lt;&gt;Rescheduled")+COUNTIFS($B$5:B270,B270,$AJ$5:AJ270,AJ270,$O$5:O270,"&lt;&gt;Cancelled",$O$5:O270,"&lt;&gt;Rescheduled")))</f>
        <v/>
      </c>
      <c r="AL270" s="49">
        <f>IF(N(U270)&lt;=0.005,"",COUNTIFS('JOBS'!$U$5:$U$1504,"&gt;0.005",'JOBS'!$B$5:$B$1504,"&lt;"&amp;B270)+COUNTIFS($U$5:U270,"&gt;0.005",$B$5:B270,B270))</f>
        <v/>
      </c>
    </row>
    <row r="271">
      <c r="A271" s="46" t="inlineStr">
        <is>
          <t>J-0267</t>
        </is>
      </c>
      <c r="B271" s="47" t="n">
        <v>46271</v>
      </c>
      <c r="C271" s="94" t="n">
        <v>0.5416666666666666</v>
      </c>
      <c r="D271" s="38" t="inlineStr">
        <is>
          <t>Drew Bennett</t>
        </is>
      </c>
      <c r="E271" s="38" t="inlineStr">
        <is>
          <t>22 Cedar Court, Sampletown</t>
        </is>
      </c>
      <c r="F271" s="38" t="inlineStr">
        <is>
          <t>Standard Clean</t>
        </is>
      </c>
      <c r="G271" s="38" t="n"/>
      <c r="H271" s="38" t="inlineStr">
        <is>
          <t>Maria Lopez</t>
        </is>
      </c>
      <c r="I271" s="57" t="n">
        <v>1</v>
      </c>
      <c r="J271" s="95" t="n"/>
      <c r="K271" s="95" t="n">
        <v>5.01</v>
      </c>
      <c r="L271" s="48" t="n">
        <v>245</v>
      </c>
      <c r="M271" s="96" t="n">
        <v>0</v>
      </c>
      <c r="N271" s="48" t="n"/>
      <c r="O271" s="38" t="inlineStr">
        <is>
          <t>Completed</t>
        </is>
      </c>
      <c r="P271" s="38" t="inlineStr"/>
      <c r="Q271" s="97">
        <f>IF(OR(F271="",E271=""),"",IFERROR(IF(INDEX('PROPERTIES'!$F$5:$F$404,MATCH(E271,'PROPERTIES'!$B$5:$B$404,0))=0,"",ROUND((INDEX('PROPERTIES'!$F$5:$F$404,MATCH(E271,'PROPERTIES'!$B$5:$B$404,0))/INDEX('PRICING'!$C$7:$C$16,MATCH(F271,'PRICING'!$A$7:$A$16,0))+INDEX('PROPERTIES'!$G$5:$G$404,MATCH(E271,'PROPERTIES'!$B$5:$B$404,0))*INDEX('PRICING'!$D$7:$D$16,MATCH(F271,'PRICING'!$A$7:$A$16,0))/60+INDEX('PROPERTIES'!$H$5:$H$404,MATCH(E271,'PROPERTIES'!$B$5:$B$404,0))*INDEX('PRICING'!$E$7:$E$16,MATCH(F271,'PRICING'!$A$7:$A$16,0))/60+INDEX('PRICING'!$F$7:$F$16,MATCH(F271,'PRICING'!$A$7:$A$16,0))/60),2)),""))</f>
        <v/>
      </c>
      <c r="R271" s="97">
        <f>IF(B271="","",IF(N(K271)&gt;0,K271,IF(N(J271)&gt;0,J271,N(Q271))))</f>
        <v/>
      </c>
      <c r="S271" s="55">
        <f>IF(L271="","",ROUND(L271*(1+N(M271)),2))</f>
        <v/>
      </c>
      <c r="T271" s="55">
        <f>IF(B271="","",SUMIFS('REVENUE'!$C$5:$C$1504,'REVENUE'!$B$5:$B$1504,A271))</f>
        <v/>
      </c>
      <c r="U271" s="55">
        <f>IF(B271="","",IF(O271="Completed",MAX(0,N(S271)-T271),""))</f>
        <v/>
      </c>
      <c r="V271" s="49">
        <f>IF(B271="","",IF(O271&lt;&gt;"Completed",IF(T271&gt;0,"Deposit","—"),IF(U271&lt;=0.005,"Paid",IF(T271&gt;0,"Partial","Unpaid"))))</f>
        <v/>
      </c>
      <c r="W271" s="55">
        <f>IF(B271="","",IFERROR(1/(1/INDEX('STAFF &amp; TASKS'!$C$5:$C$24,MATCH(H271,'STAFF &amp; TASKS'!$A$5:$A$24,0))),PayRate))</f>
        <v/>
      </c>
      <c r="X271" s="55">
        <f>IF(B271="","",IF(OR(O271="Cancelled",O271="No-Show"),"",ROUND(R271*W271*(1+Burden),2)))</f>
        <v/>
      </c>
      <c r="Y271" s="55">
        <f>IF(B271="","",IF(OR(O271="Cancelled",O271="No-Show"),"",IF(N271&lt;&gt;"",N271,ROUND(R271*SupHr*IFERROR(INDEX('PRICING'!$G$7:$G$16,MATCH(F271,'PRICING'!$A$7:$A$16,0)),1),2))))</f>
        <v/>
      </c>
      <c r="Z271" s="98">
        <f>IF(B271="","",SUMIFS('MILEAGE'!$J$5:$J$1504,'MILEAGE'!$B$5:$B$1504,A271))</f>
        <v/>
      </c>
      <c r="AA271" s="55">
        <f>IF(B271="","",ROUND(Z271*MileRate,2))</f>
        <v/>
      </c>
      <c r="AB271" s="55">
        <f>IF(B271="","",SUMIFS('REVENUE'!$J$5:$J$1504,'REVENUE'!$B$5:$B$1504,A271))</f>
        <v/>
      </c>
      <c r="AC271" s="55">
        <f>IF(L271="","",IF(OR(O271="Cancelled",O271="No-Show"),"",L271-N(X271)-N(Y271)-AA271-AB271))</f>
        <v/>
      </c>
      <c r="AD271" s="99">
        <f>IF(OR(AC271="",N(L271)=0),"",AC271/L271)</f>
        <v/>
      </c>
      <c r="AE271" s="55">
        <f>IF(OR(AC271="",N(R271)=0),"",L271/R271)</f>
        <v/>
      </c>
      <c r="AF271" s="100">
        <f>IF(OR(N(K271)=0,N(J271)+N(Q271)=0),"",K271-IF(N(J271)&gt;0,J271,Q271))</f>
        <v/>
      </c>
      <c r="AG271" s="99">
        <f>IF(B271="","",IFERROR(AVERAGEIFS('QUALITY CONTROL'!$M$5:$M$304,'QUALITY CONTROL'!$B$5:$B$304,A271),""))</f>
        <v/>
      </c>
      <c r="AH271" s="51">
        <f>IF(B271="","",DATE(YEAR(B271),MONTH(B271),1))</f>
        <v/>
      </c>
      <c r="AI271" s="49">
        <f>IF(D271="","",IFERROR(INDEX('CUSTOMERS'!$E$5:$E$404,MATCH(D271,'CUSTOMERS'!$B$5:$B$404,0)),""))</f>
        <v/>
      </c>
      <c r="AJ271" s="49">
        <f>IF(B271="","",N(C271))</f>
        <v/>
      </c>
      <c r="AK271" s="49">
        <f>IF(OR(B271="",O271="Cancelled",O271="Rescheduled"),"",B271&amp;"|"&amp;(COUNTIFS('JOBS'!$B$5:$B$1504,B271,'JOBS'!$AJ$5:$AJ$1504,"&lt;"&amp;AJ271,'JOBS'!$O$5:$O$1504,"&lt;&gt;Cancelled",'JOBS'!$O$5:$O$1504,"&lt;&gt;Rescheduled")+COUNTIFS($B$5:B271,B271,$AJ$5:AJ271,AJ271,$O$5:O271,"&lt;&gt;Cancelled",$O$5:O271,"&lt;&gt;Rescheduled")))</f>
        <v/>
      </c>
      <c r="AL271" s="49">
        <f>IF(N(U271)&lt;=0.005,"",COUNTIFS('JOBS'!$U$5:$U$1504,"&gt;0.005",'JOBS'!$B$5:$B$1504,"&lt;"&amp;B271)+COUNTIFS($U$5:U271,"&gt;0.005",$B$5:B271,B271))</f>
        <v/>
      </c>
    </row>
    <row r="272">
      <c r="A272" s="46" t="inlineStr">
        <is>
          <t>J-0268</t>
        </is>
      </c>
      <c r="B272" s="47" t="n">
        <v>46272</v>
      </c>
      <c r="C272" s="94" t="n">
        <v>0.4166666666666667</v>
      </c>
      <c r="D272" s="38" t="inlineStr">
        <is>
          <t>Harper Hayes</t>
        </is>
      </c>
      <c r="E272" s="38" t="inlineStr">
        <is>
          <t>853 Alder Lane, North Sampletown</t>
        </is>
      </c>
      <c r="F272" s="38" t="inlineStr">
        <is>
          <t>Deep Clean</t>
        </is>
      </c>
      <c r="G272" s="38" t="n"/>
      <c r="H272" s="38" t="inlineStr">
        <is>
          <t>Maria Lopez</t>
        </is>
      </c>
      <c r="I272" s="57" t="n">
        <v>2</v>
      </c>
      <c r="J272" s="95" t="n"/>
      <c r="K272" s="95" t="n">
        <v>5.41</v>
      </c>
      <c r="L272" s="48" t="n">
        <v>365</v>
      </c>
      <c r="M272" s="96" t="n">
        <v>0</v>
      </c>
      <c r="N272" s="48" t="n"/>
      <c r="O272" s="38" t="inlineStr">
        <is>
          <t>Completed</t>
        </is>
      </c>
      <c r="P272" s="38" t="inlineStr"/>
      <c r="Q272" s="97">
        <f>IF(OR(F272="",E272=""),"",IFERROR(IF(INDEX('PROPERTIES'!$F$5:$F$404,MATCH(E272,'PROPERTIES'!$B$5:$B$404,0))=0,"",ROUND((INDEX('PROPERTIES'!$F$5:$F$404,MATCH(E272,'PROPERTIES'!$B$5:$B$404,0))/INDEX('PRICING'!$C$7:$C$16,MATCH(F272,'PRICING'!$A$7:$A$16,0))+INDEX('PROPERTIES'!$G$5:$G$404,MATCH(E272,'PROPERTIES'!$B$5:$B$404,0))*INDEX('PRICING'!$D$7:$D$16,MATCH(F272,'PRICING'!$A$7:$A$16,0))/60+INDEX('PROPERTIES'!$H$5:$H$404,MATCH(E272,'PROPERTIES'!$B$5:$B$404,0))*INDEX('PRICING'!$E$7:$E$16,MATCH(F272,'PRICING'!$A$7:$A$16,0))/60+INDEX('PRICING'!$F$7:$F$16,MATCH(F272,'PRICING'!$A$7:$A$16,0))/60),2)),""))</f>
        <v/>
      </c>
      <c r="R272" s="97">
        <f>IF(B272="","",IF(N(K272)&gt;0,K272,IF(N(J272)&gt;0,J272,N(Q272))))</f>
        <v/>
      </c>
      <c r="S272" s="55">
        <f>IF(L272="","",ROUND(L272*(1+N(M272)),2))</f>
        <v/>
      </c>
      <c r="T272" s="55">
        <f>IF(B272="","",SUMIFS('REVENUE'!$C$5:$C$1504,'REVENUE'!$B$5:$B$1504,A272))</f>
        <v/>
      </c>
      <c r="U272" s="55">
        <f>IF(B272="","",IF(O272="Completed",MAX(0,N(S272)-T272),""))</f>
        <v/>
      </c>
      <c r="V272" s="49">
        <f>IF(B272="","",IF(O272&lt;&gt;"Completed",IF(T272&gt;0,"Deposit","—"),IF(U272&lt;=0.005,"Paid",IF(T272&gt;0,"Partial","Unpaid"))))</f>
        <v/>
      </c>
      <c r="W272" s="55">
        <f>IF(B272="","",IFERROR(1/(1/INDEX('STAFF &amp; TASKS'!$C$5:$C$24,MATCH(H272,'STAFF &amp; TASKS'!$A$5:$A$24,0))),PayRate))</f>
        <v/>
      </c>
      <c r="X272" s="55">
        <f>IF(B272="","",IF(OR(O272="Cancelled",O272="No-Show"),"",ROUND(R272*W272*(1+Burden),2)))</f>
        <v/>
      </c>
      <c r="Y272" s="55">
        <f>IF(B272="","",IF(OR(O272="Cancelled",O272="No-Show"),"",IF(N272&lt;&gt;"",N272,ROUND(R272*SupHr*IFERROR(INDEX('PRICING'!$G$7:$G$16,MATCH(F272,'PRICING'!$A$7:$A$16,0)),1),2))))</f>
        <v/>
      </c>
      <c r="Z272" s="98">
        <f>IF(B272="","",SUMIFS('MILEAGE'!$J$5:$J$1504,'MILEAGE'!$B$5:$B$1504,A272))</f>
        <v/>
      </c>
      <c r="AA272" s="55">
        <f>IF(B272="","",ROUND(Z272*MileRate,2))</f>
        <v/>
      </c>
      <c r="AB272" s="55">
        <f>IF(B272="","",SUMIFS('REVENUE'!$J$5:$J$1504,'REVENUE'!$B$5:$B$1504,A272))</f>
        <v/>
      </c>
      <c r="AC272" s="55">
        <f>IF(L272="","",IF(OR(O272="Cancelled",O272="No-Show"),"",L272-N(X272)-N(Y272)-AA272-AB272))</f>
        <v/>
      </c>
      <c r="AD272" s="99">
        <f>IF(OR(AC272="",N(L272)=0),"",AC272/L272)</f>
        <v/>
      </c>
      <c r="AE272" s="55">
        <f>IF(OR(AC272="",N(R272)=0),"",L272/R272)</f>
        <v/>
      </c>
      <c r="AF272" s="100">
        <f>IF(OR(N(K272)=0,N(J272)+N(Q272)=0),"",K272-IF(N(J272)&gt;0,J272,Q272))</f>
        <v/>
      </c>
      <c r="AG272" s="99">
        <f>IF(B272="","",IFERROR(AVERAGEIFS('QUALITY CONTROL'!$M$5:$M$304,'QUALITY CONTROL'!$B$5:$B$304,A272),""))</f>
        <v/>
      </c>
      <c r="AH272" s="51">
        <f>IF(B272="","",DATE(YEAR(B272),MONTH(B272),1))</f>
        <v/>
      </c>
      <c r="AI272" s="49">
        <f>IF(D272="","",IFERROR(INDEX('CUSTOMERS'!$E$5:$E$404,MATCH(D272,'CUSTOMERS'!$B$5:$B$404,0)),""))</f>
        <v/>
      </c>
      <c r="AJ272" s="49">
        <f>IF(B272="","",N(C272))</f>
        <v/>
      </c>
      <c r="AK272" s="49">
        <f>IF(OR(B272="",O272="Cancelled",O272="Rescheduled"),"",B272&amp;"|"&amp;(COUNTIFS('JOBS'!$B$5:$B$1504,B272,'JOBS'!$AJ$5:$AJ$1504,"&lt;"&amp;AJ272,'JOBS'!$O$5:$O$1504,"&lt;&gt;Cancelled",'JOBS'!$O$5:$O$1504,"&lt;&gt;Rescheduled")+COUNTIFS($B$5:B272,B272,$AJ$5:AJ272,AJ272,$O$5:O272,"&lt;&gt;Cancelled",$O$5:O272,"&lt;&gt;Rescheduled")))</f>
        <v/>
      </c>
      <c r="AL272" s="49">
        <f>IF(N(U272)&lt;=0.005,"",COUNTIFS('JOBS'!$U$5:$U$1504,"&gt;0.005",'JOBS'!$B$5:$B$1504,"&lt;"&amp;B272)+COUNTIFS($U$5:U272,"&gt;0.005",$B$5:B272,B272))</f>
        <v/>
      </c>
    </row>
    <row r="273">
      <c r="A273" s="46" t="inlineStr">
        <is>
          <t>J-0269</t>
        </is>
      </c>
      <c r="B273" s="47" t="n">
        <v>46272</v>
      </c>
      <c r="C273" s="94" t="n">
        <v>0.5416666666666666</v>
      </c>
      <c r="D273" s="38" t="inlineStr">
        <is>
          <t>Emerson Holloway</t>
        </is>
      </c>
      <c r="E273" s="38" t="inlineStr">
        <is>
          <t>192 Birch Lane, North Sampletown</t>
        </is>
      </c>
      <c r="F273" s="38" t="inlineStr">
        <is>
          <t>Airbnb Turnover</t>
        </is>
      </c>
      <c r="G273" s="38" t="n"/>
      <c r="H273" s="38" t="inlineStr">
        <is>
          <t>Kevin Osei</t>
        </is>
      </c>
      <c r="I273" s="57" t="n">
        <v>1</v>
      </c>
      <c r="J273" s="95" t="n"/>
      <c r="K273" s="95" t="n">
        <v>2.42</v>
      </c>
      <c r="L273" s="48" t="n">
        <v>150</v>
      </c>
      <c r="M273" s="96" t="n">
        <v>0</v>
      </c>
      <c r="N273" s="48" t="n"/>
      <c r="O273" s="38" t="inlineStr">
        <is>
          <t>Completed</t>
        </is>
      </c>
      <c r="P273" s="38" t="inlineStr">
        <is>
          <t>Includes laundry</t>
        </is>
      </c>
      <c r="Q273" s="97">
        <f>IF(OR(F273="",E273=""),"",IFERROR(IF(INDEX('PROPERTIES'!$F$5:$F$404,MATCH(E273,'PROPERTIES'!$B$5:$B$404,0))=0,"",ROUND((INDEX('PROPERTIES'!$F$5:$F$404,MATCH(E273,'PROPERTIES'!$B$5:$B$404,0))/INDEX('PRICING'!$C$7:$C$16,MATCH(F273,'PRICING'!$A$7:$A$16,0))+INDEX('PROPERTIES'!$G$5:$G$404,MATCH(E273,'PROPERTIES'!$B$5:$B$404,0))*INDEX('PRICING'!$D$7:$D$16,MATCH(F273,'PRICING'!$A$7:$A$16,0))/60+INDEX('PROPERTIES'!$H$5:$H$404,MATCH(E273,'PROPERTIES'!$B$5:$B$404,0))*INDEX('PRICING'!$E$7:$E$16,MATCH(F273,'PRICING'!$A$7:$A$16,0))/60+INDEX('PRICING'!$F$7:$F$16,MATCH(F273,'PRICING'!$A$7:$A$16,0))/60),2)),""))</f>
        <v/>
      </c>
      <c r="R273" s="97">
        <f>IF(B273="","",IF(N(K273)&gt;0,K273,IF(N(J273)&gt;0,J273,N(Q273))))</f>
        <v/>
      </c>
      <c r="S273" s="55">
        <f>IF(L273="","",ROUND(L273*(1+N(M273)),2))</f>
        <v/>
      </c>
      <c r="T273" s="55">
        <f>IF(B273="","",SUMIFS('REVENUE'!$C$5:$C$1504,'REVENUE'!$B$5:$B$1504,A273))</f>
        <v/>
      </c>
      <c r="U273" s="55">
        <f>IF(B273="","",IF(O273="Completed",MAX(0,N(S273)-T273),""))</f>
        <v/>
      </c>
      <c r="V273" s="49">
        <f>IF(B273="","",IF(O273&lt;&gt;"Completed",IF(T273&gt;0,"Deposit","—"),IF(U273&lt;=0.005,"Paid",IF(T273&gt;0,"Partial","Unpaid"))))</f>
        <v/>
      </c>
      <c r="W273" s="55">
        <f>IF(B273="","",IFERROR(1/(1/INDEX('STAFF &amp; TASKS'!$C$5:$C$24,MATCH(H273,'STAFF &amp; TASKS'!$A$5:$A$24,0))),PayRate))</f>
        <v/>
      </c>
      <c r="X273" s="55">
        <f>IF(B273="","",IF(OR(O273="Cancelled",O273="No-Show"),"",ROUND(R273*W273*(1+Burden),2)))</f>
        <v/>
      </c>
      <c r="Y273" s="55">
        <f>IF(B273="","",IF(OR(O273="Cancelled",O273="No-Show"),"",IF(N273&lt;&gt;"",N273,ROUND(R273*SupHr*IFERROR(INDEX('PRICING'!$G$7:$G$16,MATCH(F273,'PRICING'!$A$7:$A$16,0)),1),2))))</f>
        <v/>
      </c>
      <c r="Z273" s="98">
        <f>IF(B273="","",SUMIFS('MILEAGE'!$J$5:$J$1504,'MILEAGE'!$B$5:$B$1504,A273))</f>
        <v/>
      </c>
      <c r="AA273" s="55">
        <f>IF(B273="","",ROUND(Z273*MileRate,2))</f>
        <v/>
      </c>
      <c r="AB273" s="55">
        <f>IF(B273="","",SUMIFS('REVENUE'!$J$5:$J$1504,'REVENUE'!$B$5:$B$1504,A273))</f>
        <v/>
      </c>
      <c r="AC273" s="55">
        <f>IF(L273="","",IF(OR(O273="Cancelled",O273="No-Show"),"",L273-N(X273)-N(Y273)-AA273-AB273))</f>
        <v/>
      </c>
      <c r="AD273" s="99">
        <f>IF(OR(AC273="",N(L273)=0),"",AC273/L273)</f>
        <v/>
      </c>
      <c r="AE273" s="55">
        <f>IF(OR(AC273="",N(R273)=0),"",L273/R273)</f>
        <v/>
      </c>
      <c r="AF273" s="100">
        <f>IF(OR(N(K273)=0,N(J273)+N(Q273)=0),"",K273-IF(N(J273)&gt;0,J273,Q273))</f>
        <v/>
      </c>
      <c r="AG273" s="99">
        <f>IF(B273="","",IFERROR(AVERAGEIFS('QUALITY CONTROL'!$M$5:$M$304,'QUALITY CONTROL'!$B$5:$B$304,A273),""))</f>
        <v/>
      </c>
      <c r="AH273" s="51">
        <f>IF(B273="","",DATE(YEAR(B273),MONTH(B273),1))</f>
        <v/>
      </c>
      <c r="AI273" s="49">
        <f>IF(D273="","",IFERROR(INDEX('CUSTOMERS'!$E$5:$E$404,MATCH(D273,'CUSTOMERS'!$B$5:$B$404,0)),""))</f>
        <v/>
      </c>
      <c r="AJ273" s="49">
        <f>IF(B273="","",N(C273))</f>
        <v/>
      </c>
      <c r="AK273" s="49">
        <f>IF(OR(B273="",O273="Cancelled",O273="Rescheduled"),"",B273&amp;"|"&amp;(COUNTIFS('JOBS'!$B$5:$B$1504,B273,'JOBS'!$AJ$5:$AJ$1504,"&lt;"&amp;AJ273,'JOBS'!$O$5:$O$1504,"&lt;&gt;Cancelled",'JOBS'!$O$5:$O$1504,"&lt;&gt;Rescheduled")+COUNTIFS($B$5:B273,B273,$AJ$5:AJ273,AJ273,$O$5:O273,"&lt;&gt;Cancelled",$O$5:O273,"&lt;&gt;Rescheduled")))</f>
        <v/>
      </c>
      <c r="AL273" s="49">
        <f>IF(N(U273)&lt;=0.005,"",COUNTIFS('JOBS'!$U$5:$U$1504,"&gt;0.005",'JOBS'!$B$5:$B$1504,"&lt;"&amp;B273)+COUNTIFS($U$5:U273,"&gt;0.005",$B$5:B273,B273))</f>
        <v/>
      </c>
    </row>
    <row r="274">
      <c r="A274" s="46" t="inlineStr">
        <is>
          <t>J-0270</t>
        </is>
      </c>
      <c r="B274" s="47" t="n">
        <v>46273</v>
      </c>
      <c r="C274" s="94" t="n">
        <v>0.5208333333333334</v>
      </c>
      <c r="D274" s="38" t="inlineStr">
        <is>
          <t>Lane Ivers</t>
        </is>
      </c>
      <c r="E274" s="38" t="inlineStr">
        <is>
          <t>497 Aspen Drive, Sampletown</t>
        </is>
      </c>
      <c r="F274" s="38" t="inlineStr">
        <is>
          <t>Standard Clean</t>
        </is>
      </c>
      <c r="G274" s="38" t="inlineStr">
        <is>
          <t>R-001</t>
        </is>
      </c>
      <c r="H274" s="38" t="inlineStr">
        <is>
          <t>Maria Lopez</t>
        </is>
      </c>
      <c r="I274" s="57" t="n">
        <v>1</v>
      </c>
      <c r="J274" s="95" t="n"/>
      <c r="K274" s="95" t="n">
        <v>3.99</v>
      </c>
      <c r="L274" s="48" t="n">
        <v>175</v>
      </c>
      <c r="M274" s="96" t="n">
        <v>0</v>
      </c>
      <c r="N274" s="48" t="n"/>
      <c r="O274" s="38" t="inlineStr">
        <is>
          <t>Completed</t>
        </is>
      </c>
      <c r="P274" s="38" t="inlineStr"/>
      <c r="Q274" s="97">
        <f>IF(OR(F274="",E274=""),"",IFERROR(IF(INDEX('PROPERTIES'!$F$5:$F$404,MATCH(E274,'PROPERTIES'!$B$5:$B$404,0))=0,"",ROUND((INDEX('PROPERTIES'!$F$5:$F$404,MATCH(E274,'PROPERTIES'!$B$5:$B$404,0))/INDEX('PRICING'!$C$7:$C$16,MATCH(F274,'PRICING'!$A$7:$A$16,0))+INDEX('PROPERTIES'!$G$5:$G$404,MATCH(E274,'PROPERTIES'!$B$5:$B$404,0))*INDEX('PRICING'!$D$7:$D$16,MATCH(F274,'PRICING'!$A$7:$A$16,0))/60+INDEX('PROPERTIES'!$H$5:$H$404,MATCH(E274,'PROPERTIES'!$B$5:$B$404,0))*INDEX('PRICING'!$E$7:$E$16,MATCH(F274,'PRICING'!$A$7:$A$16,0))/60+INDEX('PRICING'!$F$7:$F$16,MATCH(F274,'PRICING'!$A$7:$A$16,0))/60),2)),""))</f>
        <v/>
      </c>
      <c r="R274" s="97">
        <f>IF(B274="","",IF(N(K274)&gt;0,K274,IF(N(J274)&gt;0,J274,N(Q274))))</f>
        <v/>
      </c>
      <c r="S274" s="55">
        <f>IF(L274="","",ROUND(L274*(1+N(M274)),2))</f>
        <v/>
      </c>
      <c r="T274" s="55">
        <f>IF(B274="","",SUMIFS('REVENUE'!$C$5:$C$1504,'REVENUE'!$B$5:$B$1504,A274))</f>
        <v/>
      </c>
      <c r="U274" s="55">
        <f>IF(B274="","",IF(O274="Completed",MAX(0,N(S274)-T274),""))</f>
        <v/>
      </c>
      <c r="V274" s="49">
        <f>IF(B274="","",IF(O274&lt;&gt;"Completed",IF(T274&gt;0,"Deposit","—"),IF(U274&lt;=0.005,"Paid",IF(T274&gt;0,"Partial","Unpaid"))))</f>
        <v/>
      </c>
      <c r="W274" s="55">
        <f>IF(B274="","",IFERROR(1/(1/INDEX('STAFF &amp; TASKS'!$C$5:$C$24,MATCH(H274,'STAFF &amp; TASKS'!$A$5:$A$24,0))),PayRate))</f>
        <v/>
      </c>
      <c r="X274" s="55">
        <f>IF(B274="","",IF(OR(O274="Cancelled",O274="No-Show"),"",ROUND(R274*W274*(1+Burden),2)))</f>
        <v/>
      </c>
      <c r="Y274" s="55">
        <f>IF(B274="","",IF(OR(O274="Cancelled",O274="No-Show"),"",IF(N274&lt;&gt;"",N274,ROUND(R274*SupHr*IFERROR(INDEX('PRICING'!$G$7:$G$16,MATCH(F274,'PRICING'!$A$7:$A$16,0)),1),2))))</f>
        <v/>
      </c>
      <c r="Z274" s="98">
        <f>IF(B274="","",SUMIFS('MILEAGE'!$J$5:$J$1504,'MILEAGE'!$B$5:$B$1504,A274))</f>
        <v/>
      </c>
      <c r="AA274" s="55">
        <f>IF(B274="","",ROUND(Z274*MileRate,2))</f>
        <v/>
      </c>
      <c r="AB274" s="55">
        <f>IF(B274="","",SUMIFS('REVENUE'!$J$5:$J$1504,'REVENUE'!$B$5:$B$1504,A274))</f>
        <v/>
      </c>
      <c r="AC274" s="55">
        <f>IF(L274="","",IF(OR(O274="Cancelled",O274="No-Show"),"",L274-N(X274)-N(Y274)-AA274-AB274))</f>
        <v/>
      </c>
      <c r="AD274" s="99">
        <f>IF(OR(AC274="",N(L274)=0),"",AC274/L274)</f>
        <v/>
      </c>
      <c r="AE274" s="55">
        <f>IF(OR(AC274="",N(R274)=0),"",L274/R274)</f>
        <v/>
      </c>
      <c r="AF274" s="100">
        <f>IF(OR(N(K274)=0,N(J274)+N(Q274)=0),"",K274-IF(N(J274)&gt;0,J274,Q274))</f>
        <v/>
      </c>
      <c r="AG274" s="99">
        <f>IF(B274="","",IFERROR(AVERAGEIFS('QUALITY CONTROL'!$M$5:$M$304,'QUALITY CONTROL'!$B$5:$B$304,A274),""))</f>
        <v/>
      </c>
      <c r="AH274" s="51">
        <f>IF(B274="","",DATE(YEAR(B274),MONTH(B274),1))</f>
        <v/>
      </c>
      <c r="AI274" s="49">
        <f>IF(D274="","",IFERROR(INDEX('CUSTOMERS'!$E$5:$E$404,MATCH(D274,'CUSTOMERS'!$B$5:$B$404,0)),""))</f>
        <v/>
      </c>
      <c r="AJ274" s="49">
        <f>IF(B274="","",N(C274))</f>
        <v/>
      </c>
      <c r="AK274" s="49">
        <f>IF(OR(B274="",O274="Cancelled",O274="Rescheduled"),"",B274&amp;"|"&amp;(COUNTIFS('JOBS'!$B$5:$B$1504,B274,'JOBS'!$AJ$5:$AJ$1504,"&lt;"&amp;AJ274,'JOBS'!$O$5:$O$1504,"&lt;&gt;Cancelled",'JOBS'!$O$5:$O$1504,"&lt;&gt;Rescheduled")+COUNTIFS($B$5:B274,B274,$AJ$5:AJ274,AJ274,$O$5:O274,"&lt;&gt;Cancelled",$O$5:O274,"&lt;&gt;Rescheduled")))</f>
        <v/>
      </c>
      <c r="AL274" s="49">
        <f>IF(N(U274)&lt;=0.005,"",COUNTIFS('JOBS'!$U$5:$U$1504,"&gt;0.005",'JOBS'!$B$5:$B$1504,"&lt;"&amp;B274)+COUNTIFS($U$5:U274,"&gt;0.005",$B$5:B274,B274))</f>
        <v/>
      </c>
    </row>
    <row r="275">
      <c r="A275" s="46" t="inlineStr">
        <is>
          <t>J-0271</t>
        </is>
      </c>
      <c r="B275" s="47" t="n">
        <v>46276</v>
      </c>
      <c r="C275" s="94" t="n">
        <v>0.5833333333333334</v>
      </c>
      <c r="D275" s="38" t="inlineStr">
        <is>
          <t>Brightside Dental Studio (sample)</t>
        </is>
      </c>
      <c r="E275" s="38" t="inlineStr">
        <is>
          <t>738 Cedar Court, North Sampletown</t>
        </is>
      </c>
      <c r="F275" s="38" t="inlineStr">
        <is>
          <t>Commercial Clean</t>
        </is>
      </c>
      <c r="G275" s="38" t="inlineStr">
        <is>
          <t>R-011</t>
        </is>
      </c>
      <c r="H275" s="38" t="inlineStr">
        <is>
          <t>Kevin Osei</t>
        </is>
      </c>
      <c r="I275" s="57" t="n">
        <v>2</v>
      </c>
      <c r="J275" s="95" t="n"/>
      <c r="K275" s="95" t="n">
        <v>2.22</v>
      </c>
      <c r="L275" s="48" t="n">
        <v>100</v>
      </c>
      <c r="M275" s="96" t="n">
        <v>0</v>
      </c>
      <c r="N275" s="48" t="n"/>
      <c r="O275" s="38" t="inlineStr">
        <is>
          <t>Completed</t>
        </is>
      </c>
      <c r="P275" s="38" t="inlineStr"/>
      <c r="Q275" s="97">
        <f>IF(OR(F275="",E275=""),"",IFERROR(IF(INDEX('PROPERTIES'!$F$5:$F$404,MATCH(E275,'PROPERTIES'!$B$5:$B$404,0))=0,"",ROUND((INDEX('PROPERTIES'!$F$5:$F$404,MATCH(E275,'PROPERTIES'!$B$5:$B$404,0))/INDEX('PRICING'!$C$7:$C$16,MATCH(F275,'PRICING'!$A$7:$A$16,0))+INDEX('PROPERTIES'!$G$5:$G$404,MATCH(E275,'PROPERTIES'!$B$5:$B$404,0))*INDEX('PRICING'!$D$7:$D$16,MATCH(F275,'PRICING'!$A$7:$A$16,0))/60+INDEX('PROPERTIES'!$H$5:$H$404,MATCH(E275,'PROPERTIES'!$B$5:$B$404,0))*INDEX('PRICING'!$E$7:$E$16,MATCH(F275,'PRICING'!$A$7:$A$16,0))/60+INDEX('PRICING'!$F$7:$F$16,MATCH(F275,'PRICING'!$A$7:$A$16,0))/60),2)),""))</f>
        <v/>
      </c>
      <c r="R275" s="97">
        <f>IF(B275="","",IF(N(K275)&gt;0,K275,IF(N(J275)&gt;0,J275,N(Q275))))</f>
        <v/>
      </c>
      <c r="S275" s="55">
        <f>IF(L275="","",ROUND(L275*(1+N(M275)),2))</f>
        <v/>
      </c>
      <c r="T275" s="55">
        <f>IF(B275="","",SUMIFS('REVENUE'!$C$5:$C$1504,'REVENUE'!$B$5:$B$1504,A275))</f>
        <v/>
      </c>
      <c r="U275" s="55">
        <f>IF(B275="","",IF(O275="Completed",MAX(0,N(S275)-T275),""))</f>
        <v/>
      </c>
      <c r="V275" s="49">
        <f>IF(B275="","",IF(O275&lt;&gt;"Completed",IF(T275&gt;0,"Deposit","—"),IF(U275&lt;=0.005,"Paid",IF(T275&gt;0,"Partial","Unpaid"))))</f>
        <v/>
      </c>
      <c r="W275" s="55">
        <f>IF(B275="","",IFERROR(1/(1/INDEX('STAFF &amp; TASKS'!$C$5:$C$24,MATCH(H275,'STAFF &amp; TASKS'!$A$5:$A$24,0))),PayRate))</f>
        <v/>
      </c>
      <c r="X275" s="55">
        <f>IF(B275="","",IF(OR(O275="Cancelled",O275="No-Show"),"",ROUND(R275*W275*(1+Burden),2)))</f>
        <v/>
      </c>
      <c r="Y275" s="55">
        <f>IF(B275="","",IF(OR(O275="Cancelled",O275="No-Show"),"",IF(N275&lt;&gt;"",N275,ROUND(R275*SupHr*IFERROR(INDEX('PRICING'!$G$7:$G$16,MATCH(F275,'PRICING'!$A$7:$A$16,0)),1),2))))</f>
        <v/>
      </c>
      <c r="Z275" s="98">
        <f>IF(B275="","",SUMIFS('MILEAGE'!$J$5:$J$1504,'MILEAGE'!$B$5:$B$1504,A275))</f>
        <v/>
      </c>
      <c r="AA275" s="55">
        <f>IF(B275="","",ROUND(Z275*MileRate,2))</f>
        <v/>
      </c>
      <c r="AB275" s="55">
        <f>IF(B275="","",SUMIFS('REVENUE'!$J$5:$J$1504,'REVENUE'!$B$5:$B$1504,A275))</f>
        <v/>
      </c>
      <c r="AC275" s="55">
        <f>IF(L275="","",IF(OR(O275="Cancelled",O275="No-Show"),"",L275-N(X275)-N(Y275)-AA275-AB275))</f>
        <v/>
      </c>
      <c r="AD275" s="99">
        <f>IF(OR(AC275="",N(L275)=0),"",AC275/L275)</f>
        <v/>
      </c>
      <c r="AE275" s="55">
        <f>IF(OR(AC275="",N(R275)=0),"",L275/R275)</f>
        <v/>
      </c>
      <c r="AF275" s="100">
        <f>IF(OR(N(K275)=0,N(J275)+N(Q275)=0),"",K275-IF(N(J275)&gt;0,J275,Q275))</f>
        <v/>
      </c>
      <c r="AG275" s="99">
        <f>IF(B275="","",IFERROR(AVERAGEIFS('QUALITY CONTROL'!$M$5:$M$304,'QUALITY CONTROL'!$B$5:$B$304,A275),""))</f>
        <v/>
      </c>
      <c r="AH275" s="51">
        <f>IF(B275="","",DATE(YEAR(B275),MONTH(B275),1))</f>
        <v/>
      </c>
      <c r="AI275" s="49">
        <f>IF(D275="","",IFERROR(INDEX('CUSTOMERS'!$E$5:$E$404,MATCH(D275,'CUSTOMERS'!$B$5:$B$404,0)),""))</f>
        <v/>
      </c>
      <c r="AJ275" s="49">
        <f>IF(B275="","",N(C275))</f>
        <v/>
      </c>
      <c r="AK275" s="49">
        <f>IF(OR(B275="",O275="Cancelled",O275="Rescheduled"),"",B275&amp;"|"&amp;(COUNTIFS('JOBS'!$B$5:$B$1504,B275,'JOBS'!$AJ$5:$AJ$1504,"&lt;"&amp;AJ275,'JOBS'!$O$5:$O$1504,"&lt;&gt;Cancelled",'JOBS'!$O$5:$O$1504,"&lt;&gt;Rescheduled")+COUNTIFS($B$5:B275,B275,$AJ$5:AJ275,AJ275,$O$5:O275,"&lt;&gt;Cancelled",$O$5:O275,"&lt;&gt;Rescheduled")))</f>
        <v/>
      </c>
      <c r="AL275" s="49">
        <f>IF(N(U275)&lt;=0.005,"",COUNTIFS('JOBS'!$U$5:$U$1504,"&gt;0.005",'JOBS'!$B$5:$B$1504,"&lt;"&amp;B275)+COUNTIFS($U$5:U275,"&gt;0.005",$B$5:B275,B275))</f>
        <v/>
      </c>
    </row>
    <row r="276">
      <c r="A276" s="46" t="inlineStr">
        <is>
          <t>J-0272</t>
        </is>
      </c>
      <c r="B276" s="47" t="n">
        <v>46276</v>
      </c>
      <c r="C276" s="94" t="n">
        <v>0.5833333333333334</v>
      </c>
      <c r="D276" s="38" t="inlineStr">
        <is>
          <t>Oakview Office Suites (sample)</t>
        </is>
      </c>
      <c r="E276" s="38" t="inlineStr">
        <is>
          <t>957 Hawthorn Road, North Sampletown</t>
        </is>
      </c>
      <c r="F276" s="38" t="inlineStr">
        <is>
          <t>Commercial Clean</t>
        </is>
      </c>
      <c r="G276" s="38" t="inlineStr">
        <is>
          <t>R-012</t>
        </is>
      </c>
      <c r="H276" s="38" t="inlineStr">
        <is>
          <t>Kevin Osei</t>
        </is>
      </c>
      <c r="I276" s="57" t="n">
        <v>2</v>
      </c>
      <c r="J276" s="95" t="n"/>
      <c r="K276" s="95" t="n">
        <v>4.39</v>
      </c>
      <c r="L276" s="48" t="n">
        <v>140</v>
      </c>
      <c r="M276" s="96" t="n">
        <v>0</v>
      </c>
      <c r="N276" s="48" t="n"/>
      <c r="O276" s="38" t="inlineStr">
        <is>
          <t>Completed</t>
        </is>
      </c>
      <c r="P276" s="38" t="inlineStr"/>
      <c r="Q276" s="97">
        <f>IF(OR(F276="",E276=""),"",IFERROR(IF(INDEX('PROPERTIES'!$F$5:$F$404,MATCH(E276,'PROPERTIES'!$B$5:$B$404,0))=0,"",ROUND((INDEX('PROPERTIES'!$F$5:$F$404,MATCH(E276,'PROPERTIES'!$B$5:$B$404,0))/INDEX('PRICING'!$C$7:$C$16,MATCH(F276,'PRICING'!$A$7:$A$16,0))+INDEX('PROPERTIES'!$G$5:$G$404,MATCH(E276,'PROPERTIES'!$B$5:$B$404,0))*INDEX('PRICING'!$D$7:$D$16,MATCH(F276,'PRICING'!$A$7:$A$16,0))/60+INDEX('PROPERTIES'!$H$5:$H$404,MATCH(E276,'PROPERTIES'!$B$5:$B$404,0))*INDEX('PRICING'!$E$7:$E$16,MATCH(F276,'PRICING'!$A$7:$A$16,0))/60+INDEX('PRICING'!$F$7:$F$16,MATCH(F276,'PRICING'!$A$7:$A$16,0))/60),2)),""))</f>
        <v/>
      </c>
      <c r="R276" s="97">
        <f>IF(B276="","",IF(N(K276)&gt;0,K276,IF(N(J276)&gt;0,J276,N(Q276))))</f>
        <v/>
      </c>
      <c r="S276" s="55">
        <f>IF(L276="","",ROUND(L276*(1+N(M276)),2))</f>
        <v/>
      </c>
      <c r="T276" s="55">
        <f>IF(B276="","",SUMIFS('REVENUE'!$C$5:$C$1504,'REVENUE'!$B$5:$B$1504,A276))</f>
        <v/>
      </c>
      <c r="U276" s="55">
        <f>IF(B276="","",IF(O276="Completed",MAX(0,N(S276)-T276),""))</f>
        <v/>
      </c>
      <c r="V276" s="49">
        <f>IF(B276="","",IF(O276&lt;&gt;"Completed",IF(T276&gt;0,"Deposit","—"),IF(U276&lt;=0.005,"Paid",IF(T276&gt;0,"Partial","Unpaid"))))</f>
        <v/>
      </c>
      <c r="W276" s="55">
        <f>IF(B276="","",IFERROR(1/(1/INDEX('STAFF &amp; TASKS'!$C$5:$C$24,MATCH(H276,'STAFF &amp; TASKS'!$A$5:$A$24,0))),PayRate))</f>
        <v/>
      </c>
      <c r="X276" s="55">
        <f>IF(B276="","",IF(OR(O276="Cancelled",O276="No-Show"),"",ROUND(R276*W276*(1+Burden),2)))</f>
        <v/>
      </c>
      <c r="Y276" s="55">
        <f>IF(B276="","",IF(OR(O276="Cancelled",O276="No-Show"),"",IF(N276&lt;&gt;"",N276,ROUND(R276*SupHr*IFERROR(INDEX('PRICING'!$G$7:$G$16,MATCH(F276,'PRICING'!$A$7:$A$16,0)),1),2))))</f>
        <v/>
      </c>
      <c r="Z276" s="98">
        <f>IF(B276="","",SUMIFS('MILEAGE'!$J$5:$J$1504,'MILEAGE'!$B$5:$B$1504,A276))</f>
        <v/>
      </c>
      <c r="AA276" s="55">
        <f>IF(B276="","",ROUND(Z276*MileRate,2))</f>
        <v/>
      </c>
      <c r="AB276" s="55">
        <f>IF(B276="","",SUMIFS('REVENUE'!$J$5:$J$1504,'REVENUE'!$B$5:$B$1504,A276))</f>
        <v/>
      </c>
      <c r="AC276" s="55">
        <f>IF(L276="","",IF(OR(O276="Cancelled",O276="No-Show"),"",L276-N(X276)-N(Y276)-AA276-AB276))</f>
        <v/>
      </c>
      <c r="AD276" s="99">
        <f>IF(OR(AC276="",N(L276)=0),"",AC276/L276)</f>
        <v/>
      </c>
      <c r="AE276" s="55">
        <f>IF(OR(AC276="",N(R276)=0),"",L276/R276)</f>
        <v/>
      </c>
      <c r="AF276" s="100">
        <f>IF(OR(N(K276)=0,N(J276)+N(Q276)=0),"",K276-IF(N(J276)&gt;0,J276,Q276))</f>
        <v/>
      </c>
      <c r="AG276" s="99">
        <f>IF(B276="","",IFERROR(AVERAGEIFS('QUALITY CONTROL'!$M$5:$M$304,'QUALITY CONTROL'!$B$5:$B$304,A276),""))</f>
        <v/>
      </c>
      <c r="AH276" s="51">
        <f>IF(B276="","",DATE(YEAR(B276),MONTH(B276),1))</f>
        <v/>
      </c>
      <c r="AI276" s="49">
        <f>IF(D276="","",IFERROR(INDEX('CUSTOMERS'!$E$5:$E$404,MATCH(D276,'CUSTOMERS'!$B$5:$B$404,0)),""))</f>
        <v/>
      </c>
      <c r="AJ276" s="49">
        <f>IF(B276="","",N(C276))</f>
        <v/>
      </c>
      <c r="AK276" s="49">
        <f>IF(OR(B276="",O276="Cancelled",O276="Rescheduled"),"",B276&amp;"|"&amp;(COUNTIFS('JOBS'!$B$5:$B$1504,B276,'JOBS'!$AJ$5:$AJ$1504,"&lt;"&amp;AJ276,'JOBS'!$O$5:$O$1504,"&lt;&gt;Cancelled",'JOBS'!$O$5:$O$1504,"&lt;&gt;Rescheduled")+COUNTIFS($B$5:B276,B276,$AJ$5:AJ276,AJ276,$O$5:O276,"&lt;&gt;Cancelled",$O$5:O276,"&lt;&gt;Rescheduled")))</f>
        <v/>
      </c>
      <c r="AL276" s="49">
        <f>IF(N(U276)&lt;=0.005,"",COUNTIFS('JOBS'!$U$5:$U$1504,"&gt;0.005",'JOBS'!$B$5:$B$1504,"&lt;"&amp;B276)+COUNTIFS($U$5:U276,"&gt;0.005",$B$5:B276,B276))</f>
        <v/>
      </c>
    </row>
    <row r="277">
      <c r="A277" s="46" t="inlineStr">
        <is>
          <t>J-0273</t>
        </is>
      </c>
      <c r="B277" s="47" t="n">
        <v>46277</v>
      </c>
      <c r="C277" s="94" t="n">
        <v>0.4166666666666667</v>
      </c>
      <c r="D277" s="38" t="inlineStr">
        <is>
          <t>Parker Lockhart</t>
        </is>
      </c>
      <c r="E277" s="38" t="inlineStr">
        <is>
          <t>412 Linden Place, Sampletown</t>
        </is>
      </c>
      <c r="F277" s="38" t="inlineStr">
        <is>
          <t>Airbnb Turnover</t>
        </is>
      </c>
      <c r="G277" s="38" t="n"/>
      <c r="H277" s="38" t="inlineStr">
        <is>
          <t>Kevin Osei</t>
        </is>
      </c>
      <c r="I277" s="57" t="n">
        <v>1</v>
      </c>
      <c r="J277" s="95" t="n"/>
      <c r="K277" s="95" t="n">
        <v>2.46</v>
      </c>
      <c r="L277" s="48" t="n">
        <v>150</v>
      </c>
      <c r="M277" s="96" t="n">
        <v>0</v>
      </c>
      <c r="N277" s="48" t="n"/>
      <c r="O277" s="38" t="inlineStr">
        <is>
          <t>Completed</t>
        </is>
      </c>
      <c r="P277" s="38" t="inlineStr">
        <is>
          <t>Includes laundry</t>
        </is>
      </c>
      <c r="Q277" s="97">
        <f>IF(OR(F277="",E277=""),"",IFERROR(IF(INDEX('PROPERTIES'!$F$5:$F$404,MATCH(E277,'PROPERTIES'!$B$5:$B$404,0))=0,"",ROUND((INDEX('PROPERTIES'!$F$5:$F$404,MATCH(E277,'PROPERTIES'!$B$5:$B$404,0))/INDEX('PRICING'!$C$7:$C$16,MATCH(F277,'PRICING'!$A$7:$A$16,0))+INDEX('PROPERTIES'!$G$5:$G$404,MATCH(E277,'PROPERTIES'!$B$5:$B$404,0))*INDEX('PRICING'!$D$7:$D$16,MATCH(F277,'PRICING'!$A$7:$A$16,0))/60+INDEX('PROPERTIES'!$H$5:$H$404,MATCH(E277,'PROPERTIES'!$B$5:$B$404,0))*INDEX('PRICING'!$E$7:$E$16,MATCH(F277,'PRICING'!$A$7:$A$16,0))/60+INDEX('PRICING'!$F$7:$F$16,MATCH(F277,'PRICING'!$A$7:$A$16,0))/60),2)),""))</f>
        <v/>
      </c>
      <c r="R277" s="97">
        <f>IF(B277="","",IF(N(K277)&gt;0,K277,IF(N(J277)&gt;0,J277,N(Q277))))</f>
        <v/>
      </c>
      <c r="S277" s="55">
        <f>IF(L277="","",ROUND(L277*(1+N(M277)),2))</f>
        <v/>
      </c>
      <c r="T277" s="55">
        <f>IF(B277="","",SUMIFS('REVENUE'!$C$5:$C$1504,'REVENUE'!$B$5:$B$1504,A277))</f>
        <v/>
      </c>
      <c r="U277" s="55">
        <f>IF(B277="","",IF(O277="Completed",MAX(0,N(S277)-T277),""))</f>
        <v/>
      </c>
      <c r="V277" s="49">
        <f>IF(B277="","",IF(O277&lt;&gt;"Completed",IF(T277&gt;0,"Deposit","—"),IF(U277&lt;=0.005,"Paid",IF(T277&gt;0,"Partial","Unpaid"))))</f>
        <v/>
      </c>
      <c r="W277" s="55">
        <f>IF(B277="","",IFERROR(1/(1/INDEX('STAFF &amp; TASKS'!$C$5:$C$24,MATCH(H277,'STAFF &amp; TASKS'!$A$5:$A$24,0))),PayRate))</f>
        <v/>
      </c>
      <c r="X277" s="55">
        <f>IF(B277="","",IF(OR(O277="Cancelled",O277="No-Show"),"",ROUND(R277*W277*(1+Burden),2)))</f>
        <v/>
      </c>
      <c r="Y277" s="55">
        <f>IF(B277="","",IF(OR(O277="Cancelled",O277="No-Show"),"",IF(N277&lt;&gt;"",N277,ROUND(R277*SupHr*IFERROR(INDEX('PRICING'!$G$7:$G$16,MATCH(F277,'PRICING'!$A$7:$A$16,0)),1),2))))</f>
        <v/>
      </c>
      <c r="Z277" s="98">
        <f>IF(B277="","",SUMIFS('MILEAGE'!$J$5:$J$1504,'MILEAGE'!$B$5:$B$1504,A277))</f>
        <v/>
      </c>
      <c r="AA277" s="55">
        <f>IF(B277="","",ROUND(Z277*MileRate,2))</f>
        <v/>
      </c>
      <c r="AB277" s="55">
        <f>IF(B277="","",SUMIFS('REVENUE'!$J$5:$J$1504,'REVENUE'!$B$5:$B$1504,A277))</f>
        <v/>
      </c>
      <c r="AC277" s="55">
        <f>IF(L277="","",IF(OR(O277="Cancelled",O277="No-Show"),"",L277-N(X277)-N(Y277)-AA277-AB277))</f>
        <v/>
      </c>
      <c r="AD277" s="99">
        <f>IF(OR(AC277="",N(L277)=0),"",AC277/L277)</f>
        <v/>
      </c>
      <c r="AE277" s="55">
        <f>IF(OR(AC277="",N(R277)=0),"",L277/R277)</f>
        <v/>
      </c>
      <c r="AF277" s="100">
        <f>IF(OR(N(K277)=0,N(J277)+N(Q277)=0),"",K277-IF(N(J277)&gt;0,J277,Q277))</f>
        <v/>
      </c>
      <c r="AG277" s="99">
        <f>IF(B277="","",IFERROR(AVERAGEIFS('QUALITY CONTROL'!$M$5:$M$304,'QUALITY CONTROL'!$B$5:$B$304,A277),""))</f>
        <v/>
      </c>
      <c r="AH277" s="51">
        <f>IF(B277="","",DATE(YEAR(B277),MONTH(B277),1))</f>
        <v/>
      </c>
      <c r="AI277" s="49">
        <f>IF(D277="","",IFERROR(INDEX('CUSTOMERS'!$E$5:$E$404,MATCH(D277,'CUSTOMERS'!$B$5:$B$404,0)),""))</f>
        <v/>
      </c>
      <c r="AJ277" s="49">
        <f>IF(B277="","",N(C277))</f>
        <v/>
      </c>
      <c r="AK277" s="49">
        <f>IF(OR(B277="",O277="Cancelled",O277="Rescheduled"),"",B277&amp;"|"&amp;(COUNTIFS('JOBS'!$B$5:$B$1504,B277,'JOBS'!$AJ$5:$AJ$1504,"&lt;"&amp;AJ277,'JOBS'!$O$5:$O$1504,"&lt;&gt;Cancelled",'JOBS'!$O$5:$O$1504,"&lt;&gt;Rescheduled")+COUNTIFS($B$5:B277,B277,$AJ$5:AJ277,AJ277,$O$5:O277,"&lt;&gt;Cancelled",$O$5:O277,"&lt;&gt;Rescheduled")))</f>
        <v/>
      </c>
      <c r="AL277" s="49">
        <f>IF(N(U277)&lt;=0.005,"",COUNTIFS('JOBS'!$U$5:$U$1504,"&gt;0.005",'JOBS'!$B$5:$B$1504,"&lt;"&amp;B277)+COUNTIFS($U$5:U277,"&gt;0.005",$B$5:B277,B277))</f>
        <v/>
      </c>
    </row>
    <row r="278">
      <c r="A278" s="46" t="inlineStr">
        <is>
          <t>J-0274</t>
        </is>
      </c>
      <c r="B278" s="47" t="n">
        <v>46277</v>
      </c>
      <c r="C278" s="94" t="n">
        <v>0.5833333333333334</v>
      </c>
      <c r="D278" s="38" t="inlineStr">
        <is>
          <t>Finley Quigley</t>
        </is>
      </c>
      <c r="E278" s="38" t="inlineStr">
        <is>
          <t>21 Maple Avenue, North Sampletown</t>
        </is>
      </c>
      <c r="F278" s="38" t="inlineStr">
        <is>
          <t>Standard Clean</t>
        </is>
      </c>
      <c r="G278" s="38" t="inlineStr">
        <is>
          <t>R-007</t>
        </is>
      </c>
      <c r="H278" s="38" t="inlineStr">
        <is>
          <t>Maria Lopez</t>
        </is>
      </c>
      <c r="I278" s="57" t="n">
        <v>1</v>
      </c>
      <c r="J278" s="95" t="n"/>
      <c r="K278" s="95" t="n">
        <v>2.31</v>
      </c>
      <c r="L278" s="48" t="n">
        <v>110</v>
      </c>
      <c r="M278" s="96" t="n">
        <v>0</v>
      </c>
      <c r="N278" s="48" t="n"/>
      <c r="O278" s="38" t="inlineStr">
        <is>
          <t>Completed</t>
        </is>
      </c>
      <c r="P278" s="38" t="inlineStr"/>
      <c r="Q278" s="97">
        <f>IF(OR(F278="",E278=""),"",IFERROR(IF(INDEX('PROPERTIES'!$F$5:$F$404,MATCH(E278,'PROPERTIES'!$B$5:$B$404,0))=0,"",ROUND((INDEX('PROPERTIES'!$F$5:$F$404,MATCH(E278,'PROPERTIES'!$B$5:$B$404,0))/INDEX('PRICING'!$C$7:$C$16,MATCH(F278,'PRICING'!$A$7:$A$16,0))+INDEX('PROPERTIES'!$G$5:$G$404,MATCH(E278,'PROPERTIES'!$B$5:$B$404,0))*INDEX('PRICING'!$D$7:$D$16,MATCH(F278,'PRICING'!$A$7:$A$16,0))/60+INDEX('PROPERTIES'!$H$5:$H$404,MATCH(E278,'PROPERTIES'!$B$5:$B$404,0))*INDEX('PRICING'!$E$7:$E$16,MATCH(F278,'PRICING'!$A$7:$A$16,0))/60+INDEX('PRICING'!$F$7:$F$16,MATCH(F278,'PRICING'!$A$7:$A$16,0))/60),2)),""))</f>
        <v/>
      </c>
      <c r="R278" s="97">
        <f>IF(B278="","",IF(N(K278)&gt;0,K278,IF(N(J278)&gt;0,J278,N(Q278))))</f>
        <v/>
      </c>
      <c r="S278" s="55">
        <f>IF(L278="","",ROUND(L278*(1+N(M278)),2))</f>
        <v/>
      </c>
      <c r="T278" s="55">
        <f>IF(B278="","",SUMIFS('REVENUE'!$C$5:$C$1504,'REVENUE'!$B$5:$B$1504,A278))</f>
        <v/>
      </c>
      <c r="U278" s="55">
        <f>IF(B278="","",IF(O278="Completed",MAX(0,N(S278)-T278),""))</f>
        <v/>
      </c>
      <c r="V278" s="49">
        <f>IF(B278="","",IF(O278&lt;&gt;"Completed",IF(T278&gt;0,"Deposit","—"),IF(U278&lt;=0.005,"Paid",IF(T278&gt;0,"Partial","Unpaid"))))</f>
        <v/>
      </c>
      <c r="W278" s="55">
        <f>IF(B278="","",IFERROR(1/(1/INDEX('STAFF &amp; TASKS'!$C$5:$C$24,MATCH(H278,'STAFF &amp; TASKS'!$A$5:$A$24,0))),PayRate))</f>
        <v/>
      </c>
      <c r="X278" s="55">
        <f>IF(B278="","",IF(OR(O278="Cancelled",O278="No-Show"),"",ROUND(R278*W278*(1+Burden),2)))</f>
        <v/>
      </c>
      <c r="Y278" s="55">
        <f>IF(B278="","",IF(OR(O278="Cancelled",O278="No-Show"),"",IF(N278&lt;&gt;"",N278,ROUND(R278*SupHr*IFERROR(INDEX('PRICING'!$G$7:$G$16,MATCH(F278,'PRICING'!$A$7:$A$16,0)),1),2))))</f>
        <v/>
      </c>
      <c r="Z278" s="98">
        <f>IF(B278="","",SUMIFS('MILEAGE'!$J$5:$J$1504,'MILEAGE'!$B$5:$B$1504,A278))</f>
        <v/>
      </c>
      <c r="AA278" s="55">
        <f>IF(B278="","",ROUND(Z278*MileRate,2))</f>
        <v/>
      </c>
      <c r="AB278" s="55">
        <f>IF(B278="","",SUMIFS('REVENUE'!$J$5:$J$1504,'REVENUE'!$B$5:$B$1504,A278))</f>
        <v/>
      </c>
      <c r="AC278" s="55">
        <f>IF(L278="","",IF(OR(O278="Cancelled",O278="No-Show"),"",L278-N(X278)-N(Y278)-AA278-AB278))</f>
        <v/>
      </c>
      <c r="AD278" s="99">
        <f>IF(OR(AC278="",N(L278)=0),"",AC278/L278)</f>
        <v/>
      </c>
      <c r="AE278" s="55">
        <f>IF(OR(AC278="",N(R278)=0),"",L278/R278)</f>
        <v/>
      </c>
      <c r="AF278" s="100">
        <f>IF(OR(N(K278)=0,N(J278)+N(Q278)=0),"",K278-IF(N(J278)&gt;0,J278,Q278))</f>
        <v/>
      </c>
      <c r="AG278" s="99">
        <f>IF(B278="","",IFERROR(AVERAGEIFS('QUALITY CONTROL'!$M$5:$M$304,'QUALITY CONTROL'!$B$5:$B$304,A278),""))</f>
        <v/>
      </c>
      <c r="AH278" s="51">
        <f>IF(B278="","",DATE(YEAR(B278),MONTH(B278),1))</f>
        <v/>
      </c>
      <c r="AI278" s="49">
        <f>IF(D278="","",IFERROR(INDEX('CUSTOMERS'!$E$5:$E$404,MATCH(D278,'CUSTOMERS'!$B$5:$B$404,0)),""))</f>
        <v/>
      </c>
      <c r="AJ278" s="49">
        <f>IF(B278="","",N(C278))</f>
        <v/>
      </c>
      <c r="AK278" s="49">
        <f>IF(OR(B278="",O278="Cancelled",O278="Rescheduled"),"",B278&amp;"|"&amp;(COUNTIFS('JOBS'!$B$5:$B$1504,B278,'JOBS'!$AJ$5:$AJ$1504,"&lt;"&amp;AJ278,'JOBS'!$O$5:$O$1504,"&lt;&gt;Cancelled",'JOBS'!$O$5:$O$1504,"&lt;&gt;Rescheduled")+COUNTIFS($B$5:B278,B278,$AJ$5:AJ278,AJ278,$O$5:O278,"&lt;&gt;Cancelled",$O$5:O278,"&lt;&gt;Rescheduled")))</f>
        <v/>
      </c>
      <c r="AL278" s="49">
        <f>IF(N(U278)&lt;=0.005,"",COUNTIFS('JOBS'!$U$5:$U$1504,"&gt;0.005",'JOBS'!$B$5:$B$1504,"&lt;"&amp;B278)+COUNTIFS($U$5:U278,"&gt;0.005",$B$5:B278,B278))</f>
        <v/>
      </c>
    </row>
    <row r="279">
      <c r="A279" s="46" t="inlineStr">
        <is>
          <t>J-0275</t>
        </is>
      </c>
      <c r="B279" s="47" t="n">
        <v>46277</v>
      </c>
      <c r="C279" s="94" t="n">
        <v>0.625</v>
      </c>
      <c r="D279" s="38" t="inlineStr">
        <is>
          <t>Harbor Yoga Loft (sample)</t>
        </is>
      </c>
      <c r="E279" s="38" t="inlineStr">
        <is>
          <t>338 Cedar Court, Sampletown</t>
        </is>
      </c>
      <c r="F279" s="38" t="inlineStr">
        <is>
          <t>Commercial Clean</t>
        </is>
      </c>
      <c r="G279" s="38" t="n"/>
      <c r="H279" s="38" t="inlineStr">
        <is>
          <t>Dana Whitfield</t>
        </is>
      </c>
      <c r="I279" s="57" t="n">
        <v>2</v>
      </c>
      <c r="J279" s="95" t="n"/>
      <c r="K279" s="95" t="n">
        <v>1.54</v>
      </c>
      <c r="L279" s="48" t="n">
        <v>160</v>
      </c>
      <c r="M279" s="96" t="n">
        <v>0</v>
      </c>
      <c r="N279" s="48" t="n"/>
      <c r="O279" s="38" t="inlineStr">
        <is>
          <t>Completed</t>
        </is>
      </c>
      <c r="P279" s="38" t="inlineStr"/>
      <c r="Q279" s="97">
        <f>IF(OR(F279="",E279=""),"",IFERROR(IF(INDEX('PROPERTIES'!$F$5:$F$404,MATCH(E279,'PROPERTIES'!$B$5:$B$404,0))=0,"",ROUND((INDEX('PROPERTIES'!$F$5:$F$404,MATCH(E279,'PROPERTIES'!$B$5:$B$404,0))/INDEX('PRICING'!$C$7:$C$16,MATCH(F279,'PRICING'!$A$7:$A$16,0))+INDEX('PROPERTIES'!$G$5:$G$404,MATCH(E279,'PROPERTIES'!$B$5:$B$404,0))*INDEX('PRICING'!$D$7:$D$16,MATCH(F279,'PRICING'!$A$7:$A$16,0))/60+INDEX('PROPERTIES'!$H$5:$H$404,MATCH(E279,'PROPERTIES'!$B$5:$B$404,0))*INDEX('PRICING'!$E$7:$E$16,MATCH(F279,'PRICING'!$A$7:$A$16,0))/60+INDEX('PRICING'!$F$7:$F$16,MATCH(F279,'PRICING'!$A$7:$A$16,0))/60),2)),""))</f>
        <v/>
      </c>
      <c r="R279" s="97">
        <f>IF(B279="","",IF(N(K279)&gt;0,K279,IF(N(J279)&gt;0,J279,N(Q279))))</f>
        <v/>
      </c>
      <c r="S279" s="55">
        <f>IF(L279="","",ROUND(L279*(1+N(M279)),2))</f>
        <v/>
      </c>
      <c r="T279" s="55">
        <f>IF(B279="","",SUMIFS('REVENUE'!$C$5:$C$1504,'REVENUE'!$B$5:$B$1504,A279))</f>
        <v/>
      </c>
      <c r="U279" s="55">
        <f>IF(B279="","",IF(O279="Completed",MAX(0,N(S279)-T279),""))</f>
        <v/>
      </c>
      <c r="V279" s="49">
        <f>IF(B279="","",IF(O279&lt;&gt;"Completed",IF(T279&gt;0,"Deposit","—"),IF(U279&lt;=0.005,"Paid",IF(T279&gt;0,"Partial","Unpaid"))))</f>
        <v/>
      </c>
      <c r="W279" s="55">
        <f>IF(B279="","",IFERROR(1/(1/INDEX('STAFF &amp; TASKS'!$C$5:$C$24,MATCH(H279,'STAFF &amp; TASKS'!$A$5:$A$24,0))),PayRate))</f>
        <v/>
      </c>
      <c r="X279" s="55">
        <f>IF(B279="","",IF(OR(O279="Cancelled",O279="No-Show"),"",ROUND(R279*W279*(1+Burden),2)))</f>
        <v/>
      </c>
      <c r="Y279" s="55">
        <f>IF(B279="","",IF(OR(O279="Cancelled",O279="No-Show"),"",IF(N279&lt;&gt;"",N279,ROUND(R279*SupHr*IFERROR(INDEX('PRICING'!$G$7:$G$16,MATCH(F279,'PRICING'!$A$7:$A$16,0)),1),2))))</f>
        <v/>
      </c>
      <c r="Z279" s="98">
        <f>IF(B279="","",SUMIFS('MILEAGE'!$J$5:$J$1504,'MILEAGE'!$B$5:$B$1504,A279))</f>
        <v/>
      </c>
      <c r="AA279" s="55">
        <f>IF(B279="","",ROUND(Z279*MileRate,2))</f>
        <v/>
      </c>
      <c r="AB279" s="55">
        <f>IF(B279="","",SUMIFS('REVENUE'!$J$5:$J$1504,'REVENUE'!$B$5:$B$1504,A279))</f>
        <v/>
      </c>
      <c r="AC279" s="55">
        <f>IF(L279="","",IF(OR(O279="Cancelled",O279="No-Show"),"",L279-N(X279)-N(Y279)-AA279-AB279))</f>
        <v/>
      </c>
      <c r="AD279" s="99">
        <f>IF(OR(AC279="",N(L279)=0),"",AC279/L279)</f>
        <v/>
      </c>
      <c r="AE279" s="55">
        <f>IF(OR(AC279="",N(R279)=0),"",L279/R279)</f>
        <v/>
      </c>
      <c r="AF279" s="100">
        <f>IF(OR(N(K279)=0,N(J279)+N(Q279)=0),"",K279-IF(N(J279)&gt;0,J279,Q279))</f>
        <v/>
      </c>
      <c r="AG279" s="99">
        <f>IF(B279="","",IFERROR(AVERAGEIFS('QUALITY CONTROL'!$M$5:$M$304,'QUALITY CONTROL'!$B$5:$B$304,A279),""))</f>
        <v/>
      </c>
      <c r="AH279" s="51">
        <f>IF(B279="","",DATE(YEAR(B279),MONTH(B279),1))</f>
        <v/>
      </c>
      <c r="AI279" s="49">
        <f>IF(D279="","",IFERROR(INDEX('CUSTOMERS'!$E$5:$E$404,MATCH(D279,'CUSTOMERS'!$B$5:$B$404,0)),""))</f>
        <v/>
      </c>
      <c r="AJ279" s="49">
        <f>IF(B279="","",N(C279))</f>
        <v/>
      </c>
      <c r="AK279" s="49">
        <f>IF(OR(B279="",O279="Cancelled",O279="Rescheduled"),"",B279&amp;"|"&amp;(COUNTIFS('JOBS'!$B$5:$B$1504,B279,'JOBS'!$AJ$5:$AJ$1504,"&lt;"&amp;AJ279,'JOBS'!$O$5:$O$1504,"&lt;&gt;Cancelled",'JOBS'!$O$5:$O$1504,"&lt;&gt;Rescheduled")+COUNTIFS($B$5:B279,B279,$AJ$5:AJ279,AJ279,$O$5:O279,"&lt;&gt;Cancelled",$O$5:O279,"&lt;&gt;Rescheduled")))</f>
        <v/>
      </c>
      <c r="AL279" s="49">
        <f>IF(N(U279)&lt;=0.005,"",COUNTIFS('JOBS'!$U$5:$U$1504,"&gt;0.005",'JOBS'!$B$5:$B$1504,"&lt;"&amp;B279)+COUNTIFS($U$5:U279,"&gt;0.005",$B$5:B279,B279))</f>
        <v/>
      </c>
    </row>
    <row r="280">
      <c r="A280" s="46" t="inlineStr">
        <is>
          <t>J-0276</t>
        </is>
      </c>
      <c r="B280" s="47" t="n">
        <v>46279</v>
      </c>
      <c r="C280" s="94" t="n">
        <v>0.625</v>
      </c>
      <c r="D280" s="38" t="inlineStr">
        <is>
          <t>Taylor Quigley</t>
        </is>
      </c>
      <c r="E280" s="38" t="inlineStr">
        <is>
          <t>667 Willow Way, Sampletown</t>
        </is>
      </c>
      <c r="F280" s="38" t="inlineStr">
        <is>
          <t>Standard Clean</t>
        </is>
      </c>
      <c r="G280" s="38" t="inlineStr">
        <is>
          <t>R-009</t>
        </is>
      </c>
      <c r="H280" s="38" t="inlineStr">
        <is>
          <t>Maria Lopez</t>
        </is>
      </c>
      <c r="I280" s="57" t="n">
        <v>1</v>
      </c>
      <c r="J280" s="95" t="n"/>
      <c r="K280" s="95" t="n">
        <v>2.83</v>
      </c>
      <c r="L280" s="48" t="n">
        <v>145</v>
      </c>
      <c r="M280" s="96" t="n">
        <v>0</v>
      </c>
      <c r="N280" s="48" t="n"/>
      <c r="O280" s="38" t="inlineStr">
        <is>
          <t>Completed</t>
        </is>
      </c>
      <c r="P280" s="38" t="inlineStr"/>
      <c r="Q280" s="97">
        <f>IF(OR(F280="",E280=""),"",IFERROR(IF(INDEX('PROPERTIES'!$F$5:$F$404,MATCH(E280,'PROPERTIES'!$B$5:$B$404,0))=0,"",ROUND((INDEX('PROPERTIES'!$F$5:$F$404,MATCH(E280,'PROPERTIES'!$B$5:$B$404,0))/INDEX('PRICING'!$C$7:$C$16,MATCH(F280,'PRICING'!$A$7:$A$16,0))+INDEX('PROPERTIES'!$G$5:$G$404,MATCH(E280,'PROPERTIES'!$B$5:$B$404,0))*INDEX('PRICING'!$D$7:$D$16,MATCH(F280,'PRICING'!$A$7:$A$16,0))/60+INDEX('PROPERTIES'!$H$5:$H$404,MATCH(E280,'PROPERTIES'!$B$5:$B$404,0))*INDEX('PRICING'!$E$7:$E$16,MATCH(F280,'PRICING'!$A$7:$A$16,0))/60+INDEX('PRICING'!$F$7:$F$16,MATCH(F280,'PRICING'!$A$7:$A$16,0))/60),2)),""))</f>
        <v/>
      </c>
      <c r="R280" s="97">
        <f>IF(B280="","",IF(N(K280)&gt;0,K280,IF(N(J280)&gt;0,J280,N(Q280))))</f>
        <v/>
      </c>
      <c r="S280" s="55">
        <f>IF(L280="","",ROUND(L280*(1+N(M280)),2))</f>
        <v/>
      </c>
      <c r="T280" s="55">
        <f>IF(B280="","",SUMIFS('REVENUE'!$C$5:$C$1504,'REVENUE'!$B$5:$B$1504,A280))</f>
        <v/>
      </c>
      <c r="U280" s="55">
        <f>IF(B280="","",IF(O280="Completed",MAX(0,N(S280)-T280),""))</f>
        <v/>
      </c>
      <c r="V280" s="49">
        <f>IF(B280="","",IF(O280&lt;&gt;"Completed",IF(T280&gt;0,"Deposit","—"),IF(U280&lt;=0.005,"Paid",IF(T280&gt;0,"Partial","Unpaid"))))</f>
        <v/>
      </c>
      <c r="W280" s="55">
        <f>IF(B280="","",IFERROR(1/(1/INDEX('STAFF &amp; TASKS'!$C$5:$C$24,MATCH(H280,'STAFF &amp; TASKS'!$A$5:$A$24,0))),PayRate))</f>
        <v/>
      </c>
      <c r="X280" s="55">
        <f>IF(B280="","",IF(OR(O280="Cancelled",O280="No-Show"),"",ROUND(R280*W280*(1+Burden),2)))</f>
        <v/>
      </c>
      <c r="Y280" s="55">
        <f>IF(B280="","",IF(OR(O280="Cancelled",O280="No-Show"),"",IF(N280&lt;&gt;"",N280,ROUND(R280*SupHr*IFERROR(INDEX('PRICING'!$G$7:$G$16,MATCH(F280,'PRICING'!$A$7:$A$16,0)),1),2))))</f>
        <v/>
      </c>
      <c r="Z280" s="98">
        <f>IF(B280="","",SUMIFS('MILEAGE'!$J$5:$J$1504,'MILEAGE'!$B$5:$B$1504,A280))</f>
        <v/>
      </c>
      <c r="AA280" s="55">
        <f>IF(B280="","",ROUND(Z280*MileRate,2))</f>
        <v/>
      </c>
      <c r="AB280" s="55">
        <f>IF(B280="","",SUMIFS('REVENUE'!$J$5:$J$1504,'REVENUE'!$B$5:$B$1504,A280))</f>
        <v/>
      </c>
      <c r="AC280" s="55">
        <f>IF(L280="","",IF(OR(O280="Cancelled",O280="No-Show"),"",L280-N(X280)-N(Y280)-AA280-AB280))</f>
        <v/>
      </c>
      <c r="AD280" s="99">
        <f>IF(OR(AC280="",N(L280)=0),"",AC280/L280)</f>
        <v/>
      </c>
      <c r="AE280" s="55">
        <f>IF(OR(AC280="",N(R280)=0),"",L280/R280)</f>
        <v/>
      </c>
      <c r="AF280" s="100">
        <f>IF(OR(N(K280)=0,N(J280)+N(Q280)=0),"",K280-IF(N(J280)&gt;0,J280,Q280))</f>
        <v/>
      </c>
      <c r="AG280" s="99">
        <f>IF(B280="","",IFERROR(AVERAGEIFS('QUALITY CONTROL'!$M$5:$M$304,'QUALITY CONTROL'!$B$5:$B$304,A280),""))</f>
        <v/>
      </c>
      <c r="AH280" s="51">
        <f>IF(B280="","",DATE(YEAR(B280),MONTH(B280),1))</f>
        <v/>
      </c>
      <c r="AI280" s="49">
        <f>IF(D280="","",IFERROR(INDEX('CUSTOMERS'!$E$5:$E$404,MATCH(D280,'CUSTOMERS'!$B$5:$B$404,0)),""))</f>
        <v/>
      </c>
      <c r="AJ280" s="49">
        <f>IF(B280="","",N(C280))</f>
        <v/>
      </c>
      <c r="AK280" s="49">
        <f>IF(OR(B280="",O280="Cancelled",O280="Rescheduled"),"",B280&amp;"|"&amp;(COUNTIFS('JOBS'!$B$5:$B$1504,B280,'JOBS'!$AJ$5:$AJ$1504,"&lt;"&amp;AJ280,'JOBS'!$O$5:$O$1504,"&lt;&gt;Cancelled",'JOBS'!$O$5:$O$1504,"&lt;&gt;Rescheduled")+COUNTIFS($B$5:B280,B280,$AJ$5:AJ280,AJ280,$O$5:O280,"&lt;&gt;Cancelled",$O$5:O280,"&lt;&gt;Rescheduled")))</f>
        <v/>
      </c>
      <c r="AL280" s="49">
        <f>IF(N(U280)&lt;=0.005,"",COUNTIFS('JOBS'!$U$5:$U$1504,"&gt;0.005",'JOBS'!$B$5:$B$1504,"&lt;"&amp;B280)+COUNTIFS($U$5:U280,"&gt;0.005",$B$5:B280,B280))</f>
        <v/>
      </c>
    </row>
    <row r="281">
      <c r="A281" s="46" t="inlineStr">
        <is>
          <t>J-0277</t>
        </is>
      </c>
      <c r="B281" s="47" t="n">
        <v>46279</v>
      </c>
      <c r="C281" s="94" t="n">
        <v>0.625</v>
      </c>
      <c r="D281" s="38" t="inlineStr">
        <is>
          <t>Kendall Sutton</t>
        </is>
      </c>
      <c r="E281" s="38" t="inlineStr">
        <is>
          <t>370 Cedar Court, Lakeview (fictional)</t>
        </is>
      </c>
      <c r="F281" s="38" t="inlineStr">
        <is>
          <t>Standard Clean</t>
        </is>
      </c>
      <c r="G281" s="38" t="n"/>
      <c r="H281" s="38" t="inlineStr">
        <is>
          <t>Maria Lopez</t>
        </is>
      </c>
      <c r="I281" s="57" t="n">
        <v>1</v>
      </c>
      <c r="J281" s="95" t="n"/>
      <c r="K281" s="95" t="n">
        <v>5.5</v>
      </c>
      <c r="L281" s="48" t="n">
        <v>300</v>
      </c>
      <c r="M281" s="96" t="n">
        <v>0</v>
      </c>
      <c r="N281" s="48" t="n"/>
      <c r="O281" s="38" t="inlineStr">
        <is>
          <t>Completed</t>
        </is>
      </c>
      <c r="P281" s="38" t="inlineStr"/>
      <c r="Q281" s="97">
        <f>IF(OR(F281="",E281=""),"",IFERROR(IF(INDEX('PROPERTIES'!$F$5:$F$404,MATCH(E281,'PROPERTIES'!$B$5:$B$404,0))=0,"",ROUND((INDEX('PROPERTIES'!$F$5:$F$404,MATCH(E281,'PROPERTIES'!$B$5:$B$404,0))/INDEX('PRICING'!$C$7:$C$16,MATCH(F281,'PRICING'!$A$7:$A$16,0))+INDEX('PROPERTIES'!$G$5:$G$404,MATCH(E281,'PROPERTIES'!$B$5:$B$404,0))*INDEX('PRICING'!$D$7:$D$16,MATCH(F281,'PRICING'!$A$7:$A$16,0))/60+INDEX('PROPERTIES'!$H$5:$H$404,MATCH(E281,'PROPERTIES'!$B$5:$B$404,0))*INDEX('PRICING'!$E$7:$E$16,MATCH(F281,'PRICING'!$A$7:$A$16,0))/60+INDEX('PRICING'!$F$7:$F$16,MATCH(F281,'PRICING'!$A$7:$A$16,0))/60),2)),""))</f>
        <v/>
      </c>
      <c r="R281" s="97">
        <f>IF(B281="","",IF(N(K281)&gt;0,K281,IF(N(J281)&gt;0,J281,N(Q281))))</f>
        <v/>
      </c>
      <c r="S281" s="55">
        <f>IF(L281="","",ROUND(L281*(1+N(M281)),2))</f>
        <v/>
      </c>
      <c r="T281" s="55">
        <f>IF(B281="","",SUMIFS('REVENUE'!$C$5:$C$1504,'REVENUE'!$B$5:$B$1504,A281))</f>
        <v/>
      </c>
      <c r="U281" s="55">
        <f>IF(B281="","",IF(O281="Completed",MAX(0,N(S281)-T281),""))</f>
        <v/>
      </c>
      <c r="V281" s="49">
        <f>IF(B281="","",IF(O281&lt;&gt;"Completed",IF(T281&gt;0,"Deposit","—"),IF(U281&lt;=0.005,"Paid",IF(T281&gt;0,"Partial","Unpaid"))))</f>
        <v/>
      </c>
      <c r="W281" s="55">
        <f>IF(B281="","",IFERROR(1/(1/INDEX('STAFF &amp; TASKS'!$C$5:$C$24,MATCH(H281,'STAFF &amp; TASKS'!$A$5:$A$24,0))),PayRate))</f>
        <v/>
      </c>
      <c r="X281" s="55">
        <f>IF(B281="","",IF(OR(O281="Cancelled",O281="No-Show"),"",ROUND(R281*W281*(1+Burden),2)))</f>
        <v/>
      </c>
      <c r="Y281" s="55">
        <f>IF(B281="","",IF(OR(O281="Cancelled",O281="No-Show"),"",IF(N281&lt;&gt;"",N281,ROUND(R281*SupHr*IFERROR(INDEX('PRICING'!$G$7:$G$16,MATCH(F281,'PRICING'!$A$7:$A$16,0)),1),2))))</f>
        <v/>
      </c>
      <c r="Z281" s="98">
        <f>IF(B281="","",SUMIFS('MILEAGE'!$J$5:$J$1504,'MILEAGE'!$B$5:$B$1504,A281))</f>
        <v/>
      </c>
      <c r="AA281" s="55">
        <f>IF(B281="","",ROUND(Z281*MileRate,2))</f>
        <v/>
      </c>
      <c r="AB281" s="55">
        <f>IF(B281="","",SUMIFS('REVENUE'!$J$5:$J$1504,'REVENUE'!$B$5:$B$1504,A281))</f>
        <v/>
      </c>
      <c r="AC281" s="55">
        <f>IF(L281="","",IF(OR(O281="Cancelled",O281="No-Show"),"",L281-N(X281)-N(Y281)-AA281-AB281))</f>
        <v/>
      </c>
      <c r="AD281" s="99">
        <f>IF(OR(AC281="",N(L281)=0),"",AC281/L281)</f>
        <v/>
      </c>
      <c r="AE281" s="55">
        <f>IF(OR(AC281="",N(R281)=0),"",L281/R281)</f>
        <v/>
      </c>
      <c r="AF281" s="100">
        <f>IF(OR(N(K281)=0,N(J281)+N(Q281)=0),"",K281-IF(N(J281)&gt;0,J281,Q281))</f>
        <v/>
      </c>
      <c r="AG281" s="99">
        <f>IF(B281="","",IFERROR(AVERAGEIFS('QUALITY CONTROL'!$M$5:$M$304,'QUALITY CONTROL'!$B$5:$B$304,A281),""))</f>
        <v/>
      </c>
      <c r="AH281" s="51">
        <f>IF(B281="","",DATE(YEAR(B281),MONTH(B281),1))</f>
        <v/>
      </c>
      <c r="AI281" s="49">
        <f>IF(D281="","",IFERROR(INDEX('CUSTOMERS'!$E$5:$E$404,MATCH(D281,'CUSTOMERS'!$B$5:$B$404,0)),""))</f>
        <v/>
      </c>
      <c r="AJ281" s="49">
        <f>IF(B281="","",N(C281))</f>
        <v/>
      </c>
      <c r="AK281" s="49">
        <f>IF(OR(B281="",O281="Cancelled",O281="Rescheduled"),"",B281&amp;"|"&amp;(COUNTIFS('JOBS'!$B$5:$B$1504,B281,'JOBS'!$AJ$5:$AJ$1504,"&lt;"&amp;AJ281,'JOBS'!$O$5:$O$1504,"&lt;&gt;Cancelled",'JOBS'!$O$5:$O$1504,"&lt;&gt;Rescheduled")+COUNTIFS($B$5:B281,B281,$AJ$5:AJ281,AJ281,$O$5:O281,"&lt;&gt;Cancelled",$O$5:O281,"&lt;&gt;Rescheduled")))</f>
        <v/>
      </c>
      <c r="AL281" s="49">
        <f>IF(N(U281)&lt;=0.005,"",COUNTIFS('JOBS'!$U$5:$U$1504,"&gt;0.005",'JOBS'!$B$5:$B$1504,"&lt;"&amp;B281)+COUNTIFS($U$5:U281,"&gt;0.005",$B$5:B281,B281))</f>
        <v/>
      </c>
    </row>
    <row r="282">
      <c r="A282" s="46" t="inlineStr">
        <is>
          <t>J-0278</t>
        </is>
      </c>
      <c r="B282" s="47" t="n">
        <v>46280</v>
      </c>
      <c r="C282" s="94" t="n">
        <v>0.3541666666666667</v>
      </c>
      <c r="D282" s="38" t="inlineStr">
        <is>
          <t>Blake Oakes</t>
        </is>
      </c>
      <c r="E282" s="38" t="inlineStr">
        <is>
          <t>654 Willow Way, North Sampletown</t>
        </is>
      </c>
      <c r="F282" s="38" t="inlineStr">
        <is>
          <t>Airbnb Turnover</t>
        </is>
      </c>
      <c r="G282" s="38" t="n"/>
      <c r="H282" s="38" t="inlineStr">
        <is>
          <t>Kevin Osei</t>
        </is>
      </c>
      <c r="I282" s="57" t="n">
        <v>1</v>
      </c>
      <c r="J282" s="95" t="n"/>
      <c r="K282" s="95" t="n">
        <v>1.52</v>
      </c>
      <c r="L282" s="48" t="n">
        <v>135</v>
      </c>
      <c r="M282" s="96" t="n">
        <v>0</v>
      </c>
      <c r="N282" s="48" t="n"/>
      <c r="O282" s="38" t="inlineStr">
        <is>
          <t>Completed</t>
        </is>
      </c>
      <c r="P282" s="38" t="inlineStr">
        <is>
          <t>Includes laundry</t>
        </is>
      </c>
      <c r="Q282" s="97">
        <f>IF(OR(F282="",E282=""),"",IFERROR(IF(INDEX('PROPERTIES'!$F$5:$F$404,MATCH(E282,'PROPERTIES'!$B$5:$B$404,0))=0,"",ROUND((INDEX('PROPERTIES'!$F$5:$F$404,MATCH(E282,'PROPERTIES'!$B$5:$B$404,0))/INDEX('PRICING'!$C$7:$C$16,MATCH(F282,'PRICING'!$A$7:$A$16,0))+INDEX('PROPERTIES'!$G$5:$G$404,MATCH(E282,'PROPERTIES'!$B$5:$B$404,0))*INDEX('PRICING'!$D$7:$D$16,MATCH(F282,'PRICING'!$A$7:$A$16,0))/60+INDEX('PROPERTIES'!$H$5:$H$404,MATCH(E282,'PROPERTIES'!$B$5:$B$404,0))*INDEX('PRICING'!$E$7:$E$16,MATCH(F282,'PRICING'!$A$7:$A$16,0))/60+INDEX('PRICING'!$F$7:$F$16,MATCH(F282,'PRICING'!$A$7:$A$16,0))/60),2)),""))</f>
        <v/>
      </c>
      <c r="R282" s="97">
        <f>IF(B282="","",IF(N(K282)&gt;0,K282,IF(N(J282)&gt;0,J282,N(Q282))))</f>
        <v/>
      </c>
      <c r="S282" s="55">
        <f>IF(L282="","",ROUND(L282*(1+N(M282)),2))</f>
        <v/>
      </c>
      <c r="T282" s="55">
        <f>IF(B282="","",SUMIFS('REVENUE'!$C$5:$C$1504,'REVENUE'!$B$5:$B$1504,A282))</f>
        <v/>
      </c>
      <c r="U282" s="55">
        <f>IF(B282="","",IF(O282="Completed",MAX(0,N(S282)-T282),""))</f>
        <v/>
      </c>
      <c r="V282" s="49">
        <f>IF(B282="","",IF(O282&lt;&gt;"Completed",IF(T282&gt;0,"Deposit","—"),IF(U282&lt;=0.005,"Paid",IF(T282&gt;0,"Partial","Unpaid"))))</f>
        <v/>
      </c>
      <c r="W282" s="55">
        <f>IF(B282="","",IFERROR(1/(1/INDEX('STAFF &amp; TASKS'!$C$5:$C$24,MATCH(H282,'STAFF &amp; TASKS'!$A$5:$A$24,0))),PayRate))</f>
        <v/>
      </c>
      <c r="X282" s="55">
        <f>IF(B282="","",IF(OR(O282="Cancelled",O282="No-Show"),"",ROUND(R282*W282*(1+Burden),2)))</f>
        <v/>
      </c>
      <c r="Y282" s="55">
        <f>IF(B282="","",IF(OR(O282="Cancelled",O282="No-Show"),"",IF(N282&lt;&gt;"",N282,ROUND(R282*SupHr*IFERROR(INDEX('PRICING'!$G$7:$G$16,MATCH(F282,'PRICING'!$A$7:$A$16,0)),1),2))))</f>
        <v/>
      </c>
      <c r="Z282" s="98">
        <f>IF(B282="","",SUMIFS('MILEAGE'!$J$5:$J$1504,'MILEAGE'!$B$5:$B$1504,A282))</f>
        <v/>
      </c>
      <c r="AA282" s="55">
        <f>IF(B282="","",ROUND(Z282*MileRate,2))</f>
        <v/>
      </c>
      <c r="AB282" s="55">
        <f>IF(B282="","",SUMIFS('REVENUE'!$J$5:$J$1504,'REVENUE'!$B$5:$B$1504,A282))</f>
        <v/>
      </c>
      <c r="AC282" s="55">
        <f>IF(L282="","",IF(OR(O282="Cancelled",O282="No-Show"),"",L282-N(X282)-N(Y282)-AA282-AB282))</f>
        <v/>
      </c>
      <c r="AD282" s="99">
        <f>IF(OR(AC282="",N(L282)=0),"",AC282/L282)</f>
        <v/>
      </c>
      <c r="AE282" s="55">
        <f>IF(OR(AC282="",N(R282)=0),"",L282/R282)</f>
        <v/>
      </c>
      <c r="AF282" s="100">
        <f>IF(OR(N(K282)=0,N(J282)+N(Q282)=0),"",K282-IF(N(J282)&gt;0,J282,Q282))</f>
        <v/>
      </c>
      <c r="AG282" s="99">
        <f>IF(B282="","",IFERROR(AVERAGEIFS('QUALITY CONTROL'!$M$5:$M$304,'QUALITY CONTROL'!$B$5:$B$304,A282),""))</f>
        <v/>
      </c>
      <c r="AH282" s="51">
        <f>IF(B282="","",DATE(YEAR(B282),MONTH(B282),1))</f>
        <v/>
      </c>
      <c r="AI282" s="49">
        <f>IF(D282="","",IFERROR(INDEX('CUSTOMERS'!$E$5:$E$404,MATCH(D282,'CUSTOMERS'!$B$5:$B$404,0)),""))</f>
        <v/>
      </c>
      <c r="AJ282" s="49">
        <f>IF(B282="","",N(C282))</f>
        <v/>
      </c>
      <c r="AK282" s="49">
        <f>IF(OR(B282="",O282="Cancelled",O282="Rescheduled"),"",B282&amp;"|"&amp;(COUNTIFS('JOBS'!$B$5:$B$1504,B282,'JOBS'!$AJ$5:$AJ$1504,"&lt;"&amp;AJ282,'JOBS'!$O$5:$O$1504,"&lt;&gt;Cancelled",'JOBS'!$O$5:$O$1504,"&lt;&gt;Rescheduled")+COUNTIFS($B$5:B282,B282,$AJ$5:AJ282,AJ282,$O$5:O282,"&lt;&gt;Cancelled",$O$5:O282,"&lt;&gt;Rescheduled")))</f>
        <v/>
      </c>
      <c r="AL282" s="49">
        <f>IF(N(U282)&lt;=0.005,"",COUNTIFS('JOBS'!$U$5:$U$1504,"&gt;0.005",'JOBS'!$B$5:$B$1504,"&lt;"&amp;B282)+COUNTIFS($U$5:U282,"&gt;0.005",$B$5:B282,B282))</f>
        <v/>
      </c>
    </row>
    <row r="283">
      <c r="A283" s="46" t="inlineStr">
        <is>
          <t>J-0279</t>
        </is>
      </c>
      <c r="B283" s="47" t="n">
        <v>46280</v>
      </c>
      <c r="C283" s="94" t="n">
        <v>0.4166666666666667</v>
      </c>
      <c r="D283" s="38" t="inlineStr">
        <is>
          <t>Lane Ivers</t>
        </is>
      </c>
      <c r="E283" s="38" t="inlineStr">
        <is>
          <t>497 Aspen Drive, Sampletown</t>
        </is>
      </c>
      <c r="F283" s="38" t="inlineStr">
        <is>
          <t>Standard Clean</t>
        </is>
      </c>
      <c r="G283" s="38" t="inlineStr">
        <is>
          <t>R-001</t>
        </is>
      </c>
      <c r="H283" s="38" t="inlineStr">
        <is>
          <t>Maria Lopez</t>
        </is>
      </c>
      <c r="I283" s="57" t="n">
        <v>1</v>
      </c>
      <c r="J283" s="95" t="n"/>
      <c r="K283" s="95" t="n">
        <v>3.8</v>
      </c>
      <c r="L283" s="48" t="n">
        <v>175</v>
      </c>
      <c r="M283" s="96" t="n">
        <v>0</v>
      </c>
      <c r="N283" s="48" t="n"/>
      <c r="O283" s="38" t="inlineStr">
        <is>
          <t>Completed</t>
        </is>
      </c>
      <c r="P283" s="38" t="inlineStr"/>
      <c r="Q283" s="97">
        <f>IF(OR(F283="",E283=""),"",IFERROR(IF(INDEX('PROPERTIES'!$F$5:$F$404,MATCH(E283,'PROPERTIES'!$B$5:$B$404,0))=0,"",ROUND((INDEX('PROPERTIES'!$F$5:$F$404,MATCH(E283,'PROPERTIES'!$B$5:$B$404,0))/INDEX('PRICING'!$C$7:$C$16,MATCH(F283,'PRICING'!$A$7:$A$16,0))+INDEX('PROPERTIES'!$G$5:$G$404,MATCH(E283,'PROPERTIES'!$B$5:$B$404,0))*INDEX('PRICING'!$D$7:$D$16,MATCH(F283,'PRICING'!$A$7:$A$16,0))/60+INDEX('PROPERTIES'!$H$5:$H$404,MATCH(E283,'PROPERTIES'!$B$5:$B$404,0))*INDEX('PRICING'!$E$7:$E$16,MATCH(F283,'PRICING'!$A$7:$A$16,0))/60+INDEX('PRICING'!$F$7:$F$16,MATCH(F283,'PRICING'!$A$7:$A$16,0))/60),2)),""))</f>
        <v/>
      </c>
      <c r="R283" s="97">
        <f>IF(B283="","",IF(N(K283)&gt;0,K283,IF(N(J283)&gt;0,J283,N(Q283))))</f>
        <v/>
      </c>
      <c r="S283" s="55">
        <f>IF(L283="","",ROUND(L283*(1+N(M283)),2))</f>
        <v/>
      </c>
      <c r="T283" s="55">
        <f>IF(B283="","",SUMIFS('REVENUE'!$C$5:$C$1504,'REVENUE'!$B$5:$B$1504,A283))</f>
        <v/>
      </c>
      <c r="U283" s="55">
        <f>IF(B283="","",IF(O283="Completed",MAX(0,N(S283)-T283),""))</f>
        <v/>
      </c>
      <c r="V283" s="49">
        <f>IF(B283="","",IF(O283&lt;&gt;"Completed",IF(T283&gt;0,"Deposit","—"),IF(U283&lt;=0.005,"Paid",IF(T283&gt;0,"Partial","Unpaid"))))</f>
        <v/>
      </c>
      <c r="W283" s="55">
        <f>IF(B283="","",IFERROR(1/(1/INDEX('STAFF &amp; TASKS'!$C$5:$C$24,MATCH(H283,'STAFF &amp; TASKS'!$A$5:$A$24,0))),PayRate))</f>
        <v/>
      </c>
      <c r="X283" s="55">
        <f>IF(B283="","",IF(OR(O283="Cancelled",O283="No-Show"),"",ROUND(R283*W283*(1+Burden),2)))</f>
        <v/>
      </c>
      <c r="Y283" s="55">
        <f>IF(B283="","",IF(OR(O283="Cancelled",O283="No-Show"),"",IF(N283&lt;&gt;"",N283,ROUND(R283*SupHr*IFERROR(INDEX('PRICING'!$G$7:$G$16,MATCH(F283,'PRICING'!$A$7:$A$16,0)),1),2))))</f>
        <v/>
      </c>
      <c r="Z283" s="98">
        <f>IF(B283="","",SUMIFS('MILEAGE'!$J$5:$J$1504,'MILEAGE'!$B$5:$B$1504,A283))</f>
        <v/>
      </c>
      <c r="AA283" s="55">
        <f>IF(B283="","",ROUND(Z283*MileRate,2))</f>
        <v/>
      </c>
      <c r="AB283" s="55">
        <f>IF(B283="","",SUMIFS('REVENUE'!$J$5:$J$1504,'REVENUE'!$B$5:$B$1504,A283))</f>
        <v/>
      </c>
      <c r="AC283" s="55">
        <f>IF(L283="","",IF(OR(O283="Cancelled",O283="No-Show"),"",L283-N(X283)-N(Y283)-AA283-AB283))</f>
        <v/>
      </c>
      <c r="AD283" s="99">
        <f>IF(OR(AC283="",N(L283)=0),"",AC283/L283)</f>
        <v/>
      </c>
      <c r="AE283" s="55">
        <f>IF(OR(AC283="",N(R283)=0),"",L283/R283)</f>
        <v/>
      </c>
      <c r="AF283" s="100">
        <f>IF(OR(N(K283)=0,N(J283)+N(Q283)=0),"",K283-IF(N(J283)&gt;0,J283,Q283))</f>
        <v/>
      </c>
      <c r="AG283" s="99">
        <f>IF(B283="","",IFERROR(AVERAGEIFS('QUALITY CONTROL'!$M$5:$M$304,'QUALITY CONTROL'!$B$5:$B$304,A283),""))</f>
        <v/>
      </c>
      <c r="AH283" s="51">
        <f>IF(B283="","",DATE(YEAR(B283),MONTH(B283),1))</f>
        <v/>
      </c>
      <c r="AI283" s="49">
        <f>IF(D283="","",IFERROR(INDEX('CUSTOMERS'!$E$5:$E$404,MATCH(D283,'CUSTOMERS'!$B$5:$B$404,0)),""))</f>
        <v/>
      </c>
      <c r="AJ283" s="49">
        <f>IF(B283="","",N(C283))</f>
        <v/>
      </c>
      <c r="AK283" s="49">
        <f>IF(OR(B283="",O283="Cancelled",O283="Rescheduled"),"",B283&amp;"|"&amp;(COUNTIFS('JOBS'!$B$5:$B$1504,B283,'JOBS'!$AJ$5:$AJ$1504,"&lt;"&amp;AJ283,'JOBS'!$O$5:$O$1504,"&lt;&gt;Cancelled",'JOBS'!$O$5:$O$1504,"&lt;&gt;Rescheduled")+COUNTIFS($B$5:B283,B283,$AJ$5:AJ283,AJ283,$O$5:O283,"&lt;&gt;Cancelled",$O$5:O283,"&lt;&gt;Rescheduled")))</f>
        <v/>
      </c>
      <c r="AL283" s="49">
        <f>IF(N(U283)&lt;=0.005,"",COUNTIFS('JOBS'!$U$5:$U$1504,"&gt;0.005",'JOBS'!$B$5:$B$1504,"&lt;"&amp;B283)+COUNTIFS($U$5:U283,"&gt;0.005",$B$5:B283,B283))</f>
        <v/>
      </c>
    </row>
    <row r="284">
      <c r="A284" s="46" t="inlineStr">
        <is>
          <t>J-0280</t>
        </is>
      </c>
      <c r="B284" s="47" t="n">
        <v>46281</v>
      </c>
      <c r="C284" s="94" t="n">
        <v>0.3541666666666667</v>
      </c>
      <c r="D284" s="38" t="inlineStr">
        <is>
          <t>Logan Porter</t>
        </is>
      </c>
      <c r="E284" s="38" t="inlineStr">
        <is>
          <t>675 Aspen Drive, Lakeview (fictional)</t>
        </is>
      </c>
      <c r="F284" s="38" t="inlineStr">
        <is>
          <t>Standard Clean</t>
        </is>
      </c>
      <c r="G284" s="38" t="inlineStr">
        <is>
          <t>R-002</t>
        </is>
      </c>
      <c r="H284" s="38" t="inlineStr">
        <is>
          <t>Dana Whitfield</t>
        </is>
      </c>
      <c r="I284" s="57" t="n">
        <v>1</v>
      </c>
      <c r="J284" s="95" t="n"/>
      <c r="K284" s="95" t="n">
        <v>5.82</v>
      </c>
      <c r="L284" s="48" t="n">
        <v>220</v>
      </c>
      <c r="M284" s="96" t="n">
        <v>0</v>
      </c>
      <c r="N284" s="48" t="n"/>
      <c r="O284" s="38" t="inlineStr">
        <is>
          <t>Completed</t>
        </is>
      </c>
      <c r="P284" s="38" t="inlineStr"/>
      <c r="Q284" s="97">
        <f>IF(OR(F284="",E284=""),"",IFERROR(IF(INDEX('PROPERTIES'!$F$5:$F$404,MATCH(E284,'PROPERTIES'!$B$5:$B$404,0))=0,"",ROUND((INDEX('PROPERTIES'!$F$5:$F$404,MATCH(E284,'PROPERTIES'!$B$5:$B$404,0))/INDEX('PRICING'!$C$7:$C$16,MATCH(F284,'PRICING'!$A$7:$A$16,0))+INDEX('PROPERTIES'!$G$5:$G$404,MATCH(E284,'PROPERTIES'!$B$5:$B$404,0))*INDEX('PRICING'!$D$7:$D$16,MATCH(F284,'PRICING'!$A$7:$A$16,0))/60+INDEX('PROPERTIES'!$H$5:$H$404,MATCH(E284,'PROPERTIES'!$B$5:$B$404,0))*INDEX('PRICING'!$E$7:$E$16,MATCH(F284,'PRICING'!$A$7:$A$16,0))/60+INDEX('PRICING'!$F$7:$F$16,MATCH(F284,'PRICING'!$A$7:$A$16,0))/60),2)),""))</f>
        <v/>
      </c>
      <c r="R284" s="97">
        <f>IF(B284="","",IF(N(K284)&gt;0,K284,IF(N(J284)&gt;0,J284,N(Q284))))</f>
        <v/>
      </c>
      <c r="S284" s="55">
        <f>IF(L284="","",ROUND(L284*(1+N(M284)),2))</f>
        <v/>
      </c>
      <c r="T284" s="55">
        <f>IF(B284="","",SUMIFS('REVENUE'!$C$5:$C$1504,'REVENUE'!$B$5:$B$1504,A284))</f>
        <v/>
      </c>
      <c r="U284" s="55">
        <f>IF(B284="","",IF(O284="Completed",MAX(0,N(S284)-T284),""))</f>
        <v/>
      </c>
      <c r="V284" s="49">
        <f>IF(B284="","",IF(O284&lt;&gt;"Completed",IF(T284&gt;0,"Deposit","—"),IF(U284&lt;=0.005,"Paid",IF(T284&gt;0,"Partial","Unpaid"))))</f>
        <v/>
      </c>
      <c r="W284" s="55">
        <f>IF(B284="","",IFERROR(1/(1/INDEX('STAFF &amp; TASKS'!$C$5:$C$24,MATCH(H284,'STAFF &amp; TASKS'!$A$5:$A$24,0))),PayRate))</f>
        <v/>
      </c>
      <c r="X284" s="55">
        <f>IF(B284="","",IF(OR(O284="Cancelled",O284="No-Show"),"",ROUND(R284*W284*(1+Burden),2)))</f>
        <v/>
      </c>
      <c r="Y284" s="55">
        <f>IF(B284="","",IF(OR(O284="Cancelled",O284="No-Show"),"",IF(N284&lt;&gt;"",N284,ROUND(R284*SupHr*IFERROR(INDEX('PRICING'!$G$7:$G$16,MATCH(F284,'PRICING'!$A$7:$A$16,0)),1),2))))</f>
        <v/>
      </c>
      <c r="Z284" s="98">
        <f>IF(B284="","",SUMIFS('MILEAGE'!$J$5:$J$1504,'MILEAGE'!$B$5:$B$1504,A284))</f>
        <v/>
      </c>
      <c r="AA284" s="55">
        <f>IF(B284="","",ROUND(Z284*MileRate,2))</f>
        <v/>
      </c>
      <c r="AB284" s="55">
        <f>IF(B284="","",SUMIFS('REVENUE'!$J$5:$J$1504,'REVENUE'!$B$5:$B$1504,A284))</f>
        <v/>
      </c>
      <c r="AC284" s="55">
        <f>IF(L284="","",IF(OR(O284="Cancelled",O284="No-Show"),"",L284-N(X284)-N(Y284)-AA284-AB284))</f>
        <v/>
      </c>
      <c r="AD284" s="99">
        <f>IF(OR(AC284="",N(L284)=0),"",AC284/L284)</f>
        <v/>
      </c>
      <c r="AE284" s="55">
        <f>IF(OR(AC284="",N(R284)=0),"",L284/R284)</f>
        <v/>
      </c>
      <c r="AF284" s="100">
        <f>IF(OR(N(K284)=0,N(J284)+N(Q284)=0),"",K284-IF(N(J284)&gt;0,J284,Q284))</f>
        <v/>
      </c>
      <c r="AG284" s="99">
        <f>IF(B284="","",IFERROR(AVERAGEIFS('QUALITY CONTROL'!$M$5:$M$304,'QUALITY CONTROL'!$B$5:$B$304,A284),""))</f>
        <v/>
      </c>
      <c r="AH284" s="51">
        <f>IF(B284="","",DATE(YEAR(B284),MONTH(B284),1))</f>
        <v/>
      </c>
      <c r="AI284" s="49">
        <f>IF(D284="","",IFERROR(INDEX('CUSTOMERS'!$E$5:$E$404,MATCH(D284,'CUSTOMERS'!$B$5:$B$404,0)),""))</f>
        <v/>
      </c>
      <c r="AJ284" s="49">
        <f>IF(B284="","",N(C284))</f>
        <v/>
      </c>
      <c r="AK284" s="49">
        <f>IF(OR(B284="",O284="Cancelled",O284="Rescheduled"),"",B284&amp;"|"&amp;(COUNTIFS('JOBS'!$B$5:$B$1504,B284,'JOBS'!$AJ$5:$AJ$1504,"&lt;"&amp;AJ284,'JOBS'!$O$5:$O$1504,"&lt;&gt;Cancelled",'JOBS'!$O$5:$O$1504,"&lt;&gt;Rescheduled")+COUNTIFS($B$5:B284,B284,$AJ$5:AJ284,AJ284,$O$5:O284,"&lt;&gt;Cancelled",$O$5:O284,"&lt;&gt;Rescheduled")))</f>
        <v/>
      </c>
      <c r="AL284" s="49">
        <f>IF(N(U284)&lt;=0.005,"",COUNTIFS('JOBS'!$U$5:$U$1504,"&gt;0.005",'JOBS'!$B$5:$B$1504,"&lt;"&amp;B284)+COUNTIFS($U$5:U284,"&gt;0.005",$B$5:B284,B284))</f>
        <v/>
      </c>
    </row>
    <row r="285">
      <c r="A285" s="46" t="inlineStr">
        <is>
          <t>J-0281</t>
        </is>
      </c>
      <c r="B285" s="47" t="n">
        <v>46283</v>
      </c>
      <c r="C285" s="94" t="n">
        <v>0.3541666666666667</v>
      </c>
      <c r="D285" s="38" t="inlineStr">
        <is>
          <t>Dana Oakes</t>
        </is>
      </c>
      <c r="E285" s="38" t="inlineStr">
        <is>
          <t>666 Juniper Street, North Sampletown</t>
        </is>
      </c>
      <c r="F285" s="38" t="inlineStr">
        <is>
          <t>Airbnb Turnover</t>
        </is>
      </c>
      <c r="G285" s="38" t="n"/>
      <c r="H285" s="38" t="inlineStr">
        <is>
          <t>Kevin Osei</t>
        </is>
      </c>
      <c r="I285" s="57" t="n">
        <v>1</v>
      </c>
      <c r="J285" s="95" t="n"/>
      <c r="K285" s="95" t="n">
        <v>1.8</v>
      </c>
      <c r="L285" s="48" t="n">
        <v>135</v>
      </c>
      <c r="M285" s="96" t="n">
        <v>0</v>
      </c>
      <c r="N285" s="48" t="n"/>
      <c r="O285" s="38" t="inlineStr">
        <is>
          <t>Completed</t>
        </is>
      </c>
      <c r="P285" s="38" t="inlineStr">
        <is>
          <t>Includes laundry</t>
        </is>
      </c>
      <c r="Q285" s="97">
        <f>IF(OR(F285="",E285=""),"",IFERROR(IF(INDEX('PROPERTIES'!$F$5:$F$404,MATCH(E285,'PROPERTIES'!$B$5:$B$404,0))=0,"",ROUND((INDEX('PROPERTIES'!$F$5:$F$404,MATCH(E285,'PROPERTIES'!$B$5:$B$404,0))/INDEX('PRICING'!$C$7:$C$16,MATCH(F285,'PRICING'!$A$7:$A$16,0))+INDEX('PROPERTIES'!$G$5:$G$404,MATCH(E285,'PROPERTIES'!$B$5:$B$404,0))*INDEX('PRICING'!$D$7:$D$16,MATCH(F285,'PRICING'!$A$7:$A$16,0))/60+INDEX('PROPERTIES'!$H$5:$H$404,MATCH(E285,'PROPERTIES'!$B$5:$B$404,0))*INDEX('PRICING'!$E$7:$E$16,MATCH(F285,'PRICING'!$A$7:$A$16,0))/60+INDEX('PRICING'!$F$7:$F$16,MATCH(F285,'PRICING'!$A$7:$A$16,0))/60),2)),""))</f>
        <v/>
      </c>
      <c r="R285" s="97">
        <f>IF(B285="","",IF(N(K285)&gt;0,K285,IF(N(J285)&gt;0,J285,N(Q285))))</f>
        <v/>
      </c>
      <c r="S285" s="55">
        <f>IF(L285="","",ROUND(L285*(1+N(M285)),2))</f>
        <v/>
      </c>
      <c r="T285" s="55">
        <f>IF(B285="","",SUMIFS('REVENUE'!$C$5:$C$1504,'REVENUE'!$B$5:$B$1504,A285))</f>
        <v/>
      </c>
      <c r="U285" s="55">
        <f>IF(B285="","",IF(O285="Completed",MAX(0,N(S285)-T285),""))</f>
        <v/>
      </c>
      <c r="V285" s="49">
        <f>IF(B285="","",IF(O285&lt;&gt;"Completed",IF(T285&gt;0,"Deposit","—"),IF(U285&lt;=0.005,"Paid",IF(T285&gt;0,"Partial","Unpaid"))))</f>
        <v/>
      </c>
      <c r="W285" s="55">
        <f>IF(B285="","",IFERROR(1/(1/INDEX('STAFF &amp; TASKS'!$C$5:$C$24,MATCH(H285,'STAFF &amp; TASKS'!$A$5:$A$24,0))),PayRate))</f>
        <v/>
      </c>
      <c r="X285" s="55">
        <f>IF(B285="","",IF(OR(O285="Cancelled",O285="No-Show"),"",ROUND(R285*W285*(1+Burden),2)))</f>
        <v/>
      </c>
      <c r="Y285" s="55">
        <f>IF(B285="","",IF(OR(O285="Cancelled",O285="No-Show"),"",IF(N285&lt;&gt;"",N285,ROUND(R285*SupHr*IFERROR(INDEX('PRICING'!$G$7:$G$16,MATCH(F285,'PRICING'!$A$7:$A$16,0)),1),2))))</f>
        <v/>
      </c>
      <c r="Z285" s="98">
        <f>IF(B285="","",SUMIFS('MILEAGE'!$J$5:$J$1504,'MILEAGE'!$B$5:$B$1504,A285))</f>
        <v/>
      </c>
      <c r="AA285" s="55">
        <f>IF(B285="","",ROUND(Z285*MileRate,2))</f>
        <v/>
      </c>
      <c r="AB285" s="55">
        <f>IF(B285="","",SUMIFS('REVENUE'!$J$5:$J$1504,'REVENUE'!$B$5:$B$1504,A285))</f>
        <v/>
      </c>
      <c r="AC285" s="55">
        <f>IF(L285="","",IF(OR(O285="Cancelled",O285="No-Show"),"",L285-N(X285)-N(Y285)-AA285-AB285))</f>
        <v/>
      </c>
      <c r="AD285" s="99">
        <f>IF(OR(AC285="",N(L285)=0),"",AC285/L285)</f>
        <v/>
      </c>
      <c r="AE285" s="55">
        <f>IF(OR(AC285="",N(R285)=0),"",L285/R285)</f>
        <v/>
      </c>
      <c r="AF285" s="100">
        <f>IF(OR(N(K285)=0,N(J285)+N(Q285)=0),"",K285-IF(N(J285)&gt;0,J285,Q285))</f>
        <v/>
      </c>
      <c r="AG285" s="99">
        <f>IF(B285="","",IFERROR(AVERAGEIFS('QUALITY CONTROL'!$M$5:$M$304,'QUALITY CONTROL'!$B$5:$B$304,A285),""))</f>
        <v/>
      </c>
      <c r="AH285" s="51">
        <f>IF(B285="","",DATE(YEAR(B285),MONTH(B285),1))</f>
        <v/>
      </c>
      <c r="AI285" s="49">
        <f>IF(D285="","",IFERROR(INDEX('CUSTOMERS'!$E$5:$E$404,MATCH(D285,'CUSTOMERS'!$B$5:$B$404,0)),""))</f>
        <v/>
      </c>
      <c r="AJ285" s="49">
        <f>IF(B285="","",N(C285))</f>
        <v/>
      </c>
      <c r="AK285" s="49">
        <f>IF(OR(B285="",O285="Cancelled",O285="Rescheduled"),"",B285&amp;"|"&amp;(COUNTIFS('JOBS'!$B$5:$B$1504,B285,'JOBS'!$AJ$5:$AJ$1504,"&lt;"&amp;AJ285,'JOBS'!$O$5:$O$1504,"&lt;&gt;Cancelled",'JOBS'!$O$5:$O$1504,"&lt;&gt;Rescheduled")+COUNTIFS($B$5:B285,B285,$AJ$5:AJ285,AJ285,$O$5:O285,"&lt;&gt;Cancelled",$O$5:O285,"&lt;&gt;Rescheduled")))</f>
        <v/>
      </c>
      <c r="AL285" s="49">
        <f>IF(N(U285)&lt;=0.005,"",COUNTIFS('JOBS'!$U$5:$U$1504,"&gt;0.005",'JOBS'!$B$5:$B$1504,"&lt;"&amp;B285)+COUNTIFS($U$5:U285,"&gt;0.005",$B$5:B285,B285))</f>
        <v/>
      </c>
    </row>
    <row r="286">
      <c r="A286" s="46" t="inlineStr">
        <is>
          <t>J-0282</t>
        </is>
      </c>
      <c r="B286" s="47" t="n">
        <v>46283</v>
      </c>
      <c r="C286" s="94" t="n">
        <v>0.375</v>
      </c>
      <c r="D286" s="38" t="inlineStr">
        <is>
          <t>Brightside Dental Studio (sample)</t>
        </is>
      </c>
      <c r="E286" s="38" t="inlineStr">
        <is>
          <t>738 Cedar Court, North Sampletown</t>
        </is>
      </c>
      <c r="F286" s="38" t="inlineStr">
        <is>
          <t>Commercial Clean</t>
        </is>
      </c>
      <c r="G286" s="38" t="inlineStr">
        <is>
          <t>R-011</t>
        </is>
      </c>
      <c r="H286" s="38" t="inlineStr">
        <is>
          <t>Kevin Osei</t>
        </is>
      </c>
      <c r="I286" s="57" t="n">
        <v>2</v>
      </c>
      <c r="J286" s="95" t="n"/>
      <c r="K286" s="95" t="n">
        <v>2.09</v>
      </c>
      <c r="L286" s="48" t="n">
        <v>100</v>
      </c>
      <c r="M286" s="96" t="n">
        <v>0</v>
      </c>
      <c r="N286" s="48" t="n"/>
      <c r="O286" s="38" t="inlineStr">
        <is>
          <t>Completed</t>
        </is>
      </c>
      <c r="P286" s="38" t="inlineStr"/>
      <c r="Q286" s="97">
        <f>IF(OR(F286="",E286=""),"",IFERROR(IF(INDEX('PROPERTIES'!$F$5:$F$404,MATCH(E286,'PROPERTIES'!$B$5:$B$404,0))=0,"",ROUND((INDEX('PROPERTIES'!$F$5:$F$404,MATCH(E286,'PROPERTIES'!$B$5:$B$404,0))/INDEX('PRICING'!$C$7:$C$16,MATCH(F286,'PRICING'!$A$7:$A$16,0))+INDEX('PROPERTIES'!$G$5:$G$404,MATCH(E286,'PROPERTIES'!$B$5:$B$404,0))*INDEX('PRICING'!$D$7:$D$16,MATCH(F286,'PRICING'!$A$7:$A$16,0))/60+INDEX('PROPERTIES'!$H$5:$H$404,MATCH(E286,'PROPERTIES'!$B$5:$B$404,0))*INDEX('PRICING'!$E$7:$E$16,MATCH(F286,'PRICING'!$A$7:$A$16,0))/60+INDEX('PRICING'!$F$7:$F$16,MATCH(F286,'PRICING'!$A$7:$A$16,0))/60),2)),""))</f>
        <v/>
      </c>
      <c r="R286" s="97">
        <f>IF(B286="","",IF(N(K286)&gt;0,K286,IF(N(J286)&gt;0,J286,N(Q286))))</f>
        <v/>
      </c>
      <c r="S286" s="55">
        <f>IF(L286="","",ROUND(L286*(1+N(M286)),2))</f>
        <v/>
      </c>
      <c r="T286" s="55">
        <f>IF(B286="","",SUMIFS('REVENUE'!$C$5:$C$1504,'REVENUE'!$B$5:$B$1504,A286))</f>
        <v/>
      </c>
      <c r="U286" s="55">
        <f>IF(B286="","",IF(O286="Completed",MAX(0,N(S286)-T286),""))</f>
        <v/>
      </c>
      <c r="V286" s="49">
        <f>IF(B286="","",IF(O286&lt;&gt;"Completed",IF(T286&gt;0,"Deposit","—"),IF(U286&lt;=0.005,"Paid",IF(T286&gt;0,"Partial","Unpaid"))))</f>
        <v/>
      </c>
      <c r="W286" s="55">
        <f>IF(B286="","",IFERROR(1/(1/INDEX('STAFF &amp; TASKS'!$C$5:$C$24,MATCH(H286,'STAFF &amp; TASKS'!$A$5:$A$24,0))),PayRate))</f>
        <v/>
      </c>
      <c r="X286" s="55">
        <f>IF(B286="","",IF(OR(O286="Cancelled",O286="No-Show"),"",ROUND(R286*W286*(1+Burden),2)))</f>
        <v/>
      </c>
      <c r="Y286" s="55">
        <f>IF(B286="","",IF(OR(O286="Cancelled",O286="No-Show"),"",IF(N286&lt;&gt;"",N286,ROUND(R286*SupHr*IFERROR(INDEX('PRICING'!$G$7:$G$16,MATCH(F286,'PRICING'!$A$7:$A$16,0)),1),2))))</f>
        <v/>
      </c>
      <c r="Z286" s="98">
        <f>IF(B286="","",SUMIFS('MILEAGE'!$J$5:$J$1504,'MILEAGE'!$B$5:$B$1504,A286))</f>
        <v/>
      </c>
      <c r="AA286" s="55">
        <f>IF(B286="","",ROUND(Z286*MileRate,2))</f>
        <v/>
      </c>
      <c r="AB286" s="55">
        <f>IF(B286="","",SUMIFS('REVENUE'!$J$5:$J$1504,'REVENUE'!$B$5:$B$1504,A286))</f>
        <v/>
      </c>
      <c r="AC286" s="55">
        <f>IF(L286="","",IF(OR(O286="Cancelled",O286="No-Show"),"",L286-N(X286)-N(Y286)-AA286-AB286))</f>
        <v/>
      </c>
      <c r="AD286" s="99">
        <f>IF(OR(AC286="",N(L286)=0),"",AC286/L286)</f>
        <v/>
      </c>
      <c r="AE286" s="55">
        <f>IF(OR(AC286="",N(R286)=0),"",L286/R286)</f>
        <v/>
      </c>
      <c r="AF286" s="100">
        <f>IF(OR(N(K286)=0,N(J286)+N(Q286)=0),"",K286-IF(N(J286)&gt;0,J286,Q286))</f>
        <v/>
      </c>
      <c r="AG286" s="99">
        <f>IF(B286="","",IFERROR(AVERAGEIFS('QUALITY CONTROL'!$M$5:$M$304,'QUALITY CONTROL'!$B$5:$B$304,A286),""))</f>
        <v/>
      </c>
      <c r="AH286" s="51">
        <f>IF(B286="","",DATE(YEAR(B286),MONTH(B286),1))</f>
        <v/>
      </c>
      <c r="AI286" s="49">
        <f>IF(D286="","",IFERROR(INDEX('CUSTOMERS'!$E$5:$E$404,MATCH(D286,'CUSTOMERS'!$B$5:$B$404,0)),""))</f>
        <v/>
      </c>
      <c r="AJ286" s="49">
        <f>IF(B286="","",N(C286))</f>
        <v/>
      </c>
      <c r="AK286" s="49">
        <f>IF(OR(B286="",O286="Cancelled",O286="Rescheduled"),"",B286&amp;"|"&amp;(COUNTIFS('JOBS'!$B$5:$B$1504,B286,'JOBS'!$AJ$5:$AJ$1504,"&lt;"&amp;AJ286,'JOBS'!$O$5:$O$1504,"&lt;&gt;Cancelled",'JOBS'!$O$5:$O$1504,"&lt;&gt;Rescheduled")+COUNTIFS($B$5:B286,B286,$AJ$5:AJ286,AJ286,$O$5:O286,"&lt;&gt;Cancelled",$O$5:O286,"&lt;&gt;Rescheduled")))</f>
        <v/>
      </c>
      <c r="AL286" s="49">
        <f>IF(N(U286)&lt;=0.005,"",COUNTIFS('JOBS'!$U$5:$U$1504,"&gt;0.005",'JOBS'!$B$5:$B$1504,"&lt;"&amp;B286)+COUNTIFS($U$5:U286,"&gt;0.005",$B$5:B286,B286))</f>
        <v/>
      </c>
    </row>
    <row r="287">
      <c r="A287" s="46" t="inlineStr">
        <is>
          <t>J-0283</t>
        </is>
      </c>
      <c r="B287" s="47" t="n">
        <v>46283</v>
      </c>
      <c r="C287" s="94" t="n">
        <v>0.5208333333333334</v>
      </c>
      <c r="D287" s="38" t="inlineStr">
        <is>
          <t>Harper Hayes</t>
        </is>
      </c>
      <c r="E287" s="38" t="inlineStr">
        <is>
          <t>853 Alder Lane, North Sampletown</t>
        </is>
      </c>
      <c r="F287" s="38" t="inlineStr">
        <is>
          <t>Deep Clean</t>
        </is>
      </c>
      <c r="G287" s="38" t="n"/>
      <c r="H287" s="38" t="inlineStr">
        <is>
          <t>Maria Lopez</t>
        </is>
      </c>
      <c r="I287" s="57" t="n">
        <v>2</v>
      </c>
      <c r="J287" s="95" t="n"/>
      <c r="K287" s="95" t="n">
        <v>6.63</v>
      </c>
      <c r="L287" s="48" t="n">
        <v>180</v>
      </c>
      <c r="M287" s="96" t="n">
        <v>0</v>
      </c>
      <c r="N287" s="48" t="n"/>
      <c r="O287" s="38" t="inlineStr">
        <is>
          <t>Completed</t>
        </is>
      </c>
      <c r="P287" s="38" t="inlineStr">
        <is>
          <t>Discounted too far — see profit</t>
        </is>
      </c>
      <c r="Q287" s="97">
        <f>IF(OR(F287="",E287=""),"",IFERROR(IF(INDEX('PROPERTIES'!$F$5:$F$404,MATCH(E287,'PROPERTIES'!$B$5:$B$404,0))=0,"",ROUND((INDEX('PROPERTIES'!$F$5:$F$404,MATCH(E287,'PROPERTIES'!$B$5:$B$404,0))/INDEX('PRICING'!$C$7:$C$16,MATCH(F287,'PRICING'!$A$7:$A$16,0))+INDEX('PROPERTIES'!$G$5:$G$404,MATCH(E287,'PROPERTIES'!$B$5:$B$404,0))*INDEX('PRICING'!$D$7:$D$16,MATCH(F287,'PRICING'!$A$7:$A$16,0))/60+INDEX('PROPERTIES'!$H$5:$H$404,MATCH(E287,'PROPERTIES'!$B$5:$B$404,0))*INDEX('PRICING'!$E$7:$E$16,MATCH(F287,'PRICING'!$A$7:$A$16,0))/60+INDEX('PRICING'!$F$7:$F$16,MATCH(F287,'PRICING'!$A$7:$A$16,0))/60),2)),""))</f>
        <v/>
      </c>
      <c r="R287" s="97">
        <f>IF(B287="","",IF(N(K287)&gt;0,K287,IF(N(J287)&gt;0,J287,N(Q287))))</f>
        <v/>
      </c>
      <c r="S287" s="55">
        <f>IF(L287="","",ROUND(L287*(1+N(M287)),2))</f>
        <v/>
      </c>
      <c r="T287" s="55">
        <f>IF(B287="","",SUMIFS('REVENUE'!$C$5:$C$1504,'REVENUE'!$B$5:$B$1504,A287))</f>
        <v/>
      </c>
      <c r="U287" s="55">
        <f>IF(B287="","",IF(O287="Completed",MAX(0,N(S287)-T287),""))</f>
        <v/>
      </c>
      <c r="V287" s="49">
        <f>IF(B287="","",IF(O287&lt;&gt;"Completed",IF(T287&gt;0,"Deposit","—"),IF(U287&lt;=0.005,"Paid",IF(T287&gt;0,"Partial","Unpaid"))))</f>
        <v/>
      </c>
      <c r="W287" s="55">
        <f>IF(B287="","",IFERROR(1/(1/INDEX('STAFF &amp; TASKS'!$C$5:$C$24,MATCH(H287,'STAFF &amp; TASKS'!$A$5:$A$24,0))),PayRate))</f>
        <v/>
      </c>
      <c r="X287" s="55">
        <f>IF(B287="","",IF(OR(O287="Cancelled",O287="No-Show"),"",ROUND(R287*W287*(1+Burden),2)))</f>
        <v/>
      </c>
      <c r="Y287" s="55">
        <f>IF(B287="","",IF(OR(O287="Cancelled",O287="No-Show"),"",IF(N287&lt;&gt;"",N287,ROUND(R287*SupHr*IFERROR(INDEX('PRICING'!$G$7:$G$16,MATCH(F287,'PRICING'!$A$7:$A$16,0)),1),2))))</f>
        <v/>
      </c>
      <c r="Z287" s="98">
        <f>IF(B287="","",SUMIFS('MILEAGE'!$J$5:$J$1504,'MILEAGE'!$B$5:$B$1504,A287))</f>
        <v/>
      </c>
      <c r="AA287" s="55">
        <f>IF(B287="","",ROUND(Z287*MileRate,2))</f>
        <v/>
      </c>
      <c r="AB287" s="55">
        <f>IF(B287="","",SUMIFS('REVENUE'!$J$5:$J$1504,'REVENUE'!$B$5:$B$1504,A287))</f>
        <v/>
      </c>
      <c r="AC287" s="55">
        <f>IF(L287="","",IF(OR(O287="Cancelled",O287="No-Show"),"",L287-N(X287)-N(Y287)-AA287-AB287))</f>
        <v/>
      </c>
      <c r="AD287" s="99">
        <f>IF(OR(AC287="",N(L287)=0),"",AC287/L287)</f>
        <v/>
      </c>
      <c r="AE287" s="55">
        <f>IF(OR(AC287="",N(R287)=0),"",L287/R287)</f>
        <v/>
      </c>
      <c r="AF287" s="100">
        <f>IF(OR(N(K287)=0,N(J287)+N(Q287)=0),"",K287-IF(N(J287)&gt;0,J287,Q287))</f>
        <v/>
      </c>
      <c r="AG287" s="99">
        <f>IF(B287="","",IFERROR(AVERAGEIFS('QUALITY CONTROL'!$M$5:$M$304,'QUALITY CONTROL'!$B$5:$B$304,A287),""))</f>
        <v/>
      </c>
      <c r="AH287" s="51">
        <f>IF(B287="","",DATE(YEAR(B287),MONTH(B287),1))</f>
        <v/>
      </c>
      <c r="AI287" s="49">
        <f>IF(D287="","",IFERROR(INDEX('CUSTOMERS'!$E$5:$E$404,MATCH(D287,'CUSTOMERS'!$B$5:$B$404,0)),""))</f>
        <v/>
      </c>
      <c r="AJ287" s="49">
        <f>IF(B287="","",N(C287))</f>
        <v/>
      </c>
      <c r="AK287" s="49">
        <f>IF(OR(B287="",O287="Cancelled",O287="Rescheduled"),"",B287&amp;"|"&amp;(COUNTIFS('JOBS'!$B$5:$B$1504,B287,'JOBS'!$AJ$5:$AJ$1504,"&lt;"&amp;AJ287,'JOBS'!$O$5:$O$1504,"&lt;&gt;Cancelled",'JOBS'!$O$5:$O$1504,"&lt;&gt;Rescheduled")+COUNTIFS($B$5:B287,B287,$AJ$5:AJ287,AJ287,$O$5:O287,"&lt;&gt;Cancelled",$O$5:O287,"&lt;&gt;Rescheduled")))</f>
        <v/>
      </c>
      <c r="AL287" s="49">
        <f>IF(N(U287)&lt;=0.005,"",COUNTIFS('JOBS'!$U$5:$U$1504,"&gt;0.005",'JOBS'!$B$5:$B$1504,"&lt;"&amp;B287)+COUNTIFS($U$5:U287,"&gt;0.005",$B$5:B287,B287))</f>
        <v/>
      </c>
    </row>
    <row r="288">
      <c r="A288" s="46" t="inlineStr">
        <is>
          <t>J-0284</t>
        </is>
      </c>
      <c r="B288" s="47" t="n">
        <v>46283</v>
      </c>
      <c r="C288" s="94" t="n">
        <v>0.5416666666666666</v>
      </c>
      <c r="D288" s="38" t="inlineStr">
        <is>
          <t>Devon Hayes</t>
        </is>
      </c>
      <c r="E288" s="38" t="inlineStr">
        <is>
          <t>461 Hawthorn Road, Lakeview (fictional)</t>
        </is>
      </c>
      <c r="F288" s="38" t="inlineStr">
        <is>
          <t>Standard Clean</t>
        </is>
      </c>
      <c r="G288" s="38" t="inlineStr">
        <is>
          <t>R-003</t>
        </is>
      </c>
      <c r="H288" s="38" t="inlineStr">
        <is>
          <t>Maria Lopez</t>
        </is>
      </c>
      <c r="I288" s="57" t="n">
        <v>1</v>
      </c>
      <c r="J288" s="95" t="n"/>
      <c r="K288" s="95" t="n">
        <v>5.55</v>
      </c>
      <c r="L288" s="48" t="n">
        <v>220</v>
      </c>
      <c r="M288" s="96" t="n">
        <v>0</v>
      </c>
      <c r="N288" s="48" t="n"/>
      <c r="O288" s="38" t="inlineStr">
        <is>
          <t>Completed</t>
        </is>
      </c>
      <c r="P288" s="38" t="inlineStr"/>
      <c r="Q288" s="97">
        <f>IF(OR(F288="",E288=""),"",IFERROR(IF(INDEX('PROPERTIES'!$F$5:$F$404,MATCH(E288,'PROPERTIES'!$B$5:$B$404,0))=0,"",ROUND((INDEX('PROPERTIES'!$F$5:$F$404,MATCH(E288,'PROPERTIES'!$B$5:$B$404,0))/INDEX('PRICING'!$C$7:$C$16,MATCH(F288,'PRICING'!$A$7:$A$16,0))+INDEX('PROPERTIES'!$G$5:$G$404,MATCH(E288,'PROPERTIES'!$B$5:$B$404,0))*INDEX('PRICING'!$D$7:$D$16,MATCH(F288,'PRICING'!$A$7:$A$16,0))/60+INDEX('PROPERTIES'!$H$5:$H$404,MATCH(E288,'PROPERTIES'!$B$5:$B$404,0))*INDEX('PRICING'!$E$7:$E$16,MATCH(F288,'PRICING'!$A$7:$A$16,0))/60+INDEX('PRICING'!$F$7:$F$16,MATCH(F288,'PRICING'!$A$7:$A$16,0))/60),2)),""))</f>
        <v/>
      </c>
      <c r="R288" s="97">
        <f>IF(B288="","",IF(N(K288)&gt;0,K288,IF(N(J288)&gt;0,J288,N(Q288))))</f>
        <v/>
      </c>
      <c r="S288" s="55">
        <f>IF(L288="","",ROUND(L288*(1+N(M288)),2))</f>
        <v/>
      </c>
      <c r="T288" s="55">
        <f>IF(B288="","",SUMIFS('REVENUE'!$C$5:$C$1504,'REVENUE'!$B$5:$B$1504,A288))</f>
        <v/>
      </c>
      <c r="U288" s="55">
        <f>IF(B288="","",IF(O288="Completed",MAX(0,N(S288)-T288),""))</f>
        <v/>
      </c>
      <c r="V288" s="49">
        <f>IF(B288="","",IF(O288&lt;&gt;"Completed",IF(T288&gt;0,"Deposit","—"),IF(U288&lt;=0.005,"Paid",IF(T288&gt;0,"Partial","Unpaid"))))</f>
        <v/>
      </c>
      <c r="W288" s="55">
        <f>IF(B288="","",IFERROR(1/(1/INDEX('STAFF &amp; TASKS'!$C$5:$C$24,MATCH(H288,'STAFF &amp; TASKS'!$A$5:$A$24,0))),PayRate))</f>
        <v/>
      </c>
      <c r="X288" s="55">
        <f>IF(B288="","",IF(OR(O288="Cancelled",O288="No-Show"),"",ROUND(R288*W288*(1+Burden),2)))</f>
        <v/>
      </c>
      <c r="Y288" s="55">
        <f>IF(B288="","",IF(OR(O288="Cancelled",O288="No-Show"),"",IF(N288&lt;&gt;"",N288,ROUND(R288*SupHr*IFERROR(INDEX('PRICING'!$G$7:$G$16,MATCH(F288,'PRICING'!$A$7:$A$16,0)),1),2))))</f>
        <v/>
      </c>
      <c r="Z288" s="98">
        <f>IF(B288="","",SUMIFS('MILEAGE'!$J$5:$J$1504,'MILEAGE'!$B$5:$B$1504,A288))</f>
        <v/>
      </c>
      <c r="AA288" s="55">
        <f>IF(B288="","",ROUND(Z288*MileRate,2))</f>
        <v/>
      </c>
      <c r="AB288" s="55">
        <f>IF(B288="","",SUMIFS('REVENUE'!$J$5:$J$1504,'REVENUE'!$B$5:$B$1504,A288))</f>
        <v/>
      </c>
      <c r="AC288" s="55">
        <f>IF(L288="","",IF(OR(O288="Cancelled",O288="No-Show"),"",L288-N(X288)-N(Y288)-AA288-AB288))</f>
        <v/>
      </c>
      <c r="AD288" s="99">
        <f>IF(OR(AC288="",N(L288)=0),"",AC288/L288)</f>
        <v/>
      </c>
      <c r="AE288" s="55">
        <f>IF(OR(AC288="",N(R288)=0),"",L288/R288)</f>
        <v/>
      </c>
      <c r="AF288" s="100">
        <f>IF(OR(N(K288)=0,N(J288)+N(Q288)=0),"",K288-IF(N(J288)&gt;0,J288,Q288))</f>
        <v/>
      </c>
      <c r="AG288" s="99">
        <f>IF(B288="","",IFERROR(AVERAGEIFS('QUALITY CONTROL'!$M$5:$M$304,'QUALITY CONTROL'!$B$5:$B$304,A288),""))</f>
        <v/>
      </c>
      <c r="AH288" s="51">
        <f>IF(B288="","",DATE(YEAR(B288),MONTH(B288),1))</f>
        <v/>
      </c>
      <c r="AI288" s="49">
        <f>IF(D288="","",IFERROR(INDEX('CUSTOMERS'!$E$5:$E$404,MATCH(D288,'CUSTOMERS'!$B$5:$B$404,0)),""))</f>
        <v/>
      </c>
      <c r="AJ288" s="49">
        <f>IF(B288="","",N(C288))</f>
        <v/>
      </c>
      <c r="AK288" s="49">
        <f>IF(OR(B288="",O288="Cancelled",O288="Rescheduled"),"",B288&amp;"|"&amp;(COUNTIFS('JOBS'!$B$5:$B$1504,B288,'JOBS'!$AJ$5:$AJ$1504,"&lt;"&amp;AJ288,'JOBS'!$O$5:$O$1504,"&lt;&gt;Cancelled",'JOBS'!$O$5:$O$1504,"&lt;&gt;Rescheduled")+COUNTIFS($B$5:B288,B288,$AJ$5:AJ288,AJ288,$O$5:O288,"&lt;&gt;Cancelled",$O$5:O288,"&lt;&gt;Rescheduled")))</f>
        <v/>
      </c>
      <c r="AL288" s="49">
        <f>IF(N(U288)&lt;=0.005,"",COUNTIFS('JOBS'!$U$5:$U$1504,"&gt;0.005",'JOBS'!$B$5:$B$1504,"&lt;"&amp;B288)+COUNTIFS($U$5:U288,"&gt;0.005",$B$5:B288,B288))</f>
        <v/>
      </c>
    </row>
    <row r="289">
      <c r="A289" s="46" t="inlineStr">
        <is>
          <t>J-0285</t>
        </is>
      </c>
      <c r="B289" s="47" t="n">
        <v>46283</v>
      </c>
      <c r="C289" s="94" t="n">
        <v>0.5416666666666666</v>
      </c>
      <c r="D289" s="38" t="inlineStr">
        <is>
          <t>Rowan Foxworth</t>
        </is>
      </c>
      <c r="E289" s="38" t="inlineStr">
        <is>
          <t>876 Magnolia Circle, North Sampletown</t>
        </is>
      </c>
      <c r="F289" s="38" t="inlineStr">
        <is>
          <t>Standard Clean</t>
        </is>
      </c>
      <c r="G289" s="38" t="inlineStr">
        <is>
          <t>R-005</t>
        </is>
      </c>
      <c r="H289" s="38" t="inlineStr">
        <is>
          <t>Maria Lopez</t>
        </is>
      </c>
      <c r="I289" s="57" t="n">
        <v>1</v>
      </c>
      <c r="J289" s="95" t="n"/>
      <c r="K289" s="95" t="n">
        <v>4.88</v>
      </c>
      <c r="L289" s="48" t="n">
        <v>220</v>
      </c>
      <c r="M289" s="96" t="n">
        <v>0</v>
      </c>
      <c r="N289" s="48" t="n"/>
      <c r="O289" s="38" t="inlineStr">
        <is>
          <t>Completed</t>
        </is>
      </c>
      <c r="P289" s="38" t="inlineStr"/>
      <c r="Q289" s="97">
        <f>IF(OR(F289="",E289=""),"",IFERROR(IF(INDEX('PROPERTIES'!$F$5:$F$404,MATCH(E289,'PROPERTIES'!$B$5:$B$404,0))=0,"",ROUND((INDEX('PROPERTIES'!$F$5:$F$404,MATCH(E289,'PROPERTIES'!$B$5:$B$404,0))/INDEX('PRICING'!$C$7:$C$16,MATCH(F289,'PRICING'!$A$7:$A$16,0))+INDEX('PROPERTIES'!$G$5:$G$404,MATCH(E289,'PROPERTIES'!$B$5:$B$404,0))*INDEX('PRICING'!$D$7:$D$16,MATCH(F289,'PRICING'!$A$7:$A$16,0))/60+INDEX('PROPERTIES'!$H$5:$H$404,MATCH(E289,'PROPERTIES'!$B$5:$B$404,0))*INDEX('PRICING'!$E$7:$E$16,MATCH(F289,'PRICING'!$A$7:$A$16,0))/60+INDEX('PRICING'!$F$7:$F$16,MATCH(F289,'PRICING'!$A$7:$A$16,0))/60),2)),""))</f>
        <v/>
      </c>
      <c r="R289" s="97">
        <f>IF(B289="","",IF(N(K289)&gt;0,K289,IF(N(J289)&gt;0,J289,N(Q289))))</f>
        <v/>
      </c>
      <c r="S289" s="55">
        <f>IF(L289="","",ROUND(L289*(1+N(M289)),2))</f>
        <v/>
      </c>
      <c r="T289" s="55">
        <f>IF(B289="","",SUMIFS('REVENUE'!$C$5:$C$1504,'REVENUE'!$B$5:$B$1504,A289))</f>
        <v/>
      </c>
      <c r="U289" s="55">
        <f>IF(B289="","",IF(O289="Completed",MAX(0,N(S289)-T289),""))</f>
        <v/>
      </c>
      <c r="V289" s="49">
        <f>IF(B289="","",IF(O289&lt;&gt;"Completed",IF(T289&gt;0,"Deposit","—"),IF(U289&lt;=0.005,"Paid",IF(T289&gt;0,"Partial","Unpaid"))))</f>
        <v/>
      </c>
      <c r="W289" s="55">
        <f>IF(B289="","",IFERROR(1/(1/INDEX('STAFF &amp; TASKS'!$C$5:$C$24,MATCH(H289,'STAFF &amp; TASKS'!$A$5:$A$24,0))),PayRate))</f>
        <v/>
      </c>
      <c r="X289" s="55">
        <f>IF(B289="","",IF(OR(O289="Cancelled",O289="No-Show"),"",ROUND(R289*W289*(1+Burden),2)))</f>
        <v/>
      </c>
      <c r="Y289" s="55">
        <f>IF(B289="","",IF(OR(O289="Cancelled",O289="No-Show"),"",IF(N289&lt;&gt;"",N289,ROUND(R289*SupHr*IFERROR(INDEX('PRICING'!$G$7:$G$16,MATCH(F289,'PRICING'!$A$7:$A$16,0)),1),2))))</f>
        <v/>
      </c>
      <c r="Z289" s="98">
        <f>IF(B289="","",SUMIFS('MILEAGE'!$J$5:$J$1504,'MILEAGE'!$B$5:$B$1504,A289))</f>
        <v/>
      </c>
      <c r="AA289" s="55">
        <f>IF(B289="","",ROUND(Z289*MileRate,2))</f>
        <v/>
      </c>
      <c r="AB289" s="55">
        <f>IF(B289="","",SUMIFS('REVENUE'!$J$5:$J$1504,'REVENUE'!$B$5:$B$1504,A289))</f>
        <v/>
      </c>
      <c r="AC289" s="55">
        <f>IF(L289="","",IF(OR(O289="Cancelled",O289="No-Show"),"",L289-N(X289)-N(Y289)-AA289-AB289))</f>
        <v/>
      </c>
      <c r="AD289" s="99">
        <f>IF(OR(AC289="",N(L289)=0),"",AC289/L289)</f>
        <v/>
      </c>
      <c r="AE289" s="55">
        <f>IF(OR(AC289="",N(R289)=0),"",L289/R289)</f>
        <v/>
      </c>
      <c r="AF289" s="100">
        <f>IF(OR(N(K289)=0,N(J289)+N(Q289)=0),"",K289-IF(N(J289)&gt;0,J289,Q289))</f>
        <v/>
      </c>
      <c r="AG289" s="99">
        <f>IF(B289="","",IFERROR(AVERAGEIFS('QUALITY CONTROL'!$M$5:$M$304,'QUALITY CONTROL'!$B$5:$B$304,A289),""))</f>
        <v/>
      </c>
      <c r="AH289" s="51">
        <f>IF(B289="","",DATE(YEAR(B289),MONTH(B289),1))</f>
        <v/>
      </c>
      <c r="AI289" s="49">
        <f>IF(D289="","",IFERROR(INDEX('CUSTOMERS'!$E$5:$E$404,MATCH(D289,'CUSTOMERS'!$B$5:$B$404,0)),""))</f>
        <v/>
      </c>
      <c r="AJ289" s="49">
        <f>IF(B289="","",N(C289))</f>
        <v/>
      </c>
      <c r="AK289" s="49">
        <f>IF(OR(B289="",O289="Cancelled",O289="Rescheduled"),"",B289&amp;"|"&amp;(COUNTIFS('JOBS'!$B$5:$B$1504,B289,'JOBS'!$AJ$5:$AJ$1504,"&lt;"&amp;AJ289,'JOBS'!$O$5:$O$1504,"&lt;&gt;Cancelled",'JOBS'!$O$5:$O$1504,"&lt;&gt;Rescheduled")+COUNTIFS($B$5:B289,B289,$AJ$5:AJ289,AJ289,$O$5:O289,"&lt;&gt;Cancelled",$O$5:O289,"&lt;&gt;Rescheduled")))</f>
        <v/>
      </c>
      <c r="AL289" s="49">
        <f>IF(N(U289)&lt;=0.005,"",COUNTIFS('JOBS'!$U$5:$U$1504,"&gt;0.005",'JOBS'!$B$5:$B$1504,"&lt;"&amp;B289)+COUNTIFS($U$5:U289,"&gt;0.005",$B$5:B289,B289))</f>
        <v/>
      </c>
    </row>
    <row r="290">
      <c r="A290" s="46" t="inlineStr">
        <is>
          <t>J-0286</t>
        </is>
      </c>
      <c r="B290" s="47" t="n">
        <v>46283</v>
      </c>
      <c r="C290" s="94" t="n">
        <v>0.5416666666666666</v>
      </c>
      <c r="D290" s="38" t="inlineStr">
        <is>
          <t>Oakview Office Suites (sample)</t>
        </is>
      </c>
      <c r="E290" s="38" t="inlineStr">
        <is>
          <t>957 Hawthorn Road, North Sampletown</t>
        </is>
      </c>
      <c r="F290" s="38" t="inlineStr">
        <is>
          <t>Commercial Clean</t>
        </is>
      </c>
      <c r="G290" s="38" t="inlineStr">
        <is>
          <t>R-012</t>
        </is>
      </c>
      <c r="H290" s="38" t="inlineStr">
        <is>
          <t>Kevin Osei</t>
        </is>
      </c>
      <c r="I290" s="57" t="n">
        <v>2</v>
      </c>
      <c r="J290" s="95" t="n"/>
      <c r="K290" s="95" t="n">
        <v>3.56</v>
      </c>
      <c r="L290" s="48" t="n">
        <v>140</v>
      </c>
      <c r="M290" s="96" t="n">
        <v>0</v>
      </c>
      <c r="N290" s="48" t="n"/>
      <c r="O290" s="38" t="inlineStr">
        <is>
          <t>Completed</t>
        </is>
      </c>
      <c r="P290" s="38" t="inlineStr"/>
      <c r="Q290" s="97">
        <f>IF(OR(F290="",E290=""),"",IFERROR(IF(INDEX('PROPERTIES'!$F$5:$F$404,MATCH(E290,'PROPERTIES'!$B$5:$B$404,0))=0,"",ROUND((INDEX('PROPERTIES'!$F$5:$F$404,MATCH(E290,'PROPERTIES'!$B$5:$B$404,0))/INDEX('PRICING'!$C$7:$C$16,MATCH(F290,'PRICING'!$A$7:$A$16,0))+INDEX('PROPERTIES'!$G$5:$G$404,MATCH(E290,'PROPERTIES'!$B$5:$B$404,0))*INDEX('PRICING'!$D$7:$D$16,MATCH(F290,'PRICING'!$A$7:$A$16,0))/60+INDEX('PROPERTIES'!$H$5:$H$404,MATCH(E290,'PROPERTIES'!$B$5:$B$404,0))*INDEX('PRICING'!$E$7:$E$16,MATCH(F290,'PRICING'!$A$7:$A$16,0))/60+INDEX('PRICING'!$F$7:$F$16,MATCH(F290,'PRICING'!$A$7:$A$16,0))/60),2)),""))</f>
        <v/>
      </c>
      <c r="R290" s="97">
        <f>IF(B290="","",IF(N(K290)&gt;0,K290,IF(N(J290)&gt;0,J290,N(Q290))))</f>
        <v/>
      </c>
      <c r="S290" s="55">
        <f>IF(L290="","",ROUND(L290*(1+N(M290)),2))</f>
        <v/>
      </c>
      <c r="T290" s="55">
        <f>IF(B290="","",SUMIFS('REVENUE'!$C$5:$C$1504,'REVENUE'!$B$5:$B$1504,A290))</f>
        <v/>
      </c>
      <c r="U290" s="55">
        <f>IF(B290="","",IF(O290="Completed",MAX(0,N(S290)-T290),""))</f>
        <v/>
      </c>
      <c r="V290" s="49">
        <f>IF(B290="","",IF(O290&lt;&gt;"Completed",IF(T290&gt;0,"Deposit","—"),IF(U290&lt;=0.005,"Paid",IF(T290&gt;0,"Partial","Unpaid"))))</f>
        <v/>
      </c>
      <c r="W290" s="55">
        <f>IF(B290="","",IFERROR(1/(1/INDEX('STAFF &amp; TASKS'!$C$5:$C$24,MATCH(H290,'STAFF &amp; TASKS'!$A$5:$A$24,0))),PayRate))</f>
        <v/>
      </c>
      <c r="X290" s="55">
        <f>IF(B290="","",IF(OR(O290="Cancelled",O290="No-Show"),"",ROUND(R290*W290*(1+Burden),2)))</f>
        <v/>
      </c>
      <c r="Y290" s="55">
        <f>IF(B290="","",IF(OR(O290="Cancelled",O290="No-Show"),"",IF(N290&lt;&gt;"",N290,ROUND(R290*SupHr*IFERROR(INDEX('PRICING'!$G$7:$G$16,MATCH(F290,'PRICING'!$A$7:$A$16,0)),1),2))))</f>
        <v/>
      </c>
      <c r="Z290" s="98">
        <f>IF(B290="","",SUMIFS('MILEAGE'!$J$5:$J$1504,'MILEAGE'!$B$5:$B$1504,A290))</f>
        <v/>
      </c>
      <c r="AA290" s="55">
        <f>IF(B290="","",ROUND(Z290*MileRate,2))</f>
        <v/>
      </c>
      <c r="AB290" s="55">
        <f>IF(B290="","",SUMIFS('REVENUE'!$J$5:$J$1504,'REVENUE'!$B$5:$B$1504,A290))</f>
        <v/>
      </c>
      <c r="AC290" s="55">
        <f>IF(L290="","",IF(OR(O290="Cancelled",O290="No-Show"),"",L290-N(X290)-N(Y290)-AA290-AB290))</f>
        <v/>
      </c>
      <c r="AD290" s="99">
        <f>IF(OR(AC290="",N(L290)=0),"",AC290/L290)</f>
        <v/>
      </c>
      <c r="AE290" s="55">
        <f>IF(OR(AC290="",N(R290)=0),"",L290/R290)</f>
        <v/>
      </c>
      <c r="AF290" s="100">
        <f>IF(OR(N(K290)=0,N(J290)+N(Q290)=0),"",K290-IF(N(J290)&gt;0,J290,Q290))</f>
        <v/>
      </c>
      <c r="AG290" s="99">
        <f>IF(B290="","",IFERROR(AVERAGEIFS('QUALITY CONTROL'!$M$5:$M$304,'QUALITY CONTROL'!$B$5:$B$304,A290),""))</f>
        <v/>
      </c>
      <c r="AH290" s="51">
        <f>IF(B290="","",DATE(YEAR(B290),MONTH(B290),1))</f>
        <v/>
      </c>
      <c r="AI290" s="49">
        <f>IF(D290="","",IFERROR(INDEX('CUSTOMERS'!$E$5:$E$404,MATCH(D290,'CUSTOMERS'!$B$5:$B$404,0)),""))</f>
        <v/>
      </c>
      <c r="AJ290" s="49">
        <f>IF(B290="","",N(C290))</f>
        <v/>
      </c>
      <c r="AK290" s="49">
        <f>IF(OR(B290="",O290="Cancelled",O290="Rescheduled"),"",B290&amp;"|"&amp;(COUNTIFS('JOBS'!$B$5:$B$1504,B290,'JOBS'!$AJ$5:$AJ$1504,"&lt;"&amp;AJ290,'JOBS'!$O$5:$O$1504,"&lt;&gt;Cancelled",'JOBS'!$O$5:$O$1504,"&lt;&gt;Rescheduled")+COUNTIFS($B$5:B290,B290,$AJ$5:AJ290,AJ290,$O$5:O290,"&lt;&gt;Cancelled",$O$5:O290,"&lt;&gt;Rescheduled")))</f>
        <v/>
      </c>
      <c r="AL290" s="49">
        <f>IF(N(U290)&lt;=0.005,"",COUNTIFS('JOBS'!$U$5:$U$1504,"&gt;0.005",'JOBS'!$B$5:$B$1504,"&lt;"&amp;B290)+COUNTIFS($U$5:U290,"&gt;0.005",$B$5:B290,B290))</f>
        <v/>
      </c>
    </row>
    <row r="291">
      <c r="A291" s="46" t="inlineStr">
        <is>
          <t>J-0287</t>
        </is>
      </c>
      <c r="B291" s="47" t="n">
        <v>46286</v>
      </c>
      <c r="C291" s="94" t="n">
        <v>0.3333333333333333</v>
      </c>
      <c r="D291" s="38" t="inlineStr">
        <is>
          <t>Parker Lockhart</t>
        </is>
      </c>
      <c r="E291" s="38" t="inlineStr">
        <is>
          <t>412 Linden Place, Sampletown</t>
        </is>
      </c>
      <c r="F291" s="38" t="inlineStr">
        <is>
          <t>Airbnb Turnover</t>
        </is>
      </c>
      <c r="G291" s="38" t="n"/>
      <c r="H291" s="38" t="inlineStr">
        <is>
          <t>Kevin Osei</t>
        </is>
      </c>
      <c r="I291" s="57" t="n">
        <v>1</v>
      </c>
      <c r="J291" s="95" t="n"/>
      <c r="K291" s="95" t="n">
        <v>2.16</v>
      </c>
      <c r="L291" s="48" t="n">
        <v>150</v>
      </c>
      <c r="M291" s="96" t="n">
        <v>0</v>
      </c>
      <c r="N291" s="48" t="n"/>
      <c r="O291" s="38" t="inlineStr">
        <is>
          <t>Completed</t>
        </is>
      </c>
      <c r="P291" s="38" t="inlineStr">
        <is>
          <t>Includes laundry</t>
        </is>
      </c>
      <c r="Q291" s="97">
        <f>IF(OR(F291="",E291=""),"",IFERROR(IF(INDEX('PROPERTIES'!$F$5:$F$404,MATCH(E291,'PROPERTIES'!$B$5:$B$404,0))=0,"",ROUND((INDEX('PROPERTIES'!$F$5:$F$404,MATCH(E291,'PROPERTIES'!$B$5:$B$404,0))/INDEX('PRICING'!$C$7:$C$16,MATCH(F291,'PRICING'!$A$7:$A$16,0))+INDEX('PROPERTIES'!$G$5:$G$404,MATCH(E291,'PROPERTIES'!$B$5:$B$404,0))*INDEX('PRICING'!$D$7:$D$16,MATCH(F291,'PRICING'!$A$7:$A$16,0))/60+INDEX('PROPERTIES'!$H$5:$H$404,MATCH(E291,'PROPERTIES'!$B$5:$B$404,0))*INDEX('PRICING'!$E$7:$E$16,MATCH(F291,'PRICING'!$A$7:$A$16,0))/60+INDEX('PRICING'!$F$7:$F$16,MATCH(F291,'PRICING'!$A$7:$A$16,0))/60),2)),""))</f>
        <v/>
      </c>
      <c r="R291" s="97">
        <f>IF(B291="","",IF(N(K291)&gt;0,K291,IF(N(J291)&gt;0,J291,N(Q291))))</f>
        <v/>
      </c>
      <c r="S291" s="55">
        <f>IF(L291="","",ROUND(L291*(1+N(M291)),2))</f>
        <v/>
      </c>
      <c r="T291" s="55">
        <f>IF(B291="","",SUMIFS('REVENUE'!$C$5:$C$1504,'REVENUE'!$B$5:$B$1504,A291))</f>
        <v/>
      </c>
      <c r="U291" s="55">
        <f>IF(B291="","",IF(O291="Completed",MAX(0,N(S291)-T291),""))</f>
        <v/>
      </c>
      <c r="V291" s="49">
        <f>IF(B291="","",IF(O291&lt;&gt;"Completed",IF(T291&gt;0,"Deposit","—"),IF(U291&lt;=0.005,"Paid",IF(T291&gt;0,"Partial","Unpaid"))))</f>
        <v/>
      </c>
      <c r="W291" s="55">
        <f>IF(B291="","",IFERROR(1/(1/INDEX('STAFF &amp; TASKS'!$C$5:$C$24,MATCH(H291,'STAFF &amp; TASKS'!$A$5:$A$24,0))),PayRate))</f>
        <v/>
      </c>
      <c r="X291" s="55">
        <f>IF(B291="","",IF(OR(O291="Cancelled",O291="No-Show"),"",ROUND(R291*W291*(1+Burden),2)))</f>
        <v/>
      </c>
      <c r="Y291" s="55">
        <f>IF(B291="","",IF(OR(O291="Cancelled",O291="No-Show"),"",IF(N291&lt;&gt;"",N291,ROUND(R291*SupHr*IFERROR(INDEX('PRICING'!$G$7:$G$16,MATCH(F291,'PRICING'!$A$7:$A$16,0)),1),2))))</f>
        <v/>
      </c>
      <c r="Z291" s="98">
        <f>IF(B291="","",SUMIFS('MILEAGE'!$J$5:$J$1504,'MILEAGE'!$B$5:$B$1504,A291))</f>
        <v/>
      </c>
      <c r="AA291" s="55">
        <f>IF(B291="","",ROUND(Z291*MileRate,2))</f>
        <v/>
      </c>
      <c r="AB291" s="55">
        <f>IF(B291="","",SUMIFS('REVENUE'!$J$5:$J$1504,'REVENUE'!$B$5:$B$1504,A291))</f>
        <v/>
      </c>
      <c r="AC291" s="55">
        <f>IF(L291="","",IF(OR(O291="Cancelled",O291="No-Show"),"",L291-N(X291)-N(Y291)-AA291-AB291))</f>
        <v/>
      </c>
      <c r="AD291" s="99">
        <f>IF(OR(AC291="",N(L291)=0),"",AC291/L291)</f>
        <v/>
      </c>
      <c r="AE291" s="55">
        <f>IF(OR(AC291="",N(R291)=0),"",L291/R291)</f>
        <v/>
      </c>
      <c r="AF291" s="100">
        <f>IF(OR(N(K291)=0,N(J291)+N(Q291)=0),"",K291-IF(N(J291)&gt;0,J291,Q291))</f>
        <v/>
      </c>
      <c r="AG291" s="99">
        <f>IF(B291="","",IFERROR(AVERAGEIFS('QUALITY CONTROL'!$M$5:$M$304,'QUALITY CONTROL'!$B$5:$B$304,A291),""))</f>
        <v/>
      </c>
      <c r="AH291" s="51">
        <f>IF(B291="","",DATE(YEAR(B291),MONTH(B291),1))</f>
        <v/>
      </c>
      <c r="AI291" s="49">
        <f>IF(D291="","",IFERROR(INDEX('CUSTOMERS'!$E$5:$E$404,MATCH(D291,'CUSTOMERS'!$B$5:$B$404,0)),""))</f>
        <v/>
      </c>
      <c r="AJ291" s="49">
        <f>IF(B291="","",N(C291))</f>
        <v/>
      </c>
      <c r="AK291" s="49">
        <f>IF(OR(B291="",O291="Cancelled",O291="Rescheduled"),"",B291&amp;"|"&amp;(COUNTIFS('JOBS'!$B$5:$B$1504,B291,'JOBS'!$AJ$5:$AJ$1504,"&lt;"&amp;AJ291,'JOBS'!$O$5:$O$1504,"&lt;&gt;Cancelled",'JOBS'!$O$5:$O$1504,"&lt;&gt;Rescheduled")+COUNTIFS($B$5:B291,B291,$AJ$5:AJ291,AJ291,$O$5:O291,"&lt;&gt;Cancelled",$O$5:O291,"&lt;&gt;Rescheduled")))</f>
        <v/>
      </c>
      <c r="AL291" s="49">
        <f>IF(N(U291)&lt;=0.005,"",COUNTIFS('JOBS'!$U$5:$U$1504,"&gt;0.005",'JOBS'!$B$5:$B$1504,"&lt;"&amp;B291)+COUNTIFS($U$5:U291,"&gt;0.005",$B$5:B291,B291))</f>
        <v/>
      </c>
    </row>
    <row r="292">
      <c r="A292" s="46" t="inlineStr">
        <is>
          <t>J-0288</t>
        </is>
      </c>
      <c r="B292" s="47" t="n">
        <v>46286</v>
      </c>
      <c r="C292" s="94" t="n">
        <v>0.3541666666666667</v>
      </c>
      <c r="D292" s="38" t="inlineStr">
        <is>
          <t>Lane Northcott</t>
        </is>
      </c>
      <c r="E292" s="38" t="inlineStr">
        <is>
          <t>102 Hawthorn Road, Lakeview (fictional)</t>
        </is>
      </c>
      <c r="F292" s="38" t="inlineStr">
        <is>
          <t>Standard Clean</t>
        </is>
      </c>
      <c r="G292" s="38" t="inlineStr">
        <is>
          <t>R-010</t>
        </is>
      </c>
      <c r="H292" s="38" t="inlineStr">
        <is>
          <t>Dana Whitfield</t>
        </is>
      </c>
      <c r="I292" s="57" t="n">
        <v>1</v>
      </c>
      <c r="J292" s="95" t="n"/>
      <c r="K292" s="95" t="n">
        <v>2.79</v>
      </c>
      <c r="L292" s="48" t="n">
        <v>150</v>
      </c>
      <c r="M292" s="96" t="n">
        <v>0</v>
      </c>
      <c r="N292" s="48" t="n"/>
      <c r="O292" s="38" t="inlineStr">
        <is>
          <t>Completed</t>
        </is>
      </c>
      <c r="P292" s="38" t="inlineStr"/>
      <c r="Q292" s="97">
        <f>IF(OR(F292="",E292=""),"",IFERROR(IF(INDEX('PROPERTIES'!$F$5:$F$404,MATCH(E292,'PROPERTIES'!$B$5:$B$404,0))=0,"",ROUND((INDEX('PROPERTIES'!$F$5:$F$404,MATCH(E292,'PROPERTIES'!$B$5:$B$404,0))/INDEX('PRICING'!$C$7:$C$16,MATCH(F292,'PRICING'!$A$7:$A$16,0))+INDEX('PROPERTIES'!$G$5:$G$404,MATCH(E292,'PROPERTIES'!$B$5:$B$404,0))*INDEX('PRICING'!$D$7:$D$16,MATCH(F292,'PRICING'!$A$7:$A$16,0))/60+INDEX('PROPERTIES'!$H$5:$H$404,MATCH(E292,'PROPERTIES'!$B$5:$B$404,0))*INDEX('PRICING'!$E$7:$E$16,MATCH(F292,'PRICING'!$A$7:$A$16,0))/60+INDEX('PRICING'!$F$7:$F$16,MATCH(F292,'PRICING'!$A$7:$A$16,0))/60),2)),""))</f>
        <v/>
      </c>
      <c r="R292" s="97">
        <f>IF(B292="","",IF(N(K292)&gt;0,K292,IF(N(J292)&gt;0,J292,N(Q292))))</f>
        <v/>
      </c>
      <c r="S292" s="55">
        <f>IF(L292="","",ROUND(L292*(1+N(M292)),2))</f>
        <v/>
      </c>
      <c r="T292" s="55">
        <f>IF(B292="","",SUMIFS('REVENUE'!$C$5:$C$1504,'REVENUE'!$B$5:$B$1504,A292))</f>
        <v/>
      </c>
      <c r="U292" s="55">
        <f>IF(B292="","",IF(O292="Completed",MAX(0,N(S292)-T292),""))</f>
        <v/>
      </c>
      <c r="V292" s="49">
        <f>IF(B292="","",IF(O292&lt;&gt;"Completed",IF(T292&gt;0,"Deposit","—"),IF(U292&lt;=0.005,"Paid",IF(T292&gt;0,"Partial","Unpaid"))))</f>
        <v/>
      </c>
      <c r="W292" s="55">
        <f>IF(B292="","",IFERROR(1/(1/INDEX('STAFF &amp; TASKS'!$C$5:$C$24,MATCH(H292,'STAFF &amp; TASKS'!$A$5:$A$24,0))),PayRate))</f>
        <v/>
      </c>
      <c r="X292" s="55">
        <f>IF(B292="","",IF(OR(O292="Cancelled",O292="No-Show"),"",ROUND(R292*W292*(1+Burden),2)))</f>
        <v/>
      </c>
      <c r="Y292" s="55">
        <f>IF(B292="","",IF(OR(O292="Cancelled",O292="No-Show"),"",IF(N292&lt;&gt;"",N292,ROUND(R292*SupHr*IFERROR(INDEX('PRICING'!$G$7:$G$16,MATCH(F292,'PRICING'!$A$7:$A$16,0)),1),2))))</f>
        <v/>
      </c>
      <c r="Z292" s="98">
        <f>IF(B292="","",SUMIFS('MILEAGE'!$J$5:$J$1504,'MILEAGE'!$B$5:$B$1504,A292))</f>
        <v/>
      </c>
      <c r="AA292" s="55">
        <f>IF(B292="","",ROUND(Z292*MileRate,2))</f>
        <v/>
      </c>
      <c r="AB292" s="55">
        <f>IF(B292="","",SUMIFS('REVENUE'!$J$5:$J$1504,'REVENUE'!$B$5:$B$1504,A292))</f>
        <v/>
      </c>
      <c r="AC292" s="55">
        <f>IF(L292="","",IF(OR(O292="Cancelled",O292="No-Show"),"",L292-N(X292)-N(Y292)-AA292-AB292))</f>
        <v/>
      </c>
      <c r="AD292" s="99">
        <f>IF(OR(AC292="",N(L292)=0),"",AC292/L292)</f>
        <v/>
      </c>
      <c r="AE292" s="55">
        <f>IF(OR(AC292="",N(R292)=0),"",L292/R292)</f>
        <v/>
      </c>
      <c r="AF292" s="100">
        <f>IF(OR(N(K292)=0,N(J292)+N(Q292)=0),"",K292-IF(N(J292)&gt;0,J292,Q292))</f>
        <v/>
      </c>
      <c r="AG292" s="99">
        <f>IF(B292="","",IFERROR(AVERAGEIFS('QUALITY CONTROL'!$M$5:$M$304,'QUALITY CONTROL'!$B$5:$B$304,A292),""))</f>
        <v/>
      </c>
      <c r="AH292" s="51">
        <f>IF(B292="","",DATE(YEAR(B292),MONTH(B292),1))</f>
        <v/>
      </c>
      <c r="AI292" s="49">
        <f>IF(D292="","",IFERROR(INDEX('CUSTOMERS'!$E$5:$E$404,MATCH(D292,'CUSTOMERS'!$B$5:$B$404,0)),""))</f>
        <v/>
      </c>
      <c r="AJ292" s="49">
        <f>IF(B292="","",N(C292))</f>
        <v/>
      </c>
      <c r="AK292" s="49">
        <f>IF(OR(B292="",O292="Cancelled",O292="Rescheduled"),"",B292&amp;"|"&amp;(COUNTIFS('JOBS'!$B$5:$B$1504,B292,'JOBS'!$AJ$5:$AJ$1504,"&lt;"&amp;AJ292,'JOBS'!$O$5:$O$1504,"&lt;&gt;Cancelled",'JOBS'!$O$5:$O$1504,"&lt;&gt;Rescheduled")+COUNTIFS($B$5:B292,B292,$AJ$5:AJ292,AJ292,$O$5:O292,"&lt;&gt;Cancelled",$O$5:O292,"&lt;&gt;Rescheduled")))</f>
        <v/>
      </c>
      <c r="AL292" s="49">
        <f>IF(N(U292)&lt;=0.005,"",COUNTIFS('JOBS'!$U$5:$U$1504,"&gt;0.005",'JOBS'!$B$5:$B$1504,"&lt;"&amp;B292)+COUNTIFS($U$5:U292,"&gt;0.005",$B$5:B292,B292))</f>
        <v/>
      </c>
    </row>
    <row r="293">
      <c r="A293" s="46" t="inlineStr">
        <is>
          <t>J-0289</t>
        </is>
      </c>
      <c r="B293" s="47" t="n">
        <v>46289</v>
      </c>
      <c r="C293" s="94" t="n">
        <v>0.3333333333333333</v>
      </c>
      <c r="D293" s="38" t="inlineStr">
        <is>
          <t>Emerson Holloway</t>
        </is>
      </c>
      <c r="E293" s="38" t="inlineStr">
        <is>
          <t>192 Birch Lane, North Sampletown</t>
        </is>
      </c>
      <c r="F293" s="38" t="inlineStr">
        <is>
          <t>Airbnb Turnover</t>
        </is>
      </c>
      <c r="G293" s="38" t="n"/>
      <c r="H293" s="38" t="inlineStr">
        <is>
          <t>Kevin Osei</t>
        </is>
      </c>
      <c r="I293" s="57" t="n">
        <v>1</v>
      </c>
      <c r="J293" s="95" t="n"/>
      <c r="K293" s="95" t="n">
        <v>2.13</v>
      </c>
      <c r="L293" s="48" t="n">
        <v>150</v>
      </c>
      <c r="M293" s="96" t="n">
        <v>0</v>
      </c>
      <c r="N293" s="48" t="n"/>
      <c r="O293" s="38" t="inlineStr">
        <is>
          <t>Completed</t>
        </is>
      </c>
      <c r="P293" s="38" t="inlineStr">
        <is>
          <t>Includes laundry</t>
        </is>
      </c>
      <c r="Q293" s="97">
        <f>IF(OR(F293="",E293=""),"",IFERROR(IF(INDEX('PROPERTIES'!$F$5:$F$404,MATCH(E293,'PROPERTIES'!$B$5:$B$404,0))=0,"",ROUND((INDEX('PROPERTIES'!$F$5:$F$404,MATCH(E293,'PROPERTIES'!$B$5:$B$404,0))/INDEX('PRICING'!$C$7:$C$16,MATCH(F293,'PRICING'!$A$7:$A$16,0))+INDEX('PROPERTIES'!$G$5:$G$404,MATCH(E293,'PROPERTIES'!$B$5:$B$404,0))*INDEX('PRICING'!$D$7:$D$16,MATCH(F293,'PRICING'!$A$7:$A$16,0))/60+INDEX('PROPERTIES'!$H$5:$H$404,MATCH(E293,'PROPERTIES'!$B$5:$B$404,0))*INDEX('PRICING'!$E$7:$E$16,MATCH(F293,'PRICING'!$A$7:$A$16,0))/60+INDEX('PRICING'!$F$7:$F$16,MATCH(F293,'PRICING'!$A$7:$A$16,0))/60),2)),""))</f>
        <v/>
      </c>
      <c r="R293" s="97">
        <f>IF(B293="","",IF(N(K293)&gt;0,K293,IF(N(J293)&gt;0,J293,N(Q293))))</f>
        <v/>
      </c>
      <c r="S293" s="55">
        <f>IF(L293="","",ROUND(L293*(1+N(M293)),2))</f>
        <v/>
      </c>
      <c r="T293" s="55">
        <f>IF(B293="","",SUMIFS('REVENUE'!$C$5:$C$1504,'REVENUE'!$B$5:$B$1504,A293))</f>
        <v/>
      </c>
      <c r="U293" s="55">
        <f>IF(B293="","",IF(O293="Completed",MAX(0,N(S293)-T293),""))</f>
        <v/>
      </c>
      <c r="V293" s="49">
        <f>IF(B293="","",IF(O293&lt;&gt;"Completed",IF(T293&gt;0,"Deposit","—"),IF(U293&lt;=0.005,"Paid",IF(T293&gt;0,"Partial","Unpaid"))))</f>
        <v/>
      </c>
      <c r="W293" s="55">
        <f>IF(B293="","",IFERROR(1/(1/INDEX('STAFF &amp; TASKS'!$C$5:$C$24,MATCH(H293,'STAFF &amp; TASKS'!$A$5:$A$24,0))),PayRate))</f>
        <v/>
      </c>
      <c r="X293" s="55">
        <f>IF(B293="","",IF(OR(O293="Cancelled",O293="No-Show"),"",ROUND(R293*W293*(1+Burden),2)))</f>
        <v/>
      </c>
      <c r="Y293" s="55">
        <f>IF(B293="","",IF(OR(O293="Cancelled",O293="No-Show"),"",IF(N293&lt;&gt;"",N293,ROUND(R293*SupHr*IFERROR(INDEX('PRICING'!$G$7:$G$16,MATCH(F293,'PRICING'!$A$7:$A$16,0)),1),2))))</f>
        <v/>
      </c>
      <c r="Z293" s="98">
        <f>IF(B293="","",SUMIFS('MILEAGE'!$J$5:$J$1504,'MILEAGE'!$B$5:$B$1504,A293))</f>
        <v/>
      </c>
      <c r="AA293" s="55">
        <f>IF(B293="","",ROUND(Z293*MileRate,2))</f>
        <v/>
      </c>
      <c r="AB293" s="55">
        <f>IF(B293="","",SUMIFS('REVENUE'!$J$5:$J$1504,'REVENUE'!$B$5:$B$1504,A293))</f>
        <v/>
      </c>
      <c r="AC293" s="55">
        <f>IF(L293="","",IF(OR(O293="Cancelled",O293="No-Show"),"",L293-N(X293)-N(Y293)-AA293-AB293))</f>
        <v/>
      </c>
      <c r="AD293" s="99">
        <f>IF(OR(AC293="",N(L293)=0),"",AC293/L293)</f>
        <v/>
      </c>
      <c r="AE293" s="55">
        <f>IF(OR(AC293="",N(R293)=0),"",L293/R293)</f>
        <v/>
      </c>
      <c r="AF293" s="100">
        <f>IF(OR(N(K293)=0,N(J293)+N(Q293)=0),"",K293-IF(N(J293)&gt;0,J293,Q293))</f>
        <v/>
      </c>
      <c r="AG293" s="99">
        <f>IF(B293="","",IFERROR(AVERAGEIFS('QUALITY CONTROL'!$M$5:$M$304,'QUALITY CONTROL'!$B$5:$B$304,A293),""))</f>
        <v/>
      </c>
      <c r="AH293" s="51">
        <f>IF(B293="","",DATE(YEAR(B293),MONTH(B293),1))</f>
        <v/>
      </c>
      <c r="AI293" s="49">
        <f>IF(D293="","",IFERROR(INDEX('CUSTOMERS'!$E$5:$E$404,MATCH(D293,'CUSTOMERS'!$B$5:$B$404,0)),""))</f>
        <v/>
      </c>
      <c r="AJ293" s="49">
        <f>IF(B293="","",N(C293))</f>
        <v/>
      </c>
      <c r="AK293" s="49">
        <f>IF(OR(B293="",O293="Cancelled",O293="Rescheduled"),"",B293&amp;"|"&amp;(COUNTIFS('JOBS'!$B$5:$B$1504,B293,'JOBS'!$AJ$5:$AJ$1504,"&lt;"&amp;AJ293,'JOBS'!$O$5:$O$1504,"&lt;&gt;Cancelled",'JOBS'!$O$5:$O$1504,"&lt;&gt;Rescheduled")+COUNTIFS($B$5:B293,B293,$AJ$5:AJ293,AJ293,$O$5:O293,"&lt;&gt;Cancelled",$O$5:O293,"&lt;&gt;Rescheduled")))</f>
        <v/>
      </c>
      <c r="AL293" s="49">
        <f>IF(N(U293)&lt;=0.005,"",COUNTIFS('JOBS'!$U$5:$U$1504,"&gt;0.005",'JOBS'!$B$5:$B$1504,"&lt;"&amp;B293)+COUNTIFS($U$5:U293,"&gt;0.005",$B$5:B293,B293))</f>
        <v/>
      </c>
    </row>
    <row r="294">
      <c r="A294" s="46" t="inlineStr">
        <is>
          <t>J-0290</t>
        </is>
      </c>
      <c r="B294" s="47" t="n">
        <v>46290</v>
      </c>
      <c r="C294" s="94" t="n">
        <v>0.3541666666666667</v>
      </c>
      <c r="D294" s="38" t="inlineStr">
        <is>
          <t>Oakview Office Suites (sample)</t>
        </is>
      </c>
      <c r="E294" s="38" t="inlineStr">
        <is>
          <t>957 Hawthorn Road, North Sampletown</t>
        </is>
      </c>
      <c r="F294" s="38" t="inlineStr">
        <is>
          <t>Commercial Clean</t>
        </is>
      </c>
      <c r="G294" s="38" t="inlineStr">
        <is>
          <t>R-012</t>
        </is>
      </c>
      <c r="H294" s="38" t="inlineStr">
        <is>
          <t>Kevin Osei</t>
        </is>
      </c>
      <c r="I294" s="57" t="n">
        <v>2</v>
      </c>
      <c r="J294" s="95" t="n"/>
      <c r="K294" s="95" t="n">
        <v>3.3</v>
      </c>
      <c r="L294" s="48" t="n">
        <v>140</v>
      </c>
      <c r="M294" s="96" t="n">
        <v>0</v>
      </c>
      <c r="N294" s="48" t="n"/>
      <c r="O294" s="38" t="inlineStr">
        <is>
          <t>Completed</t>
        </is>
      </c>
      <c r="P294" s="38" t="inlineStr"/>
      <c r="Q294" s="97">
        <f>IF(OR(F294="",E294=""),"",IFERROR(IF(INDEX('PROPERTIES'!$F$5:$F$404,MATCH(E294,'PROPERTIES'!$B$5:$B$404,0))=0,"",ROUND((INDEX('PROPERTIES'!$F$5:$F$404,MATCH(E294,'PROPERTIES'!$B$5:$B$404,0))/INDEX('PRICING'!$C$7:$C$16,MATCH(F294,'PRICING'!$A$7:$A$16,0))+INDEX('PROPERTIES'!$G$5:$G$404,MATCH(E294,'PROPERTIES'!$B$5:$B$404,0))*INDEX('PRICING'!$D$7:$D$16,MATCH(F294,'PRICING'!$A$7:$A$16,0))/60+INDEX('PROPERTIES'!$H$5:$H$404,MATCH(E294,'PROPERTIES'!$B$5:$B$404,0))*INDEX('PRICING'!$E$7:$E$16,MATCH(F294,'PRICING'!$A$7:$A$16,0))/60+INDEX('PRICING'!$F$7:$F$16,MATCH(F294,'PRICING'!$A$7:$A$16,0))/60),2)),""))</f>
        <v/>
      </c>
      <c r="R294" s="97">
        <f>IF(B294="","",IF(N(K294)&gt;0,K294,IF(N(J294)&gt;0,J294,N(Q294))))</f>
        <v/>
      </c>
      <c r="S294" s="55">
        <f>IF(L294="","",ROUND(L294*(1+N(M294)),2))</f>
        <v/>
      </c>
      <c r="T294" s="55">
        <f>IF(B294="","",SUMIFS('REVENUE'!$C$5:$C$1504,'REVENUE'!$B$5:$B$1504,A294))</f>
        <v/>
      </c>
      <c r="U294" s="55">
        <f>IF(B294="","",IF(O294="Completed",MAX(0,N(S294)-T294),""))</f>
        <v/>
      </c>
      <c r="V294" s="49">
        <f>IF(B294="","",IF(O294&lt;&gt;"Completed",IF(T294&gt;0,"Deposit","—"),IF(U294&lt;=0.005,"Paid",IF(T294&gt;0,"Partial","Unpaid"))))</f>
        <v/>
      </c>
      <c r="W294" s="55">
        <f>IF(B294="","",IFERROR(1/(1/INDEX('STAFF &amp; TASKS'!$C$5:$C$24,MATCH(H294,'STAFF &amp; TASKS'!$A$5:$A$24,0))),PayRate))</f>
        <v/>
      </c>
      <c r="X294" s="55">
        <f>IF(B294="","",IF(OR(O294="Cancelled",O294="No-Show"),"",ROUND(R294*W294*(1+Burden),2)))</f>
        <v/>
      </c>
      <c r="Y294" s="55">
        <f>IF(B294="","",IF(OR(O294="Cancelled",O294="No-Show"),"",IF(N294&lt;&gt;"",N294,ROUND(R294*SupHr*IFERROR(INDEX('PRICING'!$G$7:$G$16,MATCH(F294,'PRICING'!$A$7:$A$16,0)),1),2))))</f>
        <v/>
      </c>
      <c r="Z294" s="98">
        <f>IF(B294="","",SUMIFS('MILEAGE'!$J$5:$J$1504,'MILEAGE'!$B$5:$B$1504,A294))</f>
        <v/>
      </c>
      <c r="AA294" s="55">
        <f>IF(B294="","",ROUND(Z294*MileRate,2))</f>
        <v/>
      </c>
      <c r="AB294" s="55">
        <f>IF(B294="","",SUMIFS('REVENUE'!$J$5:$J$1504,'REVENUE'!$B$5:$B$1504,A294))</f>
        <v/>
      </c>
      <c r="AC294" s="55">
        <f>IF(L294="","",IF(OR(O294="Cancelled",O294="No-Show"),"",L294-N(X294)-N(Y294)-AA294-AB294))</f>
        <v/>
      </c>
      <c r="AD294" s="99">
        <f>IF(OR(AC294="",N(L294)=0),"",AC294/L294)</f>
        <v/>
      </c>
      <c r="AE294" s="55">
        <f>IF(OR(AC294="",N(R294)=0),"",L294/R294)</f>
        <v/>
      </c>
      <c r="AF294" s="100">
        <f>IF(OR(N(K294)=0,N(J294)+N(Q294)=0),"",K294-IF(N(J294)&gt;0,J294,Q294))</f>
        <v/>
      </c>
      <c r="AG294" s="99">
        <f>IF(B294="","",IFERROR(AVERAGEIFS('QUALITY CONTROL'!$M$5:$M$304,'QUALITY CONTROL'!$B$5:$B$304,A294),""))</f>
        <v/>
      </c>
      <c r="AH294" s="51">
        <f>IF(B294="","",DATE(YEAR(B294),MONTH(B294),1))</f>
        <v/>
      </c>
      <c r="AI294" s="49">
        <f>IF(D294="","",IFERROR(INDEX('CUSTOMERS'!$E$5:$E$404,MATCH(D294,'CUSTOMERS'!$B$5:$B$404,0)),""))</f>
        <v/>
      </c>
      <c r="AJ294" s="49">
        <f>IF(B294="","",N(C294))</f>
        <v/>
      </c>
      <c r="AK294" s="49">
        <f>IF(OR(B294="",O294="Cancelled",O294="Rescheduled"),"",B294&amp;"|"&amp;(COUNTIFS('JOBS'!$B$5:$B$1504,B294,'JOBS'!$AJ$5:$AJ$1504,"&lt;"&amp;AJ294,'JOBS'!$O$5:$O$1504,"&lt;&gt;Cancelled",'JOBS'!$O$5:$O$1504,"&lt;&gt;Rescheduled")+COUNTIFS($B$5:B294,B294,$AJ$5:AJ294,AJ294,$O$5:O294,"&lt;&gt;Cancelled",$O$5:O294,"&lt;&gt;Rescheduled")))</f>
        <v/>
      </c>
      <c r="AL294" s="49">
        <f>IF(N(U294)&lt;=0.005,"",COUNTIFS('JOBS'!$U$5:$U$1504,"&gt;0.005",'JOBS'!$B$5:$B$1504,"&lt;"&amp;B294)+COUNTIFS($U$5:U294,"&gt;0.005",$B$5:B294,B294))</f>
        <v/>
      </c>
    </row>
    <row r="295">
      <c r="A295" s="46" t="inlineStr">
        <is>
          <t>J-0291</t>
        </is>
      </c>
      <c r="B295" s="47" t="n">
        <v>46290</v>
      </c>
      <c r="C295" s="94" t="n">
        <v>0.375</v>
      </c>
      <c r="D295" s="38" t="inlineStr">
        <is>
          <t>Brightside Dental Studio (sample)</t>
        </is>
      </c>
      <c r="E295" s="38" t="inlineStr">
        <is>
          <t>738 Cedar Court, North Sampletown</t>
        </is>
      </c>
      <c r="F295" s="38" t="inlineStr">
        <is>
          <t>Commercial Clean</t>
        </is>
      </c>
      <c r="G295" s="38" t="inlineStr">
        <is>
          <t>R-011</t>
        </is>
      </c>
      <c r="H295" s="38" t="inlineStr">
        <is>
          <t>Kevin Osei</t>
        </is>
      </c>
      <c r="I295" s="57" t="n">
        <v>2</v>
      </c>
      <c r="J295" s="95" t="n"/>
      <c r="K295" s="95" t="n">
        <v>2.13</v>
      </c>
      <c r="L295" s="48" t="n">
        <v>100</v>
      </c>
      <c r="M295" s="96" t="n">
        <v>0</v>
      </c>
      <c r="N295" s="48" t="n"/>
      <c r="O295" s="38" t="inlineStr">
        <is>
          <t>Completed</t>
        </is>
      </c>
      <c r="P295" s="38" t="inlineStr"/>
      <c r="Q295" s="97">
        <f>IF(OR(F295="",E295=""),"",IFERROR(IF(INDEX('PROPERTIES'!$F$5:$F$404,MATCH(E295,'PROPERTIES'!$B$5:$B$404,0))=0,"",ROUND((INDEX('PROPERTIES'!$F$5:$F$404,MATCH(E295,'PROPERTIES'!$B$5:$B$404,0))/INDEX('PRICING'!$C$7:$C$16,MATCH(F295,'PRICING'!$A$7:$A$16,0))+INDEX('PROPERTIES'!$G$5:$G$404,MATCH(E295,'PROPERTIES'!$B$5:$B$404,0))*INDEX('PRICING'!$D$7:$D$16,MATCH(F295,'PRICING'!$A$7:$A$16,0))/60+INDEX('PROPERTIES'!$H$5:$H$404,MATCH(E295,'PROPERTIES'!$B$5:$B$404,0))*INDEX('PRICING'!$E$7:$E$16,MATCH(F295,'PRICING'!$A$7:$A$16,0))/60+INDEX('PRICING'!$F$7:$F$16,MATCH(F295,'PRICING'!$A$7:$A$16,0))/60),2)),""))</f>
        <v/>
      </c>
      <c r="R295" s="97">
        <f>IF(B295="","",IF(N(K295)&gt;0,K295,IF(N(J295)&gt;0,J295,N(Q295))))</f>
        <v/>
      </c>
      <c r="S295" s="55">
        <f>IF(L295="","",ROUND(L295*(1+N(M295)),2))</f>
        <v/>
      </c>
      <c r="T295" s="55">
        <f>IF(B295="","",SUMIFS('REVENUE'!$C$5:$C$1504,'REVENUE'!$B$5:$B$1504,A295))</f>
        <v/>
      </c>
      <c r="U295" s="55">
        <f>IF(B295="","",IF(O295="Completed",MAX(0,N(S295)-T295),""))</f>
        <v/>
      </c>
      <c r="V295" s="49">
        <f>IF(B295="","",IF(O295&lt;&gt;"Completed",IF(T295&gt;0,"Deposit","—"),IF(U295&lt;=0.005,"Paid",IF(T295&gt;0,"Partial","Unpaid"))))</f>
        <v/>
      </c>
      <c r="W295" s="55">
        <f>IF(B295="","",IFERROR(1/(1/INDEX('STAFF &amp; TASKS'!$C$5:$C$24,MATCH(H295,'STAFF &amp; TASKS'!$A$5:$A$24,0))),PayRate))</f>
        <v/>
      </c>
      <c r="X295" s="55">
        <f>IF(B295="","",IF(OR(O295="Cancelled",O295="No-Show"),"",ROUND(R295*W295*(1+Burden),2)))</f>
        <v/>
      </c>
      <c r="Y295" s="55">
        <f>IF(B295="","",IF(OR(O295="Cancelled",O295="No-Show"),"",IF(N295&lt;&gt;"",N295,ROUND(R295*SupHr*IFERROR(INDEX('PRICING'!$G$7:$G$16,MATCH(F295,'PRICING'!$A$7:$A$16,0)),1),2))))</f>
        <v/>
      </c>
      <c r="Z295" s="98">
        <f>IF(B295="","",SUMIFS('MILEAGE'!$J$5:$J$1504,'MILEAGE'!$B$5:$B$1504,A295))</f>
        <v/>
      </c>
      <c r="AA295" s="55">
        <f>IF(B295="","",ROUND(Z295*MileRate,2))</f>
        <v/>
      </c>
      <c r="AB295" s="55">
        <f>IF(B295="","",SUMIFS('REVENUE'!$J$5:$J$1504,'REVENUE'!$B$5:$B$1504,A295))</f>
        <v/>
      </c>
      <c r="AC295" s="55">
        <f>IF(L295="","",IF(OR(O295="Cancelled",O295="No-Show"),"",L295-N(X295)-N(Y295)-AA295-AB295))</f>
        <v/>
      </c>
      <c r="AD295" s="99">
        <f>IF(OR(AC295="",N(L295)=0),"",AC295/L295)</f>
        <v/>
      </c>
      <c r="AE295" s="55">
        <f>IF(OR(AC295="",N(R295)=0),"",L295/R295)</f>
        <v/>
      </c>
      <c r="AF295" s="100">
        <f>IF(OR(N(K295)=0,N(J295)+N(Q295)=0),"",K295-IF(N(J295)&gt;0,J295,Q295))</f>
        <v/>
      </c>
      <c r="AG295" s="99">
        <f>IF(B295="","",IFERROR(AVERAGEIFS('QUALITY CONTROL'!$M$5:$M$304,'QUALITY CONTROL'!$B$5:$B$304,A295),""))</f>
        <v/>
      </c>
      <c r="AH295" s="51">
        <f>IF(B295="","",DATE(YEAR(B295),MONTH(B295),1))</f>
        <v/>
      </c>
      <c r="AI295" s="49">
        <f>IF(D295="","",IFERROR(INDEX('CUSTOMERS'!$E$5:$E$404,MATCH(D295,'CUSTOMERS'!$B$5:$B$404,0)),""))</f>
        <v/>
      </c>
      <c r="AJ295" s="49">
        <f>IF(B295="","",N(C295))</f>
        <v/>
      </c>
      <c r="AK295" s="49">
        <f>IF(OR(B295="",O295="Cancelled",O295="Rescheduled"),"",B295&amp;"|"&amp;(COUNTIFS('JOBS'!$B$5:$B$1504,B295,'JOBS'!$AJ$5:$AJ$1504,"&lt;"&amp;AJ295,'JOBS'!$O$5:$O$1504,"&lt;&gt;Cancelled",'JOBS'!$O$5:$O$1504,"&lt;&gt;Rescheduled")+COUNTIFS($B$5:B295,B295,$AJ$5:AJ295,AJ295,$O$5:O295,"&lt;&gt;Cancelled",$O$5:O295,"&lt;&gt;Rescheduled")))</f>
        <v/>
      </c>
      <c r="AL295" s="49">
        <f>IF(N(U295)&lt;=0.005,"",COUNTIFS('JOBS'!$U$5:$U$1504,"&gt;0.005",'JOBS'!$B$5:$B$1504,"&lt;"&amp;B295)+COUNTIFS($U$5:U295,"&gt;0.005",$B$5:B295,B295))</f>
        <v/>
      </c>
    </row>
    <row r="296">
      <c r="A296" s="46" t="inlineStr">
        <is>
          <t>J-0292</t>
        </is>
      </c>
      <c r="B296" s="47" t="n">
        <v>46290</v>
      </c>
      <c r="C296" s="94" t="n">
        <v>0.5416666666666666</v>
      </c>
      <c r="D296" s="38" t="inlineStr">
        <is>
          <t>Dana Collins</t>
        </is>
      </c>
      <c r="E296" s="38" t="inlineStr">
        <is>
          <t>84 Hawthorn Road, Lakeview (fictional)</t>
        </is>
      </c>
      <c r="F296" s="38" t="inlineStr">
        <is>
          <t>Standard Clean</t>
        </is>
      </c>
      <c r="G296" s="38" t="inlineStr">
        <is>
          <t>R-006</t>
        </is>
      </c>
      <c r="H296" s="38" t="inlineStr">
        <is>
          <t>Dana Whitfield</t>
        </is>
      </c>
      <c r="I296" s="57" t="n">
        <v>1</v>
      </c>
      <c r="J296" s="95" t="n"/>
      <c r="K296" s="95" t="n">
        <v>4.48</v>
      </c>
      <c r="L296" s="48" t="n">
        <v>195</v>
      </c>
      <c r="M296" s="96" t="n">
        <v>0</v>
      </c>
      <c r="N296" s="48" t="n"/>
      <c r="O296" s="38" t="inlineStr">
        <is>
          <t>Completed</t>
        </is>
      </c>
      <c r="P296" s="38" t="inlineStr"/>
      <c r="Q296" s="97">
        <f>IF(OR(F296="",E296=""),"",IFERROR(IF(INDEX('PROPERTIES'!$F$5:$F$404,MATCH(E296,'PROPERTIES'!$B$5:$B$404,0))=0,"",ROUND((INDEX('PROPERTIES'!$F$5:$F$404,MATCH(E296,'PROPERTIES'!$B$5:$B$404,0))/INDEX('PRICING'!$C$7:$C$16,MATCH(F296,'PRICING'!$A$7:$A$16,0))+INDEX('PROPERTIES'!$G$5:$G$404,MATCH(E296,'PROPERTIES'!$B$5:$B$404,0))*INDEX('PRICING'!$D$7:$D$16,MATCH(F296,'PRICING'!$A$7:$A$16,0))/60+INDEX('PROPERTIES'!$H$5:$H$404,MATCH(E296,'PROPERTIES'!$B$5:$B$404,0))*INDEX('PRICING'!$E$7:$E$16,MATCH(F296,'PRICING'!$A$7:$A$16,0))/60+INDEX('PRICING'!$F$7:$F$16,MATCH(F296,'PRICING'!$A$7:$A$16,0))/60),2)),""))</f>
        <v/>
      </c>
      <c r="R296" s="97">
        <f>IF(B296="","",IF(N(K296)&gt;0,K296,IF(N(J296)&gt;0,J296,N(Q296))))</f>
        <v/>
      </c>
      <c r="S296" s="55">
        <f>IF(L296="","",ROUND(L296*(1+N(M296)),2))</f>
        <v/>
      </c>
      <c r="T296" s="55">
        <f>IF(B296="","",SUMIFS('REVENUE'!$C$5:$C$1504,'REVENUE'!$B$5:$B$1504,A296))</f>
        <v/>
      </c>
      <c r="U296" s="55">
        <f>IF(B296="","",IF(O296="Completed",MAX(0,N(S296)-T296),""))</f>
        <v/>
      </c>
      <c r="V296" s="49">
        <f>IF(B296="","",IF(O296&lt;&gt;"Completed",IF(T296&gt;0,"Deposit","—"),IF(U296&lt;=0.005,"Paid",IF(T296&gt;0,"Partial","Unpaid"))))</f>
        <v/>
      </c>
      <c r="W296" s="55">
        <f>IF(B296="","",IFERROR(1/(1/INDEX('STAFF &amp; TASKS'!$C$5:$C$24,MATCH(H296,'STAFF &amp; TASKS'!$A$5:$A$24,0))),PayRate))</f>
        <v/>
      </c>
      <c r="X296" s="55">
        <f>IF(B296="","",IF(OR(O296="Cancelled",O296="No-Show"),"",ROUND(R296*W296*(1+Burden),2)))</f>
        <v/>
      </c>
      <c r="Y296" s="55">
        <f>IF(B296="","",IF(OR(O296="Cancelled",O296="No-Show"),"",IF(N296&lt;&gt;"",N296,ROUND(R296*SupHr*IFERROR(INDEX('PRICING'!$G$7:$G$16,MATCH(F296,'PRICING'!$A$7:$A$16,0)),1),2))))</f>
        <v/>
      </c>
      <c r="Z296" s="98">
        <f>IF(B296="","",SUMIFS('MILEAGE'!$J$5:$J$1504,'MILEAGE'!$B$5:$B$1504,A296))</f>
        <v/>
      </c>
      <c r="AA296" s="55">
        <f>IF(B296="","",ROUND(Z296*MileRate,2))</f>
        <v/>
      </c>
      <c r="AB296" s="55">
        <f>IF(B296="","",SUMIFS('REVENUE'!$J$5:$J$1504,'REVENUE'!$B$5:$B$1504,A296))</f>
        <v/>
      </c>
      <c r="AC296" s="55">
        <f>IF(L296="","",IF(OR(O296="Cancelled",O296="No-Show"),"",L296-N(X296)-N(Y296)-AA296-AB296))</f>
        <v/>
      </c>
      <c r="AD296" s="99">
        <f>IF(OR(AC296="",N(L296)=0),"",AC296/L296)</f>
        <v/>
      </c>
      <c r="AE296" s="55">
        <f>IF(OR(AC296="",N(R296)=0),"",L296/R296)</f>
        <v/>
      </c>
      <c r="AF296" s="100">
        <f>IF(OR(N(K296)=0,N(J296)+N(Q296)=0),"",K296-IF(N(J296)&gt;0,J296,Q296))</f>
        <v/>
      </c>
      <c r="AG296" s="99">
        <f>IF(B296="","",IFERROR(AVERAGEIFS('QUALITY CONTROL'!$M$5:$M$304,'QUALITY CONTROL'!$B$5:$B$304,A296),""))</f>
        <v/>
      </c>
      <c r="AH296" s="51">
        <f>IF(B296="","",DATE(YEAR(B296),MONTH(B296),1))</f>
        <v/>
      </c>
      <c r="AI296" s="49">
        <f>IF(D296="","",IFERROR(INDEX('CUSTOMERS'!$E$5:$E$404,MATCH(D296,'CUSTOMERS'!$B$5:$B$404,0)),""))</f>
        <v/>
      </c>
      <c r="AJ296" s="49">
        <f>IF(B296="","",N(C296))</f>
        <v/>
      </c>
      <c r="AK296" s="49">
        <f>IF(OR(B296="",O296="Cancelled",O296="Rescheduled"),"",B296&amp;"|"&amp;(COUNTIFS('JOBS'!$B$5:$B$1504,B296,'JOBS'!$AJ$5:$AJ$1504,"&lt;"&amp;AJ296,'JOBS'!$O$5:$O$1504,"&lt;&gt;Cancelled",'JOBS'!$O$5:$O$1504,"&lt;&gt;Rescheduled")+COUNTIFS($B$5:B296,B296,$AJ$5:AJ296,AJ296,$O$5:O296,"&lt;&gt;Cancelled",$O$5:O296,"&lt;&gt;Rescheduled")))</f>
        <v/>
      </c>
      <c r="AL296" s="49">
        <f>IF(N(U296)&lt;=0.005,"",COUNTIFS('JOBS'!$U$5:$U$1504,"&gt;0.005",'JOBS'!$B$5:$B$1504,"&lt;"&amp;B296)+COUNTIFS($U$5:U296,"&gt;0.005",$B$5:B296,B296))</f>
        <v/>
      </c>
    </row>
    <row r="297">
      <c r="A297" s="46" t="inlineStr">
        <is>
          <t>J-0293</t>
        </is>
      </c>
      <c r="B297" s="47" t="n">
        <v>46290</v>
      </c>
      <c r="C297" s="94" t="n">
        <v>0.5416666666666666</v>
      </c>
      <c r="D297" s="38" t="inlineStr">
        <is>
          <t>Crescent Property Group (sample)</t>
        </is>
      </c>
      <c r="E297" s="38" t="inlineStr">
        <is>
          <t>211 Birch Lane, North Sampletown</t>
        </is>
      </c>
      <c r="F297" s="38" t="inlineStr">
        <is>
          <t>Move-In/Move-Out</t>
        </is>
      </c>
      <c r="G297" s="38" t="n"/>
      <c r="H297" s="38" t="inlineStr">
        <is>
          <t>Maria Lopez</t>
        </is>
      </c>
      <c r="I297" s="57" t="n">
        <v>2</v>
      </c>
      <c r="J297" s="95" t="n">
        <v>5.32</v>
      </c>
      <c r="K297" s="95" t="n">
        <v>3.77</v>
      </c>
      <c r="L297" s="48" t="n">
        <v>300</v>
      </c>
      <c r="M297" s="96" t="n">
        <v>0</v>
      </c>
      <c r="N297" s="48" t="n"/>
      <c r="O297" s="38" t="inlineStr">
        <is>
          <t>Completed</t>
        </is>
      </c>
      <c r="P297" s="38" t="inlineStr">
        <is>
          <t>Inside oven, fridge, cabinets</t>
        </is>
      </c>
      <c r="Q297" s="97">
        <f>IF(OR(F297="",E297=""),"",IFERROR(IF(INDEX('PROPERTIES'!$F$5:$F$404,MATCH(E297,'PROPERTIES'!$B$5:$B$404,0))=0,"",ROUND((INDEX('PROPERTIES'!$F$5:$F$404,MATCH(E297,'PROPERTIES'!$B$5:$B$404,0))/INDEX('PRICING'!$C$7:$C$16,MATCH(F297,'PRICING'!$A$7:$A$16,0))+INDEX('PROPERTIES'!$G$5:$G$404,MATCH(E297,'PROPERTIES'!$B$5:$B$404,0))*INDEX('PRICING'!$D$7:$D$16,MATCH(F297,'PRICING'!$A$7:$A$16,0))/60+INDEX('PROPERTIES'!$H$5:$H$404,MATCH(E297,'PROPERTIES'!$B$5:$B$404,0))*INDEX('PRICING'!$E$7:$E$16,MATCH(F297,'PRICING'!$A$7:$A$16,0))/60+INDEX('PRICING'!$F$7:$F$16,MATCH(F297,'PRICING'!$A$7:$A$16,0))/60),2)),""))</f>
        <v/>
      </c>
      <c r="R297" s="97">
        <f>IF(B297="","",IF(N(K297)&gt;0,K297,IF(N(J297)&gt;0,J297,N(Q297))))</f>
        <v/>
      </c>
      <c r="S297" s="55">
        <f>IF(L297="","",ROUND(L297*(1+N(M297)),2))</f>
        <v/>
      </c>
      <c r="T297" s="55">
        <f>IF(B297="","",SUMIFS('REVENUE'!$C$5:$C$1504,'REVENUE'!$B$5:$B$1504,A297))</f>
        <v/>
      </c>
      <c r="U297" s="55">
        <f>IF(B297="","",IF(O297="Completed",MAX(0,N(S297)-T297),""))</f>
        <v/>
      </c>
      <c r="V297" s="49">
        <f>IF(B297="","",IF(O297&lt;&gt;"Completed",IF(T297&gt;0,"Deposit","—"),IF(U297&lt;=0.005,"Paid",IF(T297&gt;0,"Partial","Unpaid"))))</f>
        <v/>
      </c>
      <c r="W297" s="55">
        <f>IF(B297="","",IFERROR(1/(1/INDEX('STAFF &amp; TASKS'!$C$5:$C$24,MATCH(H297,'STAFF &amp; TASKS'!$A$5:$A$24,0))),PayRate))</f>
        <v/>
      </c>
      <c r="X297" s="55">
        <f>IF(B297="","",IF(OR(O297="Cancelled",O297="No-Show"),"",ROUND(R297*W297*(1+Burden),2)))</f>
        <v/>
      </c>
      <c r="Y297" s="55">
        <f>IF(B297="","",IF(OR(O297="Cancelled",O297="No-Show"),"",IF(N297&lt;&gt;"",N297,ROUND(R297*SupHr*IFERROR(INDEX('PRICING'!$G$7:$G$16,MATCH(F297,'PRICING'!$A$7:$A$16,0)),1),2))))</f>
        <v/>
      </c>
      <c r="Z297" s="98">
        <f>IF(B297="","",SUMIFS('MILEAGE'!$J$5:$J$1504,'MILEAGE'!$B$5:$B$1504,A297))</f>
        <v/>
      </c>
      <c r="AA297" s="55">
        <f>IF(B297="","",ROUND(Z297*MileRate,2))</f>
        <v/>
      </c>
      <c r="AB297" s="55">
        <f>IF(B297="","",SUMIFS('REVENUE'!$J$5:$J$1504,'REVENUE'!$B$5:$B$1504,A297))</f>
        <v/>
      </c>
      <c r="AC297" s="55">
        <f>IF(L297="","",IF(OR(O297="Cancelled",O297="No-Show"),"",L297-N(X297)-N(Y297)-AA297-AB297))</f>
        <v/>
      </c>
      <c r="AD297" s="99">
        <f>IF(OR(AC297="",N(L297)=0),"",AC297/L297)</f>
        <v/>
      </c>
      <c r="AE297" s="55">
        <f>IF(OR(AC297="",N(R297)=0),"",L297/R297)</f>
        <v/>
      </c>
      <c r="AF297" s="100">
        <f>IF(OR(N(K297)=0,N(J297)+N(Q297)=0),"",K297-IF(N(J297)&gt;0,J297,Q297))</f>
        <v/>
      </c>
      <c r="AG297" s="99">
        <f>IF(B297="","",IFERROR(AVERAGEIFS('QUALITY CONTROL'!$M$5:$M$304,'QUALITY CONTROL'!$B$5:$B$304,A297),""))</f>
        <v/>
      </c>
      <c r="AH297" s="51">
        <f>IF(B297="","",DATE(YEAR(B297),MONTH(B297),1))</f>
        <v/>
      </c>
      <c r="AI297" s="49">
        <f>IF(D297="","",IFERROR(INDEX('CUSTOMERS'!$E$5:$E$404,MATCH(D297,'CUSTOMERS'!$B$5:$B$404,0)),""))</f>
        <v/>
      </c>
      <c r="AJ297" s="49">
        <f>IF(B297="","",N(C297))</f>
        <v/>
      </c>
      <c r="AK297" s="49">
        <f>IF(OR(B297="",O297="Cancelled",O297="Rescheduled"),"",B297&amp;"|"&amp;(COUNTIFS('JOBS'!$B$5:$B$1504,B297,'JOBS'!$AJ$5:$AJ$1504,"&lt;"&amp;AJ297,'JOBS'!$O$5:$O$1504,"&lt;&gt;Cancelled",'JOBS'!$O$5:$O$1504,"&lt;&gt;Rescheduled")+COUNTIFS($B$5:B297,B297,$AJ$5:AJ297,AJ297,$O$5:O297,"&lt;&gt;Cancelled",$O$5:O297,"&lt;&gt;Rescheduled")))</f>
        <v/>
      </c>
      <c r="AL297" s="49">
        <f>IF(N(U297)&lt;=0.005,"",COUNTIFS('JOBS'!$U$5:$U$1504,"&gt;0.005",'JOBS'!$B$5:$B$1504,"&lt;"&amp;B297)+COUNTIFS($U$5:U297,"&gt;0.005",$B$5:B297,B297))</f>
        <v/>
      </c>
    </row>
    <row r="298">
      <c r="A298" s="46" t="inlineStr">
        <is>
          <t>J-0294</t>
        </is>
      </c>
      <c r="B298" s="47" t="n">
        <v>46291</v>
      </c>
      <c r="C298" s="94" t="n">
        <v>0.5833333333333334</v>
      </c>
      <c r="D298" s="38" t="inlineStr">
        <is>
          <t>Finley Quigley</t>
        </is>
      </c>
      <c r="E298" s="38" t="inlineStr">
        <is>
          <t>21 Maple Avenue, North Sampletown</t>
        </is>
      </c>
      <c r="F298" s="38" t="inlineStr">
        <is>
          <t>Standard Clean</t>
        </is>
      </c>
      <c r="G298" s="38" t="inlineStr">
        <is>
          <t>R-007</t>
        </is>
      </c>
      <c r="H298" s="38" t="inlineStr">
        <is>
          <t>Maria Lopez</t>
        </is>
      </c>
      <c r="I298" s="57" t="n">
        <v>1</v>
      </c>
      <c r="J298" s="95" t="n"/>
      <c r="K298" s="95" t="n">
        <v>2.28</v>
      </c>
      <c r="L298" s="48" t="n">
        <v>110</v>
      </c>
      <c r="M298" s="96" t="n">
        <v>0</v>
      </c>
      <c r="N298" s="48" t="n"/>
      <c r="O298" s="38" t="inlineStr">
        <is>
          <t>Completed</t>
        </is>
      </c>
      <c r="P298" s="38" t="inlineStr"/>
      <c r="Q298" s="97">
        <f>IF(OR(F298="",E298=""),"",IFERROR(IF(INDEX('PROPERTIES'!$F$5:$F$404,MATCH(E298,'PROPERTIES'!$B$5:$B$404,0))=0,"",ROUND((INDEX('PROPERTIES'!$F$5:$F$404,MATCH(E298,'PROPERTIES'!$B$5:$B$404,0))/INDEX('PRICING'!$C$7:$C$16,MATCH(F298,'PRICING'!$A$7:$A$16,0))+INDEX('PROPERTIES'!$G$5:$G$404,MATCH(E298,'PROPERTIES'!$B$5:$B$404,0))*INDEX('PRICING'!$D$7:$D$16,MATCH(F298,'PRICING'!$A$7:$A$16,0))/60+INDEX('PROPERTIES'!$H$5:$H$404,MATCH(E298,'PROPERTIES'!$B$5:$B$404,0))*INDEX('PRICING'!$E$7:$E$16,MATCH(F298,'PRICING'!$A$7:$A$16,0))/60+INDEX('PRICING'!$F$7:$F$16,MATCH(F298,'PRICING'!$A$7:$A$16,0))/60),2)),""))</f>
        <v/>
      </c>
      <c r="R298" s="97">
        <f>IF(B298="","",IF(N(K298)&gt;0,K298,IF(N(J298)&gt;0,J298,N(Q298))))</f>
        <v/>
      </c>
      <c r="S298" s="55">
        <f>IF(L298="","",ROUND(L298*(1+N(M298)),2))</f>
        <v/>
      </c>
      <c r="T298" s="55">
        <f>IF(B298="","",SUMIFS('REVENUE'!$C$5:$C$1504,'REVENUE'!$B$5:$B$1504,A298))</f>
        <v/>
      </c>
      <c r="U298" s="55">
        <f>IF(B298="","",IF(O298="Completed",MAX(0,N(S298)-T298),""))</f>
        <v/>
      </c>
      <c r="V298" s="49">
        <f>IF(B298="","",IF(O298&lt;&gt;"Completed",IF(T298&gt;0,"Deposit","—"),IF(U298&lt;=0.005,"Paid",IF(T298&gt;0,"Partial","Unpaid"))))</f>
        <v/>
      </c>
      <c r="W298" s="55">
        <f>IF(B298="","",IFERROR(1/(1/INDEX('STAFF &amp; TASKS'!$C$5:$C$24,MATCH(H298,'STAFF &amp; TASKS'!$A$5:$A$24,0))),PayRate))</f>
        <v/>
      </c>
      <c r="X298" s="55">
        <f>IF(B298="","",IF(OR(O298="Cancelled",O298="No-Show"),"",ROUND(R298*W298*(1+Burden),2)))</f>
        <v/>
      </c>
      <c r="Y298" s="55">
        <f>IF(B298="","",IF(OR(O298="Cancelled",O298="No-Show"),"",IF(N298&lt;&gt;"",N298,ROUND(R298*SupHr*IFERROR(INDEX('PRICING'!$G$7:$G$16,MATCH(F298,'PRICING'!$A$7:$A$16,0)),1),2))))</f>
        <v/>
      </c>
      <c r="Z298" s="98">
        <f>IF(B298="","",SUMIFS('MILEAGE'!$J$5:$J$1504,'MILEAGE'!$B$5:$B$1504,A298))</f>
        <v/>
      </c>
      <c r="AA298" s="55">
        <f>IF(B298="","",ROUND(Z298*MileRate,2))</f>
        <v/>
      </c>
      <c r="AB298" s="55">
        <f>IF(B298="","",SUMIFS('REVENUE'!$J$5:$J$1504,'REVENUE'!$B$5:$B$1504,A298))</f>
        <v/>
      </c>
      <c r="AC298" s="55">
        <f>IF(L298="","",IF(OR(O298="Cancelled",O298="No-Show"),"",L298-N(X298)-N(Y298)-AA298-AB298))</f>
        <v/>
      </c>
      <c r="AD298" s="99">
        <f>IF(OR(AC298="",N(L298)=0),"",AC298/L298)</f>
        <v/>
      </c>
      <c r="AE298" s="55">
        <f>IF(OR(AC298="",N(R298)=0),"",L298/R298)</f>
        <v/>
      </c>
      <c r="AF298" s="100">
        <f>IF(OR(N(K298)=0,N(J298)+N(Q298)=0),"",K298-IF(N(J298)&gt;0,J298,Q298))</f>
        <v/>
      </c>
      <c r="AG298" s="99">
        <f>IF(B298="","",IFERROR(AVERAGEIFS('QUALITY CONTROL'!$M$5:$M$304,'QUALITY CONTROL'!$B$5:$B$304,A298),""))</f>
        <v/>
      </c>
      <c r="AH298" s="51">
        <f>IF(B298="","",DATE(YEAR(B298),MONTH(B298),1))</f>
        <v/>
      </c>
      <c r="AI298" s="49">
        <f>IF(D298="","",IFERROR(INDEX('CUSTOMERS'!$E$5:$E$404,MATCH(D298,'CUSTOMERS'!$B$5:$B$404,0)),""))</f>
        <v/>
      </c>
      <c r="AJ298" s="49">
        <f>IF(B298="","",N(C298))</f>
        <v/>
      </c>
      <c r="AK298" s="49">
        <f>IF(OR(B298="",O298="Cancelled",O298="Rescheduled"),"",B298&amp;"|"&amp;(COUNTIFS('JOBS'!$B$5:$B$1504,B298,'JOBS'!$AJ$5:$AJ$1504,"&lt;"&amp;AJ298,'JOBS'!$O$5:$O$1504,"&lt;&gt;Cancelled",'JOBS'!$O$5:$O$1504,"&lt;&gt;Rescheduled")+COUNTIFS($B$5:B298,B298,$AJ$5:AJ298,AJ298,$O$5:O298,"&lt;&gt;Cancelled",$O$5:O298,"&lt;&gt;Rescheduled")))</f>
        <v/>
      </c>
      <c r="AL298" s="49">
        <f>IF(N(U298)&lt;=0.005,"",COUNTIFS('JOBS'!$U$5:$U$1504,"&gt;0.005",'JOBS'!$B$5:$B$1504,"&lt;"&amp;B298)+COUNTIFS($U$5:U298,"&gt;0.005",$B$5:B298,B298))</f>
        <v/>
      </c>
    </row>
    <row r="299">
      <c r="A299" s="46" t="inlineStr">
        <is>
          <t>J-0295</t>
        </is>
      </c>
      <c r="B299" s="47" t="n">
        <v>46293</v>
      </c>
      <c r="C299" s="94" t="n">
        <v>0.625</v>
      </c>
      <c r="D299" s="38" t="inlineStr">
        <is>
          <t>Dana Oakes</t>
        </is>
      </c>
      <c r="E299" s="38" t="inlineStr">
        <is>
          <t>666 Juniper Street, North Sampletown</t>
        </is>
      </c>
      <c r="F299" s="38" t="inlineStr">
        <is>
          <t>Airbnb Turnover</t>
        </is>
      </c>
      <c r="G299" s="38" t="n"/>
      <c r="H299" s="38" t="inlineStr">
        <is>
          <t>Kevin Osei</t>
        </is>
      </c>
      <c r="I299" s="57" t="n">
        <v>1</v>
      </c>
      <c r="J299" s="95" t="n"/>
      <c r="K299" s="95" t="n">
        <v>1.52</v>
      </c>
      <c r="L299" s="48" t="n">
        <v>135</v>
      </c>
      <c r="M299" s="96" t="n">
        <v>0</v>
      </c>
      <c r="N299" s="48" t="n"/>
      <c r="O299" s="38" t="inlineStr">
        <is>
          <t>Completed</t>
        </is>
      </c>
      <c r="P299" s="38" t="inlineStr">
        <is>
          <t>Includes laundry</t>
        </is>
      </c>
      <c r="Q299" s="97">
        <f>IF(OR(F299="",E299=""),"",IFERROR(IF(INDEX('PROPERTIES'!$F$5:$F$404,MATCH(E299,'PROPERTIES'!$B$5:$B$404,0))=0,"",ROUND((INDEX('PROPERTIES'!$F$5:$F$404,MATCH(E299,'PROPERTIES'!$B$5:$B$404,0))/INDEX('PRICING'!$C$7:$C$16,MATCH(F299,'PRICING'!$A$7:$A$16,0))+INDEX('PROPERTIES'!$G$5:$G$404,MATCH(E299,'PROPERTIES'!$B$5:$B$404,0))*INDEX('PRICING'!$D$7:$D$16,MATCH(F299,'PRICING'!$A$7:$A$16,0))/60+INDEX('PROPERTIES'!$H$5:$H$404,MATCH(E299,'PROPERTIES'!$B$5:$B$404,0))*INDEX('PRICING'!$E$7:$E$16,MATCH(F299,'PRICING'!$A$7:$A$16,0))/60+INDEX('PRICING'!$F$7:$F$16,MATCH(F299,'PRICING'!$A$7:$A$16,0))/60),2)),""))</f>
        <v/>
      </c>
      <c r="R299" s="97">
        <f>IF(B299="","",IF(N(K299)&gt;0,K299,IF(N(J299)&gt;0,J299,N(Q299))))</f>
        <v/>
      </c>
      <c r="S299" s="55">
        <f>IF(L299="","",ROUND(L299*(1+N(M299)),2))</f>
        <v/>
      </c>
      <c r="T299" s="55">
        <f>IF(B299="","",SUMIFS('REVENUE'!$C$5:$C$1504,'REVENUE'!$B$5:$B$1504,A299))</f>
        <v/>
      </c>
      <c r="U299" s="55">
        <f>IF(B299="","",IF(O299="Completed",MAX(0,N(S299)-T299),""))</f>
        <v/>
      </c>
      <c r="V299" s="49">
        <f>IF(B299="","",IF(O299&lt;&gt;"Completed",IF(T299&gt;0,"Deposit","—"),IF(U299&lt;=0.005,"Paid",IF(T299&gt;0,"Partial","Unpaid"))))</f>
        <v/>
      </c>
      <c r="W299" s="55">
        <f>IF(B299="","",IFERROR(1/(1/INDEX('STAFF &amp; TASKS'!$C$5:$C$24,MATCH(H299,'STAFF &amp; TASKS'!$A$5:$A$24,0))),PayRate))</f>
        <v/>
      </c>
      <c r="X299" s="55">
        <f>IF(B299="","",IF(OR(O299="Cancelled",O299="No-Show"),"",ROUND(R299*W299*(1+Burden),2)))</f>
        <v/>
      </c>
      <c r="Y299" s="55">
        <f>IF(B299="","",IF(OR(O299="Cancelled",O299="No-Show"),"",IF(N299&lt;&gt;"",N299,ROUND(R299*SupHr*IFERROR(INDEX('PRICING'!$G$7:$G$16,MATCH(F299,'PRICING'!$A$7:$A$16,0)),1),2))))</f>
        <v/>
      </c>
      <c r="Z299" s="98">
        <f>IF(B299="","",SUMIFS('MILEAGE'!$J$5:$J$1504,'MILEAGE'!$B$5:$B$1504,A299))</f>
        <v/>
      </c>
      <c r="AA299" s="55">
        <f>IF(B299="","",ROUND(Z299*MileRate,2))</f>
        <v/>
      </c>
      <c r="AB299" s="55">
        <f>IF(B299="","",SUMIFS('REVENUE'!$J$5:$J$1504,'REVENUE'!$B$5:$B$1504,A299))</f>
        <v/>
      </c>
      <c r="AC299" s="55">
        <f>IF(L299="","",IF(OR(O299="Cancelled",O299="No-Show"),"",L299-N(X299)-N(Y299)-AA299-AB299))</f>
        <v/>
      </c>
      <c r="AD299" s="99">
        <f>IF(OR(AC299="",N(L299)=0),"",AC299/L299)</f>
        <v/>
      </c>
      <c r="AE299" s="55">
        <f>IF(OR(AC299="",N(R299)=0),"",L299/R299)</f>
        <v/>
      </c>
      <c r="AF299" s="100">
        <f>IF(OR(N(K299)=0,N(J299)+N(Q299)=0),"",K299-IF(N(J299)&gt;0,J299,Q299))</f>
        <v/>
      </c>
      <c r="AG299" s="99">
        <f>IF(B299="","",IFERROR(AVERAGEIFS('QUALITY CONTROL'!$M$5:$M$304,'QUALITY CONTROL'!$B$5:$B$304,A299),""))</f>
        <v/>
      </c>
      <c r="AH299" s="51">
        <f>IF(B299="","",DATE(YEAR(B299),MONTH(B299),1))</f>
        <v/>
      </c>
      <c r="AI299" s="49">
        <f>IF(D299="","",IFERROR(INDEX('CUSTOMERS'!$E$5:$E$404,MATCH(D299,'CUSTOMERS'!$B$5:$B$404,0)),""))</f>
        <v/>
      </c>
      <c r="AJ299" s="49">
        <f>IF(B299="","",N(C299))</f>
        <v/>
      </c>
      <c r="AK299" s="49">
        <f>IF(OR(B299="",O299="Cancelled",O299="Rescheduled"),"",B299&amp;"|"&amp;(COUNTIFS('JOBS'!$B$5:$B$1504,B299,'JOBS'!$AJ$5:$AJ$1504,"&lt;"&amp;AJ299,'JOBS'!$O$5:$O$1504,"&lt;&gt;Cancelled",'JOBS'!$O$5:$O$1504,"&lt;&gt;Rescheduled")+COUNTIFS($B$5:B299,B299,$AJ$5:AJ299,AJ299,$O$5:O299,"&lt;&gt;Cancelled",$O$5:O299,"&lt;&gt;Rescheduled")))</f>
        <v/>
      </c>
      <c r="AL299" s="49">
        <f>IF(N(U299)&lt;=0.005,"",COUNTIFS('JOBS'!$U$5:$U$1504,"&gt;0.005",'JOBS'!$B$5:$B$1504,"&lt;"&amp;B299)+COUNTIFS($U$5:U299,"&gt;0.005",$B$5:B299,B299))</f>
        <v/>
      </c>
    </row>
    <row r="300">
      <c r="A300" s="46" t="inlineStr">
        <is>
          <t>J-0296</t>
        </is>
      </c>
      <c r="B300" s="47" t="n">
        <v>46295</v>
      </c>
      <c r="C300" s="94" t="n">
        <v>0.5833333333333334</v>
      </c>
      <c r="D300" s="38" t="inlineStr">
        <is>
          <t>Logan Porter</t>
        </is>
      </c>
      <c r="E300" s="38" t="inlineStr">
        <is>
          <t>675 Aspen Drive, Lakeview (fictional)</t>
        </is>
      </c>
      <c r="F300" s="38" t="inlineStr">
        <is>
          <t>Standard Clean</t>
        </is>
      </c>
      <c r="G300" s="38" t="inlineStr">
        <is>
          <t>R-002</t>
        </is>
      </c>
      <c r="H300" s="38" t="inlineStr">
        <is>
          <t>Dana Whitfield</t>
        </is>
      </c>
      <c r="I300" s="57" t="n">
        <v>1</v>
      </c>
      <c r="J300" s="95" t="n"/>
      <c r="K300" s="95" t="n">
        <v>4.39</v>
      </c>
      <c r="L300" s="48" t="n">
        <v>220</v>
      </c>
      <c r="M300" s="96" t="n">
        <v>0</v>
      </c>
      <c r="N300" s="48" t="n"/>
      <c r="O300" s="38" t="inlineStr">
        <is>
          <t>Completed</t>
        </is>
      </c>
      <c r="P300" s="38" t="inlineStr"/>
      <c r="Q300" s="97">
        <f>IF(OR(F300="",E300=""),"",IFERROR(IF(INDEX('PROPERTIES'!$F$5:$F$404,MATCH(E300,'PROPERTIES'!$B$5:$B$404,0))=0,"",ROUND((INDEX('PROPERTIES'!$F$5:$F$404,MATCH(E300,'PROPERTIES'!$B$5:$B$404,0))/INDEX('PRICING'!$C$7:$C$16,MATCH(F300,'PRICING'!$A$7:$A$16,0))+INDEX('PROPERTIES'!$G$5:$G$404,MATCH(E300,'PROPERTIES'!$B$5:$B$404,0))*INDEX('PRICING'!$D$7:$D$16,MATCH(F300,'PRICING'!$A$7:$A$16,0))/60+INDEX('PROPERTIES'!$H$5:$H$404,MATCH(E300,'PROPERTIES'!$B$5:$B$404,0))*INDEX('PRICING'!$E$7:$E$16,MATCH(F300,'PRICING'!$A$7:$A$16,0))/60+INDEX('PRICING'!$F$7:$F$16,MATCH(F300,'PRICING'!$A$7:$A$16,0))/60),2)),""))</f>
        <v/>
      </c>
      <c r="R300" s="97">
        <f>IF(B300="","",IF(N(K300)&gt;0,K300,IF(N(J300)&gt;0,J300,N(Q300))))</f>
        <v/>
      </c>
      <c r="S300" s="55">
        <f>IF(L300="","",ROUND(L300*(1+N(M300)),2))</f>
        <v/>
      </c>
      <c r="T300" s="55">
        <f>IF(B300="","",SUMIFS('REVENUE'!$C$5:$C$1504,'REVENUE'!$B$5:$B$1504,A300))</f>
        <v/>
      </c>
      <c r="U300" s="55">
        <f>IF(B300="","",IF(O300="Completed",MAX(0,N(S300)-T300),""))</f>
        <v/>
      </c>
      <c r="V300" s="49">
        <f>IF(B300="","",IF(O300&lt;&gt;"Completed",IF(T300&gt;0,"Deposit","—"),IF(U300&lt;=0.005,"Paid",IF(T300&gt;0,"Partial","Unpaid"))))</f>
        <v/>
      </c>
      <c r="W300" s="55">
        <f>IF(B300="","",IFERROR(1/(1/INDEX('STAFF &amp; TASKS'!$C$5:$C$24,MATCH(H300,'STAFF &amp; TASKS'!$A$5:$A$24,0))),PayRate))</f>
        <v/>
      </c>
      <c r="X300" s="55">
        <f>IF(B300="","",IF(OR(O300="Cancelled",O300="No-Show"),"",ROUND(R300*W300*(1+Burden),2)))</f>
        <v/>
      </c>
      <c r="Y300" s="55">
        <f>IF(B300="","",IF(OR(O300="Cancelled",O300="No-Show"),"",IF(N300&lt;&gt;"",N300,ROUND(R300*SupHr*IFERROR(INDEX('PRICING'!$G$7:$G$16,MATCH(F300,'PRICING'!$A$7:$A$16,0)),1),2))))</f>
        <v/>
      </c>
      <c r="Z300" s="98">
        <f>IF(B300="","",SUMIFS('MILEAGE'!$J$5:$J$1504,'MILEAGE'!$B$5:$B$1504,A300))</f>
        <v/>
      </c>
      <c r="AA300" s="55">
        <f>IF(B300="","",ROUND(Z300*MileRate,2))</f>
        <v/>
      </c>
      <c r="AB300" s="55">
        <f>IF(B300="","",SUMIFS('REVENUE'!$J$5:$J$1504,'REVENUE'!$B$5:$B$1504,A300))</f>
        <v/>
      </c>
      <c r="AC300" s="55">
        <f>IF(L300="","",IF(OR(O300="Cancelled",O300="No-Show"),"",L300-N(X300)-N(Y300)-AA300-AB300))</f>
        <v/>
      </c>
      <c r="AD300" s="99">
        <f>IF(OR(AC300="",N(L300)=0),"",AC300/L300)</f>
        <v/>
      </c>
      <c r="AE300" s="55">
        <f>IF(OR(AC300="",N(R300)=0),"",L300/R300)</f>
        <v/>
      </c>
      <c r="AF300" s="100">
        <f>IF(OR(N(K300)=0,N(J300)+N(Q300)=0),"",K300-IF(N(J300)&gt;0,J300,Q300))</f>
        <v/>
      </c>
      <c r="AG300" s="99">
        <f>IF(B300="","",IFERROR(AVERAGEIFS('QUALITY CONTROL'!$M$5:$M$304,'QUALITY CONTROL'!$B$5:$B$304,A300),""))</f>
        <v/>
      </c>
      <c r="AH300" s="51">
        <f>IF(B300="","",DATE(YEAR(B300),MONTH(B300),1))</f>
        <v/>
      </c>
      <c r="AI300" s="49">
        <f>IF(D300="","",IFERROR(INDEX('CUSTOMERS'!$E$5:$E$404,MATCH(D300,'CUSTOMERS'!$B$5:$B$404,0)),""))</f>
        <v/>
      </c>
      <c r="AJ300" s="49">
        <f>IF(B300="","",N(C300))</f>
        <v/>
      </c>
      <c r="AK300" s="49">
        <f>IF(OR(B300="",O300="Cancelled",O300="Rescheduled"),"",B300&amp;"|"&amp;(COUNTIFS('JOBS'!$B$5:$B$1504,B300,'JOBS'!$AJ$5:$AJ$1504,"&lt;"&amp;AJ300,'JOBS'!$O$5:$O$1504,"&lt;&gt;Cancelled",'JOBS'!$O$5:$O$1504,"&lt;&gt;Rescheduled")+COUNTIFS($B$5:B300,B300,$AJ$5:AJ300,AJ300,$O$5:O300,"&lt;&gt;Cancelled",$O$5:O300,"&lt;&gt;Rescheduled")))</f>
        <v/>
      </c>
      <c r="AL300" s="49">
        <f>IF(N(U300)&lt;=0.005,"",COUNTIFS('JOBS'!$U$5:$U$1504,"&gt;0.005",'JOBS'!$B$5:$B$1504,"&lt;"&amp;B300)+COUNTIFS($U$5:U300,"&gt;0.005",$B$5:B300,B300))</f>
        <v/>
      </c>
    </row>
    <row r="301">
      <c r="A301" s="46" t="inlineStr">
        <is>
          <t>J-0297</t>
        </is>
      </c>
      <c r="B301" s="47" t="n">
        <v>46296</v>
      </c>
      <c r="C301" s="94" t="n">
        <v>0.3541666666666667</v>
      </c>
      <c r="D301" s="38" t="inlineStr">
        <is>
          <t>Blake Oakes</t>
        </is>
      </c>
      <c r="E301" s="38" t="inlineStr">
        <is>
          <t>654 Willow Way, North Sampletown</t>
        </is>
      </c>
      <c r="F301" s="38" t="inlineStr">
        <is>
          <t>Airbnb Turnover</t>
        </is>
      </c>
      <c r="G301" s="38" t="n"/>
      <c r="H301" s="38" t="inlineStr">
        <is>
          <t>Kevin Osei</t>
        </is>
      </c>
      <c r="I301" s="57" t="n">
        <v>1</v>
      </c>
      <c r="J301" s="95" t="n"/>
      <c r="K301" s="95" t="n"/>
      <c r="L301" s="48" t="n">
        <v>135</v>
      </c>
      <c r="M301" s="96" t="n">
        <v>0</v>
      </c>
      <c r="N301" s="48" t="n"/>
      <c r="O301" s="38" t="inlineStr">
        <is>
          <t>Scheduled</t>
        </is>
      </c>
      <c r="P301" s="38" t="inlineStr">
        <is>
          <t>Includes laundry</t>
        </is>
      </c>
      <c r="Q301" s="97">
        <f>IF(OR(F301="",E301=""),"",IFERROR(IF(INDEX('PROPERTIES'!$F$5:$F$404,MATCH(E301,'PROPERTIES'!$B$5:$B$404,0))=0,"",ROUND((INDEX('PROPERTIES'!$F$5:$F$404,MATCH(E301,'PROPERTIES'!$B$5:$B$404,0))/INDEX('PRICING'!$C$7:$C$16,MATCH(F301,'PRICING'!$A$7:$A$16,0))+INDEX('PROPERTIES'!$G$5:$G$404,MATCH(E301,'PROPERTIES'!$B$5:$B$404,0))*INDEX('PRICING'!$D$7:$D$16,MATCH(F301,'PRICING'!$A$7:$A$16,0))/60+INDEX('PROPERTIES'!$H$5:$H$404,MATCH(E301,'PROPERTIES'!$B$5:$B$404,0))*INDEX('PRICING'!$E$7:$E$16,MATCH(F301,'PRICING'!$A$7:$A$16,0))/60+INDEX('PRICING'!$F$7:$F$16,MATCH(F301,'PRICING'!$A$7:$A$16,0))/60),2)),""))</f>
        <v/>
      </c>
      <c r="R301" s="97">
        <f>IF(B301="","",IF(N(K301)&gt;0,K301,IF(N(J301)&gt;0,J301,N(Q301))))</f>
        <v/>
      </c>
      <c r="S301" s="55">
        <f>IF(L301="","",ROUND(L301*(1+N(M301)),2))</f>
        <v/>
      </c>
      <c r="T301" s="55">
        <f>IF(B301="","",SUMIFS('REVENUE'!$C$5:$C$1504,'REVENUE'!$B$5:$B$1504,A301))</f>
        <v/>
      </c>
      <c r="U301" s="55">
        <f>IF(B301="","",IF(O301="Completed",MAX(0,N(S301)-T301),""))</f>
        <v/>
      </c>
      <c r="V301" s="49">
        <f>IF(B301="","",IF(O301&lt;&gt;"Completed",IF(T301&gt;0,"Deposit","—"),IF(U301&lt;=0.005,"Paid",IF(T301&gt;0,"Partial","Unpaid"))))</f>
        <v/>
      </c>
      <c r="W301" s="55">
        <f>IF(B301="","",IFERROR(1/(1/INDEX('STAFF &amp; TASKS'!$C$5:$C$24,MATCH(H301,'STAFF &amp; TASKS'!$A$5:$A$24,0))),PayRate))</f>
        <v/>
      </c>
      <c r="X301" s="55">
        <f>IF(B301="","",IF(OR(O301="Cancelled",O301="No-Show"),"",ROUND(R301*W301*(1+Burden),2)))</f>
        <v/>
      </c>
      <c r="Y301" s="55">
        <f>IF(B301="","",IF(OR(O301="Cancelled",O301="No-Show"),"",IF(N301&lt;&gt;"",N301,ROUND(R301*SupHr*IFERROR(INDEX('PRICING'!$G$7:$G$16,MATCH(F301,'PRICING'!$A$7:$A$16,0)),1),2))))</f>
        <v/>
      </c>
      <c r="Z301" s="98">
        <f>IF(B301="","",SUMIFS('MILEAGE'!$J$5:$J$1504,'MILEAGE'!$B$5:$B$1504,A301))</f>
        <v/>
      </c>
      <c r="AA301" s="55">
        <f>IF(B301="","",ROUND(Z301*MileRate,2))</f>
        <v/>
      </c>
      <c r="AB301" s="55">
        <f>IF(B301="","",SUMIFS('REVENUE'!$J$5:$J$1504,'REVENUE'!$B$5:$B$1504,A301))</f>
        <v/>
      </c>
      <c r="AC301" s="55">
        <f>IF(L301="","",IF(OR(O301="Cancelled",O301="No-Show"),"",L301-N(X301)-N(Y301)-AA301-AB301))</f>
        <v/>
      </c>
      <c r="AD301" s="99">
        <f>IF(OR(AC301="",N(L301)=0),"",AC301/L301)</f>
        <v/>
      </c>
      <c r="AE301" s="55">
        <f>IF(OR(AC301="",N(R301)=0),"",L301/R301)</f>
        <v/>
      </c>
      <c r="AF301" s="100">
        <f>IF(OR(N(K301)=0,N(J301)+N(Q301)=0),"",K301-IF(N(J301)&gt;0,J301,Q301))</f>
        <v/>
      </c>
      <c r="AG301" s="99">
        <f>IF(B301="","",IFERROR(AVERAGEIFS('QUALITY CONTROL'!$M$5:$M$304,'QUALITY CONTROL'!$B$5:$B$304,A301),""))</f>
        <v/>
      </c>
      <c r="AH301" s="51">
        <f>IF(B301="","",DATE(YEAR(B301),MONTH(B301),1))</f>
        <v/>
      </c>
      <c r="AI301" s="49">
        <f>IF(D301="","",IFERROR(INDEX('CUSTOMERS'!$E$5:$E$404,MATCH(D301,'CUSTOMERS'!$B$5:$B$404,0)),""))</f>
        <v/>
      </c>
      <c r="AJ301" s="49">
        <f>IF(B301="","",N(C301))</f>
        <v/>
      </c>
      <c r="AK301" s="49">
        <f>IF(OR(B301="",O301="Cancelled",O301="Rescheduled"),"",B301&amp;"|"&amp;(COUNTIFS('JOBS'!$B$5:$B$1504,B301,'JOBS'!$AJ$5:$AJ$1504,"&lt;"&amp;AJ301,'JOBS'!$O$5:$O$1504,"&lt;&gt;Cancelled",'JOBS'!$O$5:$O$1504,"&lt;&gt;Rescheduled")+COUNTIFS($B$5:B301,B301,$AJ$5:AJ301,AJ301,$O$5:O301,"&lt;&gt;Cancelled",$O$5:O301,"&lt;&gt;Rescheduled")))</f>
        <v/>
      </c>
      <c r="AL301" s="49">
        <f>IF(N(U301)&lt;=0.005,"",COUNTIFS('JOBS'!$U$5:$U$1504,"&gt;0.005",'JOBS'!$B$5:$B$1504,"&lt;"&amp;B301)+COUNTIFS($U$5:U301,"&gt;0.005",$B$5:B301,B301))</f>
        <v/>
      </c>
    </row>
    <row r="302">
      <c r="A302" s="46" t="inlineStr">
        <is>
          <t>J-0298</t>
        </is>
      </c>
      <c r="B302" s="47" t="n">
        <v>46297</v>
      </c>
      <c r="C302" s="94" t="n">
        <v>0.3333333333333333</v>
      </c>
      <c r="D302" s="38" t="inlineStr">
        <is>
          <t>Rowan Foxworth</t>
        </is>
      </c>
      <c r="E302" s="38" t="inlineStr">
        <is>
          <t>876 Magnolia Circle, North Sampletown</t>
        </is>
      </c>
      <c r="F302" s="38" t="inlineStr">
        <is>
          <t>Standard Clean</t>
        </is>
      </c>
      <c r="G302" s="38" t="inlineStr">
        <is>
          <t>R-005</t>
        </is>
      </c>
      <c r="H302" s="38" t="inlineStr">
        <is>
          <t>Maria Lopez</t>
        </is>
      </c>
      <c r="I302" s="57" t="n">
        <v>1</v>
      </c>
      <c r="J302" s="95" t="n"/>
      <c r="K302" s="95" t="n"/>
      <c r="L302" s="48" t="n">
        <v>220</v>
      </c>
      <c r="M302" s="96" t="n">
        <v>0</v>
      </c>
      <c r="N302" s="48" t="n"/>
      <c r="O302" s="38" t="inlineStr">
        <is>
          <t>Scheduled</t>
        </is>
      </c>
      <c r="P302" s="38" t="inlineStr"/>
      <c r="Q302" s="97">
        <f>IF(OR(F302="",E302=""),"",IFERROR(IF(INDEX('PROPERTIES'!$F$5:$F$404,MATCH(E302,'PROPERTIES'!$B$5:$B$404,0))=0,"",ROUND((INDEX('PROPERTIES'!$F$5:$F$404,MATCH(E302,'PROPERTIES'!$B$5:$B$404,0))/INDEX('PRICING'!$C$7:$C$16,MATCH(F302,'PRICING'!$A$7:$A$16,0))+INDEX('PROPERTIES'!$G$5:$G$404,MATCH(E302,'PROPERTIES'!$B$5:$B$404,0))*INDEX('PRICING'!$D$7:$D$16,MATCH(F302,'PRICING'!$A$7:$A$16,0))/60+INDEX('PROPERTIES'!$H$5:$H$404,MATCH(E302,'PROPERTIES'!$B$5:$B$404,0))*INDEX('PRICING'!$E$7:$E$16,MATCH(F302,'PRICING'!$A$7:$A$16,0))/60+INDEX('PRICING'!$F$7:$F$16,MATCH(F302,'PRICING'!$A$7:$A$16,0))/60),2)),""))</f>
        <v/>
      </c>
      <c r="R302" s="97">
        <f>IF(B302="","",IF(N(K302)&gt;0,K302,IF(N(J302)&gt;0,J302,N(Q302))))</f>
        <v/>
      </c>
      <c r="S302" s="55">
        <f>IF(L302="","",ROUND(L302*(1+N(M302)),2))</f>
        <v/>
      </c>
      <c r="T302" s="55">
        <f>IF(B302="","",SUMIFS('REVENUE'!$C$5:$C$1504,'REVENUE'!$B$5:$B$1504,A302))</f>
        <v/>
      </c>
      <c r="U302" s="55">
        <f>IF(B302="","",IF(O302="Completed",MAX(0,N(S302)-T302),""))</f>
        <v/>
      </c>
      <c r="V302" s="49">
        <f>IF(B302="","",IF(O302&lt;&gt;"Completed",IF(T302&gt;0,"Deposit","—"),IF(U302&lt;=0.005,"Paid",IF(T302&gt;0,"Partial","Unpaid"))))</f>
        <v/>
      </c>
      <c r="W302" s="55">
        <f>IF(B302="","",IFERROR(1/(1/INDEX('STAFF &amp; TASKS'!$C$5:$C$24,MATCH(H302,'STAFF &amp; TASKS'!$A$5:$A$24,0))),PayRate))</f>
        <v/>
      </c>
      <c r="X302" s="55">
        <f>IF(B302="","",IF(OR(O302="Cancelled",O302="No-Show"),"",ROUND(R302*W302*(1+Burden),2)))</f>
        <v/>
      </c>
      <c r="Y302" s="55">
        <f>IF(B302="","",IF(OR(O302="Cancelled",O302="No-Show"),"",IF(N302&lt;&gt;"",N302,ROUND(R302*SupHr*IFERROR(INDEX('PRICING'!$G$7:$G$16,MATCH(F302,'PRICING'!$A$7:$A$16,0)),1),2))))</f>
        <v/>
      </c>
      <c r="Z302" s="98">
        <f>IF(B302="","",SUMIFS('MILEAGE'!$J$5:$J$1504,'MILEAGE'!$B$5:$B$1504,A302))</f>
        <v/>
      </c>
      <c r="AA302" s="55">
        <f>IF(B302="","",ROUND(Z302*MileRate,2))</f>
        <v/>
      </c>
      <c r="AB302" s="55">
        <f>IF(B302="","",SUMIFS('REVENUE'!$J$5:$J$1504,'REVENUE'!$B$5:$B$1504,A302))</f>
        <v/>
      </c>
      <c r="AC302" s="55">
        <f>IF(L302="","",IF(OR(O302="Cancelled",O302="No-Show"),"",L302-N(X302)-N(Y302)-AA302-AB302))</f>
        <v/>
      </c>
      <c r="AD302" s="99">
        <f>IF(OR(AC302="",N(L302)=0),"",AC302/L302)</f>
        <v/>
      </c>
      <c r="AE302" s="55">
        <f>IF(OR(AC302="",N(R302)=0),"",L302/R302)</f>
        <v/>
      </c>
      <c r="AF302" s="100">
        <f>IF(OR(N(K302)=0,N(J302)+N(Q302)=0),"",K302-IF(N(J302)&gt;0,J302,Q302))</f>
        <v/>
      </c>
      <c r="AG302" s="99">
        <f>IF(B302="","",IFERROR(AVERAGEIFS('QUALITY CONTROL'!$M$5:$M$304,'QUALITY CONTROL'!$B$5:$B$304,A302),""))</f>
        <v/>
      </c>
      <c r="AH302" s="51">
        <f>IF(B302="","",DATE(YEAR(B302),MONTH(B302),1))</f>
        <v/>
      </c>
      <c r="AI302" s="49">
        <f>IF(D302="","",IFERROR(INDEX('CUSTOMERS'!$E$5:$E$404,MATCH(D302,'CUSTOMERS'!$B$5:$B$404,0)),""))</f>
        <v/>
      </c>
      <c r="AJ302" s="49">
        <f>IF(B302="","",N(C302))</f>
        <v/>
      </c>
      <c r="AK302" s="49">
        <f>IF(OR(B302="",O302="Cancelled",O302="Rescheduled"),"",B302&amp;"|"&amp;(COUNTIFS('JOBS'!$B$5:$B$1504,B302,'JOBS'!$AJ$5:$AJ$1504,"&lt;"&amp;AJ302,'JOBS'!$O$5:$O$1504,"&lt;&gt;Cancelled",'JOBS'!$O$5:$O$1504,"&lt;&gt;Rescheduled")+COUNTIFS($B$5:B302,B302,$AJ$5:AJ302,AJ302,$O$5:O302,"&lt;&gt;Cancelled",$O$5:O302,"&lt;&gt;Rescheduled")))</f>
        <v/>
      </c>
      <c r="AL302" s="49">
        <f>IF(N(U302)&lt;=0.005,"",COUNTIFS('JOBS'!$U$5:$U$1504,"&gt;0.005",'JOBS'!$B$5:$B$1504,"&lt;"&amp;B302)+COUNTIFS($U$5:U302,"&gt;0.005",$B$5:B302,B302))</f>
        <v/>
      </c>
    </row>
    <row r="303">
      <c r="A303" s="46" t="inlineStr">
        <is>
          <t>J-0299</t>
        </is>
      </c>
      <c r="B303" s="47" t="n">
        <v>46297</v>
      </c>
      <c r="C303" s="94" t="n">
        <v>0.375</v>
      </c>
      <c r="D303" s="38" t="inlineStr">
        <is>
          <t>Devon Hayes</t>
        </is>
      </c>
      <c r="E303" s="38" t="inlineStr">
        <is>
          <t>461 Hawthorn Road, Lakeview (fictional)</t>
        </is>
      </c>
      <c r="F303" s="38" t="inlineStr">
        <is>
          <t>Standard Clean</t>
        </is>
      </c>
      <c r="G303" s="38" t="inlineStr">
        <is>
          <t>R-003</t>
        </is>
      </c>
      <c r="H303" s="38" t="inlineStr">
        <is>
          <t>Maria Lopez</t>
        </is>
      </c>
      <c r="I303" s="57" t="n">
        <v>1</v>
      </c>
      <c r="J303" s="95" t="n"/>
      <c r="K303" s="95" t="n"/>
      <c r="L303" s="48" t="n">
        <v>220</v>
      </c>
      <c r="M303" s="96" t="n">
        <v>0</v>
      </c>
      <c r="N303" s="48" t="n"/>
      <c r="O303" s="38" t="inlineStr">
        <is>
          <t>Scheduled</t>
        </is>
      </c>
      <c r="P303" s="38" t="inlineStr"/>
      <c r="Q303" s="97">
        <f>IF(OR(F303="",E303=""),"",IFERROR(IF(INDEX('PROPERTIES'!$F$5:$F$404,MATCH(E303,'PROPERTIES'!$B$5:$B$404,0))=0,"",ROUND((INDEX('PROPERTIES'!$F$5:$F$404,MATCH(E303,'PROPERTIES'!$B$5:$B$404,0))/INDEX('PRICING'!$C$7:$C$16,MATCH(F303,'PRICING'!$A$7:$A$16,0))+INDEX('PROPERTIES'!$G$5:$G$404,MATCH(E303,'PROPERTIES'!$B$5:$B$404,0))*INDEX('PRICING'!$D$7:$D$16,MATCH(F303,'PRICING'!$A$7:$A$16,0))/60+INDEX('PROPERTIES'!$H$5:$H$404,MATCH(E303,'PROPERTIES'!$B$5:$B$404,0))*INDEX('PRICING'!$E$7:$E$16,MATCH(F303,'PRICING'!$A$7:$A$16,0))/60+INDEX('PRICING'!$F$7:$F$16,MATCH(F303,'PRICING'!$A$7:$A$16,0))/60),2)),""))</f>
        <v/>
      </c>
      <c r="R303" s="97">
        <f>IF(B303="","",IF(N(K303)&gt;0,K303,IF(N(J303)&gt;0,J303,N(Q303))))</f>
        <v/>
      </c>
      <c r="S303" s="55">
        <f>IF(L303="","",ROUND(L303*(1+N(M303)),2))</f>
        <v/>
      </c>
      <c r="T303" s="55">
        <f>IF(B303="","",SUMIFS('REVENUE'!$C$5:$C$1504,'REVENUE'!$B$5:$B$1504,A303))</f>
        <v/>
      </c>
      <c r="U303" s="55">
        <f>IF(B303="","",IF(O303="Completed",MAX(0,N(S303)-T303),""))</f>
        <v/>
      </c>
      <c r="V303" s="49">
        <f>IF(B303="","",IF(O303&lt;&gt;"Completed",IF(T303&gt;0,"Deposit","—"),IF(U303&lt;=0.005,"Paid",IF(T303&gt;0,"Partial","Unpaid"))))</f>
        <v/>
      </c>
      <c r="W303" s="55">
        <f>IF(B303="","",IFERROR(1/(1/INDEX('STAFF &amp; TASKS'!$C$5:$C$24,MATCH(H303,'STAFF &amp; TASKS'!$A$5:$A$24,0))),PayRate))</f>
        <v/>
      </c>
      <c r="X303" s="55">
        <f>IF(B303="","",IF(OR(O303="Cancelled",O303="No-Show"),"",ROUND(R303*W303*(1+Burden),2)))</f>
        <v/>
      </c>
      <c r="Y303" s="55">
        <f>IF(B303="","",IF(OR(O303="Cancelled",O303="No-Show"),"",IF(N303&lt;&gt;"",N303,ROUND(R303*SupHr*IFERROR(INDEX('PRICING'!$G$7:$G$16,MATCH(F303,'PRICING'!$A$7:$A$16,0)),1),2))))</f>
        <v/>
      </c>
      <c r="Z303" s="98">
        <f>IF(B303="","",SUMIFS('MILEAGE'!$J$5:$J$1504,'MILEAGE'!$B$5:$B$1504,A303))</f>
        <v/>
      </c>
      <c r="AA303" s="55">
        <f>IF(B303="","",ROUND(Z303*MileRate,2))</f>
        <v/>
      </c>
      <c r="AB303" s="55">
        <f>IF(B303="","",SUMIFS('REVENUE'!$J$5:$J$1504,'REVENUE'!$B$5:$B$1504,A303))</f>
        <v/>
      </c>
      <c r="AC303" s="55">
        <f>IF(L303="","",IF(OR(O303="Cancelled",O303="No-Show"),"",L303-N(X303)-N(Y303)-AA303-AB303))</f>
        <v/>
      </c>
      <c r="AD303" s="99">
        <f>IF(OR(AC303="",N(L303)=0),"",AC303/L303)</f>
        <v/>
      </c>
      <c r="AE303" s="55">
        <f>IF(OR(AC303="",N(R303)=0),"",L303/R303)</f>
        <v/>
      </c>
      <c r="AF303" s="100">
        <f>IF(OR(N(K303)=0,N(J303)+N(Q303)=0),"",K303-IF(N(J303)&gt;0,J303,Q303))</f>
        <v/>
      </c>
      <c r="AG303" s="99">
        <f>IF(B303="","",IFERROR(AVERAGEIFS('QUALITY CONTROL'!$M$5:$M$304,'QUALITY CONTROL'!$B$5:$B$304,A303),""))</f>
        <v/>
      </c>
      <c r="AH303" s="51">
        <f>IF(B303="","",DATE(YEAR(B303),MONTH(B303),1))</f>
        <v/>
      </c>
      <c r="AI303" s="49">
        <f>IF(D303="","",IFERROR(INDEX('CUSTOMERS'!$E$5:$E$404,MATCH(D303,'CUSTOMERS'!$B$5:$B$404,0)),""))</f>
        <v/>
      </c>
      <c r="AJ303" s="49">
        <f>IF(B303="","",N(C303))</f>
        <v/>
      </c>
      <c r="AK303" s="49">
        <f>IF(OR(B303="",O303="Cancelled",O303="Rescheduled"),"",B303&amp;"|"&amp;(COUNTIFS('JOBS'!$B$5:$B$1504,B303,'JOBS'!$AJ$5:$AJ$1504,"&lt;"&amp;AJ303,'JOBS'!$O$5:$O$1504,"&lt;&gt;Cancelled",'JOBS'!$O$5:$O$1504,"&lt;&gt;Rescheduled")+COUNTIFS($B$5:B303,B303,$AJ$5:AJ303,AJ303,$O$5:O303,"&lt;&gt;Cancelled",$O$5:O303,"&lt;&gt;Rescheduled")))</f>
        <v/>
      </c>
      <c r="AL303" s="49">
        <f>IF(N(U303)&lt;=0.005,"",COUNTIFS('JOBS'!$U$5:$U$1504,"&gt;0.005",'JOBS'!$B$5:$B$1504,"&lt;"&amp;B303)+COUNTIFS($U$5:U303,"&gt;0.005",$B$5:B303,B303))</f>
        <v/>
      </c>
    </row>
    <row r="304">
      <c r="A304" s="46" t="inlineStr">
        <is>
          <t>J-0300</t>
        </is>
      </c>
      <c r="B304" s="47" t="n">
        <v>46297</v>
      </c>
      <c r="C304" s="94" t="n">
        <v>0.375</v>
      </c>
      <c r="D304" s="38" t="inlineStr">
        <is>
          <t>Oakview Office Suites (sample)</t>
        </is>
      </c>
      <c r="E304" s="38" t="inlineStr">
        <is>
          <t>957 Hawthorn Road, North Sampletown</t>
        </is>
      </c>
      <c r="F304" s="38" t="inlineStr">
        <is>
          <t>Commercial Clean</t>
        </is>
      </c>
      <c r="G304" s="38" t="inlineStr">
        <is>
          <t>R-012</t>
        </is>
      </c>
      <c r="H304" s="38" t="inlineStr">
        <is>
          <t>Kevin Osei</t>
        </is>
      </c>
      <c r="I304" s="57" t="n">
        <v>2</v>
      </c>
      <c r="J304" s="95" t="n"/>
      <c r="K304" s="95" t="n"/>
      <c r="L304" s="48" t="n">
        <v>140</v>
      </c>
      <c r="M304" s="96" t="n">
        <v>0</v>
      </c>
      <c r="N304" s="48" t="n"/>
      <c r="O304" s="38" t="inlineStr">
        <is>
          <t>Scheduled</t>
        </is>
      </c>
      <c r="P304" s="38" t="inlineStr"/>
      <c r="Q304" s="97">
        <f>IF(OR(F304="",E304=""),"",IFERROR(IF(INDEX('PROPERTIES'!$F$5:$F$404,MATCH(E304,'PROPERTIES'!$B$5:$B$404,0))=0,"",ROUND((INDEX('PROPERTIES'!$F$5:$F$404,MATCH(E304,'PROPERTIES'!$B$5:$B$404,0))/INDEX('PRICING'!$C$7:$C$16,MATCH(F304,'PRICING'!$A$7:$A$16,0))+INDEX('PROPERTIES'!$G$5:$G$404,MATCH(E304,'PROPERTIES'!$B$5:$B$404,0))*INDEX('PRICING'!$D$7:$D$16,MATCH(F304,'PRICING'!$A$7:$A$16,0))/60+INDEX('PROPERTIES'!$H$5:$H$404,MATCH(E304,'PROPERTIES'!$B$5:$B$404,0))*INDEX('PRICING'!$E$7:$E$16,MATCH(F304,'PRICING'!$A$7:$A$16,0))/60+INDEX('PRICING'!$F$7:$F$16,MATCH(F304,'PRICING'!$A$7:$A$16,0))/60),2)),""))</f>
        <v/>
      </c>
      <c r="R304" s="97">
        <f>IF(B304="","",IF(N(K304)&gt;0,K304,IF(N(J304)&gt;0,J304,N(Q304))))</f>
        <v/>
      </c>
      <c r="S304" s="55">
        <f>IF(L304="","",ROUND(L304*(1+N(M304)),2))</f>
        <v/>
      </c>
      <c r="T304" s="55">
        <f>IF(B304="","",SUMIFS('REVENUE'!$C$5:$C$1504,'REVENUE'!$B$5:$B$1504,A304))</f>
        <v/>
      </c>
      <c r="U304" s="55">
        <f>IF(B304="","",IF(O304="Completed",MAX(0,N(S304)-T304),""))</f>
        <v/>
      </c>
      <c r="V304" s="49">
        <f>IF(B304="","",IF(O304&lt;&gt;"Completed",IF(T304&gt;0,"Deposit","—"),IF(U304&lt;=0.005,"Paid",IF(T304&gt;0,"Partial","Unpaid"))))</f>
        <v/>
      </c>
      <c r="W304" s="55">
        <f>IF(B304="","",IFERROR(1/(1/INDEX('STAFF &amp; TASKS'!$C$5:$C$24,MATCH(H304,'STAFF &amp; TASKS'!$A$5:$A$24,0))),PayRate))</f>
        <v/>
      </c>
      <c r="X304" s="55">
        <f>IF(B304="","",IF(OR(O304="Cancelled",O304="No-Show"),"",ROUND(R304*W304*(1+Burden),2)))</f>
        <v/>
      </c>
      <c r="Y304" s="55">
        <f>IF(B304="","",IF(OR(O304="Cancelled",O304="No-Show"),"",IF(N304&lt;&gt;"",N304,ROUND(R304*SupHr*IFERROR(INDEX('PRICING'!$G$7:$G$16,MATCH(F304,'PRICING'!$A$7:$A$16,0)),1),2))))</f>
        <v/>
      </c>
      <c r="Z304" s="98">
        <f>IF(B304="","",SUMIFS('MILEAGE'!$J$5:$J$1504,'MILEAGE'!$B$5:$B$1504,A304))</f>
        <v/>
      </c>
      <c r="AA304" s="55">
        <f>IF(B304="","",ROUND(Z304*MileRate,2))</f>
        <v/>
      </c>
      <c r="AB304" s="55">
        <f>IF(B304="","",SUMIFS('REVENUE'!$J$5:$J$1504,'REVENUE'!$B$5:$B$1504,A304))</f>
        <v/>
      </c>
      <c r="AC304" s="55">
        <f>IF(L304="","",IF(OR(O304="Cancelled",O304="No-Show"),"",L304-N(X304)-N(Y304)-AA304-AB304))</f>
        <v/>
      </c>
      <c r="AD304" s="99">
        <f>IF(OR(AC304="",N(L304)=0),"",AC304/L304)</f>
        <v/>
      </c>
      <c r="AE304" s="55">
        <f>IF(OR(AC304="",N(R304)=0),"",L304/R304)</f>
        <v/>
      </c>
      <c r="AF304" s="100">
        <f>IF(OR(N(K304)=0,N(J304)+N(Q304)=0),"",K304-IF(N(J304)&gt;0,J304,Q304))</f>
        <v/>
      </c>
      <c r="AG304" s="99">
        <f>IF(B304="","",IFERROR(AVERAGEIFS('QUALITY CONTROL'!$M$5:$M$304,'QUALITY CONTROL'!$B$5:$B$304,A304),""))</f>
        <v/>
      </c>
      <c r="AH304" s="51">
        <f>IF(B304="","",DATE(YEAR(B304),MONTH(B304),1))</f>
        <v/>
      </c>
      <c r="AI304" s="49">
        <f>IF(D304="","",IFERROR(INDEX('CUSTOMERS'!$E$5:$E$404,MATCH(D304,'CUSTOMERS'!$B$5:$B$404,0)),""))</f>
        <v/>
      </c>
      <c r="AJ304" s="49">
        <f>IF(B304="","",N(C304))</f>
        <v/>
      </c>
      <c r="AK304" s="49">
        <f>IF(OR(B304="",O304="Cancelled",O304="Rescheduled"),"",B304&amp;"|"&amp;(COUNTIFS('JOBS'!$B$5:$B$1504,B304,'JOBS'!$AJ$5:$AJ$1504,"&lt;"&amp;AJ304,'JOBS'!$O$5:$O$1504,"&lt;&gt;Cancelled",'JOBS'!$O$5:$O$1504,"&lt;&gt;Rescheduled")+COUNTIFS($B$5:B304,B304,$AJ$5:AJ304,AJ304,$O$5:O304,"&lt;&gt;Cancelled",$O$5:O304,"&lt;&gt;Rescheduled")))</f>
        <v/>
      </c>
      <c r="AL304" s="49">
        <f>IF(N(U304)&lt;=0.005,"",COUNTIFS('JOBS'!$U$5:$U$1504,"&gt;0.005",'JOBS'!$B$5:$B$1504,"&lt;"&amp;B304)+COUNTIFS($U$5:U304,"&gt;0.005",$B$5:B304,B304))</f>
        <v/>
      </c>
    </row>
    <row r="305">
      <c r="A305" s="46" t="inlineStr">
        <is>
          <t>J-0301</t>
        </is>
      </c>
      <c r="B305" s="47" t="n">
        <v>46297</v>
      </c>
      <c r="C305" s="94" t="n">
        <v>0.4791666666666667</v>
      </c>
      <c r="D305" s="38" t="inlineStr">
        <is>
          <t>Brightside Dental Studio (sample)</t>
        </is>
      </c>
      <c r="E305" s="38" t="inlineStr">
        <is>
          <t>738 Cedar Court, North Sampletown</t>
        </is>
      </c>
      <c r="F305" s="38" t="inlineStr">
        <is>
          <t>Commercial Clean</t>
        </is>
      </c>
      <c r="G305" s="38" t="inlineStr">
        <is>
          <t>R-011</t>
        </is>
      </c>
      <c r="H305" s="38" t="inlineStr">
        <is>
          <t>Kevin Osei</t>
        </is>
      </c>
      <c r="I305" s="57" t="n">
        <v>2</v>
      </c>
      <c r="J305" s="95" t="n"/>
      <c r="K305" s="95" t="n"/>
      <c r="L305" s="48" t="n">
        <v>100</v>
      </c>
      <c r="M305" s="96" t="n">
        <v>0</v>
      </c>
      <c r="N305" s="48" t="n"/>
      <c r="O305" s="38" t="inlineStr">
        <is>
          <t>Scheduled</t>
        </is>
      </c>
      <c r="P305" s="38" t="inlineStr"/>
      <c r="Q305" s="97">
        <f>IF(OR(F305="",E305=""),"",IFERROR(IF(INDEX('PROPERTIES'!$F$5:$F$404,MATCH(E305,'PROPERTIES'!$B$5:$B$404,0))=0,"",ROUND((INDEX('PROPERTIES'!$F$5:$F$404,MATCH(E305,'PROPERTIES'!$B$5:$B$404,0))/INDEX('PRICING'!$C$7:$C$16,MATCH(F305,'PRICING'!$A$7:$A$16,0))+INDEX('PROPERTIES'!$G$5:$G$404,MATCH(E305,'PROPERTIES'!$B$5:$B$404,0))*INDEX('PRICING'!$D$7:$D$16,MATCH(F305,'PRICING'!$A$7:$A$16,0))/60+INDEX('PROPERTIES'!$H$5:$H$404,MATCH(E305,'PROPERTIES'!$B$5:$B$404,0))*INDEX('PRICING'!$E$7:$E$16,MATCH(F305,'PRICING'!$A$7:$A$16,0))/60+INDEX('PRICING'!$F$7:$F$16,MATCH(F305,'PRICING'!$A$7:$A$16,0))/60),2)),""))</f>
        <v/>
      </c>
      <c r="R305" s="97">
        <f>IF(B305="","",IF(N(K305)&gt;0,K305,IF(N(J305)&gt;0,J305,N(Q305))))</f>
        <v/>
      </c>
      <c r="S305" s="55">
        <f>IF(L305="","",ROUND(L305*(1+N(M305)),2))</f>
        <v/>
      </c>
      <c r="T305" s="55">
        <f>IF(B305="","",SUMIFS('REVENUE'!$C$5:$C$1504,'REVENUE'!$B$5:$B$1504,A305))</f>
        <v/>
      </c>
      <c r="U305" s="55">
        <f>IF(B305="","",IF(O305="Completed",MAX(0,N(S305)-T305),""))</f>
        <v/>
      </c>
      <c r="V305" s="49">
        <f>IF(B305="","",IF(O305&lt;&gt;"Completed",IF(T305&gt;0,"Deposit","—"),IF(U305&lt;=0.005,"Paid",IF(T305&gt;0,"Partial","Unpaid"))))</f>
        <v/>
      </c>
      <c r="W305" s="55">
        <f>IF(B305="","",IFERROR(1/(1/INDEX('STAFF &amp; TASKS'!$C$5:$C$24,MATCH(H305,'STAFF &amp; TASKS'!$A$5:$A$24,0))),PayRate))</f>
        <v/>
      </c>
      <c r="X305" s="55">
        <f>IF(B305="","",IF(OR(O305="Cancelled",O305="No-Show"),"",ROUND(R305*W305*(1+Burden),2)))</f>
        <v/>
      </c>
      <c r="Y305" s="55">
        <f>IF(B305="","",IF(OR(O305="Cancelled",O305="No-Show"),"",IF(N305&lt;&gt;"",N305,ROUND(R305*SupHr*IFERROR(INDEX('PRICING'!$G$7:$G$16,MATCH(F305,'PRICING'!$A$7:$A$16,0)),1),2))))</f>
        <v/>
      </c>
      <c r="Z305" s="98">
        <f>IF(B305="","",SUMIFS('MILEAGE'!$J$5:$J$1504,'MILEAGE'!$B$5:$B$1504,A305))</f>
        <v/>
      </c>
      <c r="AA305" s="55">
        <f>IF(B305="","",ROUND(Z305*MileRate,2))</f>
        <v/>
      </c>
      <c r="AB305" s="55">
        <f>IF(B305="","",SUMIFS('REVENUE'!$J$5:$J$1504,'REVENUE'!$B$5:$B$1504,A305))</f>
        <v/>
      </c>
      <c r="AC305" s="55">
        <f>IF(L305="","",IF(OR(O305="Cancelled",O305="No-Show"),"",L305-N(X305)-N(Y305)-AA305-AB305))</f>
        <v/>
      </c>
      <c r="AD305" s="99">
        <f>IF(OR(AC305="",N(L305)=0),"",AC305/L305)</f>
        <v/>
      </c>
      <c r="AE305" s="55">
        <f>IF(OR(AC305="",N(R305)=0),"",L305/R305)</f>
        <v/>
      </c>
      <c r="AF305" s="100">
        <f>IF(OR(N(K305)=0,N(J305)+N(Q305)=0),"",K305-IF(N(J305)&gt;0,J305,Q305))</f>
        <v/>
      </c>
      <c r="AG305" s="99">
        <f>IF(B305="","",IFERROR(AVERAGEIFS('QUALITY CONTROL'!$M$5:$M$304,'QUALITY CONTROL'!$B$5:$B$304,A305),""))</f>
        <v/>
      </c>
      <c r="AH305" s="51">
        <f>IF(B305="","",DATE(YEAR(B305),MONTH(B305),1))</f>
        <v/>
      </c>
      <c r="AI305" s="49">
        <f>IF(D305="","",IFERROR(INDEX('CUSTOMERS'!$E$5:$E$404,MATCH(D305,'CUSTOMERS'!$B$5:$B$404,0)),""))</f>
        <v/>
      </c>
      <c r="AJ305" s="49">
        <f>IF(B305="","",N(C305))</f>
        <v/>
      </c>
      <c r="AK305" s="49">
        <f>IF(OR(B305="",O305="Cancelled",O305="Rescheduled"),"",B305&amp;"|"&amp;(COUNTIFS('JOBS'!$B$5:$B$1504,B305,'JOBS'!$AJ$5:$AJ$1504,"&lt;"&amp;AJ305,'JOBS'!$O$5:$O$1504,"&lt;&gt;Cancelled",'JOBS'!$O$5:$O$1504,"&lt;&gt;Rescheduled")+COUNTIFS($B$5:B305,B305,$AJ$5:AJ305,AJ305,$O$5:O305,"&lt;&gt;Cancelled",$O$5:O305,"&lt;&gt;Rescheduled")))</f>
        <v/>
      </c>
      <c r="AL305" s="49">
        <f>IF(N(U305)&lt;=0.005,"",COUNTIFS('JOBS'!$U$5:$U$1504,"&gt;0.005",'JOBS'!$B$5:$B$1504,"&lt;"&amp;B305)+COUNTIFS($U$5:U305,"&gt;0.005",$B$5:B305,B305))</f>
        <v/>
      </c>
    </row>
    <row r="306">
      <c r="A306" s="46" t="inlineStr">
        <is>
          <t>J-0302</t>
        </is>
      </c>
      <c r="B306" s="47" t="n">
        <v>46299</v>
      </c>
      <c r="C306" s="94" t="n">
        <v>0.3541666666666667</v>
      </c>
      <c r="D306" s="38" t="inlineStr">
        <is>
          <t>Emerson Holloway</t>
        </is>
      </c>
      <c r="E306" s="38" t="inlineStr">
        <is>
          <t>192 Birch Lane, North Sampletown</t>
        </is>
      </c>
      <c r="F306" s="38" t="inlineStr">
        <is>
          <t>Airbnb Turnover</t>
        </is>
      </c>
      <c r="G306" s="38" t="n"/>
      <c r="H306" s="38" t="inlineStr">
        <is>
          <t>Kevin Osei</t>
        </is>
      </c>
      <c r="I306" s="57" t="n">
        <v>1</v>
      </c>
      <c r="J306" s="95" t="n"/>
      <c r="K306" s="95" t="n"/>
      <c r="L306" s="48" t="n">
        <v>150</v>
      </c>
      <c r="M306" s="96" t="n">
        <v>0</v>
      </c>
      <c r="N306" s="48" t="n"/>
      <c r="O306" s="38" t="inlineStr">
        <is>
          <t>Scheduled</t>
        </is>
      </c>
      <c r="P306" s="38" t="inlineStr">
        <is>
          <t>Includes laundry</t>
        </is>
      </c>
      <c r="Q306" s="97">
        <f>IF(OR(F306="",E306=""),"",IFERROR(IF(INDEX('PROPERTIES'!$F$5:$F$404,MATCH(E306,'PROPERTIES'!$B$5:$B$404,0))=0,"",ROUND((INDEX('PROPERTIES'!$F$5:$F$404,MATCH(E306,'PROPERTIES'!$B$5:$B$404,0))/INDEX('PRICING'!$C$7:$C$16,MATCH(F306,'PRICING'!$A$7:$A$16,0))+INDEX('PROPERTIES'!$G$5:$G$404,MATCH(E306,'PROPERTIES'!$B$5:$B$404,0))*INDEX('PRICING'!$D$7:$D$16,MATCH(F306,'PRICING'!$A$7:$A$16,0))/60+INDEX('PROPERTIES'!$H$5:$H$404,MATCH(E306,'PROPERTIES'!$B$5:$B$404,0))*INDEX('PRICING'!$E$7:$E$16,MATCH(F306,'PRICING'!$A$7:$A$16,0))/60+INDEX('PRICING'!$F$7:$F$16,MATCH(F306,'PRICING'!$A$7:$A$16,0))/60),2)),""))</f>
        <v/>
      </c>
      <c r="R306" s="97">
        <f>IF(B306="","",IF(N(K306)&gt;0,K306,IF(N(J306)&gt;0,J306,N(Q306))))</f>
        <v/>
      </c>
      <c r="S306" s="55">
        <f>IF(L306="","",ROUND(L306*(1+N(M306)),2))</f>
        <v/>
      </c>
      <c r="T306" s="55">
        <f>IF(B306="","",SUMIFS('REVENUE'!$C$5:$C$1504,'REVENUE'!$B$5:$B$1504,A306))</f>
        <v/>
      </c>
      <c r="U306" s="55">
        <f>IF(B306="","",IF(O306="Completed",MAX(0,N(S306)-T306),""))</f>
        <v/>
      </c>
      <c r="V306" s="49">
        <f>IF(B306="","",IF(O306&lt;&gt;"Completed",IF(T306&gt;0,"Deposit","—"),IF(U306&lt;=0.005,"Paid",IF(T306&gt;0,"Partial","Unpaid"))))</f>
        <v/>
      </c>
      <c r="W306" s="55">
        <f>IF(B306="","",IFERROR(1/(1/INDEX('STAFF &amp; TASKS'!$C$5:$C$24,MATCH(H306,'STAFF &amp; TASKS'!$A$5:$A$24,0))),PayRate))</f>
        <v/>
      </c>
      <c r="X306" s="55">
        <f>IF(B306="","",IF(OR(O306="Cancelled",O306="No-Show"),"",ROUND(R306*W306*(1+Burden),2)))</f>
        <v/>
      </c>
      <c r="Y306" s="55">
        <f>IF(B306="","",IF(OR(O306="Cancelled",O306="No-Show"),"",IF(N306&lt;&gt;"",N306,ROUND(R306*SupHr*IFERROR(INDEX('PRICING'!$G$7:$G$16,MATCH(F306,'PRICING'!$A$7:$A$16,0)),1),2))))</f>
        <v/>
      </c>
      <c r="Z306" s="98">
        <f>IF(B306="","",SUMIFS('MILEAGE'!$J$5:$J$1504,'MILEAGE'!$B$5:$B$1504,A306))</f>
        <v/>
      </c>
      <c r="AA306" s="55">
        <f>IF(B306="","",ROUND(Z306*MileRate,2))</f>
        <v/>
      </c>
      <c r="AB306" s="55">
        <f>IF(B306="","",SUMIFS('REVENUE'!$J$5:$J$1504,'REVENUE'!$B$5:$B$1504,A306))</f>
        <v/>
      </c>
      <c r="AC306" s="55">
        <f>IF(L306="","",IF(OR(O306="Cancelled",O306="No-Show"),"",L306-N(X306)-N(Y306)-AA306-AB306))</f>
        <v/>
      </c>
      <c r="AD306" s="99">
        <f>IF(OR(AC306="",N(L306)=0),"",AC306/L306)</f>
        <v/>
      </c>
      <c r="AE306" s="55">
        <f>IF(OR(AC306="",N(R306)=0),"",L306/R306)</f>
        <v/>
      </c>
      <c r="AF306" s="100">
        <f>IF(OR(N(K306)=0,N(J306)+N(Q306)=0),"",K306-IF(N(J306)&gt;0,J306,Q306))</f>
        <v/>
      </c>
      <c r="AG306" s="99">
        <f>IF(B306="","",IFERROR(AVERAGEIFS('QUALITY CONTROL'!$M$5:$M$304,'QUALITY CONTROL'!$B$5:$B$304,A306),""))</f>
        <v/>
      </c>
      <c r="AH306" s="51">
        <f>IF(B306="","",DATE(YEAR(B306),MONTH(B306),1))</f>
        <v/>
      </c>
      <c r="AI306" s="49">
        <f>IF(D306="","",IFERROR(INDEX('CUSTOMERS'!$E$5:$E$404,MATCH(D306,'CUSTOMERS'!$B$5:$B$404,0)),""))</f>
        <v/>
      </c>
      <c r="AJ306" s="49">
        <f>IF(B306="","",N(C306))</f>
        <v/>
      </c>
      <c r="AK306" s="49">
        <f>IF(OR(B306="",O306="Cancelled",O306="Rescheduled"),"",B306&amp;"|"&amp;(COUNTIFS('JOBS'!$B$5:$B$1504,B306,'JOBS'!$AJ$5:$AJ$1504,"&lt;"&amp;AJ306,'JOBS'!$O$5:$O$1504,"&lt;&gt;Cancelled",'JOBS'!$O$5:$O$1504,"&lt;&gt;Rescheduled")+COUNTIFS($B$5:B306,B306,$AJ$5:AJ306,AJ306,$O$5:O306,"&lt;&gt;Cancelled",$O$5:O306,"&lt;&gt;Rescheduled")))</f>
        <v/>
      </c>
      <c r="AL306" s="49">
        <f>IF(N(U306)&lt;=0.005,"",COUNTIFS('JOBS'!$U$5:$U$1504,"&gt;0.005",'JOBS'!$B$5:$B$1504,"&lt;"&amp;B306)+COUNTIFS($U$5:U306,"&gt;0.005",$B$5:B306,B306))</f>
        <v/>
      </c>
    </row>
    <row r="307">
      <c r="A307" s="46" t="inlineStr">
        <is>
          <t>J-0303</t>
        </is>
      </c>
      <c r="B307" s="47" t="n">
        <v>46301</v>
      </c>
      <c r="C307" s="94" t="n">
        <v>0.5416666666666666</v>
      </c>
      <c r="D307" s="38" t="inlineStr">
        <is>
          <t>Crescent Property Group (sample)</t>
        </is>
      </c>
      <c r="E307" s="38" t="inlineStr">
        <is>
          <t>484 Poplar Trail, Lakeview (fictional)</t>
        </is>
      </c>
      <c r="F307" s="38" t="inlineStr">
        <is>
          <t>Move-In/Move-Out</t>
        </is>
      </c>
      <c r="G307" s="38" t="n"/>
      <c r="H307" s="38" t="inlineStr">
        <is>
          <t>Maria Lopez</t>
        </is>
      </c>
      <c r="I307" s="57" t="n">
        <v>2</v>
      </c>
      <c r="J307" s="95" t="n">
        <v>6.7</v>
      </c>
      <c r="K307" s="95" t="n"/>
      <c r="L307" s="48" t="n">
        <v>375</v>
      </c>
      <c r="M307" s="96" t="n">
        <v>0</v>
      </c>
      <c r="N307" s="48" t="n"/>
      <c r="O307" s="38" t="inlineStr">
        <is>
          <t>Scheduled</t>
        </is>
      </c>
      <c r="P307" s="38" t="inlineStr">
        <is>
          <t>Inside oven, fridge, cabinets</t>
        </is>
      </c>
      <c r="Q307" s="97">
        <f>IF(OR(F307="",E307=""),"",IFERROR(IF(INDEX('PROPERTIES'!$F$5:$F$404,MATCH(E307,'PROPERTIES'!$B$5:$B$404,0))=0,"",ROUND((INDEX('PROPERTIES'!$F$5:$F$404,MATCH(E307,'PROPERTIES'!$B$5:$B$404,0))/INDEX('PRICING'!$C$7:$C$16,MATCH(F307,'PRICING'!$A$7:$A$16,0))+INDEX('PROPERTIES'!$G$5:$G$404,MATCH(E307,'PROPERTIES'!$B$5:$B$404,0))*INDEX('PRICING'!$D$7:$D$16,MATCH(F307,'PRICING'!$A$7:$A$16,0))/60+INDEX('PROPERTIES'!$H$5:$H$404,MATCH(E307,'PROPERTIES'!$B$5:$B$404,0))*INDEX('PRICING'!$E$7:$E$16,MATCH(F307,'PRICING'!$A$7:$A$16,0))/60+INDEX('PRICING'!$F$7:$F$16,MATCH(F307,'PRICING'!$A$7:$A$16,0))/60),2)),""))</f>
        <v/>
      </c>
      <c r="R307" s="97">
        <f>IF(B307="","",IF(N(K307)&gt;0,K307,IF(N(J307)&gt;0,J307,N(Q307))))</f>
        <v/>
      </c>
      <c r="S307" s="55">
        <f>IF(L307="","",ROUND(L307*(1+N(M307)),2))</f>
        <v/>
      </c>
      <c r="T307" s="55">
        <f>IF(B307="","",SUMIFS('REVENUE'!$C$5:$C$1504,'REVENUE'!$B$5:$B$1504,A307))</f>
        <v/>
      </c>
      <c r="U307" s="55">
        <f>IF(B307="","",IF(O307="Completed",MAX(0,N(S307)-T307),""))</f>
        <v/>
      </c>
      <c r="V307" s="49">
        <f>IF(B307="","",IF(O307&lt;&gt;"Completed",IF(T307&gt;0,"Deposit","—"),IF(U307&lt;=0.005,"Paid",IF(T307&gt;0,"Partial","Unpaid"))))</f>
        <v/>
      </c>
      <c r="W307" s="55">
        <f>IF(B307="","",IFERROR(1/(1/INDEX('STAFF &amp; TASKS'!$C$5:$C$24,MATCH(H307,'STAFF &amp; TASKS'!$A$5:$A$24,0))),PayRate))</f>
        <v/>
      </c>
      <c r="X307" s="55">
        <f>IF(B307="","",IF(OR(O307="Cancelled",O307="No-Show"),"",ROUND(R307*W307*(1+Burden),2)))</f>
        <v/>
      </c>
      <c r="Y307" s="55">
        <f>IF(B307="","",IF(OR(O307="Cancelled",O307="No-Show"),"",IF(N307&lt;&gt;"",N307,ROUND(R307*SupHr*IFERROR(INDEX('PRICING'!$G$7:$G$16,MATCH(F307,'PRICING'!$A$7:$A$16,0)),1),2))))</f>
        <v/>
      </c>
      <c r="Z307" s="98">
        <f>IF(B307="","",SUMIFS('MILEAGE'!$J$5:$J$1504,'MILEAGE'!$B$5:$B$1504,A307))</f>
        <v/>
      </c>
      <c r="AA307" s="55">
        <f>IF(B307="","",ROUND(Z307*MileRate,2))</f>
        <v/>
      </c>
      <c r="AB307" s="55">
        <f>IF(B307="","",SUMIFS('REVENUE'!$J$5:$J$1504,'REVENUE'!$B$5:$B$1504,A307))</f>
        <v/>
      </c>
      <c r="AC307" s="55">
        <f>IF(L307="","",IF(OR(O307="Cancelled",O307="No-Show"),"",L307-N(X307)-N(Y307)-AA307-AB307))</f>
        <v/>
      </c>
      <c r="AD307" s="99">
        <f>IF(OR(AC307="",N(L307)=0),"",AC307/L307)</f>
        <v/>
      </c>
      <c r="AE307" s="55">
        <f>IF(OR(AC307="",N(R307)=0),"",L307/R307)</f>
        <v/>
      </c>
      <c r="AF307" s="100">
        <f>IF(OR(N(K307)=0,N(J307)+N(Q307)=0),"",K307-IF(N(J307)&gt;0,J307,Q307))</f>
        <v/>
      </c>
      <c r="AG307" s="99">
        <f>IF(B307="","",IFERROR(AVERAGEIFS('QUALITY CONTROL'!$M$5:$M$304,'QUALITY CONTROL'!$B$5:$B$304,A307),""))</f>
        <v/>
      </c>
      <c r="AH307" s="51">
        <f>IF(B307="","",DATE(YEAR(B307),MONTH(B307),1))</f>
        <v/>
      </c>
      <c r="AI307" s="49">
        <f>IF(D307="","",IFERROR(INDEX('CUSTOMERS'!$E$5:$E$404,MATCH(D307,'CUSTOMERS'!$B$5:$B$404,0)),""))</f>
        <v/>
      </c>
      <c r="AJ307" s="49">
        <f>IF(B307="","",N(C307))</f>
        <v/>
      </c>
      <c r="AK307" s="49">
        <f>IF(OR(B307="",O307="Cancelled",O307="Rescheduled"),"",B307&amp;"|"&amp;(COUNTIFS('JOBS'!$B$5:$B$1504,B307,'JOBS'!$AJ$5:$AJ$1504,"&lt;"&amp;AJ307,'JOBS'!$O$5:$O$1504,"&lt;&gt;Cancelled",'JOBS'!$O$5:$O$1504,"&lt;&gt;Rescheduled")+COUNTIFS($B$5:B307,B307,$AJ$5:AJ307,AJ307,$O$5:O307,"&lt;&gt;Cancelled",$O$5:O307,"&lt;&gt;Rescheduled")))</f>
        <v/>
      </c>
      <c r="AL307" s="49">
        <f>IF(N(U307)&lt;=0.005,"",COUNTIFS('JOBS'!$U$5:$U$1504,"&gt;0.005",'JOBS'!$B$5:$B$1504,"&lt;"&amp;B307)+COUNTIFS($U$5:U307,"&gt;0.005",$B$5:B307,B307))</f>
        <v/>
      </c>
    </row>
    <row r="308">
      <c r="A308" s="46" t="inlineStr">
        <is>
          <t>J-0304</t>
        </is>
      </c>
      <c r="B308" s="47" t="n">
        <v>46304</v>
      </c>
      <c r="C308" s="94" t="n">
        <v>0.375</v>
      </c>
      <c r="D308" s="38" t="inlineStr">
        <is>
          <t>Oakview Office Suites (sample)</t>
        </is>
      </c>
      <c r="E308" s="38" t="inlineStr">
        <is>
          <t>957 Hawthorn Road, North Sampletown</t>
        </is>
      </c>
      <c r="F308" s="38" t="inlineStr">
        <is>
          <t>Commercial Clean</t>
        </is>
      </c>
      <c r="G308" s="38" t="inlineStr">
        <is>
          <t>R-012</t>
        </is>
      </c>
      <c r="H308" s="38" t="inlineStr">
        <is>
          <t>Kevin Osei</t>
        </is>
      </c>
      <c r="I308" s="57" t="n">
        <v>2</v>
      </c>
      <c r="J308" s="95" t="n"/>
      <c r="K308" s="95" t="n"/>
      <c r="L308" s="48" t="n">
        <v>140</v>
      </c>
      <c r="M308" s="96" t="n">
        <v>0</v>
      </c>
      <c r="N308" s="48" t="n"/>
      <c r="O308" s="38" t="inlineStr">
        <is>
          <t>Scheduled</t>
        </is>
      </c>
      <c r="P308" s="38" t="inlineStr"/>
      <c r="Q308" s="97">
        <f>IF(OR(F308="",E308=""),"",IFERROR(IF(INDEX('PROPERTIES'!$F$5:$F$404,MATCH(E308,'PROPERTIES'!$B$5:$B$404,0))=0,"",ROUND((INDEX('PROPERTIES'!$F$5:$F$404,MATCH(E308,'PROPERTIES'!$B$5:$B$404,0))/INDEX('PRICING'!$C$7:$C$16,MATCH(F308,'PRICING'!$A$7:$A$16,0))+INDEX('PROPERTIES'!$G$5:$G$404,MATCH(E308,'PROPERTIES'!$B$5:$B$404,0))*INDEX('PRICING'!$D$7:$D$16,MATCH(F308,'PRICING'!$A$7:$A$16,0))/60+INDEX('PROPERTIES'!$H$5:$H$404,MATCH(E308,'PROPERTIES'!$B$5:$B$404,0))*INDEX('PRICING'!$E$7:$E$16,MATCH(F308,'PRICING'!$A$7:$A$16,0))/60+INDEX('PRICING'!$F$7:$F$16,MATCH(F308,'PRICING'!$A$7:$A$16,0))/60),2)),""))</f>
        <v/>
      </c>
      <c r="R308" s="97">
        <f>IF(B308="","",IF(N(K308)&gt;0,K308,IF(N(J308)&gt;0,J308,N(Q308))))</f>
        <v/>
      </c>
      <c r="S308" s="55">
        <f>IF(L308="","",ROUND(L308*(1+N(M308)),2))</f>
        <v/>
      </c>
      <c r="T308" s="55">
        <f>IF(B308="","",SUMIFS('REVENUE'!$C$5:$C$1504,'REVENUE'!$B$5:$B$1504,A308))</f>
        <v/>
      </c>
      <c r="U308" s="55">
        <f>IF(B308="","",IF(O308="Completed",MAX(0,N(S308)-T308),""))</f>
        <v/>
      </c>
      <c r="V308" s="49">
        <f>IF(B308="","",IF(O308&lt;&gt;"Completed",IF(T308&gt;0,"Deposit","—"),IF(U308&lt;=0.005,"Paid",IF(T308&gt;0,"Partial","Unpaid"))))</f>
        <v/>
      </c>
      <c r="W308" s="55">
        <f>IF(B308="","",IFERROR(1/(1/INDEX('STAFF &amp; TASKS'!$C$5:$C$24,MATCH(H308,'STAFF &amp; TASKS'!$A$5:$A$24,0))),PayRate))</f>
        <v/>
      </c>
      <c r="X308" s="55">
        <f>IF(B308="","",IF(OR(O308="Cancelled",O308="No-Show"),"",ROUND(R308*W308*(1+Burden),2)))</f>
        <v/>
      </c>
      <c r="Y308" s="55">
        <f>IF(B308="","",IF(OR(O308="Cancelled",O308="No-Show"),"",IF(N308&lt;&gt;"",N308,ROUND(R308*SupHr*IFERROR(INDEX('PRICING'!$G$7:$G$16,MATCH(F308,'PRICING'!$A$7:$A$16,0)),1),2))))</f>
        <v/>
      </c>
      <c r="Z308" s="98">
        <f>IF(B308="","",SUMIFS('MILEAGE'!$J$5:$J$1504,'MILEAGE'!$B$5:$B$1504,A308))</f>
        <v/>
      </c>
      <c r="AA308" s="55">
        <f>IF(B308="","",ROUND(Z308*MileRate,2))</f>
        <v/>
      </c>
      <c r="AB308" s="55">
        <f>IF(B308="","",SUMIFS('REVENUE'!$J$5:$J$1504,'REVENUE'!$B$5:$B$1504,A308))</f>
        <v/>
      </c>
      <c r="AC308" s="55">
        <f>IF(L308="","",IF(OR(O308="Cancelled",O308="No-Show"),"",L308-N(X308)-N(Y308)-AA308-AB308))</f>
        <v/>
      </c>
      <c r="AD308" s="99">
        <f>IF(OR(AC308="",N(L308)=0),"",AC308/L308)</f>
        <v/>
      </c>
      <c r="AE308" s="55">
        <f>IF(OR(AC308="",N(R308)=0),"",L308/R308)</f>
        <v/>
      </c>
      <c r="AF308" s="100">
        <f>IF(OR(N(K308)=0,N(J308)+N(Q308)=0),"",K308-IF(N(J308)&gt;0,J308,Q308))</f>
        <v/>
      </c>
      <c r="AG308" s="99">
        <f>IF(B308="","",IFERROR(AVERAGEIFS('QUALITY CONTROL'!$M$5:$M$304,'QUALITY CONTROL'!$B$5:$B$304,A308),""))</f>
        <v/>
      </c>
      <c r="AH308" s="51">
        <f>IF(B308="","",DATE(YEAR(B308),MONTH(B308),1))</f>
        <v/>
      </c>
      <c r="AI308" s="49">
        <f>IF(D308="","",IFERROR(INDEX('CUSTOMERS'!$E$5:$E$404,MATCH(D308,'CUSTOMERS'!$B$5:$B$404,0)),""))</f>
        <v/>
      </c>
      <c r="AJ308" s="49">
        <f>IF(B308="","",N(C308))</f>
        <v/>
      </c>
      <c r="AK308" s="49">
        <f>IF(OR(B308="",O308="Cancelled",O308="Rescheduled"),"",B308&amp;"|"&amp;(COUNTIFS('JOBS'!$B$5:$B$1504,B308,'JOBS'!$AJ$5:$AJ$1504,"&lt;"&amp;AJ308,'JOBS'!$O$5:$O$1504,"&lt;&gt;Cancelled",'JOBS'!$O$5:$O$1504,"&lt;&gt;Rescheduled")+COUNTIFS($B$5:B308,B308,$AJ$5:AJ308,AJ308,$O$5:O308,"&lt;&gt;Cancelled",$O$5:O308,"&lt;&gt;Rescheduled")))</f>
        <v/>
      </c>
      <c r="AL308" s="49">
        <f>IF(N(U308)&lt;=0.005,"",COUNTIFS('JOBS'!$U$5:$U$1504,"&gt;0.005",'JOBS'!$B$5:$B$1504,"&lt;"&amp;B308)+COUNTIFS($U$5:U308,"&gt;0.005",$B$5:B308,B308))</f>
        <v/>
      </c>
    </row>
    <row r="309">
      <c r="A309" s="46" t="inlineStr">
        <is>
          <t>J-0305</t>
        </is>
      </c>
      <c r="B309" s="47" t="n">
        <v>46304</v>
      </c>
      <c r="C309" s="94" t="n">
        <v>0.625</v>
      </c>
      <c r="D309" s="38" t="inlineStr">
        <is>
          <t>Brightside Dental Studio (sample)</t>
        </is>
      </c>
      <c r="E309" s="38" t="inlineStr">
        <is>
          <t>738 Cedar Court, North Sampletown</t>
        </is>
      </c>
      <c r="F309" s="38" t="inlineStr">
        <is>
          <t>Commercial Clean</t>
        </is>
      </c>
      <c r="G309" s="38" t="inlineStr">
        <is>
          <t>R-011</t>
        </is>
      </c>
      <c r="H309" s="38" t="inlineStr">
        <is>
          <t>Kevin Osei</t>
        </is>
      </c>
      <c r="I309" s="57" t="n">
        <v>2</v>
      </c>
      <c r="J309" s="95" t="n"/>
      <c r="K309" s="95" t="n"/>
      <c r="L309" s="48" t="n">
        <v>100</v>
      </c>
      <c r="M309" s="96" t="n">
        <v>0</v>
      </c>
      <c r="N309" s="48" t="n"/>
      <c r="O309" s="38" t="inlineStr">
        <is>
          <t>Scheduled</t>
        </is>
      </c>
      <c r="P309" s="38" t="inlineStr"/>
      <c r="Q309" s="97">
        <f>IF(OR(F309="",E309=""),"",IFERROR(IF(INDEX('PROPERTIES'!$F$5:$F$404,MATCH(E309,'PROPERTIES'!$B$5:$B$404,0))=0,"",ROUND((INDEX('PROPERTIES'!$F$5:$F$404,MATCH(E309,'PROPERTIES'!$B$5:$B$404,0))/INDEX('PRICING'!$C$7:$C$16,MATCH(F309,'PRICING'!$A$7:$A$16,0))+INDEX('PROPERTIES'!$G$5:$G$404,MATCH(E309,'PROPERTIES'!$B$5:$B$404,0))*INDEX('PRICING'!$D$7:$D$16,MATCH(F309,'PRICING'!$A$7:$A$16,0))/60+INDEX('PROPERTIES'!$H$5:$H$404,MATCH(E309,'PROPERTIES'!$B$5:$B$404,0))*INDEX('PRICING'!$E$7:$E$16,MATCH(F309,'PRICING'!$A$7:$A$16,0))/60+INDEX('PRICING'!$F$7:$F$16,MATCH(F309,'PRICING'!$A$7:$A$16,0))/60),2)),""))</f>
        <v/>
      </c>
      <c r="R309" s="97">
        <f>IF(B309="","",IF(N(K309)&gt;0,K309,IF(N(J309)&gt;0,J309,N(Q309))))</f>
        <v/>
      </c>
      <c r="S309" s="55">
        <f>IF(L309="","",ROUND(L309*(1+N(M309)),2))</f>
        <v/>
      </c>
      <c r="T309" s="55">
        <f>IF(B309="","",SUMIFS('REVENUE'!$C$5:$C$1504,'REVENUE'!$B$5:$B$1504,A309))</f>
        <v/>
      </c>
      <c r="U309" s="55">
        <f>IF(B309="","",IF(O309="Completed",MAX(0,N(S309)-T309),""))</f>
        <v/>
      </c>
      <c r="V309" s="49">
        <f>IF(B309="","",IF(O309&lt;&gt;"Completed",IF(T309&gt;0,"Deposit","—"),IF(U309&lt;=0.005,"Paid",IF(T309&gt;0,"Partial","Unpaid"))))</f>
        <v/>
      </c>
      <c r="W309" s="55">
        <f>IF(B309="","",IFERROR(1/(1/INDEX('STAFF &amp; TASKS'!$C$5:$C$24,MATCH(H309,'STAFF &amp; TASKS'!$A$5:$A$24,0))),PayRate))</f>
        <v/>
      </c>
      <c r="X309" s="55">
        <f>IF(B309="","",IF(OR(O309="Cancelled",O309="No-Show"),"",ROUND(R309*W309*(1+Burden),2)))</f>
        <v/>
      </c>
      <c r="Y309" s="55">
        <f>IF(B309="","",IF(OR(O309="Cancelled",O309="No-Show"),"",IF(N309&lt;&gt;"",N309,ROUND(R309*SupHr*IFERROR(INDEX('PRICING'!$G$7:$G$16,MATCH(F309,'PRICING'!$A$7:$A$16,0)),1),2))))</f>
        <v/>
      </c>
      <c r="Z309" s="98">
        <f>IF(B309="","",SUMIFS('MILEAGE'!$J$5:$J$1504,'MILEAGE'!$B$5:$B$1504,A309))</f>
        <v/>
      </c>
      <c r="AA309" s="55">
        <f>IF(B309="","",ROUND(Z309*MileRate,2))</f>
        <v/>
      </c>
      <c r="AB309" s="55">
        <f>IF(B309="","",SUMIFS('REVENUE'!$J$5:$J$1504,'REVENUE'!$B$5:$B$1504,A309))</f>
        <v/>
      </c>
      <c r="AC309" s="55">
        <f>IF(L309="","",IF(OR(O309="Cancelled",O309="No-Show"),"",L309-N(X309)-N(Y309)-AA309-AB309))</f>
        <v/>
      </c>
      <c r="AD309" s="99">
        <f>IF(OR(AC309="",N(L309)=0),"",AC309/L309)</f>
        <v/>
      </c>
      <c r="AE309" s="55">
        <f>IF(OR(AC309="",N(R309)=0),"",L309/R309)</f>
        <v/>
      </c>
      <c r="AF309" s="100">
        <f>IF(OR(N(K309)=0,N(J309)+N(Q309)=0),"",K309-IF(N(J309)&gt;0,J309,Q309))</f>
        <v/>
      </c>
      <c r="AG309" s="99">
        <f>IF(B309="","",IFERROR(AVERAGEIFS('QUALITY CONTROL'!$M$5:$M$304,'QUALITY CONTROL'!$B$5:$B$304,A309),""))</f>
        <v/>
      </c>
      <c r="AH309" s="51">
        <f>IF(B309="","",DATE(YEAR(B309),MONTH(B309),1))</f>
        <v/>
      </c>
      <c r="AI309" s="49">
        <f>IF(D309="","",IFERROR(INDEX('CUSTOMERS'!$E$5:$E$404,MATCH(D309,'CUSTOMERS'!$B$5:$B$404,0)),""))</f>
        <v/>
      </c>
      <c r="AJ309" s="49">
        <f>IF(B309="","",N(C309))</f>
        <v/>
      </c>
      <c r="AK309" s="49">
        <f>IF(OR(B309="",O309="Cancelled",O309="Rescheduled"),"",B309&amp;"|"&amp;(COUNTIFS('JOBS'!$B$5:$B$1504,B309,'JOBS'!$AJ$5:$AJ$1504,"&lt;"&amp;AJ309,'JOBS'!$O$5:$O$1504,"&lt;&gt;Cancelled",'JOBS'!$O$5:$O$1504,"&lt;&gt;Rescheduled")+COUNTIFS($B$5:B309,B309,$AJ$5:AJ309,AJ309,$O$5:O309,"&lt;&gt;Cancelled",$O$5:O309,"&lt;&gt;Rescheduled")))</f>
        <v/>
      </c>
      <c r="AL309" s="49">
        <f>IF(N(U309)&lt;=0.005,"",COUNTIFS('JOBS'!$U$5:$U$1504,"&gt;0.005",'JOBS'!$B$5:$B$1504,"&lt;"&amp;B309)+COUNTIFS($U$5:U309,"&gt;0.005",$B$5:B309,B309))</f>
        <v/>
      </c>
    </row>
    <row r="310">
      <c r="A310" s="46" t="inlineStr">
        <is>
          <t>J-0306</t>
        </is>
      </c>
      <c r="B310" s="47" t="n">
        <v>46305</v>
      </c>
      <c r="C310" s="94" t="n">
        <v>0.375</v>
      </c>
      <c r="D310" s="38" t="inlineStr">
        <is>
          <t>Finley Quigley</t>
        </is>
      </c>
      <c r="E310" s="38" t="inlineStr">
        <is>
          <t>21 Maple Avenue, North Sampletown</t>
        </is>
      </c>
      <c r="F310" s="38" t="inlineStr">
        <is>
          <t>Standard Clean</t>
        </is>
      </c>
      <c r="G310" s="38" t="inlineStr">
        <is>
          <t>R-007</t>
        </is>
      </c>
      <c r="H310" s="38" t="inlineStr">
        <is>
          <t>Maria Lopez</t>
        </is>
      </c>
      <c r="I310" s="57" t="n">
        <v>1</v>
      </c>
      <c r="J310" s="95" t="n"/>
      <c r="K310" s="95" t="n"/>
      <c r="L310" s="48" t="n">
        <v>110</v>
      </c>
      <c r="M310" s="96" t="n">
        <v>0</v>
      </c>
      <c r="N310" s="48" t="n"/>
      <c r="O310" s="38" t="inlineStr">
        <is>
          <t>Scheduled</t>
        </is>
      </c>
      <c r="P310" s="38" t="inlineStr"/>
      <c r="Q310" s="97">
        <f>IF(OR(F310="",E310=""),"",IFERROR(IF(INDEX('PROPERTIES'!$F$5:$F$404,MATCH(E310,'PROPERTIES'!$B$5:$B$404,0))=0,"",ROUND((INDEX('PROPERTIES'!$F$5:$F$404,MATCH(E310,'PROPERTIES'!$B$5:$B$404,0))/INDEX('PRICING'!$C$7:$C$16,MATCH(F310,'PRICING'!$A$7:$A$16,0))+INDEX('PROPERTIES'!$G$5:$G$404,MATCH(E310,'PROPERTIES'!$B$5:$B$404,0))*INDEX('PRICING'!$D$7:$D$16,MATCH(F310,'PRICING'!$A$7:$A$16,0))/60+INDEX('PROPERTIES'!$H$5:$H$404,MATCH(E310,'PROPERTIES'!$B$5:$B$404,0))*INDEX('PRICING'!$E$7:$E$16,MATCH(F310,'PRICING'!$A$7:$A$16,0))/60+INDEX('PRICING'!$F$7:$F$16,MATCH(F310,'PRICING'!$A$7:$A$16,0))/60),2)),""))</f>
        <v/>
      </c>
      <c r="R310" s="97">
        <f>IF(B310="","",IF(N(K310)&gt;0,K310,IF(N(J310)&gt;0,J310,N(Q310))))</f>
        <v/>
      </c>
      <c r="S310" s="55">
        <f>IF(L310="","",ROUND(L310*(1+N(M310)),2))</f>
        <v/>
      </c>
      <c r="T310" s="55">
        <f>IF(B310="","",SUMIFS('REVENUE'!$C$5:$C$1504,'REVENUE'!$B$5:$B$1504,A310))</f>
        <v/>
      </c>
      <c r="U310" s="55">
        <f>IF(B310="","",IF(O310="Completed",MAX(0,N(S310)-T310),""))</f>
        <v/>
      </c>
      <c r="V310" s="49">
        <f>IF(B310="","",IF(O310&lt;&gt;"Completed",IF(T310&gt;0,"Deposit","—"),IF(U310&lt;=0.005,"Paid",IF(T310&gt;0,"Partial","Unpaid"))))</f>
        <v/>
      </c>
      <c r="W310" s="55">
        <f>IF(B310="","",IFERROR(1/(1/INDEX('STAFF &amp; TASKS'!$C$5:$C$24,MATCH(H310,'STAFF &amp; TASKS'!$A$5:$A$24,0))),PayRate))</f>
        <v/>
      </c>
      <c r="X310" s="55">
        <f>IF(B310="","",IF(OR(O310="Cancelled",O310="No-Show"),"",ROUND(R310*W310*(1+Burden),2)))</f>
        <v/>
      </c>
      <c r="Y310" s="55">
        <f>IF(B310="","",IF(OR(O310="Cancelled",O310="No-Show"),"",IF(N310&lt;&gt;"",N310,ROUND(R310*SupHr*IFERROR(INDEX('PRICING'!$G$7:$G$16,MATCH(F310,'PRICING'!$A$7:$A$16,0)),1),2))))</f>
        <v/>
      </c>
      <c r="Z310" s="98">
        <f>IF(B310="","",SUMIFS('MILEAGE'!$J$5:$J$1504,'MILEAGE'!$B$5:$B$1504,A310))</f>
        <v/>
      </c>
      <c r="AA310" s="55">
        <f>IF(B310="","",ROUND(Z310*MileRate,2))</f>
        <v/>
      </c>
      <c r="AB310" s="55">
        <f>IF(B310="","",SUMIFS('REVENUE'!$J$5:$J$1504,'REVENUE'!$B$5:$B$1504,A310))</f>
        <v/>
      </c>
      <c r="AC310" s="55">
        <f>IF(L310="","",IF(OR(O310="Cancelled",O310="No-Show"),"",L310-N(X310)-N(Y310)-AA310-AB310))</f>
        <v/>
      </c>
      <c r="AD310" s="99">
        <f>IF(OR(AC310="",N(L310)=0),"",AC310/L310)</f>
        <v/>
      </c>
      <c r="AE310" s="55">
        <f>IF(OR(AC310="",N(R310)=0),"",L310/R310)</f>
        <v/>
      </c>
      <c r="AF310" s="100">
        <f>IF(OR(N(K310)=0,N(J310)+N(Q310)=0),"",K310-IF(N(J310)&gt;0,J310,Q310))</f>
        <v/>
      </c>
      <c r="AG310" s="99">
        <f>IF(B310="","",IFERROR(AVERAGEIFS('QUALITY CONTROL'!$M$5:$M$304,'QUALITY CONTROL'!$B$5:$B$304,A310),""))</f>
        <v/>
      </c>
      <c r="AH310" s="51">
        <f>IF(B310="","",DATE(YEAR(B310),MONTH(B310),1))</f>
        <v/>
      </c>
      <c r="AI310" s="49">
        <f>IF(D310="","",IFERROR(INDEX('CUSTOMERS'!$E$5:$E$404,MATCH(D310,'CUSTOMERS'!$B$5:$B$404,0)),""))</f>
        <v/>
      </c>
      <c r="AJ310" s="49">
        <f>IF(B310="","",N(C310))</f>
        <v/>
      </c>
      <c r="AK310" s="49">
        <f>IF(OR(B310="",O310="Cancelled",O310="Rescheduled"),"",B310&amp;"|"&amp;(COUNTIFS('JOBS'!$B$5:$B$1504,B310,'JOBS'!$AJ$5:$AJ$1504,"&lt;"&amp;AJ310,'JOBS'!$O$5:$O$1504,"&lt;&gt;Cancelled",'JOBS'!$O$5:$O$1504,"&lt;&gt;Rescheduled")+COUNTIFS($B$5:B310,B310,$AJ$5:AJ310,AJ310,$O$5:O310,"&lt;&gt;Cancelled",$O$5:O310,"&lt;&gt;Rescheduled")))</f>
        <v/>
      </c>
      <c r="AL310" s="49">
        <f>IF(N(U310)&lt;=0.005,"",COUNTIFS('JOBS'!$U$5:$U$1504,"&gt;0.005",'JOBS'!$B$5:$B$1504,"&lt;"&amp;B310)+COUNTIFS($U$5:U310,"&gt;0.005",$B$5:B310,B310))</f>
        <v/>
      </c>
    </row>
    <row r="311">
      <c r="A311" s="46" t="inlineStr">
        <is>
          <t>J-0307</t>
        </is>
      </c>
      <c r="B311" s="47" t="n">
        <v>46307</v>
      </c>
      <c r="C311" s="94" t="n">
        <v>0.4166666666666667</v>
      </c>
      <c r="D311" s="38" t="inlineStr">
        <is>
          <t>Taylor Quigley</t>
        </is>
      </c>
      <c r="E311" s="38" t="inlineStr">
        <is>
          <t>667 Willow Way, Sampletown</t>
        </is>
      </c>
      <c r="F311" s="38" t="inlineStr">
        <is>
          <t>Standard Clean</t>
        </is>
      </c>
      <c r="G311" s="38" t="inlineStr">
        <is>
          <t>R-009</t>
        </is>
      </c>
      <c r="H311" s="38" t="inlineStr">
        <is>
          <t>Maria Lopez</t>
        </is>
      </c>
      <c r="I311" s="57" t="n">
        <v>1</v>
      </c>
      <c r="J311" s="95" t="n"/>
      <c r="K311" s="95" t="n"/>
      <c r="L311" s="48" t="n">
        <v>145</v>
      </c>
      <c r="M311" s="96" t="n">
        <v>0</v>
      </c>
      <c r="N311" s="48" t="n"/>
      <c r="O311" s="38" t="inlineStr">
        <is>
          <t>Scheduled</t>
        </is>
      </c>
      <c r="P311" s="38" t="inlineStr"/>
      <c r="Q311" s="97">
        <f>IF(OR(F311="",E311=""),"",IFERROR(IF(INDEX('PROPERTIES'!$F$5:$F$404,MATCH(E311,'PROPERTIES'!$B$5:$B$404,0))=0,"",ROUND((INDEX('PROPERTIES'!$F$5:$F$404,MATCH(E311,'PROPERTIES'!$B$5:$B$404,0))/INDEX('PRICING'!$C$7:$C$16,MATCH(F311,'PRICING'!$A$7:$A$16,0))+INDEX('PROPERTIES'!$G$5:$G$404,MATCH(E311,'PROPERTIES'!$B$5:$B$404,0))*INDEX('PRICING'!$D$7:$D$16,MATCH(F311,'PRICING'!$A$7:$A$16,0))/60+INDEX('PROPERTIES'!$H$5:$H$404,MATCH(E311,'PROPERTIES'!$B$5:$B$404,0))*INDEX('PRICING'!$E$7:$E$16,MATCH(F311,'PRICING'!$A$7:$A$16,0))/60+INDEX('PRICING'!$F$7:$F$16,MATCH(F311,'PRICING'!$A$7:$A$16,0))/60),2)),""))</f>
        <v/>
      </c>
      <c r="R311" s="97">
        <f>IF(B311="","",IF(N(K311)&gt;0,K311,IF(N(J311)&gt;0,J311,N(Q311))))</f>
        <v/>
      </c>
      <c r="S311" s="55">
        <f>IF(L311="","",ROUND(L311*(1+N(M311)),2))</f>
        <v/>
      </c>
      <c r="T311" s="55">
        <f>IF(B311="","",SUMIFS('REVENUE'!$C$5:$C$1504,'REVENUE'!$B$5:$B$1504,A311))</f>
        <v/>
      </c>
      <c r="U311" s="55">
        <f>IF(B311="","",IF(O311="Completed",MAX(0,N(S311)-T311),""))</f>
        <v/>
      </c>
      <c r="V311" s="49">
        <f>IF(B311="","",IF(O311&lt;&gt;"Completed",IF(T311&gt;0,"Deposit","—"),IF(U311&lt;=0.005,"Paid",IF(T311&gt;0,"Partial","Unpaid"))))</f>
        <v/>
      </c>
      <c r="W311" s="55">
        <f>IF(B311="","",IFERROR(1/(1/INDEX('STAFF &amp; TASKS'!$C$5:$C$24,MATCH(H311,'STAFF &amp; TASKS'!$A$5:$A$24,0))),PayRate))</f>
        <v/>
      </c>
      <c r="X311" s="55">
        <f>IF(B311="","",IF(OR(O311="Cancelled",O311="No-Show"),"",ROUND(R311*W311*(1+Burden),2)))</f>
        <v/>
      </c>
      <c r="Y311" s="55">
        <f>IF(B311="","",IF(OR(O311="Cancelled",O311="No-Show"),"",IF(N311&lt;&gt;"",N311,ROUND(R311*SupHr*IFERROR(INDEX('PRICING'!$G$7:$G$16,MATCH(F311,'PRICING'!$A$7:$A$16,0)),1),2))))</f>
        <v/>
      </c>
      <c r="Z311" s="98">
        <f>IF(B311="","",SUMIFS('MILEAGE'!$J$5:$J$1504,'MILEAGE'!$B$5:$B$1504,A311))</f>
        <v/>
      </c>
      <c r="AA311" s="55">
        <f>IF(B311="","",ROUND(Z311*MileRate,2))</f>
        <v/>
      </c>
      <c r="AB311" s="55">
        <f>IF(B311="","",SUMIFS('REVENUE'!$J$5:$J$1504,'REVENUE'!$B$5:$B$1504,A311))</f>
        <v/>
      </c>
      <c r="AC311" s="55">
        <f>IF(L311="","",IF(OR(O311="Cancelled",O311="No-Show"),"",L311-N(X311)-N(Y311)-AA311-AB311))</f>
        <v/>
      </c>
      <c r="AD311" s="99">
        <f>IF(OR(AC311="",N(L311)=0),"",AC311/L311)</f>
        <v/>
      </c>
      <c r="AE311" s="55">
        <f>IF(OR(AC311="",N(R311)=0),"",L311/R311)</f>
        <v/>
      </c>
      <c r="AF311" s="100">
        <f>IF(OR(N(K311)=0,N(J311)+N(Q311)=0),"",K311-IF(N(J311)&gt;0,J311,Q311))</f>
        <v/>
      </c>
      <c r="AG311" s="99">
        <f>IF(B311="","",IFERROR(AVERAGEIFS('QUALITY CONTROL'!$M$5:$M$304,'QUALITY CONTROL'!$B$5:$B$304,A311),""))</f>
        <v/>
      </c>
      <c r="AH311" s="51">
        <f>IF(B311="","",DATE(YEAR(B311),MONTH(B311),1))</f>
        <v/>
      </c>
      <c r="AI311" s="49">
        <f>IF(D311="","",IFERROR(INDEX('CUSTOMERS'!$E$5:$E$404,MATCH(D311,'CUSTOMERS'!$B$5:$B$404,0)),""))</f>
        <v/>
      </c>
      <c r="AJ311" s="49">
        <f>IF(B311="","",N(C311))</f>
        <v/>
      </c>
      <c r="AK311" s="49">
        <f>IF(OR(B311="",O311="Cancelled",O311="Rescheduled"),"",B311&amp;"|"&amp;(COUNTIFS('JOBS'!$B$5:$B$1504,B311,'JOBS'!$AJ$5:$AJ$1504,"&lt;"&amp;AJ311,'JOBS'!$O$5:$O$1504,"&lt;&gt;Cancelled",'JOBS'!$O$5:$O$1504,"&lt;&gt;Rescheduled")+COUNTIFS($B$5:B311,B311,$AJ$5:AJ311,AJ311,$O$5:O311,"&lt;&gt;Cancelled",$O$5:O311,"&lt;&gt;Rescheduled")))</f>
        <v/>
      </c>
      <c r="AL311" s="49">
        <f>IF(N(U311)&lt;=0.005,"",COUNTIFS('JOBS'!$U$5:$U$1504,"&gt;0.005",'JOBS'!$B$5:$B$1504,"&lt;"&amp;B311)+COUNTIFS($U$5:U311,"&gt;0.005",$B$5:B311,B311))</f>
        <v/>
      </c>
    </row>
    <row r="312">
      <c r="A312" s="46" t="inlineStr">
        <is>
          <t>J-0308</t>
        </is>
      </c>
      <c r="B312" s="47" t="n"/>
      <c r="C312" s="94" t="n"/>
      <c r="D312" s="38" t="n"/>
      <c r="E312" s="38" t="n"/>
      <c r="F312" s="38" t="n"/>
      <c r="G312" s="38" t="n"/>
      <c r="H312" s="38" t="n"/>
      <c r="I312" s="57" t="n"/>
      <c r="J312" s="95" t="n"/>
      <c r="K312" s="95" t="n"/>
      <c r="L312" s="48" t="n"/>
      <c r="M312" s="96" t="n"/>
      <c r="N312" s="48" t="n"/>
      <c r="O312" s="38" t="n"/>
      <c r="P312" s="38" t="n"/>
      <c r="Q312" s="97">
        <f>IF(OR(F312="",E312=""),"",IFERROR(IF(INDEX('PROPERTIES'!$F$5:$F$404,MATCH(E312,'PROPERTIES'!$B$5:$B$404,0))=0,"",ROUND((INDEX('PROPERTIES'!$F$5:$F$404,MATCH(E312,'PROPERTIES'!$B$5:$B$404,0))/INDEX('PRICING'!$C$7:$C$16,MATCH(F312,'PRICING'!$A$7:$A$16,0))+INDEX('PROPERTIES'!$G$5:$G$404,MATCH(E312,'PROPERTIES'!$B$5:$B$404,0))*INDEX('PRICING'!$D$7:$D$16,MATCH(F312,'PRICING'!$A$7:$A$16,0))/60+INDEX('PROPERTIES'!$H$5:$H$404,MATCH(E312,'PROPERTIES'!$B$5:$B$404,0))*INDEX('PRICING'!$E$7:$E$16,MATCH(F312,'PRICING'!$A$7:$A$16,0))/60+INDEX('PRICING'!$F$7:$F$16,MATCH(F312,'PRICING'!$A$7:$A$16,0))/60),2)),""))</f>
        <v/>
      </c>
      <c r="R312" s="97">
        <f>IF(B312="","",IF(N(K312)&gt;0,K312,IF(N(J312)&gt;0,J312,N(Q312))))</f>
        <v/>
      </c>
      <c r="S312" s="55">
        <f>IF(L312="","",ROUND(L312*(1+N(M312)),2))</f>
        <v/>
      </c>
      <c r="T312" s="55">
        <f>IF(B312="","",SUMIFS('REVENUE'!$C$5:$C$1504,'REVENUE'!$B$5:$B$1504,A312))</f>
        <v/>
      </c>
      <c r="U312" s="55">
        <f>IF(B312="","",IF(O312="Completed",MAX(0,N(S312)-T312),""))</f>
        <v/>
      </c>
      <c r="V312" s="49">
        <f>IF(B312="","",IF(O312&lt;&gt;"Completed",IF(T312&gt;0,"Deposit","—"),IF(U312&lt;=0.005,"Paid",IF(T312&gt;0,"Partial","Unpaid"))))</f>
        <v/>
      </c>
      <c r="W312" s="55">
        <f>IF(B312="","",IFERROR(1/(1/INDEX('STAFF &amp; TASKS'!$C$5:$C$24,MATCH(H312,'STAFF &amp; TASKS'!$A$5:$A$24,0))),PayRate))</f>
        <v/>
      </c>
      <c r="X312" s="55">
        <f>IF(B312="","",IF(OR(O312="Cancelled",O312="No-Show"),"",ROUND(R312*W312*(1+Burden),2)))</f>
        <v/>
      </c>
      <c r="Y312" s="55">
        <f>IF(B312="","",IF(OR(O312="Cancelled",O312="No-Show"),"",IF(N312&lt;&gt;"",N312,ROUND(R312*SupHr*IFERROR(INDEX('PRICING'!$G$7:$G$16,MATCH(F312,'PRICING'!$A$7:$A$16,0)),1),2))))</f>
        <v/>
      </c>
      <c r="Z312" s="98">
        <f>IF(B312="","",SUMIFS('MILEAGE'!$J$5:$J$1504,'MILEAGE'!$B$5:$B$1504,A312))</f>
        <v/>
      </c>
      <c r="AA312" s="55">
        <f>IF(B312="","",ROUND(Z312*MileRate,2))</f>
        <v/>
      </c>
      <c r="AB312" s="55">
        <f>IF(B312="","",SUMIFS('REVENUE'!$J$5:$J$1504,'REVENUE'!$B$5:$B$1504,A312))</f>
        <v/>
      </c>
      <c r="AC312" s="55">
        <f>IF(L312="","",IF(OR(O312="Cancelled",O312="No-Show"),"",L312-N(X312)-N(Y312)-AA312-AB312))</f>
        <v/>
      </c>
      <c r="AD312" s="99">
        <f>IF(OR(AC312="",N(L312)=0),"",AC312/L312)</f>
        <v/>
      </c>
      <c r="AE312" s="55">
        <f>IF(OR(AC312="",N(R312)=0),"",L312/R312)</f>
        <v/>
      </c>
      <c r="AF312" s="100">
        <f>IF(OR(N(K312)=0,N(J312)+N(Q312)=0),"",K312-IF(N(J312)&gt;0,J312,Q312))</f>
        <v/>
      </c>
      <c r="AG312" s="99">
        <f>IF(B312="","",IFERROR(AVERAGEIFS('QUALITY CONTROL'!$M$5:$M$304,'QUALITY CONTROL'!$B$5:$B$304,A312),""))</f>
        <v/>
      </c>
      <c r="AH312" s="51">
        <f>IF(B312="","",DATE(YEAR(B312),MONTH(B312),1))</f>
        <v/>
      </c>
      <c r="AI312" s="49">
        <f>IF(D312="","",IFERROR(INDEX('CUSTOMERS'!$E$5:$E$404,MATCH(D312,'CUSTOMERS'!$B$5:$B$404,0)),""))</f>
        <v/>
      </c>
      <c r="AJ312" s="49">
        <f>IF(B312="","",N(C312))</f>
        <v/>
      </c>
      <c r="AK312" s="49">
        <f>IF(OR(B312="",O312="Cancelled",O312="Rescheduled"),"",B312&amp;"|"&amp;(COUNTIFS('JOBS'!$B$5:$B$1504,B312,'JOBS'!$AJ$5:$AJ$1504,"&lt;"&amp;AJ312,'JOBS'!$O$5:$O$1504,"&lt;&gt;Cancelled",'JOBS'!$O$5:$O$1504,"&lt;&gt;Rescheduled")+COUNTIFS($B$5:B312,B312,$AJ$5:AJ312,AJ312,$O$5:O312,"&lt;&gt;Cancelled",$O$5:O312,"&lt;&gt;Rescheduled")))</f>
        <v/>
      </c>
      <c r="AL312" s="49">
        <f>IF(N(U312)&lt;=0.005,"",COUNTIFS('JOBS'!$U$5:$U$1504,"&gt;0.005",'JOBS'!$B$5:$B$1504,"&lt;"&amp;B312)+COUNTIFS($U$5:U312,"&gt;0.005",$B$5:B312,B312))</f>
        <v/>
      </c>
    </row>
    <row r="313">
      <c r="A313" s="46" t="inlineStr">
        <is>
          <t>J-0309</t>
        </is>
      </c>
      <c r="B313" s="47" t="n"/>
      <c r="C313" s="94" t="n"/>
      <c r="D313" s="38" t="n"/>
      <c r="E313" s="38" t="n"/>
      <c r="F313" s="38" t="n"/>
      <c r="G313" s="38" t="n"/>
      <c r="H313" s="38" t="n"/>
      <c r="I313" s="57" t="n"/>
      <c r="J313" s="95" t="n"/>
      <c r="K313" s="95" t="n"/>
      <c r="L313" s="48" t="n"/>
      <c r="M313" s="96" t="n"/>
      <c r="N313" s="48" t="n"/>
      <c r="O313" s="38" t="n"/>
      <c r="P313" s="38" t="n"/>
      <c r="Q313" s="97">
        <f>IF(OR(F313="",E313=""),"",IFERROR(IF(INDEX('PROPERTIES'!$F$5:$F$404,MATCH(E313,'PROPERTIES'!$B$5:$B$404,0))=0,"",ROUND((INDEX('PROPERTIES'!$F$5:$F$404,MATCH(E313,'PROPERTIES'!$B$5:$B$404,0))/INDEX('PRICING'!$C$7:$C$16,MATCH(F313,'PRICING'!$A$7:$A$16,0))+INDEX('PROPERTIES'!$G$5:$G$404,MATCH(E313,'PROPERTIES'!$B$5:$B$404,0))*INDEX('PRICING'!$D$7:$D$16,MATCH(F313,'PRICING'!$A$7:$A$16,0))/60+INDEX('PROPERTIES'!$H$5:$H$404,MATCH(E313,'PROPERTIES'!$B$5:$B$404,0))*INDEX('PRICING'!$E$7:$E$16,MATCH(F313,'PRICING'!$A$7:$A$16,0))/60+INDEX('PRICING'!$F$7:$F$16,MATCH(F313,'PRICING'!$A$7:$A$16,0))/60),2)),""))</f>
        <v/>
      </c>
      <c r="R313" s="97">
        <f>IF(B313="","",IF(N(K313)&gt;0,K313,IF(N(J313)&gt;0,J313,N(Q313))))</f>
        <v/>
      </c>
      <c r="S313" s="55">
        <f>IF(L313="","",ROUND(L313*(1+N(M313)),2))</f>
        <v/>
      </c>
      <c r="T313" s="55">
        <f>IF(B313="","",SUMIFS('REVENUE'!$C$5:$C$1504,'REVENUE'!$B$5:$B$1504,A313))</f>
        <v/>
      </c>
      <c r="U313" s="55">
        <f>IF(B313="","",IF(O313="Completed",MAX(0,N(S313)-T313),""))</f>
        <v/>
      </c>
      <c r="V313" s="49">
        <f>IF(B313="","",IF(O313&lt;&gt;"Completed",IF(T313&gt;0,"Deposit","—"),IF(U313&lt;=0.005,"Paid",IF(T313&gt;0,"Partial","Unpaid"))))</f>
        <v/>
      </c>
      <c r="W313" s="55">
        <f>IF(B313="","",IFERROR(1/(1/INDEX('STAFF &amp; TASKS'!$C$5:$C$24,MATCH(H313,'STAFF &amp; TASKS'!$A$5:$A$24,0))),PayRate))</f>
        <v/>
      </c>
      <c r="X313" s="55">
        <f>IF(B313="","",IF(OR(O313="Cancelled",O313="No-Show"),"",ROUND(R313*W313*(1+Burden),2)))</f>
        <v/>
      </c>
      <c r="Y313" s="55">
        <f>IF(B313="","",IF(OR(O313="Cancelled",O313="No-Show"),"",IF(N313&lt;&gt;"",N313,ROUND(R313*SupHr*IFERROR(INDEX('PRICING'!$G$7:$G$16,MATCH(F313,'PRICING'!$A$7:$A$16,0)),1),2))))</f>
        <v/>
      </c>
      <c r="Z313" s="98">
        <f>IF(B313="","",SUMIFS('MILEAGE'!$J$5:$J$1504,'MILEAGE'!$B$5:$B$1504,A313))</f>
        <v/>
      </c>
      <c r="AA313" s="55">
        <f>IF(B313="","",ROUND(Z313*MileRate,2))</f>
        <v/>
      </c>
      <c r="AB313" s="55">
        <f>IF(B313="","",SUMIFS('REVENUE'!$J$5:$J$1504,'REVENUE'!$B$5:$B$1504,A313))</f>
        <v/>
      </c>
      <c r="AC313" s="55">
        <f>IF(L313="","",IF(OR(O313="Cancelled",O313="No-Show"),"",L313-N(X313)-N(Y313)-AA313-AB313))</f>
        <v/>
      </c>
      <c r="AD313" s="99">
        <f>IF(OR(AC313="",N(L313)=0),"",AC313/L313)</f>
        <v/>
      </c>
      <c r="AE313" s="55">
        <f>IF(OR(AC313="",N(R313)=0),"",L313/R313)</f>
        <v/>
      </c>
      <c r="AF313" s="100">
        <f>IF(OR(N(K313)=0,N(J313)+N(Q313)=0),"",K313-IF(N(J313)&gt;0,J313,Q313))</f>
        <v/>
      </c>
      <c r="AG313" s="99">
        <f>IF(B313="","",IFERROR(AVERAGEIFS('QUALITY CONTROL'!$M$5:$M$304,'QUALITY CONTROL'!$B$5:$B$304,A313),""))</f>
        <v/>
      </c>
      <c r="AH313" s="51">
        <f>IF(B313="","",DATE(YEAR(B313),MONTH(B313),1))</f>
        <v/>
      </c>
      <c r="AI313" s="49">
        <f>IF(D313="","",IFERROR(INDEX('CUSTOMERS'!$E$5:$E$404,MATCH(D313,'CUSTOMERS'!$B$5:$B$404,0)),""))</f>
        <v/>
      </c>
      <c r="AJ313" s="49">
        <f>IF(B313="","",N(C313))</f>
        <v/>
      </c>
      <c r="AK313" s="49">
        <f>IF(OR(B313="",O313="Cancelled",O313="Rescheduled"),"",B313&amp;"|"&amp;(COUNTIFS('JOBS'!$B$5:$B$1504,B313,'JOBS'!$AJ$5:$AJ$1504,"&lt;"&amp;AJ313,'JOBS'!$O$5:$O$1504,"&lt;&gt;Cancelled",'JOBS'!$O$5:$O$1504,"&lt;&gt;Rescheduled")+COUNTIFS($B$5:B313,B313,$AJ$5:AJ313,AJ313,$O$5:O313,"&lt;&gt;Cancelled",$O$5:O313,"&lt;&gt;Rescheduled")))</f>
        <v/>
      </c>
      <c r="AL313" s="49">
        <f>IF(N(U313)&lt;=0.005,"",COUNTIFS('JOBS'!$U$5:$U$1504,"&gt;0.005",'JOBS'!$B$5:$B$1504,"&lt;"&amp;B313)+COUNTIFS($U$5:U313,"&gt;0.005",$B$5:B313,B313))</f>
        <v/>
      </c>
    </row>
    <row r="314">
      <c r="A314" s="46" t="inlineStr">
        <is>
          <t>J-0310</t>
        </is>
      </c>
      <c r="B314" s="47" t="n"/>
      <c r="C314" s="94" t="n"/>
      <c r="D314" s="38" t="n"/>
      <c r="E314" s="38" t="n"/>
      <c r="F314" s="38" t="n"/>
      <c r="G314" s="38" t="n"/>
      <c r="H314" s="38" t="n"/>
      <c r="I314" s="57" t="n"/>
      <c r="J314" s="95" t="n"/>
      <c r="K314" s="95" t="n"/>
      <c r="L314" s="48" t="n"/>
      <c r="M314" s="96" t="n"/>
      <c r="N314" s="48" t="n"/>
      <c r="O314" s="38" t="n"/>
      <c r="P314" s="38" t="n"/>
      <c r="Q314" s="97">
        <f>IF(OR(F314="",E314=""),"",IFERROR(IF(INDEX('PROPERTIES'!$F$5:$F$404,MATCH(E314,'PROPERTIES'!$B$5:$B$404,0))=0,"",ROUND((INDEX('PROPERTIES'!$F$5:$F$404,MATCH(E314,'PROPERTIES'!$B$5:$B$404,0))/INDEX('PRICING'!$C$7:$C$16,MATCH(F314,'PRICING'!$A$7:$A$16,0))+INDEX('PROPERTIES'!$G$5:$G$404,MATCH(E314,'PROPERTIES'!$B$5:$B$404,0))*INDEX('PRICING'!$D$7:$D$16,MATCH(F314,'PRICING'!$A$7:$A$16,0))/60+INDEX('PROPERTIES'!$H$5:$H$404,MATCH(E314,'PROPERTIES'!$B$5:$B$404,0))*INDEX('PRICING'!$E$7:$E$16,MATCH(F314,'PRICING'!$A$7:$A$16,0))/60+INDEX('PRICING'!$F$7:$F$16,MATCH(F314,'PRICING'!$A$7:$A$16,0))/60),2)),""))</f>
        <v/>
      </c>
      <c r="R314" s="97">
        <f>IF(B314="","",IF(N(K314)&gt;0,K314,IF(N(J314)&gt;0,J314,N(Q314))))</f>
        <v/>
      </c>
      <c r="S314" s="55">
        <f>IF(L314="","",ROUND(L314*(1+N(M314)),2))</f>
        <v/>
      </c>
      <c r="T314" s="55">
        <f>IF(B314="","",SUMIFS('REVENUE'!$C$5:$C$1504,'REVENUE'!$B$5:$B$1504,A314))</f>
        <v/>
      </c>
      <c r="U314" s="55">
        <f>IF(B314="","",IF(O314="Completed",MAX(0,N(S314)-T314),""))</f>
        <v/>
      </c>
      <c r="V314" s="49">
        <f>IF(B314="","",IF(O314&lt;&gt;"Completed",IF(T314&gt;0,"Deposit","—"),IF(U314&lt;=0.005,"Paid",IF(T314&gt;0,"Partial","Unpaid"))))</f>
        <v/>
      </c>
      <c r="W314" s="55">
        <f>IF(B314="","",IFERROR(1/(1/INDEX('STAFF &amp; TASKS'!$C$5:$C$24,MATCH(H314,'STAFF &amp; TASKS'!$A$5:$A$24,0))),PayRate))</f>
        <v/>
      </c>
      <c r="X314" s="55">
        <f>IF(B314="","",IF(OR(O314="Cancelled",O314="No-Show"),"",ROUND(R314*W314*(1+Burden),2)))</f>
        <v/>
      </c>
      <c r="Y314" s="55">
        <f>IF(B314="","",IF(OR(O314="Cancelled",O314="No-Show"),"",IF(N314&lt;&gt;"",N314,ROUND(R314*SupHr*IFERROR(INDEX('PRICING'!$G$7:$G$16,MATCH(F314,'PRICING'!$A$7:$A$16,0)),1),2))))</f>
        <v/>
      </c>
      <c r="Z314" s="98">
        <f>IF(B314="","",SUMIFS('MILEAGE'!$J$5:$J$1504,'MILEAGE'!$B$5:$B$1504,A314))</f>
        <v/>
      </c>
      <c r="AA314" s="55">
        <f>IF(B314="","",ROUND(Z314*MileRate,2))</f>
        <v/>
      </c>
      <c r="AB314" s="55">
        <f>IF(B314="","",SUMIFS('REVENUE'!$J$5:$J$1504,'REVENUE'!$B$5:$B$1504,A314))</f>
        <v/>
      </c>
      <c r="AC314" s="55">
        <f>IF(L314="","",IF(OR(O314="Cancelled",O314="No-Show"),"",L314-N(X314)-N(Y314)-AA314-AB314))</f>
        <v/>
      </c>
      <c r="AD314" s="99">
        <f>IF(OR(AC314="",N(L314)=0),"",AC314/L314)</f>
        <v/>
      </c>
      <c r="AE314" s="55">
        <f>IF(OR(AC314="",N(R314)=0),"",L314/R314)</f>
        <v/>
      </c>
      <c r="AF314" s="100">
        <f>IF(OR(N(K314)=0,N(J314)+N(Q314)=0),"",K314-IF(N(J314)&gt;0,J314,Q314))</f>
        <v/>
      </c>
      <c r="AG314" s="99">
        <f>IF(B314="","",IFERROR(AVERAGEIFS('QUALITY CONTROL'!$M$5:$M$304,'QUALITY CONTROL'!$B$5:$B$304,A314),""))</f>
        <v/>
      </c>
      <c r="AH314" s="51">
        <f>IF(B314="","",DATE(YEAR(B314),MONTH(B314),1))</f>
        <v/>
      </c>
      <c r="AI314" s="49">
        <f>IF(D314="","",IFERROR(INDEX('CUSTOMERS'!$E$5:$E$404,MATCH(D314,'CUSTOMERS'!$B$5:$B$404,0)),""))</f>
        <v/>
      </c>
      <c r="AJ314" s="49">
        <f>IF(B314="","",N(C314))</f>
        <v/>
      </c>
      <c r="AK314" s="49">
        <f>IF(OR(B314="",O314="Cancelled",O314="Rescheduled"),"",B314&amp;"|"&amp;(COUNTIFS('JOBS'!$B$5:$B$1504,B314,'JOBS'!$AJ$5:$AJ$1504,"&lt;"&amp;AJ314,'JOBS'!$O$5:$O$1504,"&lt;&gt;Cancelled",'JOBS'!$O$5:$O$1504,"&lt;&gt;Rescheduled")+COUNTIFS($B$5:B314,B314,$AJ$5:AJ314,AJ314,$O$5:O314,"&lt;&gt;Cancelled",$O$5:O314,"&lt;&gt;Rescheduled")))</f>
        <v/>
      </c>
      <c r="AL314" s="49">
        <f>IF(N(U314)&lt;=0.005,"",COUNTIFS('JOBS'!$U$5:$U$1504,"&gt;0.005",'JOBS'!$B$5:$B$1504,"&lt;"&amp;B314)+COUNTIFS($U$5:U314,"&gt;0.005",$B$5:B314,B314))</f>
        <v/>
      </c>
    </row>
    <row r="315">
      <c r="A315" s="46" t="inlineStr">
        <is>
          <t>J-0311</t>
        </is>
      </c>
      <c r="B315" s="47" t="n"/>
      <c r="C315" s="94" t="n"/>
      <c r="D315" s="38" t="n"/>
      <c r="E315" s="38" t="n"/>
      <c r="F315" s="38" t="n"/>
      <c r="G315" s="38" t="n"/>
      <c r="H315" s="38" t="n"/>
      <c r="I315" s="57" t="n"/>
      <c r="J315" s="95" t="n"/>
      <c r="K315" s="95" t="n"/>
      <c r="L315" s="48" t="n"/>
      <c r="M315" s="96" t="n"/>
      <c r="N315" s="48" t="n"/>
      <c r="O315" s="38" t="n"/>
      <c r="P315" s="38" t="n"/>
      <c r="Q315" s="97">
        <f>IF(OR(F315="",E315=""),"",IFERROR(IF(INDEX('PROPERTIES'!$F$5:$F$404,MATCH(E315,'PROPERTIES'!$B$5:$B$404,0))=0,"",ROUND((INDEX('PROPERTIES'!$F$5:$F$404,MATCH(E315,'PROPERTIES'!$B$5:$B$404,0))/INDEX('PRICING'!$C$7:$C$16,MATCH(F315,'PRICING'!$A$7:$A$16,0))+INDEX('PROPERTIES'!$G$5:$G$404,MATCH(E315,'PROPERTIES'!$B$5:$B$404,0))*INDEX('PRICING'!$D$7:$D$16,MATCH(F315,'PRICING'!$A$7:$A$16,0))/60+INDEX('PROPERTIES'!$H$5:$H$404,MATCH(E315,'PROPERTIES'!$B$5:$B$404,0))*INDEX('PRICING'!$E$7:$E$16,MATCH(F315,'PRICING'!$A$7:$A$16,0))/60+INDEX('PRICING'!$F$7:$F$16,MATCH(F315,'PRICING'!$A$7:$A$16,0))/60),2)),""))</f>
        <v/>
      </c>
      <c r="R315" s="97">
        <f>IF(B315="","",IF(N(K315)&gt;0,K315,IF(N(J315)&gt;0,J315,N(Q315))))</f>
        <v/>
      </c>
      <c r="S315" s="55">
        <f>IF(L315="","",ROUND(L315*(1+N(M315)),2))</f>
        <v/>
      </c>
      <c r="T315" s="55">
        <f>IF(B315="","",SUMIFS('REVENUE'!$C$5:$C$1504,'REVENUE'!$B$5:$B$1504,A315))</f>
        <v/>
      </c>
      <c r="U315" s="55">
        <f>IF(B315="","",IF(O315="Completed",MAX(0,N(S315)-T315),""))</f>
        <v/>
      </c>
      <c r="V315" s="49">
        <f>IF(B315="","",IF(O315&lt;&gt;"Completed",IF(T315&gt;0,"Deposit","—"),IF(U315&lt;=0.005,"Paid",IF(T315&gt;0,"Partial","Unpaid"))))</f>
        <v/>
      </c>
      <c r="W315" s="55">
        <f>IF(B315="","",IFERROR(1/(1/INDEX('STAFF &amp; TASKS'!$C$5:$C$24,MATCH(H315,'STAFF &amp; TASKS'!$A$5:$A$24,0))),PayRate))</f>
        <v/>
      </c>
      <c r="X315" s="55">
        <f>IF(B315="","",IF(OR(O315="Cancelled",O315="No-Show"),"",ROUND(R315*W315*(1+Burden),2)))</f>
        <v/>
      </c>
      <c r="Y315" s="55">
        <f>IF(B315="","",IF(OR(O315="Cancelled",O315="No-Show"),"",IF(N315&lt;&gt;"",N315,ROUND(R315*SupHr*IFERROR(INDEX('PRICING'!$G$7:$G$16,MATCH(F315,'PRICING'!$A$7:$A$16,0)),1),2))))</f>
        <v/>
      </c>
      <c r="Z315" s="98">
        <f>IF(B315="","",SUMIFS('MILEAGE'!$J$5:$J$1504,'MILEAGE'!$B$5:$B$1504,A315))</f>
        <v/>
      </c>
      <c r="AA315" s="55">
        <f>IF(B315="","",ROUND(Z315*MileRate,2))</f>
        <v/>
      </c>
      <c r="AB315" s="55">
        <f>IF(B315="","",SUMIFS('REVENUE'!$J$5:$J$1504,'REVENUE'!$B$5:$B$1504,A315))</f>
        <v/>
      </c>
      <c r="AC315" s="55">
        <f>IF(L315="","",IF(OR(O315="Cancelled",O315="No-Show"),"",L315-N(X315)-N(Y315)-AA315-AB315))</f>
        <v/>
      </c>
      <c r="AD315" s="99">
        <f>IF(OR(AC315="",N(L315)=0),"",AC315/L315)</f>
        <v/>
      </c>
      <c r="AE315" s="55">
        <f>IF(OR(AC315="",N(R315)=0),"",L315/R315)</f>
        <v/>
      </c>
      <c r="AF315" s="100">
        <f>IF(OR(N(K315)=0,N(J315)+N(Q315)=0),"",K315-IF(N(J315)&gt;0,J315,Q315))</f>
        <v/>
      </c>
      <c r="AG315" s="99">
        <f>IF(B315="","",IFERROR(AVERAGEIFS('QUALITY CONTROL'!$M$5:$M$304,'QUALITY CONTROL'!$B$5:$B$304,A315),""))</f>
        <v/>
      </c>
      <c r="AH315" s="51">
        <f>IF(B315="","",DATE(YEAR(B315),MONTH(B315),1))</f>
        <v/>
      </c>
      <c r="AI315" s="49">
        <f>IF(D315="","",IFERROR(INDEX('CUSTOMERS'!$E$5:$E$404,MATCH(D315,'CUSTOMERS'!$B$5:$B$404,0)),""))</f>
        <v/>
      </c>
      <c r="AJ315" s="49">
        <f>IF(B315="","",N(C315))</f>
        <v/>
      </c>
      <c r="AK315" s="49">
        <f>IF(OR(B315="",O315="Cancelled",O315="Rescheduled"),"",B315&amp;"|"&amp;(COUNTIFS('JOBS'!$B$5:$B$1504,B315,'JOBS'!$AJ$5:$AJ$1504,"&lt;"&amp;AJ315,'JOBS'!$O$5:$O$1504,"&lt;&gt;Cancelled",'JOBS'!$O$5:$O$1504,"&lt;&gt;Rescheduled")+COUNTIFS($B$5:B315,B315,$AJ$5:AJ315,AJ315,$O$5:O315,"&lt;&gt;Cancelled",$O$5:O315,"&lt;&gt;Rescheduled")))</f>
        <v/>
      </c>
      <c r="AL315" s="49">
        <f>IF(N(U315)&lt;=0.005,"",COUNTIFS('JOBS'!$U$5:$U$1504,"&gt;0.005",'JOBS'!$B$5:$B$1504,"&lt;"&amp;B315)+COUNTIFS($U$5:U315,"&gt;0.005",$B$5:B315,B315))</f>
        <v/>
      </c>
    </row>
    <row r="316">
      <c r="A316" s="46" t="inlineStr">
        <is>
          <t>J-0312</t>
        </is>
      </c>
      <c r="B316" s="47" t="n"/>
      <c r="C316" s="94" t="n"/>
      <c r="D316" s="38" t="n"/>
      <c r="E316" s="38" t="n"/>
      <c r="F316" s="38" t="n"/>
      <c r="G316" s="38" t="n"/>
      <c r="H316" s="38" t="n"/>
      <c r="I316" s="57" t="n"/>
      <c r="J316" s="95" t="n"/>
      <c r="K316" s="95" t="n"/>
      <c r="L316" s="48" t="n"/>
      <c r="M316" s="96" t="n"/>
      <c r="N316" s="48" t="n"/>
      <c r="O316" s="38" t="n"/>
      <c r="P316" s="38" t="n"/>
      <c r="Q316" s="97">
        <f>IF(OR(F316="",E316=""),"",IFERROR(IF(INDEX('PROPERTIES'!$F$5:$F$404,MATCH(E316,'PROPERTIES'!$B$5:$B$404,0))=0,"",ROUND((INDEX('PROPERTIES'!$F$5:$F$404,MATCH(E316,'PROPERTIES'!$B$5:$B$404,0))/INDEX('PRICING'!$C$7:$C$16,MATCH(F316,'PRICING'!$A$7:$A$16,0))+INDEX('PROPERTIES'!$G$5:$G$404,MATCH(E316,'PROPERTIES'!$B$5:$B$404,0))*INDEX('PRICING'!$D$7:$D$16,MATCH(F316,'PRICING'!$A$7:$A$16,0))/60+INDEX('PROPERTIES'!$H$5:$H$404,MATCH(E316,'PROPERTIES'!$B$5:$B$404,0))*INDEX('PRICING'!$E$7:$E$16,MATCH(F316,'PRICING'!$A$7:$A$16,0))/60+INDEX('PRICING'!$F$7:$F$16,MATCH(F316,'PRICING'!$A$7:$A$16,0))/60),2)),""))</f>
        <v/>
      </c>
      <c r="R316" s="97">
        <f>IF(B316="","",IF(N(K316)&gt;0,K316,IF(N(J316)&gt;0,J316,N(Q316))))</f>
        <v/>
      </c>
      <c r="S316" s="55">
        <f>IF(L316="","",ROUND(L316*(1+N(M316)),2))</f>
        <v/>
      </c>
      <c r="T316" s="55">
        <f>IF(B316="","",SUMIFS('REVENUE'!$C$5:$C$1504,'REVENUE'!$B$5:$B$1504,A316))</f>
        <v/>
      </c>
      <c r="U316" s="55">
        <f>IF(B316="","",IF(O316="Completed",MAX(0,N(S316)-T316),""))</f>
        <v/>
      </c>
      <c r="V316" s="49">
        <f>IF(B316="","",IF(O316&lt;&gt;"Completed",IF(T316&gt;0,"Deposit","—"),IF(U316&lt;=0.005,"Paid",IF(T316&gt;0,"Partial","Unpaid"))))</f>
        <v/>
      </c>
      <c r="W316" s="55">
        <f>IF(B316="","",IFERROR(1/(1/INDEX('STAFF &amp; TASKS'!$C$5:$C$24,MATCH(H316,'STAFF &amp; TASKS'!$A$5:$A$24,0))),PayRate))</f>
        <v/>
      </c>
      <c r="X316" s="55">
        <f>IF(B316="","",IF(OR(O316="Cancelled",O316="No-Show"),"",ROUND(R316*W316*(1+Burden),2)))</f>
        <v/>
      </c>
      <c r="Y316" s="55">
        <f>IF(B316="","",IF(OR(O316="Cancelled",O316="No-Show"),"",IF(N316&lt;&gt;"",N316,ROUND(R316*SupHr*IFERROR(INDEX('PRICING'!$G$7:$G$16,MATCH(F316,'PRICING'!$A$7:$A$16,0)),1),2))))</f>
        <v/>
      </c>
      <c r="Z316" s="98">
        <f>IF(B316="","",SUMIFS('MILEAGE'!$J$5:$J$1504,'MILEAGE'!$B$5:$B$1504,A316))</f>
        <v/>
      </c>
      <c r="AA316" s="55">
        <f>IF(B316="","",ROUND(Z316*MileRate,2))</f>
        <v/>
      </c>
      <c r="AB316" s="55">
        <f>IF(B316="","",SUMIFS('REVENUE'!$J$5:$J$1504,'REVENUE'!$B$5:$B$1504,A316))</f>
        <v/>
      </c>
      <c r="AC316" s="55">
        <f>IF(L316="","",IF(OR(O316="Cancelled",O316="No-Show"),"",L316-N(X316)-N(Y316)-AA316-AB316))</f>
        <v/>
      </c>
      <c r="AD316" s="99">
        <f>IF(OR(AC316="",N(L316)=0),"",AC316/L316)</f>
        <v/>
      </c>
      <c r="AE316" s="55">
        <f>IF(OR(AC316="",N(R316)=0),"",L316/R316)</f>
        <v/>
      </c>
      <c r="AF316" s="100">
        <f>IF(OR(N(K316)=0,N(J316)+N(Q316)=0),"",K316-IF(N(J316)&gt;0,J316,Q316))</f>
        <v/>
      </c>
      <c r="AG316" s="99">
        <f>IF(B316="","",IFERROR(AVERAGEIFS('QUALITY CONTROL'!$M$5:$M$304,'QUALITY CONTROL'!$B$5:$B$304,A316),""))</f>
        <v/>
      </c>
      <c r="AH316" s="51">
        <f>IF(B316="","",DATE(YEAR(B316),MONTH(B316),1))</f>
        <v/>
      </c>
      <c r="AI316" s="49">
        <f>IF(D316="","",IFERROR(INDEX('CUSTOMERS'!$E$5:$E$404,MATCH(D316,'CUSTOMERS'!$B$5:$B$404,0)),""))</f>
        <v/>
      </c>
      <c r="AJ316" s="49">
        <f>IF(B316="","",N(C316))</f>
        <v/>
      </c>
      <c r="AK316" s="49">
        <f>IF(OR(B316="",O316="Cancelled",O316="Rescheduled"),"",B316&amp;"|"&amp;(COUNTIFS('JOBS'!$B$5:$B$1504,B316,'JOBS'!$AJ$5:$AJ$1504,"&lt;"&amp;AJ316,'JOBS'!$O$5:$O$1504,"&lt;&gt;Cancelled",'JOBS'!$O$5:$O$1504,"&lt;&gt;Rescheduled")+COUNTIFS($B$5:B316,B316,$AJ$5:AJ316,AJ316,$O$5:O316,"&lt;&gt;Cancelled",$O$5:O316,"&lt;&gt;Rescheduled")))</f>
        <v/>
      </c>
      <c r="AL316" s="49">
        <f>IF(N(U316)&lt;=0.005,"",COUNTIFS('JOBS'!$U$5:$U$1504,"&gt;0.005",'JOBS'!$B$5:$B$1504,"&lt;"&amp;B316)+COUNTIFS($U$5:U316,"&gt;0.005",$B$5:B316,B316))</f>
        <v/>
      </c>
    </row>
    <row r="317">
      <c r="A317" s="46" t="inlineStr">
        <is>
          <t>J-0313</t>
        </is>
      </c>
      <c r="B317" s="47" t="n"/>
      <c r="C317" s="94" t="n"/>
      <c r="D317" s="38" t="n"/>
      <c r="E317" s="38" t="n"/>
      <c r="F317" s="38" t="n"/>
      <c r="G317" s="38" t="n"/>
      <c r="H317" s="38" t="n"/>
      <c r="I317" s="57" t="n"/>
      <c r="J317" s="95" t="n"/>
      <c r="K317" s="95" t="n"/>
      <c r="L317" s="48" t="n"/>
      <c r="M317" s="96" t="n"/>
      <c r="N317" s="48" t="n"/>
      <c r="O317" s="38" t="n"/>
      <c r="P317" s="38" t="n"/>
      <c r="Q317" s="97">
        <f>IF(OR(F317="",E317=""),"",IFERROR(IF(INDEX('PROPERTIES'!$F$5:$F$404,MATCH(E317,'PROPERTIES'!$B$5:$B$404,0))=0,"",ROUND((INDEX('PROPERTIES'!$F$5:$F$404,MATCH(E317,'PROPERTIES'!$B$5:$B$404,0))/INDEX('PRICING'!$C$7:$C$16,MATCH(F317,'PRICING'!$A$7:$A$16,0))+INDEX('PROPERTIES'!$G$5:$G$404,MATCH(E317,'PROPERTIES'!$B$5:$B$404,0))*INDEX('PRICING'!$D$7:$D$16,MATCH(F317,'PRICING'!$A$7:$A$16,0))/60+INDEX('PROPERTIES'!$H$5:$H$404,MATCH(E317,'PROPERTIES'!$B$5:$B$404,0))*INDEX('PRICING'!$E$7:$E$16,MATCH(F317,'PRICING'!$A$7:$A$16,0))/60+INDEX('PRICING'!$F$7:$F$16,MATCH(F317,'PRICING'!$A$7:$A$16,0))/60),2)),""))</f>
        <v/>
      </c>
      <c r="R317" s="97">
        <f>IF(B317="","",IF(N(K317)&gt;0,K317,IF(N(J317)&gt;0,J317,N(Q317))))</f>
        <v/>
      </c>
      <c r="S317" s="55">
        <f>IF(L317="","",ROUND(L317*(1+N(M317)),2))</f>
        <v/>
      </c>
      <c r="T317" s="55">
        <f>IF(B317="","",SUMIFS('REVENUE'!$C$5:$C$1504,'REVENUE'!$B$5:$B$1504,A317))</f>
        <v/>
      </c>
      <c r="U317" s="55">
        <f>IF(B317="","",IF(O317="Completed",MAX(0,N(S317)-T317),""))</f>
        <v/>
      </c>
      <c r="V317" s="49">
        <f>IF(B317="","",IF(O317&lt;&gt;"Completed",IF(T317&gt;0,"Deposit","—"),IF(U317&lt;=0.005,"Paid",IF(T317&gt;0,"Partial","Unpaid"))))</f>
        <v/>
      </c>
      <c r="W317" s="55">
        <f>IF(B317="","",IFERROR(1/(1/INDEX('STAFF &amp; TASKS'!$C$5:$C$24,MATCH(H317,'STAFF &amp; TASKS'!$A$5:$A$24,0))),PayRate))</f>
        <v/>
      </c>
      <c r="X317" s="55">
        <f>IF(B317="","",IF(OR(O317="Cancelled",O317="No-Show"),"",ROUND(R317*W317*(1+Burden),2)))</f>
        <v/>
      </c>
      <c r="Y317" s="55">
        <f>IF(B317="","",IF(OR(O317="Cancelled",O317="No-Show"),"",IF(N317&lt;&gt;"",N317,ROUND(R317*SupHr*IFERROR(INDEX('PRICING'!$G$7:$G$16,MATCH(F317,'PRICING'!$A$7:$A$16,0)),1),2))))</f>
        <v/>
      </c>
      <c r="Z317" s="98">
        <f>IF(B317="","",SUMIFS('MILEAGE'!$J$5:$J$1504,'MILEAGE'!$B$5:$B$1504,A317))</f>
        <v/>
      </c>
      <c r="AA317" s="55">
        <f>IF(B317="","",ROUND(Z317*MileRate,2))</f>
        <v/>
      </c>
      <c r="AB317" s="55">
        <f>IF(B317="","",SUMIFS('REVENUE'!$J$5:$J$1504,'REVENUE'!$B$5:$B$1504,A317))</f>
        <v/>
      </c>
      <c r="AC317" s="55">
        <f>IF(L317="","",IF(OR(O317="Cancelled",O317="No-Show"),"",L317-N(X317)-N(Y317)-AA317-AB317))</f>
        <v/>
      </c>
      <c r="AD317" s="99">
        <f>IF(OR(AC317="",N(L317)=0),"",AC317/L317)</f>
        <v/>
      </c>
      <c r="AE317" s="55">
        <f>IF(OR(AC317="",N(R317)=0),"",L317/R317)</f>
        <v/>
      </c>
      <c r="AF317" s="100">
        <f>IF(OR(N(K317)=0,N(J317)+N(Q317)=0),"",K317-IF(N(J317)&gt;0,J317,Q317))</f>
        <v/>
      </c>
      <c r="AG317" s="99">
        <f>IF(B317="","",IFERROR(AVERAGEIFS('QUALITY CONTROL'!$M$5:$M$304,'QUALITY CONTROL'!$B$5:$B$304,A317),""))</f>
        <v/>
      </c>
      <c r="AH317" s="51">
        <f>IF(B317="","",DATE(YEAR(B317),MONTH(B317),1))</f>
        <v/>
      </c>
      <c r="AI317" s="49">
        <f>IF(D317="","",IFERROR(INDEX('CUSTOMERS'!$E$5:$E$404,MATCH(D317,'CUSTOMERS'!$B$5:$B$404,0)),""))</f>
        <v/>
      </c>
      <c r="AJ317" s="49">
        <f>IF(B317="","",N(C317))</f>
        <v/>
      </c>
      <c r="AK317" s="49">
        <f>IF(OR(B317="",O317="Cancelled",O317="Rescheduled"),"",B317&amp;"|"&amp;(COUNTIFS('JOBS'!$B$5:$B$1504,B317,'JOBS'!$AJ$5:$AJ$1504,"&lt;"&amp;AJ317,'JOBS'!$O$5:$O$1504,"&lt;&gt;Cancelled",'JOBS'!$O$5:$O$1504,"&lt;&gt;Rescheduled")+COUNTIFS($B$5:B317,B317,$AJ$5:AJ317,AJ317,$O$5:O317,"&lt;&gt;Cancelled",$O$5:O317,"&lt;&gt;Rescheduled")))</f>
        <v/>
      </c>
      <c r="AL317" s="49">
        <f>IF(N(U317)&lt;=0.005,"",COUNTIFS('JOBS'!$U$5:$U$1504,"&gt;0.005",'JOBS'!$B$5:$B$1504,"&lt;"&amp;B317)+COUNTIFS($U$5:U317,"&gt;0.005",$B$5:B317,B317))</f>
        <v/>
      </c>
    </row>
    <row r="318">
      <c r="A318" s="46" t="inlineStr">
        <is>
          <t>J-0314</t>
        </is>
      </c>
      <c r="B318" s="47" t="n"/>
      <c r="C318" s="94" t="n"/>
      <c r="D318" s="38" t="n"/>
      <c r="E318" s="38" t="n"/>
      <c r="F318" s="38" t="n"/>
      <c r="G318" s="38" t="n"/>
      <c r="H318" s="38" t="n"/>
      <c r="I318" s="57" t="n"/>
      <c r="J318" s="95" t="n"/>
      <c r="K318" s="95" t="n"/>
      <c r="L318" s="48" t="n"/>
      <c r="M318" s="96" t="n"/>
      <c r="N318" s="48" t="n"/>
      <c r="O318" s="38" t="n"/>
      <c r="P318" s="38" t="n"/>
      <c r="Q318" s="97">
        <f>IF(OR(F318="",E318=""),"",IFERROR(IF(INDEX('PROPERTIES'!$F$5:$F$404,MATCH(E318,'PROPERTIES'!$B$5:$B$404,0))=0,"",ROUND((INDEX('PROPERTIES'!$F$5:$F$404,MATCH(E318,'PROPERTIES'!$B$5:$B$404,0))/INDEX('PRICING'!$C$7:$C$16,MATCH(F318,'PRICING'!$A$7:$A$16,0))+INDEX('PROPERTIES'!$G$5:$G$404,MATCH(E318,'PROPERTIES'!$B$5:$B$404,0))*INDEX('PRICING'!$D$7:$D$16,MATCH(F318,'PRICING'!$A$7:$A$16,0))/60+INDEX('PROPERTIES'!$H$5:$H$404,MATCH(E318,'PROPERTIES'!$B$5:$B$404,0))*INDEX('PRICING'!$E$7:$E$16,MATCH(F318,'PRICING'!$A$7:$A$16,0))/60+INDEX('PRICING'!$F$7:$F$16,MATCH(F318,'PRICING'!$A$7:$A$16,0))/60),2)),""))</f>
        <v/>
      </c>
      <c r="R318" s="97">
        <f>IF(B318="","",IF(N(K318)&gt;0,K318,IF(N(J318)&gt;0,J318,N(Q318))))</f>
        <v/>
      </c>
      <c r="S318" s="55">
        <f>IF(L318="","",ROUND(L318*(1+N(M318)),2))</f>
        <v/>
      </c>
      <c r="T318" s="55">
        <f>IF(B318="","",SUMIFS('REVENUE'!$C$5:$C$1504,'REVENUE'!$B$5:$B$1504,A318))</f>
        <v/>
      </c>
      <c r="U318" s="55">
        <f>IF(B318="","",IF(O318="Completed",MAX(0,N(S318)-T318),""))</f>
        <v/>
      </c>
      <c r="V318" s="49">
        <f>IF(B318="","",IF(O318&lt;&gt;"Completed",IF(T318&gt;0,"Deposit","—"),IF(U318&lt;=0.005,"Paid",IF(T318&gt;0,"Partial","Unpaid"))))</f>
        <v/>
      </c>
      <c r="W318" s="55">
        <f>IF(B318="","",IFERROR(1/(1/INDEX('STAFF &amp; TASKS'!$C$5:$C$24,MATCH(H318,'STAFF &amp; TASKS'!$A$5:$A$24,0))),PayRate))</f>
        <v/>
      </c>
      <c r="X318" s="55">
        <f>IF(B318="","",IF(OR(O318="Cancelled",O318="No-Show"),"",ROUND(R318*W318*(1+Burden),2)))</f>
        <v/>
      </c>
      <c r="Y318" s="55">
        <f>IF(B318="","",IF(OR(O318="Cancelled",O318="No-Show"),"",IF(N318&lt;&gt;"",N318,ROUND(R318*SupHr*IFERROR(INDEX('PRICING'!$G$7:$G$16,MATCH(F318,'PRICING'!$A$7:$A$16,0)),1),2))))</f>
        <v/>
      </c>
      <c r="Z318" s="98">
        <f>IF(B318="","",SUMIFS('MILEAGE'!$J$5:$J$1504,'MILEAGE'!$B$5:$B$1504,A318))</f>
        <v/>
      </c>
      <c r="AA318" s="55">
        <f>IF(B318="","",ROUND(Z318*MileRate,2))</f>
        <v/>
      </c>
      <c r="AB318" s="55">
        <f>IF(B318="","",SUMIFS('REVENUE'!$J$5:$J$1504,'REVENUE'!$B$5:$B$1504,A318))</f>
        <v/>
      </c>
      <c r="AC318" s="55">
        <f>IF(L318="","",IF(OR(O318="Cancelled",O318="No-Show"),"",L318-N(X318)-N(Y318)-AA318-AB318))</f>
        <v/>
      </c>
      <c r="AD318" s="99">
        <f>IF(OR(AC318="",N(L318)=0),"",AC318/L318)</f>
        <v/>
      </c>
      <c r="AE318" s="55">
        <f>IF(OR(AC318="",N(R318)=0),"",L318/R318)</f>
        <v/>
      </c>
      <c r="AF318" s="100">
        <f>IF(OR(N(K318)=0,N(J318)+N(Q318)=0),"",K318-IF(N(J318)&gt;0,J318,Q318))</f>
        <v/>
      </c>
      <c r="AG318" s="99">
        <f>IF(B318="","",IFERROR(AVERAGEIFS('QUALITY CONTROL'!$M$5:$M$304,'QUALITY CONTROL'!$B$5:$B$304,A318),""))</f>
        <v/>
      </c>
      <c r="AH318" s="51">
        <f>IF(B318="","",DATE(YEAR(B318),MONTH(B318),1))</f>
        <v/>
      </c>
      <c r="AI318" s="49">
        <f>IF(D318="","",IFERROR(INDEX('CUSTOMERS'!$E$5:$E$404,MATCH(D318,'CUSTOMERS'!$B$5:$B$404,0)),""))</f>
        <v/>
      </c>
      <c r="AJ318" s="49">
        <f>IF(B318="","",N(C318))</f>
        <v/>
      </c>
      <c r="AK318" s="49">
        <f>IF(OR(B318="",O318="Cancelled",O318="Rescheduled"),"",B318&amp;"|"&amp;(COUNTIFS('JOBS'!$B$5:$B$1504,B318,'JOBS'!$AJ$5:$AJ$1504,"&lt;"&amp;AJ318,'JOBS'!$O$5:$O$1504,"&lt;&gt;Cancelled",'JOBS'!$O$5:$O$1504,"&lt;&gt;Rescheduled")+COUNTIFS($B$5:B318,B318,$AJ$5:AJ318,AJ318,$O$5:O318,"&lt;&gt;Cancelled",$O$5:O318,"&lt;&gt;Rescheduled")))</f>
        <v/>
      </c>
      <c r="AL318" s="49">
        <f>IF(N(U318)&lt;=0.005,"",COUNTIFS('JOBS'!$U$5:$U$1504,"&gt;0.005",'JOBS'!$B$5:$B$1504,"&lt;"&amp;B318)+COUNTIFS($U$5:U318,"&gt;0.005",$B$5:B318,B318))</f>
        <v/>
      </c>
    </row>
    <row r="319">
      <c r="A319" s="46" t="inlineStr">
        <is>
          <t>J-0315</t>
        </is>
      </c>
      <c r="B319" s="47" t="n"/>
      <c r="C319" s="94" t="n"/>
      <c r="D319" s="38" t="n"/>
      <c r="E319" s="38" t="n"/>
      <c r="F319" s="38" t="n"/>
      <c r="G319" s="38" t="n"/>
      <c r="H319" s="38" t="n"/>
      <c r="I319" s="57" t="n"/>
      <c r="J319" s="95" t="n"/>
      <c r="K319" s="95" t="n"/>
      <c r="L319" s="48" t="n"/>
      <c r="M319" s="96" t="n"/>
      <c r="N319" s="48" t="n"/>
      <c r="O319" s="38" t="n"/>
      <c r="P319" s="38" t="n"/>
      <c r="Q319" s="97">
        <f>IF(OR(F319="",E319=""),"",IFERROR(IF(INDEX('PROPERTIES'!$F$5:$F$404,MATCH(E319,'PROPERTIES'!$B$5:$B$404,0))=0,"",ROUND((INDEX('PROPERTIES'!$F$5:$F$404,MATCH(E319,'PROPERTIES'!$B$5:$B$404,0))/INDEX('PRICING'!$C$7:$C$16,MATCH(F319,'PRICING'!$A$7:$A$16,0))+INDEX('PROPERTIES'!$G$5:$G$404,MATCH(E319,'PROPERTIES'!$B$5:$B$404,0))*INDEX('PRICING'!$D$7:$D$16,MATCH(F319,'PRICING'!$A$7:$A$16,0))/60+INDEX('PROPERTIES'!$H$5:$H$404,MATCH(E319,'PROPERTIES'!$B$5:$B$404,0))*INDEX('PRICING'!$E$7:$E$16,MATCH(F319,'PRICING'!$A$7:$A$16,0))/60+INDEX('PRICING'!$F$7:$F$16,MATCH(F319,'PRICING'!$A$7:$A$16,0))/60),2)),""))</f>
        <v/>
      </c>
      <c r="R319" s="97">
        <f>IF(B319="","",IF(N(K319)&gt;0,K319,IF(N(J319)&gt;0,J319,N(Q319))))</f>
        <v/>
      </c>
      <c r="S319" s="55">
        <f>IF(L319="","",ROUND(L319*(1+N(M319)),2))</f>
        <v/>
      </c>
      <c r="T319" s="55">
        <f>IF(B319="","",SUMIFS('REVENUE'!$C$5:$C$1504,'REVENUE'!$B$5:$B$1504,A319))</f>
        <v/>
      </c>
      <c r="U319" s="55">
        <f>IF(B319="","",IF(O319="Completed",MAX(0,N(S319)-T319),""))</f>
        <v/>
      </c>
      <c r="V319" s="49">
        <f>IF(B319="","",IF(O319&lt;&gt;"Completed",IF(T319&gt;0,"Deposit","—"),IF(U319&lt;=0.005,"Paid",IF(T319&gt;0,"Partial","Unpaid"))))</f>
        <v/>
      </c>
      <c r="W319" s="55">
        <f>IF(B319="","",IFERROR(1/(1/INDEX('STAFF &amp; TASKS'!$C$5:$C$24,MATCH(H319,'STAFF &amp; TASKS'!$A$5:$A$24,0))),PayRate))</f>
        <v/>
      </c>
      <c r="X319" s="55">
        <f>IF(B319="","",IF(OR(O319="Cancelled",O319="No-Show"),"",ROUND(R319*W319*(1+Burden),2)))</f>
        <v/>
      </c>
      <c r="Y319" s="55">
        <f>IF(B319="","",IF(OR(O319="Cancelled",O319="No-Show"),"",IF(N319&lt;&gt;"",N319,ROUND(R319*SupHr*IFERROR(INDEX('PRICING'!$G$7:$G$16,MATCH(F319,'PRICING'!$A$7:$A$16,0)),1),2))))</f>
        <v/>
      </c>
      <c r="Z319" s="98">
        <f>IF(B319="","",SUMIFS('MILEAGE'!$J$5:$J$1504,'MILEAGE'!$B$5:$B$1504,A319))</f>
        <v/>
      </c>
      <c r="AA319" s="55">
        <f>IF(B319="","",ROUND(Z319*MileRate,2))</f>
        <v/>
      </c>
      <c r="AB319" s="55">
        <f>IF(B319="","",SUMIFS('REVENUE'!$J$5:$J$1504,'REVENUE'!$B$5:$B$1504,A319))</f>
        <v/>
      </c>
      <c r="AC319" s="55">
        <f>IF(L319="","",IF(OR(O319="Cancelled",O319="No-Show"),"",L319-N(X319)-N(Y319)-AA319-AB319))</f>
        <v/>
      </c>
      <c r="AD319" s="99">
        <f>IF(OR(AC319="",N(L319)=0),"",AC319/L319)</f>
        <v/>
      </c>
      <c r="AE319" s="55">
        <f>IF(OR(AC319="",N(R319)=0),"",L319/R319)</f>
        <v/>
      </c>
      <c r="AF319" s="100">
        <f>IF(OR(N(K319)=0,N(J319)+N(Q319)=0),"",K319-IF(N(J319)&gt;0,J319,Q319))</f>
        <v/>
      </c>
      <c r="AG319" s="99">
        <f>IF(B319="","",IFERROR(AVERAGEIFS('QUALITY CONTROL'!$M$5:$M$304,'QUALITY CONTROL'!$B$5:$B$304,A319),""))</f>
        <v/>
      </c>
      <c r="AH319" s="51">
        <f>IF(B319="","",DATE(YEAR(B319),MONTH(B319),1))</f>
        <v/>
      </c>
      <c r="AI319" s="49">
        <f>IF(D319="","",IFERROR(INDEX('CUSTOMERS'!$E$5:$E$404,MATCH(D319,'CUSTOMERS'!$B$5:$B$404,0)),""))</f>
        <v/>
      </c>
      <c r="AJ319" s="49">
        <f>IF(B319="","",N(C319))</f>
        <v/>
      </c>
      <c r="AK319" s="49">
        <f>IF(OR(B319="",O319="Cancelled",O319="Rescheduled"),"",B319&amp;"|"&amp;(COUNTIFS('JOBS'!$B$5:$B$1504,B319,'JOBS'!$AJ$5:$AJ$1504,"&lt;"&amp;AJ319,'JOBS'!$O$5:$O$1504,"&lt;&gt;Cancelled",'JOBS'!$O$5:$O$1504,"&lt;&gt;Rescheduled")+COUNTIFS($B$5:B319,B319,$AJ$5:AJ319,AJ319,$O$5:O319,"&lt;&gt;Cancelled",$O$5:O319,"&lt;&gt;Rescheduled")))</f>
        <v/>
      </c>
      <c r="AL319" s="49">
        <f>IF(N(U319)&lt;=0.005,"",COUNTIFS('JOBS'!$U$5:$U$1504,"&gt;0.005",'JOBS'!$B$5:$B$1504,"&lt;"&amp;B319)+COUNTIFS($U$5:U319,"&gt;0.005",$B$5:B319,B319))</f>
        <v/>
      </c>
    </row>
    <row r="320">
      <c r="A320" s="46" t="inlineStr">
        <is>
          <t>J-0316</t>
        </is>
      </c>
      <c r="B320" s="47" t="n"/>
      <c r="C320" s="94" t="n"/>
      <c r="D320" s="38" t="n"/>
      <c r="E320" s="38" t="n"/>
      <c r="F320" s="38" t="n"/>
      <c r="G320" s="38" t="n"/>
      <c r="H320" s="38" t="n"/>
      <c r="I320" s="57" t="n"/>
      <c r="J320" s="95" t="n"/>
      <c r="K320" s="95" t="n"/>
      <c r="L320" s="48" t="n"/>
      <c r="M320" s="96" t="n"/>
      <c r="N320" s="48" t="n"/>
      <c r="O320" s="38" t="n"/>
      <c r="P320" s="38" t="n"/>
      <c r="Q320" s="97">
        <f>IF(OR(F320="",E320=""),"",IFERROR(IF(INDEX('PROPERTIES'!$F$5:$F$404,MATCH(E320,'PROPERTIES'!$B$5:$B$404,0))=0,"",ROUND((INDEX('PROPERTIES'!$F$5:$F$404,MATCH(E320,'PROPERTIES'!$B$5:$B$404,0))/INDEX('PRICING'!$C$7:$C$16,MATCH(F320,'PRICING'!$A$7:$A$16,0))+INDEX('PROPERTIES'!$G$5:$G$404,MATCH(E320,'PROPERTIES'!$B$5:$B$404,0))*INDEX('PRICING'!$D$7:$D$16,MATCH(F320,'PRICING'!$A$7:$A$16,0))/60+INDEX('PROPERTIES'!$H$5:$H$404,MATCH(E320,'PROPERTIES'!$B$5:$B$404,0))*INDEX('PRICING'!$E$7:$E$16,MATCH(F320,'PRICING'!$A$7:$A$16,0))/60+INDEX('PRICING'!$F$7:$F$16,MATCH(F320,'PRICING'!$A$7:$A$16,0))/60),2)),""))</f>
        <v/>
      </c>
      <c r="R320" s="97">
        <f>IF(B320="","",IF(N(K320)&gt;0,K320,IF(N(J320)&gt;0,J320,N(Q320))))</f>
        <v/>
      </c>
      <c r="S320" s="55">
        <f>IF(L320="","",ROUND(L320*(1+N(M320)),2))</f>
        <v/>
      </c>
      <c r="T320" s="55">
        <f>IF(B320="","",SUMIFS('REVENUE'!$C$5:$C$1504,'REVENUE'!$B$5:$B$1504,A320))</f>
        <v/>
      </c>
      <c r="U320" s="55">
        <f>IF(B320="","",IF(O320="Completed",MAX(0,N(S320)-T320),""))</f>
        <v/>
      </c>
      <c r="V320" s="49">
        <f>IF(B320="","",IF(O320&lt;&gt;"Completed",IF(T320&gt;0,"Deposit","—"),IF(U320&lt;=0.005,"Paid",IF(T320&gt;0,"Partial","Unpaid"))))</f>
        <v/>
      </c>
      <c r="W320" s="55">
        <f>IF(B320="","",IFERROR(1/(1/INDEX('STAFF &amp; TASKS'!$C$5:$C$24,MATCH(H320,'STAFF &amp; TASKS'!$A$5:$A$24,0))),PayRate))</f>
        <v/>
      </c>
      <c r="X320" s="55">
        <f>IF(B320="","",IF(OR(O320="Cancelled",O320="No-Show"),"",ROUND(R320*W320*(1+Burden),2)))</f>
        <v/>
      </c>
      <c r="Y320" s="55">
        <f>IF(B320="","",IF(OR(O320="Cancelled",O320="No-Show"),"",IF(N320&lt;&gt;"",N320,ROUND(R320*SupHr*IFERROR(INDEX('PRICING'!$G$7:$G$16,MATCH(F320,'PRICING'!$A$7:$A$16,0)),1),2))))</f>
        <v/>
      </c>
      <c r="Z320" s="98">
        <f>IF(B320="","",SUMIFS('MILEAGE'!$J$5:$J$1504,'MILEAGE'!$B$5:$B$1504,A320))</f>
        <v/>
      </c>
      <c r="AA320" s="55">
        <f>IF(B320="","",ROUND(Z320*MileRate,2))</f>
        <v/>
      </c>
      <c r="AB320" s="55">
        <f>IF(B320="","",SUMIFS('REVENUE'!$J$5:$J$1504,'REVENUE'!$B$5:$B$1504,A320))</f>
        <v/>
      </c>
      <c r="AC320" s="55">
        <f>IF(L320="","",IF(OR(O320="Cancelled",O320="No-Show"),"",L320-N(X320)-N(Y320)-AA320-AB320))</f>
        <v/>
      </c>
      <c r="AD320" s="99">
        <f>IF(OR(AC320="",N(L320)=0),"",AC320/L320)</f>
        <v/>
      </c>
      <c r="AE320" s="55">
        <f>IF(OR(AC320="",N(R320)=0),"",L320/R320)</f>
        <v/>
      </c>
      <c r="AF320" s="100">
        <f>IF(OR(N(K320)=0,N(J320)+N(Q320)=0),"",K320-IF(N(J320)&gt;0,J320,Q320))</f>
        <v/>
      </c>
      <c r="AG320" s="99">
        <f>IF(B320="","",IFERROR(AVERAGEIFS('QUALITY CONTROL'!$M$5:$M$304,'QUALITY CONTROL'!$B$5:$B$304,A320),""))</f>
        <v/>
      </c>
      <c r="AH320" s="51">
        <f>IF(B320="","",DATE(YEAR(B320),MONTH(B320),1))</f>
        <v/>
      </c>
      <c r="AI320" s="49">
        <f>IF(D320="","",IFERROR(INDEX('CUSTOMERS'!$E$5:$E$404,MATCH(D320,'CUSTOMERS'!$B$5:$B$404,0)),""))</f>
        <v/>
      </c>
      <c r="AJ320" s="49">
        <f>IF(B320="","",N(C320))</f>
        <v/>
      </c>
      <c r="AK320" s="49">
        <f>IF(OR(B320="",O320="Cancelled",O320="Rescheduled"),"",B320&amp;"|"&amp;(COUNTIFS('JOBS'!$B$5:$B$1504,B320,'JOBS'!$AJ$5:$AJ$1504,"&lt;"&amp;AJ320,'JOBS'!$O$5:$O$1504,"&lt;&gt;Cancelled",'JOBS'!$O$5:$O$1504,"&lt;&gt;Rescheduled")+COUNTIFS($B$5:B320,B320,$AJ$5:AJ320,AJ320,$O$5:O320,"&lt;&gt;Cancelled",$O$5:O320,"&lt;&gt;Rescheduled")))</f>
        <v/>
      </c>
      <c r="AL320" s="49">
        <f>IF(N(U320)&lt;=0.005,"",COUNTIFS('JOBS'!$U$5:$U$1504,"&gt;0.005",'JOBS'!$B$5:$B$1504,"&lt;"&amp;B320)+COUNTIFS($U$5:U320,"&gt;0.005",$B$5:B320,B320))</f>
        <v/>
      </c>
    </row>
    <row r="321">
      <c r="A321" s="46" t="inlineStr">
        <is>
          <t>J-0317</t>
        </is>
      </c>
      <c r="B321" s="47" t="n"/>
      <c r="C321" s="94" t="n"/>
      <c r="D321" s="38" t="n"/>
      <c r="E321" s="38" t="n"/>
      <c r="F321" s="38" t="n"/>
      <c r="G321" s="38" t="n"/>
      <c r="H321" s="38" t="n"/>
      <c r="I321" s="57" t="n"/>
      <c r="J321" s="95" t="n"/>
      <c r="K321" s="95" t="n"/>
      <c r="L321" s="48" t="n"/>
      <c r="M321" s="96" t="n"/>
      <c r="N321" s="48" t="n"/>
      <c r="O321" s="38" t="n"/>
      <c r="P321" s="38" t="n"/>
      <c r="Q321" s="97">
        <f>IF(OR(F321="",E321=""),"",IFERROR(IF(INDEX('PROPERTIES'!$F$5:$F$404,MATCH(E321,'PROPERTIES'!$B$5:$B$404,0))=0,"",ROUND((INDEX('PROPERTIES'!$F$5:$F$404,MATCH(E321,'PROPERTIES'!$B$5:$B$404,0))/INDEX('PRICING'!$C$7:$C$16,MATCH(F321,'PRICING'!$A$7:$A$16,0))+INDEX('PROPERTIES'!$G$5:$G$404,MATCH(E321,'PROPERTIES'!$B$5:$B$404,0))*INDEX('PRICING'!$D$7:$D$16,MATCH(F321,'PRICING'!$A$7:$A$16,0))/60+INDEX('PROPERTIES'!$H$5:$H$404,MATCH(E321,'PROPERTIES'!$B$5:$B$404,0))*INDEX('PRICING'!$E$7:$E$16,MATCH(F321,'PRICING'!$A$7:$A$16,0))/60+INDEX('PRICING'!$F$7:$F$16,MATCH(F321,'PRICING'!$A$7:$A$16,0))/60),2)),""))</f>
        <v/>
      </c>
      <c r="R321" s="97">
        <f>IF(B321="","",IF(N(K321)&gt;0,K321,IF(N(J321)&gt;0,J321,N(Q321))))</f>
        <v/>
      </c>
      <c r="S321" s="55">
        <f>IF(L321="","",ROUND(L321*(1+N(M321)),2))</f>
        <v/>
      </c>
      <c r="T321" s="55">
        <f>IF(B321="","",SUMIFS('REVENUE'!$C$5:$C$1504,'REVENUE'!$B$5:$B$1504,A321))</f>
        <v/>
      </c>
      <c r="U321" s="55">
        <f>IF(B321="","",IF(O321="Completed",MAX(0,N(S321)-T321),""))</f>
        <v/>
      </c>
      <c r="V321" s="49">
        <f>IF(B321="","",IF(O321&lt;&gt;"Completed",IF(T321&gt;0,"Deposit","—"),IF(U321&lt;=0.005,"Paid",IF(T321&gt;0,"Partial","Unpaid"))))</f>
        <v/>
      </c>
      <c r="W321" s="55">
        <f>IF(B321="","",IFERROR(1/(1/INDEX('STAFF &amp; TASKS'!$C$5:$C$24,MATCH(H321,'STAFF &amp; TASKS'!$A$5:$A$24,0))),PayRate))</f>
        <v/>
      </c>
      <c r="X321" s="55">
        <f>IF(B321="","",IF(OR(O321="Cancelled",O321="No-Show"),"",ROUND(R321*W321*(1+Burden),2)))</f>
        <v/>
      </c>
      <c r="Y321" s="55">
        <f>IF(B321="","",IF(OR(O321="Cancelled",O321="No-Show"),"",IF(N321&lt;&gt;"",N321,ROUND(R321*SupHr*IFERROR(INDEX('PRICING'!$G$7:$G$16,MATCH(F321,'PRICING'!$A$7:$A$16,0)),1),2))))</f>
        <v/>
      </c>
      <c r="Z321" s="98">
        <f>IF(B321="","",SUMIFS('MILEAGE'!$J$5:$J$1504,'MILEAGE'!$B$5:$B$1504,A321))</f>
        <v/>
      </c>
      <c r="AA321" s="55">
        <f>IF(B321="","",ROUND(Z321*MileRate,2))</f>
        <v/>
      </c>
      <c r="AB321" s="55">
        <f>IF(B321="","",SUMIFS('REVENUE'!$J$5:$J$1504,'REVENUE'!$B$5:$B$1504,A321))</f>
        <v/>
      </c>
      <c r="AC321" s="55">
        <f>IF(L321="","",IF(OR(O321="Cancelled",O321="No-Show"),"",L321-N(X321)-N(Y321)-AA321-AB321))</f>
        <v/>
      </c>
      <c r="AD321" s="99">
        <f>IF(OR(AC321="",N(L321)=0),"",AC321/L321)</f>
        <v/>
      </c>
      <c r="AE321" s="55">
        <f>IF(OR(AC321="",N(R321)=0),"",L321/R321)</f>
        <v/>
      </c>
      <c r="AF321" s="100">
        <f>IF(OR(N(K321)=0,N(J321)+N(Q321)=0),"",K321-IF(N(J321)&gt;0,J321,Q321))</f>
        <v/>
      </c>
      <c r="AG321" s="99">
        <f>IF(B321="","",IFERROR(AVERAGEIFS('QUALITY CONTROL'!$M$5:$M$304,'QUALITY CONTROL'!$B$5:$B$304,A321),""))</f>
        <v/>
      </c>
      <c r="AH321" s="51">
        <f>IF(B321="","",DATE(YEAR(B321),MONTH(B321),1))</f>
        <v/>
      </c>
      <c r="AI321" s="49">
        <f>IF(D321="","",IFERROR(INDEX('CUSTOMERS'!$E$5:$E$404,MATCH(D321,'CUSTOMERS'!$B$5:$B$404,0)),""))</f>
        <v/>
      </c>
      <c r="AJ321" s="49">
        <f>IF(B321="","",N(C321))</f>
        <v/>
      </c>
      <c r="AK321" s="49">
        <f>IF(OR(B321="",O321="Cancelled",O321="Rescheduled"),"",B321&amp;"|"&amp;(COUNTIFS('JOBS'!$B$5:$B$1504,B321,'JOBS'!$AJ$5:$AJ$1504,"&lt;"&amp;AJ321,'JOBS'!$O$5:$O$1504,"&lt;&gt;Cancelled",'JOBS'!$O$5:$O$1504,"&lt;&gt;Rescheduled")+COUNTIFS($B$5:B321,B321,$AJ$5:AJ321,AJ321,$O$5:O321,"&lt;&gt;Cancelled",$O$5:O321,"&lt;&gt;Rescheduled")))</f>
        <v/>
      </c>
      <c r="AL321" s="49">
        <f>IF(N(U321)&lt;=0.005,"",COUNTIFS('JOBS'!$U$5:$U$1504,"&gt;0.005",'JOBS'!$B$5:$B$1504,"&lt;"&amp;B321)+COUNTIFS($U$5:U321,"&gt;0.005",$B$5:B321,B321))</f>
        <v/>
      </c>
    </row>
    <row r="322">
      <c r="A322" s="46" t="inlineStr">
        <is>
          <t>J-0318</t>
        </is>
      </c>
      <c r="B322" s="47" t="n"/>
      <c r="C322" s="94" t="n"/>
      <c r="D322" s="38" t="n"/>
      <c r="E322" s="38" t="n"/>
      <c r="F322" s="38" t="n"/>
      <c r="G322" s="38" t="n"/>
      <c r="H322" s="38" t="n"/>
      <c r="I322" s="57" t="n"/>
      <c r="J322" s="95" t="n"/>
      <c r="K322" s="95" t="n"/>
      <c r="L322" s="48" t="n"/>
      <c r="M322" s="96" t="n"/>
      <c r="N322" s="48" t="n"/>
      <c r="O322" s="38" t="n"/>
      <c r="P322" s="38" t="n"/>
      <c r="Q322" s="97">
        <f>IF(OR(F322="",E322=""),"",IFERROR(IF(INDEX('PROPERTIES'!$F$5:$F$404,MATCH(E322,'PROPERTIES'!$B$5:$B$404,0))=0,"",ROUND((INDEX('PROPERTIES'!$F$5:$F$404,MATCH(E322,'PROPERTIES'!$B$5:$B$404,0))/INDEX('PRICING'!$C$7:$C$16,MATCH(F322,'PRICING'!$A$7:$A$16,0))+INDEX('PROPERTIES'!$G$5:$G$404,MATCH(E322,'PROPERTIES'!$B$5:$B$404,0))*INDEX('PRICING'!$D$7:$D$16,MATCH(F322,'PRICING'!$A$7:$A$16,0))/60+INDEX('PROPERTIES'!$H$5:$H$404,MATCH(E322,'PROPERTIES'!$B$5:$B$404,0))*INDEX('PRICING'!$E$7:$E$16,MATCH(F322,'PRICING'!$A$7:$A$16,0))/60+INDEX('PRICING'!$F$7:$F$16,MATCH(F322,'PRICING'!$A$7:$A$16,0))/60),2)),""))</f>
        <v/>
      </c>
      <c r="R322" s="97">
        <f>IF(B322="","",IF(N(K322)&gt;0,K322,IF(N(J322)&gt;0,J322,N(Q322))))</f>
        <v/>
      </c>
      <c r="S322" s="55">
        <f>IF(L322="","",ROUND(L322*(1+N(M322)),2))</f>
        <v/>
      </c>
      <c r="T322" s="55">
        <f>IF(B322="","",SUMIFS('REVENUE'!$C$5:$C$1504,'REVENUE'!$B$5:$B$1504,A322))</f>
        <v/>
      </c>
      <c r="U322" s="55">
        <f>IF(B322="","",IF(O322="Completed",MAX(0,N(S322)-T322),""))</f>
        <v/>
      </c>
      <c r="V322" s="49">
        <f>IF(B322="","",IF(O322&lt;&gt;"Completed",IF(T322&gt;0,"Deposit","—"),IF(U322&lt;=0.005,"Paid",IF(T322&gt;0,"Partial","Unpaid"))))</f>
        <v/>
      </c>
      <c r="W322" s="55">
        <f>IF(B322="","",IFERROR(1/(1/INDEX('STAFF &amp; TASKS'!$C$5:$C$24,MATCH(H322,'STAFF &amp; TASKS'!$A$5:$A$24,0))),PayRate))</f>
        <v/>
      </c>
      <c r="X322" s="55">
        <f>IF(B322="","",IF(OR(O322="Cancelled",O322="No-Show"),"",ROUND(R322*W322*(1+Burden),2)))</f>
        <v/>
      </c>
      <c r="Y322" s="55">
        <f>IF(B322="","",IF(OR(O322="Cancelled",O322="No-Show"),"",IF(N322&lt;&gt;"",N322,ROUND(R322*SupHr*IFERROR(INDEX('PRICING'!$G$7:$G$16,MATCH(F322,'PRICING'!$A$7:$A$16,0)),1),2))))</f>
        <v/>
      </c>
      <c r="Z322" s="98">
        <f>IF(B322="","",SUMIFS('MILEAGE'!$J$5:$J$1504,'MILEAGE'!$B$5:$B$1504,A322))</f>
        <v/>
      </c>
      <c r="AA322" s="55">
        <f>IF(B322="","",ROUND(Z322*MileRate,2))</f>
        <v/>
      </c>
      <c r="AB322" s="55">
        <f>IF(B322="","",SUMIFS('REVENUE'!$J$5:$J$1504,'REVENUE'!$B$5:$B$1504,A322))</f>
        <v/>
      </c>
      <c r="AC322" s="55">
        <f>IF(L322="","",IF(OR(O322="Cancelled",O322="No-Show"),"",L322-N(X322)-N(Y322)-AA322-AB322))</f>
        <v/>
      </c>
      <c r="AD322" s="99">
        <f>IF(OR(AC322="",N(L322)=0),"",AC322/L322)</f>
        <v/>
      </c>
      <c r="AE322" s="55">
        <f>IF(OR(AC322="",N(R322)=0),"",L322/R322)</f>
        <v/>
      </c>
      <c r="AF322" s="100">
        <f>IF(OR(N(K322)=0,N(J322)+N(Q322)=0),"",K322-IF(N(J322)&gt;0,J322,Q322))</f>
        <v/>
      </c>
      <c r="AG322" s="99">
        <f>IF(B322="","",IFERROR(AVERAGEIFS('QUALITY CONTROL'!$M$5:$M$304,'QUALITY CONTROL'!$B$5:$B$304,A322),""))</f>
        <v/>
      </c>
      <c r="AH322" s="51">
        <f>IF(B322="","",DATE(YEAR(B322),MONTH(B322),1))</f>
        <v/>
      </c>
      <c r="AI322" s="49">
        <f>IF(D322="","",IFERROR(INDEX('CUSTOMERS'!$E$5:$E$404,MATCH(D322,'CUSTOMERS'!$B$5:$B$404,0)),""))</f>
        <v/>
      </c>
      <c r="AJ322" s="49">
        <f>IF(B322="","",N(C322))</f>
        <v/>
      </c>
      <c r="AK322" s="49">
        <f>IF(OR(B322="",O322="Cancelled",O322="Rescheduled"),"",B322&amp;"|"&amp;(COUNTIFS('JOBS'!$B$5:$B$1504,B322,'JOBS'!$AJ$5:$AJ$1504,"&lt;"&amp;AJ322,'JOBS'!$O$5:$O$1504,"&lt;&gt;Cancelled",'JOBS'!$O$5:$O$1504,"&lt;&gt;Rescheduled")+COUNTIFS($B$5:B322,B322,$AJ$5:AJ322,AJ322,$O$5:O322,"&lt;&gt;Cancelled",$O$5:O322,"&lt;&gt;Rescheduled")))</f>
        <v/>
      </c>
      <c r="AL322" s="49">
        <f>IF(N(U322)&lt;=0.005,"",COUNTIFS('JOBS'!$U$5:$U$1504,"&gt;0.005",'JOBS'!$B$5:$B$1504,"&lt;"&amp;B322)+COUNTIFS($U$5:U322,"&gt;0.005",$B$5:B322,B322))</f>
        <v/>
      </c>
    </row>
    <row r="323">
      <c r="A323" s="46" t="inlineStr">
        <is>
          <t>J-0319</t>
        </is>
      </c>
      <c r="B323" s="47" t="n"/>
      <c r="C323" s="94" t="n"/>
      <c r="D323" s="38" t="n"/>
      <c r="E323" s="38" t="n"/>
      <c r="F323" s="38" t="n"/>
      <c r="G323" s="38" t="n"/>
      <c r="H323" s="38" t="n"/>
      <c r="I323" s="57" t="n"/>
      <c r="J323" s="95" t="n"/>
      <c r="K323" s="95" t="n"/>
      <c r="L323" s="48" t="n"/>
      <c r="M323" s="96" t="n"/>
      <c r="N323" s="48" t="n"/>
      <c r="O323" s="38" t="n"/>
      <c r="P323" s="38" t="n"/>
      <c r="Q323" s="97">
        <f>IF(OR(F323="",E323=""),"",IFERROR(IF(INDEX('PROPERTIES'!$F$5:$F$404,MATCH(E323,'PROPERTIES'!$B$5:$B$404,0))=0,"",ROUND((INDEX('PROPERTIES'!$F$5:$F$404,MATCH(E323,'PROPERTIES'!$B$5:$B$404,0))/INDEX('PRICING'!$C$7:$C$16,MATCH(F323,'PRICING'!$A$7:$A$16,0))+INDEX('PROPERTIES'!$G$5:$G$404,MATCH(E323,'PROPERTIES'!$B$5:$B$404,0))*INDEX('PRICING'!$D$7:$D$16,MATCH(F323,'PRICING'!$A$7:$A$16,0))/60+INDEX('PROPERTIES'!$H$5:$H$404,MATCH(E323,'PROPERTIES'!$B$5:$B$404,0))*INDEX('PRICING'!$E$7:$E$16,MATCH(F323,'PRICING'!$A$7:$A$16,0))/60+INDEX('PRICING'!$F$7:$F$16,MATCH(F323,'PRICING'!$A$7:$A$16,0))/60),2)),""))</f>
        <v/>
      </c>
      <c r="R323" s="97">
        <f>IF(B323="","",IF(N(K323)&gt;0,K323,IF(N(J323)&gt;0,J323,N(Q323))))</f>
        <v/>
      </c>
      <c r="S323" s="55">
        <f>IF(L323="","",ROUND(L323*(1+N(M323)),2))</f>
        <v/>
      </c>
      <c r="T323" s="55">
        <f>IF(B323="","",SUMIFS('REVENUE'!$C$5:$C$1504,'REVENUE'!$B$5:$B$1504,A323))</f>
        <v/>
      </c>
      <c r="U323" s="55">
        <f>IF(B323="","",IF(O323="Completed",MAX(0,N(S323)-T323),""))</f>
        <v/>
      </c>
      <c r="V323" s="49">
        <f>IF(B323="","",IF(O323&lt;&gt;"Completed",IF(T323&gt;0,"Deposit","—"),IF(U323&lt;=0.005,"Paid",IF(T323&gt;0,"Partial","Unpaid"))))</f>
        <v/>
      </c>
      <c r="W323" s="55">
        <f>IF(B323="","",IFERROR(1/(1/INDEX('STAFF &amp; TASKS'!$C$5:$C$24,MATCH(H323,'STAFF &amp; TASKS'!$A$5:$A$24,0))),PayRate))</f>
        <v/>
      </c>
      <c r="X323" s="55">
        <f>IF(B323="","",IF(OR(O323="Cancelled",O323="No-Show"),"",ROUND(R323*W323*(1+Burden),2)))</f>
        <v/>
      </c>
      <c r="Y323" s="55">
        <f>IF(B323="","",IF(OR(O323="Cancelled",O323="No-Show"),"",IF(N323&lt;&gt;"",N323,ROUND(R323*SupHr*IFERROR(INDEX('PRICING'!$G$7:$G$16,MATCH(F323,'PRICING'!$A$7:$A$16,0)),1),2))))</f>
        <v/>
      </c>
      <c r="Z323" s="98">
        <f>IF(B323="","",SUMIFS('MILEAGE'!$J$5:$J$1504,'MILEAGE'!$B$5:$B$1504,A323))</f>
        <v/>
      </c>
      <c r="AA323" s="55">
        <f>IF(B323="","",ROUND(Z323*MileRate,2))</f>
        <v/>
      </c>
      <c r="AB323" s="55">
        <f>IF(B323="","",SUMIFS('REVENUE'!$J$5:$J$1504,'REVENUE'!$B$5:$B$1504,A323))</f>
        <v/>
      </c>
      <c r="AC323" s="55">
        <f>IF(L323="","",IF(OR(O323="Cancelled",O323="No-Show"),"",L323-N(X323)-N(Y323)-AA323-AB323))</f>
        <v/>
      </c>
      <c r="AD323" s="99">
        <f>IF(OR(AC323="",N(L323)=0),"",AC323/L323)</f>
        <v/>
      </c>
      <c r="AE323" s="55">
        <f>IF(OR(AC323="",N(R323)=0),"",L323/R323)</f>
        <v/>
      </c>
      <c r="AF323" s="100">
        <f>IF(OR(N(K323)=0,N(J323)+N(Q323)=0),"",K323-IF(N(J323)&gt;0,J323,Q323))</f>
        <v/>
      </c>
      <c r="AG323" s="99">
        <f>IF(B323="","",IFERROR(AVERAGEIFS('QUALITY CONTROL'!$M$5:$M$304,'QUALITY CONTROL'!$B$5:$B$304,A323),""))</f>
        <v/>
      </c>
      <c r="AH323" s="51">
        <f>IF(B323="","",DATE(YEAR(B323),MONTH(B323),1))</f>
        <v/>
      </c>
      <c r="AI323" s="49">
        <f>IF(D323="","",IFERROR(INDEX('CUSTOMERS'!$E$5:$E$404,MATCH(D323,'CUSTOMERS'!$B$5:$B$404,0)),""))</f>
        <v/>
      </c>
      <c r="AJ323" s="49">
        <f>IF(B323="","",N(C323))</f>
        <v/>
      </c>
      <c r="AK323" s="49">
        <f>IF(OR(B323="",O323="Cancelled",O323="Rescheduled"),"",B323&amp;"|"&amp;(COUNTIFS('JOBS'!$B$5:$B$1504,B323,'JOBS'!$AJ$5:$AJ$1504,"&lt;"&amp;AJ323,'JOBS'!$O$5:$O$1504,"&lt;&gt;Cancelled",'JOBS'!$O$5:$O$1504,"&lt;&gt;Rescheduled")+COUNTIFS($B$5:B323,B323,$AJ$5:AJ323,AJ323,$O$5:O323,"&lt;&gt;Cancelled",$O$5:O323,"&lt;&gt;Rescheduled")))</f>
        <v/>
      </c>
      <c r="AL323" s="49">
        <f>IF(N(U323)&lt;=0.005,"",COUNTIFS('JOBS'!$U$5:$U$1504,"&gt;0.005",'JOBS'!$B$5:$B$1504,"&lt;"&amp;B323)+COUNTIFS($U$5:U323,"&gt;0.005",$B$5:B323,B323))</f>
        <v/>
      </c>
    </row>
    <row r="324">
      <c r="A324" s="46" t="inlineStr">
        <is>
          <t>J-0320</t>
        </is>
      </c>
      <c r="B324" s="47" t="n"/>
      <c r="C324" s="94" t="n"/>
      <c r="D324" s="38" t="n"/>
      <c r="E324" s="38" t="n"/>
      <c r="F324" s="38" t="n"/>
      <c r="G324" s="38" t="n"/>
      <c r="H324" s="38" t="n"/>
      <c r="I324" s="57" t="n"/>
      <c r="J324" s="95" t="n"/>
      <c r="K324" s="95" t="n"/>
      <c r="L324" s="48" t="n"/>
      <c r="M324" s="96" t="n"/>
      <c r="N324" s="48" t="n"/>
      <c r="O324" s="38" t="n"/>
      <c r="P324" s="38" t="n"/>
      <c r="Q324" s="97">
        <f>IF(OR(F324="",E324=""),"",IFERROR(IF(INDEX('PROPERTIES'!$F$5:$F$404,MATCH(E324,'PROPERTIES'!$B$5:$B$404,0))=0,"",ROUND((INDEX('PROPERTIES'!$F$5:$F$404,MATCH(E324,'PROPERTIES'!$B$5:$B$404,0))/INDEX('PRICING'!$C$7:$C$16,MATCH(F324,'PRICING'!$A$7:$A$16,0))+INDEX('PROPERTIES'!$G$5:$G$404,MATCH(E324,'PROPERTIES'!$B$5:$B$404,0))*INDEX('PRICING'!$D$7:$D$16,MATCH(F324,'PRICING'!$A$7:$A$16,0))/60+INDEX('PROPERTIES'!$H$5:$H$404,MATCH(E324,'PROPERTIES'!$B$5:$B$404,0))*INDEX('PRICING'!$E$7:$E$16,MATCH(F324,'PRICING'!$A$7:$A$16,0))/60+INDEX('PRICING'!$F$7:$F$16,MATCH(F324,'PRICING'!$A$7:$A$16,0))/60),2)),""))</f>
        <v/>
      </c>
      <c r="R324" s="97">
        <f>IF(B324="","",IF(N(K324)&gt;0,K324,IF(N(J324)&gt;0,J324,N(Q324))))</f>
        <v/>
      </c>
      <c r="S324" s="55">
        <f>IF(L324="","",ROUND(L324*(1+N(M324)),2))</f>
        <v/>
      </c>
      <c r="T324" s="55">
        <f>IF(B324="","",SUMIFS('REVENUE'!$C$5:$C$1504,'REVENUE'!$B$5:$B$1504,A324))</f>
        <v/>
      </c>
      <c r="U324" s="55">
        <f>IF(B324="","",IF(O324="Completed",MAX(0,N(S324)-T324),""))</f>
        <v/>
      </c>
      <c r="V324" s="49">
        <f>IF(B324="","",IF(O324&lt;&gt;"Completed",IF(T324&gt;0,"Deposit","—"),IF(U324&lt;=0.005,"Paid",IF(T324&gt;0,"Partial","Unpaid"))))</f>
        <v/>
      </c>
      <c r="W324" s="55">
        <f>IF(B324="","",IFERROR(1/(1/INDEX('STAFF &amp; TASKS'!$C$5:$C$24,MATCH(H324,'STAFF &amp; TASKS'!$A$5:$A$24,0))),PayRate))</f>
        <v/>
      </c>
      <c r="X324" s="55">
        <f>IF(B324="","",IF(OR(O324="Cancelled",O324="No-Show"),"",ROUND(R324*W324*(1+Burden),2)))</f>
        <v/>
      </c>
      <c r="Y324" s="55">
        <f>IF(B324="","",IF(OR(O324="Cancelled",O324="No-Show"),"",IF(N324&lt;&gt;"",N324,ROUND(R324*SupHr*IFERROR(INDEX('PRICING'!$G$7:$G$16,MATCH(F324,'PRICING'!$A$7:$A$16,0)),1),2))))</f>
        <v/>
      </c>
      <c r="Z324" s="98">
        <f>IF(B324="","",SUMIFS('MILEAGE'!$J$5:$J$1504,'MILEAGE'!$B$5:$B$1504,A324))</f>
        <v/>
      </c>
      <c r="AA324" s="55">
        <f>IF(B324="","",ROUND(Z324*MileRate,2))</f>
        <v/>
      </c>
      <c r="AB324" s="55">
        <f>IF(B324="","",SUMIFS('REVENUE'!$J$5:$J$1504,'REVENUE'!$B$5:$B$1504,A324))</f>
        <v/>
      </c>
      <c r="AC324" s="55">
        <f>IF(L324="","",IF(OR(O324="Cancelled",O324="No-Show"),"",L324-N(X324)-N(Y324)-AA324-AB324))</f>
        <v/>
      </c>
      <c r="AD324" s="99">
        <f>IF(OR(AC324="",N(L324)=0),"",AC324/L324)</f>
        <v/>
      </c>
      <c r="AE324" s="55">
        <f>IF(OR(AC324="",N(R324)=0),"",L324/R324)</f>
        <v/>
      </c>
      <c r="AF324" s="100">
        <f>IF(OR(N(K324)=0,N(J324)+N(Q324)=0),"",K324-IF(N(J324)&gt;0,J324,Q324))</f>
        <v/>
      </c>
      <c r="AG324" s="99">
        <f>IF(B324="","",IFERROR(AVERAGEIFS('QUALITY CONTROL'!$M$5:$M$304,'QUALITY CONTROL'!$B$5:$B$304,A324),""))</f>
        <v/>
      </c>
      <c r="AH324" s="51">
        <f>IF(B324="","",DATE(YEAR(B324),MONTH(B324),1))</f>
        <v/>
      </c>
      <c r="AI324" s="49">
        <f>IF(D324="","",IFERROR(INDEX('CUSTOMERS'!$E$5:$E$404,MATCH(D324,'CUSTOMERS'!$B$5:$B$404,0)),""))</f>
        <v/>
      </c>
      <c r="AJ324" s="49">
        <f>IF(B324="","",N(C324))</f>
        <v/>
      </c>
      <c r="AK324" s="49">
        <f>IF(OR(B324="",O324="Cancelled",O324="Rescheduled"),"",B324&amp;"|"&amp;(COUNTIFS('JOBS'!$B$5:$B$1504,B324,'JOBS'!$AJ$5:$AJ$1504,"&lt;"&amp;AJ324,'JOBS'!$O$5:$O$1504,"&lt;&gt;Cancelled",'JOBS'!$O$5:$O$1504,"&lt;&gt;Rescheduled")+COUNTIFS($B$5:B324,B324,$AJ$5:AJ324,AJ324,$O$5:O324,"&lt;&gt;Cancelled",$O$5:O324,"&lt;&gt;Rescheduled")))</f>
        <v/>
      </c>
      <c r="AL324" s="49">
        <f>IF(N(U324)&lt;=0.005,"",COUNTIFS('JOBS'!$U$5:$U$1504,"&gt;0.005",'JOBS'!$B$5:$B$1504,"&lt;"&amp;B324)+COUNTIFS($U$5:U324,"&gt;0.005",$B$5:B324,B324))</f>
        <v/>
      </c>
    </row>
    <row r="325">
      <c r="A325" s="46" t="inlineStr">
        <is>
          <t>J-0321</t>
        </is>
      </c>
      <c r="B325" s="47" t="n"/>
      <c r="C325" s="94" t="n"/>
      <c r="D325" s="38" t="n"/>
      <c r="E325" s="38" t="n"/>
      <c r="F325" s="38" t="n"/>
      <c r="G325" s="38" t="n"/>
      <c r="H325" s="38" t="n"/>
      <c r="I325" s="57" t="n"/>
      <c r="J325" s="95" t="n"/>
      <c r="K325" s="95" t="n"/>
      <c r="L325" s="48" t="n"/>
      <c r="M325" s="96" t="n"/>
      <c r="N325" s="48" t="n"/>
      <c r="O325" s="38" t="n"/>
      <c r="P325" s="38" t="n"/>
      <c r="Q325" s="97">
        <f>IF(OR(F325="",E325=""),"",IFERROR(IF(INDEX('PROPERTIES'!$F$5:$F$404,MATCH(E325,'PROPERTIES'!$B$5:$B$404,0))=0,"",ROUND((INDEX('PROPERTIES'!$F$5:$F$404,MATCH(E325,'PROPERTIES'!$B$5:$B$404,0))/INDEX('PRICING'!$C$7:$C$16,MATCH(F325,'PRICING'!$A$7:$A$16,0))+INDEX('PROPERTIES'!$G$5:$G$404,MATCH(E325,'PROPERTIES'!$B$5:$B$404,0))*INDEX('PRICING'!$D$7:$D$16,MATCH(F325,'PRICING'!$A$7:$A$16,0))/60+INDEX('PROPERTIES'!$H$5:$H$404,MATCH(E325,'PROPERTIES'!$B$5:$B$404,0))*INDEX('PRICING'!$E$7:$E$16,MATCH(F325,'PRICING'!$A$7:$A$16,0))/60+INDEX('PRICING'!$F$7:$F$16,MATCH(F325,'PRICING'!$A$7:$A$16,0))/60),2)),""))</f>
        <v/>
      </c>
      <c r="R325" s="97">
        <f>IF(B325="","",IF(N(K325)&gt;0,K325,IF(N(J325)&gt;0,J325,N(Q325))))</f>
        <v/>
      </c>
      <c r="S325" s="55">
        <f>IF(L325="","",ROUND(L325*(1+N(M325)),2))</f>
        <v/>
      </c>
      <c r="T325" s="55">
        <f>IF(B325="","",SUMIFS('REVENUE'!$C$5:$C$1504,'REVENUE'!$B$5:$B$1504,A325))</f>
        <v/>
      </c>
      <c r="U325" s="55">
        <f>IF(B325="","",IF(O325="Completed",MAX(0,N(S325)-T325),""))</f>
        <v/>
      </c>
      <c r="V325" s="49">
        <f>IF(B325="","",IF(O325&lt;&gt;"Completed",IF(T325&gt;0,"Deposit","—"),IF(U325&lt;=0.005,"Paid",IF(T325&gt;0,"Partial","Unpaid"))))</f>
        <v/>
      </c>
      <c r="W325" s="55">
        <f>IF(B325="","",IFERROR(1/(1/INDEX('STAFF &amp; TASKS'!$C$5:$C$24,MATCH(H325,'STAFF &amp; TASKS'!$A$5:$A$24,0))),PayRate))</f>
        <v/>
      </c>
      <c r="X325" s="55">
        <f>IF(B325="","",IF(OR(O325="Cancelled",O325="No-Show"),"",ROUND(R325*W325*(1+Burden),2)))</f>
        <v/>
      </c>
      <c r="Y325" s="55">
        <f>IF(B325="","",IF(OR(O325="Cancelled",O325="No-Show"),"",IF(N325&lt;&gt;"",N325,ROUND(R325*SupHr*IFERROR(INDEX('PRICING'!$G$7:$G$16,MATCH(F325,'PRICING'!$A$7:$A$16,0)),1),2))))</f>
        <v/>
      </c>
      <c r="Z325" s="98">
        <f>IF(B325="","",SUMIFS('MILEAGE'!$J$5:$J$1504,'MILEAGE'!$B$5:$B$1504,A325))</f>
        <v/>
      </c>
      <c r="AA325" s="55">
        <f>IF(B325="","",ROUND(Z325*MileRate,2))</f>
        <v/>
      </c>
      <c r="AB325" s="55">
        <f>IF(B325="","",SUMIFS('REVENUE'!$J$5:$J$1504,'REVENUE'!$B$5:$B$1504,A325))</f>
        <v/>
      </c>
      <c r="AC325" s="55">
        <f>IF(L325="","",IF(OR(O325="Cancelled",O325="No-Show"),"",L325-N(X325)-N(Y325)-AA325-AB325))</f>
        <v/>
      </c>
      <c r="AD325" s="99">
        <f>IF(OR(AC325="",N(L325)=0),"",AC325/L325)</f>
        <v/>
      </c>
      <c r="AE325" s="55">
        <f>IF(OR(AC325="",N(R325)=0),"",L325/R325)</f>
        <v/>
      </c>
      <c r="AF325" s="100">
        <f>IF(OR(N(K325)=0,N(J325)+N(Q325)=0),"",K325-IF(N(J325)&gt;0,J325,Q325))</f>
        <v/>
      </c>
      <c r="AG325" s="99">
        <f>IF(B325="","",IFERROR(AVERAGEIFS('QUALITY CONTROL'!$M$5:$M$304,'QUALITY CONTROL'!$B$5:$B$304,A325),""))</f>
        <v/>
      </c>
      <c r="AH325" s="51">
        <f>IF(B325="","",DATE(YEAR(B325),MONTH(B325),1))</f>
        <v/>
      </c>
      <c r="AI325" s="49">
        <f>IF(D325="","",IFERROR(INDEX('CUSTOMERS'!$E$5:$E$404,MATCH(D325,'CUSTOMERS'!$B$5:$B$404,0)),""))</f>
        <v/>
      </c>
      <c r="AJ325" s="49">
        <f>IF(B325="","",N(C325))</f>
        <v/>
      </c>
      <c r="AK325" s="49">
        <f>IF(OR(B325="",O325="Cancelled",O325="Rescheduled"),"",B325&amp;"|"&amp;(COUNTIFS('JOBS'!$B$5:$B$1504,B325,'JOBS'!$AJ$5:$AJ$1504,"&lt;"&amp;AJ325,'JOBS'!$O$5:$O$1504,"&lt;&gt;Cancelled",'JOBS'!$O$5:$O$1504,"&lt;&gt;Rescheduled")+COUNTIFS($B$5:B325,B325,$AJ$5:AJ325,AJ325,$O$5:O325,"&lt;&gt;Cancelled",$O$5:O325,"&lt;&gt;Rescheduled")))</f>
        <v/>
      </c>
      <c r="AL325" s="49">
        <f>IF(N(U325)&lt;=0.005,"",COUNTIFS('JOBS'!$U$5:$U$1504,"&gt;0.005",'JOBS'!$B$5:$B$1504,"&lt;"&amp;B325)+COUNTIFS($U$5:U325,"&gt;0.005",$B$5:B325,B325))</f>
        <v/>
      </c>
    </row>
    <row r="326">
      <c r="A326" s="46" t="inlineStr">
        <is>
          <t>J-0322</t>
        </is>
      </c>
      <c r="B326" s="47" t="n"/>
      <c r="C326" s="94" t="n"/>
      <c r="D326" s="38" t="n"/>
      <c r="E326" s="38" t="n"/>
      <c r="F326" s="38" t="n"/>
      <c r="G326" s="38" t="n"/>
      <c r="H326" s="38" t="n"/>
      <c r="I326" s="57" t="n"/>
      <c r="J326" s="95" t="n"/>
      <c r="K326" s="95" t="n"/>
      <c r="L326" s="48" t="n"/>
      <c r="M326" s="96" t="n"/>
      <c r="N326" s="48" t="n"/>
      <c r="O326" s="38" t="n"/>
      <c r="P326" s="38" t="n"/>
      <c r="Q326" s="97">
        <f>IF(OR(F326="",E326=""),"",IFERROR(IF(INDEX('PROPERTIES'!$F$5:$F$404,MATCH(E326,'PROPERTIES'!$B$5:$B$404,0))=0,"",ROUND((INDEX('PROPERTIES'!$F$5:$F$404,MATCH(E326,'PROPERTIES'!$B$5:$B$404,0))/INDEX('PRICING'!$C$7:$C$16,MATCH(F326,'PRICING'!$A$7:$A$16,0))+INDEX('PROPERTIES'!$G$5:$G$404,MATCH(E326,'PROPERTIES'!$B$5:$B$404,0))*INDEX('PRICING'!$D$7:$D$16,MATCH(F326,'PRICING'!$A$7:$A$16,0))/60+INDEX('PROPERTIES'!$H$5:$H$404,MATCH(E326,'PROPERTIES'!$B$5:$B$404,0))*INDEX('PRICING'!$E$7:$E$16,MATCH(F326,'PRICING'!$A$7:$A$16,0))/60+INDEX('PRICING'!$F$7:$F$16,MATCH(F326,'PRICING'!$A$7:$A$16,0))/60),2)),""))</f>
        <v/>
      </c>
      <c r="R326" s="97">
        <f>IF(B326="","",IF(N(K326)&gt;0,K326,IF(N(J326)&gt;0,J326,N(Q326))))</f>
        <v/>
      </c>
      <c r="S326" s="55">
        <f>IF(L326="","",ROUND(L326*(1+N(M326)),2))</f>
        <v/>
      </c>
      <c r="T326" s="55">
        <f>IF(B326="","",SUMIFS('REVENUE'!$C$5:$C$1504,'REVENUE'!$B$5:$B$1504,A326))</f>
        <v/>
      </c>
      <c r="U326" s="55">
        <f>IF(B326="","",IF(O326="Completed",MAX(0,N(S326)-T326),""))</f>
        <v/>
      </c>
      <c r="V326" s="49">
        <f>IF(B326="","",IF(O326&lt;&gt;"Completed",IF(T326&gt;0,"Deposit","—"),IF(U326&lt;=0.005,"Paid",IF(T326&gt;0,"Partial","Unpaid"))))</f>
        <v/>
      </c>
      <c r="W326" s="55">
        <f>IF(B326="","",IFERROR(1/(1/INDEX('STAFF &amp; TASKS'!$C$5:$C$24,MATCH(H326,'STAFF &amp; TASKS'!$A$5:$A$24,0))),PayRate))</f>
        <v/>
      </c>
      <c r="X326" s="55">
        <f>IF(B326="","",IF(OR(O326="Cancelled",O326="No-Show"),"",ROUND(R326*W326*(1+Burden),2)))</f>
        <v/>
      </c>
      <c r="Y326" s="55">
        <f>IF(B326="","",IF(OR(O326="Cancelled",O326="No-Show"),"",IF(N326&lt;&gt;"",N326,ROUND(R326*SupHr*IFERROR(INDEX('PRICING'!$G$7:$G$16,MATCH(F326,'PRICING'!$A$7:$A$16,0)),1),2))))</f>
        <v/>
      </c>
      <c r="Z326" s="98">
        <f>IF(B326="","",SUMIFS('MILEAGE'!$J$5:$J$1504,'MILEAGE'!$B$5:$B$1504,A326))</f>
        <v/>
      </c>
      <c r="AA326" s="55">
        <f>IF(B326="","",ROUND(Z326*MileRate,2))</f>
        <v/>
      </c>
      <c r="AB326" s="55">
        <f>IF(B326="","",SUMIFS('REVENUE'!$J$5:$J$1504,'REVENUE'!$B$5:$B$1504,A326))</f>
        <v/>
      </c>
      <c r="AC326" s="55">
        <f>IF(L326="","",IF(OR(O326="Cancelled",O326="No-Show"),"",L326-N(X326)-N(Y326)-AA326-AB326))</f>
        <v/>
      </c>
      <c r="AD326" s="99">
        <f>IF(OR(AC326="",N(L326)=0),"",AC326/L326)</f>
        <v/>
      </c>
      <c r="AE326" s="55">
        <f>IF(OR(AC326="",N(R326)=0),"",L326/R326)</f>
        <v/>
      </c>
      <c r="AF326" s="100">
        <f>IF(OR(N(K326)=0,N(J326)+N(Q326)=0),"",K326-IF(N(J326)&gt;0,J326,Q326))</f>
        <v/>
      </c>
      <c r="AG326" s="99">
        <f>IF(B326="","",IFERROR(AVERAGEIFS('QUALITY CONTROL'!$M$5:$M$304,'QUALITY CONTROL'!$B$5:$B$304,A326),""))</f>
        <v/>
      </c>
      <c r="AH326" s="51">
        <f>IF(B326="","",DATE(YEAR(B326),MONTH(B326),1))</f>
        <v/>
      </c>
      <c r="AI326" s="49">
        <f>IF(D326="","",IFERROR(INDEX('CUSTOMERS'!$E$5:$E$404,MATCH(D326,'CUSTOMERS'!$B$5:$B$404,0)),""))</f>
        <v/>
      </c>
      <c r="AJ326" s="49">
        <f>IF(B326="","",N(C326))</f>
        <v/>
      </c>
      <c r="AK326" s="49">
        <f>IF(OR(B326="",O326="Cancelled",O326="Rescheduled"),"",B326&amp;"|"&amp;(COUNTIFS('JOBS'!$B$5:$B$1504,B326,'JOBS'!$AJ$5:$AJ$1504,"&lt;"&amp;AJ326,'JOBS'!$O$5:$O$1504,"&lt;&gt;Cancelled",'JOBS'!$O$5:$O$1504,"&lt;&gt;Rescheduled")+COUNTIFS($B$5:B326,B326,$AJ$5:AJ326,AJ326,$O$5:O326,"&lt;&gt;Cancelled",$O$5:O326,"&lt;&gt;Rescheduled")))</f>
        <v/>
      </c>
      <c r="AL326" s="49">
        <f>IF(N(U326)&lt;=0.005,"",COUNTIFS('JOBS'!$U$5:$U$1504,"&gt;0.005",'JOBS'!$B$5:$B$1504,"&lt;"&amp;B326)+COUNTIFS($U$5:U326,"&gt;0.005",$B$5:B326,B326))</f>
        <v/>
      </c>
    </row>
    <row r="327">
      <c r="A327" s="46" t="inlineStr">
        <is>
          <t>J-0323</t>
        </is>
      </c>
      <c r="B327" s="47" t="n"/>
      <c r="C327" s="94" t="n"/>
      <c r="D327" s="38" t="n"/>
      <c r="E327" s="38" t="n"/>
      <c r="F327" s="38" t="n"/>
      <c r="G327" s="38" t="n"/>
      <c r="H327" s="38" t="n"/>
      <c r="I327" s="57" t="n"/>
      <c r="J327" s="95" t="n"/>
      <c r="K327" s="95" t="n"/>
      <c r="L327" s="48" t="n"/>
      <c r="M327" s="96" t="n"/>
      <c r="N327" s="48" t="n"/>
      <c r="O327" s="38" t="n"/>
      <c r="P327" s="38" t="n"/>
      <c r="Q327" s="97">
        <f>IF(OR(F327="",E327=""),"",IFERROR(IF(INDEX('PROPERTIES'!$F$5:$F$404,MATCH(E327,'PROPERTIES'!$B$5:$B$404,0))=0,"",ROUND((INDEX('PROPERTIES'!$F$5:$F$404,MATCH(E327,'PROPERTIES'!$B$5:$B$404,0))/INDEX('PRICING'!$C$7:$C$16,MATCH(F327,'PRICING'!$A$7:$A$16,0))+INDEX('PROPERTIES'!$G$5:$G$404,MATCH(E327,'PROPERTIES'!$B$5:$B$404,0))*INDEX('PRICING'!$D$7:$D$16,MATCH(F327,'PRICING'!$A$7:$A$16,0))/60+INDEX('PROPERTIES'!$H$5:$H$404,MATCH(E327,'PROPERTIES'!$B$5:$B$404,0))*INDEX('PRICING'!$E$7:$E$16,MATCH(F327,'PRICING'!$A$7:$A$16,0))/60+INDEX('PRICING'!$F$7:$F$16,MATCH(F327,'PRICING'!$A$7:$A$16,0))/60),2)),""))</f>
        <v/>
      </c>
      <c r="R327" s="97">
        <f>IF(B327="","",IF(N(K327)&gt;0,K327,IF(N(J327)&gt;0,J327,N(Q327))))</f>
        <v/>
      </c>
      <c r="S327" s="55">
        <f>IF(L327="","",ROUND(L327*(1+N(M327)),2))</f>
        <v/>
      </c>
      <c r="T327" s="55">
        <f>IF(B327="","",SUMIFS('REVENUE'!$C$5:$C$1504,'REVENUE'!$B$5:$B$1504,A327))</f>
        <v/>
      </c>
      <c r="U327" s="55">
        <f>IF(B327="","",IF(O327="Completed",MAX(0,N(S327)-T327),""))</f>
        <v/>
      </c>
      <c r="V327" s="49">
        <f>IF(B327="","",IF(O327&lt;&gt;"Completed",IF(T327&gt;0,"Deposit","—"),IF(U327&lt;=0.005,"Paid",IF(T327&gt;0,"Partial","Unpaid"))))</f>
        <v/>
      </c>
      <c r="W327" s="55">
        <f>IF(B327="","",IFERROR(1/(1/INDEX('STAFF &amp; TASKS'!$C$5:$C$24,MATCH(H327,'STAFF &amp; TASKS'!$A$5:$A$24,0))),PayRate))</f>
        <v/>
      </c>
      <c r="X327" s="55">
        <f>IF(B327="","",IF(OR(O327="Cancelled",O327="No-Show"),"",ROUND(R327*W327*(1+Burden),2)))</f>
        <v/>
      </c>
      <c r="Y327" s="55">
        <f>IF(B327="","",IF(OR(O327="Cancelled",O327="No-Show"),"",IF(N327&lt;&gt;"",N327,ROUND(R327*SupHr*IFERROR(INDEX('PRICING'!$G$7:$G$16,MATCH(F327,'PRICING'!$A$7:$A$16,0)),1),2))))</f>
        <v/>
      </c>
      <c r="Z327" s="98">
        <f>IF(B327="","",SUMIFS('MILEAGE'!$J$5:$J$1504,'MILEAGE'!$B$5:$B$1504,A327))</f>
        <v/>
      </c>
      <c r="AA327" s="55">
        <f>IF(B327="","",ROUND(Z327*MileRate,2))</f>
        <v/>
      </c>
      <c r="AB327" s="55">
        <f>IF(B327="","",SUMIFS('REVENUE'!$J$5:$J$1504,'REVENUE'!$B$5:$B$1504,A327))</f>
        <v/>
      </c>
      <c r="AC327" s="55">
        <f>IF(L327="","",IF(OR(O327="Cancelled",O327="No-Show"),"",L327-N(X327)-N(Y327)-AA327-AB327))</f>
        <v/>
      </c>
      <c r="AD327" s="99">
        <f>IF(OR(AC327="",N(L327)=0),"",AC327/L327)</f>
        <v/>
      </c>
      <c r="AE327" s="55">
        <f>IF(OR(AC327="",N(R327)=0),"",L327/R327)</f>
        <v/>
      </c>
      <c r="AF327" s="100">
        <f>IF(OR(N(K327)=0,N(J327)+N(Q327)=0),"",K327-IF(N(J327)&gt;0,J327,Q327))</f>
        <v/>
      </c>
      <c r="AG327" s="99">
        <f>IF(B327="","",IFERROR(AVERAGEIFS('QUALITY CONTROL'!$M$5:$M$304,'QUALITY CONTROL'!$B$5:$B$304,A327),""))</f>
        <v/>
      </c>
      <c r="AH327" s="51">
        <f>IF(B327="","",DATE(YEAR(B327),MONTH(B327),1))</f>
        <v/>
      </c>
      <c r="AI327" s="49">
        <f>IF(D327="","",IFERROR(INDEX('CUSTOMERS'!$E$5:$E$404,MATCH(D327,'CUSTOMERS'!$B$5:$B$404,0)),""))</f>
        <v/>
      </c>
      <c r="AJ327" s="49">
        <f>IF(B327="","",N(C327))</f>
        <v/>
      </c>
      <c r="AK327" s="49">
        <f>IF(OR(B327="",O327="Cancelled",O327="Rescheduled"),"",B327&amp;"|"&amp;(COUNTIFS('JOBS'!$B$5:$B$1504,B327,'JOBS'!$AJ$5:$AJ$1504,"&lt;"&amp;AJ327,'JOBS'!$O$5:$O$1504,"&lt;&gt;Cancelled",'JOBS'!$O$5:$O$1504,"&lt;&gt;Rescheduled")+COUNTIFS($B$5:B327,B327,$AJ$5:AJ327,AJ327,$O$5:O327,"&lt;&gt;Cancelled",$O$5:O327,"&lt;&gt;Rescheduled")))</f>
        <v/>
      </c>
      <c r="AL327" s="49">
        <f>IF(N(U327)&lt;=0.005,"",COUNTIFS('JOBS'!$U$5:$U$1504,"&gt;0.005",'JOBS'!$B$5:$B$1504,"&lt;"&amp;B327)+COUNTIFS($U$5:U327,"&gt;0.005",$B$5:B327,B327))</f>
        <v/>
      </c>
    </row>
    <row r="328">
      <c r="A328" s="46" t="inlineStr">
        <is>
          <t>J-0324</t>
        </is>
      </c>
      <c r="B328" s="47" t="n"/>
      <c r="C328" s="94" t="n"/>
      <c r="D328" s="38" t="n"/>
      <c r="E328" s="38" t="n"/>
      <c r="F328" s="38" t="n"/>
      <c r="G328" s="38" t="n"/>
      <c r="H328" s="38" t="n"/>
      <c r="I328" s="57" t="n"/>
      <c r="J328" s="95" t="n"/>
      <c r="K328" s="95" t="n"/>
      <c r="L328" s="48" t="n"/>
      <c r="M328" s="96" t="n"/>
      <c r="N328" s="48" t="n"/>
      <c r="O328" s="38" t="n"/>
      <c r="P328" s="38" t="n"/>
      <c r="Q328" s="97">
        <f>IF(OR(F328="",E328=""),"",IFERROR(IF(INDEX('PROPERTIES'!$F$5:$F$404,MATCH(E328,'PROPERTIES'!$B$5:$B$404,0))=0,"",ROUND((INDEX('PROPERTIES'!$F$5:$F$404,MATCH(E328,'PROPERTIES'!$B$5:$B$404,0))/INDEX('PRICING'!$C$7:$C$16,MATCH(F328,'PRICING'!$A$7:$A$16,0))+INDEX('PROPERTIES'!$G$5:$G$404,MATCH(E328,'PROPERTIES'!$B$5:$B$404,0))*INDEX('PRICING'!$D$7:$D$16,MATCH(F328,'PRICING'!$A$7:$A$16,0))/60+INDEX('PROPERTIES'!$H$5:$H$404,MATCH(E328,'PROPERTIES'!$B$5:$B$404,0))*INDEX('PRICING'!$E$7:$E$16,MATCH(F328,'PRICING'!$A$7:$A$16,0))/60+INDEX('PRICING'!$F$7:$F$16,MATCH(F328,'PRICING'!$A$7:$A$16,0))/60),2)),""))</f>
        <v/>
      </c>
      <c r="R328" s="97">
        <f>IF(B328="","",IF(N(K328)&gt;0,K328,IF(N(J328)&gt;0,J328,N(Q328))))</f>
        <v/>
      </c>
      <c r="S328" s="55">
        <f>IF(L328="","",ROUND(L328*(1+N(M328)),2))</f>
        <v/>
      </c>
      <c r="T328" s="55">
        <f>IF(B328="","",SUMIFS('REVENUE'!$C$5:$C$1504,'REVENUE'!$B$5:$B$1504,A328))</f>
        <v/>
      </c>
      <c r="U328" s="55">
        <f>IF(B328="","",IF(O328="Completed",MAX(0,N(S328)-T328),""))</f>
        <v/>
      </c>
      <c r="V328" s="49">
        <f>IF(B328="","",IF(O328&lt;&gt;"Completed",IF(T328&gt;0,"Deposit","—"),IF(U328&lt;=0.005,"Paid",IF(T328&gt;0,"Partial","Unpaid"))))</f>
        <v/>
      </c>
      <c r="W328" s="55">
        <f>IF(B328="","",IFERROR(1/(1/INDEX('STAFF &amp; TASKS'!$C$5:$C$24,MATCH(H328,'STAFF &amp; TASKS'!$A$5:$A$24,0))),PayRate))</f>
        <v/>
      </c>
      <c r="X328" s="55">
        <f>IF(B328="","",IF(OR(O328="Cancelled",O328="No-Show"),"",ROUND(R328*W328*(1+Burden),2)))</f>
        <v/>
      </c>
      <c r="Y328" s="55">
        <f>IF(B328="","",IF(OR(O328="Cancelled",O328="No-Show"),"",IF(N328&lt;&gt;"",N328,ROUND(R328*SupHr*IFERROR(INDEX('PRICING'!$G$7:$G$16,MATCH(F328,'PRICING'!$A$7:$A$16,0)),1),2))))</f>
        <v/>
      </c>
      <c r="Z328" s="98">
        <f>IF(B328="","",SUMIFS('MILEAGE'!$J$5:$J$1504,'MILEAGE'!$B$5:$B$1504,A328))</f>
        <v/>
      </c>
      <c r="AA328" s="55">
        <f>IF(B328="","",ROUND(Z328*MileRate,2))</f>
        <v/>
      </c>
      <c r="AB328" s="55">
        <f>IF(B328="","",SUMIFS('REVENUE'!$J$5:$J$1504,'REVENUE'!$B$5:$B$1504,A328))</f>
        <v/>
      </c>
      <c r="AC328" s="55">
        <f>IF(L328="","",IF(OR(O328="Cancelled",O328="No-Show"),"",L328-N(X328)-N(Y328)-AA328-AB328))</f>
        <v/>
      </c>
      <c r="AD328" s="99">
        <f>IF(OR(AC328="",N(L328)=0),"",AC328/L328)</f>
        <v/>
      </c>
      <c r="AE328" s="55">
        <f>IF(OR(AC328="",N(R328)=0),"",L328/R328)</f>
        <v/>
      </c>
      <c r="AF328" s="100">
        <f>IF(OR(N(K328)=0,N(J328)+N(Q328)=0),"",K328-IF(N(J328)&gt;0,J328,Q328))</f>
        <v/>
      </c>
      <c r="AG328" s="99">
        <f>IF(B328="","",IFERROR(AVERAGEIFS('QUALITY CONTROL'!$M$5:$M$304,'QUALITY CONTROL'!$B$5:$B$304,A328),""))</f>
        <v/>
      </c>
      <c r="AH328" s="51">
        <f>IF(B328="","",DATE(YEAR(B328),MONTH(B328),1))</f>
        <v/>
      </c>
      <c r="AI328" s="49">
        <f>IF(D328="","",IFERROR(INDEX('CUSTOMERS'!$E$5:$E$404,MATCH(D328,'CUSTOMERS'!$B$5:$B$404,0)),""))</f>
        <v/>
      </c>
      <c r="AJ328" s="49">
        <f>IF(B328="","",N(C328))</f>
        <v/>
      </c>
      <c r="AK328" s="49">
        <f>IF(OR(B328="",O328="Cancelled",O328="Rescheduled"),"",B328&amp;"|"&amp;(COUNTIFS('JOBS'!$B$5:$B$1504,B328,'JOBS'!$AJ$5:$AJ$1504,"&lt;"&amp;AJ328,'JOBS'!$O$5:$O$1504,"&lt;&gt;Cancelled",'JOBS'!$O$5:$O$1504,"&lt;&gt;Rescheduled")+COUNTIFS($B$5:B328,B328,$AJ$5:AJ328,AJ328,$O$5:O328,"&lt;&gt;Cancelled",$O$5:O328,"&lt;&gt;Rescheduled")))</f>
        <v/>
      </c>
      <c r="AL328" s="49">
        <f>IF(N(U328)&lt;=0.005,"",COUNTIFS('JOBS'!$U$5:$U$1504,"&gt;0.005",'JOBS'!$B$5:$B$1504,"&lt;"&amp;B328)+COUNTIFS($U$5:U328,"&gt;0.005",$B$5:B328,B328))</f>
        <v/>
      </c>
    </row>
    <row r="329">
      <c r="A329" s="46" t="inlineStr">
        <is>
          <t>J-0325</t>
        </is>
      </c>
      <c r="B329" s="47" t="n"/>
      <c r="C329" s="94" t="n"/>
      <c r="D329" s="38" t="n"/>
      <c r="E329" s="38" t="n"/>
      <c r="F329" s="38" t="n"/>
      <c r="G329" s="38" t="n"/>
      <c r="H329" s="38" t="n"/>
      <c r="I329" s="57" t="n"/>
      <c r="J329" s="95" t="n"/>
      <c r="K329" s="95" t="n"/>
      <c r="L329" s="48" t="n"/>
      <c r="M329" s="96" t="n"/>
      <c r="N329" s="48" t="n"/>
      <c r="O329" s="38" t="n"/>
      <c r="P329" s="38" t="n"/>
      <c r="Q329" s="97">
        <f>IF(OR(F329="",E329=""),"",IFERROR(IF(INDEX('PROPERTIES'!$F$5:$F$404,MATCH(E329,'PROPERTIES'!$B$5:$B$404,0))=0,"",ROUND((INDEX('PROPERTIES'!$F$5:$F$404,MATCH(E329,'PROPERTIES'!$B$5:$B$404,0))/INDEX('PRICING'!$C$7:$C$16,MATCH(F329,'PRICING'!$A$7:$A$16,0))+INDEX('PROPERTIES'!$G$5:$G$404,MATCH(E329,'PROPERTIES'!$B$5:$B$404,0))*INDEX('PRICING'!$D$7:$D$16,MATCH(F329,'PRICING'!$A$7:$A$16,0))/60+INDEX('PROPERTIES'!$H$5:$H$404,MATCH(E329,'PROPERTIES'!$B$5:$B$404,0))*INDEX('PRICING'!$E$7:$E$16,MATCH(F329,'PRICING'!$A$7:$A$16,0))/60+INDEX('PRICING'!$F$7:$F$16,MATCH(F329,'PRICING'!$A$7:$A$16,0))/60),2)),""))</f>
        <v/>
      </c>
      <c r="R329" s="97">
        <f>IF(B329="","",IF(N(K329)&gt;0,K329,IF(N(J329)&gt;0,J329,N(Q329))))</f>
        <v/>
      </c>
      <c r="S329" s="55">
        <f>IF(L329="","",ROUND(L329*(1+N(M329)),2))</f>
        <v/>
      </c>
      <c r="T329" s="55">
        <f>IF(B329="","",SUMIFS('REVENUE'!$C$5:$C$1504,'REVENUE'!$B$5:$B$1504,A329))</f>
        <v/>
      </c>
      <c r="U329" s="55">
        <f>IF(B329="","",IF(O329="Completed",MAX(0,N(S329)-T329),""))</f>
        <v/>
      </c>
      <c r="V329" s="49">
        <f>IF(B329="","",IF(O329&lt;&gt;"Completed",IF(T329&gt;0,"Deposit","—"),IF(U329&lt;=0.005,"Paid",IF(T329&gt;0,"Partial","Unpaid"))))</f>
        <v/>
      </c>
      <c r="W329" s="55">
        <f>IF(B329="","",IFERROR(1/(1/INDEX('STAFF &amp; TASKS'!$C$5:$C$24,MATCH(H329,'STAFF &amp; TASKS'!$A$5:$A$24,0))),PayRate))</f>
        <v/>
      </c>
      <c r="X329" s="55">
        <f>IF(B329="","",IF(OR(O329="Cancelled",O329="No-Show"),"",ROUND(R329*W329*(1+Burden),2)))</f>
        <v/>
      </c>
      <c r="Y329" s="55">
        <f>IF(B329="","",IF(OR(O329="Cancelled",O329="No-Show"),"",IF(N329&lt;&gt;"",N329,ROUND(R329*SupHr*IFERROR(INDEX('PRICING'!$G$7:$G$16,MATCH(F329,'PRICING'!$A$7:$A$16,0)),1),2))))</f>
        <v/>
      </c>
      <c r="Z329" s="98">
        <f>IF(B329="","",SUMIFS('MILEAGE'!$J$5:$J$1504,'MILEAGE'!$B$5:$B$1504,A329))</f>
        <v/>
      </c>
      <c r="AA329" s="55">
        <f>IF(B329="","",ROUND(Z329*MileRate,2))</f>
        <v/>
      </c>
      <c r="AB329" s="55">
        <f>IF(B329="","",SUMIFS('REVENUE'!$J$5:$J$1504,'REVENUE'!$B$5:$B$1504,A329))</f>
        <v/>
      </c>
      <c r="AC329" s="55">
        <f>IF(L329="","",IF(OR(O329="Cancelled",O329="No-Show"),"",L329-N(X329)-N(Y329)-AA329-AB329))</f>
        <v/>
      </c>
      <c r="AD329" s="99">
        <f>IF(OR(AC329="",N(L329)=0),"",AC329/L329)</f>
        <v/>
      </c>
      <c r="AE329" s="55">
        <f>IF(OR(AC329="",N(R329)=0),"",L329/R329)</f>
        <v/>
      </c>
      <c r="AF329" s="100">
        <f>IF(OR(N(K329)=0,N(J329)+N(Q329)=0),"",K329-IF(N(J329)&gt;0,J329,Q329))</f>
        <v/>
      </c>
      <c r="AG329" s="99">
        <f>IF(B329="","",IFERROR(AVERAGEIFS('QUALITY CONTROL'!$M$5:$M$304,'QUALITY CONTROL'!$B$5:$B$304,A329),""))</f>
        <v/>
      </c>
      <c r="AH329" s="51">
        <f>IF(B329="","",DATE(YEAR(B329),MONTH(B329),1))</f>
        <v/>
      </c>
      <c r="AI329" s="49">
        <f>IF(D329="","",IFERROR(INDEX('CUSTOMERS'!$E$5:$E$404,MATCH(D329,'CUSTOMERS'!$B$5:$B$404,0)),""))</f>
        <v/>
      </c>
      <c r="AJ329" s="49">
        <f>IF(B329="","",N(C329))</f>
        <v/>
      </c>
      <c r="AK329" s="49">
        <f>IF(OR(B329="",O329="Cancelled",O329="Rescheduled"),"",B329&amp;"|"&amp;(COUNTIFS('JOBS'!$B$5:$B$1504,B329,'JOBS'!$AJ$5:$AJ$1504,"&lt;"&amp;AJ329,'JOBS'!$O$5:$O$1504,"&lt;&gt;Cancelled",'JOBS'!$O$5:$O$1504,"&lt;&gt;Rescheduled")+COUNTIFS($B$5:B329,B329,$AJ$5:AJ329,AJ329,$O$5:O329,"&lt;&gt;Cancelled",$O$5:O329,"&lt;&gt;Rescheduled")))</f>
        <v/>
      </c>
      <c r="AL329" s="49">
        <f>IF(N(U329)&lt;=0.005,"",COUNTIFS('JOBS'!$U$5:$U$1504,"&gt;0.005",'JOBS'!$B$5:$B$1504,"&lt;"&amp;B329)+COUNTIFS($U$5:U329,"&gt;0.005",$B$5:B329,B329))</f>
        <v/>
      </c>
    </row>
    <row r="330">
      <c r="A330" s="46" t="inlineStr">
        <is>
          <t>J-0326</t>
        </is>
      </c>
      <c r="B330" s="47" t="n"/>
      <c r="C330" s="94" t="n"/>
      <c r="D330" s="38" t="n"/>
      <c r="E330" s="38" t="n"/>
      <c r="F330" s="38" t="n"/>
      <c r="G330" s="38" t="n"/>
      <c r="H330" s="38" t="n"/>
      <c r="I330" s="57" t="n"/>
      <c r="J330" s="95" t="n"/>
      <c r="K330" s="95" t="n"/>
      <c r="L330" s="48" t="n"/>
      <c r="M330" s="96" t="n"/>
      <c r="N330" s="48" t="n"/>
      <c r="O330" s="38" t="n"/>
      <c r="P330" s="38" t="n"/>
      <c r="Q330" s="97">
        <f>IF(OR(F330="",E330=""),"",IFERROR(IF(INDEX('PROPERTIES'!$F$5:$F$404,MATCH(E330,'PROPERTIES'!$B$5:$B$404,0))=0,"",ROUND((INDEX('PROPERTIES'!$F$5:$F$404,MATCH(E330,'PROPERTIES'!$B$5:$B$404,0))/INDEX('PRICING'!$C$7:$C$16,MATCH(F330,'PRICING'!$A$7:$A$16,0))+INDEX('PROPERTIES'!$G$5:$G$404,MATCH(E330,'PROPERTIES'!$B$5:$B$404,0))*INDEX('PRICING'!$D$7:$D$16,MATCH(F330,'PRICING'!$A$7:$A$16,0))/60+INDEX('PROPERTIES'!$H$5:$H$404,MATCH(E330,'PROPERTIES'!$B$5:$B$404,0))*INDEX('PRICING'!$E$7:$E$16,MATCH(F330,'PRICING'!$A$7:$A$16,0))/60+INDEX('PRICING'!$F$7:$F$16,MATCH(F330,'PRICING'!$A$7:$A$16,0))/60),2)),""))</f>
        <v/>
      </c>
      <c r="R330" s="97">
        <f>IF(B330="","",IF(N(K330)&gt;0,K330,IF(N(J330)&gt;0,J330,N(Q330))))</f>
        <v/>
      </c>
      <c r="S330" s="55">
        <f>IF(L330="","",ROUND(L330*(1+N(M330)),2))</f>
        <v/>
      </c>
      <c r="T330" s="55">
        <f>IF(B330="","",SUMIFS('REVENUE'!$C$5:$C$1504,'REVENUE'!$B$5:$B$1504,A330))</f>
        <v/>
      </c>
      <c r="U330" s="55">
        <f>IF(B330="","",IF(O330="Completed",MAX(0,N(S330)-T330),""))</f>
        <v/>
      </c>
      <c r="V330" s="49">
        <f>IF(B330="","",IF(O330&lt;&gt;"Completed",IF(T330&gt;0,"Deposit","—"),IF(U330&lt;=0.005,"Paid",IF(T330&gt;0,"Partial","Unpaid"))))</f>
        <v/>
      </c>
      <c r="W330" s="55">
        <f>IF(B330="","",IFERROR(1/(1/INDEX('STAFF &amp; TASKS'!$C$5:$C$24,MATCH(H330,'STAFF &amp; TASKS'!$A$5:$A$24,0))),PayRate))</f>
        <v/>
      </c>
      <c r="X330" s="55">
        <f>IF(B330="","",IF(OR(O330="Cancelled",O330="No-Show"),"",ROUND(R330*W330*(1+Burden),2)))</f>
        <v/>
      </c>
      <c r="Y330" s="55">
        <f>IF(B330="","",IF(OR(O330="Cancelled",O330="No-Show"),"",IF(N330&lt;&gt;"",N330,ROUND(R330*SupHr*IFERROR(INDEX('PRICING'!$G$7:$G$16,MATCH(F330,'PRICING'!$A$7:$A$16,0)),1),2))))</f>
        <v/>
      </c>
      <c r="Z330" s="98">
        <f>IF(B330="","",SUMIFS('MILEAGE'!$J$5:$J$1504,'MILEAGE'!$B$5:$B$1504,A330))</f>
        <v/>
      </c>
      <c r="AA330" s="55">
        <f>IF(B330="","",ROUND(Z330*MileRate,2))</f>
        <v/>
      </c>
      <c r="AB330" s="55">
        <f>IF(B330="","",SUMIFS('REVENUE'!$J$5:$J$1504,'REVENUE'!$B$5:$B$1504,A330))</f>
        <v/>
      </c>
      <c r="AC330" s="55">
        <f>IF(L330="","",IF(OR(O330="Cancelled",O330="No-Show"),"",L330-N(X330)-N(Y330)-AA330-AB330))</f>
        <v/>
      </c>
      <c r="AD330" s="99">
        <f>IF(OR(AC330="",N(L330)=0),"",AC330/L330)</f>
        <v/>
      </c>
      <c r="AE330" s="55">
        <f>IF(OR(AC330="",N(R330)=0),"",L330/R330)</f>
        <v/>
      </c>
      <c r="AF330" s="100">
        <f>IF(OR(N(K330)=0,N(J330)+N(Q330)=0),"",K330-IF(N(J330)&gt;0,J330,Q330))</f>
        <v/>
      </c>
      <c r="AG330" s="99">
        <f>IF(B330="","",IFERROR(AVERAGEIFS('QUALITY CONTROL'!$M$5:$M$304,'QUALITY CONTROL'!$B$5:$B$304,A330),""))</f>
        <v/>
      </c>
      <c r="AH330" s="51">
        <f>IF(B330="","",DATE(YEAR(B330),MONTH(B330),1))</f>
        <v/>
      </c>
      <c r="AI330" s="49">
        <f>IF(D330="","",IFERROR(INDEX('CUSTOMERS'!$E$5:$E$404,MATCH(D330,'CUSTOMERS'!$B$5:$B$404,0)),""))</f>
        <v/>
      </c>
      <c r="AJ330" s="49">
        <f>IF(B330="","",N(C330))</f>
        <v/>
      </c>
      <c r="AK330" s="49">
        <f>IF(OR(B330="",O330="Cancelled",O330="Rescheduled"),"",B330&amp;"|"&amp;(COUNTIFS('JOBS'!$B$5:$B$1504,B330,'JOBS'!$AJ$5:$AJ$1504,"&lt;"&amp;AJ330,'JOBS'!$O$5:$O$1504,"&lt;&gt;Cancelled",'JOBS'!$O$5:$O$1504,"&lt;&gt;Rescheduled")+COUNTIFS($B$5:B330,B330,$AJ$5:AJ330,AJ330,$O$5:O330,"&lt;&gt;Cancelled",$O$5:O330,"&lt;&gt;Rescheduled")))</f>
        <v/>
      </c>
      <c r="AL330" s="49">
        <f>IF(N(U330)&lt;=0.005,"",COUNTIFS('JOBS'!$U$5:$U$1504,"&gt;0.005",'JOBS'!$B$5:$B$1504,"&lt;"&amp;B330)+COUNTIFS($U$5:U330,"&gt;0.005",$B$5:B330,B330))</f>
        <v/>
      </c>
    </row>
    <row r="331">
      <c r="A331" s="46" t="inlineStr">
        <is>
          <t>J-0327</t>
        </is>
      </c>
      <c r="B331" s="47" t="n"/>
      <c r="C331" s="94" t="n"/>
      <c r="D331" s="38" t="n"/>
      <c r="E331" s="38" t="n"/>
      <c r="F331" s="38" t="n"/>
      <c r="G331" s="38" t="n"/>
      <c r="H331" s="38" t="n"/>
      <c r="I331" s="57" t="n"/>
      <c r="J331" s="95" t="n"/>
      <c r="K331" s="95" t="n"/>
      <c r="L331" s="48" t="n"/>
      <c r="M331" s="96" t="n"/>
      <c r="N331" s="48" t="n"/>
      <c r="O331" s="38" t="n"/>
      <c r="P331" s="38" t="n"/>
      <c r="Q331" s="97">
        <f>IF(OR(F331="",E331=""),"",IFERROR(IF(INDEX('PROPERTIES'!$F$5:$F$404,MATCH(E331,'PROPERTIES'!$B$5:$B$404,0))=0,"",ROUND((INDEX('PROPERTIES'!$F$5:$F$404,MATCH(E331,'PROPERTIES'!$B$5:$B$404,0))/INDEX('PRICING'!$C$7:$C$16,MATCH(F331,'PRICING'!$A$7:$A$16,0))+INDEX('PROPERTIES'!$G$5:$G$404,MATCH(E331,'PROPERTIES'!$B$5:$B$404,0))*INDEX('PRICING'!$D$7:$D$16,MATCH(F331,'PRICING'!$A$7:$A$16,0))/60+INDEX('PROPERTIES'!$H$5:$H$404,MATCH(E331,'PROPERTIES'!$B$5:$B$404,0))*INDEX('PRICING'!$E$7:$E$16,MATCH(F331,'PRICING'!$A$7:$A$16,0))/60+INDEX('PRICING'!$F$7:$F$16,MATCH(F331,'PRICING'!$A$7:$A$16,0))/60),2)),""))</f>
        <v/>
      </c>
      <c r="R331" s="97">
        <f>IF(B331="","",IF(N(K331)&gt;0,K331,IF(N(J331)&gt;0,J331,N(Q331))))</f>
        <v/>
      </c>
      <c r="S331" s="55">
        <f>IF(L331="","",ROUND(L331*(1+N(M331)),2))</f>
        <v/>
      </c>
      <c r="T331" s="55">
        <f>IF(B331="","",SUMIFS('REVENUE'!$C$5:$C$1504,'REVENUE'!$B$5:$B$1504,A331))</f>
        <v/>
      </c>
      <c r="U331" s="55">
        <f>IF(B331="","",IF(O331="Completed",MAX(0,N(S331)-T331),""))</f>
        <v/>
      </c>
      <c r="V331" s="49">
        <f>IF(B331="","",IF(O331&lt;&gt;"Completed",IF(T331&gt;0,"Deposit","—"),IF(U331&lt;=0.005,"Paid",IF(T331&gt;0,"Partial","Unpaid"))))</f>
        <v/>
      </c>
      <c r="W331" s="55">
        <f>IF(B331="","",IFERROR(1/(1/INDEX('STAFF &amp; TASKS'!$C$5:$C$24,MATCH(H331,'STAFF &amp; TASKS'!$A$5:$A$24,0))),PayRate))</f>
        <v/>
      </c>
      <c r="X331" s="55">
        <f>IF(B331="","",IF(OR(O331="Cancelled",O331="No-Show"),"",ROUND(R331*W331*(1+Burden),2)))</f>
        <v/>
      </c>
      <c r="Y331" s="55">
        <f>IF(B331="","",IF(OR(O331="Cancelled",O331="No-Show"),"",IF(N331&lt;&gt;"",N331,ROUND(R331*SupHr*IFERROR(INDEX('PRICING'!$G$7:$G$16,MATCH(F331,'PRICING'!$A$7:$A$16,0)),1),2))))</f>
        <v/>
      </c>
      <c r="Z331" s="98">
        <f>IF(B331="","",SUMIFS('MILEAGE'!$J$5:$J$1504,'MILEAGE'!$B$5:$B$1504,A331))</f>
        <v/>
      </c>
      <c r="AA331" s="55">
        <f>IF(B331="","",ROUND(Z331*MileRate,2))</f>
        <v/>
      </c>
      <c r="AB331" s="55">
        <f>IF(B331="","",SUMIFS('REVENUE'!$J$5:$J$1504,'REVENUE'!$B$5:$B$1504,A331))</f>
        <v/>
      </c>
      <c r="AC331" s="55">
        <f>IF(L331="","",IF(OR(O331="Cancelled",O331="No-Show"),"",L331-N(X331)-N(Y331)-AA331-AB331))</f>
        <v/>
      </c>
      <c r="AD331" s="99">
        <f>IF(OR(AC331="",N(L331)=0),"",AC331/L331)</f>
        <v/>
      </c>
      <c r="AE331" s="55">
        <f>IF(OR(AC331="",N(R331)=0),"",L331/R331)</f>
        <v/>
      </c>
      <c r="AF331" s="100">
        <f>IF(OR(N(K331)=0,N(J331)+N(Q331)=0),"",K331-IF(N(J331)&gt;0,J331,Q331))</f>
        <v/>
      </c>
      <c r="AG331" s="99">
        <f>IF(B331="","",IFERROR(AVERAGEIFS('QUALITY CONTROL'!$M$5:$M$304,'QUALITY CONTROL'!$B$5:$B$304,A331),""))</f>
        <v/>
      </c>
      <c r="AH331" s="51">
        <f>IF(B331="","",DATE(YEAR(B331),MONTH(B331),1))</f>
        <v/>
      </c>
      <c r="AI331" s="49">
        <f>IF(D331="","",IFERROR(INDEX('CUSTOMERS'!$E$5:$E$404,MATCH(D331,'CUSTOMERS'!$B$5:$B$404,0)),""))</f>
        <v/>
      </c>
      <c r="AJ331" s="49">
        <f>IF(B331="","",N(C331))</f>
        <v/>
      </c>
      <c r="AK331" s="49">
        <f>IF(OR(B331="",O331="Cancelled",O331="Rescheduled"),"",B331&amp;"|"&amp;(COUNTIFS('JOBS'!$B$5:$B$1504,B331,'JOBS'!$AJ$5:$AJ$1504,"&lt;"&amp;AJ331,'JOBS'!$O$5:$O$1504,"&lt;&gt;Cancelled",'JOBS'!$O$5:$O$1504,"&lt;&gt;Rescheduled")+COUNTIFS($B$5:B331,B331,$AJ$5:AJ331,AJ331,$O$5:O331,"&lt;&gt;Cancelled",$O$5:O331,"&lt;&gt;Rescheduled")))</f>
        <v/>
      </c>
      <c r="AL331" s="49">
        <f>IF(N(U331)&lt;=0.005,"",COUNTIFS('JOBS'!$U$5:$U$1504,"&gt;0.005",'JOBS'!$B$5:$B$1504,"&lt;"&amp;B331)+COUNTIFS($U$5:U331,"&gt;0.005",$B$5:B331,B331))</f>
        <v/>
      </c>
    </row>
    <row r="332">
      <c r="A332" s="46" t="inlineStr">
        <is>
          <t>J-0328</t>
        </is>
      </c>
      <c r="B332" s="47" t="n"/>
      <c r="C332" s="94" t="n"/>
      <c r="D332" s="38" t="n"/>
      <c r="E332" s="38" t="n"/>
      <c r="F332" s="38" t="n"/>
      <c r="G332" s="38" t="n"/>
      <c r="H332" s="38" t="n"/>
      <c r="I332" s="57" t="n"/>
      <c r="J332" s="95" t="n"/>
      <c r="K332" s="95" t="n"/>
      <c r="L332" s="48" t="n"/>
      <c r="M332" s="96" t="n"/>
      <c r="N332" s="48" t="n"/>
      <c r="O332" s="38" t="n"/>
      <c r="P332" s="38" t="n"/>
      <c r="Q332" s="97">
        <f>IF(OR(F332="",E332=""),"",IFERROR(IF(INDEX('PROPERTIES'!$F$5:$F$404,MATCH(E332,'PROPERTIES'!$B$5:$B$404,0))=0,"",ROUND((INDEX('PROPERTIES'!$F$5:$F$404,MATCH(E332,'PROPERTIES'!$B$5:$B$404,0))/INDEX('PRICING'!$C$7:$C$16,MATCH(F332,'PRICING'!$A$7:$A$16,0))+INDEX('PROPERTIES'!$G$5:$G$404,MATCH(E332,'PROPERTIES'!$B$5:$B$404,0))*INDEX('PRICING'!$D$7:$D$16,MATCH(F332,'PRICING'!$A$7:$A$16,0))/60+INDEX('PROPERTIES'!$H$5:$H$404,MATCH(E332,'PROPERTIES'!$B$5:$B$404,0))*INDEX('PRICING'!$E$7:$E$16,MATCH(F332,'PRICING'!$A$7:$A$16,0))/60+INDEX('PRICING'!$F$7:$F$16,MATCH(F332,'PRICING'!$A$7:$A$16,0))/60),2)),""))</f>
        <v/>
      </c>
      <c r="R332" s="97">
        <f>IF(B332="","",IF(N(K332)&gt;0,K332,IF(N(J332)&gt;0,J332,N(Q332))))</f>
        <v/>
      </c>
      <c r="S332" s="55">
        <f>IF(L332="","",ROUND(L332*(1+N(M332)),2))</f>
        <v/>
      </c>
      <c r="T332" s="55">
        <f>IF(B332="","",SUMIFS('REVENUE'!$C$5:$C$1504,'REVENUE'!$B$5:$B$1504,A332))</f>
        <v/>
      </c>
      <c r="U332" s="55">
        <f>IF(B332="","",IF(O332="Completed",MAX(0,N(S332)-T332),""))</f>
        <v/>
      </c>
      <c r="V332" s="49">
        <f>IF(B332="","",IF(O332&lt;&gt;"Completed",IF(T332&gt;0,"Deposit","—"),IF(U332&lt;=0.005,"Paid",IF(T332&gt;0,"Partial","Unpaid"))))</f>
        <v/>
      </c>
      <c r="W332" s="55">
        <f>IF(B332="","",IFERROR(1/(1/INDEX('STAFF &amp; TASKS'!$C$5:$C$24,MATCH(H332,'STAFF &amp; TASKS'!$A$5:$A$24,0))),PayRate))</f>
        <v/>
      </c>
      <c r="X332" s="55">
        <f>IF(B332="","",IF(OR(O332="Cancelled",O332="No-Show"),"",ROUND(R332*W332*(1+Burden),2)))</f>
        <v/>
      </c>
      <c r="Y332" s="55">
        <f>IF(B332="","",IF(OR(O332="Cancelled",O332="No-Show"),"",IF(N332&lt;&gt;"",N332,ROUND(R332*SupHr*IFERROR(INDEX('PRICING'!$G$7:$G$16,MATCH(F332,'PRICING'!$A$7:$A$16,0)),1),2))))</f>
        <v/>
      </c>
      <c r="Z332" s="98">
        <f>IF(B332="","",SUMIFS('MILEAGE'!$J$5:$J$1504,'MILEAGE'!$B$5:$B$1504,A332))</f>
        <v/>
      </c>
      <c r="AA332" s="55">
        <f>IF(B332="","",ROUND(Z332*MileRate,2))</f>
        <v/>
      </c>
      <c r="AB332" s="55">
        <f>IF(B332="","",SUMIFS('REVENUE'!$J$5:$J$1504,'REVENUE'!$B$5:$B$1504,A332))</f>
        <v/>
      </c>
      <c r="AC332" s="55">
        <f>IF(L332="","",IF(OR(O332="Cancelled",O332="No-Show"),"",L332-N(X332)-N(Y332)-AA332-AB332))</f>
        <v/>
      </c>
      <c r="AD332" s="99">
        <f>IF(OR(AC332="",N(L332)=0),"",AC332/L332)</f>
        <v/>
      </c>
      <c r="AE332" s="55">
        <f>IF(OR(AC332="",N(R332)=0),"",L332/R332)</f>
        <v/>
      </c>
      <c r="AF332" s="100">
        <f>IF(OR(N(K332)=0,N(J332)+N(Q332)=0),"",K332-IF(N(J332)&gt;0,J332,Q332))</f>
        <v/>
      </c>
      <c r="AG332" s="99">
        <f>IF(B332="","",IFERROR(AVERAGEIFS('QUALITY CONTROL'!$M$5:$M$304,'QUALITY CONTROL'!$B$5:$B$304,A332),""))</f>
        <v/>
      </c>
      <c r="AH332" s="51">
        <f>IF(B332="","",DATE(YEAR(B332),MONTH(B332),1))</f>
        <v/>
      </c>
      <c r="AI332" s="49">
        <f>IF(D332="","",IFERROR(INDEX('CUSTOMERS'!$E$5:$E$404,MATCH(D332,'CUSTOMERS'!$B$5:$B$404,0)),""))</f>
        <v/>
      </c>
      <c r="AJ332" s="49">
        <f>IF(B332="","",N(C332))</f>
        <v/>
      </c>
      <c r="AK332" s="49">
        <f>IF(OR(B332="",O332="Cancelled",O332="Rescheduled"),"",B332&amp;"|"&amp;(COUNTIFS('JOBS'!$B$5:$B$1504,B332,'JOBS'!$AJ$5:$AJ$1504,"&lt;"&amp;AJ332,'JOBS'!$O$5:$O$1504,"&lt;&gt;Cancelled",'JOBS'!$O$5:$O$1504,"&lt;&gt;Rescheduled")+COUNTIFS($B$5:B332,B332,$AJ$5:AJ332,AJ332,$O$5:O332,"&lt;&gt;Cancelled",$O$5:O332,"&lt;&gt;Rescheduled")))</f>
        <v/>
      </c>
      <c r="AL332" s="49">
        <f>IF(N(U332)&lt;=0.005,"",COUNTIFS('JOBS'!$U$5:$U$1504,"&gt;0.005",'JOBS'!$B$5:$B$1504,"&lt;"&amp;B332)+COUNTIFS($U$5:U332,"&gt;0.005",$B$5:B332,B332))</f>
        <v/>
      </c>
    </row>
    <row r="333">
      <c r="A333" s="46" t="inlineStr">
        <is>
          <t>J-0329</t>
        </is>
      </c>
      <c r="B333" s="47" t="n"/>
      <c r="C333" s="94" t="n"/>
      <c r="D333" s="38" t="n"/>
      <c r="E333" s="38" t="n"/>
      <c r="F333" s="38" t="n"/>
      <c r="G333" s="38" t="n"/>
      <c r="H333" s="38" t="n"/>
      <c r="I333" s="57" t="n"/>
      <c r="J333" s="95" t="n"/>
      <c r="K333" s="95" t="n"/>
      <c r="L333" s="48" t="n"/>
      <c r="M333" s="96" t="n"/>
      <c r="N333" s="48" t="n"/>
      <c r="O333" s="38" t="n"/>
      <c r="P333" s="38" t="n"/>
      <c r="Q333" s="97">
        <f>IF(OR(F333="",E333=""),"",IFERROR(IF(INDEX('PROPERTIES'!$F$5:$F$404,MATCH(E333,'PROPERTIES'!$B$5:$B$404,0))=0,"",ROUND((INDEX('PROPERTIES'!$F$5:$F$404,MATCH(E333,'PROPERTIES'!$B$5:$B$404,0))/INDEX('PRICING'!$C$7:$C$16,MATCH(F333,'PRICING'!$A$7:$A$16,0))+INDEX('PROPERTIES'!$G$5:$G$404,MATCH(E333,'PROPERTIES'!$B$5:$B$404,0))*INDEX('PRICING'!$D$7:$D$16,MATCH(F333,'PRICING'!$A$7:$A$16,0))/60+INDEX('PROPERTIES'!$H$5:$H$404,MATCH(E333,'PROPERTIES'!$B$5:$B$404,0))*INDEX('PRICING'!$E$7:$E$16,MATCH(F333,'PRICING'!$A$7:$A$16,0))/60+INDEX('PRICING'!$F$7:$F$16,MATCH(F333,'PRICING'!$A$7:$A$16,0))/60),2)),""))</f>
        <v/>
      </c>
      <c r="R333" s="97">
        <f>IF(B333="","",IF(N(K333)&gt;0,K333,IF(N(J333)&gt;0,J333,N(Q333))))</f>
        <v/>
      </c>
      <c r="S333" s="55">
        <f>IF(L333="","",ROUND(L333*(1+N(M333)),2))</f>
        <v/>
      </c>
      <c r="T333" s="55">
        <f>IF(B333="","",SUMIFS('REVENUE'!$C$5:$C$1504,'REVENUE'!$B$5:$B$1504,A333))</f>
        <v/>
      </c>
      <c r="U333" s="55">
        <f>IF(B333="","",IF(O333="Completed",MAX(0,N(S333)-T333),""))</f>
        <v/>
      </c>
      <c r="V333" s="49">
        <f>IF(B333="","",IF(O333&lt;&gt;"Completed",IF(T333&gt;0,"Deposit","—"),IF(U333&lt;=0.005,"Paid",IF(T333&gt;0,"Partial","Unpaid"))))</f>
        <v/>
      </c>
      <c r="W333" s="55">
        <f>IF(B333="","",IFERROR(1/(1/INDEX('STAFF &amp; TASKS'!$C$5:$C$24,MATCH(H333,'STAFF &amp; TASKS'!$A$5:$A$24,0))),PayRate))</f>
        <v/>
      </c>
      <c r="X333" s="55">
        <f>IF(B333="","",IF(OR(O333="Cancelled",O333="No-Show"),"",ROUND(R333*W333*(1+Burden),2)))</f>
        <v/>
      </c>
      <c r="Y333" s="55">
        <f>IF(B333="","",IF(OR(O333="Cancelled",O333="No-Show"),"",IF(N333&lt;&gt;"",N333,ROUND(R333*SupHr*IFERROR(INDEX('PRICING'!$G$7:$G$16,MATCH(F333,'PRICING'!$A$7:$A$16,0)),1),2))))</f>
        <v/>
      </c>
      <c r="Z333" s="98">
        <f>IF(B333="","",SUMIFS('MILEAGE'!$J$5:$J$1504,'MILEAGE'!$B$5:$B$1504,A333))</f>
        <v/>
      </c>
      <c r="AA333" s="55">
        <f>IF(B333="","",ROUND(Z333*MileRate,2))</f>
        <v/>
      </c>
      <c r="AB333" s="55">
        <f>IF(B333="","",SUMIFS('REVENUE'!$J$5:$J$1504,'REVENUE'!$B$5:$B$1504,A333))</f>
        <v/>
      </c>
      <c r="AC333" s="55">
        <f>IF(L333="","",IF(OR(O333="Cancelled",O333="No-Show"),"",L333-N(X333)-N(Y333)-AA333-AB333))</f>
        <v/>
      </c>
      <c r="AD333" s="99">
        <f>IF(OR(AC333="",N(L333)=0),"",AC333/L333)</f>
        <v/>
      </c>
      <c r="AE333" s="55">
        <f>IF(OR(AC333="",N(R333)=0),"",L333/R333)</f>
        <v/>
      </c>
      <c r="AF333" s="100">
        <f>IF(OR(N(K333)=0,N(J333)+N(Q333)=0),"",K333-IF(N(J333)&gt;0,J333,Q333))</f>
        <v/>
      </c>
      <c r="AG333" s="99">
        <f>IF(B333="","",IFERROR(AVERAGEIFS('QUALITY CONTROL'!$M$5:$M$304,'QUALITY CONTROL'!$B$5:$B$304,A333),""))</f>
        <v/>
      </c>
      <c r="AH333" s="51">
        <f>IF(B333="","",DATE(YEAR(B333),MONTH(B333),1))</f>
        <v/>
      </c>
      <c r="AI333" s="49">
        <f>IF(D333="","",IFERROR(INDEX('CUSTOMERS'!$E$5:$E$404,MATCH(D333,'CUSTOMERS'!$B$5:$B$404,0)),""))</f>
        <v/>
      </c>
      <c r="AJ333" s="49">
        <f>IF(B333="","",N(C333))</f>
        <v/>
      </c>
      <c r="AK333" s="49">
        <f>IF(OR(B333="",O333="Cancelled",O333="Rescheduled"),"",B333&amp;"|"&amp;(COUNTIFS('JOBS'!$B$5:$B$1504,B333,'JOBS'!$AJ$5:$AJ$1504,"&lt;"&amp;AJ333,'JOBS'!$O$5:$O$1504,"&lt;&gt;Cancelled",'JOBS'!$O$5:$O$1504,"&lt;&gt;Rescheduled")+COUNTIFS($B$5:B333,B333,$AJ$5:AJ333,AJ333,$O$5:O333,"&lt;&gt;Cancelled",$O$5:O333,"&lt;&gt;Rescheduled")))</f>
        <v/>
      </c>
      <c r="AL333" s="49">
        <f>IF(N(U333)&lt;=0.005,"",COUNTIFS('JOBS'!$U$5:$U$1504,"&gt;0.005",'JOBS'!$B$5:$B$1504,"&lt;"&amp;B333)+COUNTIFS($U$5:U333,"&gt;0.005",$B$5:B333,B333))</f>
        <v/>
      </c>
    </row>
    <row r="334">
      <c r="A334" s="46" t="inlineStr">
        <is>
          <t>J-0330</t>
        </is>
      </c>
      <c r="B334" s="47" t="n"/>
      <c r="C334" s="94" t="n"/>
      <c r="D334" s="38" t="n"/>
      <c r="E334" s="38" t="n"/>
      <c r="F334" s="38" t="n"/>
      <c r="G334" s="38" t="n"/>
      <c r="H334" s="38" t="n"/>
      <c r="I334" s="57" t="n"/>
      <c r="J334" s="95" t="n"/>
      <c r="K334" s="95" t="n"/>
      <c r="L334" s="48" t="n"/>
      <c r="M334" s="96" t="n"/>
      <c r="N334" s="48" t="n"/>
      <c r="O334" s="38" t="n"/>
      <c r="P334" s="38" t="n"/>
      <c r="Q334" s="97">
        <f>IF(OR(F334="",E334=""),"",IFERROR(IF(INDEX('PROPERTIES'!$F$5:$F$404,MATCH(E334,'PROPERTIES'!$B$5:$B$404,0))=0,"",ROUND((INDEX('PROPERTIES'!$F$5:$F$404,MATCH(E334,'PROPERTIES'!$B$5:$B$404,0))/INDEX('PRICING'!$C$7:$C$16,MATCH(F334,'PRICING'!$A$7:$A$16,0))+INDEX('PROPERTIES'!$G$5:$G$404,MATCH(E334,'PROPERTIES'!$B$5:$B$404,0))*INDEX('PRICING'!$D$7:$D$16,MATCH(F334,'PRICING'!$A$7:$A$16,0))/60+INDEX('PROPERTIES'!$H$5:$H$404,MATCH(E334,'PROPERTIES'!$B$5:$B$404,0))*INDEX('PRICING'!$E$7:$E$16,MATCH(F334,'PRICING'!$A$7:$A$16,0))/60+INDEX('PRICING'!$F$7:$F$16,MATCH(F334,'PRICING'!$A$7:$A$16,0))/60),2)),""))</f>
        <v/>
      </c>
      <c r="R334" s="97">
        <f>IF(B334="","",IF(N(K334)&gt;0,K334,IF(N(J334)&gt;0,J334,N(Q334))))</f>
        <v/>
      </c>
      <c r="S334" s="55">
        <f>IF(L334="","",ROUND(L334*(1+N(M334)),2))</f>
        <v/>
      </c>
      <c r="T334" s="55">
        <f>IF(B334="","",SUMIFS('REVENUE'!$C$5:$C$1504,'REVENUE'!$B$5:$B$1504,A334))</f>
        <v/>
      </c>
      <c r="U334" s="55">
        <f>IF(B334="","",IF(O334="Completed",MAX(0,N(S334)-T334),""))</f>
        <v/>
      </c>
      <c r="V334" s="49">
        <f>IF(B334="","",IF(O334&lt;&gt;"Completed",IF(T334&gt;0,"Deposit","—"),IF(U334&lt;=0.005,"Paid",IF(T334&gt;0,"Partial","Unpaid"))))</f>
        <v/>
      </c>
      <c r="W334" s="55">
        <f>IF(B334="","",IFERROR(1/(1/INDEX('STAFF &amp; TASKS'!$C$5:$C$24,MATCH(H334,'STAFF &amp; TASKS'!$A$5:$A$24,0))),PayRate))</f>
        <v/>
      </c>
      <c r="X334" s="55">
        <f>IF(B334="","",IF(OR(O334="Cancelled",O334="No-Show"),"",ROUND(R334*W334*(1+Burden),2)))</f>
        <v/>
      </c>
      <c r="Y334" s="55">
        <f>IF(B334="","",IF(OR(O334="Cancelled",O334="No-Show"),"",IF(N334&lt;&gt;"",N334,ROUND(R334*SupHr*IFERROR(INDEX('PRICING'!$G$7:$G$16,MATCH(F334,'PRICING'!$A$7:$A$16,0)),1),2))))</f>
        <v/>
      </c>
      <c r="Z334" s="98">
        <f>IF(B334="","",SUMIFS('MILEAGE'!$J$5:$J$1504,'MILEAGE'!$B$5:$B$1504,A334))</f>
        <v/>
      </c>
      <c r="AA334" s="55">
        <f>IF(B334="","",ROUND(Z334*MileRate,2))</f>
        <v/>
      </c>
      <c r="AB334" s="55">
        <f>IF(B334="","",SUMIFS('REVENUE'!$J$5:$J$1504,'REVENUE'!$B$5:$B$1504,A334))</f>
        <v/>
      </c>
      <c r="AC334" s="55">
        <f>IF(L334="","",IF(OR(O334="Cancelled",O334="No-Show"),"",L334-N(X334)-N(Y334)-AA334-AB334))</f>
        <v/>
      </c>
      <c r="AD334" s="99">
        <f>IF(OR(AC334="",N(L334)=0),"",AC334/L334)</f>
        <v/>
      </c>
      <c r="AE334" s="55">
        <f>IF(OR(AC334="",N(R334)=0),"",L334/R334)</f>
        <v/>
      </c>
      <c r="AF334" s="100">
        <f>IF(OR(N(K334)=0,N(J334)+N(Q334)=0),"",K334-IF(N(J334)&gt;0,J334,Q334))</f>
        <v/>
      </c>
      <c r="AG334" s="99">
        <f>IF(B334="","",IFERROR(AVERAGEIFS('QUALITY CONTROL'!$M$5:$M$304,'QUALITY CONTROL'!$B$5:$B$304,A334),""))</f>
        <v/>
      </c>
      <c r="AH334" s="51">
        <f>IF(B334="","",DATE(YEAR(B334),MONTH(B334),1))</f>
        <v/>
      </c>
      <c r="AI334" s="49">
        <f>IF(D334="","",IFERROR(INDEX('CUSTOMERS'!$E$5:$E$404,MATCH(D334,'CUSTOMERS'!$B$5:$B$404,0)),""))</f>
        <v/>
      </c>
      <c r="AJ334" s="49">
        <f>IF(B334="","",N(C334))</f>
        <v/>
      </c>
      <c r="AK334" s="49">
        <f>IF(OR(B334="",O334="Cancelled",O334="Rescheduled"),"",B334&amp;"|"&amp;(COUNTIFS('JOBS'!$B$5:$B$1504,B334,'JOBS'!$AJ$5:$AJ$1504,"&lt;"&amp;AJ334,'JOBS'!$O$5:$O$1504,"&lt;&gt;Cancelled",'JOBS'!$O$5:$O$1504,"&lt;&gt;Rescheduled")+COUNTIFS($B$5:B334,B334,$AJ$5:AJ334,AJ334,$O$5:O334,"&lt;&gt;Cancelled",$O$5:O334,"&lt;&gt;Rescheduled")))</f>
        <v/>
      </c>
      <c r="AL334" s="49">
        <f>IF(N(U334)&lt;=0.005,"",COUNTIFS('JOBS'!$U$5:$U$1504,"&gt;0.005",'JOBS'!$B$5:$B$1504,"&lt;"&amp;B334)+COUNTIFS($U$5:U334,"&gt;0.005",$B$5:B334,B334))</f>
        <v/>
      </c>
    </row>
    <row r="335">
      <c r="A335" s="46" t="inlineStr">
        <is>
          <t>J-0331</t>
        </is>
      </c>
      <c r="B335" s="47" t="n"/>
      <c r="C335" s="94" t="n"/>
      <c r="D335" s="38" t="n"/>
      <c r="E335" s="38" t="n"/>
      <c r="F335" s="38" t="n"/>
      <c r="G335" s="38" t="n"/>
      <c r="H335" s="38" t="n"/>
      <c r="I335" s="57" t="n"/>
      <c r="J335" s="95" t="n"/>
      <c r="K335" s="95" t="n"/>
      <c r="L335" s="48" t="n"/>
      <c r="M335" s="96" t="n"/>
      <c r="N335" s="48" t="n"/>
      <c r="O335" s="38" t="n"/>
      <c r="P335" s="38" t="n"/>
      <c r="Q335" s="97">
        <f>IF(OR(F335="",E335=""),"",IFERROR(IF(INDEX('PROPERTIES'!$F$5:$F$404,MATCH(E335,'PROPERTIES'!$B$5:$B$404,0))=0,"",ROUND((INDEX('PROPERTIES'!$F$5:$F$404,MATCH(E335,'PROPERTIES'!$B$5:$B$404,0))/INDEX('PRICING'!$C$7:$C$16,MATCH(F335,'PRICING'!$A$7:$A$16,0))+INDEX('PROPERTIES'!$G$5:$G$404,MATCH(E335,'PROPERTIES'!$B$5:$B$404,0))*INDEX('PRICING'!$D$7:$D$16,MATCH(F335,'PRICING'!$A$7:$A$16,0))/60+INDEX('PROPERTIES'!$H$5:$H$404,MATCH(E335,'PROPERTIES'!$B$5:$B$404,0))*INDEX('PRICING'!$E$7:$E$16,MATCH(F335,'PRICING'!$A$7:$A$16,0))/60+INDEX('PRICING'!$F$7:$F$16,MATCH(F335,'PRICING'!$A$7:$A$16,0))/60),2)),""))</f>
        <v/>
      </c>
      <c r="R335" s="97">
        <f>IF(B335="","",IF(N(K335)&gt;0,K335,IF(N(J335)&gt;0,J335,N(Q335))))</f>
        <v/>
      </c>
      <c r="S335" s="55">
        <f>IF(L335="","",ROUND(L335*(1+N(M335)),2))</f>
        <v/>
      </c>
      <c r="T335" s="55">
        <f>IF(B335="","",SUMIFS('REVENUE'!$C$5:$C$1504,'REVENUE'!$B$5:$B$1504,A335))</f>
        <v/>
      </c>
      <c r="U335" s="55">
        <f>IF(B335="","",IF(O335="Completed",MAX(0,N(S335)-T335),""))</f>
        <v/>
      </c>
      <c r="V335" s="49">
        <f>IF(B335="","",IF(O335&lt;&gt;"Completed",IF(T335&gt;0,"Deposit","—"),IF(U335&lt;=0.005,"Paid",IF(T335&gt;0,"Partial","Unpaid"))))</f>
        <v/>
      </c>
      <c r="W335" s="55">
        <f>IF(B335="","",IFERROR(1/(1/INDEX('STAFF &amp; TASKS'!$C$5:$C$24,MATCH(H335,'STAFF &amp; TASKS'!$A$5:$A$24,0))),PayRate))</f>
        <v/>
      </c>
      <c r="X335" s="55">
        <f>IF(B335="","",IF(OR(O335="Cancelled",O335="No-Show"),"",ROUND(R335*W335*(1+Burden),2)))</f>
        <v/>
      </c>
      <c r="Y335" s="55">
        <f>IF(B335="","",IF(OR(O335="Cancelled",O335="No-Show"),"",IF(N335&lt;&gt;"",N335,ROUND(R335*SupHr*IFERROR(INDEX('PRICING'!$G$7:$G$16,MATCH(F335,'PRICING'!$A$7:$A$16,0)),1),2))))</f>
        <v/>
      </c>
      <c r="Z335" s="98">
        <f>IF(B335="","",SUMIFS('MILEAGE'!$J$5:$J$1504,'MILEAGE'!$B$5:$B$1504,A335))</f>
        <v/>
      </c>
      <c r="AA335" s="55">
        <f>IF(B335="","",ROUND(Z335*MileRate,2))</f>
        <v/>
      </c>
      <c r="AB335" s="55">
        <f>IF(B335="","",SUMIFS('REVENUE'!$J$5:$J$1504,'REVENUE'!$B$5:$B$1504,A335))</f>
        <v/>
      </c>
      <c r="AC335" s="55">
        <f>IF(L335="","",IF(OR(O335="Cancelled",O335="No-Show"),"",L335-N(X335)-N(Y335)-AA335-AB335))</f>
        <v/>
      </c>
      <c r="AD335" s="99">
        <f>IF(OR(AC335="",N(L335)=0),"",AC335/L335)</f>
        <v/>
      </c>
      <c r="AE335" s="55">
        <f>IF(OR(AC335="",N(R335)=0),"",L335/R335)</f>
        <v/>
      </c>
      <c r="AF335" s="100">
        <f>IF(OR(N(K335)=0,N(J335)+N(Q335)=0),"",K335-IF(N(J335)&gt;0,J335,Q335))</f>
        <v/>
      </c>
      <c r="AG335" s="99">
        <f>IF(B335="","",IFERROR(AVERAGEIFS('QUALITY CONTROL'!$M$5:$M$304,'QUALITY CONTROL'!$B$5:$B$304,A335),""))</f>
        <v/>
      </c>
      <c r="AH335" s="51">
        <f>IF(B335="","",DATE(YEAR(B335),MONTH(B335),1))</f>
        <v/>
      </c>
      <c r="AI335" s="49">
        <f>IF(D335="","",IFERROR(INDEX('CUSTOMERS'!$E$5:$E$404,MATCH(D335,'CUSTOMERS'!$B$5:$B$404,0)),""))</f>
        <v/>
      </c>
      <c r="AJ335" s="49">
        <f>IF(B335="","",N(C335))</f>
        <v/>
      </c>
      <c r="AK335" s="49">
        <f>IF(OR(B335="",O335="Cancelled",O335="Rescheduled"),"",B335&amp;"|"&amp;(COUNTIFS('JOBS'!$B$5:$B$1504,B335,'JOBS'!$AJ$5:$AJ$1504,"&lt;"&amp;AJ335,'JOBS'!$O$5:$O$1504,"&lt;&gt;Cancelled",'JOBS'!$O$5:$O$1504,"&lt;&gt;Rescheduled")+COUNTIFS($B$5:B335,B335,$AJ$5:AJ335,AJ335,$O$5:O335,"&lt;&gt;Cancelled",$O$5:O335,"&lt;&gt;Rescheduled")))</f>
        <v/>
      </c>
      <c r="AL335" s="49">
        <f>IF(N(U335)&lt;=0.005,"",COUNTIFS('JOBS'!$U$5:$U$1504,"&gt;0.005",'JOBS'!$B$5:$B$1504,"&lt;"&amp;B335)+COUNTIFS($U$5:U335,"&gt;0.005",$B$5:B335,B335))</f>
        <v/>
      </c>
    </row>
    <row r="336">
      <c r="A336" s="46" t="inlineStr">
        <is>
          <t>J-0332</t>
        </is>
      </c>
      <c r="B336" s="47" t="n"/>
      <c r="C336" s="94" t="n"/>
      <c r="D336" s="38" t="n"/>
      <c r="E336" s="38" t="n"/>
      <c r="F336" s="38" t="n"/>
      <c r="G336" s="38" t="n"/>
      <c r="H336" s="38" t="n"/>
      <c r="I336" s="57" t="n"/>
      <c r="J336" s="95" t="n"/>
      <c r="K336" s="95" t="n"/>
      <c r="L336" s="48" t="n"/>
      <c r="M336" s="96" t="n"/>
      <c r="N336" s="48" t="n"/>
      <c r="O336" s="38" t="n"/>
      <c r="P336" s="38" t="n"/>
      <c r="Q336" s="97">
        <f>IF(OR(F336="",E336=""),"",IFERROR(IF(INDEX('PROPERTIES'!$F$5:$F$404,MATCH(E336,'PROPERTIES'!$B$5:$B$404,0))=0,"",ROUND((INDEX('PROPERTIES'!$F$5:$F$404,MATCH(E336,'PROPERTIES'!$B$5:$B$404,0))/INDEX('PRICING'!$C$7:$C$16,MATCH(F336,'PRICING'!$A$7:$A$16,0))+INDEX('PROPERTIES'!$G$5:$G$404,MATCH(E336,'PROPERTIES'!$B$5:$B$404,0))*INDEX('PRICING'!$D$7:$D$16,MATCH(F336,'PRICING'!$A$7:$A$16,0))/60+INDEX('PROPERTIES'!$H$5:$H$404,MATCH(E336,'PROPERTIES'!$B$5:$B$404,0))*INDEX('PRICING'!$E$7:$E$16,MATCH(F336,'PRICING'!$A$7:$A$16,0))/60+INDEX('PRICING'!$F$7:$F$16,MATCH(F336,'PRICING'!$A$7:$A$16,0))/60),2)),""))</f>
        <v/>
      </c>
      <c r="R336" s="97">
        <f>IF(B336="","",IF(N(K336)&gt;0,K336,IF(N(J336)&gt;0,J336,N(Q336))))</f>
        <v/>
      </c>
      <c r="S336" s="55">
        <f>IF(L336="","",ROUND(L336*(1+N(M336)),2))</f>
        <v/>
      </c>
      <c r="T336" s="55">
        <f>IF(B336="","",SUMIFS('REVENUE'!$C$5:$C$1504,'REVENUE'!$B$5:$B$1504,A336))</f>
        <v/>
      </c>
      <c r="U336" s="55">
        <f>IF(B336="","",IF(O336="Completed",MAX(0,N(S336)-T336),""))</f>
        <v/>
      </c>
      <c r="V336" s="49">
        <f>IF(B336="","",IF(O336&lt;&gt;"Completed",IF(T336&gt;0,"Deposit","—"),IF(U336&lt;=0.005,"Paid",IF(T336&gt;0,"Partial","Unpaid"))))</f>
        <v/>
      </c>
      <c r="W336" s="55">
        <f>IF(B336="","",IFERROR(1/(1/INDEX('STAFF &amp; TASKS'!$C$5:$C$24,MATCH(H336,'STAFF &amp; TASKS'!$A$5:$A$24,0))),PayRate))</f>
        <v/>
      </c>
      <c r="X336" s="55">
        <f>IF(B336="","",IF(OR(O336="Cancelled",O336="No-Show"),"",ROUND(R336*W336*(1+Burden),2)))</f>
        <v/>
      </c>
      <c r="Y336" s="55">
        <f>IF(B336="","",IF(OR(O336="Cancelled",O336="No-Show"),"",IF(N336&lt;&gt;"",N336,ROUND(R336*SupHr*IFERROR(INDEX('PRICING'!$G$7:$G$16,MATCH(F336,'PRICING'!$A$7:$A$16,0)),1),2))))</f>
        <v/>
      </c>
      <c r="Z336" s="98">
        <f>IF(B336="","",SUMIFS('MILEAGE'!$J$5:$J$1504,'MILEAGE'!$B$5:$B$1504,A336))</f>
        <v/>
      </c>
      <c r="AA336" s="55">
        <f>IF(B336="","",ROUND(Z336*MileRate,2))</f>
        <v/>
      </c>
      <c r="AB336" s="55">
        <f>IF(B336="","",SUMIFS('REVENUE'!$J$5:$J$1504,'REVENUE'!$B$5:$B$1504,A336))</f>
        <v/>
      </c>
      <c r="AC336" s="55">
        <f>IF(L336="","",IF(OR(O336="Cancelled",O336="No-Show"),"",L336-N(X336)-N(Y336)-AA336-AB336))</f>
        <v/>
      </c>
      <c r="AD336" s="99">
        <f>IF(OR(AC336="",N(L336)=0),"",AC336/L336)</f>
        <v/>
      </c>
      <c r="AE336" s="55">
        <f>IF(OR(AC336="",N(R336)=0),"",L336/R336)</f>
        <v/>
      </c>
      <c r="AF336" s="100">
        <f>IF(OR(N(K336)=0,N(J336)+N(Q336)=0),"",K336-IF(N(J336)&gt;0,J336,Q336))</f>
        <v/>
      </c>
      <c r="AG336" s="99">
        <f>IF(B336="","",IFERROR(AVERAGEIFS('QUALITY CONTROL'!$M$5:$M$304,'QUALITY CONTROL'!$B$5:$B$304,A336),""))</f>
        <v/>
      </c>
      <c r="AH336" s="51">
        <f>IF(B336="","",DATE(YEAR(B336),MONTH(B336),1))</f>
        <v/>
      </c>
      <c r="AI336" s="49">
        <f>IF(D336="","",IFERROR(INDEX('CUSTOMERS'!$E$5:$E$404,MATCH(D336,'CUSTOMERS'!$B$5:$B$404,0)),""))</f>
        <v/>
      </c>
      <c r="AJ336" s="49">
        <f>IF(B336="","",N(C336))</f>
        <v/>
      </c>
      <c r="AK336" s="49">
        <f>IF(OR(B336="",O336="Cancelled",O336="Rescheduled"),"",B336&amp;"|"&amp;(COUNTIFS('JOBS'!$B$5:$B$1504,B336,'JOBS'!$AJ$5:$AJ$1504,"&lt;"&amp;AJ336,'JOBS'!$O$5:$O$1504,"&lt;&gt;Cancelled",'JOBS'!$O$5:$O$1504,"&lt;&gt;Rescheduled")+COUNTIFS($B$5:B336,B336,$AJ$5:AJ336,AJ336,$O$5:O336,"&lt;&gt;Cancelled",$O$5:O336,"&lt;&gt;Rescheduled")))</f>
        <v/>
      </c>
      <c r="AL336" s="49">
        <f>IF(N(U336)&lt;=0.005,"",COUNTIFS('JOBS'!$U$5:$U$1504,"&gt;0.005",'JOBS'!$B$5:$B$1504,"&lt;"&amp;B336)+COUNTIFS($U$5:U336,"&gt;0.005",$B$5:B336,B336))</f>
        <v/>
      </c>
    </row>
    <row r="337">
      <c r="A337" s="46" t="inlineStr">
        <is>
          <t>J-0333</t>
        </is>
      </c>
      <c r="B337" s="47" t="n"/>
      <c r="C337" s="94" t="n"/>
      <c r="D337" s="38" t="n"/>
      <c r="E337" s="38" t="n"/>
      <c r="F337" s="38" t="n"/>
      <c r="G337" s="38" t="n"/>
      <c r="H337" s="38" t="n"/>
      <c r="I337" s="57" t="n"/>
      <c r="J337" s="95" t="n"/>
      <c r="K337" s="95" t="n"/>
      <c r="L337" s="48" t="n"/>
      <c r="M337" s="96" t="n"/>
      <c r="N337" s="48" t="n"/>
      <c r="O337" s="38" t="n"/>
      <c r="P337" s="38" t="n"/>
      <c r="Q337" s="97">
        <f>IF(OR(F337="",E337=""),"",IFERROR(IF(INDEX('PROPERTIES'!$F$5:$F$404,MATCH(E337,'PROPERTIES'!$B$5:$B$404,0))=0,"",ROUND((INDEX('PROPERTIES'!$F$5:$F$404,MATCH(E337,'PROPERTIES'!$B$5:$B$404,0))/INDEX('PRICING'!$C$7:$C$16,MATCH(F337,'PRICING'!$A$7:$A$16,0))+INDEX('PROPERTIES'!$G$5:$G$404,MATCH(E337,'PROPERTIES'!$B$5:$B$404,0))*INDEX('PRICING'!$D$7:$D$16,MATCH(F337,'PRICING'!$A$7:$A$16,0))/60+INDEX('PROPERTIES'!$H$5:$H$404,MATCH(E337,'PROPERTIES'!$B$5:$B$404,0))*INDEX('PRICING'!$E$7:$E$16,MATCH(F337,'PRICING'!$A$7:$A$16,0))/60+INDEX('PRICING'!$F$7:$F$16,MATCH(F337,'PRICING'!$A$7:$A$16,0))/60),2)),""))</f>
        <v/>
      </c>
      <c r="R337" s="97">
        <f>IF(B337="","",IF(N(K337)&gt;0,K337,IF(N(J337)&gt;0,J337,N(Q337))))</f>
        <v/>
      </c>
      <c r="S337" s="55">
        <f>IF(L337="","",ROUND(L337*(1+N(M337)),2))</f>
        <v/>
      </c>
      <c r="T337" s="55">
        <f>IF(B337="","",SUMIFS('REVENUE'!$C$5:$C$1504,'REVENUE'!$B$5:$B$1504,A337))</f>
        <v/>
      </c>
      <c r="U337" s="55">
        <f>IF(B337="","",IF(O337="Completed",MAX(0,N(S337)-T337),""))</f>
        <v/>
      </c>
      <c r="V337" s="49">
        <f>IF(B337="","",IF(O337&lt;&gt;"Completed",IF(T337&gt;0,"Deposit","—"),IF(U337&lt;=0.005,"Paid",IF(T337&gt;0,"Partial","Unpaid"))))</f>
        <v/>
      </c>
      <c r="W337" s="55">
        <f>IF(B337="","",IFERROR(1/(1/INDEX('STAFF &amp; TASKS'!$C$5:$C$24,MATCH(H337,'STAFF &amp; TASKS'!$A$5:$A$24,0))),PayRate))</f>
        <v/>
      </c>
      <c r="X337" s="55">
        <f>IF(B337="","",IF(OR(O337="Cancelled",O337="No-Show"),"",ROUND(R337*W337*(1+Burden),2)))</f>
        <v/>
      </c>
      <c r="Y337" s="55">
        <f>IF(B337="","",IF(OR(O337="Cancelled",O337="No-Show"),"",IF(N337&lt;&gt;"",N337,ROUND(R337*SupHr*IFERROR(INDEX('PRICING'!$G$7:$G$16,MATCH(F337,'PRICING'!$A$7:$A$16,0)),1),2))))</f>
        <v/>
      </c>
      <c r="Z337" s="98">
        <f>IF(B337="","",SUMIFS('MILEAGE'!$J$5:$J$1504,'MILEAGE'!$B$5:$B$1504,A337))</f>
        <v/>
      </c>
      <c r="AA337" s="55">
        <f>IF(B337="","",ROUND(Z337*MileRate,2))</f>
        <v/>
      </c>
      <c r="AB337" s="55">
        <f>IF(B337="","",SUMIFS('REVENUE'!$J$5:$J$1504,'REVENUE'!$B$5:$B$1504,A337))</f>
        <v/>
      </c>
      <c r="AC337" s="55">
        <f>IF(L337="","",IF(OR(O337="Cancelled",O337="No-Show"),"",L337-N(X337)-N(Y337)-AA337-AB337))</f>
        <v/>
      </c>
      <c r="AD337" s="99">
        <f>IF(OR(AC337="",N(L337)=0),"",AC337/L337)</f>
        <v/>
      </c>
      <c r="AE337" s="55">
        <f>IF(OR(AC337="",N(R337)=0),"",L337/R337)</f>
        <v/>
      </c>
      <c r="AF337" s="100">
        <f>IF(OR(N(K337)=0,N(J337)+N(Q337)=0),"",K337-IF(N(J337)&gt;0,J337,Q337))</f>
        <v/>
      </c>
      <c r="AG337" s="99">
        <f>IF(B337="","",IFERROR(AVERAGEIFS('QUALITY CONTROL'!$M$5:$M$304,'QUALITY CONTROL'!$B$5:$B$304,A337),""))</f>
        <v/>
      </c>
      <c r="AH337" s="51">
        <f>IF(B337="","",DATE(YEAR(B337),MONTH(B337),1))</f>
        <v/>
      </c>
      <c r="AI337" s="49">
        <f>IF(D337="","",IFERROR(INDEX('CUSTOMERS'!$E$5:$E$404,MATCH(D337,'CUSTOMERS'!$B$5:$B$404,0)),""))</f>
        <v/>
      </c>
      <c r="AJ337" s="49">
        <f>IF(B337="","",N(C337))</f>
        <v/>
      </c>
      <c r="AK337" s="49">
        <f>IF(OR(B337="",O337="Cancelled",O337="Rescheduled"),"",B337&amp;"|"&amp;(COUNTIFS('JOBS'!$B$5:$B$1504,B337,'JOBS'!$AJ$5:$AJ$1504,"&lt;"&amp;AJ337,'JOBS'!$O$5:$O$1504,"&lt;&gt;Cancelled",'JOBS'!$O$5:$O$1504,"&lt;&gt;Rescheduled")+COUNTIFS($B$5:B337,B337,$AJ$5:AJ337,AJ337,$O$5:O337,"&lt;&gt;Cancelled",$O$5:O337,"&lt;&gt;Rescheduled")))</f>
        <v/>
      </c>
      <c r="AL337" s="49">
        <f>IF(N(U337)&lt;=0.005,"",COUNTIFS('JOBS'!$U$5:$U$1504,"&gt;0.005",'JOBS'!$B$5:$B$1504,"&lt;"&amp;B337)+COUNTIFS($U$5:U337,"&gt;0.005",$B$5:B337,B337))</f>
        <v/>
      </c>
    </row>
    <row r="338">
      <c r="A338" s="46" t="inlineStr">
        <is>
          <t>J-0334</t>
        </is>
      </c>
      <c r="B338" s="47" t="n"/>
      <c r="C338" s="94" t="n"/>
      <c r="D338" s="38" t="n"/>
      <c r="E338" s="38" t="n"/>
      <c r="F338" s="38" t="n"/>
      <c r="G338" s="38" t="n"/>
      <c r="H338" s="38" t="n"/>
      <c r="I338" s="57" t="n"/>
      <c r="J338" s="95" t="n"/>
      <c r="K338" s="95" t="n"/>
      <c r="L338" s="48" t="n"/>
      <c r="M338" s="96" t="n"/>
      <c r="N338" s="48" t="n"/>
      <c r="O338" s="38" t="n"/>
      <c r="P338" s="38" t="n"/>
      <c r="Q338" s="97">
        <f>IF(OR(F338="",E338=""),"",IFERROR(IF(INDEX('PROPERTIES'!$F$5:$F$404,MATCH(E338,'PROPERTIES'!$B$5:$B$404,0))=0,"",ROUND((INDEX('PROPERTIES'!$F$5:$F$404,MATCH(E338,'PROPERTIES'!$B$5:$B$404,0))/INDEX('PRICING'!$C$7:$C$16,MATCH(F338,'PRICING'!$A$7:$A$16,0))+INDEX('PROPERTIES'!$G$5:$G$404,MATCH(E338,'PROPERTIES'!$B$5:$B$404,0))*INDEX('PRICING'!$D$7:$D$16,MATCH(F338,'PRICING'!$A$7:$A$16,0))/60+INDEX('PROPERTIES'!$H$5:$H$404,MATCH(E338,'PROPERTIES'!$B$5:$B$404,0))*INDEX('PRICING'!$E$7:$E$16,MATCH(F338,'PRICING'!$A$7:$A$16,0))/60+INDEX('PRICING'!$F$7:$F$16,MATCH(F338,'PRICING'!$A$7:$A$16,0))/60),2)),""))</f>
        <v/>
      </c>
      <c r="R338" s="97">
        <f>IF(B338="","",IF(N(K338)&gt;0,K338,IF(N(J338)&gt;0,J338,N(Q338))))</f>
        <v/>
      </c>
      <c r="S338" s="55">
        <f>IF(L338="","",ROUND(L338*(1+N(M338)),2))</f>
        <v/>
      </c>
      <c r="T338" s="55">
        <f>IF(B338="","",SUMIFS('REVENUE'!$C$5:$C$1504,'REVENUE'!$B$5:$B$1504,A338))</f>
        <v/>
      </c>
      <c r="U338" s="55">
        <f>IF(B338="","",IF(O338="Completed",MAX(0,N(S338)-T338),""))</f>
        <v/>
      </c>
      <c r="V338" s="49">
        <f>IF(B338="","",IF(O338&lt;&gt;"Completed",IF(T338&gt;0,"Deposit","—"),IF(U338&lt;=0.005,"Paid",IF(T338&gt;0,"Partial","Unpaid"))))</f>
        <v/>
      </c>
      <c r="W338" s="55">
        <f>IF(B338="","",IFERROR(1/(1/INDEX('STAFF &amp; TASKS'!$C$5:$C$24,MATCH(H338,'STAFF &amp; TASKS'!$A$5:$A$24,0))),PayRate))</f>
        <v/>
      </c>
      <c r="X338" s="55">
        <f>IF(B338="","",IF(OR(O338="Cancelled",O338="No-Show"),"",ROUND(R338*W338*(1+Burden),2)))</f>
        <v/>
      </c>
      <c r="Y338" s="55">
        <f>IF(B338="","",IF(OR(O338="Cancelled",O338="No-Show"),"",IF(N338&lt;&gt;"",N338,ROUND(R338*SupHr*IFERROR(INDEX('PRICING'!$G$7:$G$16,MATCH(F338,'PRICING'!$A$7:$A$16,0)),1),2))))</f>
        <v/>
      </c>
      <c r="Z338" s="98">
        <f>IF(B338="","",SUMIFS('MILEAGE'!$J$5:$J$1504,'MILEAGE'!$B$5:$B$1504,A338))</f>
        <v/>
      </c>
      <c r="AA338" s="55">
        <f>IF(B338="","",ROUND(Z338*MileRate,2))</f>
        <v/>
      </c>
      <c r="AB338" s="55">
        <f>IF(B338="","",SUMIFS('REVENUE'!$J$5:$J$1504,'REVENUE'!$B$5:$B$1504,A338))</f>
        <v/>
      </c>
      <c r="AC338" s="55">
        <f>IF(L338="","",IF(OR(O338="Cancelled",O338="No-Show"),"",L338-N(X338)-N(Y338)-AA338-AB338))</f>
        <v/>
      </c>
      <c r="AD338" s="99">
        <f>IF(OR(AC338="",N(L338)=0),"",AC338/L338)</f>
        <v/>
      </c>
      <c r="AE338" s="55">
        <f>IF(OR(AC338="",N(R338)=0),"",L338/R338)</f>
        <v/>
      </c>
      <c r="AF338" s="100">
        <f>IF(OR(N(K338)=0,N(J338)+N(Q338)=0),"",K338-IF(N(J338)&gt;0,J338,Q338))</f>
        <v/>
      </c>
      <c r="AG338" s="99">
        <f>IF(B338="","",IFERROR(AVERAGEIFS('QUALITY CONTROL'!$M$5:$M$304,'QUALITY CONTROL'!$B$5:$B$304,A338),""))</f>
        <v/>
      </c>
      <c r="AH338" s="51">
        <f>IF(B338="","",DATE(YEAR(B338),MONTH(B338),1))</f>
        <v/>
      </c>
      <c r="AI338" s="49">
        <f>IF(D338="","",IFERROR(INDEX('CUSTOMERS'!$E$5:$E$404,MATCH(D338,'CUSTOMERS'!$B$5:$B$404,0)),""))</f>
        <v/>
      </c>
      <c r="AJ338" s="49">
        <f>IF(B338="","",N(C338))</f>
        <v/>
      </c>
      <c r="AK338" s="49">
        <f>IF(OR(B338="",O338="Cancelled",O338="Rescheduled"),"",B338&amp;"|"&amp;(COUNTIFS('JOBS'!$B$5:$B$1504,B338,'JOBS'!$AJ$5:$AJ$1504,"&lt;"&amp;AJ338,'JOBS'!$O$5:$O$1504,"&lt;&gt;Cancelled",'JOBS'!$O$5:$O$1504,"&lt;&gt;Rescheduled")+COUNTIFS($B$5:B338,B338,$AJ$5:AJ338,AJ338,$O$5:O338,"&lt;&gt;Cancelled",$O$5:O338,"&lt;&gt;Rescheduled")))</f>
        <v/>
      </c>
      <c r="AL338" s="49">
        <f>IF(N(U338)&lt;=0.005,"",COUNTIFS('JOBS'!$U$5:$U$1504,"&gt;0.005",'JOBS'!$B$5:$B$1504,"&lt;"&amp;B338)+COUNTIFS($U$5:U338,"&gt;0.005",$B$5:B338,B338))</f>
        <v/>
      </c>
    </row>
    <row r="339">
      <c r="A339" s="46" t="inlineStr">
        <is>
          <t>J-0335</t>
        </is>
      </c>
      <c r="B339" s="47" t="n"/>
      <c r="C339" s="94" t="n"/>
      <c r="D339" s="38" t="n"/>
      <c r="E339" s="38" t="n"/>
      <c r="F339" s="38" t="n"/>
      <c r="G339" s="38" t="n"/>
      <c r="H339" s="38" t="n"/>
      <c r="I339" s="57" t="n"/>
      <c r="J339" s="95" t="n"/>
      <c r="K339" s="95" t="n"/>
      <c r="L339" s="48" t="n"/>
      <c r="M339" s="96" t="n"/>
      <c r="N339" s="48" t="n"/>
      <c r="O339" s="38" t="n"/>
      <c r="P339" s="38" t="n"/>
      <c r="Q339" s="97">
        <f>IF(OR(F339="",E339=""),"",IFERROR(IF(INDEX('PROPERTIES'!$F$5:$F$404,MATCH(E339,'PROPERTIES'!$B$5:$B$404,0))=0,"",ROUND((INDEX('PROPERTIES'!$F$5:$F$404,MATCH(E339,'PROPERTIES'!$B$5:$B$404,0))/INDEX('PRICING'!$C$7:$C$16,MATCH(F339,'PRICING'!$A$7:$A$16,0))+INDEX('PROPERTIES'!$G$5:$G$404,MATCH(E339,'PROPERTIES'!$B$5:$B$404,0))*INDEX('PRICING'!$D$7:$D$16,MATCH(F339,'PRICING'!$A$7:$A$16,0))/60+INDEX('PROPERTIES'!$H$5:$H$404,MATCH(E339,'PROPERTIES'!$B$5:$B$404,0))*INDEX('PRICING'!$E$7:$E$16,MATCH(F339,'PRICING'!$A$7:$A$16,0))/60+INDEX('PRICING'!$F$7:$F$16,MATCH(F339,'PRICING'!$A$7:$A$16,0))/60),2)),""))</f>
        <v/>
      </c>
      <c r="R339" s="97">
        <f>IF(B339="","",IF(N(K339)&gt;0,K339,IF(N(J339)&gt;0,J339,N(Q339))))</f>
        <v/>
      </c>
      <c r="S339" s="55">
        <f>IF(L339="","",ROUND(L339*(1+N(M339)),2))</f>
        <v/>
      </c>
      <c r="T339" s="55">
        <f>IF(B339="","",SUMIFS('REVENUE'!$C$5:$C$1504,'REVENUE'!$B$5:$B$1504,A339))</f>
        <v/>
      </c>
      <c r="U339" s="55">
        <f>IF(B339="","",IF(O339="Completed",MAX(0,N(S339)-T339),""))</f>
        <v/>
      </c>
      <c r="V339" s="49">
        <f>IF(B339="","",IF(O339&lt;&gt;"Completed",IF(T339&gt;0,"Deposit","—"),IF(U339&lt;=0.005,"Paid",IF(T339&gt;0,"Partial","Unpaid"))))</f>
        <v/>
      </c>
      <c r="W339" s="55">
        <f>IF(B339="","",IFERROR(1/(1/INDEX('STAFF &amp; TASKS'!$C$5:$C$24,MATCH(H339,'STAFF &amp; TASKS'!$A$5:$A$24,0))),PayRate))</f>
        <v/>
      </c>
      <c r="X339" s="55">
        <f>IF(B339="","",IF(OR(O339="Cancelled",O339="No-Show"),"",ROUND(R339*W339*(1+Burden),2)))</f>
        <v/>
      </c>
      <c r="Y339" s="55">
        <f>IF(B339="","",IF(OR(O339="Cancelled",O339="No-Show"),"",IF(N339&lt;&gt;"",N339,ROUND(R339*SupHr*IFERROR(INDEX('PRICING'!$G$7:$G$16,MATCH(F339,'PRICING'!$A$7:$A$16,0)),1),2))))</f>
        <v/>
      </c>
      <c r="Z339" s="98">
        <f>IF(B339="","",SUMIFS('MILEAGE'!$J$5:$J$1504,'MILEAGE'!$B$5:$B$1504,A339))</f>
        <v/>
      </c>
      <c r="AA339" s="55">
        <f>IF(B339="","",ROUND(Z339*MileRate,2))</f>
        <v/>
      </c>
      <c r="AB339" s="55">
        <f>IF(B339="","",SUMIFS('REVENUE'!$J$5:$J$1504,'REVENUE'!$B$5:$B$1504,A339))</f>
        <v/>
      </c>
      <c r="AC339" s="55">
        <f>IF(L339="","",IF(OR(O339="Cancelled",O339="No-Show"),"",L339-N(X339)-N(Y339)-AA339-AB339))</f>
        <v/>
      </c>
      <c r="AD339" s="99">
        <f>IF(OR(AC339="",N(L339)=0),"",AC339/L339)</f>
        <v/>
      </c>
      <c r="AE339" s="55">
        <f>IF(OR(AC339="",N(R339)=0),"",L339/R339)</f>
        <v/>
      </c>
      <c r="AF339" s="100">
        <f>IF(OR(N(K339)=0,N(J339)+N(Q339)=0),"",K339-IF(N(J339)&gt;0,J339,Q339))</f>
        <v/>
      </c>
      <c r="AG339" s="99">
        <f>IF(B339="","",IFERROR(AVERAGEIFS('QUALITY CONTROL'!$M$5:$M$304,'QUALITY CONTROL'!$B$5:$B$304,A339),""))</f>
        <v/>
      </c>
      <c r="AH339" s="51">
        <f>IF(B339="","",DATE(YEAR(B339),MONTH(B339),1))</f>
        <v/>
      </c>
      <c r="AI339" s="49">
        <f>IF(D339="","",IFERROR(INDEX('CUSTOMERS'!$E$5:$E$404,MATCH(D339,'CUSTOMERS'!$B$5:$B$404,0)),""))</f>
        <v/>
      </c>
      <c r="AJ339" s="49">
        <f>IF(B339="","",N(C339))</f>
        <v/>
      </c>
      <c r="AK339" s="49">
        <f>IF(OR(B339="",O339="Cancelled",O339="Rescheduled"),"",B339&amp;"|"&amp;(COUNTIFS('JOBS'!$B$5:$B$1504,B339,'JOBS'!$AJ$5:$AJ$1504,"&lt;"&amp;AJ339,'JOBS'!$O$5:$O$1504,"&lt;&gt;Cancelled",'JOBS'!$O$5:$O$1504,"&lt;&gt;Rescheduled")+COUNTIFS($B$5:B339,B339,$AJ$5:AJ339,AJ339,$O$5:O339,"&lt;&gt;Cancelled",$O$5:O339,"&lt;&gt;Rescheduled")))</f>
        <v/>
      </c>
      <c r="AL339" s="49">
        <f>IF(N(U339)&lt;=0.005,"",COUNTIFS('JOBS'!$U$5:$U$1504,"&gt;0.005",'JOBS'!$B$5:$B$1504,"&lt;"&amp;B339)+COUNTIFS($U$5:U339,"&gt;0.005",$B$5:B339,B339))</f>
        <v/>
      </c>
    </row>
    <row r="340">
      <c r="A340" s="46" t="inlineStr">
        <is>
          <t>J-0336</t>
        </is>
      </c>
      <c r="B340" s="47" t="n"/>
      <c r="C340" s="94" t="n"/>
      <c r="D340" s="38" t="n"/>
      <c r="E340" s="38" t="n"/>
      <c r="F340" s="38" t="n"/>
      <c r="G340" s="38" t="n"/>
      <c r="H340" s="38" t="n"/>
      <c r="I340" s="57" t="n"/>
      <c r="J340" s="95" t="n"/>
      <c r="K340" s="95" t="n"/>
      <c r="L340" s="48" t="n"/>
      <c r="M340" s="96" t="n"/>
      <c r="N340" s="48" t="n"/>
      <c r="O340" s="38" t="n"/>
      <c r="P340" s="38" t="n"/>
      <c r="Q340" s="97">
        <f>IF(OR(F340="",E340=""),"",IFERROR(IF(INDEX('PROPERTIES'!$F$5:$F$404,MATCH(E340,'PROPERTIES'!$B$5:$B$404,0))=0,"",ROUND((INDEX('PROPERTIES'!$F$5:$F$404,MATCH(E340,'PROPERTIES'!$B$5:$B$404,0))/INDEX('PRICING'!$C$7:$C$16,MATCH(F340,'PRICING'!$A$7:$A$16,0))+INDEX('PROPERTIES'!$G$5:$G$404,MATCH(E340,'PROPERTIES'!$B$5:$B$404,0))*INDEX('PRICING'!$D$7:$D$16,MATCH(F340,'PRICING'!$A$7:$A$16,0))/60+INDEX('PROPERTIES'!$H$5:$H$404,MATCH(E340,'PROPERTIES'!$B$5:$B$404,0))*INDEX('PRICING'!$E$7:$E$16,MATCH(F340,'PRICING'!$A$7:$A$16,0))/60+INDEX('PRICING'!$F$7:$F$16,MATCH(F340,'PRICING'!$A$7:$A$16,0))/60),2)),""))</f>
        <v/>
      </c>
      <c r="R340" s="97">
        <f>IF(B340="","",IF(N(K340)&gt;0,K340,IF(N(J340)&gt;0,J340,N(Q340))))</f>
        <v/>
      </c>
      <c r="S340" s="55">
        <f>IF(L340="","",ROUND(L340*(1+N(M340)),2))</f>
        <v/>
      </c>
      <c r="T340" s="55">
        <f>IF(B340="","",SUMIFS('REVENUE'!$C$5:$C$1504,'REVENUE'!$B$5:$B$1504,A340))</f>
        <v/>
      </c>
      <c r="U340" s="55">
        <f>IF(B340="","",IF(O340="Completed",MAX(0,N(S340)-T340),""))</f>
        <v/>
      </c>
      <c r="V340" s="49">
        <f>IF(B340="","",IF(O340&lt;&gt;"Completed",IF(T340&gt;0,"Deposit","—"),IF(U340&lt;=0.005,"Paid",IF(T340&gt;0,"Partial","Unpaid"))))</f>
        <v/>
      </c>
      <c r="W340" s="55">
        <f>IF(B340="","",IFERROR(1/(1/INDEX('STAFF &amp; TASKS'!$C$5:$C$24,MATCH(H340,'STAFF &amp; TASKS'!$A$5:$A$24,0))),PayRate))</f>
        <v/>
      </c>
      <c r="X340" s="55">
        <f>IF(B340="","",IF(OR(O340="Cancelled",O340="No-Show"),"",ROUND(R340*W340*(1+Burden),2)))</f>
        <v/>
      </c>
      <c r="Y340" s="55">
        <f>IF(B340="","",IF(OR(O340="Cancelled",O340="No-Show"),"",IF(N340&lt;&gt;"",N340,ROUND(R340*SupHr*IFERROR(INDEX('PRICING'!$G$7:$G$16,MATCH(F340,'PRICING'!$A$7:$A$16,0)),1),2))))</f>
        <v/>
      </c>
      <c r="Z340" s="98">
        <f>IF(B340="","",SUMIFS('MILEAGE'!$J$5:$J$1504,'MILEAGE'!$B$5:$B$1504,A340))</f>
        <v/>
      </c>
      <c r="AA340" s="55">
        <f>IF(B340="","",ROUND(Z340*MileRate,2))</f>
        <v/>
      </c>
      <c r="AB340" s="55">
        <f>IF(B340="","",SUMIFS('REVENUE'!$J$5:$J$1504,'REVENUE'!$B$5:$B$1504,A340))</f>
        <v/>
      </c>
      <c r="AC340" s="55">
        <f>IF(L340="","",IF(OR(O340="Cancelled",O340="No-Show"),"",L340-N(X340)-N(Y340)-AA340-AB340))</f>
        <v/>
      </c>
      <c r="AD340" s="99">
        <f>IF(OR(AC340="",N(L340)=0),"",AC340/L340)</f>
        <v/>
      </c>
      <c r="AE340" s="55">
        <f>IF(OR(AC340="",N(R340)=0),"",L340/R340)</f>
        <v/>
      </c>
      <c r="AF340" s="100">
        <f>IF(OR(N(K340)=0,N(J340)+N(Q340)=0),"",K340-IF(N(J340)&gt;0,J340,Q340))</f>
        <v/>
      </c>
      <c r="AG340" s="99">
        <f>IF(B340="","",IFERROR(AVERAGEIFS('QUALITY CONTROL'!$M$5:$M$304,'QUALITY CONTROL'!$B$5:$B$304,A340),""))</f>
        <v/>
      </c>
      <c r="AH340" s="51">
        <f>IF(B340="","",DATE(YEAR(B340),MONTH(B340),1))</f>
        <v/>
      </c>
      <c r="AI340" s="49">
        <f>IF(D340="","",IFERROR(INDEX('CUSTOMERS'!$E$5:$E$404,MATCH(D340,'CUSTOMERS'!$B$5:$B$404,0)),""))</f>
        <v/>
      </c>
      <c r="AJ340" s="49">
        <f>IF(B340="","",N(C340))</f>
        <v/>
      </c>
      <c r="AK340" s="49">
        <f>IF(OR(B340="",O340="Cancelled",O340="Rescheduled"),"",B340&amp;"|"&amp;(COUNTIFS('JOBS'!$B$5:$B$1504,B340,'JOBS'!$AJ$5:$AJ$1504,"&lt;"&amp;AJ340,'JOBS'!$O$5:$O$1504,"&lt;&gt;Cancelled",'JOBS'!$O$5:$O$1504,"&lt;&gt;Rescheduled")+COUNTIFS($B$5:B340,B340,$AJ$5:AJ340,AJ340,$O$5:O340,"&lt;&gt;Cancelled",$O$5:O340,"&lt;&gt;Rescheduled")))</f>
        <v/>
      </c>
      <c r="AL340" s="49">
        <f>IF(N(U340)&lt;=0.005,"",COUNTIFS('JOBS'!$U$5:$U$1504,"&gt;0.005",'JOBS'!$B$5:$B$1504,"&lt;"&amp;B340)+COUNTIFS($U$5:U340,"&gt;0.005",$B$5:B340,B340))</f>
        <v/>
      </c>
    </row>
    <row r="341">
      <c r="A341" s="46" t="inlineStr">
        <is>
          <t>J-0337</t>
        </is>
      </c>
      <c r="B341" s="47" t="n"/>
      <c r="C341" s="94" t="n"/>
      <c r="D341" s="38" t="n"/>
      <c r="E341" s="38" t="n"/>
      <c r="F341" s="38" t="n"/>
      <c r="G341" s="38" t="n"/>
      <c r="H341" s="38" t="n"/>
      <c r="I341" s="57" t="n"/>
      <c r="J341" s="95" t="n"/>
      <c r="K341" s="95" t="n"/>
      <c r="L341" s="48" t="n"/>
      <c r="M341" s="96" t="n"/>
      <c r="N341" s="48" t="n"/>
      <c r="O341" s="38" t="n"/>
      <c r="P341" s="38" t="n"/>
      <c r="Q341" s="97">
        <f>IF(OR(F341="",E341=""),"",IFERROR(IF(INDEX('PROPERTIES'!$F$5:$F$404,MATCH(E341,'PROPERTIES'!$B$5:$B$404,0))=0,"",ROUND((INDEX('PROPERTIES'!$F$5:$F$404,MATCH(E341,'PROPERTIES'!$B$5:$B$404,0))/INDEX('PRICING'!$C$7:$C$16,MATCH(F341,'PRICING'!$A$7:$A$16,0))+INDEX('PROPERTIES'!$G$5:$G$404,MATCH(E341,'PROPERTIES'!$B$5:$B$404,0))*INDEX('PRICING'!$D$7:$D$16,MATCH(F341,'PRICING'!$A$7:$A$16,0))/60+INDEX('PROPERTIES'!$H$5:$H$404,MATCH(E341,'PROPERTIES'!$B$5:$B$404,0))*INDEX('PRICING'!$E$7:$E$16,MATCH(F341,'PRICING'!$A$7:$A$16,0))/60+INDEX('PRICING'!$F$7:$F$16,MATCH(F341,'PRICING'!$A$7:$A$16,0))/60),2)),""))</f>
        <v/>
      </c>
      <c r="R341" s="97">
        <f>IF(B341="","",IF(N(K341)&gt;0,K341,IF(N(J341)&gt;0,J341,N(Q341))))</f>
        <v/>
      </c>
      <c r="S341" s="55">
        <f>IF(L341="","",ROUND(L341*(1+N(M341)),2))</f>
        <v/>
      </c>
      <c r="T341" s="55">
        <f>IF(B341="","",SUMIFS('REVENUE'!$C$5:$C$1504,'REVENUE'!$B$5:$B$1504,A341))</f>
        <v/>
      </c>
      <c r="U341" s="55">
        <f>IF(B341="","",IF(O341="Completed",MAX(0,N(S341)-T341),""))</f>
        <v/>
      </c>
      <c r="V341" s="49">
        <f>IF(B341="","",IF(O341&lt;&gt;"Completed",IF(T341&gt;0,"Deposit","—"),IF(U341&lt;=0.005,"Paid",IF(T341&gt;0,"Partial","Unpaid"))))</f>
        <v/>
      </c>
      <c r="W341" s="55">
        <f>IF(B341="","",IFERROR(1/(1/INDEX('STAFF &amp; TASKS'!$C$5:$C$24,MATCH(H341,'STAFF &amp; TASKS'!$A$5:$A$24,0))),PayRate))</f>
        <v/>
      </c>
      <c r="X341" s="55">
        <f>IF(B341="","",IF(OR(O341="Cancelled",O341="No-Show"),"",ROUND(R341*W341*(1+Burden),2)))</f>
        <v/>
      </c>
      <c r="Y341" s="55">
        <f>IF(B341="","",IF(OR(O341="Cancelled",O341="No-Show"),"",IF(N341&lt;&gt;"",N341,ROUND(R341*SupHr*IFERROR(INDEX('PRICING'!$G$7:$G$16,MATCH(F341,'PRICING'!$A$7:$A$16,0)),1),2))))</f>
        <v/>
      </c>
      <c r="Z341" s="98">
        <f>IF(B341="","",SUMIFS('MILEAGE'!$J$5:$J$1504,'MILEAGE'!$B$5:$B$1504,A341))</f>
        <v/>
      </c>
      <c r="AA341" s="55">
        <f>IF(B341="","",ROUND(Z341*MileRate,2))</f>
        <v/>
      </c>
      <c r="AB341" s="55">
        <f>IF(B341="","",SUMIFS('REVENUE'!$J$5:$J$1504,'REVENUE'!$B$5:$B$1504,A341))</f>
        <v/>
      </c>
      <c r="AC341" s="55">
        <f>IF(L341="","",IF(OR(O341="Cancelled",O341="No-Show"),"",L341-N(X341)-N(Y341)-AA341-AB341))</f>
        <v/>
      </c>
      <c r="AD341" s="99">
        <f>IF(OR(AC341="",N(L341)=0),"",AC341/L341)</f>
        <v/>
      </c>
      <c r="AE341" s="55">
        <f>IF(OR(AC341="",N(R341)=0),"",L341/R341)</f>
        <v/>
      </c>
      <c r="AF341" s="100">
        <f>IF(OR(N(K341)=0,N(J341)+N(Q341)=0),"",K341-IF(N(J341)&gt;0,J341,Q341))</f>
        <v/>
      </c>
      <c r="AG341" s="99">
        <f>IF(B341="","",IFERROR(AVERAGEIFS('QUALITY CONTROL'!$M$5:$M$304,'QUALITY CONTROL'!$B$5:$B$304,A341),""))</f>
        <v/>
      </c>
      <c r="AH341" s="51">
        <f>IF(B341="","",DATE(YEAR(B341),MONTH(B341),1))</f>
        <v/>
      </c>
      <c r="AI341" s="49">
        <f>IF(D341="","",IFERROR(INDEX('CUSTOMERS'!$E$5:$E$404,MATCH(D341,'CUSTOMERS'!$B$5:$B$404,0)),""))</f>
        <v/>
      </c>
      <c r="AJ341" s="49">
        <f>IF(B341="","",N(C341))</f>
        <v/>
      </c>
      <c r="AK341" s="49">
        <f>IF(OR(B341="",O341="Cancelled",O341="Rescheduled"),"",B341&amp;"|"&amp;(COUNTIFS('JOBS'!$B$5:$B$1504,B341,'JOBS'!$AJ$5:$AJ$1504,"&lt;"&amp;AJ341,'JOBS'!$O$5:$O$1504,"&lt;&gt;Cancelled",'JOBS'!$O$5:$O$1504,"&lt;&gt;Rescheduled")+COUNTIFS($B$5:B341,B341,$AJ$5:AJ341,AJ341,$O$5:O341,"&lt;&gt;Cancelled",$O$5:O341,"&lt;&gt;Rescheduled")))</f>
        <v/>
      </c>
      <c r="AL341" s="49">
        <f>IF(N(U341)&lt;=0.005,"",COUNTIFS('JOBS'!$U$5:$U$1504,"&gt;0.005",'JOBS'!$B$5:$B$1504,"&lt;"&amp;B341)+COUNTIFS($U$5:U341,"&gt;0.005",$B$5:B341,B341))</f>
        <v/>
      </c>
    </row>
    <row r="342">
      <c r="A342" s="46" t="inlineStr">
        <is>
          <t>J-0338</t>
        </is>
      </c>
      <c r="B342" s="47" t="n"/>
      <c r="C342" s="94" t="n"/>
      <c r="D342" s="38" t="n"/>
      <c r="E342" s="38" t="n"/>
      <c r="F342" s="38" t="n"/>
      <c r="G342" s="38" t="n"/>
      <c r="H342" s="38" t="n"/>
      <c r="I342" s="57" t="n"/>
      <c r="J342" s="95" t="n"/>
      <c r="K342" s="95" t="n"/>
      <c r="L342" s="48" t="n"/>
      <c r="M342" s="96" t="n"/>
      <c r="N342" s="48" t="n"/>
      <c r="O342" s="38" t="n"/>
      <c r="P342" s="38" t="n"/>
      <c r="Q342" s="97">
        <f>IF(OR(F342="",E342=""),"",IFERROR(IF(INDEX('PROPERTIES'!$F$5:$F$404,MATCH(E342,'PROPERTIES'!$B$5:$B$404,0))=0,"",ROUND((INDEX('PROPERTIES'!$F$5:$F$404,MATCH(E342,'PROPERTIES'!$B$5:$B$404,0))/INDEX('PRICING'!$C$7:$C$16,MATCH(F342,'PRICING'!$A$7:$A$16,0))+INDEX('PROPERTIES'!$G$5:$G$404,MATCH(E342,'PROPERTIES'!$B$5:$B$404,0))*INDEX('PRICING'!$D$7:$D$16,MATCH(F342,'PRICING'!$A$7:$A$16,0))/60+INDEX('PROPERTIES'!$H$5:$H$404,MATCH(E342,'PROPERTIES'!$B$5:$B$404,0))*INDEX('PRICING'!$E$7:$E$16,MATCH(F342,'PRICING'!$A$7:$A$16,0))/60+INDEX('PRICING'!$F$7:$F$16,MATCH(F342,'PRICING'!$A$7:$A$16,0))/60),2)),""))</f>
        <v/>
      </c>
      <c r="R342" s="97">
        <f>IF(B342="","",IF(N(K342)&gt;0,K342,IF(N(J342)&gt;0,J342,N(Q342))))</f>
        <v/>
      </c>
      <c r="S342" s="55">
        <f>IF(L342="","",ROUND(L342*(1+N(M342)),2))</f>
        <v/>
      </c>
      <c r="T342" s="55">
        <f>IF(B342="","",SUMIFS('REVENUE'!$C$5:$C$1504,'REVENUE'!$B$5:$B$1504,A342))</f>
        <v/>
      </c>
      <c r="U342" s="55">
        <f>IF(B342="","",IF(O342="Completed",MAX(0,N(S342)-T342),""))</f>
        <v/>
      </c>
      <c r="V342" s="49">
        <f>IF(B342="","",IF(O342&lt;&gt;"Completed",IF(T342&gt;0,"Deposit","—"),IF(U342&lt;=0.005,"Paid",IF(T342&gt;0,"Partial","Unpaid"))))</f>
        <v/>
      </c>
      <c r="W342" s="55">
        <f>IF(B342="","",IFERROR(1/(1/INDEX('STAFF &amp; TASKS'!$C$5:$C$24,MATCH(H342,'STAFF &amp; TASKS'!$A$5:$A$24,0))),PayRate))</f>
        <v/>
      </c>
      <c r="X342" s="55">
        <f>IF(B342="","",IF(OR(O342="Cancelled",O342="No-Show"),"",ROUND(R342*W342*(1+Burden),2)))</f>
        <v/>
      </c>
      <c r="Y342" s="55">
        <f>IF(B342="","",IF(OR(O342="Cancelled",O342="No-Show"),"",IF(N342&lt;&gt;"",N342,ROUND(R342*SupHr*IFERROR(INDEX('PRICING'!$G$7:$G$16,MATCH(F342,'PRICING'!$A$7:$A$16,0)),1),2))))</f>
        <v/>
      </c>
      <c r="Z342" s="98">
        <f>IF(B342="","",SUMIFS('MILEAGE'!$J$5:$J$1504,'MILEAGE'!$B$5:$B$1504,A342))</f>
        <v/>
      </c>
      <c r="AA342" s="55">
        <f>IF(B342="","",ROUND(Z342*MileRate,2))</f>
        <v/>
      </c>
      <c r="AB342" s="55">
        <f>IF(B342="","",SUMIFS('REVENUE'!$J$5:$J$1504,'REVENUE'!$B$5:$B$1504,A342))</f>
        <v/>
      </c>
      <c r="AC342" s="55">
        <f>IF(L342="","",IF(OR(O342="Cancelled",O342="No-Show"),"",L342-N(X342)-N(Y342)-AA342-AB342))</f>
        <v/>
      </c>
      <c r="AD342" s="99">
        <f>IF(OR(AC342="",N(L342)=0),"",AC342/L342)</f>
        <v/>
      </c>
      <c r="AE342" s="55">
        <f>IF(OR(AC342="",N(R342)=0),"",L342/R342)</f>
        <v/>
      </c>
      <c r="AF342" s="100">
        <f>IF(OR(N(K342)=0,N(J342)+N(Q342)=0),"",K342-IF(N(J342)&gt;0,J342,Q342))</f>
        <v/>
      </c>
      <c r="AG342" s="99">
        <f>IF(B342="","",IFERROR(AVERAGEIFS('QUALITY CONTROL'!$M$5:$M$304,'QUALITY CONTROL'!$B$5:$B$304,A342),""))</f>
        <v/>
      </c>
      <c r="AH342" s="51">
        <f>IF(B342="","",DATE(YEAR(B342),MONTH(B342),1))</f>
        <v/>
      </c>
      <c r="AI342" s="49">
        <f>IF(D342="","",IFERROR(INDEX('CUSTOMERS'!$E$5:$E$404,MATCH(D342,'CUSTOMERS'!$B$5:$B$404,0)),""))</f>
        <v/>
      </c>
      <c r="AJ342" s="49">
        <f>IF(B342="","",N(C342))</f>
        <v/>
      </c>
      <c r="AK342" s="49">
        <f>IF(OR(B342="",O342="Cancelled",O342="Rescheduled"),"",B342&amp;"|"&amp;(COUNTIFS('JOBS'!$B$5:$B$1504,B342,'JOBS'!$AJ$5:$AJ$1504,"&lt;"&amp;AJ342,'JOBS'!$O$5:$O$1504,"&lt;&gt;Cancelled",'JOBS'!$O$5:$O$1504,"&lt;&gt;Rescheduled")+COUNTIFS($B$5:B342,B342,$AJ$5:AJ342,AJ342,$O$5:O342,"&lt;&gt;Cancelled",$O$5:O342,"&lt;&gt;Rescheduled")))</f>
        <v/>
      </c>
      <c r="AL342" s="49">
        <f>IF(N(U342)&lt;=0.005,"",COUNTIFS('JOBS'!$U$5:$U$1504,"&gt;0.005",'JOBS'!$B$5:$B$1504,"&lt;"&amp;B342)+COUNTIFS($U$5:U342,"&gt;0.005",$B$5:B342,B342))</f>
        <v/>
      </c>
    </row>
    <row r="343">
      <c r="A343" s="46" t="inlineStr">
        <is>
          <t>J-0339</t>
        </is>
      </c>
      <c r="B343" s="47" t="n"/>
      <c r="C343" s="94" t="n"/>
      <c r="D343" s="38" t="n"/>
      <c r="E343" s="38" t="n"/>
      <c r="F343" s="38" t="n"/>
      <c r="G343" s="38" t="n"/>
      <c r="H343" s="38" t="n"/>
      <c r="I343" s="57" t="n"/>
      <c r="J343" s="95" t="n"/>
      <c r="K343" s="95" t="n"/>
      <c r="L343" s="48" t="n"/>
      <c r="M343" s="96" t="n"/>
      <c r="N343" s="48" t="n"/>
      <c r="O343" s="38" t="n"/>
      <c r="P343" s="38" t="n"/>
      <c r="Q343" s="97">
        <f>IF(OR(F343="",E343=""),"",IFERROR(IF(INDEX('PROPERTIES'!$F$5:$F$404,MATCH(E343,'PROPERTIES'!$B$5:$B$404,0))=0,"",ROUND((INDEX('PROPERTIES'!$F$5:$F$404,MATCH(E343,'PROPERTIES'!$B$5:$B$404,0))/INDEX('PRICING'!$C$7:$C$16,MATCH(F343,'PRICING'!$A$7:$A$16,0))+INDEX('PROPERTIES'!$G$5:$G$404,MATCH(E343,'PROPERTIES'!$B$5:$B$404,0))*INDEX('PRICING'!$D$7:$D$16,MATCH(F343,'PRICING'!$A$7:$A$16,0))/60+INDEX('PROPERTIES'!$H$5:$H$404,MATCH(E343,'PROPERTIES'!$B$5:$B$404,0))*INDEX('PRICING'!$E$7:$E$16,MATCH(F343,'PRICING'!$A$7:$A$16,0))/60+INDEX('PRICING'!$F$7:$F$16,MATCH(F343,'PRICING'!$A$7:$A$16,0))/60),2)),""))</f>
        <v/>
      </c>
      <c r="R343" s="97">
        <f>IF(B343="","",IF(N(K343)&gt;0,K343,IF(N(J343)&gt;0,J343,N(Q343))))</f>
        <v/>
      </c>
      <c r="S343" s="55">
        <f>IF(L343="","",ROUND(L343*(1+N(M343)),2))</f>
        <v/>
      </c>
      <c r="T343" s="55">
        <f>IF(B343="","",SUMIFS('REVENUE'!$C$5:$C$1504,'REVENUE'!$B$5:$B$1504,A343))</f>
        <v/>
      </c>
      <c r="U343" s="55">
        <f>IF(B343="","",IF(O343="Completed",MAX(0,N(S343)-T343),""))</f>
        <v/>
      </c>
      <c r="V343" s="49">
        <f>IF(B343="","",IF(O343&lt;&gt;"Completed",IF(T343&gt;0,"Deposit","—"),IF(U343&lt;=0.005,"Paid",IF(T343&gt;0,"Partial","Unpaid"))))</f>
        <v/>
      </c>
      <c r="W343" s="55">
        <f>IF(B343="","",IFERROR(1/(1/INDEX('STAFF &amp; TASKS'!$C$5:$C$24,MATCH(H343,'STAFF &amp; TASKS'!$A$5:$A$24,0))),PayRate))</f>
        <v/>
      </c>
      <c r="X343" s="55">
        <f>IF(B343="","",IF(OR(O343="Cancelled",O343="No-Show"),"",ROUND(R343*W343*(1+Burden),2)))</f>
        <v/>
      </c>
      <c r="Y343" s="55">
        <f>IF(B343="","",IF(OR(O343="Cancelled",O343="No-Show"),"",IF(N343&lt;&gt;"",N343,ROUND(R343*SupHr*IFERROR(INDEX('PRICING'!$G$7:$G$16,MATCH(F343,'PRICING'!$A$7:$A$16,0)),1),2))))</f>
        <v/>
      </c>
      <c r="Z343" s="98">
        <f>IF(B343="","",SUMIFS('MILEAGE'!$J$5:$J$1504,'MILEAGE'!$B$5:$B$1504,A343))</f>
        <v/>
      </c>
      <c r="AA343" s="55">
        <f>IF(B343="","",ROUND(Z343*MileRate,2))</f>
        <v/>
      </c>
      <c r="AB343" s="55">
        <f>IF(B343="","",SUMIFS('REVENUE'!$J$5:$J$1504,'REVENUE'!$B$5:$B$1504,A343))</f>
        <v/>
      </c>
      <c r="AC343" s="55">
        <f>IF(L343="","",IF(OR(O343="Cancelled",O343="No-Show"),"",L343-N(X343)-N(Y343)-AA343-AB343))</f>
        <v/>
      </c>
      <c r="AD343" s="99">
        <f>IF(OR(AC343="",N(L343)=0),"",AC343/L343)</f>
        <v/>
      </c>
      <c r="AE343" s="55">
        <f>IF(OR(AC343="",N(R343)=0),"",L343/R343)</f>
        <v/>
      </c>
      <c r="AF343" s="100">
        <f>IF(OR(N(K343)=0,N(J343)+N(Q343)=0),"",K343-IF(N(J343)&gt;0,J343,Q343))</f>
        <v/>
      </c>
      <c r="AG343" s="99">
        <f>IF(B343="","",IFERROR(AVERAGEIFS('QUALITY CONTROL'!$M$5:$M$304,'QUALITY CONTROL'!$B$5:$B$304,A343),""))</f>
        <v/>
      </c>
      <c r="AH343" s="51">
        <f>IF(B343="","",DATE(YEAR(B343),MONTH(B343),1))</f>
        <v/>
      </c>
      <c r="AI343" s="49">
        <f>IF(D343="","",IFERROR(INDEX('CUSTOMERS'!$E$5:$E$404,MATCH(D343,'CUSTOMERS'!$B$5:$B$404,0)),""))</f>
        <v/>
      </c>
      <c r="AJ343" s="49">
        <f>IF(B343="","",N(C343))</f>
        <v/>
      </c>
      <c r="AK343" s="49">
        <f>IF(OR(B343="",O343="Cancelled",O343="Rescheduled"),"",B343&amp;"|"&amp;(COUNTIFS('JOBS'!$B$5:$B$1504,B343,'JOBS'!$AJ$5:$AJ$1504,"&lt;"&amp;AJ343,'JOBS'!$O$5:$O$1504,"&lt;&gt;Cancelled",'JOBS'!$O$5:$O$1504,"&lt;&gt;Rescheduled")+COUNTIFS($B$5:B343,B343,$AJ$5:AJ343,AJ343,$O$5:O343,"&lt;&gt;Cancelled",$O$5:O343,"&lt;&gt;Rescheduled")))</f>
        <v/>
      </c>
      <c r="AL343" s="49">
        <f>IF(N(U343)&lt;=0.005,"",COUNTIFS('JOBS'!$U$5:$U$1504,"&gt;0.005",'JOBS'!$B$5:$B$1504,"&lt;"&amp;B343)+COUNTIFS($U$5:U343,"&gt;0.005",$B$5:B343,B343))</f>
        <v/>
      </c>
    </row>
    <row r="344">
      <c r="A344" s="46" t="inlineStr">
        <is>
          <t>J-0340</t>
        </is>
      </c>
      <c r="B344" s="47" t="n"/>
      <c r="C344" s="94" t="n"/>
      <c r="D344" s="38" t="n"/>
      <c r="E344" s="38" t="n"/>
      <c r="F344" s="38" t="n"/>
      <c r="G344" s="38" t="n"/>
      <c r="H344" s="38" t="n"/>
      <c r="I344" s="57" t="n"/>
      <c r="J344" s="95" t="n"/>
      <c r="K344" s="95" t="n"/>
      <c r="L344" s="48" t="n"/>
      <c r="M344" s="96" t="n"/>
      <c r="N344" s="48" t="n"/>
      <c r="O344" s="38" t="n"/>
      <c r="P344" s="38" t="n"/>
      <c r="Q344" s="97">
        <f>IF(OR(F344="",E344=""),"",IFERROR(IF(INDEX('PROPERTIES'!$F$5:$F$404,MATCH(E344,'PROPERTIES'!$B$5:$B$404,0))=0,"",ROUND((INDEX('PROPERTIES'!$F$5:$F$404,MATCH(E344,'PROPERTIES'!$B$5:$B$404,0))/INDEX('PRICING'!$C$7:$C$16,MATCH(F344,'PRICING'!$A$7:$A$16,0))+INDEX('PROPERTIES'!$G$5:$G$404,MATCH(E344,'PROPERTIES'!$B$5:$B$404,0))*INDEX('PRICING'!$D$7:$D$16,MATCH(F344,'PRICING'!$A$7:$A$16,0))/60+INDEX('PROPERTIES'!$H$5:$H$404,MATCH(E344,'PROPERTIES'!$B$5:$B$404,0))*INDEX('PRICING'!$E$7:$E$16,MATCH(F344,'PRICING'!$A$7:$A$16,0))/60+INDEX('PRICING'!$F$7:$F$16,MATCH(F344,'PRICING'!$A$7:$A$16,0))/60),2)),""))</f>
        <v/>
      </c>
      <c r="R344" s="97">
        <f>IF(B344="","",IF(N(K344)&gt;0,K344,IF(N(J344)&gt;0,J344,N(Q344))))</f>
        <v/>
      </c>
      <c r="S344" s="55">
        <f>IF(L344="","",ROUND(L344*(1+N(M344)),2))</f>
        <v/>
      </c>
      <c r="T344" s="55">
        <f>IF(B344="","",SUMIFS('REVENUE'!$C$5:$C$1504,'REVENUE'!$B$5:$B$1504,A344))</f>
        <v/>
      </c>
      <c r="U344" s="55">
        <f>IF(B344="","",IF(O344="Completed",MAX(0,N(S344)-T344),""))</f>
        <v/>
      </c>
      <c r="V344" s="49">
        <f>IF(B344="","",IF(O344&lt;&gt;"Completed",IF(T344&gt;0,"Deposit","—"),IF(U344&lt;=0.005,"Paid",IF(T344&gt;0,"Partial","Unpaid"))))</f>
        <v/>
      </c>
      <c r="W344" s="55">
        <f>IF(B344="","",IFERROR(1/(1/INDEX('STAFF &amp; TASKS'!$C$5:$C$24,MATCH(H344,'STAFF &amp; TASKS'!$A$5:$A$24,0))),PayRate))</f>
        <v/>
      </c>
      <c r="X344" s="55">
        <f>IF(B344="","",IF(OR(O344="Cancelled",O344="No-Show"),"",ROUND(R344*W344*(1+Burden),2)))</f>
        <v/>
      </c>
      <c r="Y344" s="55">
        <f>IF(B344="","",IF(OR(O344="Cancelled",O344="No-Show"),"",IF(N344&lt;&gt;"",N344,ROUND(R344*SupHr*IFERROR(INDEX('PRICING'!$G$7:$G$16,MATCH(F344,'PRICING'!$A$7:$A$16,0)),1),2))))</f>
        <v/>
      </c>
      <c r="Z344" s="98">
        <f>IF(B344="","",SUMIFS('MILEAGE'!$J$5:$J$1504,'MILEAGE'!$B$5:$B$1504,A344))</f>
        <v/>
      </c>
      <c r="AA344" s="55">
        <f>IF(B344="","",ROUND(Z344*MileRate,2))</f>
        <v/>
      </c>
      <c r="AB344" s="55">
        <f>IF(B344="","",SUMIFS('REVENUE'!$J$5:$J$1504,'REVENUE'!$B$5:$B$1504,A344))</f>
        <v/>
      </c>
      <c r="AC344" s="55">
        <f>IF(L344="","",IF(OR(O344="Cancelled",O344="No-Show"),"",L344-N(X344)-N(Y344)-AA344-AB344))</f>
        <v/>
      </c>
      <c r="AD344" s="99">
        <f>IF(OR(AC344="",N(L344)=0),"",AC344/L344)</f>
        <v/>
      </c>
      <c r="AE344" s="55">
        <f>IF(OR(AC344="",N(R344)=0),"",L344/R344)</f>
        <v/>
      </c>
      <c r="AF344" s="100">
        <f>IF(OR(N(K344)=0,N(J344)+N(Q344)=0),"",K344-IF(N(J344)&gt;0,J344,Q344))</f>
        <v/>
      </c>
      <c r="AG344" s="99">
        <f>IF(B344="","",IFERROR(AVERAGEIFS('QUALITY CONTROL'!$M$5:$M$304,'QUALITY CONTROL'!$B$5:$B$304,A344),""))</f>
        <v/>
      </c>
      <c r="AH344" s="51">
        <f>IF(B344="","",DATE(YEAR(B344),MONTH(B344),1))</f>
        <v/>
      </c>
      <c r="AI344" s="49">
        <f>IF(D344="","",IFERROR(INDEX('CUSTOMERS'!$E$5:$E$404,MATCH(D344,'CUSTOMERS'!$B$5:$B$404,0)),""))</f>
        <v/>
      </c>
      <c r="AJ344" s="49">
        <f>IF(B344="","",N(C344))</f>
        <v/>
      </c>
      <c r="AK344" s="49">
        <f>IF(OR(B344="",O344="Cancelled",O344="Rescheduled"),"",B344&amp;"|"&amp;(COUNTIFS('JOBS'!$B$5:$B$1504,B344,'JOBS'!$AJ$5:$AJ$1504,"&lt;"&amp;AJ344,'JOBS'!$O$5:$O$1504,"&lt;&gt;Cancelled",'JOBS'!$O$5:$O$1504,"&lt;&gt;Rescheduled")+COUNTIFS($B$5:B344,B344,$AJ$5:AJ344,AJ344,$O$5:O344,"&lt;&gt;Cancelled",$O$5:O344,"&lt;&gt;Rescheduled")))</f>
        <v/>
      </c>
      <c r="AL344" s="49">
        <f>IF(N(U344)&lt;=0.005,"",COUNTIFS('JOBS'!$U$5:$U$1504,"&gt;0.005",'JOBS'!$B$5:$B$1504,"&lt;"&amp;B344)+COUNTIFS($U$5:U344,"&gt;0.005",$B$5:B344,B344))</f>
        <v/>
      </c>
    </row>
    <row r="345">
      <c r="A345" s="46" t="inlineStr">
        <is>
          <t>J-0341</t>
        </is>
      </c>
      <c r="B345" s="47" t="n"/>
      <c r="C345" s="94" t="n"/>
      <c r="D345" s="38" t="n"/>
      <c r="E345" s="38" t="n"/>
      <c r="F345" s="38" t="n"/>
      <c r="G345" s="38" t="n"/>
      <c r="H345" s="38" t="n"/>
      <c r="I345" s="57" t="n"/>
      <c r="J345" s="95" t="n"/>
      <c r="K345" s="95" t="n"/>
      <c r="L345" s="48" t="n"/>
      <c r="M345" s="96" t="n"/>
      <c r="N345" s="48" t="n"/>
      <c r="O345" s="38" t="n"/>
      <c r="P345" s="38" t="n"/>
      <c r="Q345" s="97">
        <f>IF(OR(F345="",E345=""),"",IFERROR(IF(INDEX('PROPERTIES'!$F$5:$F$404,MATCH(E345,'PROPERTIES'!$B$5:$B$404,0))=0,"",ROUND((INDEX('PROPERTIES'!$F$5:$F$404,MATCH(E345,'PROPERTIES'!$B$5:$B$404,0))/INDEX('PRICING'!$C$7:$C$16,MATCH(F345,'PRICING'!$A$7:$A$16,0))+INDEX('PROPERTIES'!$G$5:$G$404,MATCH(E345,'PROPERTIES'!$B$5:$B$404,0))*INDEX('PRICING'!$D$7:$D$16,MATCH(F345,'PRICING'!$A$7:$A$16,0))/60+INDEX('PROPERTIES'!$H$5:$H$404,MATCH(E345,'PROPERTIES'!$B$5:$B$404,0))*INDEX('PRICING'!$E$7:$E$16,MATCH(F345,'PRICING'!$A$7:$A$16,0))/60+INDEX('PRICING'!$F$7:$F$16,MATCH(F345,'PRICING'!$A$7:$A$16,0))/60),2)),""))</f>
        <v/>
      </c>
      <c r="R345" s="97">
        <f>IF(B345="","",IF(N(K345)&gt;0,K345,IF(N(J345)&gt;0,J345,N(Q345))))</f>
        <v/>
      </c>
      <c r="S345" s="55">
        <f>IF(L345="","",ROUND(L345*(1+N(M345)),2))</f>
        <v/>
      </c>
      <c r="T345" s="55">
        <f>IF(B345="","",SUMIFS('REVENUE'!$C$5:$C$1504,'REVENUE'!$B$5:$B$1504,A345))</f>
        <v/>
      </c>
      <c r="U345" s="55">
        <f>IF(B345="","",IF(O345="Completed",MAX(0,N(S345)-T345),""))</f>
        <v/>
      </c>
      <c r="V345" s="49">
        <f>IF(B345="","",IF(O345&lt;&gt;"Completed",IF(T345&gt;0,"Deposit","—"),IF(U345&lt;=0.005,"Paid",IF(T345&gt;0,"Partial","Unpaid"))))</f>
        <v/>
      </c>
      <c r="W345" s="55">
        <f>IF(B345="","",IFERROR(1/(1/INDEX('STAFF &amp; TASKS'!$C$5:$C$24,MATCH(H345,'STAFF &amp; TASKS'!$A$5:$A$24,0))),PayRate))</f>
        <v/>
      </c>
      <c r="X345" s="55">
        <f>IF(B345="","",IF(OR(O345="Cancelled",O345="No-Show"),"",ROUND(R345*W345*(1+Burden),2)))</f>
        <v/>
      </c>
      <c r="Y345" s="55">
        <f>IF(B345="","",IF(OR(O345="Cancelled",O345="No-Show"),"",IF(N345&lt;&gt;"",N345,ROUND(R345*SupHr*IFERROR(INDEX('PRICING'!$G$7:$G$16,MATCH(F345,'PRICING'!$A$7:$A$16,0)),1),2))))</f>
        <v/>
      </c>
      <c r="Z345" s="98">
        <f>IF(B345="","",SUMIFS('MILEAGE'!$J$5:$J$1504,'MILEAGE'!$B$5:$B$1504,A345))</f>
        <v/>
      </c>
      <c r="AA345" s="55">
        <f>IF(B345="","",ROUND(Z345*MileRate,2))</f>
        <v/>
      </c>
      <c r="AB345" s="55">
        <f>IF(B345="","",SUMIFS('REVENUE'!$J$5:$J$1504,'REVENUE'!$B$5:$B$1504,A345))</f>
        <v/>
      </c>
      <c r="AC345" s="55">
        <f>IF(L345="","",IF(OR(O345="Cancelled",O345="No-Show"),"",L345-N(X345)-N(Y345)-AA345-AB345))</f>
        <v/>
      </c>
      <c r="AD345" s="99">
        <f>IF(OR(AC345="",N(L345)=0),"",AC345/L345)</f>
        <v/>
      </c>
      <c r="AE345" s="55">
        <f>IF(OR(AC345="",N(R345)=0),"",L345/R345)</f>
        <v/>
      </c>
      <c r="AF345" s="100">
        <f>IF(OR(N(K345)=0,N(J345)+N(Q345)=0),"",K345-IF(N(J345)&gt;0,J345,Q345))</f>
        <v/>
      </c>
      <c r="AG345" s="99">
        <f>IF(B345="","",IFERROR(AVERAGEIFS('QUALITY CONTROL'!$M$5:$M$304,'QUALITY CONTROL'!$B$5:$B$304,A345),""))</f>
        <v/>
      </c>
      <c r="AH345" s="51">
        <f>IF(B345="","",DATE(YEAR(B345),MONTH(B345),1))</f>
        <v/>
      </c>
      <c r="AI345" s="49">
        <f>IF(D345="","",IFERROR(INDEX('CUSTOMERS'!$E$5:$E$404,MATCH(D345,'CUSTOMERS'!$B$5:$B$404,0)),""))</f>
        <v/>
      </c>
      <c r="AJ345" s="49">
        <f>IF(B345="","",N(C345))</f>
        <v/>
      </c>
      <c r="AK345" s="49">
        <f>IF(OR(B345="",O345="Cancelled",O345="Rescheduled"),"",B345&amp;"|"&amp;(COUNTIFS('JOBS'!$B$5:$B$1504,B345,'JOBS'!$AJ$5:$AJ$1504,"&lt;"&amp;AJ345,'JOBS'!$O$5:$O$1504,"&lt;&gt;Cancelled",'JOBS'!$O$5:$O$1504,"&lt;&gt;Rescheduled")+COUNTIFS($B$5:B345,B345,$AJ$5:AJ345,AJ345,$O$5:O345,"&lt;&gt;Cancelled",$O$5:O345,"&lt;&gt;Rescheduled")))</f>
        <v/>
      </c>
      <c r="AL345" s="49">
        <f>IF(N(U345)&lt;=0.005,"",COUNTIFS('JOBS'!$U$5:$U$1504,"&gt;0.005",'JOBS'!$B$5:$B$1504,"&lt;"&amp;B345)+COUNTIFS($U$5:U345,"&gt;0.005",$B$5:B345,B345))</f>
        <v/>
      </c>
    </row>
    <row r="346">
      <c r="A346" s="46" t="inlineStr">
        <is>
          <t>J-0342</t>
        </is>
      </c>
      <c r="B346" s="47" t="n"/>
      <c r="C346" s="94" t="n"/>
      <c r="D346" s="38" t="n"/>
      <c r="E346" s="38" t="n"/>
      <c r="F346" s="38" t="n"/>
      <c r="G346" s="38" t="n"/>
      <c r="H346" s="38" t="n"/>
      <c r="I346" s="57" t="n"/>
      <c r="J346" s="95" t="n"/>
      <c r="K346" s="95" t="n"/>
      <c r="L346" s="48" t="n"/>
      <c r="M346" s="96" t="n"/>
      <c r="N346" s="48" t="n"/>
      <c r="O346" s="38" t="n"/>
      <c r="P346" s="38" t="n"/>
      <c r="Q346" s="97">
        <f>IF(OR(F346="",E346=""),"",IFERROR(IF(INDEX('PROPERTIES'!$F$5:$F$404,MATCH(E346,'PROPERTIES'!$B$5:$B$404,0))=0,"",ROUND((INDEX('PROPERTIES'!$F$5:$F$404,MATCH(E346,'PROPERTIES'!$B$5:$B$404,0))/INDEX('PRICING'!$C$7:$C$16,MATCH(F346,'PRICING'!$A$7:$A$16,0))+INDEX('PROPERTIES'!$G$5:$G$404,MATCH(E346,'PROPERTIES'!$B$5:$B$404,0))*INDEX('PRICING'!$D$7:$D$16,MATCH(F346,'PRICING'!$A$7:$A$16,0))/60+INDEX('PROPERTIES'!$H$5:$H$404,MATCH(E346,'PROPERTIES'!$B$5:$B$404,0))*INDEX('PRICING'!$E$7:$E$16,MATCH(F346,'PRICING'!$A$7:$A$16,0))/60+INDEX('PRICING'!$F$7:$F$16,MATCH(F346,'PRICING'!$A$7:$A$16,0))/60),2)),""))</f>
        <v/>
      </c>
      <c r="R346" s="97">
        <f>IF(B346="","",IF(N(K346)&gt;0,K346,IF(N(J346)&gt;0,J346,N(Q346))))</f>
        <v/>
      </c>
      <c r="S346" s="55">
        <f>IF(L346="","",ROUND(L346*(1+N(M346)),2))</f>
        <v/>
      </c>
      <c r="T346" s="55">
        <f>IF(B346="","",SUMIFS('REVENUE'!$C$5:$C$1504,'REVENUE'!$B$5:$B$1504,A346))</f>
        <v/>
      </c>
      <c r="U346" s="55">
        <f>IF(B346="","",IF(O346="Completed",MAX(0,N(S346)-T346),""))</f>
        <v/>
      </c>
      <c r="V346" s="49">
        <f>IF(B346="","",IF(O346&lt;&gt;"Completed",IF(T346&gt;0,"Deposit","—"),IF(U346&lt;=0.005,"Paid",IF(T346&gt;0,"Partial","Unpaid"))))</f>
        <v/>
      </c>
      <c r="W346" s="55">
        <f>IF(B346="","",IFERROR(1/(1/INDEX('STAFF &amp; TASKS'!$C$5:$C$24,MATCH(H346,'STAFF &amp; TASKS'!$A$5:$A$24,0))),PayRate))</f>
        <v/>
      </c>
      <c r="X346" s="55">
        <f>IF(B346="","",IF(OR(O346="Cancelled",O346="No-Show"),"",ROUND(R346*W346*(1+Burden),2)))</f>
        <v/>
      </c>
      <c r="Y346" s="55">
        <f>IF(B346="","",IF(OR(O346="Cancelled",O346="No-Show"),"",IF(N346&lt;&gt;"",N346,ROUND(R346*SupHr*IFERROR(INDEX('PRICING'!$G$7:$G$16,MATCH(F346,'PRICING'!$A$7:$A$16,0)),1),2))))</f>
        <v/>
      </c>
      <c r="Z346" s="98">
        <f>IF(B346="","",SUMIFS('MILEAGE'!$J$5:$J$1504,'MILEAGE'!$B$5:$B$1504,A346))</f>
        <v/>
      </c>
      <c r="AA346" s="55">
        <f>IF(B346="","",ROUND(Z346*MileRate,2))</f>
        <v/>
      </c>
      <c r="AB346" s="55">
        <f>IF(B346="","",SUMIFS('REVENUE'!$J$5:$J$1504,'REVENUE'!$B$5:$B$1504,A346))</f>
        <v/>
      </c>
      <c r="AC346" s="55">
        <f>IF(L346="","",IF(OR(O346="Cancelled",O346="No-Show"),"",L346-N(X346)-N(Y346)-AA346-AB346))</f>
        <v/>
      </c>
      <c r="AD346" s="99">
        <f>IF(OR(AC346="",N(L346)=0),"",AC346/L346)</f>
        <v/>
      </c>
      <c r="AE346" s="55">
        <f>IF(OR(AC346="",N(R346)=0),"",L346/R346)</f>
        <v/>
      </c>
      <c r="AF346" s="100">
        <f>IF(OR(N(K346)=0,N(J346)+N(Q346)=0),"",K346-IF(N(J346)&gt;0,J346,Q346))</f>
        <v/>
      </c>
      <c r="AG346" s="99">
        <f>IF(B346="","",IFERROR(AVERAGEIFS('QUALITY CONTROL'!$M$5:$M$304,'QUALITY CONTROL'!$B$5:$B$304,A346),""))</f>
        <v/>
      </c>
      <c r="AH346" s="51">
        <f>IF(B346="","",DATE(YEAR(B346),MONTH(B346),1))</f>
        <v/>
      </c>
      <c r="AI346" s="49">
        <f>IF(D346="","",IFERROR(INDEX('CUSTOMERS'!$E$5:$E$404,MATCH(D346,'CUSTOMERS'!$B$5:$B$404,0)),""))</f>
        <v/>
      </c>
      <c r="AJ346" s="49">
        <f>IF(B346="","",N(C346))</f>
        <v/>
      </c>
      <c r="AK346" s="49">
        <f>IF(OR(B346="",O346="Cancelled",O346="Rescheduled"),"",B346&amp;"|"&amp;(COUNTIFS('JOBS'!$B$5:$B$1504,B346,'JOBS'!$AJ$5:$AJ$1504,"&lt;"&amp;AJ346,'JOBS'!$O$5:$O$1504,"&lt;&gt;Cancelled",'JOBS'!$O$5:$O$1504,"&lt;&gt;Rescheduled")+COUNTIFS($B$5:B346,B346,$AJ$5:AJ346,AJ346,$O$5:O346,"&lt;&gt;Cancelled",$O$5:O346,"&lt;&gt;Rescheduled")))</f>
        <v/>
      </c>
      <c r="AL346" s="49">
        <f>IF(N(U346)&lt;=0.005,"",COUNTIFS('JOBS'!$U$5:$U$1504,"&gt;0.005",'JOBS'!$B$5:$B$1504,"&lt;"&amp;B346)+COUNTIFS($U$5:U346,"&gt;0.005",$B$5:B346,B346))</f>
        <v/>
      </c>
    </row>
    <row r="347">
      <c r="A347" s="46" t="inlineStr">
        <is>
          <t>J-0343</t>
        </is>
      </c>
      <c r="B347" s="47" t="n"/>
      <c r="C347" s="94" t="n"/>
      <c r="D347" s="38" t="n"/>
      <c r="E347" s="38" t="n"/>
      <c r="F347" s="38" t="n"/>
      <c r="G347" s="38" t="n"/>
      <c r="H347" s="38" t="n"/>
      <c r="I347" s="57" t="n"/>
      <c r="J347" s="95" t="n"/>
      <c r="K347" s="95" t="n"/>
      <c r="L347" s="48" t="n"/>
      <c r="M347" s="96" t="n"/>
      <c r="N347" s="48" t="n"/>
      <c r="O347" s="38" t="n"/>
      <c r="P347" s="38" t="n"/>
      <c r="Q347" s="97">
        <f>IF(OR(F347="",E347=""),"",IFERROR(IF(INDEX('PROPERTIES'!$F$5:$F$404,MATCH(E347,'PROPERTIES'!$B$5:$B$404,0))=0,"",ROUND((INDEX('PROPERTIES'!$F$5:$F$404,MATCH(E347,'PROPERTIES'!$B$5:$B$404,0))/INDEX('PRICING'!$C$7:$C$16,MATCH(F347,'PRICING'!$A$7:$A$16,0))+INDEX('PROPERTIES'!$G$5:$G$404,MATCH(E347,'PROPERTIES'!$B$5:$B$404,0))*INDEX('PRICING'!$D$7:$D$16,MATCH(F347,'PRICING'!$A$7:$A$16,0))/60+INDEX('PROPERTIES'!$H$5:$H$404,MATCH(E347,'PROPERTIES'!$B$5:$B$404,0))*INDEX('PRICING'!$E$7:$E$16,MATCH(F347,'PRICING'!$A$7:$A$16,0))/60+INDEX('PRICING'!$F$7:$F$16,MATCH(F347,'PRICING'!$A$7:$A$16,0))/60),2)),""))</f>
        <v/>
      </c>
      <c r="R347" s="97">
        <f>IF(B347="","",IF(N(K347)&gt;0,K347,IF(N(J347)&gt;0,J347,N(Q347))))</f>
        <v/>
      </c>
      <c r="S347" s="55">
        <f>IF(L347="","",ROUND(L347*(1+N(M347)),2))</f>
        <v/>
      </c>
      <c r="T347" s="55">
        <f>IF(B347="","",SUMIFS('REVENUE'!$C$5:$C$1504,'REVENUE'!$B$5:$B$1504,A347))</f>
        <v/>
      </c>
      <c r="U347" s="55">
        <f>IF(B347="","",IF(O347="Completed",MAX(0,N(S347)-T347),""))</f>
        <v/>
      </c>
      <c r="V347" s="49">
        <f>IF(B347="","",IF(O347&lt;&gt;"Completed",IF(T347&gt;0,"Deposit","—"),IF(U347&lt;=0.005,"Paid",IF(T347&gt;0,"Partial","Unpaid"))))</f>
        <v/>
      </c>
      <c r="W347" s="55">
        <f>IF(B347="","",IFERROR(1/(1/INDEX('STAFF &amp; TASKS'!$C$5:$C$24,MATCH(H347,'STAFF &amp; TASKS'!$A$5:$A$24,0))),PayRate))</f>
        <v/>
      </c>
      <c r="X347" s="55">
        <f>IF(B347="","",IF(OR(O347="Cancelled",O347="No-Show"),"",ROUND(R347*W347*(1+Burden),2)))</f>
        <v/>
      </c>
      <c r="Y347" s="55">
        <f>IF(B347="","",IF(OR(O347="Cancelled",O347="No-Show"),"",IF(N347&lt;&gt;"",N347,ROUND(R347*SupHr*IFERROR(INDEX('PRICING'!$G$7:$G$16,MATCH(F347,'PRICING'!$A$7:$A$16,0)),1),2))))</f>
        <v/>
      </c>
      <c r="Z347" s="98">
        <f>IF(B347="","",SUMIFS('MILEAGE'!$J$5:$J$1504,'MILEAGE'!$B$5:$B$1504,A347))</f>
        <v/>
      </c>
      <c r="AA347" s="55">
        <f>IF(B347="","",ROUND(Z347*MileRate,2))</f>
        <v/>
      </c>
      <c r="AB347" s="55">
        <f>IF(B347="","",SUMIFS('REVENUE'!$J$5:$J$1504,'REVENUE'!$B$5:$B$1504,A347))</f>
        <v/>
      </c>
      <c r="AC347" s="55">
        <f>IF(L347="","",IF(OR(O347="Cancelled",O347="No-Show"),"",L347-N(X347)-N(Y347)-AA347-AB347))</f>
        <v/>
      </c>
      <c r="AD347" s="99">
        <f>IF(OR(AC347="",N(L347)=0),"",AC347/L347)</f>
        <v/>
      </c>
      <c r="AE347" s="55">
        <f>IF(OR(AC347="",N(R347)=0),"",L347/R347)</f>
        <v/>
      </c>
      <c r="AF347" s="100">
        <f>IF(OR(N(K347)=0,N(J347)+N(Q347)=0),"",K347-IF(N(J347)&gt;0,J347,Q347))</f>
        <v/>
      </c>
      <c r="AG347" s="99">
        <f>IF(B347="","",IFERROR(AVERAGEIFS('QUALITY CONTROL'!$M$5:$M$304,'QUALITY CONTROL'!$B$5:$B$304,A347),""))</f>
        <v/>
      </c>
      <c r="AH347" s="51">
        <f>IF(B347="","",DATE(YEAR(B347),MONTH(B347),1))</f>
        <v/>
      </c>
      <c r="AI347" s="49">
        <f>IF(D347="","",IFERROR(INDEX('CUSTOMERS'!$E$5:$E$404,MATCH(D347,'CUSTOMERS'!$B$5:$B$404,0)),""))</f>
        <v/>
      </c>
      <c r="AJ347" s="49">
        <f>IF(B347="","",N(C347))</f>
        <v/>
      </c>
      <c r="AK347" s="49">
        <f>IF(OR(B347="",O347="Cancelled",O347="Rescheduled"),"",B347&amp;"|"&amp;(COUNTIFS('JOBS'!$B$5:$B$1504,B347,'JOBS'!$AJ$5:$AJ$1504,"&lt;"&amp;AJ347,'JOBS'!$O$5:$O$1504,"&lt;&gt;Cancelled",'JOBS'!$O$5:$O$1504,"&lt;&gt;Rescheduled")+COUNTIFS($B$5:B347,B347,$AJ$5:AJ347,AJ347,$O$5:O347,"&lt;&gt;Cancelled",$O$5:O347,"&lt;&gt;Rescheduled")))</f>
        <v/>
      </c>
      <c r="AL347" s="49">
        <f>IF(N(U347)&lt;=0.005,"",COUNTIFS('JOBS'!$U$5:$U$1504,"&gt;0.005",'JOBS'!$B$5:$B$1504,"&lt;"&amp;B347)+COUNTIFS($U$5:U347,"&gt;0.005",$B$5:B347,B347))</f>
        <v/>
      </c>
    </row>
    <row r="348">
      <c r="A348" s="46" t="inlineStr">
        <is>
          <t>J-0344</t>
        </is>
      </c>
      <c r="B348" s="47" t="n"/>
      <c r="C348" s="94" t="n"/>
      <c r="D348" s="38" t="n"/>
      <c r="E348" s="38" t="n"/>
      <c r="F348" s="38" t="n"/>
      <c r="G348" s="38" t="n"/>
      <c r="H348" s="38" t="n"/>
      <c r="I348" s="57" t="n"/>
      <c r="J348" s="95" t="n"/>
      <c r="K348" s="95" t="n"/>
      <c r="L348" s="48" t="n"/>
      <c r="M348" s="96" t="n"/>
      <c r="N348" s="48" t="n"/>
      <c r="O348" s="38" t="n"/>
      <c r="P348" s="38" t="n"/>
      <c r="Q348" s="97">
        <f>IF(OR(F348="",E348=""),"",IFERROR(IF(INDEX('PROPERTIES'!$F$5:$F$404,MATCH(E348,'PROPERTIES'!$B$5:$B$404,0))=0,"",ROUND((INDEX('PROPERTIES'!$F$5:$F$404,MATCH(E348,'PROPERTIES'!$B$5:$B$404,0))/INDEX('PRICING'!$C$7:$C$16,MATCH(F348,'PRICING'!$A$7:$A$16,0))+INDEX('PROPERTIES'!$G$5:$G$404,MATCH(E348,'PROPERTIES'!$B$5:$B$404,0))*INDEX('PRICING'!$D$7:$D$16,MATCH(F348,'PRICING'!$A$7:$A$16,0))/60+INDEX('PROPERTIES'!$H$5:$H$404,MATCH(E348,'PROPERTIES'!$B$5:$B$404,0))*INDEX('PRICING'!$E$7:$E$16,MATCH(F348,'PRICING'!$A$7:$A$16,0))/60+INDEX('PRICING'!$F$7:$F$16,MATCH(F348,'PRICING'!$A$7:$A$16,0))/60),2)),""))</f>
        <v/>
      </c>
      <c r="R348" s="97">
        <f>IF(B348="","",IF(N(K348)&gt;0,K348,IF(N(J348)&gt;0,J348,N(Q348))))</f>
        <v/>
      </c>
      <c r="S348" s="55">
        <f>IF(L348="","",ROUND(L348*(1+N(M348)),2))</f>
        <v/>
      </c>
      <c r="T348" s="55">
        <f>IF(B348="","",SUMIFS('REVENUE'!$C$5:$C$1504,'REVENUE'!$B$5:$B$1504,A348))</f>
        <v/>
      </c>
      <c r="U348" s="55">
        <f>IF(B348="","",IF(O348="Completed",MAX(0,N(S348)-T348),""))</f>
        <v/>
      </c>
      <c r="V348" s="49">
        <f>IF(B348="","",IF(O348&lt;&gt;"Completed",IF(T348&gt;0,"Deposit","—"),IF(U348&lt;=0.005,"Paid",IF(T348&gt;0,"Partial","Unpaid"))))</f>
        <v/>
      </c>
      <c r="W348" s="55">
        <f>IF(B348="","",IFERROR(1/(1/INDEX('STAFF &amp; TASKS'!$C$5:$C$24,MATCH(H348,'STAFF &amp; TASKS'!$A$5:$A$24,0))),PayRate))</f>
        <v/>
      </c>
      <c r="X348" s="55">
        <f>IF(B348="","",IF(OR(O348="Cancelled",O348="No-Show"),"",ROUND(R348*W348*(1+Burden),2)))</f>
        <v/>
      </c>
      <c r="Y348" s="55">
        <f>IF(B348="","",IF(OR(O348="Cancelled",O348="No-Show"),"",IF(N348&lt;&gt;"",N348,ROUND(R348*SupHr*IFERROR(INDEX('PRICING'!$G$7:$G$16,MATCH(F348,'PRICING'!$A$7:$A$16,0)),1),2))))</f>
        <v/>
      </c>
      <c r="Z348" s="98">
        <f>IF(B348="","",SUMIFS('MILEAGE'!$J$5:$J$1504,'MILEAGE'!$B$5:$B$1504,A348))</f>
        <v/>
      </c>
      <c r="AA348" s="55">
        <f>IF(B348="","",ROUND(Z348*MileRate,2))</f>
        <v/>
      </c>
      <c r="AB348" s="55">
        <f>IF(B348="","",SUMIFS('REVENUE'!$J$5:$J$1504,'REVENUE'!$B$5:$B$1504,A348))</f>
        <v/>
      </c>
      <c r="AC348" s="55">
        <f>IF(L348="","",IF(OR(O348="Cancelled",O348="No-Show"),"",L348-N(X348)-N(Y348)-AA348-AB348))</f>
        <v/>
      </c>
      <c r="AD348" s="99">
        <f>IF(OR(AC348="",N(L348)=0),"",AC348/L348)</f>
        <v/>
      </c>
      <c r="AE348" s="55">
        <f>IF(OR(AC348="",N(R348)=0),"",L348/R348)</f>
        <v/>
      </c>
      <c r="AF348" s="100">
        <f>IF(OR(N(K348)=0,N(J348)+N(Q348)=0),"",K348-IF(N(J348)&gt;0,J348,Q348))</f>
        <v/>
      </c>
      <c r="AG348" s="99">
        <f>IF(B348="","",IFERROR(AVERAGEIFS('QUALITY CONTROL'!$M$5:$M$304,'QUALITY CONTROL'!$B$5:$B$304,A348),""))</f>
        <v/>
      </c>
      <c r="AH348" s="51">
        <f>IF(B348="","",DATE(YEAR(B348),MONTH(B348),1))</f>
        <v/>
      </c>
      <c r="AI348" s="49">
        <f>IF(D348="","",IFERROR(INDEX('CUSTOMERS'!$E$5:$E$404,MATCH(D348,'CUSTOMERS'!$B$5:$B$404,0)),""))</f>
        <v/>
      </c>
      <c r="AJ348" s="49">
        <f>IF(B348="","",N(C348))</f>
        <v/>
      </c>
      <c r="AK348" s="49">
        <f>IF(OR(B348="",O348="Cancelled",O348="Rescheduled"),"",B348&amp;"|"&amp;(COUNTIFS('JOBS'!$B$5:$B$1504,B348,'JOBS'!$AJ$5:$AJ$1504,"&lt;"&amp;AJ348,'JOBS'!$O$5:$O$1504,"&lt;&gt;Cancelled",'JOBS'!$O$5:$O$1504,"&lt;&gt;Rescheduled")+COUNTIFS($B$5:B348,B348,$AJ$5:AJ348,AJ348,$O$5:O348,"&lt;&gt;Cancelled",$O$5:O348,"&lt;&gt;Rescheduled")))</f>
        <v/>
      </c>
      <c r="AL348" s="49">
        <f>IF(N(U348)&lt;=0.005,"",COUNTIFS('JOBS'!$U$5:$U$1504,"&gt;0.005",'JOBS'!$B$5:$B$1504,"&lt;"&amp;B348)+COUNTIFS($U$5:U348,"&gt;0.005",$B$5:B348,B348))</f>
        <v/>
      </c>
    </row>
    <row r="349">
      <c r="A349" s="46" t="inlineStr">
        <is>
          <t>J-0345</t>
        </is>
      </c>
      <c r="B349" s="47" t="n"/>
      <c r="C349" s="94" t="n"/>
      <c r="D349" s="38" t="n"/>
      <c r="E349" s="38" t="n"/>
      <c r="F349" s="38" t="n"/>
      <c r="G349" s="38" t="n"/>
      <c r="H349" s="38" t="n"/>
      <c r="I349" s="57" t="n"/>
      <c r="J349" s="95" t="n"/>
      <c r="K349" s="95" t="n"/>
      <c r="L349" s="48" t="n"/>
      <c r="M349" s="96" t="n"/>
      <c r="N349" s="48" t="n"/>
      <c r="O349" s="38" t="n"/>
      <c r="P349" s="38" t="n"/>
      <c r="Q349" s="97">
        <f>IF(OR(F349="",E349=""),"",IFERROR(IF(INDEX('PROPERTIES'!$F$5:$F$404,MATCH(E349,'PROPERTIES'!$B$5:$B$404,0))=0,"",ROUND((INDEX('PROPERTIES'!$F$5:$F$404,MATCH(E349,'PROPERTIES'!$B$5:$B$404,0))/INDEX('PRICING'!$C$7:$C$16,MATCH(F349,'PRICING'!$A$7:$A$16,0))+INDEX('PROPERTIES'!$G$5:$G$404,MATCH(E349,'PROPERTIES'!$B$5:$B$404,0))*INDEX('PRICING'!$D$7:$D$16,MATCH(F349,'PRICING'!$A$7:$A$16,0))/60+INDEX('PROPERTIES'!$H$5:$H$404,MATCH(E349,'PROPERTIES'!$B$5:$B$404,0))*INDEX('PRICING'!$E$7:$E$16,MATCH(F349,'PRICING'!$A$7:$A$16,0))/60+INDEX('PRICING'!$F$7:$F$16,MATCH(F349,'PRICING'!$A$7:$A$16,0))/60),2)),""))</f>
        <v/>
      </c>
      <c r="R349" s="97">
        <f>IF(B349="","",IF(N(K349)&gt;0,K349,IF(N(J349)&gt;0,J349,N(Q349))))</f>
        <v/>
      </c>
      <c r="S349" s="55">
        <f>IF(L349="","",ROUND(L349*(1+N(M349)),2))</f>
        <v/>
      </c>
      <c r="T349" s="55">
        <f>IF(B349="","",SUMIFS('REVENUE'!$C$5:$C$1504,'REVENUE'!$B$5:$B$1504,A349))</f>
        <v/>
      </c>
      <c r="U349" s="55">
        <f>IF(B349="","",IF(O349="Completed",MAX(0,N(S349)-T349),""))</f>
        <v/>
      </c>
      <c r="V349" s="49">
        <f>IF(B349="","",IF(O349&lt;&gt;"Completed",IF(T349&gt;0,"Deposit","—"),IF(U349&lt;=0.005,"Paid",IF(T349&gt;0,"Partial","Unpaid"))))</f>
        <v/>
      </c>
      <c r="W349" s="55">
        <f>IF(B349="","",IFERROR(1/(1/INDEX('STAFF &amp; TASKS'!$C$5:$C$24,MATCH(H349,'STAFF &amp; TASKS'!$A$5:$A$24,0))),PayRate))</f>
        <v/>
      </c>
      <c r="X349" s="55">
        <f>IF(B349="","",IF(OR(O349="Cancelled",O349="No-Show"),"",ROUND(R349*W349*(1+Burden),2)))</f>
        <v/>
      </c>
      <c r="Y349" s="55">
        <f>IF(B349="","",IF(OR(O349="Cancelled",O349="No-Show"),"",IF(N349&lt;&gt;"",N349,ROUND(R349*SupHr*IFERROR(INDEX('PRICING'!$G$7:$G$16,MATCH(F349,'PRICING'!$A$7:$A$16,0)),1),2))))</f>
        <v/>
      </c>
      <c r="Z349" s="98">
        <f>IF(B349="","",SUMIFS('MILEAGE'!$J$5:$J$1504,'MILEAGE'!$B$5:$B$1504,A349))</f>
        <v/>
      </c>
      <c r="AA349" s="55">
        <f>IF(B349="","",ROUND(Z349*MileRate,2))</f>
        <v/>
      </c>
      <c r="AB349" s="55">
        <f>IF(B349="","",SUMIFS('REVENUE'!$J$5:$J$1504,'REVENUE'!$B$5:$B$1504,A349))</f>
        <v/>
      </c>
      <c r="AC349" s="55">
        <f>IF(L349="","",IF(OR(O349="Cancelled",O349="No-Show"),"",L349-N(X349)-N(Y349)-AA349-AB349))</f>
        <v/>
      </c>
      <c r="AD349" s="99">
        <f>IF(OR(AC349="",N(L349)=0),"",AC349/L349)</f>
        <v/>
      </c>
      <c r="AE349" s="55">
        <f>IF(OR(AC349="",N(R349)=0),"",L349/R349)</f>
        <v/>
      </c>
      <c r="AF349" s="100">
        <f>IF(OR(N(K349)=0,N(J349)+N(Q349)=0),"",K349-IF(N(J349)&gt;0,J349,Q349))</f>
        <v/>
      </c>
      <c r="AG349" s="99">
        <f>IF(B349="","",IFERROR(AVERAGEIFS('QUALITY CONTROL'!$M$5:$M$304,'QUALITY CONTROL'!$B$5:$B$304,A349),""))</f>
        <v/>
      </c>
      <c r="AH349" s="51">
        <f>IF(B349="","",DATE(YEAR(B349),MONTH(B349),1))</f>
        <v/>
      </c>
      <c r="AI349" s="49">
        <f>IF(D349="","",IFERROR(INDEX('CUSTOMERS'!$E$5:$E$404,MATCH(D349,'CUSTOMERS'!$B$5:$B$404,0)),""))</f>
        <v/>
      </c>
      <c r="AJ349" s="49">
        <f>IF(B349="","",N(C349))</f>
        <v/>
      </c>
      <c r="AK349" s="49">
        <f>IF(OR(B349="",O349="Cancelled",O349="Rescheduled"),"",B349&amp;"|"&amp;(COUNTIFS('JOBS'!$B$5:$B$1504,B349,'JOBS'!$AJ$5:$AJ$1504,"&lt;"&amp;AJ349,'JOBS'!$O$5:$O$1504,"&lt;&gt;Cancelled",'JOBS'!$O$5:$O$1504,"&lt;&gt;Rescheduled")+COUNTIFS($B$5:B349,B349,$AJ$5:AJ349,AJ349,$O$5:O349,"&lt;&gt;Cancelled",$O$5:O349,"&lt;&gt;Rescheduled")))</f>
        <v/>
      </c>
      <c r="AL349" s="49">
        <f>IF(N(U349)&lt;=0.005,"",COUNTIFS('JOBS'!$U$5:$U$1504,"&gt;0.005",'JOBS'!$B$5:$B$1504,"&lt;"&amp;B349)+COUNTIFS($U$5:U349,"&gt;0.005",$B$5:B349,B349))</f>
        <v/>
      </c>
    </row>
    <row r="350">
      <c r="A350" s="46" t="inlineStr">
        <is>
          <t>J-0346</t>
        </is>
      </c>
      <c r="B350" s="47" t="n"/>
      <c r="C350" s="94" t="n"/>
      <c r="D350" s="38" t="n"/>
      <c r="E350" s="38" t="n"/>
      <c r="F350" s="38" t="n"/>
      <c r="G350" s="38" t="n"/>
      <c r="H350" s="38" t="n"/>
      <c r="I350" s="57" t="n"/>
      <c r="J350" s="95" t="n"/>
      <c r="K350" s="95" t="n"/>
      <c r="L350" s="48" t="n"/>
      <c r="M350" s="96" t="n"/>
      <c r="N350" s="48" t="n"/>
      <c r="O350" s="38" t="n"/>
      <c r="P350" s="38" t="n"/>
      <c r="Q350" s="97">
        <f>IF(OR(F350="",E350=""),"",IFERROR(IF(INDEX('PROPERTIES'!$F$5:$F$404,MATCH(E350,'PROPERTIES'!$B$5:$B$404,0))=0,"",ROUND((INDEX('PROPERTIES'!$F$5:$F$404,MATCH(E350,'PROPERTIES'!$B$5:$B$404,0))/INDEX('PRICING'!$C$7:$C$16,MATCH(F350,'PRICING'!$A$7:$A$16,0))+INDEX('PROPERTIES'!$G$5:$G$404,MATCH(E350,'PROPERTIES'!$B$5:$B$404,0))*INDEX('PRICING'!$D$7:$D$16,MATCH(F350,'PRICING'!$A$7:$A$16,0))/60+INDEX('PROPERTIES'!$H$5:$H$404,MATCH(E350,'PROPERTIES'!$B$5:$B$404,0))*INDEX('PRICING'!$E$7:$E$16,MATCH(F350,'PRICING'!$A$7:$A$16,0))/60+INDEX('PRICING'!$F$7:$F$16,MATCH(F350,'PRICING'!$A$7:$A$16,0))/60),2)),""))</f>
        <v/>
      </c>
      <c r="R350" s="97">
        <f>IF(B350="","",IF(N(K350)&gt;0,K350,IF(N(J350)&gt;0,J350,N(Q350))))</f>
        <v/>
      </c>
      <c r="S350" s="55">
        <f>IF(L350="","",ROUND(L350*(1+N(M350)),2))</f>
        <v/>
      </c>
      <c r="T350" s="55">
        <f>IF(B350="","",SUMIFS('REVENUE'!$C$5:$C$1504,'REVENUE'!$B$5:$B$1504,A350))</f>
        <v/>
      </c>
      <c r="U350" s="55">
        <f>IF(B350="","",IF(O350="Completed",MAX(0,N(S350)-T350),""))</f>
        <v/>
      </c>
      <c r="V350" s="49">
        <f>IF(B350="","",IF(O350&lt;&gt;"Completed",IF(T350&gt;0,"Deposit","—"),IF(U350&lt;=0.005,"Paid",IF(T350&gt;0,"Partial","Unpaid"))))</f>
        <v/>
      </c>
      <c r="W350" s="55">
        <f>IF(B350="","",IFERROR(1/(1/INDEX('STAFF &amp; TASKS'!$C$5:$C$24,MATCH(H350,'STAFF &amp; TASKS'!$A$5:$A$24,0))),PayRate))</f>
        <v/>
      </c>
      <c r="X350" s="55">
        <f>IF(B350="","",IF(OR(O350="Cancelled",O350="No-Show"),"",ROUND(R350*W350*(1+Burden),2)))</f>
        <v/>
      </c>
      <c r="Y350" s="55">
        <f>IF(B350="","",IF(OR(O350="Cancelled",O350="No-Show"),"",IF(N350&lt;&gt;"",N350,ROUND(R350*SupHr*IFERROR(INDEX('PRICING'!$G$7:$G$16,MATCH(F350,'PRICING'!$A$7:$A$16,0)),1),2))))</f>
        <v/>
      </c>
      <c r="Z350" s="98">
        <f>IF(B350="","",SUMIFS('MILEAGE'!$J$5:$J$1504,'MILEAGE'!$B$5:$B$1504,A350))</f>
        <v/>
      </c>
      <c r="AA350" s="55">
        <f>IF(B350="","",ROUND(Z350*MileRate,2))</f>
        <v/>
      </c>
      <c r="AB350" s="55">
        <f>IF(B350="","",SUMIFS('REVENUE'!$J$5:$J$1504,'REVENUE'!$B$5:$B$1504,A350))</f>
        <v/>
      </c>
      <c r="AC350" s="55">
        <f>IF(L350="","",IF(OR(O350="Cancelled",O350="No-Show"),"",L350-N(X350)-N(Y350)-AA350-AB350))</f>
        <v/>
      </c>
      <c r="AD350" s="99">
        <f>IF(OR(AC350="",N(L350)=0),"",AC350/L350)</f>
        <v/>
      </c>
      <c r="AE350" s="55">
        <f>IF(OR(AC350="",N(R350)=0),"",L350/R350)</f>
        <v/>
      </c>
      <c r="AF350" s="100">
        <f>IF(OR(N(K350)=0,N(J350)+N(Q350)=0),"",K350-IF(N(J350)&gt;0,J350,Q350))</f>
        <v/>
      </c>
      <c r="AG350" s="99">
        <f>IF(B350="","",IFERROR(AVERAGEIFS('QUALITY CONTROL'!$M$5:$M$304,'QUALITY CONTROL'!$B$5:$B$304,A350),""))</f>
        <v/>
      </c>
      <c r="AH350" s="51">
        <f>IF(B350="","",DATE(YEAR(B350),MONTH(B350),1))</f>
        <v/>
      </c>
      <c r="AI350" s="49">
        <f>IF(D350="","",IFERROR(INDEX('CUSTOMERS'!$E$5:$E$404,MATCH(D350,'CUSTOMERS'!$B$5:$B$404,0)),""))</f>
        <v/>
      </c>
      <c r="AJ350" s="49">
        <f>IF(B350="","",N(C350))</f>
        <v/>
      </c>
      <c r="AK350" s="49">
        <f>IF(OR(B350="",O350="Cancelled",O350="Rescheduled"),"",B350&amp;"|"&amp;(COUNTIFS('JOBS'!$B$5:$B$1504,B350,'JOBS'!$AJ$5:$AJ$1504,"&lt;"&amp;AJ350,'JOBS'!$O$5:$O$1504,"&lt;&gt;Cancelled",'JOBS'!$O$5:$O$1504,"&lt;&gt;Rescheduled")+COUNTIFS($B$5:B350,B350,$AJ$5:AJ350,AJ350,$O$5:O350,"&lt;&gt;Cancelled",$O$5:O350,"&lt;&gt;Rescheduled")))</f>
        <v/>
      </c>
      <c r="AL350" s="49">
        <f>IF(N(U350)&lt;=0.005,"",COUNTIFS('JOBS'!$U$5:$U$1504,"&gt;0.005",'JOBS'!$B$5:$B$1504,"&lt;"&amp;B350)+COUNTIFS($U$5:U350,"&gt;0.005",$B$5:B350,B350))</f>
        <v/>
      </c>
    </row>
    <row r="351">
      <c r="A351" s="46" t="inlineStr">
        <is>
          <t>J-0347</t>
        </is>
      </c>
      <c r="B351" s="47" t="n"/>
      <c r="C351" s="94" t="n"/>
      <c r="D351" s="38" t="n"/>
      <c r="E351" s="38" t="n"/>
      <c r="F351" s="38" t="n"/>
      <c r="G351" s="38" t="n"/>
      <c r="H351" s="38" t="n"/>
      <c r="I351" s="57" t="n"/>
      <c r="J351" s="95" t="n"/>
      <c r="K351" s="95" t="n"/>
      <c r="L351" s="48" t="n"/>
      <c r="M351" s="96" t="n"/>
      <c r="N351" s="48" t="n"/>
      <c r="O351" s="38" t="n"/>
      <c r="P351" s="38" t="n"/>
      <c r="Q351" s="97">
        <f>IF(OR(F351="",E351=""),"",IFERROR(IF(INDEX('PROPERTIES'!$F$5:$F$404,MATCH(E351,'PROPERTIES'!$B$5:$B$404,0))=0,"",ROUND((INDEX('PROPERTIES'!$F$5:$F$404,MATCH(E351,'PROPERTIES'!$B$5:$B$404,0))/INDEX('PRICING'!$C$7:$C$16,MATCH(F351,'PRICING'!$A$7:$A$16,0))+INDEX('PROPERTIES'!$G$5:$G$404,MATCH(E351,'PROPERTIES'!$B$5:$B$404,0))*INDEX('PRICING'!$D$7:$D$16,MATCH(F351,'PRICING'!$A$7:$A$16,0))/60+INDEX('PROPERTIES'!$H$5:$H$404,MATCH(E351,'PROPERTIES'!$B$5:$B$404,0))*INDEX('PRICING'!$E$7:$E$16,MATCH(F351,'PRICING'!$A$7:$A$16,0))/60+INDEX('PRICING'!$F$7:$F$16,MATCH(F351,'PRICING'!$A$7:$A$16,0))/60),2)),""))</f>
        <v/>
      </c>
      <c r="R351" s="97">
        <f>IF(B351="","",IF(N(K351)&gt;0,K351,IF(N(J351)&gt;0,J351,N(Q351))))</f>
        <v/>
      </c>
      <c r="S351" s="55">
        <f>IF(L351="","",ROUND(L351*(1+N(M351)),2))</f>
        <v/>
      </c>
      <c r="T351" s="55">
        <f>IF(B351="","",SUMIFS('REVENUE'!$C$5:$C$1504,'REVENUE'!$B$5:$B$1504,A351))</f>
        <v/>
      </c>
      <c r="U351" s="55">
        <f>IF(B351="","",IF(O351="Completed",MAX(0,N(S351)-T351),""))</f>
        <v/>
      </c>
      <c r="V351" s="49">
        <f>IF(B351="","",IF(O351&lt;&gt;"Completed",IF(T351&gt;0,"Deposit","—"),IF(U351&lt;=0.005,"Paid",IF(T351&gt;0,"Partial","Unpaid"))))</f>
        <v/>
      </c>
      <c r="W351" s="55">
        <f>IF(B351="","",IFERROR(1/(1/INDEX('STAFF &amp; TASKS'!$C$5:$C$24,MATCH(H351,'STAFF &amp; TASKS'!$A$5:$A$24,0))),PayRate))</f>
        <v/>
      </c>
      <c r="X351" s="55">
        <f>IF(B351="","",IF(OR(O351="Cancelled",O351="No-Show"),"",ROUND(R351*W351*(1+Burden),2)))</f>
        <v/>
      </c>
      <c r="Y351" s="55">
        <f>IF(B351="","",IF(OR(O351="Cancelled",O351="No-Show"),"",IF(N351&lt;&gt;"",N351,ROUND(R351*SupHr*IFERROR(INDEX('PRICING'!$G$7:$G$16,MATCH(F351,'PRICING'!$A$7:$A$16,0)),1),2))))</f>
        <v/>
      </c>
      <c r="Z351" s="98">
        <f>IF(B351="","",SUMIFS('MILEAGE'!$J$5:$J$1504,'MILEAGE'!$B$5:$B$1504,A351))</f>
        <v/>
      </c>
      <c r="AA351" s="55">
        <f>IF(B351="","",ROUND(Z351*MileRate,2))</f>
        <v/>
      </c>
      <c r="AB351" s="55">
        <f>IF(B351="","",SUMIFS('REVENUE'!$J$5:$J$1504,'REVENUE'!$B$5:$B$1504,A351))</f>
        <v/>
      </c>
      <c r="AC351" s="55">
        <f>IF(L351="","",IF(OR(O351="Cancelled",O351="No-Show"),"",L351-N(X351)-N(Y351)-AA351-AB351))</f>
        <v/>
      </c>
      <c r="AD351" s="99">
        <f>IF(OR(AC351="",N(L351)=0),"",AC351/L351)</f>
        <v/>
      </c>
      <c r="AE351" s="55">
        <f>IF(OR(AC351="",N(R351)=0),"",L351/R351)</f>
        <v/>
      </c>
      <c r="AF351" s="100">
        <f>IF(OR(N(K351)=0,N(J351)+N(Q351)=0),"",K351-IF(N(J351)&gt;0,J351,Q351))</f>
        <v/>
      </c>
      <c r="AG351" s="99">
        <f>IF(B351="","",IFERROR(AVERAGEIFS('QUALITY CONTROL'!$M$5:$M$304,'QUALITY CONTROL'!$B$5:$B$304,A351),""))</f>
        <v/>
      </c>
      <c r="AH351" s="51">
        <f>IF(B351="","",DATE(YEAR(B351),MONTH(B351),1))</f>
        <v/>
      </c>
      <c r="AI351" s="49">
        <f>IF(D351="","",IFERROR(INDEX('CUSTOMERS'!$E$5:$E$404,MATCH(D351,'CUSTOMERS'!$B$5:$B$404,0)),""))</f>
        <v/>
      </c>
      <c r="AJ351" s="49">
        <f>IF(B351="","",N(C351))</f>
        <v/>
      </c>
      <c r="AK351" s="49">
        <f>IF(OR(B351="",O351="Cancelled",O351="Rescheduled"),"",B351&amp;"|"&amp;(COUNTIFS('JOBS'!$B$5:$B$1504,B351,'JOBS'!$AJ$5:$AJ$1504,"&lt;"&amp;AJ351,'JOBS'!$O$5:$O$1504,"&lt;&gt;Cancelled",'JOBS'!$O$5:$O$1504,"&lt;&gt;Rescheduled")+COUNTIFS($B$5:B351,B351,$AJ$5:AJ351,AJ351,$O$5:O351,"&lt;&gt;Cancelled",$O$5:O351,"&lt;&gt;Rescheduled")))</f>
        <v/>
      </c>
      <c r="AL351" s="49">
        <f>IF(N(U351)&lt;=0.005,"",COUNTIFS('JOBS'!$U$5:$U$1504,"&gt;0.005",'JOBS'!$B$5:$B$1504,"&lt;"&amp;B351)+COUNTIFS($U$5:U351,"&gt;0.005",$B$5:B351,B351))</f>
        <v/>
      </c>
    </row>
    <row r="352">
      <c r="A352" s="46" t="inlineStr">
        <is>
          <t>J-0348</t>
        </is>
      </c>
      <c r="B352" s="47" t="n"/>
      <c r="C352" s="94" t="n"/>
      <c r="D352" s="38" t="n"/>
      <c r="E352" s="38" t="n"/>
      <c r="F352" s="38" t="n"/>
      <c r="G352" s="38" t="n"/>
      <c r="H352" s="38" t="n"/>
      <c r="I352" s="57" t="n"/>
      <c r="J352" s="95" t="n"/>
      <c r="K352" s="95" t="n"/>
      <c r="L352" s="48" t="n"/>
      <c r="M352" s="96" t="n"/>
      <c r="N352" s="48" t="n"/>
      <c r="O352" s="38" t="n"/>
      <c r="P352" s="38" t="n"/>
      <c r="Q352" s="97">
        <f>IF(OR(F352="",E352=""),"",IFERROR(IF(INDEX('PROPERTIES'!$F$5:$F$404,MATCH(E352,'PROPERTIES'!$B$5:$B$404,0))=0,"",ROUND((INDEX('PROPERTIES'!$F$5:$F$404,MATCH(E352,'PROPERTIES'!$B$5:$B$404,0))/INDEX('PRICING'!$C$7:$C$16,MATCH(F352,'PRICING'!$A$7:$A$16,0))+INDEX('PROPERTIES'!$G$5:$G$404,MATCH(E352,'PROPERTIES'!$B$5:$B$404,0))*INDEX('PRICING'!$D$7:$D$16,MATCH(F352,'PRICING'!$A$7:$A$16,0))/60+INDEX('PROPERTIES'!$H$5:$H$404,MATCH(E352,'PROPERTIES'!$B$5:$B$404,0))*INDEX('PRICING'!$E$7:$E$16,MATCH(F352,'PRICING'!$A$7:$A$16,0))/60+INDEX('PRICING'!$F$7:$F$16,MATCH(F352,'PRICING'!$A$7:$A$16,0))/60),2)),""))</f>
        <v/>
      </c>
      <c r="R352" s="97">
        <f>IF(B352="","",IF(N(K352)&gt;0,K352,IF(N(J352)&gt;0,J352,N(Q352))))</f>
        <v/>
      </c>
      <c r="S352" s="55">
        <f>IF(L352="","",ROUND(L352*(1+N(M352)),2))</f>
        <v/>
      </c>
      <c r="T352" s="55">
        <f>IF(B352="","",SUMIFS('REVENUE'!$C$5:$C$1504,'REVENUE'!$B$5:$B$1504,A352))</f>
        <v/>
      </c>
      <c r="U352" s="55">
        <f>IF(B352="","",IF(O352="Completed",MAX(0,N(S352)-T352),""))</f>
        <v/>
      </c>
      <c r="V352" s="49">
        <f>IF(B352="","",IF(O352&lt;&gt;"Completed",IF(T352&gt;0,"Deposit","—"),IF(U352&lt;=0.005,"Paid",IF(T352&gt;0,"Partial","Unpaid"))))</f>
        <v/>
      </c>
      <c r="W352" s="55">
        <f>IF(B352="","",IFERROR(1/(1/INDEX('STAFF &amp; TASKS'!$C$5:$C$24,MATCH(H352,'STAFF &amp; TASKS'!$A$5:$A$24,0))),PayRate))</f>
        <v/>
      </c>
      <c r="X352" s="55">
        <f>IF(B352="","",IF(OR(O352="Cancelled",O352="No-Show"),"",ROUND(R352*W352*(1+Burden),2)))</f>
        <v/>
      </c>
      <c r="Y352" s="55">
        <f>IF(B352="","",IF(OR(O352="Cancelled",O352="No-Show"),"",IF(N352&lt;&gt;"",N352,ROUND(R352*SupHr*IFERROR(INDEX('PRICING'!$G$7:$G$16,MATCH(F352,'PRICING'!$A$7:$A$16,0)),1),2))))</f>
        <v/>
      </c>
      <c r="Z352" s="98">
        <f>IF(B352="","",SUMIFS('MILEAGE'!$J$5:$J$1504,'MILEAGE'!$B$5:$B$1504,A352))</f>
        <v/>
      </c>
      <c r="AA352" s="55">
        <f>IF(B352="","",ROUND(Z352*MileRate,2))</f>
        <v/>
      </c>
      <c r="AB352" s="55">
        <f>IF(B352="","",SUMIFS('REVENUE'!$J$5:$J$1504,'REVENUE'!$B$5:$B$1504,A352))</f>
        <v/>
      </c>
      <c r="AC352" s="55">
        <f>IF(L352="","",IF(OR(O352="Cancelled",O352="No-Show"),"",L352-N(X352)-N(Y352)-AA352-AB352))</f>
        <v/>
      </c>
      <c r="AD352" s="99">
        <f>IF(OR(AC352="",N(L352)=0),"",AC352/L352)</f>
        <v/>
      </c>
      <c r="AE352" s="55">
        <f>IF(OR(AC352="",N(R352)=0),"",L352/R352)</f>
        <v/>
      </c>
      <c r="AF352" s="100">
        <f>IF(OR(N(K352)=0,N(J352)+N(Q352)=0),"",K352-IF(N(J352)&gt;0,J352,Q352))</f>
        <v/>
      </c>
      <c r="AG352" s="99">
        <f>IF(B352="","",IFERROR(AVERAGEIFS('QUALITY CONTROL'!$M$5:$M$304,'QUALITY CONTROL'!$B$5:$B$304,A352),""))</f>
        <v/>
      </c>
      <c r="AH352" s="51">
        <f>IF(B352="","",DATE(YEAR(B352),MONTH(B352),1))</f>
        <v/>
      </c>
      <c r="AI352" s="49">
        <f>IF(D352="","",IFERROR(INDEX('CUSTOMERS'!$E$5:$E$404,MATCH(D352,'CUSTOMERS'!$B$5:$B$404,0)),""))</f>
        <v/>
      </c>
      <c r="AJ352" s="49">
        <f>IF(B352="","",N(C352))</f>
        <v/>
      </c>
      <c r="AK352" s="49">
        <f>IF(OR(B352="",O352="Cancelled",O352="Rescheduled"),"",B352&amp;"|"&amp;(COUNTIFS('JOBS'!$B$5:$B$1504,B352,'JOBS'!$AJ$5:$AJ$1504,"&lt;"&amp;AJ352,'JOBS'!$O$5:$O$1504,"&lt;&gt;Cancelled",'JOBS'!$O$5:$O$1504,"&lt;&gt;Rescheduled")+COUNTIFS($B$5:B352,B352,$AJ$5:AJ352,AJ352,$O$5:O352,"&lt;&gt;Cancelled",$O$5:O352,"&lt;&gt;Rescheduled")))</f>
        <v/>
      </c>
      <c r="AL352" s="49">
        <f>IF(N(U352)&lt;=0.005,"",COUNTIFS('JOBS'!$U$5:$U$1504,"&gt;0.005",'JOBS'!$B$5:$B$1504,"&lt;"&amp;B352)+COUNTIFS($U$5:U352,"&gt;0.005",$B$5:B352,B352))</f>
        <v/>
      </c>
    </row>
    <row r="353">
      <c r="A353" s="46" t="inlineStr">
        <is>
          <t>J-0349</t>
        </is>
      </c>
      <c r="B353" s="47" t="n"/>
      <c r="C353" s="94" t="n"/>
      <c r="D353" s="38" t="n"/>
      <c r="E353" s="38" t="n"/>
      <c r="F353" s="38" t="n"/>
      <c r="G353" s="38" t="n"/>
      <c r="H353" s="38" t="n"/>
      <c r="I353" s="57" t="n"/>
      <c r="J353" s="95" t="n"/>
      <c r="K353" s="95" t="n"/>
      <c r="L353" s="48" t="n"/>
      <c r="M353" s="96" t="n"/>
      <c r="N353" s="48" t="n"/>
      <c r="O353" s="38" t="n"/>
      <c r="P353" s="38" t="n"/>
      <c r="Q353" s="97">
        <f>IF(OR(F353="",E353=""),"",IFERROR(IF(INDEX('PROPERTIES'!$F$5:$F$404,MATCH(E353,'PROPERTIES'!$B$5:$B$404,0))=0,"",ROUND((INDEX('PROPERTIES'!$F$5:$F$404,MATCH(E353,'PROPERTIES'!$B$5:$B$404,0))/INDEX('PRICING'!$C$7:$C$16,MATCH(F353,'PRICING'!$A$7:$A$16,0))+INDEX('PROPERTIES'!$G$5:$G$404,MATCH(E353,'PROPERTIES'!$B$5:$B$404,0))*INDEX('PRICING'!$D$7:$D$16,MATCH(F353,'PRICING'!$A$7:$A$16,0))/60+INDEX('PROPERTIES'!$H$5:$H$404,MATCH(E353,'PROPERTIES'!$B$5:$B$404,0))*INDEX('PRICING'!$E$7:$E$16,MATCH(F353,'PRICING'!$A$7:$A$16,0))/60+INDEX('PRICING'!$F$7:$F$16,MATCH(F353,'PRICING'!$A$7:$A$16,0))/60),2)),""))</f>
        <v/>
      </c>
      <c r="R353" s="97">
        <f>IF(B353="","",IF(N(K353)&gt;0,K353,IF(N(J353)&gt;0,J353,N(Q353))))</f>
        <v/>
      </c>
      <c r="S353" s="55">
        <f>IF(L353="","",ROUND(L353*(1+N(M353)),2))</f>
        <v/>
      </c>
      <c r="T353" s="55">
        <f>IF(B353="","",SUMIFS('REVENUE'!$C$5:$C$1504,'REVENUE'!$B$5:$B$1504,A353))</f>
        <v/>
      </c>
      <c r="U353" s="55">
        <f>IF(B353="","",IF(O353="Completed",MAX(0,N(S353)-T353),""))</f>
        <v/>
      </c>
      <c r="V353" s="49">
        <f>IF(B353="","",IF(O353&lt;&gt;"Completed",IF(T353&gt;0,"Deposit","—"),IF(U353&lt;=0.005,"Paid",IF(T353&gt;0,"Partial","Unpaid"))))</f>
        <v/>
      </c>
      <c r="W353" s="55">
        <f>IF(B353="","",IFERROR(1/(1/INDEX('STAFF &amp; TASKS'!$C$5:$C$24,MATCH(H353,'STAFF &amp; TASKS'!$A$5:$A$24,0))),PayRate))</f>
        <v/>
      </c>
      <c r="X353" s="55">
        <f>IF(B353="","",IF(OR(O353="Cancelled",O353="No-Show"),"",ROUND(R353*W353*(1+Burden),2)))</f>
        <v/>
      </c>
      <c r="Y353" s="55">
        <f>IF(B353="","",IF(OR(O353="Cancelled",O353="No-Show"),"",IF(N353&lt;&gt;"",N353,ROUND(R353*SupHr*IFERROR(INDEX('PRICING'!$G$7:$G$16,MATCH(F353,'PRICING'!$A$7:$A$16,0)),1),2))))</f>
        <v/>
      </c>
      <c r="Z353" s="98">
        <f>IF(B353="","",SUMIFS('MILEAGE'!$J$5:$J$1504,'MILEAGE'!$B$5:$B$1504,A353))</f>
        <v/>
      </c>
      <c r="AA353" s="55">
        <f>IF(B353="","",ROUND(Z353*MileRate,2))</f>
        <v/>
      </c>
      <c r="AB353" s="55">
        <f>IF(B353="","",SUMIFS('REVENUE'!$J$5:$J$1504,'REVENUE'!$B$5:$B$1504,A353))</f>
        <v/>
      </c>
      <c r="AC353" s="55">
        <f>IF(L353="","",IF(OR(O353="Cancelled",O353="No-Show"),"",L353-N(X353)-N(Y353)-AA353-AB353))</f>
        <v/>
      </c>
      <c r="AD353" s="99">
        <f>IF(OR(AC353="",N(L353)=0),"",AC353/L353)</f>
        <v/>
      </c>
      <c r="AE353" s="55">
        <f>IF(OR(AC353="",N(R353)=0),"",L353/R353)</f>
        <v/>
      </c>
      <c r="AF353" s="100">
        <f>IF(OR(N(K353)=0,N(J353)+N(Q353)=0),"",K353-IF(N(J353)&gt;0,J353,Q353))</f>
        <v/>
      </c>
      <c r="AG353" s="99">
        <f>IF(B353="","",IFERROR(AVERAGEIFS('QUALITY CONTROL'!$M$5:$M$304,'QUALITY CONTROL'!$B$5:$B$304,A353),""))</f>
        <v/>
      </c>
      <c r="AH353" s="51">
        <f>IF(B353="","",DATE(YEAR(B353),MONTH(B353),1))</f>
        <v/>
      </c>
      <c r="AI353" s="49">
        <f>IF(D353="","",IFERROR(INDEX('CUSTOMERS'!$E$5:$E$404,MATCH(D353,'CUSTOMERS'!$B$5:$B$404,0)),""))</f>
        <v/>
      </c>
      <c r="AJ353" s="49">
        <f>IF(B353="","",N(C353))</f>
        <v/>
      </c>
      <c r="AK353" s="49">
        <f>IF(OR(B353="",O353="Cancelled",O353="Rescheduled"),"",B353&amp;"|"&amp;(COUNTIFS('JOBS'!$B$5:$B$1504,B353,'JOBS'!$AJ$5:$AJ$1504,"&lt;"&amp;AJ353,'JOBS'!$O$5:$O$1504,"&lt;&gt;Cancelled",'JOBS'!$O$5:$O$1504,"&lt;&gt;Rescheduled")+COUNTIFS($B$5:B353,B353,$AJ$5:AJ353,AJ353,$O$5:O353,"&lt;&gt;Cancelled",$O$5:O353,"&lt;&gt;Rescheduled")))</f>
        <v/>
      </c>
      <c r="AL353" s="49">
        <f>IF(N(U353)&lt;=0.005,"",COUNTIFS('JOBS'!$U$5:$U$1504,"&gt;0.005",'JOBS'!$B$5:$B$1504,"&lt;"&amp;B353)+COUNTIFS($U$5:U353,"&gt;0.005",$B$5:B353,B353))</f>
        <v/>
      </c>
    </row>
    <row r="354">
      <c r="A354" s="46" t="inlineStr">
        <is>
          <t>J-0350</t>
        </is>
      </c>
      <c r="B354" s="47" t="n"/>
      <c r="C354" s="94" t="n"/>
      <c r="D354" s="38" t="n"/>
      <c r="E354" s="38" t="n"/>
      <c r="F354" s="38" t="n"/>
      <c r="G354" s="38" t="n"/>
      <c r="H354" s="38" t="n"/>
      <c r="I354" s="57" t="n"/>
      <c r="J354" s="95" t="n"/>
      <c r="K354" s="95" t="n"/>
      <c r="L354" s="48" t="n"/>
      <c r="M354" s="96" t="n"/>
      <c r="N354" s="48" t="n"/>
      <c r="O354" s="38" t="n"/>
      <c r="P354" s="38" t="n"/>
      <c r="Q354" s="97">
        <f>IF(OR(F354="",E354=""),"",IFERROR(IF(INDEX('PROPERTIES'!$F$5:$F$404,MATCH(E354,'PROPERTIES'!$B$5:$B$404,0))=0,"",ROUND((INDEX('PROPERTIES'!$F$5:$F$404,MATCH(E354,'PROPERTIES'!$B$5:$B$404,0))/INDEX('PRICING'!$C$7:$C$16,MATCH(F354,'PRICING'!$A$7:$A$16,0))+INDEX('PROPERTIES'!$G$5:$G$404,MATCH(E354,'PROPERTIES'!$B$5:$B$404,0))*INDEX('PRICING'!$D$7:$D$16,MATCH(F354,'PRICING'!$A$7:$A$16,0))/60+INDEX('PROPERTIES'!$H$5:$H$404,MATCH(E354,'PROPERTIES'!$B$5:$B$404,0))*INDEX('PRICING'!$E$7:$E$16,MATCH(F354,'PRICING'!$A$7:$A$16,0))/60+INDEX('PRICING'!$F$7:$F$16,MATCH(F354,'PRICING'!$A$7:$A$16,0))/60),2)),""))</f>
        <v/>
      </c>
      <c r="R354" s="97">
        <f>IF(B354="","",IF(N(K354)&gt;0,K354,IF(N(J354)&gt;0,J354,N(Q354))))</f>
        <v/>
      </c>
      <c r="S354" s="55">
        <f>IF(L354="","",ROUND(L354*(1+N(M354)),2))</f>
        <v/>
      </c>
      <c r="T354" s="55">
        <f>IF(B354="","",SUMIFS('REVENUE'!$C$5:$C$1504,'REVENUE'!$B$5:$B$1504,A354))</f>
        <v/>
      </c>
      <c r="U354" s="55">
        <f>IF(B354="","",IF(O354="Completed",MAX(0,N(S354)-T354),""))</f>
        <v/>
      </c>
      <c r="V354" s="49">
        <f>IF(B354="","",IF(O354&lt;&gt;"Completed",IF(T354&gt;0,"Deposit","—"),IF(U354&lt;=0.005,"Paid",IF(T354&gt;0,"Partial","Unpaid"))))</f>
        <v/>
      </c>
      <c r="W354" s="55">
        <f>IF(B354="","",IFERROR(1/(1/INDEX('STAFF &amp; TASKS'!$C$5:$C$24,MATCH(H354,'STAFF &amp; TASKS'!$A$5:$A$24,0))),PayRate))</f>
        <v/>
      </c>
      <c r="X354" s="55">
        <f>IF(B354="","",IF(OR(O354="Cancelled",O354="No-Show"),"",ROUND(R354*W354*(1+Burden),2)))</f>
        <v/>
      </c>
      <c r="Y354" s="55">
        <f>IF(B354="","",IF(OR(O354="Cancelled",O354="No-Show"),"",IF(N354&lt;&gt;"",N354,ROUND(R354*SupHr*IFERROR(INDEX('PRICING'!$G$7:$G$16,MATCH(F354,'PRICING'!$A$7:$A$16,0)),1),2))))</f>
        <v/>
      </c>
      <c r="Z354" s="98">
        <f>IF(B354="","",SUMIFS('MILEAGE'!$J$5:$J$1504,'MILEAGE'!$B$5:$B$1504,A354))</f>
        <v/>
      </c>
      <c r="AA354" s="55">
        <f>IF(B354="","",ROUND(Z354*MileRate,2))</f>
        <v/>
      </c>
      <c r="AB354" s="55">
        <f>IF(B354="","",SUMIFS('REVENUE'!$J$5:$J$1504,'REVENUE'!$B$5:$B$1504,A354))</f>
        <v/>
      </c>
      <c r="AC354" s="55">
        <f>IF(L354="","",IF(OR(O354="Cancelled",O354="No-Show"),"",L354-N(X354)-N(Y354)-AA354-AB354))</f>
        <v/>
      </c>
      <c r="AD354" s="99">
        <f>IF(OR(AC354="",N(L354)=0),"",AC354/L354)</f>
        <v/>
      </c>
      <c r="AE354" s="55">
        <f>IF(OR(AC354="",N(R354)=0),"",L354/R354)</f>
        <v/>
      </c>
      <c r="AF354" s="100">
        <f>IF(OR(N(K354)=0,N(J354)+N(Q354)=0),"",K354-IF(N(J354)&gt;0,J354,Q354))</f>
        <v/>
      </c>
      <c r="AG354" s="99">
        <f>IF(B354="","",IFERROR(AVERAGEIFS('QUALITY CONTROL'!$M$5:$M$304,'QUALITY CONTROL'!$B$5:$B$304,A354),""))</f>
        <v/>
      </c>
      <c r="AH354" s="51">
        <f>IF(B354="","",DATE(YEAR(B354),MONTH(B354),1))</f>
        <v/>
      </c>
      <c r="AI354" s="49">
        <f>IF(D354="","",IFERROR(INDEX('CUSTOMERS'!$E$5:$E$404,MATCH(D354,'CUSTOMERS'!$B$5:$B$404,0)),""))</f>
        <v/>
      </c>
      <c r="AJ354" s="49">
        <f>IF(B354="","",N(C354))</f>
        <v/>
      </c>
      <c r="AK354" s="49">
        <f>IF(OR(B354="",O354="Cancelled",O354="Rescheduled"),"",B354&amp;"|"&amp;(COUNTIFS('JOBS'!$B$5:$B$1504,B354,'JOBS'!$AJ$5:$AJ$1504,"&lt;"&amp;AJ354,'JOBS'!$O$5:$O$1504,"&lt;&gt;Cancelled",'JOBS'!$O$5:$O$1504,"&lt;&gt;Rescheduled")+COUNTIFS($B$5:B354,B354,$AJ$5:AJ354,AJ354,$O$5:O354,"&lt;&gt;Cancelled",$O$5:O354,"&lt;&gt;Rescheduled")))</f>
        <v/>
      </c>
      <c r="AL354" s="49">
        <f>IF(N(U354)&lt;=0.005,"",COUNTIFS('JOBS'!$U$5:$U$1504,"&gt;0.005",'JOBS'!$B$5:$B$1504,"&lt;"&amp;B354)+COUNTIFS($U$5:U354,"&gt;0.005",$B$5:B354,B354))</f>
        <v/>
      </c>
    </row>
    <row r="355">
      <c r="A355" s="46" t="inlineStr">
        <is>
          <t>J-0351</t>
        </is>
      </c>
      <c r="B355" s="47" t="n"/>
      <c r="C355" s="94" t="n"/>
      <c r="D355" s="38" t="n"/>
      <c r="E355" s="38" t="n"/>
      <c r="F355" s="38" t="n"/>
      <c r="G355" s="38" t="n"/>
      <c r="H355" s="38" t="n"/>
      <c r="I355" s="57" t="n"/>
      <c r="J355" s="95" t="n"/>
      <c r="K355" s="95" t="n"/>
      <c r="L355" s="48" t="n"/>
      <c r="M355" s="96" t="n"/>
      <c r="N355" s="48" t="n"/>
      <c r="O355" s="38" t="n"/>
      <c r="P355" s="38" t="n"/>
      <c r="Q355" s="97">
        <f>IF(OR(F355="",E355=""),"",IFERROR(IF(INDEX('PROPERTIES'!$F$5:$F$404,MATCH(E355,'PROPERTIES'!$B$5:$B$404,0))=0,"",ROUND((INDEX('PROPERTIES'!$F$5:$F$404,MATCH(E355,'PROPERTIES'!$B$5:$B$404,0))/INDEX('PRICING'!$C$7:$C$16,MATCH(F355,'PRICING'!$A$7:$A$16,0))+INDEX('PROPERTIES'!$G$5:$G$404,MATCH(E355,'PROPERTIES'!$B$5:$B$404,0))*INDEX('PRICING'!$D$7:$D$16,MATCH(F355,'PRICING'!$A$7:$A$16,0))/60+INDEX('PROPERTIES'!$H$5:$H$404,MATCH(E355,'PROPERTIES'!$B$5:$B$404,0))*INDEX('PRICING'!$E$7:$E$16,MATCH(F355,'PRICING'!$A$7:$A$16,0))/60+INDEX('PRICING'!$F$7:$F$16,MATCH(F355,'PRICING'!$A$7:$A$16,0))/60),2)),""))</f>
        <v/>
      </c>
      <c r="R355" s="97">
        <f>IF(B355="","",IF(N(K355)&gt;0,K355,IF(N(J355)&gt;0,J355,N(Q355))))</f>
        <v/>
      </c>
      <c r="S355" s="55">
        <f>IF(L355="","",ROUND(L355*(1+N(M355)),2))</f>
        <v/>
      </c>
      <c r="T355" s="55">
        <f>IF(B355="","",SUMIFS('REVENUE'!$C$5:$C$1504,'REVENUE'!$B$5:$B$1504,A355))</f>
        <v/>
      </c>
      <c r="U355" s="55">
        <f>IF(B355="","",IF(O355="Completed",MAX(0,N(S355)-T355),""))</f>
        <v/>
      </c>
      <c r="V355" s="49">
        <f>IF(B355="","",IF(O355&lt;&gt;"Completed",IF(T355&gt;0,"Deposit","—"),IF(U355&lt;=0.005,"Paid",IF(T355&gt;0,"Partial","Unpaid"))))</f>
        <v/>
      </c>
      <c r="W355" s="55">
        <f>IF(B355="","",IFERROR(1/(1/INDEX('STAFF &amp; TASKS'!$C$5:$C$24,MATCH(H355,'STAFF &amp; TASKS'!$A$5:$A$24,0))),PayRate))</f>
        <v/>
      </c>
      <c r="X355" s="55">
        <f>IF(B355="","",IF(OR(O355="Cancelled",O355="No-Show"),"",ROUND(R355*W355*(1+Burden),2)))</f>
        <v/>
      </c>
      <c r="Y355" s="55">
        <f>IF(B355="","",IF(OR(O355="Cancelled",O355="No-Show"),"",IF(N355&lt;&gt;"",N355,ROUND(R355*SupHr*IFERROR(INDEX('PRICING'!$G$7:$G$16,MATCH(F355,'PRICING'!$A$7:$A$16,0)),1),2))))</f>
        <v/>
      </c>
      <c r="Z355" s="98">
        <f>IF(B355="","",SUMIFS('MILEAGE'!$J$5:$J$1504,'MILEAGE'!$B$5:$B$1504,A355))</f>
        <v/>
      </c>
      <c r="AA355" s="55">
        <f>IF(B355="","",ROUND(Z355*MileRate,2))</f>
        <v/>
      </c>
      <c r="AB355" s="55">
        <f>IF(B355="","",SUMIFS('REVENUE'!$J$5:$J$1504,'REVENUE'!$B$5:$B$1504,A355))</f>
        <v/>
      </c>
      <c r="AC355" s="55">
        <f>IF(L355="","",IF(OR(O355="Cancelled",O355="No-Show"),"",L355-N(X355)-N(Y355)-AA355-AB355))</f>
        <v/>
      </c>
      <c r="AD355" s="99">
        <f>IF(OR(AC355="",N(L355)=0),"",AC355/L355)</f>
        <v/>
      </c>
      <c r="AE355" s="55">
        <f>IF(OR(AC355="",N(R355)=0),"",L355/R355)</f>
        <v/>
      </c>
      <c r="AF355" s="100">
        <f>IF(OR(N(K355)=0,N(J355)+N(Q355)=0),"",K355-IF(N(J355)&gt;0,J355,Q355))</f>
        <v/>
      </c>
      <c r="AG355" s="99">
        <f>IF(B355="","",IFERROR(AVERAGEIFS('QUALITY CONTROL'!$M$5:$M$304,'QUALITY CONTROL'!$B$5:$B$304,A355),""))</f>
        <v/>
      </c>
      <c r="AH355" s="51">
        <f>IF(B355="","",DATE(YEAR(B355),MONTH(B355),1))</f>
        <v/>
      </c>
      <c r="AI355" s="49">
        <f>IF(D355="","",IFERROR(INDEX('CUSTOMERS'!$E$5:$E$404,MATCH(D355,'CUSTOMERS'!$B$5:$B$404,0)),""))</f>
        <v/>
      </c>
      <c r="AJ355" s="49">
        <f>IF(B355="","",N(C355))</f>
        <v/>
      </c>
      <c r="AK355" s="49">
        <f>IF(OR(B355="",O355="Cancelled",O355="Rescheduled"),"",B355&amp;"|"&amp;(COUNTIFS('JOBS'!$B$5:$B$1504,B355,'JOBS'!$AJ$5:$AJ$1504,"&lt;"&amp;AJ355,'JOBS'!$O$5:$O$1504,"&lt;&gt;Cancelled",'JOBS'!$O$5:$O$1504,"&lt;&gt;Rescheduled")+COUNTIFS($B$5:B355,B355,$AJ$5:AJ355,AJ355,$O$5:O355,"&lt;&gt;Cancelled",$O$5:O355,"&lt;&gt;Rescheduled")))</f>
        <v/>
      </c>
      <c r="AL355" s="49">
        <f>IF(N(U355)&lt;=0.005,"",COUNTIFS('JOBS'!$U$5:$U$1504,"&gt;0.005",'JOBS'!$B$5:$B$1504,"&lt;"&amp;B355)+COUNTIFS($U$5:U355,"&gt;0.005",$B$5:B355,B355))</f>
        <v/>
      </c>
    </row>
    <row r="356">
      <c r="A356" s="46" t="inlineStr">
        <is>
          <t>J-0352</t>
        </is>
      </c>
      <c r="B356" s="47" t="n"/>
      <c r="C356" s="94" t="n"/>
      <c r="D356" s="38" t="n"/>
      <c r="E356" s="38" t="n"/>
      <c r="F356" s="38" t="n"/>
      <c r="G356" s="38" t="n"/>
      <c r="H356" s="38" t="n"/>
      <c r="I356" s="57" t="n"/>
      <c r="J356" s="95" t="n"/>
      <c r="K356" s="95" t="n"/>
      <c r="L356" s="48" t="n"/>
      <c r="M356" s="96" t="n"/>
      <c r="N356" s="48" t="n"/>
      <c r="O356" s="38" t="n"/>
      <c r="P356" s="38" t="n"/>
      <c r="Q356" s="97">
        <f>IF(OR(F356="",E356=""),"",IFERROR(IF(INDEX('PROPERTIES'!$F$5:$F$404,MATCH(E356,'PROPERTIES'!$B$5:$B$404,0))=0,"",ROUND((INDEX('PROPERTIES'!$F$5:$F$404,MATCH(E356,'PROPERTIES'!$B$5:$B$404,0))/INDEX('PRICING'!$C$7:$C$16,MATCH(F356,'PRICING'!$A$7:$A$16,0))+INDEX('PROPERTIES'!$G$5:$G$404,MATCH(E356,'PROPERTIES'!$B$5:$B$404,0))*INDEX('PRICING'!$D$7:$D$16,MATCH(F356,'PRICING'!$A$7:$A$16,0))/60+INDEX('PROPERTIES'!$H$5:$H$404,MATCH(E356,'PROPERTIES'!$B$5:$B$404,0))*INDEX('PRICING'!$E$7:$E$16,MATCH(F356,'PRICING'!$A$7:$A$16,0))/60+INDEX('PRICING'!$F$7:$F$16,MATCH(F356,'PRICING'!$A$7:$A$16,0))/60),2)),""))</f>
        <v/>
      </c>
      <c r="R356" s="97">
        <f>IF(B356="","",IF(N(K356)&gt;0,K356,IF(N(J356)&gt;0,J356,N(Q356))))</f>
        <v/>
      </c>
      <c r="S356" s="55">
        <f>IF(L356="","",ROUND(L356*(1+N(M356)),2))</f>
        <v/>
      </c>
      <c r="T356" s="55">
        <f>IF(B356="","",SUMIFS('REVENUE'!$C$5:$C$1504,'REVENUE'!$B$5:$B$1504,A356))</f>
        <v/>
      </c>
      <c r="U356" s="55">
        <f>IF(B356="","",IF(O356="Completed",MAX(0,N(S356)-T356),""))</f>
        <v/>
      </c>
      <c r="V356" s="49">
        <f>IF(B356="","",IF(O356&lt;&gt;"Completed",IF(T356&gt;0,"Deposit","—"),IF(U356&lt;=0.005,"Paid",IF(T356&gt;0,"Partial","Unpaid"))))</f>
        <v/>
      </c>
      <c r="W356" s="55">
        <f>IF(B356="","",IFERROR(1/(1/INDEX('STAFF &amp; TASKS'!$C$5:$C$24,MATCH(H356,'STAFF &amp; TASKS'!$A$5:$A$24,0))),PayRate))</f>
        <v/>
      </c>
      <c r="X356" s="55">
        <f>IF(B356="","",IF(OR(O356="Cancelled",O356="No-Show"),"",ROUND(R356*W356*(1+Burden),2)))</f>
        <v/>
      </c>
      <c r="Y356" s="55">
        <f>IF(B356="","",IF(OR(O356="Cancelled",O356="No-Show"),"",IF(N356&lt;&gt;"",N356,ROUND(R356*SupHr*IFERROR(INDEX('PRICING'!$G$7:$G$16,MATCH(F356,'PRICING'!$A$7:$A$16,0)),1),2))))</f>
        <v/>
      </c>
      <c r="Z356" s="98">
        <f>IF(B356="","",SUMIFS('MILEAGE'!$J$5:$J$1504,'MILEAGE'!$B$5:$B$1504,A356))</f>
        <v/>
      </c>
      <c r="AA356" s="55">
        <f>IF(B356="","",ROUND(Z356*MileRate,2))</f>
        <v/>
      </c>
      <c r="AB356" s="55">
        <f>IF(B356="","",SUMIFS('REVENUE'!$J$5:$J$1504,'REVENUE'!$B$5:$B$1504,A356))</f>
        <v/>
      </c>
      <c r="AC356" s="55">
        <f>IF(L356="","",IF(OR(O356="Cancelled",O356="No-Show"),"",L356-N(X356)-N(Y356)-AA356-AB356))</f>
        <v/>
      </c>
      <c r="AD356" s="99">
        <f>IF(OR(AC356="",N(L356)=0),"",AC356/L356)</f>
        <v/>
      </c>
      <c r="AE356" s="55">
        <f>IF(OR(AC356="",N(R356)=0),"",L356/R356)</f>
        <v/>
      </c>
      <c r="AF356" s="100">
        <f>IF(OR(N(K356)=0,N(J356)+N(Q356)=0),"",K356-IF(N(J356)&gt;0,J356,Q356))</f>
        <v/>
      </c>
      <c r="AG356" s="99">
        <f>IF(B356="","",IFERROR(AVERAGEIFS('QUALITY CONTROL'!$M$5:$M$304,'QUALITY CONTROL'!$B$5:$B$304,A356),""))</f>
        <v/>
      </c>
      <c r="AH356" s="51">
        <f>IF(B356="","",DATE(YEAR(B356),MONTH(B356),1))</f>
        <v/>
      </c>
      <c r="AI356" s="49">
        <f>IF(D356="","",IFERROR(INDEX('CUSTOMERS'!$E$5:$E$404,MATCH(D356,'CUSTOMERS'!$B$5:$B$404,0)),""))</f>
        <v/>
      </c>
      <c r="AJ356" s="49">
        <f>IF(B356="","",N(C356))</f>
        <v/>
      </c>
      <c r="AK356" s="49">
        <f>IF(OR(B356="",O356="Cancelled",O356="Rescheduled"),"",B356&amp;"|"&amp;(COUNTIFS('JOBS'!$B$5:$B$1504,B356,'JOBS'!$AJ$5:$AJ$1504,"&lt;"&amp;AJ356,'JOBS'!$O$5:$O$1504,"&lt;&gt;Cancelled",'JOBS'!$O$5:$O$1504,"&lt;&gt;Rescheduled")+COUNTIFS($B$5:B356,B356,$AJ$5:AJ356,AJ356,$O$5:O356,"&lt;&gt;Cancelled",$O$5:O356,"&lt;&gt;Rescheduled")))</f>
        <v/>
      </c>
      <c r="AL356" s="49">
        <f>IF(N(U356)&lt;=0.005,"",COUNTIFS('JOBS'!$U$5:$U$1504,"&gt;0.005",'JOBS'!$B$5:$B$1504,"&lt;"&amp;B356)+COUNTIFS($U$5:U356,"&gt;0.005",$B$5:B356,B356))</f>
        <v/>
      </c>
    </row>
    <row r="357">
      <c r="A357" s="46" t="inlineStr">
        <is>
          <t>J-0353</t>
        </is>
      </c>
      <c r="B357" s="47" t="n"/>
      <c r="C357" s="94" t="n"/>
      <c r="D357" s="38" t="n"/>
      <c r="E357" s="38" t="n"/>
      <c r="F357" s="38" t="n"/>
      <c r="G357" s="38" t="n"/>
      <c r="H357" s="38" t="n"/>
      <c r="I357" s="57" t="n"/>
      <c r="J357" s="95" t="n"/>
      <c r="K357" s="95" t="n"/>
      <c r="L357" s="48" t="n"/>
      <c r="M357" s="96" t="n"/>
      <c r="N357" s="48" t="n"/>
      <c r="O357" s="38" t="n"/>
      <c r="P357" s="38" t="n"/>
      <c r="Q357" s="97">
        <f>IF(OR(F357="",E357=""),"",IFERROR(IF(INDEX('PROPERTIES'!$F$5:$F$404,MATCH(E357,'PROPERTIES'!$B$5:$B$404,0))=0,"",ROUND((INDEX('PROPERTIES'!$F$5:$F$404,MATCH(E357,'PROPERTIES'!$B$5:$B$404,0))/INDEX('PRICING'!$C$7:$C$16,MATCH(F357,'PRICING'!$A$7:$A$16,0))+INDEX('PROPERTIES'!$G$5:$G$404,MATCH(E357,'PROPERTIES'!$B$5:$B$404,0))*INDEX('PRICING'!$D$7:$D$16,MATCH(F357,'PRICING'!$A$7:$A$16,0))/60+INDEX('PROPERTIES'!$H$5:$H$404,MATCH(E357,'PROPERTIES'!$B$5:$B$404,0))*INDEX('PRICING'!$E$7:$E$16,MATCH(F357,'PRICING'!$A$7:$A$16,0))/60+INDEX('PRICING'!$F$7:$F$16,MATCH(F357,'PRICING'!$A$7:$A$16,0))/60),2)),""))</f>
        <v/>
      </c>
      <c r="R357" s="97">
        <f>IF(B357="","",IF(N(K357)&gt;0,K357,IF(N(J357)&gt;0,J357,N(Q357))))</f>
        <v/>
      </c>
      <c r="S357" s="55">
        <f>IF(L357="","",ROUND(L357*(1+N(M357)),2))</f>
        <v/>
      </c>
      <c r="T357" s="55">
        <f>IF(B357="","",SUMIFS('REVENUE'!$C$5:$C$1504,'REVENUE'!$B$5:$B$1504,A357))</f>
        <v/>
      </c>
      <c r="U357" s="55">
        <f>IF(B357="","",IF(O357="Completed",MAX(0,N(S357)-T357),""))</f>
        <v/>
      </c>
      <c r="V357" s="49">
        <f>IF(B357="","",IF(O357&lt;&gt;"Completed",IF(T357&gt;0,"Deposit","—"),IF(U357&lt;=0.005,"Paid",IF(T357&gt;0,"Partial","Unpaid"))))</f>
        <v/>
      </c>
      <c r="W357" s="55">
        <f>IF(B357="","",IFERROR(1/(1/INDEX('STAFF &amp; TASKS'!$C$5:$C$24,MATCH(H357,'STAFF &amp; TASKS'!$A$5:$A$24,0))),PayRate))</f>
        <v/>
      </c>
      <c r="X357" s="55">
        <f>IF(B357="","",IF(OR(O357="Cancelled",O357="No-Show"),"",ROUND(R357*W357*(1+Burden),2)))</f>
        <v/>
      </c>
      <c r="Y357" s="55">
        <f>IF(B357="","",IF(OR(O357="Cancelled",O357="No-Show"),"",IF(N357&lt;&gt;"",N357,ROUND(R357*SupHr*IFERROR(INDEX('PRICING'!$G$7:$G$16,MATCH(F357,'PRICING'!$A$7:$A$16,0)),1),2))))</f>
        <v/>
      </c>
      <c r="Z357" s="98">
        <f>IF(B357="","",SUMIFS('MILEAGE'!$J$5:$J$1504,'MILEAGE'!$B$5:$B$1504,A357))</f>
        <v/>
      </c>
      <c r="AA357" s="55">
        <f>IF(B357="","",ROUND(Z357*MileRate,2))</f>
        <v/>
      </c>
      <c r="AB357" s="55">
        <f>IF(B357="","",SUMIFS('REVENUE'!$J$5:$J$1504,'REVENUE'!$B$5:$B$1504,A357))</f>
        <v/>
      </c>
      <c r="AC357" s="55">
        <f>IF(L357="","",IF(OR(O357="Cancelled",O357="No-Show"),"",L357-N(X357)-N(Y357)-AA357-AB357))</f>
        <v/>
      </c>
      <c r="AD357" s="99">
        <f>IF(OR(AC357="",N(L357)=0),"",AC357/L357)</f>
        <v/>
      </c>
      <c r="AE357" s="55">
        <f>IF(OR(AC357="",N(R357)=0),"",L357/R357)</f>
        <v/>
      </c>
      <c r="AF357" s="100">
        <f>IF(OR(N(K357)=0,N(J357)+N(Q357)=0),"",K357-IF(N(J357)&gt;0,J357,Q357))</f>
        <v/>
      </c>
      <c r="AG357" s="99">
        <f>IF(B357="","",IFERROR(AVERAGEIFS('QUALITY CONTROL'!$M$5:$M$304,'QUALITY CONTROL'!$B$5:$B$304,A357),""))</f>
        <v/>
      </c>
      <c r="AH357" s="51">
        <f>IF(B357="","",DATE(YEAR(B357),MONTH(B357),1))</f>
        <v/>
      </c>
      <c r="AI357" s="49">
        <f>IF(D357="","",IFERROR(INDEX('CUSTOMERS'!$E$5:$E$404,MATCH(D357,'CUSTOMERS'!$B$5:$B$404,0)),""))</f>
        <v/>
      </c>
      <c r="AJ357" s="49">
        <f>IF(B357="","",N(C357))</f>
        <v/>
      </c>
      <c r="AK357" s="49">
        <f>IF(OR(B357="",O357="Cancelled",O357="Rescheduled"),"",B357&amp;"|"&amp;(COUNTIFS('JOBS'!$B$5:$B$1504,B357,'JOBS'!$AJ$5:$AJ$1504,"&lt;"&amp;AJ357,'JOBS'!$O$5:$O$1504,"&lt;&gt;Cancelled",'JOBS'!$O$5:$O$1504,"&lt;&gt;Rescheduled")+COUNTIFS($B$5:B357,B357,$AJ$5:AJ357,AJ357,$O$5:O357,"&lt;&gt;Cancelled",$O$5:O357,"&lt;&gt;Rescheduled")))</f>
        <v/>
      </c>
      <c r="AL357" s="49">
        <f>IF(N(U357)&lt;=0.005,"",COUNTIFS('JOBS'!$U$5:$U$1504,"&gt;0.005",'JOBS'!$B$5:$B$1504,"&lt;"&amp;B357)+COUNTIFS($U$5:U357,"&gt;0.005",$B$5:B357,B357))</f>
        <v/>
      </c>
    </row>
    <row r="358">
      <c r="A358" s="46" t="inlineStr">
        <is>
          <t>J-0354</t>
        </is>
      </c>
      <c r="B358" s="47" t="n"/>
      <c r="C358" s="94" t="n"/>
      <c r="D358" s="38" t="n"/>
      <c r="E358" s="38" t="n"/>
      <c r="F358" s="38" t="n"/>
      <c r="G358" s="38" t="n"/>
      <c r="H358" s="38" t="n"/>
      <c r="I358" s="57" t="n"/>
      <c r="J358" s="95" t="n"/>
      <c r="K358" s="95" t="n"/>
      <c r="L358" s="48" t="n"/>
      <c r="M358" s="96" t="n"/>
      <c r="N358" s="48" t="n"/>
      <c r="O358" s="38" t="n"/>
      <c r="P358" s="38" t="n"/>
      <c r="Q358" s="97">
        <f>IF(OR(F358="",E358=""),"",IFERROR(IF(INDEX('PROPERTIES'!$F$5:$F$404,MATCH(E358,'PROPERTIES'!$B$5:$B$404,0))=0,"",ROUND((INDEX('PROPERTIES'!$F$5:$F$404,MATCH(E358,'PROPERTIES'!$B$5:$B$404,0))/INDEX('PRICING'!$C$7:$C$16,MATCH(F358,'PRICING'!$A$7:$A$16,0))+INDEX('PROPERTIES'!$G$5:$G$404,MATCH(E358,'PROPERTIES'!$B$5:$B$404,0))*INDEX('PRICING'!$D$7:$D$16,MATCH(F358,'PRICING'!$A$7:$A$16,0))/60+INDEX('PROPERTIES'!$H$5:$H$404,MATCH(E358,'PROPERTIES'!$B$5:$B$404,0))*INDEX('PRICING'!$E$7:$E$16,MATCH(F358,'PRICING'!$A$7:$A$16,0))/60+INDEX('PRICING'!$F$7:$F$16,MATCH(F358,'PRICING'!$A$7:$A$16,0))/60),2)),""))</f>
        <v/>
      </c>
      <c r="R358" s="97">
        <f>IF(B358="","",IF(N(K358)&gt;0,K358,IF(N(J358)&gt;0,J358,N(Q358))))</f>
        <v/>
      </c>
      <c r="S358" s="55">
        <f>IF(L358="","",ROUND(L358*(1+N(M358)),2))</f>
        <v/>
      </c>
      <c r="T358" s="55">
        <f>IF(B358="","",SUMIFS('REVENUE'!$C$5:$C$1504,'REVENUE'!$B$5:$B$1504,A358))</f>
        <v/>
      </c>
      <c r="U358" s="55">
        <f>IF(B358="","",IF(O358="Completed",MAX(0,N(S358)-T358),""))</f>
        <v/>
      </c>
      <c r="V358" s="49">
        <f>IF(B358="","",IF(O358&lt;&gt;"Completed",IF(T358&gt;0,"Deposit","—"),IF(U358&lt;=0.005,"Paid",IF(T358&gt;0,"Partial","Unpaid"))))</f>
        <v/>
      </c>
      <c r="W358" s="55">
        <f>IF(B358="","",IFERROR(1/(1/INDEX('STAFF &amp; TASKS'!$C$5:$C$24,MATCH(H358,'STAFF &amp; TASKS'!$A$5:$A$24,0))),PayRate))</f>
        <v/>
      </c>
      <c r="X358" s="55">
        <f>IF(B358="","",IF(OR(O358="Cancelled",O358="No-Show"),"",ROUND(R358*W358*(1+Burden),2)))</f>
        <v/>
      </c>
      <c r="Y358" s="55">
        <f>IF(B358="","",IF(OR(O358="Cancelled",O358="No-Show"),"",IF(N358&lt;&gt;"",N358,ROUND(R358*SupHr*IFERROR(INDEX('PRICING'!$G$7:$G$16,MATCH(F358,'PRICING'!$A$7:$A$16,0)),1),2))))</f>
        <v/>
      </c>
      <c r="Z358" s="98">
        <f>IF(B358="","",SUMIFS('MILEAGE'!$J$5:$J$1504,'MILEAGE'!$B$5:$B$1504,A358))</f>
        <v/>
      </c>
      <c r="AA358" s="55">
        <f>IF(B358="","",ROUND(Z358*MileRate,2))</f>
        <v/>
      </c>
      <c r="AB358" s="55">
        <f>IF(B358="","",SUMIFS('REVENUE'!$J$5:$J$1504,'REVENUE'!$B$5:$B$1504,A358))</f>
        <v/>
      </c>
      <c r="AC358" s="55">
        <f>IF(L358="","",IF(OR(O358="Cancelled",O358="No-Show"),"",L358-N(X358)-N(Y358)-AA358-AB358))</f>
        <v/>
      </c>
      <c r="AD358" s="99">
        <f>IF(OR(AC358="",N(L358)=0),"",AC358/L358)</f>
        <v/>
      </c>
      <c r="AE358" s="55">
        <f>IF(OR(AC358="",N(R358)=0),"",L358/R358)</f>
        <v/>
      </c>
      <c r="AF358" s="100">
        <f>IF(OR(N(K358)=0,N(J358)+N(Q358)=0),"",K358-IF(N(J358)&gt;0,J358,Q358))</f>
        <v/>
      </c>
      <c r="AG358" s="99">
        <f>IF(B358="","",IFERROR(AVERAGEIFS('QUALITY CONTROL'!$M$5:$M$304,'QUALITY CONTROL'!$B$5:$B$304,A358),""))</f>
        <v/>
      </c>
      <c r="AH358" s="51">
        <f>IF(B358="","",DATE(YEAR(B358),MONTH(B358),1))</f>
        <v/>
      </c>
      <c r="AI358" s="49">
        <f>IF(D358="","",IFERROR(INDEX('CUSTOMERS'!$E$5:$E$404,MATCH(D358,'CUSTOMERS'!$B$5:$B$404,0)),""))</f>
        <v/>
      </c>
      <c r="AJ358" s="49">
        <f>IF(B358="","",N(C358))</f>
        <v/>
      </c>
      <c r="AK358" s="49">
        <f>IF(OR(B358="",O358="Cancelled",O358="Rescheduled"),"",B358&amp;"|"&amp;(COUNTIFS('JOBS'!$B$5:$B$1504,B358,'JOBS'!$AJ$5:$AJ$1504,"&lt;"&amp;AJ358,'JOBS'!$O$5:$O$1504,"&lt;&gt;Cancelled",'JOBS'!$O$5:$O$1504,"&lt;&gt;Rescheduled")+COUNTIFS($B$5:B358,B358,$AJ$5:AJ358,AJ358,$O$5:O358,"&lt;&gt;Cancelled",$O$5:O358,"&lt;&gt;Rescheduled")))</f>
        <v/>
      </c>
      <c r="AL358" s="49">
        <f>IF(N(U358)&lt;=0.005,"",COUNTIFS('JOBS'!$U$5:$U$1504,"&gt;0.005",'JOBS'!$B$5:$B$1504,"&lt;"&amp;B358)+COUNTIFS($U$5:U358,"&gt;0.005",$B$5:B358,B358))</f>
        <v/>
      </c>
    </row>
    <row r="359">
      <c r="A359" s="46" t="inlineStr">
        <is>
          <t>J-0355</t>
        </is>
      </c>
      <c r="B359" s="47" t="n"/>
      <c r="C359" s="94" t="n"/>
      <c r="D359" s="38" t="n"/>
      <c r="E359" s="38" t="n"/>
      <c r="F359" s="38" t="n"/>
      <c r="G359" s="38" t="n"/>
      <c r="H359" s="38" t="n"/>
      <c r="I359" s="57" t="n"/>
      <c r="J359" s="95" t="n"/>
      <c r="K359" s="95" t="n"/>
      <c r="L359" s="48" t="n"/>
      <c r="M359" s="96" t="n"/>
      <c r="N359" s="48" t="n"/>
      <c r="O359" s="38" t="n"/>
      <c r="P359" s="38" t="n"/>
      <c r="Q359" s="97">
        <f>IF(OR(F359="",E359=""),"",IFERROR(IF(INDEX('PROPERTIES'!$F$5:$F$404,MATCH(E359,'PROPERTIES'!$B$5:$B$404,0))=0,"",ROUND((INDEX('PROPERTIES'!$F$5:$F$404,MATCH(E359,'PROPERTIES'!$B$5:$B$404,0))/INDEX('PRICING'!$C$7:$C$16,MATCH(F359,'PRICING'!$A$7:$A$16,0))+INDEX('PROPERTIES'!$G$5:$G$404,MATCH(E359,'PROPERTIES'!$B$5:$B$404,0))*INDEX('PRICING'!$D$7:$D$16,MATCH(F359,'PRICING'!$A$7:$A$16,0))/60+INDEX('PROPERTIES'!$H$5:$H$404,MATCH(E359,'PROPERTIES'!$B$5:$B$404,0))*INDEX('PRICING'!$E$7:$E$16,MATCH(F359,'PRICING'!$A$7:$A$16,0))/60+INDEX('PRICING'!$F$7:$F$16,MATCH(F359,'PRICING'!$A$7:$A$16,0))/60),2)),""))</f>
        <v/>
      </c>
      <c r="R359" s="97">
        <f>IF(B359="","",IF(N(K359)&gt;0,K359,IF(N(J359)&gt;0,J359,N(Q359))))</f>
        <v/>
      </c>
      <c r="S359" s="55">
        <f>IF(L359="","",ROUND(L359*(1+N(M359)),2))</f>
        <v/>
      </c>
      <c r="T359" s="55">
        <f>IF(B359="","",SUMIFS('REVENUE'!$C$5:$C$1504,'REVENUE'!$B$5:$B$1504,A359))</f>
        <v/>
      </c>
      <c r="U359" s="55">
        <f>IF(B359="","",IF(O359="Completed",MAX(0,N(S359)-T359),""))</f>
        <v/>
      </c>
      <c r="V359" s="49">
        <f>IF(B359="","",IF(O359&lt;&gt;"Completed",IF(T359&gt;0,"Deposit","—"),IF(U359&lt;=0.005,"Paid",IF(T359&gt;0,"Partial","Unpaid"))))</f>
        <v/>
      </c>
      <c r="W359" s="55">
        <f>IF(B359="","",IFERROR(1/(1/INDEX('STAFF &amp; TASKS'!$C$5:$C$24,MATCH(H359,'STAFF &amp; TASKS'!$A$5:$A$24,0))),PayRate))</f>
        <v/>
      </c>
      <c r="X359" s="55">
        <f>IF(B359="","",IF(OR(O359="Cancelled",O359="No-Show"),"",ROUND(R359*W359*(1+Burden),2)))</f>
        <v/>
      </c>
      <c r="Y359" s="55">
        <f>IF(B359="","",IF(OR(O359="Cancelled",O359="No-Show"),"",IF(N359&lt;&gt;"",N359,ROUND(R359*SupHr*IFERROR(INDEX('PRICING'!$G$7:$G$16,MATCH(F359,'PRICING'!$A$7:$A$16,0)),1),2))))</f>
        <v/>
      </c>
      <c r="Z359" s="98">
        <f>IF(B359="","",SUMIFS('MILEAGE'!$J$5:$J$1504,'MILEAGE'!$B$5:$B$1504,A359))</f>
        <v/>
      </c>
      <c r="AA359" s="55">
        <f>IF(B359="","",ROUND(Z359*MileRate,2))</f>
        <v/>
      </c>
      <c r="AB359" s="55">
        <f>IF(B359="","",SUMIFS('REVENUE'!$J$5:$J$1504,'REVENUE'!$B$5:$B$1504,A359))</f>
        <v/>
      </c>
      <c r="AC359" s="55">
        <f>IF(L359="","",IF(OR(O359="Cancelled",O359="No-Show"),"",L359-N(X359)-N(Y359)-AA359-AB359))</f>
        <v/>
      </c>
      <c r="AD359" s="99">
        <f>IF(OR(AC359="",N(L359)=0),"",AC359/L359)</f>
        <v/>
      </c>
      <c r="AE359" s="55">
        <f>IF(OR(AC359="",N(R359)=0),"",L359/R359)</f>
        <v/>
      </c>
      <c r="AF359" s="100">
        <f>IF(OR(N(K359)=0,N(J359)+N(Q359)=0),"",K359-IF(N(J359)&gt;0,J359,Q359))</f>
        <v/>
      </c>
      <c r="AG359" s="99">
        <f>IF(B359="","",IFERROR(AVERAGEIFS('QUALITY CONTROL'!$M$5:$M$304,'QUALITY CONTROL'!$B$5:$B$304,A359),""))</f>
        <v/>
      </c>
      <c r="AH359" s="51">
        <f>IF(B359="","",DATE(YEAR(B359),MONTH(B359),1))</f>
        <v/>
      </c>
      <c r="AI359" s="49">
        <f>IF(D359="","",IFERROR(INDEX('CUSTOMERS'!$E$5:$E$404,MATCH(D359,'CUSTOMERS'!$B$5:$B$404,0)),""))</f>
        <v/>
      </c>
      <c r="AJ359" s="49">
        <f>IF(B359="","",N(C359))</f>
        <v/>
      </c>
      <c r="AK359" s="49">
        <f>IF(OR(B359="",O359="Cancelled",O359="Rescheduled"),"",B359&amp;"|"&amp;(COUNTIFS('JOBS'!$B$5:$B$1504,B359,'JOBS'!$AJ$5:$AJ$1504,"&lt;"&amp;AJ359,'JOBS'!$O$5:$O$1504,"&lt;&gt;Cancelled",'JOBS'!$O$5:$O$1504,"&lt;&gt;Rescheduled")+COUNTIFS($B$5:B359,B359,$AJ$5:AJ359,AJ359,$O$5:O359,"&lt;&gt;Cancelled",$O$5:O359,"&lt;&gt;Rescheduled")))</f>
        <v/>
      </c>
      <c r="AL359" s="49">
        <f>IF(N(U359)&lt;=0.005,"",COUNTIFS('JOBS'!$U$5:$U$1504,"&gt;0.005",'JOBS'!$B$5:$B$1504,"&lt;"&amp;B359)+COUNTIFS($U$5:U359,"&gt;0.005",$B$5:B359,B359))</f>
        <v/>
      </c>
    </row>
    <row r="360">
      <c r="A360" s="46" t="inlineStr">
        <is>
          <t>J-0356</t>
        </is>
      </c>
      <c r="B360" s="47" t="n"/>
      <c r="C360" s="94" t="n"/>
      <c r="D360" s="38" t="n"/>
      <c r="E360" s="38" t="n"/>
      <c r="F360" s="38" t="n"/>
      <c r="G360" s="38" t="n"/>
      <c r="H360" s="38" t="n"/>
      <c r="I360" s="57" t="n"/>
      <c r="J360" s="95" t="n"/>
      <c r="K360" s="95" t="n"/>
      <c r="L360" s="48" t="n"/>
      <c r="M360" s="96" t="n"/>
      <c r="N360" s="48" t="n"/>
      <c r="O360" s="38" t="n"/>
      <c r="P360" s="38" t="n"/>
      <c r="Q360" s="97">
        <f>IF(OR(F360="",E360=""),"",IFERROR(IF(INDEX('PROPERTIES'!$F$5:$F$404,MATCH(E360,'PROPERTIES'!$B$5:$B$404,0))=0,"",ROUND((INDEX('PROPERTIES'!$F$5:$F$404,MATCH(E360,'PROPERTIES'!$B$5:$B$404,0))/INDEX('PRICING'!$C$7:$C$16,MATCH(F360,'PRICING'!$A$7:$A$16,0))+INDEX('PROPERTIES'!$G$5:$G$404,MATCH(E360,'PROPERTIES'!$B$5:$B$404,0))*INDEX('PRICING'!$D$7:$D$16,MATCH(F360,'PRICING'!$A$7:$A$16,0))/60+INDEX('PROPERTIES'!$H$5:$H$404,MATCH(E360,'PROPERTIES'!$B$5:$B$404,0))*INDEX('PRICING'!$E$7:$E$16,MATCH(F360,'PRICING'!$A$7:$A$16,0))/60+INDEX('PRICING'!$F$7:$F$16,MATCH(F360,'PRICING'!$A$7:$A$16,0))/60),2)),""))</f>
        <v/>
      </c>
      <c r="R360" s="97">
        <f>IF(B360="","",IF(N(K360)&gt;0,K360,IF(N(J360)&gt;0,J360,N(Q360))))</f>
        <v/>
      </c>
      <c r="S360" s="55">
        <f>IF(L360="","",ROUND(L360*(1+N(M360)),2))</f>
        <v/>
      </c>
      <c r="T360" s="55">
        <f>IF(B360="","",SUMIFS('REVENUE'!$C$5:$C$1504,'REVENUE'!$B$5:$B$1504,A360))</f>
        <v/>
      </c>
      <c r="U360" s="55">
        <f>IF(B360="","",IF(O360="Completed",MAX(0,N(S360)-T360),""))</f>
        <v/>
      </c>
      <c r="V360" s="49">
        <f>IF(B360="","",IF(O360&lt;&gt;"Completed",IF(T360&gt;0,"Deposit","—"),IF(U360&lt;=0.005,"Paid",IF(T360&gt;0,"Partial","Unpaid"))))</f>
        <v/>
      </c>
      <c r="W360" s="55">
        <f>IF(B360="","",IFERROR(1/(1/INDEX('STAFF &amp; TASKS'!$C$5:$C$24,MATCH(H360,'STAFF &amp; TASKS'!$A$5:$A$24,0))),PayRate))</f>
        <v/>
      </c>
      <c r="X360" s="55">
        <f>IF(B360="","",IF(OR(O360="Cancelled",O360="No-Show"),"",ROUND(R360*W360*(1+Burden),2)))</f>
        <v/>
      </c>
      <c r="Y360" s="55">
        <f>IF(B360="","",IF(OR(O360="Cancelled",O360="No-Show"),"",IF(N360&lt;&gt;"",N360,ROUND(R360*SupHr*IFERROR(INDEX('PRICING'!$G$7:$G$16,MATCH(F360,'PRICING'!$A$7:$A$16,0)),1),2))))</f>
        <v/>
      </c>
      <c r="Z360" s="98">
        <f>IF(B360="","",SUMIFS('MILEAGE'!$J$5:$J$1504,'MILEAGE'!$B$5:$B$1504,A360))</f>
        <v/>
      </c>
      <c r="AA360" s="55">
        <f>IF(B360="","",ROUND(Z360*MileRate,2))</f>
        <v/>
      </c>
      <c r="AB360" s="55">
        <f>IF(B360="","",SUMIFS('REVENUE'!$J$5:$J$1504,'REVENUE'!$B$5:$B$1504,A360))</f>
        <v/>
      </c>
      <c r="AC360" s="55">
        <f>IF(L360="","",IF(OR(O360="Cancelled",O360="No-Show"),"",L360-N(X360)-N(Y360)-AA360-AB360))</f>
        <v/>
      </c>
      <c r="AD360" s="99">
        <f>IF(OR(AC360="",N(L360)=0),"",AC360/L360)</f>
        <v/>
      </c>
      <c r="AE360" s="55">
        <f>IF(OR(AC360="",N(R360)=0),"",L360/R360)</f>
        <v/>
      </c>
      <c r="AF360" s="100">
        <f>IF(OR(N(K360)=0,N(J360)+N(Q360)=0),"",K360-IF(N(J360)&gt;0,J360,Q360))</f>
        <v/>
      </c>
      <c r="AG360" s="99">
        <f>IF(B360="","",IFERROR(AVERAGEIFS('QUALITY CONTROL'!$M$5:$M$304,'QUALITY CONTROL'!$B$5:$B$304,A360),""))</f>
        <v/>
      </c>
      <c r="AH360" s="51">
        <f>IF(B360="","",DATE(YEAR(B360),MONTH(B360),1))</f>
        <v/>
      </c>
      <c r="AI360" s="49">
        <f>IF(D360="","",IFERROR(INDEX('CUSTOMERS'!$E$5:$E$404,MATCH(D360,'CUSTOMERS'!$B$5:$B$404,0)),""))</f>
        <v/>
      </c>
      <c r="AJ360" s="49">
        <f>IF(B360="","",N(C360))</f>
        <v/>
      </c>
      <c r="AK360" s="49">
        <f>IF(OR(B360="",O360="Cancelled",O360="Rescheduled"),"",B360&amp;"|"&amp;(COUNTIFS('JOBS'!$B$5:$B$1504,B360,'JOBS'!$AJ$5:$AJ$1504,"&lt;"&amp;AJ360,'JOBS'!$O$5:$O$1504,"&lt;&gt;Cancelled",'JOBS'!$O$5:$O$1504,"&lt;&gt;Rescheduled")+COUNTIFS($B$5:B360,B360,$AJ$5:AJ360,AJ360,$O$5:O360,"&lt;&gt;Cancelled",$O$5:O360,"&lt;&gt;Rescheduled")))</f>
        <v/>
      </c>
      <c r="AL360" s="49">
        <f>IF(N(U360)&lt;=0.005,"",COUNTIFS('JOBS'!$U$5:$U$1504,"&gt;0.005",'JOBS'!$B$5:$B$1504,"&lt;"&amp;B360)+COUNTIFS($U$5:U360,"&gt;0.005",$B$5:B360,B360))</f>
        <v/>
      </c>
    </row>
    <row r="361">
      <c r="A361" s="46" t="inlineStr">
        <is>
          <t>J-0357</t>
        </is>
      </c>
      <c r="B361" s="47" t="n"/>
      <c r="C361" s="94" t="n"/>
      <c r="D361" s="38" t="n"/>
      <c r="E361" s="38" t="n"/>
      <c r="F361" s="38" t="n"/>
      <c r="G361" s="38" t="n"/>
      <c r="H361" s="38" t="n"/>
      <c r="I361" s="57" t="n"/>
      <c r="J361" s="95" t="n"/>
      <c r="K361" s="95" t="n"/>
      <c r="L361" s="48" t="n"/>
      <c r="M361" s="96" t="n"/>
      <c r="N361" s="48" t="n"/>
      <c r="O361" s="38" t="n"/>
      <c r="P361" s="38" t="n"/>
      <c r="Q361" s="97">
        <f>IF(OR(F361="",E361=""),"",IFERROR(IF(INDEX('PROPERTIES'!$F$5:$F$404,MATCH(E361,'PROPERTIES'!$B$5:$B$404,0))=0,"",ROUND((INDEX('PROPERTIES'!$F$5:$F$404,MATCH(E361,'PROPERTIES'!$B$5:$B$404,0))/INDEX('PRICING'!$C$7:$C$16,MATCH(F361,'PRICING'!$A$7:$A$16,0))+INDEX('PROPERTIES'!$G$5:$G$404,MATCH(E361,'PROPERTIES'!$B$5:$B$404,0))*INDEX('PRICING'!$D$7:$D$16,MATCH(F361,'PRICING'!$A$7:$A$16,0))/60+INDEX('PROPERTIES'!$H$5:$H$404,MATCH(E361,'PROPERTIES'!$B$5:$B$404,0))*INDEX('PRICING'!$E$7:$E$16,MATCH(F361,'PRICING'!$A$7:$A$16,0))/60+INDEX('PRICING'!$F$7:$F$16,MATCH(F361,'PRICING'!$A$7:$A$16,0))/60),2)),""))</f>
        <v/>
      </c>
      <c r="R361" s="97">
        <f>IF(B361="","",IF(N(K361)&gt;0,K361,IF(N(J361)&gt;0,J361,N(Q361))))</f>
        <v/>
      </c>
      <c r="S361" s="55">
        <f>IF(L361="","",ROUND(L361*(1+N(M361)),2))</f>
        <v/>
      </c>
      <c r="T361" s="55">
        <f>IF(B361="","",SUMIFS('REVENUE'!$C$5:$C$1504,'REVENUE'!$B$5:$B$1504,A361))</f>
        <v/>
      </c>
      <c r="U361" s="55">
        <f>IF(B361="","",IF(O361="Completed",MAX(0,N(S361)-T361),""))</f>
        <v/>
      </c>
      <c r="V361" s="49">
        <f>IF(B361="","",IF(O361&lt;&gt;"Completed",IF(T361&gt;0,"Deposit","—"),IF(U361&lt;=0.005,"Paid",IF(T361&gt;0,"Partial","Unpaid"))))</f>
        <v/>
      </c>
      <c r="W361" s="55">
        <f>IF(B361="","",IFERROR(1/(1/INDEX('STAFF &amp; TASKS'!$C$5:$C$24,MATCH(H361,'STAFF &amp; TASKS'!$A$5:$A$24,0))),PayRate))</f>
        <v/>
      </c>
      <c r="X361" s="55">
        <f>IF(B361="","",IF(OR(O361="Cancelled",O361="No-Show"),"",ROUND(R361*W361*(1+Burden),2)))</f>
        <v/>
      </c>
      <c r="Y361" s="55">
        <f>IF(B361="","",IF(OR(O361="Cancelled",O361="No-Show"),"",IF(N361&lt;&gt;"",N361,ROUND(R361*SupHr*IFERROR(INDEX('PRICING'!$G$7:$G$16,MATCH(F361,'PRICING'!$A$7:$A$16,0)),1),2))))</f>
        <v/>
      </c>
      <c r="Z361" s="98">
        <f>IF(B361="","",SUMIFS('MILEAGE'!$J$5:$J$1504,'MILEAGE'!$B$5:$B$1504,A361))</f>
        <v/>
      </c>
      <c r="AA361" s="55">
        <f>IF(B361="","",ROUND(Z361*MileRate,2))</f>
        <v/>
      </c>
      <c r="AB361" s="55">
        <f>IF(B361="","",SUMIFS('REVENUE'!$J$5:$J$1504,'REVENUE'!$B$5:$B$1504,A361))</f>
        <v/>
      </c>
      <c r="AC361" s="55">
        <f>IF(L361="","",IF(OR(O361="Cancelled",O361="No-Show"),"",L361-N(X361)-N(Y361)-AA361-AB361))</f>
        <v/>
      </c>
      <c r="AD361" s="99">
        <f>IF(OR(AC361="",N(L361)=0),"",AC361/L361)</f>
        <v/>
      </c>
      <c r="AE361" s="55">
        <f>IF(OR(AC361="",N(R361)=0),"",L361/R361)</f>
        <v/>
      </c>
      <c r="AF361" s="100">
        <f>IF(OR(N(K361)=0,N(J361)+N(Q361)=0),"",K361-IF(N(J361)&gt;0,J361,Q361))</f>
        <v/>
      </c>
      <c r="AG361" s="99">
        <f>IF(B361="","",IFERROR(AVERAGEIFS('QUALITY CONTROL'!$M$5:$M$304,'QUALITY CONTROL'!$B$5:$B$304,A361),""))</f>
        <v/>
      </c>
      <c r="AH361" s="51">
        <f>IF(B361="","",DATE(YEAR(B361),MONTH(B361),1))</f>
        <v/>
      </c>
      <c r="AI361" s="49">
        <f>IF(D361="","",IFERROR(INDEX('CUSTOMERS'!$E$5:$E$404,MATCH(D361,'CUSTOMERS'!$B$5:$B$404,0)),""))</f>
        <v/>
      </c>
      <c r="AJ361" s="49">
        <f>IF(B361="","",N(C361))</f>
        <v/>
      </c>
      <c r="AK361" s="49">
        <f>IF(OR(B361="",O361="Cancelled",O361="Rescheduled"),"",B361&amp;"|"&amp;(COUNTIFS('JOBS'!$B$5:$B$1504,B361,'JOBS'!$AJ$5:$AJ$1504,"&lt;"&amp;AJ361,'JOBS'!$O$5:$O$1504,"&lt;&gt;Cancelled",'JOBS'!$O$5:$O$1504,"&lt;&gt;Rescheduled")+COUNTIFS($B$5:B361,B361,$AJ$5:AJ361,AJ361,$O$5:O361,"&lt;&gt;Cancelled",$O$5:O361,"&lt;&gt;Rescheduled")))</f>
        <v/>
      </c>
      <c r="AL361" s="49">
        <f>IF(N(U361)&lt;=0.005,"",COUNTIFS('JOBS'!$U$5:$U$1504,"&gt;0.005",'JOBS'!$B$5:$B$1504,"&lt;"&amp;B361)+COUNTIFS($U$5:U361,"&gt;0.005",$B$5:B361,B361))</f>
        <v/>
      </c>
    </row>
    <row r="362">
      <c r="A362" s="46" t="inlineStr">
        <is>
          <t>J-0358</t>
        </is>
      </c>
      <c r="B362" s="47" t="n"/>
      <c r="C362" s="94" t="n"/>
      <c r="D362" s="38" t="n"/>
      <c r="E362" s="38" t="n"/>
      <c r="F362" s="38" t="n"/>
      <c r="G362" s="38" t="n"/>
      <c r="H362" s="38" t="n"/>
      <c r="I362" s="57" t="n"/>
      <c r="J362" s="95" t="n"/>
      <c r="K362" s="95" t="n"/>
      <c r="L362" s="48" t="n"/>
      <c r="M362" s="96" t="n"/>
      <c r="N362" s="48" t="n"/>
      <c r="O362" s="38" t="n"/>
      <c r="P362" s="38" t="n"/>
      <c r="Q362" s="97">
        <f>IF(OR(F362="",E362=""),"",IFERROR(IF(INDEX('PROPERTIES'!$F$5:$F$404,MATCH(E362,'PROPERTIES'!$B$5:$B$404,0))=0,"",ROUND((INDEX('PROPERTIES'!$F$5:$F$404,MATCH(E362,'PROPERTIES'!$B$5:$B$404,0))/INDEX('PRICING'!$C$7:$C$16,MATCH(F362,'PRICING'!$A$7:$A$16,0))+INDEX('PROPERTIES'!$G$5:$G$404,MATCH(E362,'PROPERTIES'!$B$5:$B$404,0))*INDEX('PRICING'!$D$7:$D$16,MATCH(F362,'PRICING'!$A$7:$A$16,0))/60+INDEX('PROPERTIES'!$H$5:$H$404,MATCH(E362,'PROPERTIES'!$B$5:$B$404,0))*INDEX('PRICING'!$E$7:$E$16,MATCH(F362,'PRICING'!$A$7:$A$16,0))/60+INDEX('PRICING'!$F$7:$F$16,MATCH(F362,'PRICING'!$A$7:$A$16,0))/60),2)),""))</f>
        <v/>
      </c>
      <c r="R362" s="97">
        <f>IF(B362="","",IF(N(K362)&gt;0,K362,IF(N(J362)&gt;0,J362,N(Q362))))</f>
        <v/>
      </c>
      <c r="S362" s="55">
        <f>IF(L362="","",ROUND(L362*(1+N(M362)),2))</f>
        <v/>
      </c>
      <c r="T362" s="55">
        <f>IF(B362="","",SUMIFS('REVENUE'!$C$5:$C$1504,'REVENUE'!$B$5:$B$1504,A362))</f>
        <v/>
      </c>
      <c r="U362" s="55">
        <f>IF(B362="","",IF(O362="Completed",MAX(0,N(S362)-T362),""))</f>
        <v/>
      </c>
      <c r="V362" s="49">
        <f>IF(B362="","",IF(O362&lt;&gt;"Completed",IF(T362&gt;0,"Deposit","—"),IF(U362&lt;=0.005,"Paid",IF(T362&gt;0,"Partial","Unpaid"))))</f>
        <v/>
      </c>
      <c r="W362" s="55">
        <f>IF(B362="","",IFERROR(1/(1/INDEX('STAFF &amp; TASKS'!$C$5:$C$24,MATCH(H362,'STAFF &amp; TASKS'!$A$5:$A$24,0))),PayRate))</f>
        <v/>
      </c>
      <c r="X362" s="55">
        <f>IF(B362="","",IF(OR(O362="Cancelled",O362="No-Show"),"",ROUND(R362*W362*(1+Burden),2)))</f>
        <v/>
      </c>
      <c r="Y362" s="55">
        <f>IF(B362="","",IF(OR(O362="Cancelled",O362="No-Show"),"",IF(N362&lt;&gt;"",N362,ROUND(R362*SupHr*IFERROR(INDEX('PRICING'!$G$7:$G$16,MATCH(F362,'PRICING'!$A$7:$A$16,0)),1),2))))</f>
        <v/>
      </c>
      <c r="Z362" s="98">
        <f>IF(B362="","",SUMIFS('MILEAGE'!$J$5:$J$1504,'MILEAGE'!$B$5:$B$1504,A362))</f>
        <v/>
      </c>
      <c r="AA362" s="55">
        <f>IF(B362="","",ROUND(Z362*MileRate,2))</f>
        <v/>
      </c>
      <c r="AB362" s="55">
        <f>IF(B362="","",SUMIFS('REVENUE'!$J$5:$J$1504,'REVENUE'!$B$5:$B$1504,A362))</f>
        <v/>
      </c>
      <c r="AC362" s="55">
        <f>IF(L362="","",IF(OR(O362="Cancelled",O362="No-Show"),"",L362-N(X362)-N(Y362)-AA362-AB362))</f>
        <v/>
      </c>
      <c r="AD362" s="99">
        <f>IF(OR(AC362="",N(L362)=0),"",AC362/L362)</f>
        <v/>
      </c>
      <c r="AE362" s="55">
        <f>IF(OR(AC362="",N(R362)=0),"",L362/R362)</f>
        <v/>
      </c>
      <c r="AF362" s="100">
        <f>IF(OR(N(K362)=0,N(J362)+N(Q362)=0),"",K362-IF(N(J362)&gt;0,J362,Q362))</f>
        <v/>
      </c>
      <c r="AG362" s="99">
        <f>IF(B362="","",IFERROR(AVERAGEIFS('QUALITY CONTROL'!$M$5:$M$304,'QUALITY CONTROL'!$B$5:$B$304,A362),""))</f>
        <v/>
      </c>
      <c r="AH362" s="51">
        <f>IF(B362="","",DATE(YEAR(B362),MONTH(B362),1))</f>
        <v/>
      </c>
      <c r="AI362" s="49">
        <f>IF(D362="","",IFERROR(INDEX('CUSTOMERS'!$E$5:$E$404,MATCH(D362,'CUSTOMERS'!$B$5:$B$404,0)),""))</f>
        <v/>
      </c>
      <c r="AJ362" s="49">
        <f>IF(B362="","",N(C362))</f>
        <v/>
      </c>
      <c r="AK362" s="49">
        <f>IF(OR(B362="",O362="Cancelled",O362="Rescheduled"),"",B362&amp;"|"&amp;(COUNTIFS('JOBS'!$B$5:$B$1504,B362,'JOBS'!$AJ$5:$AJ$1504,"&lt;"&amp;AJ362,'JOBS'!$O$5:$O$1504,"&lt;&gt;Cancelled",'JOBS'!$O$5:$O$1504,"&lt;&gt;Rescheduled")+COUNTIFS($B$5:B362,B362,$AJ$5:AJ362,AJ362,$O$5:O362,"&lt;&gt;Cancelled",$O$5:O362,"&lt;&gt;Rescheduled")))</f>
        <v/>
      </c>
      <c r="AL362" s="49">
        <f>IF(N(U362)&lt;=0.005,"",COUNTIFS('JOBS'!$U$5:$U$1504,"&gt;0.005",'JOBS'!$B$5:$B$1504,"&lt;"&amp;B362)+COUNTIFS($U$5:U362,"&gt;0.005",$B$5:B362,B362))</f>
        <v/>
      </c>
    </row>
    <row r="363">
      <c r="A363" s="46" t="inlineStr">
        <is>
          <t>J-0359</t>
        </is>
      </c>
      <c r="B363" s="47" t="n"/>
      <c r="C363" s="94" t="n"/>
      <c r="D363" s="38" t="n"/>
      <c r="E363" s="38" t="n"/>
      <c r="F363" s="38" t="n"/>
      <c r="G363" s="38" t="n"/>
      <c r="H363" s="38" t="n"/>
      <c r="I363" s="57" t="n"/>
      <c r="J363" s="95" t="n"/>
      <c r="K363" s="95" t="n"/>
      <c r="L363" s="48" t="n"/>
      <c r="M363" s="96" t="n"/>
      <c r="N363" s="48" t="n"/>
      <c r="O363" s="38" t="n"/>
      <c r="P363" s="38" t="n"/>
      <c r="Q363" s="97">
        <f>IF(OR(F363="",E363=""),"",IFERROR(IF(INDEX('PROPERTIES'!$F$5:$F$404,MATCH(E363,'PROPERTIES'!$B$5:$B$404,0))=0,"",ROUND((INDEX('PROPERTIES'!$F$5:$F$404,MATCH(E363,'PROPERTIES'!$B$5:$B$404,0))/INDEX('PRICING'!$C$7:$C$16,MATCH(F363,'PRICING'!$A$7:$A$16,0))+INDEX('PROPERTIES'!$G$5:$G$404,MATCH(E363,'PROPERTIES'!$B$5:$B$404,0))*INDEX('PRICING'!$D$7:$D$16,MATCH(F363,'PRICING'!$A$7:$A$16,0))/60+INDEX('PROPERTIES'!$H$5:$H$404,MATCH(E363,'PROPERTIES'!$B$5:$B$404,0))*INDEX('PRICING'!$E$7:$E$16,MATCH(F363,'PRICING'!$A$7:$A$16,0))/60+INDEX('PRICING'!$F$7:$F$16,MATCH(F363,'PRICING'!$A$7:$A$16,0))/60),2)),""))</f>
        <v/>
      </c>
      <c r="R363" s="97">
        <f>IF(B363="","",IF(N(K363)&gt;0,K363,IF(N(J363)&gt;0,J363,N(Q363))))</f>
        <v/>
      </c>
      <c r="S363" s="55">
        <f>IF(L363="","",ROUND(L363*(1+N(M363)),2))</f>
        <v/>
      </c>
      <c r="T363" s="55">
        <f>IF(B363="","",SUMIFS('REVENUE'!$C$5:$C$1504,'REVENUE'!$B$5:$B$1504,A363))</f>
        <v/>
      </c>
      <c r="U363" s="55">
        <f>IF(B363="","",IF(O363="Completed",MAX(0,N(S363)-T363),""))</f>
        <v/>
      </c>
      <c r="V363" s="49">
        <f>IF(B363="","",IF(O363&lt;&gt;"Completed",IF(T363&gt;0,"Deposit","—"),IF(U363&lt;=0.005,"Paid",IF(T363&gt;0,"Partial","Unpaid"))))</f>
        <v/>
      </c>
      <c r="W363" s="55">
        <f>IF(B363="","",IFERROR(1/(1/INDEX('STAFF &amp; TASKS'!$C$5:$C$24,MATCH(H363,'STAFF &amp; TASKS'!$A$5:$A$24,0))),PayRate))</f>
        <v/>
      </c>
      <c r="X363" s="55">
        <f>IF(B363="","",IF(OR(O363="Cancelled",O363="No-Show"),"",ROUND(R363*W363*(1+Burden),2)))</f>
        <v/>
      </c>
      <c r="Y363" s="55">
        <f>IF(B363="","",IF(OR(O363="Cancelled",O363="No-Show"),"",IF(N363&lt;&gt;"",N363,ROUND(R363*SupHr*IFERROR(INDEX('PRICING'!$G$7:$G$16,MATCH(F363,'PRICING'!$A$7:$A$16,0)),1),2))))</f>
        <v/>
      </c>
      <c r="Z363" s="98">
        <f>IF(B363="","",SUMIFS('MILEAGE'!$J$5:$J$1504,'MILEAGE'!$B$5:$B$1504,A363))</f>
        <v/>
      </c>
      <c r="AA363" s="55">
        <f>IF(B363="","",ROUND(Z363*MileRate,2))</f>
        <v/>
      </c>
      <c r="AB363" s="55">
        <f>IF(B363="","",SUMIFS('REVENUE'!$J$5:$J$1504,'REVENUE'!$B$5:$B$1504,A363))</f>
        <v/>
      </c>
      <c r="AC363" s="55">
        <f>IF(L363="","",IF(OR(O363="Cancelled",O363="No-Show"),"",L363-N(X363)-N(Y363)-AA363-AB363))</f>
        <v/>
      </c>
      <c r="AD363" s="99">
        <f>IF(OR(AC363="",N(L363)=0),"",AC363/L363)</f>
        <v/>
      </c>
      <c r="AE363" s="55">
        <f>IF(OR(AC363="",N(R363)=0),"",L363/R363)</f>
        <v/>
      </c>
      <c r="AF363" s="100">
        <f>IF(OR(N(K363)=0,N(J363)+N(Q363)=0),"",K363-IF(N(J363)&gt;0,J363,Q363))</f>
        <v/>
      </c>
      <c r="AG363" s="99">
        <f>IF(B363="","",IFERROR(AVERAGEIFS('QUALITY CONTROL'!$M$5:$M$304,'QUALITY CONTROL'!$B$5:$B$304,A363),""))</f>
        <v/>
      </c>
      <c r="AH363" s="51">
        <f>IF(B363="","",DATE(YEAR(B363),MONTH(B363),1))</f>
        <v/>
      </c>
      <c r="AI363" s="49">
        <f>IF(D363="","",IFERROR(INDEX('CUSTOMERS'!$E$5:$E$404,MATCH(D363,'CUSTOMERS'!$B$5:$B$404,0)),""))</f>
        <v/>
      </c>
      <c r="AJ363" s="49">
        <f>IF(B363="","",N(C363))</f>
        <v/>
      </c>
      <c r="AK363" s="49">
        <f>IF(OR(B363="",O363="Cancelled",O363="Rescheduled"),"",B363&amp;"|"&amp;(COUNTIFS('JOBS'!$B$5:$B$1504,B363,'JOBS'!$AJ$5:$AJ$1504,"&lt;"&amp;AJ363,'JOBS'!$O$5:$O$1504,"&lt;&gt;Cancelled",'JOBS'!$O$5:$O$1504,"&lt;&gt;Rescheduled")+COUNTIFS($B$5:B363,B363,$AJ$5:AJ363,AJ363,$O$5:O363,"&lt;&gt;Cancelled",$O$5:O363,"&lt;&gt;Rescheduled")))</f>
        <v/>
      </c>
      <c r="AL363" s="49">
        <f>IF(N(U363)&lt;=0.005,"",COUNTIFS('JOBS'!$U$5:$U$1504,"&gt;0.005",'JOBS'!$B$5:$B$1504,"&lt;"&amp;B363)+COUNTIFS($U$5:U363,"&gt;0.005",$B$5:B363,B363))</f>
        <v/>
      </c>
    </row>
    <row r="364">
      <c r="A364" s="46" t="inlineStr">
        <is>
          <t>J-0360</t>
        </is>
      </c>
      <c r="B364" s="47" t="n"/>
      <c r="C364" s="94" t="n"/>
      <c r="D364" s="38" t="n"/>
      <c r="E364" s="38" t="n"/>
      <c r="F364" s="38" t="n"/>
      <c r="G364" s="38" t="n"/>
      <c r="H364" s="38" t="n"/>
      <c r="I364" s="57" t="n"/>
      <c r="J364" s="95" t="n"/>
      <c r="K364" s="95" t="n"/>
      <c r="L364" s="48" t="n"/>
      <c r="M364" s="96" t="n"/>
      <c r="N364" s="48" t="n"/>
      <c r="O364" s="38" t="n"/>
      <c r="P364" s="38" t="n"/>
      <c r="Q364" s="97">
        <f>IF(OR(F364="",E364=""),"",IFERROR(IF(INDEX('PROPERTIES'!$F$5:$F$404,MATCH(E364,'PROPERTIES'!$B$5:$B$404,0))=0,"",ROUND((INDEX('PROPERTIES'!$F$5:$F$404,MATCH(E364,'PROPERTIES'!$B$5:$B$404,0))/INDEX('PRICING'!$C$7:$C$16,MATCH(F364,'PRICING'!$A$7:$A$16,0))+INDEX('PROPERTIES'!$G$5:$G$404,MATCH(E364,'PROPERTIES'!$B$5:$B$404,0))*INDEX('PRICING'!$D$7:$D$16,MATCH(F364,'PRICING'!$A$7:$A$16,0))/60+INDEX('PROPERTIES'!$H$5:$H$404,MATCH(E364,'PROPERTIES'!$B$5:$B$404,0))*INDEX('PRICING'!$E$7:$E$16,MATCH(F364,'PRICING'!$A$7:$A$16,0))/60+INDEX('PRICING'!$F$7:$F$16,MATCH(F364,'PRICING'!$A$7:$A$16,0))/60),2)),""))</f>
        <v/>
      </c>
      <c r="R364" s="97">
        <f>IF(B364="","",IF(N(K364)&gt;0,K364,IF(N(J364)&gt;0,J364,N(Q364))))</f>
        <v/>
      </c>
      <c r="S364" s="55">
        <f>IF(L364="","",ROUND(L364*(1+N(M364)),2))</f>
        <v/>
      </c>
      <c r="T364" s="55">
        <f>IF(B364="","",SUMIFS('REVENUE'!$C$5:$C$1504,'REVENUE'!$B$5:$B$1504,A364))</f>
        <v/>
      </c>
      <c r="U364" s="55">
        <f>IF(B364="","",IF(O364="Completed",MAX(0,N(S364)-T364),""))</f>
        <v/>
      </c>
      <c r="V364" s="49">
        <f>IF(B364="","",IF(O364&lt;&gt;"Completed",IF(T364&gt;0,"Deposit","—"),IF(U364&lt;=0.005,"Paid",IF(T364&gt;0,"Partial","Unpaid"))))</f>
        <v/>
      </c>
      <c r="W364" s="55">
        <f>IF(B364="","",IFERROR(1/(1/INDEX('STAFF &amp; TASKS'!$C$5:$C$24,MATCH(H364,'STAFF &amp; TASKS'!$A$5:$A$24,0))),PayRate))</f>
        <v/>
      </c>
      <c r="X364" s="55">
        <f>IF(B364="","",IF(OR(O364="Cancelled",O364="No-Show"),"",ROUND(R364*W364*(1+Burden),2)))</f>
        <v/>
      </c>
      <c r="Y364" s="55">
        <f>IF(B364="","",IF(OR(O364="Cancelled",O364="No-Show"),"",IF(N364&lt;&gt;"",N364,ROUND(R364*SupHr*IFERROR(INDEX('PRICING'!$G$7:$G$16,MATCH(F364,'PRICING'!$A$7:$A$16,0)),1),2))))</f>
        <v/>
      </c>
      <c r="Z364" s="98">
        <f>IF(B364="","",SUMIFS('MILEAGE'!$J$5:$J$1504,'MILEAGE'!$B$5:$B$1504,A364))</f>
        <v/>
      </c>
      <c r="AA364" s="55">
        <f>IF(B364="","",ROUND(Z364*MileRate,2))</f>
        <v/>
      </c>
      <c r="AB364" s="55">
        <f>IF(B364="","",SUMIFS('REVENUE'!$J$5:$J$1504,'REVENUE'!$B$5:$B$1504,A364))</f>
        <v/>
      </c>
      <c r="AC364" s="55">
        <f>IF(L364="","",IF(OR(O364="Cancelled",O364="No-Show"),"",L364-N(X364)-N(Y364)-AA364-AB364))</f>
        <v/>
      </c>
      <c r="AD364" s="99">
        <f>IF(OR(AC364="",N(L364)=0),"",AC364/L364)</f>
        <v/>
      </c>
      <c r="AE364" s="55">
        <f>IF(OR(AC364="",N(R364)=0),"",L364/R364)</f>
        <v/>
      </c>
      <c r="AF364" s="100">
        <f>IF(OR(N(K364)=0,N(J364)+N(Q364)=0),"",K364-IF(N(J364)&gt;0,J364,Q364))</f>
        <v/>
      </c>
      <c r="AG364" s="99">
        <f>IF(B364="","",IFERROR(AVERAGEIFS('QUALITY CONTROL'!$M$5:$M$304,'QUALITY CONTROL'!$B$5:$B$304,A364),""))</f>
        <v/>
      </c>
      <c r="AH364" s="51">
        <f>IF(B364="","",DATE(YEAR(B364),MONTH(B364),1))</f>
        <v/>
      </c>
      <c r="AI364" s="49">
        <f>IF(D364="","",IFERROR(INDEX('CUSTOMERS'!$E$5:$E$404,MATCH(D364,'CUSTOMERS'!$B$5:$B$404,0)),""))</f>
        <v/>
      </c>
      <c r="AJ364" s="49">
        <f>IF(B364="","",N(C364))</f>
        <v/>
      </c>
      <c r="AK364" s="49">
        <f>IF(OR(B364="",O364="Cancelled",O364="Rescheduled"),"",B364&amp;"|"&amp;(COUNTIFS('JOBS'!$B$5:$B$1504,B364,'JOBS'!$AJ$5:$AJ$1504,"&lt;"&amp;AJ364,'JOBS'!$O$5:$O$1504,"&lt;&gt;Cancelled",'JOBS'!$O$5:$O$1504,"&lt;&gt;Rescheduled")+COUNTIFS($B$5:B364,B364,$AJ$5:AJ364,AJ364,$O$5:O364,"&lt;&gt;Cancelled",$O$5:O364,"&lt;&gt;Rescheduled")))</f>
        <v/>
      </c>
      <c r="AL364" s="49">
        <f>IF(N(U364)&lt;=0.005,"",COUNTIFS('JOBS'!$U$5:$U$1504,"&gt;0.005",'JOBS'!$B$5:$B$1504,"&lt;"&amp;B364)+COUNTIFS($U$5:U364,"&gt;0.005",$B$5:B364,B364))</f>
        <v/>
      </c>
    </row>
    <row r="365">
      <c r="A365" s="46" t="inlineStr">
        <is>
          <t>J-0361</t>
        </is>
      </c>
      <c r="B365" s="47" t="n"/>
      <c r="C365" s="94" t="n"/>
      <c r="D365" s="38" t="n"/>
      <c r="E365" s="38" t="n"/>
      <c r="F365" s="38" t="n"/>
      <c r="G365" s="38" t="n"/>
      <c r="H365" s="38" t="n"/>
      <c r="I365" s="57" t="n"/>
      <c r="J365" s="95" t="n"/>
      <c r="K365" s="95" t="n"/>
      <c r="L365" s="48" t="n"/>
      <c r="M365" s="96" t="n"/>
      <c r="N365" s="48" t="n"/>
      <c r="O365" s="38" t="n"/>
      <c r="P365" s="38" t="n"/>
      <c r="Q365" s="97">
        <f>IF(OR(F365="",E365=""),"",IFERROR(IF(INDEX('PROPERTIES'!$F$5:$F$404,MATCH(E365,'PROPERTIES'!$B$5:$B$404,0))=0,"",ROUND((INDEX('PROPERTIES'!$F$5:$F$404,MATCH(E365,'PROPERTIES'!$B$5:$B$404,0))/INDEX('PRICING'!$C$7:$C$16,MATCH(F365,'PRICING'!$A$7:$A$16,0))+INDEX('PROPERTIES'!$G$5:$G$404,MATCH(E365,'PROPERTIES'!$B$5:$B$404,0))*INDEX('PRICING'!$D$7:$D$16,MATCH(F365,'PRICING'!$A$7:$A$16,0))/60+INDEX('PROPERTIES'!$H$5:$H$404,MATCH(E365,'PROPERTIES'!$B$5:$B$404,0))*INDEX('PRICING'!$E$7:$E$16,MATCH(F365,'PRICING'!$A$7:$A$16,0))/60+INDEX('PRICING'!$F$7:$F$16,MATCH(F365,'PRICING'!$A$7:$A$16,0))/60),2)),""))</f>
        <v/>
      </c>
      <c r="R365" s="97">
        <f>IF(B365="","",IF(N(K365)&gt;0,K365,IF(N(J365)&gt;0,J365,N(Q365))))</f>
        <v/>
      </c>
      <c r="S365" s="55">
        <f>IF(L365="","",ROUND(L365*(1+N(M365)),2))</f>
        <v/>
      </c>
      <c r="T365" s="55">
        <f>IF(B365="","",SUMIFS('REVENUE'!$C$5:$C$1504,'REVENUE'!$B$5:$B$1504,A365))</f>
        <v/>
      </c>
      <c r="U365" s="55">
        <f>IF(B365="","",IF(O365="Completed",MAX(0,N(S365)-T365),""))</f>
        <v/>
      </c>
      <c r="V365" s="49">
        <f>IF(B365="","",IF(O365&lt;&gt;"Completed",IF(T365&gt;0,"Deposit","—"),IF(U365&lt;=0.005,"Paid",IF(T365&gt;0,"Partial","Unpaid"))))</f>
        <v/>
      </c>
      <c r="W365" s="55">
        <f>IF(B365="","",IFERROR(1/(1/INDEX('STAFF &amp; TASKS'!$C$5:$C$24,MATCH(H365,'STAFF &amp; TASKS'!$A$5:$A$24,0))),PayRate))</f>
        <v/>
      </c>
      <c r="X365" s="55">
        <f>IF(B365="","",IF(OR(O365="Cancelled",O365="No-Show"),"",ROUND(R365*W365*(1+Burden),2)))</f>
        <v/>
      </c>
      <c r="Y365" s="55">
        <f>IF(B365="","",IF(OR(O365="Cancelled",O365="No-Show"),"",IF(N365&lt;&gt;"",N365,ROUND(R365*SupHr*IFERROR(INDEX('PRICING'!$G$7:$G$16,MATCH(F365,'PRICING'!$A$7:$A$16,0)),1),2))))</f>
        <v/>
      </c>
      <c r="Z365" s="98">
        <f>IF(B365="","",SUMIFS('MILEAGE'!$J$5:$J$1504,'MILEAGE'!$B$5:$B$1504,A365))</f>
        <v/>
      </c>
      <c r="AA365" s="55">
        <f>IF(B365="","",ROUND(Z365*MileRate,2))</f>
        <v/>
      </c>
      <c r="AB365" s="55">
        <f>IF(B365="","",SUMIFS('REVENUE'!$J$5:$J$1504,'REVENUE'!$B$5:$B$1504,A365))</f>
        <v/>
      </c>
      <c r="AC365" s="55">
        <f>IF(L365="","",IF(OR(O365="Cancelled",O365="No-Show"),"",L365-N(X365)-N(Y365)-AA365-AB365))</f>
        <v/>
      </c>
      <c r="AD365" s="99">
        <f>IF(OR(AC365="",N(L365)=0),"",AC365/L365)</f>
        <v/>
      </c>
      <c r="AE365" s="55">
        <f>IF(OR(AC365="",N(R365)=0),"",L365/R365)</f>
        <v/>
      </c>
      <c r="AF365" s="100">
        <f>IF(OR(N(K365)=0,N(J365)+N(Q365)=0),"",K365-IF(N(J365)&gt;0,J365,Q365))</f>
        <v/>
      </c>
      <c r="AG365" s="99">
        <f>IF(B365="","",IFERROR(AVERAGEIFS('QUALITY CONTROL'!$M$5:$M$304,'QUALITY CONTROL'!$B$5:$B$304,A365),""))</f>
        <v/>
      </c>
      <c r="AH365" s="51">
        <f>IF(B365="","",DATE(YEAR(B365),MONTH(B365),1))</f>
        <v/>
      </c>
      <c r="AI365" s="49">
        <f>IF(D365="","",IFERROR(INDEX('CUSTOMERS'!$E$5:$E$404,MATCH(D365,'CUSTOMERS'!$B$5:$B$404,0)),""))</f>
        <v/>
      </c>
      <c r="AJ365" s="49">
        <f>IF(B365="","",N(C365))</f>
        <v/>
      </c>
      <c r="AK365" s="49">
        <f>IF(OR(B365="",O365="Cancelled",O365="Rescheduled"),"",B365&amp;"|"&amp;(COUNTIFS('JOBS'!$B$5:$B$1504,B365,'JOBS'!$AJ$5:$AJ$1504,"&lt;"&amp;AJ365,'JOBS'!$O$5:$O$1504,"&lt;&gt;Cancelled",'JOBS'!$O$5:$O$1504,"&lt;&gt;Rescheduled")+COUNTIFS($B$5:B365,B365,$AJ$5:AJ365,AJ365,$O$5:O365,"&lt;&gt;Cancelled",$O$5:O365,"&lt;&gt;Rescheduled")))</f>
        <v/>
      </c>
      <c r="AL365" s="49">
        <f>IF(N(U365)&lt;=0.005,"",COUNTIFS('JOBS'!$U$5:$U$1504,"&gt;0.005",'JOBS'!$B$5:$B$1504,"&lt;"&amp;B365)+COUNTIFS($U$5:U365,"&gt;0.005",$B$5:B365,B365))</f>
        <v/>
      </c>
    </row>
    <row r="366">
      <c r="A366" s="46" t="inlineStr">
        <is>
          <t>J-0362</t>
        </is>
      </c>
      <c r="B366" s="47" t="n"/>
      <c r="C366" s="94" t="n"/>
      <c r="D366" s="38" t="n"/>
      <c r="E366" s="38" t="n"/>
      <c r="F366" s="38" t="n"/>
      <c r="G366" s="38" t="n"/>
      <c r="H366" s="38" t="n"/>
      <c r="I366" s="57" t="n"/>
      <c r="J366" s="95" t="n"/>
      <c r="K366" s="95" t="n"/>
      <c r="L366" s="48" t="n"/>
      <c r="M366" s="96" t="n"/>
      <c r="N366" s="48" t="n"/>
      <c r="O366" s="38" t="n"/>
      <c r="P366" s="38" t="n"/>
      <c r="Q366" s="97">
        <f>IF(OR(F366="",E366=""),"",IFERROR(IF(INDEX('PROPERTIES'!$F$5:$F$404,MATCH(E366,'PROPERTIES'!$B$5:$B$404,0))=0,"",ROUND((INDEX('PROPERTIES'!$F$5:$F$404,MATCH(E366,'PROPERTIES'!$B$5:$B$404,0))/INDEX('PRICING'!$C$7:$C$16,MATCH(F366,'PRICING'!$A$7:$A$16,0))+INDEX('PROPERTIES'!$G$5:$G$404,MATCH(E366,'PROPERTIES'!$B$5:$B$404,0))*INDEX('PRICING'!$D$7:$D$16,MATCH(F366,'PRICING'!$A$7:$A$16,0))/60+INDEX('PROPERTIES'!$H$5:$H$404,MATCH(E366,'PROPERTIES'!$B$5:$B$404,0))*INDEX('PRICING'!$E$7:$E$16,MATCH(F366,'PRICING'!$A$7:$A$16,0))/60+INDEX('PRICING'!$F$7:$F$16,MATCH(F366,'PRICING'!$A$7:$A$16,0))/60),2)),""))</f>
        <v/>
      </c>
      <c r="R366" s="97">
        <f>IF(B366="","",IF(N(K366)&gt;0,K366,IF(N(J366)&gt;0,J366,N(Q366))))</f>
        <v/>
      </c>
      <c r="S366" s="55">
        <f>IF(L366="","",ROUND(L366*(1+N(M366)),2))</f>
        <v/>
      </c>
      <c r="T366" s="55">
        <f>IF(B366="","",SUMIFS('REVENUE'!$C$5:$C$1504,'REVENUE'!$B$5:$B$1504,A366))</f>
        <v/>
      </c>
      <c r="U366" s="55">
        <f>IF(B366="","",IF(O366="Completed",MAX(0,N(S366)-T366),""))</f>
        <v/>
      </c>
      <c r="V366" s="49">
        <f>IF(B366="","",IF(O366&lt;&gt;"Completed",IF(T366&gt;0,"Deposit","—"),IF(U366&lt;=0.005,"Paid",IF(T366&gt;0,"Partial","Unpaid"))))</f>
        <v/>
      </c>
      <c r="W366" s="55">
        <f>IF(B366="","",IFERROR(1/(1/INDEX('STAFF &amp; TASKS'!$C$5:$C$24,MATCH(H366,'STAFF &amp; TASKS'!$A$5:$A$24,0))),PayRate))</f>
        <v/>
      </c>
      <c r="X366" s="55">
        <f>IF(B366="","",IF(OR(O366="Cancelled",O366="No-Show"),"",ROUND(R366*W366*(1+Burden),2)))</f>
        <v/>
      </c>
      <c r="Y366" s="55">
        <f>IF(B366="","",IF(OR(O366="Cancelled",O366="No-Show"),"",IF(N366&lt;&gt;"",N366,ROUND(R366*SupHr*IFERROR(INDEX('PRICING'!$G$7:$G$16,MATCH(F366,'PRICING'!$A$7:$A$16,0)),1),2))))</f>
        <v/>
      </c>
      <c r="Z366" s="98">
        <f>IF(B366="","",SUMIFS('MILEAGE'!$J$5:$J$1504,'MILEAGE'!$B$5:$B$1504,A366))</f>
        <v/>
      </c>
      <c r="AA366" s="55">
        <f>IF(B366="","",ROUND(Z366*MileRate,2))</f>
        <v/>
      </c>
      <c r="AB366" s="55">
        <f>IF(B366="","",SUMIFS('REVENUE'!$J$5:$J$1504,'REVENUE'!$B$5:$B$1504,A366))</f>
        <v/>
      </c>
      <c r="AC366" s="55">
        <f>IF(L366="","",IF(OR(O366="Cancelled",O366="No-Show"),"",L366-N(X366)-N(Y366)-AA366-AB366))</f>
        <v/>
      </c>
      <c r="AD366" s="99">
        <f>IF(OR(AC366="",N(L366)=0),"",AC366/L366)</f>
        <v/>
      </c>
      <c r="AE366" s="55">
        <f>IF(OR(AC366="",N(R366)=0),"",L366/R366)</f>
        <v/>
      </c>
      <c r="AF366" s="100">
        <f>IF(OR(N(K366)=0,N(J366)+N(Q366)=0),"",K366-IF(N(J366)&gt;0,J366,Q366))</f>
        <v/>
      </c>
      <c r="AG366" s="99">
        <f>IF(B366="","",IFERROR(AVERAGEIFS('QUALITY CONTROL'!$M$5:$M$304,'QUALITY CONTROL'!$B$5:$B$304,A366),""))</f>
        <v/>
      </c>
      <c r="AH366" s="51">
        <f>IF(B366="","",DATE(YEAR(B366),MONTH(B366),1))</f>
        <v/>
      </c>
      <c r="AI366" s="49">
        <f>IF(D366="","",IFERROR(INDEX('CUSTOMERS'!$E$5:$E$404,MATCH(D366,'CUSTOMERS'!$B$5:$B$404,0)),""))</f>
        <v/>
      </c>
      <c r="AJ366" s="49">
        <f>IF(B366="","",N(C366))</f>
        <v/>
      </c>
      <c r="AK366" s="49">
        <f>IF(OR(B366="",O366="Cancelled",O366="Rescheduled"),"",B366&amp;"|"&amp;(COUNTIFS('JOBS'!$B$5:$B$1504,B366,'JOBS'!$AJ$5:$AJ$1504,"&lt;"&amp;AJ366,'JOBS'!$O$5:$O$1504,"&lt;&gt;Cancelled",'JOBS'!$O$5:$O$1504,"&lt;&gt;Rescheduled")+COUNTIFS($B$5:B366,B366,$AJ$5:AJ366,AJ366,$O$5:O366,"&lt;&gt;Cancelled",$O$5:O366,"&lt;&gt;Rescheduled")))</f>
        <v/>
      </c>
      <c r="AL366" s="49">
        <f>IF(N(U366)&lt;=0.005,"",COUNTIFS('JOBS'!$U$5:$U$1504,"&gt;0.005",'JOBS'!$B$5:$B$1504,"&lt;"&amp;B366)+COUNTIFS($U$5:U366,"&gt;0.005",$B$5:B366,B366))</f>
        <v/>
      </c>
    </row>
    <row r="367">
      <c r="A367" s="46" t="inlineStr">
        <is>
          <t>J-0363</t>
        </is>
      </c>
      <c r="B367" s="47" t="n"/>
      <c r="C367" s="94" t="n"/>
      <c r="D367" s="38" t="n"/>
      <c r="E367" s="38" t="n"/>
      <c r="F367" s="38" t="n"/>
      <c r="G367" s="38" t="n"/>
      <c r="H367" s="38" t="n"/>
      <c r="I367" s="57" t="n"/>
      <c r="J367" s="95" t="n"/>
      <c r="K367" s="95" t="n"/>
      <c r="L367" s="48" t="n"/>
      <c r="M367" s="96" t="n"/>
      <c r="N367" s="48" t="n"/>
      <c r="O367" s="38" t="n"/>
      <c r="P367" s="38" t="n"/>
      <c r="Q367" s="97">
        <f>IF(OR(F367="",E367=""),"",IFERROR(IF(INDEX('PROPERTIES'!$F$5:$F$404,MATCH(E367,'PROPERTIES'!$B$5:$B$404,0))=0,"",ROUND((INDEX('PROPERTIES'!$F$5:$F$404,MATCH(E367,'PROPERTIES'!$B$5:$B$404,0))/INDEX('PRICING'!$C$7:$C$16,MATCH(F367,'PRICING'!$A$7:$A$16,0))+INDEX('PROPERTIES'!$G$5:$G$404,MATCH(E367,'PROPERTIES'!$B$5:$B$404,0))*INDEX('PRICING'!$D$7:$D$16,MATCH(F367,'PRICING'!$A$7:$A$16,0))/60+INDEX('PROPERTIES'!$H$5:$H$404,MATCH(E367,'PROPERTIES'!$B$5:$B$404,0))*INDEX('PRICING'!$E$7:$E$16,MATCH(F367,'PRICING'!$A$7:$A$16,0))/60+INDEX('PRICING'!$F$7:$F$16,MATCH(F367,'PRICING'!$A$7:$A$16,0))/60),2)),""))</f>
        <v/>
      </c>
      <c r="R367" s="97">
        <f>IF(B367="","",IF(N(K367)&gt;0,K367,IF(N(J367)&gt;0,J367,N(Q367))))</f>
        <v/>
      </c>
      <c r="S367" s="55">
        <f>IF(L367="","",ROUND(L367*(1+N(M367)),2))</f>
        <v/>
      </c>
      <c r="T367" s="55">
        <f>IF(B367="","",SUMIFS('REVENUE'!$C$5:$C$1504,'REVENUE'!$B$5:$B$1504,A367))</f>
        <v/>
      </c>
      <c r="U367" s="55">
        <f>IF(B367="","",IF(O367="Completed",MAX(0,N(S367)-T367),""))</f>
        <v/>
      </c>
      <c r="V367" s="49">
        <f>IF(B367="","",IF(O367&lt;&gt;"Completed",IF(T367&gt;0,"Deposit","—"),IF(U367&lt;=0.005,"Paid",IF(T367&gt;0,"Partial","Unpaid"))))</f>
        <v/>
      </c>
      <c r="W367" s="55">
        <f>IF(B367="","",IFERROR(1/(1/INDEX('STAFF &amp; TASKS'!$C$5:$C$24,MATCH(H367,'STAFF &amp; TASKS'!$A$5:$A$24,0))),PayRate))</f>
        <v/>
      </c>
      <c r="X367" s="55">
        <f>IF(B367="","",IF(OR(O367="Cancelled",O367="No-Show"),"",ROUND(R367*W367*(1+Burden),2)))</f>
        <v/>
      </c>
      <c r="Y367" s="55">
        <f>IF(B367="","",IF(OR(O367="Cancelled",O367="No-Show"),"",IF(N367&lt;&gt;"",N367,ROUND(R367*SupHr*IFERROR(INDEX('PRICING'!$G$7:$G$16,MATCH(F367,'PRICING'!$A$7:$A$16,0)),1),2))))</f>
        <v/>
      </c>
      <c r="Z367" s="98">
        <f>IF(B367="","",SUMIFS('MILEAGE'!$J$5:$J$1504,'MILEAGE'!$B$5:$B$1504,A367))</f>
        <v/>
      </c>
      <c r="AA367" s="55">
        <f>IF(B367="","",ROUND(Z367*MileRate,2))</f>
        <v/>
      </c>
      <c r="AB367" s="55">
        <f>IF(B367="","",SUMIFS('REVENUE'!$J$5:$J$1504,'REVENUE'!$B$5:$B$1504,A367))</f>
        <v/>
      </c>
      <c r="AC367" s="55">
        <f>IF(L367="","",IF(OR(O367="Cancelled",O367="No-Show"),"",L367-N(X367)-N(Y367)-AA367-AB367))</f>
        <v/>
      </c>
      <c r="AD367" s="99">
        <f>IF(OR(AC367="",N(L367)=0),"",AC367/L367)</f>
        <v/>
      </c>
      <c r="AE367" s="55">
        <f>IF(OR(AC367="",N(R367)=0),"",L367/R367)</f>
        <v/>
      </c>
      <c r="AF367" s="100">
        <f>IF(OR(N(K367)=0,N(J367)+N(Q367)=0),"",K367-IF(N(J367)&gt;0,J367,Q367))</f>
        <v/>
      </c>
      <c r="AG367" s="99">
        <f>IF(B367="","",IFERROR(AVERAGEIFS('QUALITY CONTROL'!$M$5:$M$304,'QUALITY CONTROL'!$B$5:$B$304,A367),""))</f>
        <v/>
      </c>
      <c r="AH367" s="51">
        <f>IF(B367="","",DATE(YEAR(B367),MONTH(B367),1))</f>
        <v/>
      </c>
      <c r="AI367" s="49">
        <f>IF(D367="","",IFERROR(INDEX('CUSTOMERS'!$E$5:$E$404,MATCH(D367,'CUSTOMERS'!$B$5:$B$404,0)),""))</f>
        <v/>
      </c>
      <c r="AJ367" s="49">
        <f>IF(B367="","",N(C367))</f>
        <v/>
      </c>
      <c r="AK367" s="49">
        <f>IF(OR(B367="",O367="Cancelled",O367="Rescheduled"),"",B367&amp;"|"&amp;(COUNTIFS('JOBS'!$B$5:$B$1504,B367,'JOBS'!$AJ$5:$AJ$1504,"&lt;"&amp;AJ367,'JOBS'!$O$5:$O$1504,"&lt;&gt;Cancelled",'JOBS'!$O$5:$O$1504,"&lt;&gt;Rescheduled")+COUNTIFS($B$5:B367,B367,$AJ$5:AJ367,AJ367,$O$5:O367,"&lt;&gt;Cancelled",$O$5:O367,"&lt;&gt;Rescheduled")))</f>
        <v/>
      </c>
      <c r="AL367" s="49">
        <f>IF(N(U367)&lt;=0.005,"",COUNTIFS('JOBS'!$U$5:$U$1504,"&gt;0.005",'JOBS'!$B$5:$B$1504,"&lt;"&amp;B367)+COUNTIFS($U$5:U367,"&gt;0.005",$B$5:B367,B367))</f>
        <v/>
      </c>
    </row>
    <row r="368">
      <c r="A368" s="46" t="inlineStr">
        <is>
          <t>J-0364</t>
        </is>
      </c>
      <c r="B368" s="47" t="n"/>
      <c r="C368" s="94" t="n"/>
      <c r="D368" s="38" t="n"/>
      <c r="E368" s="38" t="n"/>
      <c r="F368" s="38" t="n"/>
      <c r="G368" s="38" t="n"/>
      <c r="H368" s="38" t="n"/>
      <c r="I368" s="57" t="n"/>
      <c r="J368" s="95" t="n"/>
      <c r="K368" s="95" t="n"/>
      <c r="L368" s="48" t="n"/>
      <c r="M368" s="96" t="n"/>
      <c r="N368" s="48" t="n"/>
      <c r="O368" s="38" t="n"/>
      <c r="P368" s="38" t="n"/>
      <c r="Q368" s="97">
        <f>IF(OR(F368="",E368=""),"",IFERROR(IF(INDEX('PROPERTIES'!$F$5:$F$404,MATCH(E368,'PROPERTIES'!$B$5:$B$404,0))=0,"",ROUND((INDEX('PROPERTIES'!$F$5:$F$404,MATCH(E368,'PROPERTIES'!$B$5:$B$404,0))/INDEX('PRICING'!$C$7:$C$16,MATCH(F368,'PRICING'!$A$7:$A$16,0))+INDEX('PROPERTIES'!$G$5:$G$404,MATCH(E368,'PROPERTIES'!$B$5:$B$404,0))*INDEX('PRICING'!$D$7:$D$16,MATCH(F368,'PRICING'!$A$7:$A$16,0))/60+INDEX('PROPERTIES'!$H$5:$H$404,MATCH(E368,'PROPERTIES'!$B$5:$B$404,0))*INDEX('PRICING'!$E$7:$E$16,MATCH(F368,'PRICING'!$A$7:$A$16,0))/60+INDEX('PRICING'!$F$7:$F$16,MATCH(F368,'PRICING'!$A$7:$A$16,0))/60),2)),""))</f>
        <v/>
      </c>
      <c r="R368" s="97">
        <f>IF(B368="","",IF(N(K368)&gt;0,K368,IF(N(J368)&gt;0,J368,N(Q368))))</f>
        <v/>
      </c>
      <c r="S368" s="55">
        <f>IF(L368="","",ROUND(L368*(1+N(M368)),2))</f>
        <v/>
      </c>
      <c r="T368" s="55">
        <f>IF(B368="","",SUMIFS('REVENUE'!$C$5:$C$1504,'REVENUE'!$B$5:$B$1504,A368))</f>
        <v/>
      </c>
      <c r="U368" s="55">
        <f>IF(B368="","",IF(O368="Completed",MAX(0,N(S368)-T368),""))</f>
        <v/>
      </c>
      <c r="V368" s="49">
        <f>IF(B368="","",IF(O368&lt;&gt;"Completed",IF(T368&gt;0,"Deposit","—"),IF(U368&lt;=0.005,"Paid",IF(T368&gt;0,"Partial","Unpaid"))))</f>
        <v/>
      </c>
      <c r="W368" s="55">
        <f>IF(B368="","",IFERROR(1/(1/INDEX('STAFF &amp; TASKS'!$C$5:$C$24,MATCH(H368,'STAFF &amp; TASKS'!$A$5:$A$24,0))),PayRate))</f>
        <v/>
      </c>
      <c r="X368" s="55">
        <f>IF(B368="","",IF(OR(O368="Cancelled",O368="No-Show"),"",ROUND(R368*W368*(1+Burden),2)))</f>
        <v/>
      </c>
      <c r="Y368" s="55">
        <f>IF(B368="","",IF(OR(O368="Cancelled",O368="No-Show"),"",IF(N368&lt;&gt;"",N368,ROUND(R368*SupHr*IFERROR(INDEX('PRICING'!$G$7:$G$16,MATCH(F368,'PRICING'!$A$7:$A$16,0)),1),2))))</f>
        <v/>
      </c>
      <c r="Z368" s="98">
        <f>IF(B368="","",SUMIFS('MILEAGE'!$J$5:$J$1504,'MILEAGE'!$B$5:$B$1504,A368))</f>
        <v/>
      </c>
      <c r="AA368" s="55">
        <f>IF(B368="","",ROUND(Z368*MileRate,2))</f>
        <v/>
      </c>
      <c r="AB368" s="55">
        <f>IF(B368="","",SUMIFS('REVENUE'!$J$5:$J$1504,'REVENUE'!$B$5:$B$1504,A368))</f>
        <v/>
      </c>
      <c r="AC368" s="55">
        <f>IF(L368="","",IF(OR(O368="Cancelled",O368="No-Show"),"",L368-N(X368)-N(Y368)-AA368-AB368))</f>
        <v/>
      </c>
      <c r="AD368" s="99">
        <f>IF(OR(AC368="",N(L368)=0),"",AC368/L368)</f>
        <v/>
      </c>
      <c r="AE368" s="55">
        <f>IF(OR(AC368="",N(R368)=0),"",L368/R368)</f>
        <v/>
      </c>
      <c r="AF368" s="100">
        <f>IF(OR(N(K368)=0,N(J368)+N(Q368)=0),"",K368-IF(N(J368)&gt;0,J368,Q368))</f>
        <v/>
      </c>
      <c r="AG368" s="99">
        <f>IF(B368="","",IFERROR(AVERAGEIFS('QUALITY CONTROL'!$M$5:$M$304,'QUALITY CONTROL'!$B$5:$B$304,A368),""))</f>
        <v/>
      </c>
      <c r="AH368" s="51">
        <f>IF(B368="","",DATE(YEAR(B368),MONTH(B368),1))</f>
        <v/>
      </c>
      <c r="AI368" s="49">
        <f>IF(D368="","",IFERROR(INDEX('CUSTOMERS'!$E$5:$E$404,MATCH(D368,'CUSTOMERS'!$B$5:$B$404,0)),""))</f>
        <v/>
      </c>
      <c r="AJ368" s="49">
        <f>IF(B368="","",N(C368))</f>
        <v/>
      </c>
      <c r="AK368" s="49">
        <f>IF(OR(B368="",O368="Cancelled",O368="Rescheduled"),"",B368&amp;"|"&amp;(COUNTIFS('JOBS'!$B$5:$B$1504,B368,'JOBS'!$AJ$5:$AJ$1504,"&lt;"&amp;AJ368,'JOBS'!$O$5:$O$1504,"&lt;&gt;Cancelled",'JOBS'!$O$5:$O$1504,"&lt;&gt;Rescheduled")+COUNTIFS($B$5:B368,B368,$AJ$5:AJ368,AJ368,$O$5:O368,"&lt;&gt;Cancelled",$O$5:O368,"&lt;&gt;Rescheduled")))</f>
        <v/>
      </c>
      <c r="AL368" s="49">
        <f>IF(N(U368)&lt;=0.005,"",COUNTIFS('JOBS'!$U$5:$U$1504,"&gt;0.005",'JOBS'!$B$5:$B$1504,"&lt;"&amp;B368)+COUNTIFS($U$5:U368,"&gt;0.005",$B$5:B368,B368))</f>
        <v/>
      </c>
    </row>
    <row r="369">
      <c r="A369" s="46" t="inlineStr">
        <is>
          <t>J-0365</t>
        </is>
      </c>
      <c r="B369" s="47" t="n"/>
      <c r="C369" s="94" t="n"/>
      <c r="D369" s="38" t="n"/>
      <c r="E369" s="38" t="n"/>
      <c r="F369" s="38" t="n"/>
      <c r="G369" s="38" t="n"/>
      <c r="H369" s="38" t="n"/>
      <c r="I369" s="57" t="n"/>
      <c r="J369" s="95" t="n"/>
      <c r="K369" s="95" t="n"/>
      <c r="L369" s="48" t="n"/>
      <c r="M369" s="96" t="n"/>
      <c r="N369" s="48" t="n"/>
      <c r="O369" s="38" t="n"/>
      <c r="P369" s="38" t="n"/>
      <c r="Q369" s="97">
        <f>IF(OR(F369="",E369=""),"",IFERROR(IF(INDEX('PROPERTIES'!$F$5:$F$404,MATCH(E369,'PROPERTIES'!$B$5:$B$404,0))=0,"",ROUND((INDEX('PROPERTIES'!$F$5:$F$404,MATCH(E369,'PROPERTIES'!$B$5:$B$404,0))/INDEX('PRICING'!$C$7:$C$16,MATCH(F369,'PRICING'!$A$7:$A$16,0))+INDEX('PROPERTIES'!$G$5:$G$404,MATCH(E369,'PROPERTIES'!$B$5:$B$404,0))*INDEX('PRICING'!$D$7:$D$16,MATCH(F369,'PRICING'!$A$7:$A$16,0))/60+INDEX('PROPERTIES'!$H$5:$H$404,MATCH(E369,'PROPERTIES'!$B$5:$B$404,0))*INDEX('PRICING'!$E$7:$E$16,MATCH(F369,'PRICING'!$A$7:$A$16,0))/60+INDEX('PRICING'!$F$7:$F$16,MATCH(F369,'PRICING'!$A$7:$A$16,0))/60),2)),""))</f>
        <v/>
      </c>
      <c r="R369" s="97">
        <f>IF(B369="","",IF(N(K369)&gt;0,K369,IF(N(J369)&gt;0,J369,N(Q369))))</f>
        <v/>
      </c>
      <c r="S369" s="55">
        <f>IF(L369="","",ROUND(L369*(1+N(M369)),2))</f>
        <v/>
      </c>
      <c r="T369" s="55">
        <f>IF(B369="","",SUMIFS('REVENUE'!$C$5:$C$1504,'REVENUE'!$B$5:$B$1504,A369))</f>
        <v/>
      </c>
      <c r="U369" s="55">
        <f>IF(B369="","",IF(O369="Completed",MAX(0,N(S369)-T369),""))</f>
        <v/>
      </c>
      <c r="V369" s="49">
        <f>IF(B369="","",IF(O369&lt;&gt;"Completed",IF(T369&gt;0,"Deposit","—"),IF(U369&lt;=0.005,"Paid",IF(T369&gt;0,"Partial","Unpaid"))))</f>
        <v/>
      </c>
      <c r="W369" s="55">
        <f>IF(B369="","",IFERROR(1/(1/INDEX('STAFF &amp; TASKS'!$C$5:$C$24,MATCH(H369,'STAFF &amp; TASKS'!$A$5:$A$24,0))),PayRate))</f>
        <v/>
      </c>
      <c r="X369" s="55">
        <f>IF(B369="","",IF(OR(O369="Cancelled",O369="No-Show"),"",ROUND(R369*W369*(1+Burden),2)))</f>
        <v/>
      </c>
      <c r="Y369" s="55">
        <f>IF(B369="","",IF(OR(O369="Cancelled",O369="No-Show"),"",IF(N369&lt;&gt;"",N369,ROUND(R369*SupHr*IFERROR(INDEX('PRICING'!$G$7:$G$16,MATCH(F369,'PRICING'!$A$7:$A$16,0)),1),2))))</f>
        <v/>
      </c>
      <c r="Z369" s="98">
        <f>IF(B369="","",SUMIFS('MILEAGE'!$J$5:$J$1504,'MILEAGE'!$B$5:$B$1504,A369))</f>
        <v/>
      </c>
      <c r="AA369" s="55">
        <f>IF(B369="","",ROUND(Z369*MileRate,2))</f>
        <v/>
      </c>
      <c r="AB369" s="55">
        <f>IF(B369="","",SUMIFS('REVENUE'!$J$5:$J$1504,'REVENUE'!$B$5:$B$1504,A369))</f>
        <v/>
      </c>
      <c r="AC369" s="55">
        <f>IF(L369="","",IF(OR(O369="Cancelled",O369="No-Show"),"",L369-N(X369)-N(Y369)-AA369-AB369))</f>
        <v/>
      </c>
      <c r="AD369" s="99">
        <f>IF(OR(AC369="",N(L369)=0),"",AC369/L369)</f>
        <v/>
      </c>
      <c r="AE369" s="55">
        <f>IF(OR(AC369="",N(R369)=0),"",L369/R369)</f>
        <v/>
      </c>
      <c r="AF369" s="100">
        <f>IF(OR(N(K369)=0,N(J369)+N(Q369)=0),"",K369-IF(N(J369)&gt;0,J369,Q369))</f>
        <v/>
      </c>
      <c r="AG369" s="99">
        <f>IF(B369="","",IFERROR(AVERAGEIFS('QUALITY CONTROL'!$M$5:$M$304,'QUALITY CONTROL'!$B$5:$B$304,A369),""))</f>
        <v/>
      </c>
      <c r="AH369" s="51">
        <f>IF(B369="","",DATE(YEAR(B369),MONTH(B369),1))</f>
        <v/>
      </c>
      <c r="AI369" s="49">
        <f>IF(D369="","",IFERROR(INDEX('CUSTOMERS'!$E$5:$E$404,MATCH(D369,'CUSTOMERS'!$B$5:$B$404,0)),""))</f>
        <v/>
      </c>
      <c r="AJ369" s="49">
        <f>IF(B369="","",N(C369))</f>
        <v/>
      </c>
      <c r="AK369" s="49">
        <f>IF(OR(B369="",O369="Cancelled",O369="Rescheduled"),"",B369&amp;"|"&amp;(COUNTIFS('JOBS'!$B$5:$B$1504,B369,'JOBS'!$AJ$5:$AJ$1504,"&lt;"&amp;AJ369,'JOBS'!$O$5:$O$1504,"&lt;&gt;Cancelled",'JOBS'!$O$5:$O$1504,"&lt;&gt;Rescheduled")+COUNTIFS($B$5:B369,B369,$AJ$5:AJ369,AJ369,$O$5:O369,"&lt;&gt;Cancelled",$O$5:O369,"&lt;&gt;Rescheduled")))</f>
        <v/>
      </c>
      <c r="AL369" s="49">
        <f>IF(N(U369)&lt;=0.005,"",COUNTIFS('JOBS'!$U$5:$U$1504,"&gt;0.005",'JOBS'!$B$5:$B$1504,"&lt;"&amp;B369)+COUNTIFS($U$5:U369,"&gt;0.005",$B$5:B369,B369))</f>
        <v/>
      </c>
    </row>
    <row r="370">
      <c r="A370" s="46" t="inlineStr">
        <is>
          <t>J-0366</t>
        </is>
      </c>
      <c r="B370" s="47" t="n"/>
      <c r="C370" s="94" t="n"/>
      <c r="D370" s="38" t="n"/>
      <c r="E370" s="38" t="n"/>
      <c r="F370" s="38" t="n"/>
      <c r="G370" s="38" t="n"/>
      <c r="H370" s="38" t="n"/>
      <c r="I370" s="57" t="n"/>
      <c r="J370" s="95" t="n"/>
      <c r="K370" s="95" t="n"/>
      <c r="L370" s="48" t="n"/>
      <c r="M370" s="96" t="n"/>
      <c r="N370" s="48" t="n"/>
      <c r="O370" s="38" t="n"/>
      <c r="P370" s="38" t="n"/>
      <c r="Q370" s="97">
        <f>IF(OR(F370="",E370=""),"",IFERROR(IF(INDEX('PROPERTIES'!$F$5:$F$404,MATCH(E370,'PROPERTIES'!$B$5:$B$404,0))=0,"",ROUND((INDEX('PROPERTIES'!$F$5:$F$404,MATCH(E370,'PROPERTIES'!$B$5:$B$404,0))/INDEX('PRICING'!$C$7:$C$16,MATCH(F370,'PRICING'!$A$7:$A$16,0))+INDEX('PROPERTIES'!$G$5:$G$404,MATCH(E370,'PROPERTIES'!$B$5:$B$404,0))*INDEX('PRICING'!$D$7:$D$16,MATCH(F370,'PRICING'!$A$7:$A$16,0))/60+INDEX('PROPERTIES'!$H$5:$H$404,MATCH(E370,'PROPERTIES'!$B$5:$B$404,0))*INDEX('PRICING'!$E$7:$E$16,MATCH(F370,'PRICING'!$A$7:$A$16,0))/60+INDEX('PRICING'!$F$7:$F$16,MATCH(F370,'PRICING'!$A$7:$A$16,0))/60),2)),""))</f>
        <v/>
      </c>
      <c r="R370" s="97">
        <f>IF(B370="","",IF(N(K370)&gt;0,K370,IF(N(J370)&gt;0,J370,N(Q370))))</f>
        <v/>
      </c>
      <c r="S370" s="55">
        <f>IF(L370="","",ROUND(L370*(1+N(M370)),2))</f>
        <v/>
      </c>
      <c r="T370" s="55">
        <f>IF(B370="","",SUMIFS('REVENUE'!$C$5:$C$1504,'REVENUE'!$B$5:$B$1504,A370))</f>
        <v/>
      </c>
      <c r="U370" s="55">
        <f>IF(B370="","",IF(O370="Completed",MAX(0,N(S370)-T370),""))</f>
        <v/>
      </c>
      <c r="V370" s="49">
        <f>IF(B370="","",IF(O370&lt;&gt;"Completed",IF(T370&gt;0,"Deposit","—"),IF(U370&lt;=0.005,"Paid",IF(T370&gt;0,"Partial","Unpaid"))))</f>
        <v/>
      </c>
      <c r="W370" s="55">
        <f>IF(B370="","",IFERROR(1/(1/INDEX('STAFF &amp; TASKS'!$C$5:$C$24,MATCH(H370,'STAFF &amp; TASKS'!$A$5:$A$24,0))),PayRate))</f>
        <v/>
      </c>
      <c r="X370" s="55">
        <f>IF(B370="","",IF(OR(O370="Cancelled",O370="No-Show"),"",ROUND(R370*W370*(1+Burden),2)))</f>
        <v/>
      </c>
      <c r="Y370" s="55">
        <f>IF(B370="","",IF(OR(O370="Cancelled",O370="No-Show"),"",IF(N370&lt;&gt;"",N370,ROUND(R370*SupHr*IFERROR(INDEX('PRICING'!$G$7:$G$16,MATCH(F370,'PRICING'!$A$7:$A$16,0)),1),2))))</f>
        <v/>
      </c>
      <c r="Z370" s="98">
        <f>IF(B370="","",SUMIFS('MILEAGE'!$J$5:$J$1504,'MILEAGE'!$B$5:$B$1504,A370))</f>
        <v/>
      </c>
      <c r="AA370" s="55">
        <f>IF(B370="","",ROUND(Z370*MileRate,2))</f>
        <v/>
      </c>
      <c r="AB370" s="55">
        <f>IF(B370="","",SUMIFS('REVENUE'!$J$5:$J$1504,'REVENUE'!$B$5:$B$1504,A370))</f>
        <v/>
      </c>
      <c r="AC370" s="55">
        <f>IF(L370="","",IF(OR(O370="Cancelled",O370="No-Show"),"",L370-N(X370)-N(Y370)-AA370-AB370))</f>
        <v/>
      </c>
      <c r="AD370" s="99">
        <f>IF(OR(AC370="",N(L370)=0),"",AC370/L370)</f>
        <v/>
      </c>
      <c r="AE370" s="55">
        <f>IF(OR(AC370="",N(R370)=0),"",L370/R370)</f>
        <v/>
      </c>
      <c r="AF370" s="100">
        <f>IF(OR(N(K370)=0,N(J370)+N(Q370)=0),"",K370-IF(N(J370)&gt;0,J370,Q370))</f>
        <v/>
      </c>
      <c r="AG370" s="99">
        <f>IF(B370="","",IFERROR(AVERAGEIFS('QUALITY CONTROL'!$M$5:$M$304,'QUALITY CONTROL'!$B$5:$B$304,A370),""))</f>
        <v/>
      </c>
      <c r="AH370" s="51">
        <f>IF(B370="","",DATE(YEAR(B370),MONTH(B370),1))</f>
        <v/>
      </c>
      <c r="AI370" s="49">
        <f>IF(D370="","",IFERROR(INDEX('CUSTOMERS'!$E$5:$E$404,MATCH(D370,'CUSTOMERS'!$B$5:$B$404,0)),""))</f>
        <v/>
      </c>
      <c r="AJ370" s="49">
        <f>IF(B370="","",N(C370))</f>
        <v/>
      </c>
      <c r="AK370" s="49">
        <f>IF(OR(B370="",O370="Cancelled",O370="Rescheduled"),"",B370&amp;"|"&amp;(COUNTIFS('JOBS'!$B$5:$B$1504,B370,'JOBS'!$AJ$5:$AJ$1504,"&lt;"&amp;AJ370,'JOBS'!$O$5:$O$1504,"&lt;&gt;Cancelled",'JOBS'!$O$5:$O$1504,"&lt;&gt;Rescheduled")+COUNTIFS($B$5:B370,B370,$AJ$5:AJ370,AJ370,$O$5:O370,"&lt;&gt;Cancelled",$O$5:O370,"&lt;&gt;Rescheduled")))</f>
        <v/>
      </c>
      <c r="AL370" s="49">
        <f>IF(N(U370)&lt;=0.005,"",COUNTIFS('JOBS'!$U$5:$U$1504,"&gt;0.005",'JOBS'!$B$5:$B$1504,"&lt;"&amp;B370)+COUNTIFS($U$5:U370,"&gt;0.005",$B$5:B370,B370))</f>
        <v/>
      </c>
    </row>
    <row r="371">
      <c r="A371" s="46" t="inlineStr">
        <is>
          <t>J-0367</t>
        </is>
      </c>
      <c r="B371" s="47" t="n"/>
      <c r="C371" s="94" t="n"/>
      <c r="D371" s="38" t="n"/>
      <c r="E371" s="38" t="n"/>
      <c r="F371" s="38" t="n"/>
      <c r="G371" s="38" t="n"/>
      <c r="H371" s="38" t="n"/>
      <c r="I371" s="57" t="n"/>
      <c r="J371" s="95" t="n"/>
      <c r="K371" s="95" t="n"/>
      <c r="L371" s="48" t="n"/>
      <c r="M371" s="96" t="n"/>
      <c r="N371" s="48" t="n"/>
      <c r="O371" s="38" t="n"/>
      <c r="P371" s="38" t="n"/>
      <c r="Q371" s="97">
        <f>IF(OR(F371="",E371=""),"",IFERROR(IF(INDEX('PROPERTIES'!$F$5:$F$404,MATCH(E371,'PROPERTIES'!$B$5:$B$404,0))=0,"",ROUND((INDEX('PROPERTIES'!$F$5:$F$404,MATCH(E371,'PROPERTIES'!$B$5:$B$404,0))/INDEX('PRICING'!$C$7:$C$16,MATCH(F371,'PRICING'!$A$7:$A$16,0))+INDEX('PROPERTIES'!$G$5:$G$404,MATCH(E371,'PROPERTIES'!$B$5:$B$404,0))*INDEX('PRICING'!$D$7:$D$16,MATCH(F371,'PRICING'!$A$7:$A$16,0))/60+INDEX('PROPERTIES'!$H$5:$H$404,MATCH(E371,'PROPERTIES'!$B$5:$B$404,0))*INDEX('PRICING'!$E$7:$E$16,MATCH(F371,'PRICING'!$A$7:$A$16,0))/60+INDEX('PRICING'!$F$7:$F$16,MATCH(F371,'PRICING'!$A$7:$A$16,0))/60),2)),""))</f>
        <v/>
      </c>
      <c r="R371" s="97">
        <f>IF(B371="","",IF(N(K371)&gt;0,K371,IF(N(J371)&gt;0,J371,N(Q371))))</f>
        <v/>
      </c>
      <c r="S371" s="55">
        <f>IF(L371="","",ROUND(L371*(1+N(M371)),2))</f>
        <v/>
      </c>
      <c r="T371" s="55">
        <f>IF(B371="","",SUMIFS('REVENUE'!$C$5:$C$1504,'REVENUE'!$B$5:$B$1504,A371))</f>
        <v/>
      </c>
      <c r="U371" s="55">
        <f>IF(B371="","",IF(O371="Completed",MAX(0,N(S371)-T371),""))</f>
        <v/>
      </c>
      <c r="V371" s="49">
        <f>IF(B371="","",IF(O371&lt;&gt;"Completed",IF(T371&gt;0,"Deposit","—"),IF(U371&lt;=0.005,"Paid",IF(T371&gt;0,"Partial","Unpaid"))))</f>
        <v/>
      </c>
      <c r="W371" s="55">
        <f>IF(B371="","",IFERROR(1/(1/INDEX('STAFF &amp; TASKS'!$C$5:$C$24,MATCH(H371,'STAFF &amp; TASKS'!$A$5:$A$24,0))),PayRate))</f>
        <v/>
      </c>
      <c r="X371" s="55">
        <f>IF(B371="","",IF(OR(O371="Cancelled",O371="No-Show"),"",ROUND(R371*W371*(1+Burden),2)))</f>
        <v/>
      </c>
      <c r="Y371" s="55">
        <f>IF(B371="","",IF(OR(O371="Cancelled",O371="No-Show"),"",IF(N371&lt;&gt;"",N371,ROUND(R371*SupHr*IFERROR(INDEX('PRICING'!$G$7:$G$16,MATCH(F371,'PRICING'!$A$7:$A$16,0)),1),2))))</f>
        <v/>
      </c>
      <c r="Z371" s="98">
        <f>IF(B371="","",SUMIFS('MILEAGE'!$J$5:$J$1504,'MILEAGE'!$B$5:$B$1504,A371))</f>
        <v/>
      </c>
      <c r="AA371" s="55">
        <f>IF(B371="","",ROUND(Z371*MileRate,2))</f>
        <v/>
      </c>
      <c r="AB371" s="55">
        <f>IF(B371="","",SUMIFS('REVENUE'!$J$5:$J$1504,'REVENUE'!$B$5:$B$1504,A371))</f>
        <v/>
      </c>
      <c r="AC371" s="55">
        <f>IF(L371="","",IF(OR(O371="Cancelled",O371="No-Show"),"",L371-N(X371)-N(Y371)-AA371-AB371))</f>
        <v/>
      </c>
      <c r="AD371" s="99">
        <f>IF(OR(AC371="",N(L371)=0),"",AC371/L371)</f>
        <v/>
      </c>
      <c r="AE371" s="55">
        <f>IF(OR(AC371="",N(R371)=0),"",L371/R371)</f>
        <v/>
      </c>
      <c r="AF371" s="100">
        <f>IF(OR(N(K371)=0,N(J371)+N(Q371)=0),"",K371-IF(N(J371)&gt;0,J371,Q371))</f>
        <v/>
      </c>
      <c r="AG371" s="99">
        <f>IF(B371="","",IFERROR(AVERAGEIFS('QUALITY CONTROL'!$M$5:$M$304,'QUALITY CONTROL'!$B$5:$B$304,A371),""))</f>
        <v/>
      </c>
      <c r="AH371" s="51">
        <f>IF(B371="","",DATE(YEAR(B371),MONTH(B371),1))</f>
        <v/>
      </c>
      <c r="AI371" s="49">
        <f>IF(D371="","",IFERROR(INDEX('CUSTOMERS'!$E$5:$E$404,MATCH(D371,'CUSTOMERS'!$B$5:$B$404,0)),""))</f>
        <v/>
      </c>
      <c r="AJ371" s="49">
        <f>IF(B371="","",N(C371))</f>
        <v/>
      </c>
      <c r="AK371" s="49">
        <f>IF(OR(B371="",O371="Cancelled",O371="Rescheduled"),"",B371&amp;"|"&amp;(COUNTIFS('JOBS'!$B$5:$B$1504,B371,'JOBS'!$AJ$5:$AJ$1504,"&lt;"&amp;AJ371,'JOBS'!$O$5:$O$1504,"&lt;&gt;Cancelled",'JOBS'!$O$5:$O$1504,"&lt;&gt;Rescheduled")+COUNTIFS($B$5:B371,B371,$AJ$5:AJ371,AJ371,$O$5:O371,"&lt;&gt;Cancelled",$O$5:O371,"&lt;&gt;Rescheduled")))</f>
        <v/>
      </c>
      <c r="AL371" s="49">
        <f>IF(N(U371)&lt;=0.005,"",COUNTIFS('JOBS'!$U$5:$U$1504,"&gt;0.005",'JOBS'!$B$5:$B$1504,"&lt;"&amp;B371)+COUNTIFS($U$5:U371,"&gt;0.005",$B$5:B371,B371))</f>
        <v/>
      </c>
    </row>
    <row r="372">
      <c r="A372" s="46" t="inlineStr">
        <is>
          <t>J-0368</t>
        </is>
      </c>
      <c r="B372" s="47" t="n"/>
      <c r="C372" s="94" t="n"/>
      <c r="D372" s="38" t="n"/>
      <c r="E372" s="38" t="n"/>
      <c r="F372" s="38" t="n"/>
      <c r="G372" s="38" t="n"/>
      <c r="H372" s="38" t="n"/>
      <c r="I372" s="57" t="n"/>
      <c r="J372" s="95" t="n"/>
      <c r="K372" s="95" t="n"/>
      <c r="L372" s="48" t="n"/>
      <c r="M372" s="96" t="n"/>
      <c r="N372" s="48" t="n"/>
      <c r="O372" s="38" t="n"/>
      <c r="P372" s="38" t="n"/>
      <c r="Q372" s="97">
        <f>IF(OR(F372="",E372=""),"",IFERROR(IF(INDEX('PROPERTIES'!$F$5:$F$404,MATCH(E372,'PROPERTIES'!$B$5:$B$404,0))=0,"",ROUND((INDEX('PROPERTIES'!$F$5:$F$404,MATCH(E372,'PROPERTIES'!$B$5:$B$404,0))/INDEX('PRICING'!$C$7:$C$16,MATCH(F372,'PRICING'!$A$7:$A$16,0))+INDEX('PROPERTIES'!$G$5:$G$404,MATCH(E372,'PROPERTIES'!$B$5:$B$404,0))*INDEX('PRICING'!$D$7:$D$16,MATCH(F372,'PRICING'!$A$7:$A$16,0))/60+INDEX('PROPERTIES'!$H$5:$H$404,MATCH(E372,'PROPERTIES'!$B$5:$B$404,0))*INDEX('PRICING'!$E$7:$E$16,MATCH(F372,'PRICING'!$A$7:$A$16,0))/60+INDEX('PRICING'!$F$7:$F$16,MATCH(F372,'PRICING'!$A$7:$A$16,0))/60),2)),""))</f>
        <v/>
      </c>
      <c r="R372" s="97">
        <f>IF(B372="","",IF(N(K372)&gt;0,K372,IF(N(J372)&gt;0,J372,N(Q372))))</f>
        <v/>
      </c>
      <c r="S372" s="55">
        <f>IF(L372="","",ROUND(L372*(1+N(M372)),2))</f>
        <v/>
      </c>
      <c r="T372" s="55">
        <f>IF(B372="","",SUMIFS('REVENUE'!$C$5:$C$1504,'REVENUE'!$B$5:$B$1504,A372))</f>
        <v/>
      </c>
      <c r="U372" s="55">
        <f>IF(B372="","",IF(O372="Completed",MAX(0,N(S372)-T372),""))</f>
        <v/>
      </c>
      <c r="V372" s="49">
        <f>IF(B372="","",IF(O372&lt;&gt;"Completed",IF(T372&gt;0,"Deposit","—"),IF(U372&lt;=0.005,"Paid",IF(T372&gt;0,"Partial","Unpaid"))))</f>
        <v/>
      </c>
      <c r="W372" s="55">
        <f>IF(B372="","",IFERROR(1/(1/INDEX('STAFF &amp; TASKS'!$C$5:$C$24,MATCH(H372,'STAFF &amp; TASKS'!$A$5:$A$24,0))),PayRate))</f>
        <v/>
      </c>
      <c r="X372" s="55">
        <f>IF(B372="","",IF(OR(O372="Cancelled",O372="No-Show"),"",ROUND(R372*W372*(1+Burden),2)))</f>
        <v/>
      </c>
      <c r="Y372" s="55">
        <f>IF(B372="","",IF(OR(O372="Cancelled",O372="No-Show"),"",IF(N372&lt;&gt;"",N372,ROUND(R372*SupHr*IFERROR(INDEX('PRICING'!$G$7:$G$16,MATCH(F372,'PRICING'!$A$7:$A$16,0)),1),2))))</f>
        <v/>
      </c>
      <c r="Z372" s="98">
        <f>IF(B372="","",SUMIFS('MILEAGE'!$J$5:$J$1504,'MILEAGE'!$B$5:$B$1504,A372))</f>
        <v/>
      </c>
      <c r="AA372" s="55">
        <f>IF(B372="","",ROUND(Z372*MileRate,2))</f>
        <v/>
      </c>
      <c r="AB372" s="55">
        <f>IF(B372="","",SUMIFS('REVENUE'!$J$5:$J$1504,'REVENUE'!$B$5:$B$1504,A372))</f>
        <v/>
      </c>
      <c r="AC372" s="55">
        <f>IF(L372="","",IF(OR(O372="Cancelled",O372="No-Show"),"",L372-N(X372)-N(Y372)-AA372-AB372))</f>
        <v/>
      </c>
      <c r="AD372" s="99">
        <f>IF(OR(AC372="",N(L372)=0),"",AC372/L372)</f>
        <v/>
      </c>
      <c r="AE372" s="55">
        <f>IF(OR(AC372="",N(R372)=0),"",L372/R372)</f>
        <v/>
      </c>
      <c r="AF372" s="100">
        <f>IF(OR(N(K372)=0,N(J372)+N(Q372)=0),"",K372-IF(N(J372)&gt;0,J372,Q372))</f>
        <v/>
      </c>
      <c r="AG372" s="99">
        <f>IF(B372="","",IFERROR(AVERAGEIFS('QUALITY CONTROL'!$M$5:$M$304,'QUALITY CONTROL'!$B$5:$B$304,A372),""))</f>
        <v/>
      </c>
      <c r="AH372" s="51">
        <f>IF(B372="","",DATE(YEAR(B372),MONTH(B372),1))</f>
        <v/>
      </c>
      <c r="AI372" s="49">
        <f>IF(D372="","",IFERROR(INDEX('CUSTOMERS'!$E$5:$E$404,MATCH(D372,'CUSTOMERS'!$B$5:$B$404,0)),""))</f>
        <v/>
      </c>
      <c r="AJ372" s="49">
        <f>IF(B372="","",N(C372))</f>
        <v/>
      </c>
      <c r="AK372" s="49">
        <f>IF(OR(B372="",O372="Cancelled",O372="Rescheduled"),"",B372&amp;"|"&amp;(COUNTIFS('JOBS'!$B$5:$B$1504,B372,'JOBS'!$AJ$5:$AJ$1504,"&lt;"&amp;AJ372,'JOBS'!$O$5:$O$1504,"&lt;&gt;Cancelled",'JOBS'!$O$5:$O$1504,"&lt;&gt;Rescheduled")+COUNTIFS($B$5:B372,B372,$AJ$5:AJ372,AJ372,$O$5:O372,"&lt;&gt;Cancelled",$O$5:O372,"&lt;&gt;Rescheduled")))</f>
        <v/>
      </c>
      <c r="AL372" s="49">
        <f>IF(N(U372)&lt;=0.005,"",COUNTIFS('JOBS'!$U$5:$U$1504,"&gt;0.005",'JOBS'!$B$5:$B$1504,"&lt;"&amp;B372)+COUNTIFS($U$5:U372,"&gt;0.005",$B$5:B372,B372))</f>
        <v/>
      </c>
    </row>
    <row r="373">
      <c r="A373" s="46" t="inlineStr">
        <is>
          <t>J-0369</t>
        </is>
      </c>
      <c r="B373" s="47" t="n"/>
      <c r="C373" s="94" t="n"/>
      <c r="D373" s="38" t="n"/>
      <c r="E373" s="38" t="n"/>
      <c r="F373" s="38" t="n"/>
      <c r="G373" s="38" t="n"/>
      <c r="H373" s="38" t="n"/>
      <c r="I373" s="57" t="n"/>
      <c r="J373" s="95" t="n"/>
      <c r="K373" s="95" t="n"/>
      <c r="L373" s="48" t="n"/>
      <c r="M373" s="96" t="n"/>
      <c r="N373" s="48" t="n"/>
      <c r="O373" s="38" t="n"/>
      <c r="P373" s="38" t="n"/>
      <c r="Q373" s="97">
        <f>IF(OR(F373="",E373=""),"",IFERROR(IF(INDEX('PROPERTIES'!$F$5:$F$404,MATCH(E373,'PROPERTIES'!$B$5:$B$404,0))=0,"",ROUND((INDEX('PROPERTIES'!$F$5:$F$404,MATCH(E373,'PROPERTIES'!$B$5:$B$404,0))/INDEX('PRICING'!$C$7:$C$16,MATCH(F373,'PRICING'!$A$7:$A$16,0))+INDEX('PROPERTIES'!$G$5:$G$404,MATCH(E373,'PROPERTIES'!$B$5:$B$404,0))*INDEX('PRICING'!$D$7:$D$16,MATCH(F373,'PRICING'!$A$7:$A$16,0))/60+INDEX('PROPERTIES'!$H$5:$H$404,MATCH(E373,'PROPERTIES'!$B$5:$B$404,0))*INDEX('PRICING'!$E$7:$E$16,MATCH(F373,'PRICING'!$A$7:$A$16,0))/60+INDEX('PRICING'!$F$7:$F$16,MATCH(F373,'PRICING'!$A$7:$A$16,0))/60),2)),""))</f>
        <v/>
      </c>
      <c r="R373" s="97">
        <f>IF(B373="","",IF(N(K373)&gt;0,K373,IF(N(J373)&gt;0,J373,N(Q373))))</f>
        <v/>
      </c>
      <c r="S373" s="55">
        <f>IF(L373="","",ROUND(L373*(1+N(M373)),2))</f>
        <v/>
      </c>
      <c r="T373" s="55">
        <f>IF(B373="","",SUMIFS('REVENUE'!$C$5:$C$1504,'REVENUE'!$B$5:$B$1504,A373))</f>
        <v/>
      </c>
      <c r="U373" s="55">
        <f>IF(B373="","",IF(O373="Completed",MAX(0,N(S373)-T373),""))</f>
        <v/>
      </c>
      <c r="V373" s="49">
        <f>IF(B373="","",IF(O373&lt;&gt;"Completed",IF(T373&gt;0,"Deposit","—"),IF(U373&lt;=0.005,"Paid",IF(T373&gt;0,"Partial","Unpaid"))))</f>
        <v/>
      </c>
      <c r="W373" s="55">
        <f>IF(B373="","",IFERROR(1/(1/INDEX('STAFF &amp; TASKS'!$C$5:$C$24,MATCH(H373,'STAFF &amp; TASKS'!$A$5:$A$24,0))),PayRate))</f>
        <v/>
      </c>
      <c r="X373" s="55">
        <f>IF(B373="","",IF(OR(O373="Cancelled",O373="No-Show"),"",ROUND(R373*W373*(1+Burden),2)))</f>
        <v/>
      </c>
      <c r="Y373" s="55">
        <f>IF(B373="","",IF(OR(O373="Cancelled",O373="No-Show"),"",IF(N373&lt;&gt;"",N373,ROUND(R373*SupHr*IFERROR(INDEX('PRICING'!$G$7:$G$16,MATCH(F373,'PRICING'!$A$7:$A$16,0)),1),2))))</f>
        <v/>
      </c>
      <c r="Z373" s="98">
        <f>IF(B373="","",SUMIFS('MILEAGE'!$J$5:$J$1504,'MILEAGE'!$B$5:$B$1504,A373))</f>
        <v/>
      </c>
      <c r="AA373" s="55">
        <f>IF(B373="","",ROUND(Z373*MileRate,2))</f>
        <v/>
      </c>
      <c r="AB373" s="55">
        <f>IF(B373="","",SUMIFS('REVENUE'!$J$5:$J$1504,'REVENUE'!$B$5:$B$1504,A373))</f>
        <v/>
      </c>
      <c r="AC373" s="55">
        <f>IF(L373="","",IF(OR(O373="Cancelled",O373="No-Show"),"",L373-N(X373)-N(Y373)-AA373-AB373))</f>
        <v/>
      </c>
      <c r="AD373" s="99">
        <f>IF(OR(AC373="",N(L373)=0),"",AC373/L373)</f>
        <v/>
      </c>
      <c r="AE373" s="55">
        <f>IF(OR(AC373="",N(R373)=0),"",L373/R373)</f>
        <v/>
      </c>
      <c r="AF373" s="100">
        <f>IF(OR(N(K373)=0,N(J373)+N(Q373)=0),"",K373-IF(N(J373)&gt;0,J373,Q373))</f>
        <v/>
      </c>
      <c r="AG373" s="99">
        <f>IF(B373="","",IFERROR(AVERAGEIFS('QUALITY CONTROL'!$M$5:$M$304,'QUALITY CONTROL'!$B$5:$B$304,A373),""))</f>
        <v/>
      </c>
      <c r="AH373" s="51">
        <f>IF(B373="","",DATE(YEAR(B373),MONTH(B373),1))</f>
        <v/>
      </c>
      <c r="AI373" s="49">
        <f>IF(D373="","",IFERROR(INDEX('CUSTOMERS'!$E$5:$E$404,MATCH(D373,'CUSTOMERS'!$B$5:$B$404,0)),""))</f>
        <v/>
      </c>
      <c r="AJ373" s="49">
        <f>IF(B373="","",N(C373))</f>
        <v/>
      </c>
      <c r="AK373" s="49">
        <f>IF(OR(B373="",O373="Cancelled",O373="Rescheduled"),"",B373&amp;"|"&amp;(COUNTIFS('JOBS'!$B$5:$B$1504,B373,'JOBS'!$AJ$5:$AJ$1504,"&lt;"&amp;AJ373,'JOBS'!$O$5:$O$1504,"&lt;&gt;Cancelled",'JOBS'!$O$5:$O$1504,"&lt;&gt;Rescheduled")+COUNTIFS($B$5:B373,B373,$AJ$5:AJ373,AJ373,$O$5:O373,"&lt;&gt;Cancelled",$O$5:O373,"&lt;&gt;Rescheduled")))</f>
        <v/>
      </c>
      <c r="AL373" s="49">
        <f>IF(N(U373)&lt;=0.005,"",COUNTIFS('JOBS'!$U$5:$U$1504,"&gt;0.005",'JOBS'!$B$5:$B$1504,"&lt;"&amp;B373)+COUNTIFS($U$5:U373,"&gt;0.005",$B$5:B373,B373))</f>
        <v/>
      </c>
    </row>
    <row r="374">
      <c r="A374" s="46" t="inlineStr">
        <is>
          <t>J-0370</t>
        </is>
      </c>
      <c r="B374" s="47" t="n"/>
      <c r="C374" s="94" t="n"/>
      <c r="D374" s="38" t="n"/>
      <c r="E374" s="38" t="n"/>
      <c r="F374" s="38" t="n"/>
      <c r="G374" s="38" t="n"/>
      <c r="H374" s="38" t="n"/>
      <c r="I374" s="57" t="n"/>
      <c r="J374" s="95" t="n"/>
      <c r="K374" s="95" t="n"/>
      <c r="L374" s="48" t="n"/>
      <c r="M374" s="96" t="n"/>
      <c r="N374" s="48" t="n"/>
      <c r="O374" s="38" t="n"/>
      <c r="P374" s="38" t="n"/>
      <c r="Q374" s="97">
        <f>IF(OR(F374="",E374=""),"",IFERROR(IF(INDEX('PROPERTIES'!$F$5:$F$404,MATCH(E374,'PROPERTIES'!$B$5:$B$404,0))=0,"",ROUND((INDEX('PROPERTIES'!$F$5:$F$404,MATCH(E374,'PROPERTIES'!$B$5:$B$404,0))/INDEX('PRICING'!$C$7:$C$16,MATCH(F374,'PRICING'!$A$7:$A$16,0))+INDEX('PROPERTIES'!$G$5:$G$404,MATCH(E374,'PROPERTIES'!$B$5:$B$404,0))*INDEX('PRICING'!$D$7:$D$16,MATCH(F374,'PRICING'!$A$7:$A$16,0))/60+INDEX('PROPERTIES'!$H$5:$H$404,MATCH(E374,'PROPERTIES'!$B$5:$B$404,0))*INDEX('PRICING'!$E$7:$E$16,MATCH(F374,'PRICING'!$A$7:$A$16,0))/60+INDEX('PRICING'!$F$7:$F$16,MATCH(F374,'PRICING'!$A$7:$A$16,0))/60),2)),""))</f>
        <v/>
      </c>
      <c r="R374" s="97">
        <f>IF(B374="","",IF(N(K374)&gt;0,K374,IF(N(J374)&gt;0,J374,N(Q374))))</f>
        <v/>
      </c>
      <c r="S374" s="55">
        <f>IF(L374="","",ROUND(L374*(1+N(M374)),2))</f>
        <v/>
      </c>
      <c r="T374" s="55">
        <f>IF(B374="","",SUMIFS('REVENUE'!$C$5:$C$1504,'REVENUE'!$B$5:$B$1504,A374))</f>
        <v/>
      </c>
      <c r="U374" s="55">
        <f>IF(B374="","",IF(O374="Completed",MAX(0,N(S374)-T374),""))</f>
        <v/>
      </c>
      <c r="V374" s="49">
        <f>IF(B374="","",IF(O374&lt;&gt;"Completed",IF(T374&gt;0,"Deposit","—"),IF(U374&lt;=0.005,"Paid",IF(T374&gt;0,"Partial","Unpaid"))))</f>
        <v/>
      </c>
      <c r="W374" s="55">
        <f>IF(B374="","",IFERROR(1/(1/INDEX('STAFF &amp; TASKS'!$C$5:$C$24,MATCH(H374,'STAFF &amp; TASKS'!$A$5:$A$24,0))),PayRate))</f>
        <v/>
      </c>
      <c r="X374" s="55">
        <f>IF(B374="","",IF(OR(O374="Cancelled",O374="No-Show"),"",ROUND(R374*W374*(1+Burden),2)))</f>
        <v/>
      </c>
      <c r="Y374" s="55">
        <f>IF(B374="","",IF(OR(O374="Cancelled",O374="No-Show"),"",IF(N374&lt;&gt;"",N374,ROUND(R374*SupHr*IFERROR(INDEX('PRICING'!$G$7:$G$16,MATCH(F374,'PRICING'!$A$7:$A$16,0)),1),2))))</f>
        <v/>
      </c>
      <c r="Z374" s="98">
        <f>IF(B374="","",SUMIFS('MILEAGE'!$J$5:$J$1504,'MILEAGE'!$B$5:$B$1504,A374))</f>
        <v/>
      </c>
      <c r="AA374" s="55">
        <f>IF(B374="","",ROUND(Z374*MileRate,2))</f>
        <v/>
      </c>
      <c r="AB374" s="55">
        <f>IF(B374="","",SUMIFS('REVENUE'!$J$5:$J$1504,'REVENUE'!$B$5:$B$1504,A374))</f>
        <v/>
      </c>
      <c r="AC374" s="55">
        <f>IF(L374="","",IF(OR(O374="Cancelled",O374="No-Show"),"",L374-N(X374)-N(Y374)-AA374-AB374))</f>
        <v/>
      </c>
      <c r="AD374" s="99">
        <f>IF(OR(AC374="",N(L374)=0),"",AC374/L374)</f>
        <v/>
      </c>
      <c r="AE374" s="55">
        <f>IF(OR(AC374="",N(R374)=0),"",L374/R374)</f>
        <v/>
      </c>
      <c r="AF374" s="100">
        <f>IF(OR(N(K374)=0,N(J374)+N(Q374)=0),"",K374-IF(N(J374)&gt;0,J374,Q374))</f>
        <v/>
      </c>
      <c r="AG374" s="99">
        <f>IF(B374="","",IFERROR(AVERAGEIFS('QUALITY CONTROL'!$M$5:$M$304,'QUALITY CONTROL'!$B$5:$B$304,A374),""))</f>
        <v/>
      </c>
      <c r="AH374" s="51">
        <f>IF(B374="","",DATE(YEAR(B374),MONTH(B374),1))</f>
        <v/>
      </c>
      <c r="AI374" s="49">
        <f>IF(D374="","",IFERROR(INDEX('CUSTOMERS'!$E$5:$E$404,MATCH(D374,'CUSTOMERS'!$B$5:$B$404,0)),""))</f>
        <v/>
      </c>
      <c r="AJ374" s="49">
        <f>IF(B374="","",N(C374))</f>
        <v/>
      </c>
      <c r="AK374" s="49">
        <f>IF(OR(B374="",O374="Cancelled",O374="Rescheduled"),"",B374&amp;"|"&amp;(COUNTIFS('JOBS'!$B$5:$B$1504,B374,'JOBS'!$AJ$5:$AJ$1504,"&lt;"&amp;AJ374,'JOBS'!$O$5:$O$1504,"&lt;&gt;Cancelled",'JOBS'!$O$5:$O$1504,"&lt;&gt;Rescheduled")+COUNTIFS($B$5:B374,B374,$AJ$5:AJ374,AJ374,$O$5:O374,"&lt;&gt;Cancelled",$O$5:O374,"&lt;&gt;Rescheduled")))</f>
        <v/>
      </c>
      <c r="AL374" s="49">
        <f>IF(N(U374)&lt;=0.005,"",COUNTIFS('JOBS'!$U$5:$U$1504,"&gt;0.005",'JOBS'!$B$5:$B$1504,"&lt;"&amp;B374)+COUNTIFS($U$5:U374,"&gt;0.005",$B$5:B374,B374))</f>
        <v/>
      </c>
    </row>
    <row r="375">
      <c r="A375" s="46" t="inlineStr">
        <is>
          <t>J-0371</t>
        </is>
      </c>
      <c r="B375" s="47" t="n"/>
      <c r="C375" s="94" t="n"/>
      <c r="D375" s="38" t="n"/>
      <c r="E375" s="38" t="n"/>
      <c r="F375" s="38" t="n"/>
      <c r="G375" s="38" t="n"/>
      <c r="H375" s="38" t="n"/>
      <c r="I375" s="57" t="n"/>
      <c r="J375" s="95" t="n"/>
      <c r="K375" s="95" t="n"/>
      <c r="L375" s="48" t="n"/>
      <c r="M375" s="96" t="n"/>
      <c r="N375" s="48" t="n"/>
      <c r="O375" s="38" t="n"/>
      <c r="P375" s="38" t="n"/>
      <c r="Q375" s="97">
        <f>IF(OR(F375="",E375=""),"",IFERROR(IF(INDEX('PROPERTIES'!$F$5:$F$404,MATCH(E375,'PROPERTIES'!$B$5:$B$404,0))=0,"",ROUND((INDEX('PROPERTIES'!$F$5:$F$404,MATCH(E375,'PROPERTIES'!$B$5:$B$404,0))/INDEX('PRICING'!$C$7:$C$16,MATCH(F375,'PRICING'!$A$7:$A$16,0))+INDEX('PROPERTIES'!$G$5:$G$404,MATCH(E375,'PROPERTIES'!$B$5:$B$404,0))*INDEX('PRICING'!$D$7:$D$16,MATCH(F375,'PRICING'!$A$7:$A$16,0))/60+INDEX('PROPERTIES'!$H$5:$H$404,MATCH(E375,'PROPERTIES'!$B$5:$B$404,0))*INDEX('PRICING'!$E$7:$E$16,MATCH(F375,'PRICING'!$A$7:$A$16,0))/60+INDEX('PRICING'!$F$7:$F$16,MATCH(F375,'PRICING'!$A$7:$A$16,0))/60),2)),""))</f>
        <v/>
      </c>
      <c r="R375" s="97">
        <f>IF(B375="","",IF(N(K375)&gt;0,K375,IF(N(J375)&gt;0,J375,N(Q375))))</f>
        <v/>
      </c>
      <c r="S375" s="55">
        <f>IF(L375="","",ROUND(L375*(1+N(M375)),2))</f>
        <v/>
      </c>
      <c r="T375" s="55">
        <f>IF(B375="","",SUMIFS('REVENUE'!$C$5:$C$1504,'REVENUE'!$B$5:$B$1504,A375))</f>
        <v/>
      </c>
      <c r="U375" s="55">
        <f>IF(B375="","",IF(O375="Completed",MAX(0,N(S375)-T375),""))</f>
        <v/>
      </c>
      <c r="V375" s="49">
        <f>IF(B375="","",IF(O375&lt;&gt;"Completed",IF(T375&gt;0,"Deposit","—"),IF(U375&lt;=0.005,"Paid",IF(T375&gt;0,"Partial","Unpaid"))))</f>
        <v/>
      </c>
      <c r="W375" s="55">
        <f>IF(B375="","",IFERROR(1/(1/INDEX('STAFF &amp; TASKS'!$C$5:$C$24,MATCH(H375,'STAFF &amp; TASKS'!$A$5:$A$24,0))),PayRate))</f>
        <v/>
      </c>
      <c r="X375" s="55">
        <f>IF(B375="","",IF(OR(O375="Cancelled",O375="No-Show"),"",ROUND(R375*W375*(1+Burden),2)))</f>
        <v/>
      </c>
      <c r="Y375" s="55">
        <f>IF(B375="","",IF(OR(O375="Cancelled",O375="No-Show"),"",IF(N375&lt;&gt;"",N375,ROUND(R375*SupHr*IFERROR(INDEX('PRICING'!$G$7:$G$16,MATCH(F375,'PRICING'!$A$7:$A$16,0)),1),2))))</f>
        <v/>
      </c>
      <c r="Z375" s="98">
        <f>IF(B375="","",SUMIFS('MILEAGE'!$J$5:$J$1504,'MILEAGE'!$B$5:$B$1504,A375))</f>
        <v/>
      </c>
      <c r="AA375" s="55">
        <f>IF(B375="","",ROUND(Z375*MileRate,2))</f>
        <v/>
      </c>
      <c r="AB375" s="55">
        <f>IF(B375="","",SUMIFS('REVENUE'!$J$5:$J$1504,'REVENUE'!$B$5:$B$1504,A375))</f>
        <v/>
      </c>
      <c r="AC375" s="55">
        <f>IF(L375="","",IF(OR(O375="Cancelled",O375="No-Show"),"",L375-N(X375)-N(Y375)-AA375-AB375))</f>
        <v/>
      </c>
      <c r="AD375" s="99">
        <f>IF(OR(AC375="",N(L375)=0),"",AC375/L375)</f>
        <v/>
      </c>
      <c r="AE375" s="55">
        <f>IF(OR(AC375="",N(R375)=0),"",L375/R375)</f>
        <v/>
      </c>
      <c r="AF375" s="100">
        <f>IF(OR(N(K375)=0,N(J375)+N(Q375)=0),"",K375-IF(N(J375)&gt;0,J375,Q375))</f>
        <v/>
      </c>
      <c r="AG375" s="99">
        <f>IF(B375="","",IFERROR(AVERAGEIFS('QUALITY CONTROL'!$M$5:$M$304,'QUALITY CONTROL'!$B$5:$B$304,A375),""))</f>
        <v/>
      </c>
      <c r="AH375" s="51">
        <f>IF(B375="","",DATE(YEAR(B375),MONTH(B375),1))</f>
        <v/>
      </c>
      <c r="AI375" s="49">
        <f>IF(D375="","",IFERROR(INDEX('CUSTOMERS'!$E$5:$E$404,MATCH(D375,'CUSTOMERS'!$B$5:$B$404,0)),""))</f>
        <v/>
      </c>
      <c r="AJ375" s="49">
        <f>IF(B375="","",N(C375))</f>
        <v/>
      </c>
      <c r="AK375" s="49">
        <f>IF(OR(B375="",O375="Cancelled",O375="Rescheduled"),"",B375&amp;"|"&amp;(COUNTIFS('JOBS'!$B$5:$B$1504,B375,'JOBS'!$AJ$5:$AJ$1504,"&lt;"&amp;AJ375,'JOBS'!$O$5:$O$1504,"&lt;&gt;Cancelled",'JOBS'!$O$5:$O$1504,"&lt;&gt;Rescheduled")+COUNTIFS($B$5:B375,B375,$AJ$5:AJ375,AJ375,$O$5:O375,"&lt;&gt;Cancelled",$O$5:O375,"&lt;&gt;Rescheduled")))</f>
        <v/>
      </c>
      <c r="AL375" s="49">
        <f>IF(N(U375)&lt;=0.005,"",COUNTIFS('JOBS'!$U$5:$U$1504,"&gt;0.005",'JOBS'!$B$5:$B$1504,"&lt;"&amp;B375)+COUNTIFS($U$5:U375,"&gt;0.005",$B$5:B375,B375))</f>
        <v/>
      </c>
    </row>
    <row r="376">
      <c r="A376" s="46" t="inlineStr">
        <is>
          <t>J-0372</t>
        </is>
      </c>
      <c r="B376" s="47" t="n"/>
      <c r="C376" s="94" t="n"/>
      <c r="D376" s="38" t="n"/>
      <c r="E376" s="38" t="n"/>
      <c r="F376" s="38" t="n"/>
      <c r="G376" s="38" t="n"/>
      <c r="H376" s="38" t="n"/>
      <c r="I376" s="57" t="n"/>
      <c r="J376" s="95" t="n"/>
      <c r="K376" s="95" t="n"/>
      <c r="L376" s="48" t="n"/>
      <c r="M376" s="96" t="n"/>
      <c r="N376" s="48" t="n"/>
      <c r="O376" s="38" t="n"/>
      <c r="P376" s="38" t="n"/>
      <c r="Q376" s="97">
        <f>IF(OR(F376="",E376=""),"",IFERROR(IF(INDEX('PROPERTIES'!$F$5:$F$404,MATCH(E376,'PROPERTIES'!$B$5:$B$404,0))=0,"",ROUND((INDEX('PROPERTIES'!$F$5:$F$404,MATCH(E376,'PROPERTIES'!$B$5:$B$404,0))/INDEX('PRICING'!$C$7:$C$16,MATCH(F376,'PRICING'!$A$7:$A$16,0))+INDEX('PROPERTIES'!$G$5:$G$404,MATCH(E376,'PROPERTIES'!$B$5:$B$404,0))*INDEX('PRICING'!$D$7:$D$16,MATCH(F376,'PRICING'!$A$7:$A$16,0))/60+INDEX('PROPERTIES'!$H$5:$H$404,MATCH(E376,'PROPERTIES'!$B$5:$B$404,0))*INDEX('PRICING'!$E$7:$E$16,MATCH(F376,'PRICING'!$A$7:$A$16,0))/60+INDEX('PRICING'!$F$7:$F$16,MATCH(F376,'PRICING'!$A$7:$A$16,0))/60),2)),""))</f>
        <v/>
      </c>
      <c r="R376" s="97">
        <f>IF(B376="","",IF(N(K376)&gt;0,K376,IF(N(J376)&gt;0,J376,N(Q376))))</f>
        <v/>
      </c>
      <c r="S376" s="55">
        <f>IF(L376="","",ROUND(L376*(1+N(M376)),2))</f>
        <v/>
      </c>
      <c r="T376" s="55">
        <f>IF(B376="","",SUMIFS('REVENUE'!$C$5:$C$1504,'REVENUE'!$B$5:$B$1504,A376))</f>
        <v/>
      </c>
      <c r="U376" s="55">
        <f>IF(B376="","",IF(O376="Completed",MAX(0,N(S376)-T376),""))</f>
        <v/>
      </c>
      <c r="V376" s="49">
        <f>IF(B376="","",IF(O376&lt;&gt;"Completed",IF(T376&gt;0,"Deposit","—"),IF(U376&lt;=0.005,"Paid",IF(T376&gt;0,"Partial","Unpaid"))))</f>
        <v/>
      </c>
      <c r="W376" s="55">
        <f>IF(B376="","",IFERROR(1/(1/INDEX('STAFF &amp; TASKS'!$C$5:$C$24,MATCH(H376,'STAFF &amp; TASKS'!$A$5:$A$24,0))),PayRate))</f>
        <v/>
      </c>
      <c r="X376" s="55">
        <f>IF(B376="","",IF(OR(O376="Cancelled",O376="No-Show"),"",ROUND(R376*W376*(1+Burden),2)))</f>
        <v/>
      </c>
      <c r="Y376" s="55">
        <f>IF(B376="","",IF(OR(O376="Cancelled",O376="No-Show"),"",IF(N376&lt;&gt;"",N376,ROUND(R376*SupHr*IFERROR(INDEX('PRICING'!$G$7:$G$16,MATCH(F376,'PRICING'!$A$7:$A$16,0)),1),2))))</f>
        <v/>
      </c>
      <c r="Z376" s="98">
        <f>IF(B376="","",SUMIFS('MILEAGE'!$J$5:$J$1504,'MILEAGE'!$B$5:$B$1504,A376))</f>
        <v/>
      </c>
      <c r="AA376" s="55">
        <f>IF(B376="","",ROUND(Z376*MileRate,2))</f>
        <v/>
      </c>
      <c r="AB376" s="55">
        <f>IF(B376="","",SUMIFS('REVENUE'!$J$5:$J$1504,'REVENUE'!$B$5:$B$1504,A376))</f>
        <v/>
      </c>
      <c r="AC376" s="55">
        <f>IF(L376="","",IF(OR(O376="Cancelled",O376="No-Show"),"",L376-N(X376)-N(Y376)-AA376-AB376))</f>
        <v/>
      </c>
      <c r="AD376" s="99">
        <f>IF(OR(AC376="",N(L376)=0),"",AC376/L376)</f>
        <v/>
      </c>
      <c r="AE376" s="55">
        <f>IF(OR(AC376="",N(R376)=0),"",L376/R376)</f>
        <v/>
      </c>
      <c r="AF376" s="100">
        <f>IF(OR(N(K376)=0,N(J376)+N(Q376)=0),"",K376-IF(N(J376)&gt;0,J376,Q376))</f>
        <v/>
      </c>
      <c r="AG376" s="99">
        <f>IF(B376="","",IFERROR(AVERAGEIFS('QUALITY CONTROL'!$M$5:$M$304,'QUALITY CONTROL'!$B$5:$B$304,A376),""))</f>
        <v/>
      </c>
      <c r="AH376" s="51">
        <f>IF(B376="","",DATE(YEAR(B376),MONTH(B376),1))</f>
        <v/>
      </c>
      <c r="AI376" s="49">
        <f>IF(D376="","",IFERROR(INDEX('CUSTOMERS'!$E$5:$E$404,MATCH(D376,'CUSTOMERS'!$B$5:$B$404,0)),""))</f>
        <v/>
      </c>
      <c r="AJ376" s="49">
        <f>IF(B376="","",N(C376))</f>
        <v/>
      </c>
      <c r="AK376" s="49">
        <f>IF(OR(B376="",O376="Cancelled",O376="Rescheduled"),"",B376&amp;"|"&amp;(COUNTIFS('JOBS'!$B$5:$B$1504,B376,'JOBS'!$AJ$5:$AJ$1504,"&lt;"&amp;AJ376,'JOBS'!$O$5:$O$1504,"&lt;&gt;Cancelled",'JOBS'!$O$5:$O$1504,"&lt;&gt;Rescheduled")+COUNTIFS($B$5:B376,B376,$AJ$5:AJ376,AJ376,$O$5:O376,"&lt;&gt;Cancelled",$O$5:O376,"&lt;&gt;Rescheduled")))</f>
        <v/>
      </c>
      <c r="AL376" s="49">
        <f>IF(N(U376)&lt;=0.005,"",COUNTIFS('JOBS'!$U$5:$U$1504,"&gt;0.005",'JOBS'!$B$5:$B$1504,"&lt;"&amp;B376)+COUNTIFS($U$5:U376,"&gt;0.005",$B$5:B376,B376))</f>
        <v/>
      </c>
    </row>
    <row r="377">
      <c r="A377" s="46" t="inlineStr">
        <is>
          <t>J-0373</t>
        </is>
      </c>
      <c r="B377" s="47" t="n"/>
      <c r="C377" s="94" t="n"/>
      <c r="D377" s="38" t="n"/>
      <c r="E377" s="38" t="n"/>
      <c r="F377" s="38" t="n"/>
      <c r="G377" s="38" t="n"/>
      <c r="H377" s="38" t="n"/>
      <c r="I377" s="57" t="n"/>
      <c r="J377" s="95" t="n"/>
      <c r="K377" s="95" t="n"/>
      <c r="L377" s="48" t="n"/>
      <c r="M377" s="96" t="n"/>
      <c r="N377" s="48" t="n"/>
      <c r="O377" s="38" t="n"/>
      <c r="P377" s="38" t="n"/>
      <c r="Q377" s="97">
        <f>IF(OR(F377="",E377=""),"",IFERROR(IF(INDEX('PROPERTIES'!$F$5:$F$404,MATCH(E377,'PROPERTIES'!$B$5:$B$404,0))=0,"",ROUND((INDEX('PROPERTIES'!$F$5:$F$404,MATCH(E377,'PROPERTIES'!$B$5:$B$404,0))/INDEX('PRICING'!$C$7:$C$16,MATCH(F377,'PRICING'!$A$7:$A$16,0))+INDEX('PROPERTIES'!$G$5:$G$404,MATCH(E377,'PROPERTIES'!$B$5:$B$404,0))*INDEX('PRICING'!$D$7:$D$16,MATCH(F377,'PRICING'!$A$7:$A$16,0))/60+INDEX('PROPERTIES'!$H$5:$H$404,MATCH(E377,'PROPERTIES'!$B$5:$B$404,0))*INDEX('PRICING'!$E$7:$E$16,MATCH(F377,'PRICING'!$A$7:$A$16,0))/60+INDEX('PRICING'!$F$7:$F$16,MATCH(F377,'PRICING'!$A$7:$A$16,0))/60),2)),""))</f>
        <v/>
      </c>
      <c r="R377" s="97">
        <f>IF(B377="","",IF(N(K377)&gt;0,K377,IF(N(J377)&gt;0,J377,N(Q377))))</f>
        <v/>
      </c>
      <c r="S377" s="55">
        <f>IF(L377="","",ROUND(L377*(1+N(M377)),2))</f>
        <v/>
      </c>
      <c r="T377" s="55">
        <f>IF(B377="","",SUMIFS('REVENUE'!$C$5:$C$1504,'REVENUE'!$B$5:$B$1504,A377))</f>
        <v/>
      </c>
      <c r="U377" s="55">
        <f>IF(B377="","",IF(O377="Completed",MAX(0,N(S377)-T377),""))</f>
        <v/>
      </c>
      <c r="V377" s="49">
        <f>IF(B377="","",IF(O377&lt;&gt;"Completed",IF(T377&gt;0,"Deposit","—"),IF(U377&lt;=0.005,"Paid",IF(T377&gt;0,"Partial","Unpaid"))))</f>
        <v/>
      </c>
      <c r="W377" s="55">
        <f>IF(B377="","",IFERROR(1/(1/INDEX('STAFF &amp; TASKS'!$C$5:$C$24,MATCH(H377,'STAFF &amp; TASKS'!$A$5:$A$24,0))),PayRate))</f>
        <v/>
      </c>
      <c r="X377" s="55">
        <f>IF(B377="","",IF(OR(O377="Cancelled",O377="No-Show"),"",ROUND(R377*W377*(1+Burden),2)))</f>
        <v/>
      </c>
      <c r="Y377" s="55">
        <f>IF(B377="","",IF(OR(O377="Cancelled",O377="No-Show"),"",IF(N377&lt;&gt;"",N377,ROUND(R377*SupHr*IFERROR(INDEX('PRICING'!$G$7:$G$16,MATCH(F377,'PRICING'!$A$7:$A$16,0)),1),2))))</f>
        <v/>
      </c>
      <c r="Z377" s="98">
        <f>IF(B377="","",SUMIFS('MILEAGE'!$J$5:$J$1504,'MILEAGE'!$B$5:$B$1504,A377))</f>
        <v/>
      </c>
      <c r="AA377" s="55">
        <f>IF(B377="","",ROUND(Z377*MileRate,2))</f>
        <v/>
      </c>
      <c r="AB377" s="55">
        <f>IF(B377="","",SUMIFS('REVENUE'!$J$5:$J$1504,'REVENUE'!$B$5:$B$1504,A377))</f>
        <v/>
      </c>
      <c r="AC377" s="55">
        <f>IF(L377="","",IF(OR(O377="Cancelled",O377="No-Show"),"",L377-N(X377)-N(Y377)-AA377-AB377))</f>
        <v/>
      </c>
      <c r="AD377" s="99">
        <f>IF(OR(AC377="",N(L377)=0),"",AC377/L377)</f>
        <v/>
      </c>
      <c r="AE377" s="55">
        <f>IF(OR(AC377="",N(R377)=0),"",L377/R377)</f>
        <v/>
      </c>
      <c r="AF377" s="100">
        <f>IF(OR(N(K377)=0,N(J377)+N(Q377)=0),"",K377-IF(N(J377)&gt;0,J377,Q377))</f>
        <v/>
      </c>
      <c r="AG377" s="99">
        <f>IF(B377="","",IFERROR(AVERAGEIFS('QUALITY CONTROL'!$M$5:$M$304,'QUALITY CONTROL'!$B$5:$B$304,A377),""))</f>
        <v/>
      </c>
      <c r="AH377" s="51">
        <f>IF(B377="","",DATE(YEAR(B377),MONTH(B377),1))</f>
        <v/>
      </c>
      <c r="AI377" s="49">
        <f>IF(D377="","",IFERROR(INDEX('CUSTOMERS'!$E$5:$E$404,MATCH(D377,'CUSTOMERS'!$B$5:$B$404,0)),""))</f>
        <v/>
      </c>
      <c r="AJ377" s="49">
        <f>IF(B377="","",N(C377))</f>
        <v/>
      </c>
      <c r="AK377" s="49">
        <f>IF(OR(B377="",O377="Cancelled",O377="Rescheduled"),"",B377&amp;"|"&amp;(COUNTIFS('JOBS'!$B$5:$B$1504,B377,'JOBS'!$AJ$5:$AJ$1504,"&lt;"&amp;AJ377,'JOBS'!$O$5:$O$1504,"&lt;&gt;Cancelled",'JOBS'!$O$5:$O$1504,"&lt;&gt;Rescheduled")+COUNTIFS($B$5:B377,B377,$AJ$5:AJ377,AJ377,$O$5:O377,"&lt;&gt;Cancelled",$O$5:O377,"&lt;&gt;Rescheduled")))</f>
        <v/>
      </c>
      <c r="AL377" s="49">
        <f>IF(N(U377)&lt;=0.005,"",COUNTIFS('JOBS'!$U$5:$U$1504,"&gt;0.005",'JOBS'!$B$5:$B$1504,"&lt;"&amp;B377)+COUNTIFS($U$5:U377,"&gt;0.005",$B$5:B377,B377))</f>
        <v/>
      </c>
    </row>
    <row r="378">
      <c r="A378" s="46" t="inlineStr">
        <is>
          <t>J-0374</t>
        </is>
      </c>
      <c r="B378" s="47" t="n"/>
      <c r="C378" s="94" t="n"/>
      <c r="D378" s="38" t="n"/>
      <c r="E378" s="38" t="n"/>
      <c r="F378" s="38" t="n"/>
      <c r="G378" s="38" t="n"/>
      <c r="H378" s="38" t="n"/>
      <c r="I378" s="57" t="n"/>
      <c r="J378" s="95" t="n"/>
      <c r="K378" s="95" t="n"/>
      <c r="L378" s="48" t="n"/>
      <c r="M378" s="96" t="n"/>
      <c r="N378" s="48" t="n"/>
      <c r="O378" s="38" t="n"/>
      <c r="P378" s="38" t="n"/>
      <c r="Q378" s="97">
        <f>IF(OR(F378="",E378=""),"",IFERROR(IF(INDEX('PROPERTIES'!$F$5:$F$404,MATCH(E378,'PROPERTIES'!$B$5:$B$404,0))=0,"",ROUND((INDEX('PROPERTIES'!$F$5:$F$404,MATCH(E378,'PROPERTIES'!$B$5:$B$404,0))/INDEX('PRICING'!$C$7:$C$16,MATCH(F378,'PRICING'!$A$7:$A$16,0))+INDEX('PROPERTIES'!$G$5:$G$404,MATCH(E378,'PROPERTIES'!$B$5:$B$404,0))*INDEX('PRICING'!$D$7:$D$16,MATCH(F378,'PRICING'!$A$7:$A$16,0))/60+INDEX('PROPERTIES'!$H$5:$H$404,MATCH(E378,'PROPERTIES'!$B$5:$B$404,0))*INDEX('PRICING'!$E$7:$E$16,MATCH(F378,'PRICING'!$A$7:$A$16,0))/60+INDEX('PRICING'!$F$7:$F$16,MATCH(F378,'PRICING'!$A$7:$A$16,0))/60),2)),""))</f>
        <v/>
      </c>
      <c r="R378" s="97">
        <f>IF(B378="","",IF(N(K378)&gt;0,K378,IF(N(J378)&gt;0,J378,N(Q378))))</f>
        <v/>
      </c>
      <c r="S378" s="55">
        <f>IF(L378="","",ROUND(L378*(1+N(M378)),2))</f>
        <v/>
      </c>
      <c r="T378" s="55">
        <f>IF(B378="","",SUMIFS('REVENUE'!$C$5:$C$1504,'REVENUE'!$B$5:$B$1504,A378))</f>
        <v/>
      </c>
      <c r="U378" s="55">
        <f>IF(B378="","",IF(O378="Completed",MAX(0,N(S378)-T378),""))</f>
        <v/>
      </c>
      <c r="V378" s="49">
        <f>IF(B378="","",IF(O378&lt;&gt;"Completed",IF(T378&gt;0,"Deposit","—"),IF(U378&lt;=0.005,"Paid",IF(T378&gt;0,"Partial","Unpaid"))))</f>
        <v/>
      </c>
      <c r="W378" s="55">
        <f>IF(B378="","",IFERROR(1/(1/INDEX('STAFF &amp; TASKS'!$C$5:$C$24,MATCH(H378,'STAFF &amp; TASKS'!$A$5:$A$24,0))),PayRate))</f>
        <v/>
      </c>
      <c r="X378" s="55">
        <f>IF(B378="","",IF(OR(O378="Cancelled",O378="No-Show"),"",ROUND(R378*W378*(1+Burden),2)))</f>
        <v/>
      </c>
      <c r="Y378" s="55">
        <f>IF(B378="","",IF(OR(O378="Cancelled",O378="No-Show"),"",IF(N378&lt;&gt;"",N378,ROUND(R378*SupHr*IFERROR(INDEX('PRICING'!$G$7:$G$16,MATCH(F378,'PRICING'!$A$7:$A$16,0)),1),2))))</f>
        <v/>
      </c>
      <c r="Z378" s="98">
        <f>IF(B378="","",SUMIFS('MILEAGE'!$J$5:$J$1504,'MILEAGE'!$B$5:$B$1504,A378))</f>
        <v/>
      </c>
      <c r="AA378" s="55">
        <f>IF(B378="","",ROUND(Z378*MileRate,2))</f>
        <v/>
      </c>
      <c r="AB378" s="55">
        <f>IF(B378="","",SUMIFS('REVENUE'!$J$5:$J$1504,'REVENUE'!$B$5:$B$1504,A378))</f>
        <v/>
      </c>
      <c r="AC378" s="55">
        <f>IF(L378="","",IF(OR(O378="Cancelled",O378="No-Show"),"",L378-N(X378)-N(Y378)-AA378-AB378))</f>
        <v/>
      </c>
      <c r="AD378" s="99">
        <f>IF(OR(AC378="",N(L378)=0),"",AC378/L378)</f>
        <v/>
      </c>
      <c r="AE378" s="55">
        <f>IF(OR(AC378="",N(R378)=0),"",L378/R378)</f>
        <v/>
      </c>
      <c r="AF378" s="100">
        <f>IF(OR(N(K378)=0,N(J378)+N(Q378)=0),"",K378-IF(N(J378)&gt;0,J378,Q378))</f>
        <v/>
      </c>
      <c r="AG378" s="99">
        <f>IF(B378="","",IFERROR(AVERAGEIFS('QUALITY CONTROL'!$M$5:$M$304,'QUALITY CONTROL'!$B$5:$B$304,A378),""))</f>
        <v/>
      </c>
      <c r="AH378" s="51">
        <f>IF(B378="","",DATE(YEAR(B378),MONTH(B378),1))</f>
        <v/>
      </c>
      <c r="AI378" s="49">
        <f>IF(D378="","",IFERROR(INDEX('CUSTOMERS'!$E$5:$E$404,MATCH(D378,'CUSTOMERS'!$B$5:$B$404,0)),""))</f>
        <v/>
      </c>
      <c r="AJ378" s="49">
        <f>IF(B378="","",N(C378))</f>
        <v/>
      </c>
      <c r="AK378" s="49">
        <f>IF(OR(B378="",O378="Cancelled",O378="Rescheduled"),"",B378&amp;"|"&amp;(COUNTIFS('JOBS'!$B$5:$B$1504,B378,'JOBS'!$AJ$5:$AJ$1504,"&lt;"&amp;AJ378,'JOBS'!$O$5:$O$1504,"&lt;&gt;Cancelled",'JOBS'!$O$5:$O$1504,"&lt;&gt;Rescheduled")+COUNTIFS($B$5:B378,B378,$AJ$5:AJ378,AJ378,$O$5:O378,"&lt;&gt;Cancelled",$O$5:O378,"&lt;&gt;Rescheduled")))</f>
        <v/>
      </c>
      <c r="AL378" s="49">
        <f>IF(N(U378)&lt;=0.005,"",COUNTIFS('JOBS'!$U$5:$U$1504,"&gt;0.005",'JOBS'!$B$5:$B$1504,"&lt;"&amp;B378)+COUNTIFS($U$5:U378,"&gt;0.005",$B$5:B378,B378))</f>
        <v/>
      </c>
    </row>
    <row r="379">
      <c r="A379" s="46" t="inlineStr">
        <is>
          <t>J-0375</t>
        </is>
      </c>
      <c r="B379" s="47" t="n"/>
      <c r="C379" s="94" t="n"/>
      <c r="D379" s="38" t="n"/>
      <c r="E379" s="38" t="n"/>
      <c r="F379" s="38" t="n"/>
      <c r="G379" s="38" t="n"/>
      <c r="H379" s="38" t="n"/>
      <c r="I379" s="57" t="n"/>
      <c r="J379" s="95" t="n"/>
      <c r="K379" s="95" t="n"/>
      <c r="L379" s="48" t="n"/>
      <c r="M379" s="96" t="n"/>
      <c r="N379" s="48" t="n"/>
      <c r="O379" s="38" t="n"/>
      <c r="P379" s="38" t="n"/>
      <c r="Q379" s="97">
        <f>IF(OR(F379="",E379=""),"",IFERROR(IF(INDEX('PROPERTIES'!$F$5:$F$404,MATCH(E379,'PROPERTIES'!$B$5:$B$404,0))=0,"",ROUND((INDEX('PROPERTIES'!$F$5:$F$404,MATCH(E379,'PROPERTIES'!$B$5:$B$404,0))/INDEX('PRICING'!$C$7:$C$16,MATCH(F379,'PRICING'!$A$7:$A$16,0))+INDEX('PROPERTIES'!$G$5:$G$404,MATCH(E379,'PROPERTIES'!$B$5:$B$404,0))*INDEX('PRICING'!$D$7:$D$16,MATCH(F379,'PRICING'!$A$7:$A$16,0))/60+INDEX('PROPERTIES'!$H$5:$H$404,MATCH(E379,'PROPERTIES'!$B$5:$B$404,0))*INDEX('PRICING'!$E$7:$E$16,MATCH(F379,'PRICING'!$A$7:$A$16,0))/60+INDEX('PRICING'!$F$7:$F$16,MATCH(F379,'PRICING'!$A$7:$A$16,0))/60),2)),""))</f>
        <v/>
      </c>
      <c r="R379" s="97">
        <f>IF(B379="","",IF(N(K379)&gt;0,K379,IF(N(J379)&gt;0,J379,N(Q379))))</f>
        <v/>
      </c>
      <c r="S379" s="55">
        <f>IF(L379="","",ROUND(L379*(1+N(M379)),2))</f>
        <v/>
      </c>
      <c r="T379" s="55">
        <f>IF(B379="","",SUMIFS('REVENUE'!$C$5:$C$1504,'REVENUE'!$B$5:$B$1504,A379))</f>
        <v/>
      </c>
      <c r="U379" s="55">
        <f>IF(B379="","",IF(O379="Completed",MAX(0,N(S379)-T379),""))</f>
        <v/>
      </c>
      <c r="V379" s="49">
        <f>IF(B379="","",IF(O379&lt;&gt;"Completed",IF(T379&gt;0,"Deposit","—"),IF(U379&lt;=0.005,"Paid",IF(T379&gt;0,"Partial","Unpaid"))))</f>
        <v/>
      </c>
      <c r="W379" s="55">
        <f>IF(B379="","",IFERROR(1/(1/INDEX('STAFF &amp; TASKS'!$C$5:$C$24,MATCH(H379,'STAFF &amp; TASKS'!$A$5:$A$24,0))),PayRate))</f>
        <v/>
      </c>
      <c r="X379" s="55">
        <f>IF(B379="","",IF(OR(O379="Cancelled",O379="No-Show"),"",ROUND(R379*W379*(1+Burden),2)))</f>
        <v/>
      </c>
      <c r="Y379" s="55">
        <f>IF(B379="","",IF(OR(O379="Cancelled",O379="No-Show"),"",IF(N379&lt;&gt;"",N379,ROUND(R379*SupHr*IFERROR(INDEX('PRICING'!$G$7:$G$16,MATCH(F379,'PRICING'!$A$7:$A$16,0)),1),2))))</f>
        <v/>
      </c>
      <c r="Z379" s="98">
        <f>IF(B379="","",SUMIFS('MILEAGE'!$J$5:$J$1504,'MILEAGE'!$B$5:$B$1504,A379))</f>
        <v/>
      </c>
      <c r="AA379" s="55">
        <f>IF(B379="","",ROUND(Z379*MileRate,2))</f>
        <v/>
      </c>
      <c r="AB379" s="55">
        <f>IF(B379="","",SUMIFS('REVENUE'!$J$5:$J$1504,'REVENUE'!$B$5:$B$1504,A379))</f>
        <v/>
      </c>
      <c r="AC379" s="55">
        <f>IF(L379="","",IF(OR(O379="Cancelled",O379="No-Show"),"",L379-N(X379)-N(Y379)-AA379-AB379))</f>
        <v/>
      </c>
      <c r="AD379" s="99">
        <f>IF(OR(AC379="",N(L379)=0),"",AC379/L379)</f>
        <v/>
      </c>
      <c r="AE379" s="55">
        <f>IF(OR(AC379="",N(R379)=0),"",L379/R379)</f>
        <v/>
      </c>
      <c r="AF379" s="100">
        <f>IF(OR(N(K379)=0,N(J379)+N(Q379)=0),"",K379-IF(N(J379)&gt;0,J379,Q379))</f>
        <v/>
      </c>
      <c r="AG379" s="99">
        <f>IF(B379="","",IFERROR(AVERAGEIFS('QUALITY CONTROL'!$M$5:$M$304,'QUALITY CONTROL'!$B$5:$B$304,A379),""))</f>
        <v/>
      </c>
      <c r="AH379" s="51">
        <f>IF(B379="","",DATE(YEAR(B379),MONTH(B379),1))</f>
        <v/>
      </c>
      <c r="AI379" s="49">
        <f>IF(D379="","",IFERROR(INDEX('CUSTOMERS'!$E$5:$E$404,MATCH(D379,'CUSTOMERS'!$B$5:$B$404,0)),""))</f>
        <v/>
      </c>
      <c r="AJ379" s="49">
        <f>IF(B379="","",N(C379))</f>
        <v/>
      </c>
      <c r="AK379" s="49">
        <f>IF(OR(B379="",O379="Cancelled",O379="Rescheduled"),"",B379&amp;"|"&amp;(COUNTIFS('JOBS'!$B$5:$B$1504,B379,'JOBS'!$AJ$5:$AJ$1504,"&lt;"&amp;AJ379,'JOBS'!$O$5:$O$1504,"&lt;&gt;Cancelled",'JOBS'!$O$5:$O$1504,"&lt;&gt;Rescheduled")+COUNTIFS($B$5:B379,B379,$AJ$5:AJ379,AJ379,$O$5:O379,"&lt;&gt;Cancelled",$O$5:O379,"&lt;&gt;Rescheduled")))</f>
        <v/>
      </c>
      <c r="AL379" s="49">
        <f>IF(N(U379)&lt;=0.005,"",COUNTIFS('JOBS'!$U$5:$U$1504,"&gt;0.005",'JOBS'!$B$5:$B$1504,"&lt;"&amp;B379)+COUNTIFS($U$5:U379,"&gt;0.005",$B$5:B379,B379))</f>
        <v/>
      </c>
    </row>
    <row r="380">
      <c r="A380" s="46" t="inlineStr">
        <is>
          <t>J-0376</t>
        </is>
      </c>
      <c r="B380" s="47" t="n"/>
      <c r="C380" s="94" t="n"/>
      <c r="D380" s="38" t="n"/>
      <c r="E380" s="38" t="n"/>
      <c r="F380" s="38" t="n"/>
      <c r="G380" s="38" t="n"/>
      <c r="H380" s="38" t="n"/>
      <c r="I380" s="57" t="n"/>
      <c r="J380" s="95" t="n"/>
      <c r="K380" s="95" t="n"/>
      <c r="L380" s="48" t="n"/>
      <c r="M380" s="96" t="n"/>
      <c r="N380" s="48" t="n"/>
      <c r="O380" s="38" t="n"/>
      <c r="P380" s="38" t="n"/>
      <c r="Q380" s="97">
        <f>IF(OR(F380="",E380=""),"",IFERROR(IF(INDEX('PROPERTIES'!$F$5:$F$404,MATCH(E380,'PROPERTIES'!$B$5:$B$404,0))=0,"",ROUND((INDEX('PROPERTIES'!$F$5:$F$404,MATCH(E380,'PROPERTIES'!$B$5:$B$404,0))/INDEX('PRICING'!$C$7:$C$16,MATCH(F380,'PRICING'!$A$7:$A$16,0))+INDEX('PROPERTIES'!$G$5:$G$404,MATCH(E380,'PROPERTIES'!$B$5:$B$404,0))*INDEX('PRICING'!$D$7:$D$16,MATCH(F380,'PRICING'!$A$7:$A$16,0))/60+INDEX('PROPERTIES'!$H$5:$H$404,MATCH(E380,'PROPERTIES'!$B$5:$B$404,0))*INDEX('PRICING'!$E$7:$E$16,MATCH(F380,'PRICING'!$A$7:$A$16,0))/60+INDEX('PRICING'!$F$7:$F$16,MATCH(F380,'PRICING'!$A$7:$A$16,0))/60),2)),""))</f>
        <v/>
      </c>
      <c r="R380" s="97">
        <f>IF(B380="","",IF(N(K380)&gt;0,K380,IF(N(J380)&gt;0,J380,N(Q380))))</f>
        <v/>
      </c>
      <c r="S380" s="55">
        <f>IF(L380="","",ROUND(L380*(1+N(M380)),2))</f>
        <v/>
      </c>
      <c r="T380" s="55">
        <f>IF(B380="","",SUMIFS('REVENUE'!$C$5:$C$1504,'REVENUE'!$B$5:$B$1504,A380))</f>
        <v/>
      </c>
      <c r="U380" s="55">
        <f>IF(B380="","",IF(O380="Completed",MAX(0,N(S380)-T380),""))</f>
        <v/>
      </c>
      <c r="V380" s="49">
        <f>IF(B380="","",IF(O380&lt;&gt;"Completed",IF(T380&gt;0,"Deposit","—"),IF(U380&lt;=0.005,"Paid",IF(T380&gt;0,"Partial","Unpaid"))))</f>
        <v/>
      </c>
      <c r="W380" s="55">
        <f>IF(B380="","",IFERROR(1/(1/INDEX('STAFF &amp; TASKS'!$C$5:$C$24,MATCH(H380,'STAFF &amp; TASKS'!$A$5:$A$24,0))),PayRate))</f>
        <v/>
      </c>
      <c r="X380" s="55">
        <f>IF(B380="","",IF(OR(O380="Cancelled",O380="No-Show"),"",ROUND(R380*W380*(1+Burden),2)))</f>
        <v/>
      </c>
      <c r="Y380" s="55">
        <f>IF(B380="","",IF(OR(O380="Cancelled",O380="No-Show"),"",IF(N380&lt;&gt;"",N380,ROUND(R380*SupHr*IFERROR(INDEX('PRICING'!$G$7:$G$16,MATCH(F380,'PRICING'!$A$7:$A$16,0)),1),2))))</f>
        <v/>
      </c>
      <c r="Z380" s="98">
        <f>IF(B380="","",SUMIFS('MILEAGE'!$J$5:$J$1504,'MILEAGE'!$B$5:$B$1504,A380))</f>
        <v/>
      </c>
      <c r="AA380" s="55">
        <f>IF(B380="","",ROUND(Z380*MileRate,2))</f>
        <v/>
      </c>
      <c r="AB380" s="55">
        <f>IF(B380="","",SUMIFS('REVENUE'!$J$5:$J$1504,'REVENUE'!$B$5:$B$1504,A380))</f>
        <v/>
      </c>
      <c r="AC380" s="55">
        <f>IF(L380="","",IF(OR(O380="Cancelled",O380="No-Show"),"",L380-N(X380)-N(Y380)-AA380-AB380))</f>
        <v/>
      </c>
      <c r="AD380" s="99">
        <f>IF(OR(AC380="",N(L380)=0),"",AC380/L380)</f>
        <v/>
      </c>
      <c r="AE380" s="55">
        <f>IF(OR(AC380="",N(R380)=0),"",L380/R380)</f>
        <v/>
      </c>
      <c r="AF380" s="100">
        <f>IF(OR(N(K380)=0,N(J380)+N(Q380)=0),"",K380-IF(N(J380)&gt;0,J380,Q380))</f>
        <v/>
      </c>
      <c r="AG380" s="99">
        <f>IF(B380="","",IFERROR(AVERAGEIFS('QUALITY CONTROL'!$M$5:$M$304,'QUALITY CONTROL'!$B$5:$B$304,A380),""))</f>
        <v/>
      </c>
      <c r="AH380" s="51">
        <f>IF(B380="","",DATE(YEAR(B380),MONTH(B380),1))</f>
        <v/>
      </c>
      <c r="AI380" s="49">
        <f>IF(D380="","",IFERROR(INDEX('CUSTOMERS'!$E$5:$E$404,MATCH(D380,'CUSTOMERS'!$B$5:$B$404,0)),""))</f>
        <v/>
      </c>
      <c r="AJ380" s="49">
        <f>IF(B380="","",N(C380))</f>
        <v/>
      </c>
      <c r="AK380" s="49">
        <f>IF(OR(B380="",O380="Cancelled",O380="Rescheduled"),"",B380&amp;"|"&amp;(COUNTIFS('JOBS'!$B$5:$B$1504,B380,'JOBS'!$AJ$5:$AJ$1504,"&lt;"&amp;AJ380,'JOBS'!$O$5:$O$1504,"&lt;&gt;Cancelled",'JOBS'!$O$5:$O$1504,"&lt;&gt;Rescheduled")+COUNTIFS($B$5:B380,B380,$AJ$5:AJ380,AJ380,$O$5:O380,"&lt;&gt;Cancelled",$O$5:O380,"&lt;&gt;Rescheduled")))</f>
        <v/>
      </c>
      <c r="AL380" s="49">
        <f>IF(N(U380)&lt;=0.005,"",COUNTIFS('JOBS'!$U$5:$U$1504,"&gt;0.005",'JOBS'!$B$5:$B$1504,"&lt;"&amp;B380)+COUNTIFS($U$5:U380,"&gt;0.005",$B$5:B380,B380))</f>
        <v/>
      </c>
    </row>
    <row r="381">
      <c r="A381" s="46" t="inlineStr">
        <is>
          <t>J-0377</t>
        </is>
      </c>
      <c r="B381" s="47" t="n"/>
      <c r="C381" s="94" t="n"/>
      <c r="D381" s="38" t="n"/>
      <c r="E381" s="38" t="n"/>
      <c r="F381" s="38" t="n"/>
      <c r="G381" s="38" t="n"/>
      <c r="H381" s="38" t="n"/>
      <c r="I381" s="57" t="n"/>
      <c r="J381" s="95" t="n"/>
      <c r="K381" s="95" t="n"/>
      <c r="L381" s="48" t="n"/>
      <c r="M381" s="96" t="n"/>
      <c r="N381" s="48" t="n"/>
      <c r="O381" s="38" t="n"/>
      <c r="P381" s="38" t="n"/>
      <c r="Q381" s="97">
        <f>IF(OR(F381="",E381=""),"",IFERROR(IF(INDEX('PROPERTIES'!$F$5:$F$404,MATCH(E381,'PROPERTIES'!$B$5:$B$404,0))=0,"",ROUND((INDEX('PROPERTIES'!$F$5:$F$404,MATCH(E381,'PROPERTIES'!$B$5:$B$404,0))/INDEX('PRICING'!$C$7:$C$16,MATCH(F381,'PRICING'!$A$7:$A$16,0))+INDEX('PROPERTIES'!$G$5:$G$404,MATCH(E381,'PROPERTIES'!$B$5:$B$404,0))*INDEX('PRICING'!$D$7:$D$16,MATCH(F381,'PRICING'!$A$7:$A$16,0))/60+INDEX('PROPERTIES'!$H$5:$H$404,MATCH(E381,'PROPERTIES'!$B$5:$B$404,0))*INDEX('PRICING'!$E$7:$E$16,MATCH(F381,'PRICING'!$A$7:$A$16,0))/60+INDEX('PRICING'!$F$7:$F$16,MATCH(F381,'PRICING'!$A$7:$A$16,0))/60),2)),""))</f>
        <v/>
      </c>
      <c r="R381" s="97">
        <f>IF(B381="","",IF(N(K381)&gt;0,K381,IF(N(J381)&gt;0,J381,N(Q381))))</f>
        <v/>
      </c>
      <c r="S381" s="55">
        <f>IF(L381="","",ROUND(L381*(1+N(M381)),2))</f>
        <v/>
      </c>
      <c r="T381" s="55">
        <f>IF(B381="","",SUMIFS('REVENUE'!$C$5:$C$1504,'REVENUE'!$B$5:$B$1504,A381))</f>
        <v/>
      </c>
      <c r="U381" s="55">
        <f>IF(B381="","",IF(O381="Completed",MAX(0,N(S381)-T381),""))</f>
        <v/>
      </c>
      <c r="V381" s="49">
        <f>IF(B381="","",IF(O381&lt;&gt;"Completed",IF(T381&gt;0,"Deposit","—"),IF(U381&lt;=0.005,"Paid",IF(T381&gt;0,"Partial","Unpaid"))))</f>
        <v/>
      </c>
      <c r="W381" s="55">
        <f>IF(B381="","",IFERROR(1/(1/INDEX('STAFF &amp; TASKS'!$C$5:$C$24,MATCH(H381,'STAFF &amp; TASKS'!$A$5:$A$24,0))),PayRate))</f>
        <v/>
      </c>
      <c r="X381" s="55">
        <f>IF(B381="","",IF(OR(O381="Cancelled",O381="No-Show"),"",ROUND(R381*W381*(1+Burden),2)))</f>
        <v/>
      </c>
      <c r="Y381" s="55">
        <f>IF(B381="","",IF(OR(O381="Cancelled",O381="No-Show"),"",IF(N381&lt;&gt;"",N381,ROUND(R381*SupHr*IFERROR(INDEX('PRICING'!$G$7:$G$16,MATCH(F381,'PRICING'!$A$7:$A$16,0)),1),2))))</f>
        <v/>
      </c>
      <c r="Z381" s="98">
        <f>IF(B381="","",SUMIFS('MILEAGE'!$J$5:$J$1504,'MILEAGE'!$B$5:$B$1504,A381))</f>
        <v/>
      </c>
      <c r="AA381" s="55">
        <f>IF(B381="","",ROUND(Z381*MileRate,2))</f>
        <v/>
      </c>
      <c r="AB381" s="55">
        <f>IF(B381="","",SUMIFS('REVENUE'!$J$5:$J$1504,'REVENUE'!$B$5:$B$1504,A381))</f>
        <v/>
      </c>
      <c r="AC381" s="55">
        <f>IF(L381="","",IF(OR(O381="Cancelled",O381="No-Show"),"",L381-N(X381)-N(Y381)-AA381-AB381))</f>
        <v/>
      </c>
      <c r="AD381" s="99">
        <f>IF(OR(AC381="",N(L381)=0),"",AC381/L381)</f>
        <v/>
      </c>
      <c r="AE381" s="55">
        <f>IF(OR(AC381="",N(R381)=0),"",L381/R381)</f>
        <v/>
      </c>
      <c r="AF381" s="100">
        <f>IF(OR(N(K381)=0,N(J381)+N(Q381)=0),"",K381-IF(N(J381)&gt;0,J381,Q381))</f>
        <v/>
      </c>
      <c r="AG381" s="99">
        <f>IF(B381="","",IFERROR(AVERAGEIFS('QUALITY CONTROL'!$M$5:$M$304,'QUALITY CONTROL'!$B$5:$B$304,A381),""))</f>
        <v/>
      </c>
      <c r="AH381" s="51">
        <f>IF(B381="","",DATE(YEAR(B381),MONTH(B381),1))</f>
        <v/>
      </c>
      <c r="AI381" s="49">
        <f>IF(D381="","",IFERROR(INDEX('CUSTOMERS'!$E$5:$E$404,MATCH(D381,'CUSTOMERS'!$B$5:$B$404,0)),""))</f>
        <v/>
      </c>
      <c r="AJ381" s="49">
        <f>IF(B381="","",N(C381))</f>
        <v/>
      </c>
      <c r="AK381" s="49">
        <f>IF(OR(B381="",O381="Cancelled",O381="Rescheduled"),"",B381&amp;"|"&amp;(COUNTIFS('JOBS'!$B$5:$B$1504,B381,'JOBS'!$AJ$5:$AJ$1504,"&lt;"&amp;AJ381,'JOBS'!$O$5:$O$1504,"&lt;&gt;Cancelled",'JOBS'!$O$5:$O$1504,"&lt;&gt;Rescheduled")+COUNTIFS($B$5:B381,B381,$AJ$5:AJ381,AJ381,$O$5:O381,"&lt;&gt;Cancelled",$O$5:O381,"&lt;&gt;Rescheduled")))</f>
        <v/>
      </c>
      <c r="AL381" s="49">
        <f>IF(N(U381)&lt;=0.005,"",COUNTIFS('JOBS'!$U$5:$U$1504,"&gt;0.005",'JOBS'!$B$5:$B$1504,"&lt;"&amp;B381)+COUNTIFS($U$5:U381,"&gt;0.005",$B$5:B381,B381))</f>
        <v/>
      </c>
    </row>
    <row r="382">
      <c r="A382" s="46" t="inlineStr">
        <is>
          <t>J-0378</t>
        </is>
      </c>
      <c r="B382" s="47" t="n"/>
      <c r="C382" s="94" t="n"/>
      <c r="D382" s="38" t="n"/>
      <c r="E382" s="38" t="n"/>
      <c r="F382" s="38" t="n"/>
      <c r="G382" s="38" t="n"/>
      <c r="H382" s="38" t="n"/>
      <c r="I382" s="57" t="n"/>
      <c r="J382" s="95" t="n"/>
      <c r="K382" s="95" t="n"/>
      <c r="L382" s="48" t="n"/>
      <c r="M382" s="96" t="n"/>
      <c r="N382" s="48" t="n"/>
      <c r="O382" s="38" t="n"/>
      <c r="P382" s="38" t="n"/>
      <c r="Q382" s="97">
        <f>IF(OR(F382="",E382=""),"",IFERROR(IF(INDEX('PROPERTIES'!$F$5:$F$404,MATCH(E382,'PROPERTIES'!$B$5:$B$404,0))=0,"",ROUND((INDEX('PROPERTIES'!$F$5:$F$404,MATCH(E382,'PROPERTIES'!$B$5:$B$404,0))/INDEX('PRICING'!$C$7:$C$16,MATCH(F382,'PRICING'!$A$7:$A$16,0))+INDEX('PROPERTIES'!$G$5:$G$404,MATCH(E382,'PROPERTIES'!$B$5:$B$404,0))*INDEX('PRICING'!$D$7:$D$16,MATCH(F382,'PRICING'!$A$7:$A$16,0))/60+INDEX('PROPERTIES'!$H$5:$H$404,MATCH(E382,'PROPERTIES'!$B$5:$B$404,0))*INDEX('PRICING'!$E$7:$E$16,MATCH(F382,'PRICING'!$A$7:$A$16,0))/60+INDEX('PRICING'!$F$7:$F$16,MATCH(F382,'PRICING'!$A$7:$A$16,0))/60),2)),""))</f>
        <v/>
      </c>
      <c r="R382" s="97">
        <f>IF(B382="","",IF(N(K382)&gt;0,K382,IF(N(J382)&gt;0,J382,N(Q382))))</f>
        <v/>
      </c>
      <c r="S382" s="55">
        <f>IF(L382="","",ROUND(L382*(1+N(M382)),2))</f>
        <v/>
      </c>
      <c r="T382" s="55">
        <f>IF(B382="","",SUMIFS('REVENUE'!$C$5:$C$1504,'REVENUE'!$B$5:$B$1504,A382))</f>
        <v/>
      </c>
      <c r="U382" s="55">
        <f>IF(B382="","",IF(O382="Completed",MAX(0,N(S382)-T382),""))</f>
        <v/>
      </c>
      <c r="V382" s="49">
        <f>IF(B382="","",IF(O382&lt;&gt;"Completed",IF(T382&gt;0,"Deposit","—"),IF(U382&lt;=0.005,"Paid",IF(T382&gt;0,"Partial","Unpaid"))))</f>
        <v/>
      </c>
      <c r="W382" s="55">
        <f>IF(B382="","",IFERROR(1/(1/INDEX('STAFF &amp; TASKS'!$C$5:$C$24,MATCH(H382,'STAFF &amp; TASKS'!$A$5:$A$24,0))),PayRate))</f>
        <v/>
      </c>
      <c r="X382" s="55">
        <f>IF(B382="","",IF(OR(O382="Cancelled",O382="No-Show"),"",ROUND(R382*W382*(1+Burden),2)))</f>
        <v/>
      </c>
      <c r="Y382" s="55">
        <f>IF(B382="","",IF(OR(O382="Cancelled",O382="No-Show"),"",IF(N382&lt;&gt;"",N382,ROUND(R382*SupHr*IFERROR(INDEX('PRICING'!$G$7:$G$16,MATCH(F382,'PRICING'!$A$7:$A$16,0)),1),2))))</f>
        <v/>
      </c>
      <c r="Z382" s="98">
        <f>IF(B382="","",SUMIFS('MILEAGE'!$J$5:$J$1504,'MILEAGE'!$B$5:$B$1504,A382))</f>
        <v/>
      </c>
      <c r="AA382" s="55">
        <f>IF(B382="","",ROUND(Z382*MileRate,2))</f>
        <v/>
      </c>
      <c r="AB382" s="55">
        <f>IF(B382="","",SUMIFS('REVENUE'!$J$5:$J$1504,'REVENUE'!$B$5:$B$1504,A382))</f>
        <v/>
      </c>
      <c r="AC382" s="55">
        <f>IF(L382="","",IF(OR(O382="Cancelled",O382="No-Show"),"",L382-N(X382)-N(Y382)-AA382-AB382))</f>
        <v/>
      </c>
      <c r="AD382" s="99">
        <f>IF(OR(AC382="",N(L382)=0),"",AC382/L382)</f>
        <v/>
      </c>
      <c r="AE382" s="55">
        <f>IF(OR(AC382="",N(R382)=0),"",L382/R382)</f>
        <v/>
      </c>
      <c r="AF382" s="100">
        <f>IF(OR(N(K382)=0,N(J382)+N(Q382)=0),"",K382-IF(N(J382)&gt;0,J382,Q382))</f>
        <v/>
      </c>
      <c r="AG382" s="99">
        <f>IF(B382="","",IFERROR(AVERAGEIFS('QUALITY CONTROL'!$M$5:$M$304,'QUALITY CONTROL'!$B$5:$B$304,A382),""))</f>
        <v/>
      </c>
      <c r="AH382" s="51">
        <f>IF(B382="","",DATE(YEAR(B382),MONTH(B382),1))</f>
        <v/>
      </c>
      <c r="AI382" s="49">
        <f>IF(D382="","",IFERROR(INDEX('CUSTOMERS'!$E$5:$E$404,MATCH(D382,'CUSTOMERS'!$B$5:$B$404,0)),""))</f>
        <v/>
      </c>
      <c r="AJ382" s="49">
        <f>IF(B382="","",N(C382))</f>
        <v/>
      </c>
      <c r="AK382" s="49">
        <f>IF(OR(B382="",O382="Cancelled",O382="Rescheduled"),"",B382&amp;"|"&amp;(COUNTIFS('JOBS'!$B$5:$B$1504,B382,'JOBS'!$AJ$5:$AJ$1504,"&lt;"&amp;AJ382,'JOBS'!$O$5:$O$1504,"&lt;&gt;Cancelled",'JOBS'!$O$5:$O$1504,"&lt;&gt;Rescheduled")+COUNTIFS($B$5:B382,B382,$AJ$5:AJ382,AJ382,$O$5:O382,"&lt;&gt;Cancelled",$O$5:O382,"&lt;&gt;Rescheduled")))</f>
        <v/>
      </c>
      <c r="AL382" s="49">
        <f>IF(N(U382)&lt;=0.005,"",COUNTIFS('JOBS'!$U$5:$U$1504,"&gt;0.005",'JOBS'!$B$5:$B$1504,"&lt;"&amp;B382)+COUNTIFS($U$5:U382,"&gt;0.005",$B$5:B382,B382))</f>
        <v/>
      </c>
    </row>
    <row r="383">
      <c r="A383" s="46" t="inlineStr">
        <is>
          <t>J-0379</t>
        </is>
      </c>
      <c r="B383" s="47" t="n"/>
      <c r="C383" s="94" t="n"/>
      <c r="D383" s="38" t="n"/>
      <c r="E383" s="38" t="n"/>
      <c r="F383" s="38" t="n"/>
      <c r="G383" s="38" t="n"/>
      <c r="H383" s="38" t="n"/>
      <c r="I383" s="57" t="n"/>
      <c r="J383" s="95" t="n"/>
      <c r="K383" s="95" t="n"/>
      <c r="L383" s="48" t="n"/>
      <c r="M383" s="96" t="n"/>
      <c r="N383" s="48" t="n"/>
      <c r="O383" s="38" t="n"/>
      <c r="P383" s="38" t="n"/>
      <c r="Q383" s="97">
        <f>IF(OR(F383="",E383=""),"",IFERROR(IF(INDEX('PROPERTIES'!$F$5:$F$404,MATCH(E383,'PROPERTIES'!$B$5:$B$404,0))=0,"",ROUND((INDEX('PROPERTIES'!$F$5:$F$404,MATCH(E383,'PROPERTIES'!$B$5:$B$404,0))/INDEX('PRICING'!$C$7:$C$16,MATCH(F383,'PRICING'!$A$7:$A$16,0))+INDEX('PROPERTIES'!$G$5:$G$404,MATCH(E383,'PROPERTIES'!$B$5:$B$404,0))*INDEX('PRICING'!$D$7:$D$16,MATCH(F383,'PRICING'!$A$7:$A$16,0))/60+INDEX('PROPERTIES'!$H$5:$H$404,MATCH(E383,'PROPERTIES'!$B$5:$B$404,0))*INDEX('PRICING'!$E$7:$E$16,MATCH(F383,'PRICING'!$A$7:$A$16,0))/60+INDEX('PRICING'!$F$7:$F$16,MATCH(F383,'PRICING'!$A$7:$A$16,0))/60),2)),""))</f>
        <v/>
      </c>
      <c r="R383" s="97">
        <f>IF(B383="","",IF(N(K383)&gt;0,K383,IF(N(J383)&gt;0,J383,N(Q383))))</f>
        <v/>
      </c>
      <c r="S383" s="55">
        <f>IF(L383="","",ROUND(L383*(1+N(M383)),2))</f>
        <v/>
      </c>
      <c r="T383" s="55">
        <f>IF(B383="","",SUMIFS('REVENUE'!$C$5:$C$1504,'REVENUE'!$B$5:$B$1504,A383))</f>
        <v/>
      </c>
      <c r="U383" s="55">
        <f>IF(B383="","",IF(O383="Completed",MAX(0,N(S383)-T383),""))</f>
        <v/>
      </c>
      <c r="V383" s="49">
        <f>IF(B383="","",IF(O383&lt;&gt;"Completed",IF(T383&gt;0,"Deposit","—"),IF(U383&lt;=0.005,"Paid",IF(T383&gt;0,"Partial","Unpaid"))))</f>
        <v/>
      </c>
      <c r="W383" s="55">
        <f>IF(B383="","",IFERROR(1/(1/INDEX('STAFF &amp; TASKS'!$C$5:$C$24,MATCH(H383,'STAFF &amp; TASKS'!$A$5:$A$24,0))),PayRate))</f>
        <v/>
      </c>
      <c r="X383" s="55">
        <f>IF(B383="","",IF(OR(O383="Cancelled",O383="No-Show"),"",ROUND(R383*W383*(1+Burden),2)))</f>
        <v/>
      </c>
      <c r="Y383" s="55">
        <f>IF(B383="","",IF(OR(O383="Cancelled",O383="No-Show"),"",IF(N383&lt;&gt;"",N383,ROUND(R383*SupHr*IFERROR(INDEX('PRICING'!$G$7:$G$16,MATCH(F383,'PRICING'!$A$7:$A$16,0)),1),2))))</f>
        <v/>
      </c>
      <c r="Z383" s="98">
        <f>IF(B383="","",SUMIFS('MILEAGE'!$J$5:$J$1504,'MILEAGE'!$B$5:$B$1504,A383))</f>
        <v/>
      </c>
      <c r="AA383" s="55">
        <f>IF(B383="","",ROUND(Z383*MileRate,2))</f>
        <v/>
      </c>
      <c r="AB383" s="55">
        <f>IF(B383="","",SUMIFS('REVENUE'!$J$5:$J$1504,'REVENUE'!$B$5:$B$1504,A383))</f>
        <v/>
      </c>
      <c r="AC383" s="55">
        <f>IF(L383="","",IF(OR(O383="Cancelled",O383="No-Show"),"",L383-N(X383)-N(Y383)-AA383-AB383))</f>
        <v/>
      </c>
      <c r="AD383" s="99">
        <f>IF(OR(AC383="",N(L383)=0),"",AC383/L383)</f>
        <v/>
      </c>
      <c r="AE383" s="55">
        <f>IF(OR(AC383="",N(R383)=0),"",L383/R383)</f>
        <v/>
      </c>
      <c r="AF383" s="100">
        <f>IF(OR(N(K383)=0,N(J383)+N(Q383)=0),"",K383-IF(N(J383)&gt;0,J383,Q383))</f>
        <v/>
      </c>
      <c r="AG383" s="99">
        <f>IF(B383="","",IFERROR(AVERAGEIFS('QUALITY CONTROL'!$M$5:$M$304,'QUALITY CONTROL'!$B$5:$B$304,A383),""))</f>
        <v/>
      </c>
      <c r="AH383" s="51">
        <f>IF(B383="","",DATE(YEAR(B383),MONTH(B383),1))</f>
        <v/>
      </c>
      <c r="AI383" s="49">
        <f>IF(D383="","",IFERROR(INDEX('CUSTOMERS'!$E$5:$E$404,MATCH(D383,'CUSTOMERS'!$B$5:$B$404,0)),""))</f>
        <v/>
      </c>
      <c r="AJ383" s="49">
        <f>IF(B383="","",N(C383))</f>
        <v/>
      </c>
      <c r="AK383" s="49">
        <f>IF(OR(B383="",O383="Cancelled",O383="Rescheduled"),"",B383&amp;"|"&amp;(COUNTIFS('JOBS'!$B$5:$B$1504,B383,'JOBS'!$AJ$5:$AJ$1504,"&lt;"&amp;AJ383,'JOBS'!$O$5:$O$1504,"&lt;&gt;Cancelled",'JOBS'!$O$5:$O$1504,"&lt;&gt;Rescheduled")+COUNTIFS($B$5:B383,B383,$AJ$5:AJ383,AJ383,$O$5:O383,"&lt;&gt;Cancelled",$O$5:O383,"&lt;&gt;Rescheduled")))</f>
        <v/>
      </c>
      <c r="AL383" s="49">
        <f>IF(N(U383)&lt;=0.005,"",COUNTIFS('JOBS'!$U$5:$U$1504,"&gt;0.005",'JOBS'!$B$5:$B$1504,"&lt;"&amp;B383)+COUNTIFS($U$5:U383,"&gt;0.005",$B$5:B383,B383))</f>
        <v/>
      </c>
    </row>
    <row r="384">
      <c r="A384" s="46" t="inlineStr">
        <is>
          <t>J-0380</t>
        </is>
      </c>
      <c r="B384" s="47" t="n"/>
      <c r="C384" s="94" t="n"/>
      <c r="D384" s="38" t="n"/>
      <c r="E384" s="38" t="n"/>
      <c r="F384" s="38" t="n"/>
      <c r="G384" s="38" t="n"/>
      <c r="H384" s="38" t="n"/>
      <c r="I384" s="57" t="n"/>
      <c r="J384" s="95" t="n"/>
      <c r="K384" s="95" t="n"/>
      <c r="L384" s="48" t="n"/>
      <c r="M384" s="96" t="n"/>
      <c r="N384" s="48" t="n"/>
      <c r="O384" s="38" t="n"/>
      <c r="P384" s="38" t="n"/>
      <c r="Q384" s="97">
        <f>IF(OR(F384="",E384=""),"",IFERROR(IF(INDEX('PROPERTIES'!$F$5:$F$404,MATCH(E384,'PROPERTIES'!$B$5:$B$404,0))=0,"",ROUND((INDEX('PROPERTIES'!$F$5:$F$404,MATCH(E384,'PROPERTIES'!$B$5:$B$404,0))/INDEX('PRICING'!$C$7:$C$16,MATCH(F384,'PRICING'!$A$7:$A$16,0))+INDEX('PROPERTIES'!$G$5:$G$404,MATCH(E384,'PROPERTIES'!$B$5:$B$404,0))*INDEX('PRICING'!$D$7:$D$16,MATCH(F384,'PRICING'!$A$7:$A$16,0))/60+INDEX('PROPERTIES'!$H$5:$H$404,MATCH(E384,'PROPERTIES'!$B$5:$B$404,0))*INDEX('PRICING'!$E$7:$E$16,MATCH(F384,'PRICING'!$A$7:$A$16,0))/60+INDEX('PRICING'!$F$7:$F$16,MATCH(F384,'PRICING'!$A$7:$A$16,0))/60),2)),""))</f>
        <v/>
      </c>
      <c r="R384" s="97">
        <f>IF(B384="","",IF(N(K384)&gt;0,K384,IF(N(J384)&gt;0,J384,N(Q384))))</f>
        <v/>
      </c>
      <c r="S384" s="55">
        <f>IF(L384="","",ROUND(L384*(1+N(M384)),2))</f>
        <v/>
      </c>
      <c r="T384" s="55">
        <f>IF(B384="","",SUMIFS('REVENUE'!$C$5:$C$1504,'REVENUE'!$B$5:$B$1504,A384))</f>
        <v/>
      </c>
      <c r="U384" s="55">
        <f>IF(B384="","",IF(O384="Completed",MAX(0,N(S384)-T384),""))</f>
        <v/>
      </c>
      <c r="V384" s="49">
        <f>IF(B384="","",IF(O384&lt;&gt;"Completed",IF(T384&gt;0,"Deposit","—"),IF(U384&lt;=0.005,"Paid",IF(T384&gt;0,"Partial","Unpaid"))))</f>
        <v/>
      </c>
      <c r="W384" s="55">
        <f>IF(B384="","",IFERROR(1/(1/INDEX('STAFF &amp; TASKS'!$C$5:$C$24,MATCH(H384,'STAFF &amp; TASKS'!$A$5:$A$24,0))),PayRate))</f>
        <v/>
      </c>
      <c r="X384" s="55">
        <f>IF(B384="","",IF(OR(O384="Cancelled",O384="No-Show"),"",ROUND(R384*W384*(1+Burden),2)))</f>
        <v/>
      </c>
      <c r="Y384" s="55">
        <f>IF(B384="","",IF(OR(O384="Cancelled",O384="No-Show"),"",IF(N384&lt;&gt;"",N384,ROUND(R384*SupHr*IFERROR(INDEX('PRICING'!$G$7:$G$16,MATCH(F384,'PRICING'!$A$7:$A$16,0)),1),2))))</f>
        <v/>
      </c>
      <c r="Z384" s="98">
        <f>IF(B384="","",SUMIFS('MILEAGE'!$J$5:$J$1504,'MILEAGE'!$B$5:$B$1504,A384))</f>
        <v/>
      </c>
      <c r="AA384" s="55">
        <f>IF(B384="","",ROUND(Z384*MileRate,2))</f>
        <v/>
      </c>
      <c r="AB384" s="55">
        <f>IF(B384="","",SUMIFS('REVENUE'!$J$5:$J$1504,'REVENUE'!$B$5:$B$1504,A384))</f>
        <v/>
      </c>
      <c r="AC384" s="55">
        <f>IF(L384="","",IF(OR(O384="Cancelled",O384="No-Show"),"",L384-N(X384)-N(Y384)-AA384-AB384))</f>
        <v/>
      </c>
      <c r="AD384" s="99">
        <f>IF(OR(AC384="",N(L384)=0),"",AC384/L384)</f>
        <v/>
      </c>
      <c r="AE384" s="55">
        <f>IF(OR(AC384="",N(R384)=0),"",L384/R384)</f>
        <v/>
      </c>
      <c r="AF384" s="100">
        <f>IF(OR(N(K384)=0,N(J384)+N(Q384)=0),"",K384-IF(N(J384)&gt;0,J384,Q384))</f>
        <v/>
      </c>
      <c r="AG384" s="99">
        <f>IF(B384="","",IFERROR(AVERAGEIFS('QUALITY CONTROL'!$M$5:$M$304,'QUALITY CONTROL'!$B$5:$B$304,A384),""))</f>
        <v/>
      </c>
      <c r="AH384" s="51">
        <f>IF(B384="","",DATE(YEAR(B384),MONTH(B384),1))</f>
        <v/>
      </c>
      <c r="AI384" s="49">
        <f>IF(D384="","",IFERROR(INDEX('CUSTOMERS'!$E$5:$E$404,MATCH(D384,'CUSTOMERS'!$B$5:$B$404,0)),""))</f>
        <v/>
      </c>
      <c r="AJ384" s="49">
        <f>IF(B384="","",N(C384))</f>
        <v/>
      </c>
      <c r="AK384" s="49">
        <f>IF(OR(B384="",O384="Cancelled",O384="Rescheduled"),"",B384&amp;"|"&amp;(COUNTIFS('JOBS'!$B$5:$B$1504,B384,'JOBS'!$AJ$5:$AJ$1504,"&lt;"&amp;AJ384,'JOBS'!$O$5:$O$1504,"&lt;&gt;Cancelled",'JOBS'!$O$5:$O$1504,"&lt;&gt;Rescheduled")+COUNTIFS($B$5:B384,B384,$AJ$5:AJ384,AJ384,$O$5:O384,"&lt;&gt;Cancelled",$O$5:O384,"&lt;&gt;Rescheduled")))</f>
        <v/>
      </c>
      <c r="AL384" s="49">
        <f>IF(N(U384)&lt;=0.005,"",COUNTIFS('JOBS'!$U$5:$U$1504,"&gt;0.005",'JOBS'!$B$5:$B$1504,"&lt;"&amp;B384)+COUNTIFS($U$5:U384,"&gt;0.005",$B$5:B384,B384))</f>
        <v/>
      </c>
    </row>
    <row r="385">
      <c r="A385" s="46" t="inlineStr">
        <is>
          <t>J-0381</t>
        </is>
      </c>
      <c r="B385" s="47" t="n"/>
      <c r="C385" s="94" t="n"/>
      <c r="D385" s="38" t="n"/>
      <c r="E385" s="38" t="n"/>
      <c r="F385" s="38" t="n"/>
      <c r="G385" s="38" t="n"/>
      <c r="H385" s="38" t="n"/>
      <c r="I385" s="57" t="n"/>
      <c r="J385" s="95" t="n"/>
      <c r="K385" s="95" t="n"/>
      <c r="L385" s="48" t="n"/>
      <c r="M385" s="96" t="n"/>
      <c r="N385" s="48" t="n"/>
      <c r="O385" s="38" t="n"/>
      <c r="P385" s="38" t="n"/>
      <c r="Q385" s="97">
        <f>IF(OR(F385="",E385=""),"",IFERROR(IF(INDEX('PROPERTIES'!$F$5:$F$404,MATCH(E385,'PROPERTIES'!$B$5:$B$404,0))=0,"",ROUND((INDEX('PROPERTIES'!$F$5:$F$404,MATCH(E385,'PROPERTIES'!$B$5:$B$404,0))/INDEX('PRICING'!$C$7:$C$16,MATCH(F385,'PRICING'!$A$7:$A$16,0))+INDEX('PROPERTIES'!$G$5:$G$404,MATCH(E385,'PROPERTIES'!$B$5:$B$404,0))*INDEX('PRICING'!$D$7:$D$16,MATCH(F385,'PRICING'!$A$7:$A$16,0))/60+INDEX('PROPERTIES'!$H$5:$H$404,MATCH(E385,'PROPERTIES'!$B$5:$B$404,0))*INDEX('PRICING'!$E$7:$E$16,MATCH(F385,'PRICING'!$A$7:$A$16,0))/60+INDEX('PRICING'!$F$7:$F$16,MATCH(F385,'PRICING'!$A$7:$A$16,0))/60),2)),""))</f>
        <v/>
      </c>
      <c r="R385" s="97">
        <f>IF(B385="","",IF(N(K385)&gt;0,K385,IF(N(J385)&gt;0,J385,N(Q385))))</f>
        <v/>
      </c>
      <c r="S385" s="55">
        <f>IF(L385="","",ROUND(L385*(1+N(M385)),2))</f>
        <v/>
      </c>
      <c r="T385" s="55">
        <f>IF(B385="","",SUMIFS('REVENUE'!$C$5:$C$1504,'REVENUE'!$B$5:$B$1504,A385))</f>
        <v/>
      </c>
      <c r="U385" s="55">
        <f>IF(B385="","",IF(O385="Completed",MAX(0,N(S385)-T385),""))</f>
        <v/>
      </c>
      <c r="V385" s="49">
        <f>IF(B385="","",IF(O385&lt;&gt;"Completed",IF(T385&gt;0,"Deposit","—"),IF(U385&lt;=0.005,"Paid",IF(T385&gt;0,"Partial","Unpaid"))))</f>
        <v/>
      </c>
      <c r="W385" s="55">
        <f>IF(B385="","",IFERROR(1/(1/INDEX('STAFF &amp; TASKS'!$C$5:$C$24,MATCH(H385,'STAFF &amp; TASKS'!$A$5:$A$24,0))),PayRate))</f>
        <v/>
      </c>
      <c r="X385" s="55">
        <f>IF(B385="","",IF(OR(O385="Cancelled",O385="No-Show"),"",ROUND(R385*W385*(1+Burden),2)))</f>
        <v/>
      </c>
      <c r="Y385" s="55">
        <f>IF(B385="","",IF(OR(O385="Cancelled",O385="No-Show"),"",IF(N385&lt;&gt;"",N385,ROUND(R385*SupHr*IFERROR(INDEX('PRICING'!$G$7:$G$16,MATCH(F385,'PRICING'!$A$7:$A$16,0)),1),2))))</f>
        <v/>
      </c>
      <c r="Z385" s="98">
        <f>IF(B385="","",SUMIFS('MILEAGE'!$J$5:$J$1504,'MILEAGE'!$B$5:$B$1504,A385))</f>
        <v/>
      </c>
      <c r="AA385" s="55">
        <f>IF(B385="","",ROUND(Z385*MileRate,2))</f>
        <v/>
      </c>
      <c r="AB385" s="55">
        <f>IF(B385="","",SUMIFS('REVENUE'!$J$5:$J$1504,'REVENUE'!$B$5:$B$1504,A385))</f>
        <v/>
      </c>
      <c r="AC385" s="55">
        <f>IF(L385="","",IF(OR(O385="Cancelled",O385="No-Show"),"",L385-N(X385)-N(Y385)-AA385-AB385))</f>
        <v/>
      </c>
      <c r="AD385" s="99">
        <f>IF(OR(AC385="",N(L385)=0),"",AC385/L385)</f>
        <v/>
      </c>
      <c r="AE385" s="55">
        <f>IF(OR(AC385="",N(R385)=0),"",L385/R385)</f>
        <v/>
      </c>
      <c r="AF385" s="100">
        <f>IF(OR(N(K385)=0,N(J385)+N(Q385)=0),"",K385-IF(N(J385)&gt;0,J385,Q385))</f>
        <v/>
      </c>
      <c r="AG385" s="99">
        <f>IF(B385="","",IFERROR(AVERAGEIFS('QUALITY CONTROL'!$M$5:$M$304,'QUALITY CONTROL'!$B$5:$B$304,A385),""))</f>
        <v/>
      </c>
      <c r="AH385" s="51">
        <f>IF(B385="","",DATE(YEAR(B385),MONTH(B385),1))</f>
        <v/>
      </c>
      <c r="AI385" s="49">
        <f>IF(D385="","",IFERROR(INDEX('CUSTOMERS'!$E$5:$E$404,MATCH(D385,'CUSTOMERS'!$B$5:$B$404,0)),""))</f>
        <v/>
      </c>
      <c r="AJ385" s="49">
        <f>IF(B385="","",N(C385))</f>
        <v/>
      </c>
      <c r="AK385" s="49">
        <f>IF(OR(B385="",O385="Cancelled",O385="Rescheduled"),"",B385&amp;"|"&amp;(COUNTIFS('JOBS'!$B$5:$B$1504,B385,'JOBS'!$AJ$5:$AJ$1504,"&lt;"&amp;AJ385,'JOBS'!$O$5:$O$1504,"&lt;&gt;Cancelled",'JOBS'!$O$5:$O$1504,"&lt;&gt;Rescheduled")+COUNTIFS($B$5:B385,B385,$AJ$5:AJ385,AJ385,$O$5:O385,"&lt;&gt;Cancelled",$O$5:O385,"&lt;&gt;Rescheduled")))</f>
        <v/>
      </c>
      <c r="AL385" s="49">
        <f>IF(N(U385)&lt;=0.005,"",COUNTIFS('JOBS'!$U$5:$U$1504,"&gt;0.005",'JOBS'!$B$5:$B$1504,"&lt;"&amp;B385)+COUNTIFS($U$5:U385,"&gt;0.005",$B$5:B385,B385))</f>
        <v/>
      </c>
    </row>
    <row r="386">
      <c r="A386" s="46" t="inlineStr">
        <is>
          <t>J-0382</t>
        </is>
      </c>
      <c r="B386" s="47" t="n"/>
      <c r="C386" s="94" t="n"/>
      <c r="D386" s="38" t="n"/>
      <c r="E386" s="38" t="n"/>
      <c r="F386" s="38" t="n"/>
      <c r="G386" s="38" t="n"/>
      <c r="H386" s="38" t="n"/>
      <c r="I386" s="57" t="n"/>
      <c r="J386" s="95" t="n"/>
      <c r="K386" s="95" t="n"/>
      <c r="L386" s="48" t="n"/>
      <c r="M386" s="96" t="n"/>
      <c r="N386" s="48" t="n"/>
      <c r="O386" s="38" t="n"/>
      <c r="P386" s="38" t="n"/>
      <c r="Q386" s="97">
        <f>IF(OR(F386="",E386=""),"",IFERROR(IF(INDEX('PROPERTIES'!$F$5:$F$404,MATCH(E386,'PROPERTIES'!$B$5:$B$404,0))=0,"",ROUND((INDEX('PROPERTIES'!$F$5:$F$404,MATCH(E386,'PROPERTIES'!$B$5:$B$404,0))/INDEX('PRICING'!$C$7:$C$16,MATCH(F386,'PRICING'!$A$7:$A$16,0))+INDEX('PROPERTIES'!$G$5:$G$404,MATCH(E386,'PROPERTIES'!$B$5:$B$404,0))*INDEX('PRICING'!$D$7:$D$16,MATCH(F386,'PRICING'!$A$7:$A$16,0))/60+INDEX('PROPERTIES'!$H$5:$H$404,MATCH(E386,'PROPERTIES'!$B$5:$B$404,0))*INDEX('PRICING'!$E$7:$E$16,MATCH(F386,'PRICING'!$A$7:$A$16,0))/60+INDEX('PRICING'!$F$7:$F$16,MATCH(F386,'PRICING'!$A$7:$A$16,0))/60),2)),""))</f>
        <v/>
      </c>
      <c r="R386" s="97">
        <f>IF(B386="","",IF(N(K386)&gt;0,K386,IF(N(J386)&gt;0,J386,N(Q386))))</f>
        <v/>
      </c>
      <c r="S386" s="55">
        <f>IF(L386="","",ROUND(L386*(1+N(M386)),2))</f>
        <v/>
      </c>
      <c r="T386" s="55">
        <f>IF(B386="","",SUMIFS('REVENUE'!$C$5:$C$1504,'REVENUE'!$B$5:$B$1504,A386))</f>
        <v/>
      </c>
      <c r="U386" s="55">
        <f>IF(B386="","",IF(O386="Completed",MAX(0,N(S386)-T386),""))</f>
        <v/>
      </c>
      <c r="V386" s="49">
        <f>IF(B386="","",IF(O386&lt;&gt;"Completed",IF(T386&gt;0,"Deposit","—"),IF(U386&lt;=0.005,"Paid",IF(T386&gt;0,"Partial","Unpaid"))))</f>
        <v/>
      </c>
      <c r="W386" s="55">
        <f>IF(B386="","",IFERROR(1/(1/INDEX('STAFF &amp; TASKS'!$C$5:$C$24,MATCH(H386,'STAFF &amp; TASKS'!$A$5:$A$24,0))),PayRate))</f>
        <v/>
      </c>
      <c r="X386" s="55">
        <f>IF(B386="","",IF(OR(O386="Cancelled",O386="No-Show"),"",ROUND(R386*W386*(1+Burden),2)))</f>
        <v/>
      </c>
      <c r="Y386" s="55">
        <f>IF(B386="","",IF(OR(O386="Cancelled",O386="No-Show"),"",IF(N386&lt;&gt;"",N386,ROUND(R386*SupHr*IFERROR(INDEX('PRICING'!$G$7:$G$16,MATCH(F386,'PRICING'!$A$7:$A$16,0)),1),2))))</f>
        <v/>
      </c>
      <c r="Z386" s="98">
        <f>IF(B386="","",SUMIFS('MILEAGE'!$J$5:$J$1504,'MILEAGE'!$B$5:$B$1504,A386))</f>
        <v/>
      </c>
      <c r="AA386" s="55">
        <f>IF(B386="","",ROUND(Z386*MileRate,2))</f>
        <v/>
      </c>
      <c r="AB386" s="55">
        <f>IF(B386="","",SUMIFS('REVENUE'!$J$5:$J$1504,'REVENUE'!$B$5:$B$1504,A386))</f>
        <v/>
      </c>
      <c r="AC386" s="55">
        <f>IF(L386="","",IF(OR(O386="Cancelled",O386="No-Show"),"",L386-N(X386)-N(Y386)-AA386-AB386))</f>
        <v/>
      </c>
      <c r="AD386" s="99">
        <f>IF(OR(AC386="",N(L386)=0),"",AC386/L386)</f>
        <v/>
      </c>
      <c r="AE386" s="55">
        <f>IF(OR(AC386="",N(R386)=0),"",L386/R386)</f>
        <v/>
      </c>
      <c r="AF386" s="100">
        <f>IF(OR(N(K386)=0,N(J386)+N(Q386)=0),"",K386-IF(N(J386)&gt;0,J386,Q386))</f>
        <v/>
      </c>
      <c r="AG386" s="99">
        <f>IF(B386="","",IFERROR(AVERAGEIFS('QUALITY CONTROL'!$M$5:$M$304,'QUALITY CONTROL'!$B$5:$B$304,A386),""))</f>
        <v/>
      </c>
      <c r="AH386" s="51">
        <f>IF(B386="","",DATE(YEAR(B386),MONTH(B386),1))</f>
        <v/>
      </c>
      <c r="AI386" s="49">
        <f>IF(D386="","",IFERROR(INDEX('CUSTOMERS'!$E$5:$E$404,MATCH(D386,'CUSTOMERS'!$B$5:$B$404,0)),""))</f>
        <v/>
      </c>
      <c r="AJ386" s="49">
        <f>IF(B386="","",N(C386))</f>
        <v/>
      </c>
      <c r="AK386" s="49">
        <f>IF(OR(B386="",O386="Cancelled",O386="Rescheduled"),"",B386&amp;"|"&amp;(COUNTIFS('JOBS'!$B$5:$B$1504,B386,'JOBS'!$AJ$5:$AJ$1504,"&lt;"&amp;AJ386,'JOBS'!$O$5:$O$1504,"&lt;&gt;Cancelled",'JOBS'!$O$5:$O$1504,"&lt;&gt;Rescheduled")+COUNTIFS($B$5:B386,B386,$AJ$5:AJ386,AJ386,$O$5:O386,"&lt;&gt;Cancelled",$O$5:O386,"&lt;&gt;Rescheduled")))</f>
        <v/>
      </c>
      <c r="AL386" s="49">
        <f>IF(N(U386)&lt;=0.005,"",COUNTIFS('JOBS'!$U$5:$U$1504,"&gt;0.005",'JOBS'!$B$5:$B$1504,"&lt;"&amp;B386)+COUNTIFS($U$5:U386,"&gt;0.005",$B$5:B386,B386))</f>
        <v/>
      </c>
    </row>
    <row r="387">
      <c r="A387" s="46" t="inlineStr">
        <is>
          <t>J-0383</t>
        </is>
      </c>
      <c r="B387" s="47" t="n"/>
      <c r="C387" s="94" t="n"/>
      <c r="D387" s="38" t="n"/>
      <c r="E387" s="38" t="n"/>
      <c r="F387" s="38" t="n"/>
      <c r="G387" s="38" t="n"/>
      <c r="H387" s="38" t="n"/>
      <c r="I387" s="57" t="n"/>
      <c r="J387" s="95" t="n"/>
      <c r="K387" s="95" t="n"/>
      <c r="L387" s="48" t="n"/>
      <c r="M387" s="96" t="n"/>
      <c r="N387" s="48" t="n"/>
      <c r="O387" s="38" t="n"/>
      <c r="P387" s="38" t="n"/>
      <c r="Q387" s="97">
        <f>IF(OR(F387="",E387=""),"",IFERROR(IF(INDEX('PROPERTIES'!$F$5:$F$404,MATCH(E387,'PROPERTIES'!$B$5:$B$404,0))=0,"",ROUND((INDEX('PROPERTIES'!$F$5:$F$404,MATCH(E387,'PROPERTIES'!$B$5:$B$404,0))/INDEX('PRICING'!$C$7:$C$16,MATCH(F387,'PRICING'!$A$7:$A$16,0))+INDEX('PROPERTIES'!$G$5:$G$404,MATCH(E387,'PROPERTIES'!$B$5:$B$404,0))*INDEX('PRICING'!$D$7:$D$16,MATCH(F387,'PRICING'!$A$7:$A$16,0))/60+INDEX('PROPERTIES'!$H$5:$H$404,MATCH(E387,'PROPERTIES'!$B$5:$B$404,0))*INDEX('PRICING'!$E$7:$E$16,MATCH(F387,'PRICING'!$A$7:$A$16,0))/60+INDEX('PRICING'!$F$7:$F$16,MATCH(F387,'PRICING'!$A$7:$A$16,0))/60),2)),""))</f>
        <v/>
      </c>
      <c r="R387" s="97">
        <f>IF(B387="","",IF(N(K387)&gt;0,K387,IF(N(J387)&gt;0,J387,N(Q387))))</f>
        <v/>
      </c>
      <c r="S387" s="55">
        <f>IF(L387="","",ROUND(L387*(1+N(M387)),2))</f>
        <v/>
      </c>
      <c r="T387" s="55">
        <f>IF(B387="","",SUMIFS('REVENUE'!$C$5:$C$1504,'REVENUE'!$B$5:$B$1504,A387))</f>
        <v/>
      </c>
      <c r="U387" s="55">
        <f>IF(B387="","",IF(O387="Completed",MAX(0,N(S387)-T387),""))</f>
        <v/>
      </c>
      <c r="V387" s="49">
        <f>IF(B387="","",IF(O387&lt;&gt;"Completed",IF(T387&gt;0,"Deposit","—"),IF(U387&lt;=0.005,"Paid",IF(T387&gt;0,"Partial","Unpaid"))))</f>
        <v/>
      </c>
      <c r="W387" s="55">
        <f>IF(B387="","",IFERROR(1/(1/INDEX('STAFF &amp; TASKS'!$C$5:$C$24,MATCH(H387,'STAFF &amp; TASKS'!$A$5:$A$24,0))),PayRate))</f>
        <v/>
      </c>
      <c r="X387" s="55">
        <f>IF(B387="","",IF(OR(O387="Cancelled",O387="No-Show"),"",ROUND(R387*W387*(1+Burden),2)))</f>
        <v/>
      </c>
      <c r="Y387" s="55">
        <f>IF(B387="","",IF(OR(O387="Cancelled",O387="No-Show"),"",IF(N387&lt;&gt;"",N387,ROUND(R387*SupHr*IFERROR(INDEX('PRICING'!$G$7:$G$16,MATCH(F387,'PRICING'!$A$7:$A$16,0)),1),2))))</f>
        <v/>
      </c>
      <c r="Z387" s="98">
        <f>IF(B387="","",SUMIFS('MILEAGE'!$J$5:$J$1504,'MILEAGE'!$B$5:$B$1504,A387))</f>
        <v/>
      </c>
      <c r="AA387" s="55">
        <f>IF(B387="","",ROUND(Z387*MileRate,2))</f>
        <v/>
      </c>
      <c r="AB387" s="55">
        <f>IF(B387="","",SUMIFS('REVENUE'!$J$5:$J$1504,'REVENUE'!$B$5:$B$1504,A387))</f>
        <v/>
      </c>
      <c r="AC387" s="55">
        <f>IF(L387="","",IF(OR(O387="Cancelled",O387="No-Show"),"",L387-N(X387)-N(Y387)-AA387-AB387))</f>
        <v/>
      </c>
      <c r="AD387" s="99">
        <f>IF(OR(AC387="",N(L387)=0),"",AC387/L387)</f>
        <v/>
      </c>
      <c r="AE387" s="55">
        <f>IF(OR(AC387="",N(R387)=0),"",L387/R387)</f>
        <v/>
      </c>
      <c r="AF387" s="100">
        <f>IF(OR(N(K387)=0,N(J387)+N(Q387)=0),"",K387-IF(N(J387)&gt;0,J387,Q387))</f>
        <v/>
      </c>
      <c r="AG387" s="99">
        <f>IF(B387="","",IFERROR(AVERAGEIFS('QUALITY CONTROL'!$M$5:$M$304,'QUALITY CONTROL'!$B$5:$B$304,A387),""))</f>
        <v/>
      </c>
      <c r="AH387" s="51">
        <f>IF(B387="","",DATE(YEAR(B387),MONTH(B387),1))</f>
        <v/>
      </c>
      <c r="AI387" s="49">
        <f>IF(D387="","",IFERROR(INDEX('CUSTOMERS'!$E$5:$E$404,MATCH(D387,'CUSTOMERS'!$B$5:$B$404,0)),""))</f>
        <v/>
      </c>
      <c r="AJ387" s="49">
        <f>IF(B387="","",N(C387))</f>
        <v/>
      </c>
      <c r="AK387" s="49">
        <f>IF(OR(B387="",O387="Cancelled",O387="Rescheduled"),"",B387&amp;"|"&amp;(COUNTIFS('JOBS'!$B$5:$B$1504,B387,'JOBS'!$AJ$5:$AJ$1504,"&lt;"&amp;AJ387,'JOBS'!$O$5:$O$1504,"&lt;&gt;Cancelled",'JOBS'!$O$5:$O$1504,"&lt;&gt;Rescheduled")+COUNTIFS($B$5:B387,B387,$AJ$5:AJ387,AJ387,$O$5:O387,"&lt;&gt;Cancelled",$O$5:O387,"&lt;&gt;Rescheduled")))</f>
        <v/>
      </c>
      <c r="AL387" s="49">
        <f>IF(N(U387)&lt;=0.005,"",COUNTIFS('JOBS'!$U$5:$U$1504,"&gt;0.005",'JOBS'!$B$5:$B$1504,"&lt;"&amp;B387)+COUNTIFS($U$5:U387,"&gt;0.005",$B$5:B387,B387))</f>
        <v/>
      </c>
    </row>
    <row r="388">
      <c r="A388" s="46" t="inlineStr">
        <is>
          <t>J-0384</t>
        </is>
      </c>
      <c r="B388" s="47" t="n"/>
      <c r="C388" s="94" t="n"/>
      <c r="D388" s="38" t="n"/>
      <c r="E388" s="38" t="n"/>
      <c r="F388" s="38" t="n"/>
      <c r="G388" s="38" t="n"/>
      <c r="H388" s="38" t="n"/>
      <c r="I388" s="57" t="n"/>
      <c r="J388" s="95" t="n"/>
      <c r="K388" s="95" t="n"/>
      <c r="L388" s="48" t="n"/>
      <c r="M388" s="96" t="n"/>
      <c r="N388" s="48" t="n"/>
      <c r="O388" s="38" t="n"/>
      <c r="P388" s="38" t="n"/>
      <c r="Q388" s="97">
        <f>IF(OR(F388="",E388=""),"",IFERROR(IF(INDEX('PROPERTIES'!$F$5:$F$404,MATCH(E388,'PROPERTIES'!$B$5:$B$404,0))=0,"",ROUND((INDEX('PROPERTIES'!$F$5:$F$404,MATCH(E388,'PROPERTIES'!$B$5:$B$404,0))/INDEX('PRICING'!$C$7:$C$16,MATCH(F388,'PRICING'!$A$7:$A$16,0))+INDEX('PROPERTIES'!$G$5:$G$404,MATCH(E388,'PROPERTIES'!$B$5:$B$404,0))*INDEX('PRICING'!$D$7:$D$16,MATCH(F388,'PRICING'!$A$7:$A$16,0))/60+INDEX('PROPERTIES'!$H$5:$H$404,MATCH(E388,'PROPERTIES'!$B$5:$B$404,0))*INDEX('PRICING'!$E$7:$E$16,MATCH(F388,'PRICING'!$A$7:$A$16,0))/60+INDEX('PRICING'!$F$7:$F$16,MATCH(F388,'PRICING'!$A$7:$A$16,0))/60),2)),""))</f>
        <v/>
      </c>
      <c r="R388" s="97">
        <f>IF(B388="","",IF(N(K388)&gt;0,K388,IF(N(J388)&gt;0,J388,N(Q388))))</f>
        <v/>
      </c>
      <c r="S388" s="55">
        <f>IF(L388="","",ROUND(L388*(1+N(M388)),2))</f>
        <v/>
      </c>
      <c r="T388" s="55">
        <f>IF(B388="","",SUMIFS('REVENUE'!$C$5:$C$1504,'REVENUE'!$B$5:$B$1504,A388))</f>
        <v/>
      </c>
      <c r="U388" s="55">
        <f>IF(B388="","",IF(O388="Completed",MAX(0,N(S388)-T388),""))</f>
        <v/>
      </c>
      <c r="V388" s="49">
        <f>IF(B388="","",IF(O388&lt;&gt;"Completed",IF(T388&gt;0,"Deposit","—"),IF(U388&lt;=0.005,"Paid",IF(T388&gt;0,"Partial","Unpaid"))))</f>
        <v/>
      </c>
      <c r="W388" s="55">
        <f>IF(B388="","",IFERROR(1/(1/INDEX('STAFF &amp; TASKS'!$C$5:$C$24,MATCH(H388,'STAFF &amp; TASKS'!$A$5:$A$24,0))),PayRate))</f>
        <v/>
      </c>
      <c r="X388" s="55">
        <f>IF(B388="","",IF(OR(O388="Cancelled",O388="No-Show"),"",ROUND(R388*W388*(1+Burden),2)))</f>
        <v/>
      </c>
      <c r="Y388" s="55">
        <f>IF(B388="","",IF(OR(O388="Cancelled",O388="No-Show"),"",IF(N388&lt;&gt;"",N388,ROUND(R388*SupHr*IFERROR(INDEX('PRICING'!$G$7:$G$16,MATCH(F388,'PRICING'!$A$7:$A$16,0)),1),2))))</f>
        <v/>
      </c>
      <c r="Z388" s="98">
        <f>IF(B388="","",SUMIFS('MILEAGE'!$J$5:$J$1504,'MILEAGE'!$B$5:$B$1504,A388))</f>
        <v/>
      </c>
      <c r="AA388" s="55">
        <f>IF(B388="","",ROUND(Z388*MileRate,2))</f>
        <v/>
      </c>
      <c r="AB388" s="55">
        <f>IF(B388="","",SUMIFS('REVENUE'!$J$5:$J$1504,'REVENUE'!$B$5:$B$1504,A388))</f>
        <v/>
      </c>
      <c r="AC388" s="55">
        <f>IF(L388="","",IF(OR(O388="Cancelled",O388="No-Show"),"",L388-N(X388)-N(Y388)-AA388-AB388))</f>
        <v/>
      </c>
      <c r="AD388" s="99">
        <f>IF(OR(AC388="",N(L388)=0),"",AC388/L388)</f>
        <v/>
      </c>
      <c r="AE388" s="55">
        <f>IF(OR(AC388="",N(R388)=0),"",L388/R388)</f>
        <v/>
      </c>
      <c r="AF388" s="100">
        <f>IF(OR(N(K388)=0,N(J388)+N(Q388)=0),"",K388-IF(N(J388)&gt;0,J388,Q388))</f>
        <v/>
      </c>
      <c r="AG388" s="99">
        <f>IF(B388="","",IFERROR(AVERAGEIFS('QUALITY CONTROL'!$M$5:$M$304,'QUALITY CONTROL'!$B$5:$B$304,A388),""))</f>
        <v/>
      </c>
      <c r="AH388" s="51">
        <f>IF(B388="","",DATE(YEAR(B388),MONTH(B388),1))</f>
        <v/>
      </c>
      <c r="AI388" s="49">
        <f>IF(D388="","",IFERROR(INDEX('CUSTOMERS'!$E$5:$E$404,MATCH(D388,'CUSTOMERS'!$B$5:$B$404,0)),""))</f>
        <v/>
      </c>
      <c r="AJ388" s="49">
        <f>IF(B388="","",N(C388))</f>
        <v/>
      </c>
      <c r="AK388" s="49">
        <f>IF(OR(B388="",O388="Cancelled",O388="Rescheduled"),"",B388&amp;"|"&amp;(COUNTIFS('JOBS'!$B$5:$B$1504,B388,'JOBS'!$AJ$5:$AJ$1504,"&lt;"&amp;AJ388,'JOBS'!$O$5:$O$1504,"&lt;&gt;Cancelled",'JOBS'!$O$5:$O$1504,"&lt;&gt;Rescheduled")+COUNTIFS($B$5:B388,B388,$AJ$5:AJ388,AJ388,$O$5:O388,"&lt;&gt;Cancelled",$O$5:O388,"&lt;&gt;Rescheduled")))</f>
        <v/>
      </c>
      <c r="AL388" s="49">
        <f>IF(N(U388)&lt;=0.005,"",COUNTIFS('JOBS'!$U$5:$U$1504,"&gt;0.005",'JOBS'!$B$5:$B$1504,"&lt;"&amp;B388)+COUNTIFS($U$5:U388,"&gt;0.005",$B$5:B388,B388))</f>
        <v/>
      </c>
    </row>
    <row r="389">
      <c r="A389" s="46" t="inlineStr">
        <is>
          <t>J-0385</t>
        </is>
      </c>
      <c r="B389" s="47" t="n"/>
      <c r="C389" s="94" t="n"/>
      <c r="D389" s="38" t="n"/>
      <c r="E389" s="38" t="n"/>
      <c r="F389" s="38" t="n"/>
      <c r="G389" s="38" t="n"/>
      <c r="H389" s="38" t="n"/>
      <c r="I389" s="57" t="n"/>
      <c r="J389" s="95" t="n"/>
      <c r="K389" s="95" t="n"/>
      <c r="L389" s="48" t="n"/>
      <c r="M389" s="96" t="n"/>
      <c r="N389" s="48" t="n"/>
      <c r="O389" s="38" t="n"/>
      <c r="P389" s="38" t="n"/>
      <c r="Q389" s="97">
        <f>IF(OR(F389="",E389=""),"",IFERROR(IF(INDEX('PROPERTIES'!$F$5:$F$404,MATCH(E389,'PROPERTIES'!$B$5:$B$404,0))=0,"",ROUND((INDEX('PROPERTIES'!$F$5:$F$404,MATCH(E389,'PROPERTIES'!$B$5:$B$404,0))/INDEX('PRICING'!$C$7:$C$16,MATCH(F389,'PRICING'!$A$7:$A$16,0))+INDEX('PROPERTIES'!$G$5:$G$404,MATCH(E389,'PROPERTIES'!$B$5:$B$404,0))*INDEX('PRICING'!$D$7:$D$16,MATCH(F389,'PRICING'!$A$7:$A$16,0))/60+INDEX('PROPERTIES'!$H$5:$H$404,MATCH(E389,'PROPERTIES'!$B$5:$B$404,0))*INDEX('PRICING'!$E$7:$E$16,MATCH(F389,'PRICING'!$A$7:$A$16,0))/60+INDEX('PRICING'!$F$7:$F$16,MATCH(F389,'PRICING'!$A$7:$A$16,0))/60),2)),""))</f>
        <v/>
      </c>
      <c r="R389" s="97">
        <f>IF(B389="","",IF(N(K389)&gt;0,K389,IF(N(J389)&gt;0,J389,N(Q389))))</f>
        <v/>
      </c>
      <c r="S389" s="55">
        <f>IF(L389="","",ROUND(L389*(1+N(M389)),2))</f>
        <v/>
      </c>
      <c r="T389" s="55">
        <f>IF(B389="","",SUMIFS('REVENUE'!$C$5:$C$1504,'REVENUE'!$B$5:$B$1504,A389))</f>
        <v/>
      </c>
      <c r="U389" s="55">
        <f>IF(B389="","",IF(O389="Completed",MAX(0,N(S389)-T389),""))</f>
        <v/>
      </c>
      <c r="V389" s="49">
        <f>IF(B389="","",IF(O389&lt;&gt;"Completed",IF(T389&gt;0,"Deposit","—"),IF(U389&lt;=0.005,"Paid",IF(T389&gt;0,"Partial","Unpaid"))))</f>
        <v/>
      </c>
      <c r="W389" s="55">
        <f>IF(B389="","",IFERROR(1/(1/INDEX('STAFF &amp; TASKS'!$C$5:$C$24,MATCH(H389,'STAFF &amp; TASKS'!$A$5:$A$24,0))),PayRate))</f>
        <v/>
      </c>
      <c r="X389" s="55">
        <f>IF(B389="","",IF(OR(O389="Cancelled",O389="No-Show"),"",ROUND(R389*W389*(1+Burden),2)))</f>
        <v/>
      </c>
      <c r="Y389" s="55">
        <f>IF(B389="","",IF(OR(O389="Cancelled",O389="No-Show"),"",IF(N389&lt;&gt;"",N389,ROUND(R389*SupHr*IFERROR(INDEX('PRICING'!$G$7:$G$16,MATCH(F389,'PRICING'!$A$7:$A$16,0)),1),2))))</f>
        <v/>
      </c>
      <c r="Z389" s="98">
        <f>IF(B389="","",SUMIFS('MILEAGE'!$J$5:$J$1504,'MILEAGE'!$B$5:$B$1504,A389))</f>
        <v/>
      </c>
      <c r="AA389" s="55">
        <f>IF(B389="","",ROUND(Z389*MileRate,2))</f>
        <v/>
      </c>
      <c r="AB389" s="55">
        <f>IF(B389="","",SUMIFS('REVENUE'!$J$5:$J$1504,'REVENUE'!$B$5:$B$1504,A389))</f>
        <v/>
      </c>
      <c r="AC389" s="55">
        <f>IF(L389="","",IF(OR(O389="Cancelled",O389="No-Show"),"",L389-N(X389)-N(Y389)-AA389-AB389))</f>
        <v/>
      </c>
      <c r="AD389" s="99">
        <f>IF(OR(AC389="",N(L389)=0),"",AC389/L389)</f>
        <v/>
      </c>
      <c r="AE389" s="55">
        <f>IF(OR(AC389="",N(R389)=0),"",L389/R389)</f>
        <v/>
      </c>
      <c r="AF389" s="100">
        <f>IF(OR(N(K389)=0,N(J389)+N(Q389)=0),"",K389-IF(N(J389)&gt;0,J389,Q389))</f>
        <v/>
      </c>
      <c r="AG389" s="99">
        <f>IF(B389="","",IFERROR(AVERAGEIFS('QUALITY CONTROL'!$M$5:$M$304,'QUALITY CONTROL'!$B$5:$B$304,A389),""))</f>
        <v/>
      </c>
      <c r="AH389" s="51">
        <f>IF(B389="","",DATE(YEAR(B389),MONTH(B389),1))</f>
        <v/>
      </c>
      <c r="AI389" s="49">
        <f>IF(D389="","",IFERROR(INDEX('CUSTOMERS'!$E$5:$E$404,MATCH(D389,'CUSTOMERS'!$B$5:$B$404,0)),""))</f>
        <v/>
      </c>
      <c r="AJ389" s="49">
        <f>IF(B389="","",N(C389))</f>
        <v/>
      </c>
      <c r="AK389" s="49">
        <f>IF(OR(B389="",O389="Cancelled",O389="Rescheduled"),"",B389&amp;"|"&amp;(COUNTIFS('JOBS'!$B$5:$B$1504,B389,'JOBS'!$AJ$5:$AJ$1504,"&lt;"&amp;AJ389,'JOBS'!$O$5:$O$1504,"&lt;&gt;Cancelled",'JOBS'!$O$5:$O$1504,"&lt;&gt;Rescheduled")+COUNTIFS($B$5:B389,B389,$AJ$5:AJ389,AJ389,$O$5:O389,"&lt;&gt;Cancelled",$O$5:O389,"&lt;&gt;Rescheduled")))</f>
        <v/>
      </c>
      <c r="AL389" s="49">
        <f>IF(N(U389)&lt;=0.005,"",COUNTIFS('JOBS'!$U$5:$U$1504,"&gt;0.005",'JOBS'!$B$5:$B$1504,"&lt;"&amp;B389)+COUNTIFS($U$5:U389,"&gt;0.005",$B$5:B389,B389))</f>
        <v/>
      </c>
    </row>
    <row r="390">
      <c r="A390" s="46" t="inlineStr">
        <is>
          <t>J-0386</t>
        </is>
      </c>
      <c r="B390" s="47" t="n"/>
      <c r="C390" s="94" t="n"/>
      <c r="D390" s="38" t="n"/>
      <c r="E390" s="38" t="n"/>
      <c r="F390" s="38" t="n"/>
      <c r="G390" s="38" t="n"/>
      <c r="H390" s="38" t="n"/>
      <c r="I390" s="57" t="n"/>
      <c r="J390" s="95" t="n"/>
      <c r="K390" s="95" t="n"/>
      <c r="L390" s="48" t="n"/>
      <c r="M390" s="96" t="n"/>
      <c r="N390" s="48" t="n"/>
      <c r="O390" s="38" t="n"/>
      <c r="P390" s="38" t="n"/>
      <c r="Q390" s="97">
        <f>IF(OR(F390="",E390=""),"",IFERROR(IF(INDEX('PROPERTIES'!$F$5:$F$404,MATCH(E390,'PROPERTIES'!$B$5:$B$404,0))=0,"",ROUND((INDEX('PROPERTIES'!$F$5:$F$404,MATCH(E390,'PROPERTIES'!$B$5:$B$404,0))/INDEX('PRICING'!$C$7:$C$16,MATCH(F390,'PRICING'!$A$7:$A$16,0))+INDEX('PROPERTIES'!$G$5:$G$404,MATCH(E390,'PROPERTIES'!$B$5:$B$404,0))*INDEX('PRICING'!$D$7:$D$16,MATCH(F390,'PRICING'!$A$7:$A$16,0))/60+INDEX('PROPERTIES'!$H$5:$H$404,MATCH(E390,'PROPERTIES'!$B$5:$B$404,0))*INDEX('PRICING'!$E$7:$E$16,MATCH(F390,'PRICING'!$A$7:$A$16,0))/60+INDEX('PRICING'!$F$7:$F$16,MATCH(F390,'PRICING'!$A$7:$A$16,0))/60),2)),""))</f>
        <v/>
      </c>
      <c r="R390" s="97">
        <f>IF(B390="","",IF(N(K390)&gt;0,K390,IF(N(J390)&gt;0,J390,N(Q390))))</f>
        <v/>
      </c>
      <c r="S390" s="55">
        <f>IF(L390="","",ROUND(L390*(1+N(M390)),2))</f>
        <v/>
      </c>
      <c r="T390" s="55">
        <f>IF(B390="","",SUMIFS('REVENUE'!$C$5:$C$1504,'REVENUE'!$B$5:$B$1504,A390))</f>
        <v/>
      </c>
      <c r="U390" s="55">
        <f>IF(B390="","",IF(O390="Completed",MAX(0,N(S390)-T390),""))</f>
        <v/>
      </c>
      <c r="V390" s="49">
        <f>IF(B390="","",IF(O390&lt;&gt;"Completed",IF(T390&gt;0,"Deposit","—"),IF(U390&lt;=0.005,"Paid",IF(T390&gt;0,"Partial","Unpaid"))))</f>
        <v/>
      </c>
      <c r="W390" s="55">
        <f>IF(B390="","",IFERROR(1/(1/INDEX('STAFF &amp; TASKS'!$C$5:$C$24,MATCH(H390,'STAFF &amp; TASKS'!$A$5:$A$24,0))),PayRate))</f>
        <v/>
      </c>
      <c r="X390" s="55">
        <f>IF(B390="","",IF(OR(O390="Cancelled",O390="No-Show"),"",ROUND(R390*W390*(1+Burden),2)))</f>
        <v/>
      </c>
      <c r="Y390" s="55">
        <f>IF(B390="","",IF(OR(O390="Cancelled",O390="No-Show"),"",IF(N390&lt;&gt;"",N390,ROUND(R390*SupHr*IFERROR(INDEX('PRICING'!$G$7:$G$16,MATCH(F390,'PRICING'!$A$7:$A$16,0)),1),2))))</f>
        <v/>
      </c>
      <c r="Z390" s="98">
        <f>IF(B390="","",SUMIFS('MILEAGE'!$J$5:$J$1504,'MILEAGE'!$B$5:$B$1504,A390))</f>
        <v/>
      </c>
      <c r="AA390" s="55">
        <f>IF(B390="","",ROUND(Z390*MileRate,2))</f>
        <v/>
      </c>
      <c r="AB390" s="55">
        <f>IF(B390="","",SUMIFS('REVENUE'!$J$5:$J$1504,'REVENUE'!$B$5:$B$1504,A390))</f>
        <v/>
      </c>
      <c r="AC390" s="55">
        <f>IF(L390="","",IF(OR(O390="Cancelled",O390="No-Show"),"",L390-N(X390)-N(Y390)-AA390-AB390))</f>
        <v/>
      </c>
      <c r="AD390" s="99">
        <f>IF(OR(AC390="",N(L390)=0),"",AC390/L390)</f>
        <v/>
      </c>
      <c r="AE390" s="55">
        <f>IF(OR(AC390="",N(R390)=0),"",L390/R390)</f>
        <v/>
      </c>
      <c r="AF390" s="100">
        <f>IF(OR(N(K390)=0,N(J390)+N(Q390)=0),"",K390-IF(N(J390)&gt;0,J390,Q390))</f>
        <v/>
      </c>
      <c r="AG390" s="99">
        <f>IF(B390="","",IFERROR(AVERAGEIFS('QUALITY CONTROL'!$M$5:$M$304,'QUALITY CONTROL'!$B$5:$B$304,A390),""))</f>
        <v/>
      </c>
      <c r="AH390" s="51">
        <f>IF(B390="","",DATE(YEAR(B390),MONTH(B390),1))</f>
        <v/>
      </c>
      <c r="AI390" s="49">
        <f>IF(D390="","",IFERROR(INDEX('CUSTOMERS'!$E$5:$E$404,MATCH(D390,'CUSTOMERS'!$B$5:$B$404,0)),""))</f>
        <v/>
      </c>
      <c r="AJ390" s="49">
        <f>IF(B390="","",N(C390))</f>
        <v/>
      </c>
      <c r="AK390" s="49">
        <f>IF(OR(B390="",O390="Cancelled",O390="Rescheduled"),"",B390&amp;"|"&amp;(COUNTIFS('JOBS'!$B$5:$B$1504,B390,'JOBS'!$AJ$5:$AJ$1504,"&lt;"&amp;AJ390,'JOBS'!$O$5:$O$1504,"&lt;&gt;Cancelled",'JOBS'!$O$5:$O$1504,"&lt;&gt;Rescheduled")+COUNTIFS($B$5:B390,B390,$AJ$5:AJ390,AJ390,$O$5:O390,"&lt;&gt;Cancelled",$O$5:O390,"&lt;&gt;Rescheduled")))</f>
        <v/>
      </c>
      <c r="AL390" s="49">
        <f>IF(N(U390)&lt;=0.005,"",COUNTIFS('JOBS'!$U$5:$U$1504,"&gt;0.005",'JOBS'!$B$5:$B$1504,"&lt;"&amp;B390)+COUNTIFS($U$5:U390,"&gt;0.005",$B$5:B390,B390))</f>
        <v/>
      </c>
    </row>
    <row r="391">
      <c r="A391" s="46" t="inlineStr">
        <is>
          <t>J-0387</t>
        </is>
      </c>
      <c r="B391" s="47" t="n"/>
      <c r="C391" s="94" t="n"/>
      <c r="D391" s="38" t="n"/>
      <c r="E391" s="38" t="n"/>
      <c r="F391" s="38" t="n"/>
      <c r="G391" s="38" t="n"/>
      <c r="H391" s="38" t="n"/>
      <c r="I391" s="57" t="n"/>
      <c r="J391" s="95" t="n"/>
      <c r="K391" s="95" t="n"/>
      <c r="L391" s="48" t="n"/>
      <c r="M391" s="96" t="n"/>
      <c r="N391" s="48" t="n"/>
      <c r="O391" s="38" t="n"/>
      <c r="P391" s="38" t="n"/>
      <c r="Q391" s="97">
        <f>IF(OR(F391="",E391=""),"",IFERROR(IF(INDEX('PROPERTIES'!$F$5:$F$404,MATCH(E391,'PROPERTIES'!$B$5:$B$404,0))=0,"",ROUND((INDEX('PROPERTIES'!$F$5:$F$404,MATCH(E391,'PROPERTIES'!$B$5:$B$404,0))/INDEX('PRICING'!$C$7:$C$16,MATCH(F391,'PRICING'!$A$7:$A$16,0))+INDEX('PROPERTIES'!$G$5:$G$404,MATCH(E391,'PROPERTIES'!$B$5:$B$404,0))*INDEX('PRICING'!$D$7:$D$16,MATCH(F391,'PRICING'!$A$7:$A$16,0))/60+INDEX('PROPERTIES'!$H$5:$H$404,MATCH(E391,'PROPERTIES'!$B$5:$B$404,0))*INDEX('PRICING'!$E$7:$E$16,MATCH(F391,'PRICING'!$A$7:$A$16,0))/60+INDEX('PRICING'!$F$7:$F$16,MATCH(F391,'PRICING'!$A$7:$A$16,0))/60),2)),""))</f>
        <v/>
      </c>
      <c r="R391" s="97">
        <f>IF(B391="","",IF(N(K391)&gt;0,K391,IF(N(J391)&gt;0,J391,N(Q391))))</f>
        <v/>
      </c>
      <c r="S391" s="55">
        <f>IF(L391="","",ROUND(L391*(1+N(M391)),2))</f>
        <v/>
      </c>
      <c r="T391" s="55">
        <f>IF(B391="","",SUMIFS('REVENUE'!$C$5:$C$1504,'REVENUE'!$B$5:$B$1504,A391))</f>
        <v/>
      </c>
      <c r="U391" s="55">
        <f>IF(B391="","",IF(O391="Completed",MAX(0,N(S391)-T391),""))</f>
        <v/>
      </c>
      <c r="V391" s="49">
        <f>IF(B391="","",IF(O391&lt;&gt;"Completed",IF(T391&gt;0,"Deposit","—"),IF(U391&lt;=0.005,"Paid",IF(T391&gt;0,"Partial","Unpaid"))))</f>
        <v/>
      </c>
      <c r="W391" s="55">
        <f>IF(B391="","",IFERROR(1/(1/INDEX('STAFF &amp; TASKS'!$C$5:$C$24,MATCH(H391,'STAFF &amp; TASKS'!$A$5:$A$24,0))),PayRate))</f>
        <v/>
      </c>
      <c r="X391" s="55">
        <f>IF(B391="","",IF(OR(O391="Cancelled",O391="No-Show"),"",ROUND(R391*W391*(1+Burden),2)))</f>
        <v/>
      </c>
      <c r="Y391" s="55">
        <f>IF(B391="","",IF(OR(O391="Cancelled",O391="No-Show"),"",IF(N391&lt;&gt;"",N391,ROUND(R391*SupHr*IFERROR(INDEX('PRICING'!$G$7:$G$16,MATCH(F391,'PRICING'!$A$7:$A$16,0)),1),2))))</f>
        <v/>
      </c>
      <c r="Z391" s="98">
        <f>IF(B391="","",SUMIFS('MILEAGE'!$J$5:$J$1504,'MILEAGE'!$B$5:$B$1504,A391))</f>
        <v/>
      </c>
      <c r="AA391" s="55">
        <f>IF(B391="","",ROUND(Z391*MileRate,2))</f>
        <v/>
      </c>
      <c r="AB391" s="55">
        <f>IF(B391="","",SUMIFS('REVENUE'!$J$5:$J$1504,'REVENUE'!$B$5:$B$1504,A391))</f>
        <v/>
      </c>
      <c r="AC391" s="55">
        <f>IF(L391="","",IF(OR(O391="Cancelled",O391="No-Show"),"",L391-N(X391)-N(Y391)-AA391-AB391))</f>
        <v/>
      </c>
      <c r="AD391" s="99">
        <f>IF(OR(AC391="",N(L391)=0),"",AC391/L391)</f>
        <v/>
      </c>
      <c r="AE391" s="55">
        <f>IF(OR(AC391="",N(R391)=0),"",L391/R391)</f>
        <v/>
      </c>
      <c r="AF391" s="100">
        <f>IF(OR(N(K391)=0,N(J391)+N(Q391)=0),"",K391-IF(N(J391)&gt;0,J391,Q391))</f>
        <v/>
      </c>
      <c r="AG391" s="99">
        <f>IF(B391="","",IFERROR(AVERAGEIFS('QUALITY CONTROL'!$M$5:$M$304,'QUALITY CONTROL'!$B$5:$B$304,A391),""))</f>
        <v/>
      </c>
      <c r="AH391" s="51">
        <f>IF(B391="","",DATE(YEAR(B391),MONTH(B391),1))</f>
        <v/>
      </c>
      <c r="AI391" s="49">
        <f>IF(D391="","",IFERROR(INDEX('CUSTOMERS'!$E$5:$E$404,MATCH(D391,'CUSTOMERS'!$B$5:$B$404,0)),""))</f>
        <v/>
      </c>
      <c r="AJ391" s="49">
        <f>IF(B391="","",N(C391))</f>
        <v/>
      </c>
      <c r="AK391" s="49">
        <f>IF(OR(B391="",O391="Cancelled",O391="Rescheduled"),"",B391&amp;"|"&amp;(COUNTIFS('JOBS'!$B$5:$B$1504,B391,'JOBS'!$AJ$5:$AJ$1504,"&lt;"&amp;AJ391,'JOBS'!$O$5:$O$1504,"&lt;&gt;Cancelled",'JOBS'!$O$5:$O$1504,"&lt;&gt;Rescheduled")+COUNTIFS($B$5:B391,B391,$AJ$5:AJ391,AJ391,$O$5:O391,"&lt;&gt;Cancelled",$O$5:O391,"&lt;&gt;Rescheduled")))</f>
        <v/>
      </c>
      <c r="AL391" s="49">
        <f>IF(N(U391)&lt;=0.005,"",COUNTIFS('JOBS'!$U$5:$U$1504,"&gt;0.005",'JOBS'!$B$5:$B$1504,"&lt;"&amp;B391)+COUNTIFS($U$5:U391,"&gt;0.005",$B$5:B391,B391))</f>
        <v/>
      </c>
    </row>
    <row r="392">
      <c r="A392" s="46" t="inlineStr">
        <is>
          <t>J-0388</t>
        </is>
      </c>
      <c r="B392" s="47" t="n"/>
      <c r="C392" s="94" t="n"/>
      <c r="D392" s="38" t="n"/>
      <c r="E392" s="38" t="n"/>
      <c r="F392" s="38" t="n"/>
      <c r="G392" s="38" t="n"/>
      <c r="H392" s="38" t="n"/>
      <c r="I392" s="57" t="n"/>
      <c r="J392" s="95" t="n"/>
      <c r="K392" s="95" t="n"/>
      <c r="L392" s="48" t="n"/>
      <c r="M392" s="96" t="n"/>
      <c r="N392" s="48" t="n"/>
      <c r="O392" s="38" t="n"/>
      <c r="P392" s="38" t="n"/>
      <c r="Q392" s="97">
        <f>IF(OR(F392="",E392=""),"",IFERROR(IF(INDEX('PROPERTIES'!$F$5:$F$404,MATCH(E392,'PROPERTIES'!$B$5:$B$404,0))=0,"",ROUND((INDEX('PROPERTIES'!$F$5:$F$404,MATCH(E392,'PROPERTIES'!$B$5:$B$404,0))/INDEX('PRICING'!$C$7:$C$16,MATCH(F392,'PRICING'!$A$7:$A$16,0))+INDEX('PROPERTIES'!$G$5:$G$404,MATCH(E392,'PROPERTIES'!$B$5:$B$404,0))*INDEX('PRICING'!$D$7:$D$16,MATCH(F392,'PRICING'!$A$7:$A$16,0))/60+INDEX('PROPERTIES'!$H$5:$H$404,MATCH(E392,'PROPERTIES'!$B$5:$B$404,0))*INDEX('PRICING'!$E$7:$E$16,MATCH(F392,'PRICING'!$A$7:$A$16,0))/60+INDEX('PRICING'!$F$7:$F$16,MATCH(F392,'PRICING'!$A$7:$A$16,0))/60),2)),""))</f>
        <v/>
      </c>
      <c r="R392" s="97">
        <f>IF(B392="","",IF(N(K392)&gt;0,K392,IF(N(J392)&gt;0,J392,N(Q392))))</f>
        <v/>
      </c>
      <c r="S392" s="55">
        <f>IF(L392="","",ROUND(L392*(1+N(M392)),2))</f>
        <v/>
      </c>
      <c r="T392" s="55">
        <f>IF(B392="","",SUMIFS('REVENUE'!$C$5:$C$1504,'REVENUE'!$B$5:$B$1504,A392))</f>
        <v/>
      </c>
      <c r="U392" s="55">
        <f>IF(B392="","",IF(O392="Completed",MAX(0,N(S392)-T392),""))</f>
        <v/>
      </c>
      <c r="V392" s="49">
        <f>IF(B392="","",IF(O392&lt;&gt;"Completed",IF(T392&gt;0,"Deposit","—"),IF(U392&lt;=0.005,"Paid",IF(T392&gt;0,"Partial","Unpaid"))))</f>
        <v/>
      </c>
      <c r="W392" s="55">
        <f>IF(B392="","",IFERROR(1/(1/INDEX('STAFF &amp; TASKS'!$C$5:$C$24,MATCH(H392,'STAFF &amp; TASKS'!$A$5:$A$24,0))),PayRate))</f>
        <v/>
      </c>
      <c r="X392" s="55">
        <f>IF(B392="","",IF(OR(O392="Cancelled",O392="No-Show"),"",ROUND(R392*W392*(1+Burden),2)))</f>
        <v/>
      </c>
      <c r="Y392" s="55">
        <f>IF(B392="","",IF(OR(O392="Cancelled",O392="No-Show"),"",IF(N392&lt;&gt;"",N392,ROUND(R392*SupHr*IFERROR(INDEX('PRICING'!$G$7:$G$16,MATCH(F392,'PRICING'!$A$7:$A$16,0)),1),2))))</f>
        <v/>
      </c>
      <c r="Z392" s="98">
        <f>IF(B392="","",SUMIFS('MILEAGE'!$J$5:$J$1504,'MILEAGE'!$B$5:$B$1504,A392))</f>
        <v/>
      </c>
      <c r="AA392" s="55">
        <f>IF(B392="","",ROUND(Z392*MileRate,2))</f>
        <v/>
      </c>
      <c r="AB392" s="55">
        <f>IF(B392="","",SUMIFS('REVENUE'!$J$5:$J$1504,'REVENUE'!$B$5:$B$1504,A392))</f>
        <v/>
      </c>
      <c r="AC392" s="55">
        <f>IF(L392="","",IF(OR(O392="Cancelled",O392="No-Show"),"",L392-N(X392)-N(Y392)-AA392-AB392))</f>
        <v/>
      </c>
      <c r="AD392" s="99">
        <f>IF(OR(AC392="",N(L392)=0),"",AC392/L392)</f>
        <v/>
      </c>
      <c r="AE392" s="55">
        <f>IF(OR(AC392="",N(R392)=0),"",L392/R392)</f>
        <v/>
      </c>
      <c r="AF392" s="100">
        <f>IF(OR(N(K392)=0,N(J392)+N(Q392)=0),"",K392-IF(N(J392)&gt;0,J392,Q392))</f>
        <v/>
      </c>
      <c r="AG392" s="99">
        <f>IF(B392="","",IFERROR(AVERAGEIFS('QUALITY CONTROL'!$M$5:$M$304,'QUALITY CONTROL'!$B$5:$B$304,A392),""))</f>
        <v/>
      </c>
      <c r="AH392" s="51">
        <f>IF(B392="","",DATE(YEAR(B392),MONTH(B392),1))</f>
        <v/>
      </c>
      <c r="AI392" s="49">
        <f>IF(D392="","",IFERROR(INDEX('CUSTOMERS'!$E$5:$E$404,MATCH(D392,'CUSTOMERS'!$B$5:$B$404,0)),""))</f>
        <v/>
      </c>
      <c r="AJ392" s="49">
        <f>IF(B392="","",N(C392))</f>
        <v/>
      </c>
      <c r="AK392" s="49">
        <f>IF(OR(B392="",O392="Cancelled",O392="Rescheduled"),"",B392&amp;"|"&amp;(COUNTIFS('JOBS'!$B$5:$B$1504,B392,'JOBS'!$AJ$5:$AJ$1504,"&lt;"&amp;AJ392,'JOBS'!$O$5:$O$1504,"&lt;&gt;Cancelled",'JOBS'!$O$5:$O$1504,"&lt;&gt;Rescheduled")+COUNTIFS($B$5:B392,B392,$AJ$5:AJ392,AJ392,$O$5:O392,"&lt;&gt;Cancelled",$O$5:O392,"&lt;&gt;Rescheduled")))</f>
        <v/>
      </c>
      <c r="AL392" s="49">
        <f>IF(N(U392)&lt;=0.005,"",COUNTIFS('JOBS'!$U$5:$U$1504,"&gt;0.005",'JOBS'!$B$5:$B$1504,"&lt;"&amp;B392)+COUNTIFS($U$5:U392,"&gt;0.005",$B$5:B392,B392))</f>
        <v/>
      </c>
    </row>
    <row r="393">
      <c r="A393" s="46" t="inlineStr">
        <is>
          <t>J-0389</t>
        </is>
      </c>
      <c r="B393" s="47" t="n"/>
      <c r="C393" s="94" t="n"/>
      <c r="D393" s="38" t="n"/>
      <c r="E393" s="38" t="n"/>
      <c r="F393" s="38" t="n"/>
      <c r="G393" s="38" t="n"/>
      <c r="H393" s="38" t="n"/>
      <c r="I393" s="57" t="n"/>
      <c r="J393" s="95" t="n"/>
      <c r="K393" s="95" t="n"/>
      <c r="L393" s="48" t="n"/>
      <c r="M393" s="96" t="n"/>
      <c r="N393" s="48" t="n"/>
      <c r="O393" s="38" t="n"/>
      <c r="P393" s="38" t="n"/>
      <c r="Q393" s="97">
        <f>IF(OR(F393="",E393=""),"",IFERROR(IF(INDEX('PROPERTIES'!$F$5:$F$404,MATCH(E393,'PROPERTIES'!$B$5:$B$404,0))=0,"",ROUND((INDEX('PROPERTIES'!$F$5:$F$404,MATCH(E393,'PROPERTIES'!$B$5:$B$404,0))/INDEX('PRICING'!$C$7:$C$16,MATCH(F393,'PRICING'!$A$7:$A$16,0))+INDEX('PROPERTIES'!$G$5:$G$404,MATCH(E393,'PROPERTIES'!$B$5:$B$404,0))*INDEX('PRICING'!$D$7:$D$16,MATCH(F393,'PRICING'!$A$7:$A$16,0))/60+INDEX('PROPERTIES'!$H$5:$H$404,MATCH(E393,'PROPERTIES'!$B$5:$B$404,0))*INDEX('PRICING'!$E$7:$E$16,MATCH(F393,'PRICING'!$A$7:$A$16,0))/60+INDEX('PRICING'!$F$7:$F$16,MATCH(F393,'PRICING'!$A$7:$A$16,0))/60),2)),""))</f>
        <v/>
      </c>
      <c r="R393" s="97">
        <f>IF(B393="","",IF(N(K393)&gt;0,K393,IF(N(J393)&gt;0,J393,N(Q393))))</f>
        <v/>
      </c>
      <c r="S393" s="55">
        <f>IF(L393="","",ROUND(L393*(1+N(M393)),2))</f>
        <v/>
      </c>
      <c r="T393" s="55">
        <f>IF(B393="","",SUMIFS('REVENUE'!$C$5:$C$1504,'REVENUE'!$B$5:$B$1504,A393))</f>
        <v/>
      </c>
      <c r="U393" s="55">
        <f>IF(B393="","",IF(O393="Completed",MAX(0,N(S393)-T393),""))</f>
        <v/>
      </c>
      <c r="V393" s="49">
        <f>IF(B393="","",IF(O393&lt;&gt;"Completed",IF(T393&gt;0,"Deposit","—"),IF(U393&lt;=0.005,"Paid",IF(T393&gt;0,"Partial","Unpaid"))))</f>
        <v/>
      </c>
      <c r="W393" s="55">
        <f>IF(B393="","",IFERROR(1/(1/INDEX('STAFF &amp; TASKS'!$C$5:$C$24,MATCH(H393,'STAFF &amp; TASKS'!$A$5:$A$24,0))),PayRate))</f>
        <v/>
      </c>
      <c r="X393" s="55">
        <f>IF(B393="","",IF(OR(O393="Cancelled",O393="No-Show"),"",ROUND(R393*W393*(1+Burden),2)))</f>
        <v/>
      </c>
      <c r="Y393" s="55">
        <f>IF(B393="","",IF(OR(O393="Cancelled",O393="No-Show"),"",IF(N393&lt;&gt;"",N393,ROUND(R393*SupHr*IFERROR(INDEX('PRICING'!$G$7:$G$16,MATCH(F393,'PRICING'!$A$7:$A$16,0)),1),2))))</f>
        <v/>
      </c>
      <c r="Z393" s="98">
        <f>IF(B393="","",SUMIFS('MILEAGE'!$J$5:$J$1504,'MILEAGE'!$B$5:$B$1504,A393))</f>
        <v/>
      </c>
      <c r="AA393" s="55">
        <f>IF(B393="","",ROUND(Z393*MileRate,2))</f>
        <v/>
      </c>
      <c r="AB393" s="55">
        <f>IF(B393="","",SUMIFS('REVENUE'!$J$5:$J$1504,'REVENUE'!$B$5:$B$1504,A393))</f>
        <v/>
      </c>
      <c r="AC393" s="55">
        <f>IF(L393="","",IF(OR(O393="Cancelled",O393="No-Show"),"",L393-N(X393)-N(Y393)-AA393-AB393))</f>
        <v/>
      </c>
      <c r="AD393" s="99">
        <f>IF(OR(AC393="",N(L393)=0),"",AC393/L393)</f>
        <v/>
      </c>
      <c r="AE393" s="55">
        <f>IF(OR(AC393="",N(R393)=0),"",L393/R393)</f>
        <v/>
      </c>
      <c r="AF393" s="100">
        <f>IF(OR(N(K393)=0,N(J393)+N(Q393)=0),"",K393-IF(N(J393)&gt;0,J393,Q393))</f>
        <v/>
      </c>
      <c r="AG393" s="99">
        <f>IF(B393="","",IFERROR(AVERAGEIFS('QUALITY CONTROL'!$M$5:$M$304,'QUALITY CONTROL'!$B$5:$B$304,A393),""))</f>
        <v/>
      </c>
      <c r="AH393" s="51">
        <f>IF(B393="","",DATE(YEAR(B393),MONTH(B393),1))</f>
        <v/>
      </c>
      <c r="AI393" s="49">
        <f>IF(D393="","",IFERROR(INDEX('CUSTOMERS'!$E$5:$E$404,MATCH(D393,'CUSTOMERS'!$B$5:$B$404,0)),""))</f>
        <v/>
      </c>
      <c r="AJ393" s="49">
        <f>IF(B393="","",N(C393))</f>
        <v/>
      </c>
      <c r="AK393" s="49">
        <f>IF(OR(B393="",O393="Cancelled",O393="Rescheduled"),"",B393&amp;"|"&amp;(COUNTIFS('JOBS'!$B$5:$B$1504,B393,'JOBS'!$AJ$5:$AJ$1504,"&lt;"&amp;AJ393,'JOBS'!$O$5:$O$1504,"&lt;&gt;Cancelled",'JOBS'!$O$5:$O$1504,"&lt;&gt;Rescheduled")+COUNTIFS($B$5:B393,B393,$AJ$5:AJ393,AJ393,$O$5:O393,"&lt;&gt;Cancelled",$O$5:O393,"&lt;&gt;Rescheduled")))</f>
        <v/>
      </c>
      <c r="AL393" s="49">
        <f>IF(N(U393)&lt;=0.005,"",COUNTIFS('JOBS'!$U$5:$U$1504,"&gt;0.005",'JOBS'!$B$5:$B$1504,"&lt;"&amp;B393)+COUNTIFS($U$5:U393,"&gt;0.005",$B$5:B393,B393))</f>
        <v/>
      </c>
    </row>
    <row r="394">
      <c r="A394" s="46" t="inlineStr">
        <is>
          <t>J-0390</t>
        </is>
      </c>
      <c r="B394" s="47" t="n"/>
      <c r="C394" s="94" t="n"/>
      <c r="D394" s="38" t="n"/>
      <c r="E394" s="38" t="n"/>
      <c r="F394" s="38" t="n"/>
      <c r="G394" s="38" t="n"/>
      <c r="H394" s="38" t="n"/>
      <c r="I394" s="57" t="n"/>
      <c r="J394" s="95" t="n"/>
      <c r="K394" s="95" t="n"/>
      <c r="L394" s="48" t="n"/>
      <c r="M394" s="96" t="n"/>
      <c r="N394" s="48" t="n"/>
      <c r="O394" s="38" t="n"/>
      <c r="P394" s="38" t="n"/>
      <c r="Q394" s="97">
        <f>IF(OR(F394="",E394=""),"",IFERROR(IF(INDEX('PROPERTIES'!$F$5:$F$404,MATCH(E394,'PROPERTIES'!$B$5:$B$404,0))=0,"",ROUND((INDEX('PROPERTIES'!$F$5:$F$404,MATCH(E394,'PROPERTIES'!$B$5:$B$404,0))/INDEX('PRICING'!$C$7:$C$16,MATCH(F394,'PRICING'!$A$7:$A$16,0))+INDEX('PROPERTIES'!$G$5:$G$404,MATCH(E394,'PROPERTIES'!$B$5:$B$404,0))*INDEX('PRICING'!$D$7:$D$16,MATCH(F394,'PRICING'!$A$7:$A$16,0))/60+INDEX('PROPERTIES'!$H$5:$H$404,MATCH(E394,'PROPERTIES'!$B$5:$B$404,0))*INDEX('PRICING'!$E$7:$E$16,MATCH(F394,'PRICING'!$A$7:$A$16,0))/60+INDEX('PRICING'!$F$7:$F$16,MATCH(F394,'PRICING'!$A$7:$A$16,0))/60),2)),""))</f>
        <v/>
      </c>
      <c r="R394" s="97">
        <f>IF(B394="","",IF(N(K394)&gt;0,K394,IF(N(J394)&gt;0,J394,N(Q394))))</f>
        <v/>
      </c>
      <c r="S394" s="55">
        <f>IF(L394="","",ROUND(L394*(1+N(M394)),2))</f>
        <v/>
      </c>
      <c r="T394" s="55">
        <f>IF(B394="","",SUMIFS('REVENUE'!$C$5:$C$1504,'REVENUE'!$B$5:$B$1504,A394))</f>
        <v/>
      </c>
      <c r="U394" s="55">
        <f>IF(B394="","",IF(O394="Completed",MAX(0,N(S394)-T394),""))</f>
        <v/>
      </c>
      <c r="V394" s="49">
        <f>IF(B394="","",IF(O394&lt;&gt;"Completed",IF(T394&gt;0,"Deposit","—"),IF(U394&lt;=0.005,"Paid",IF(T394&gt;0,"Partial","Unpaid"))))</f>
        <v/>
      </c>
      <c r="W394" s="55">
        <f>IF(B394="","",IFERROR(1/(1/INDEX('STAFF &amp; TASKS'!$C$5:$C$24,MATCH(H394,'STAFF &amp; TASKS'!$A$5:$A$24,0))),PayRate))</f>
        <v/>
      </c>
      <c r="X394" s="55">
        <f>IF(B394="","",IF(OR(O394="Cancelled",O394="No-Show"),"",ROUND(R394*W394*(1+Burden),2)))</f>
        <v/>
      </c>
      <c r="Y394" s="55">
        <f>IF(B394="","",IF(OR(O394="Cancelled",O394="No-Show"),"",IF(N394&lt;&gt;"",N394,ROUND(R394*SupHr*IFERROR(INDEX('PRICING'!$G$7:$G$16,MATCH(F394,'PRICING'!$A$7:$A$16,0)),1),2))))</f>
        <v/>
      </c>
      <c r="Z394" s="98">
        <f>IF(B394="","",SUMIFS('MILEAGE'!$J$5:$J$1504,'MILEAGE'!$B$5:$B$1504,A394))</f>
        <v/>
      </c>
      <c r="AA394" s="55">
        <f>IF(B394="","",ROUND(Z394*MileRate,2))</f>
        <v/>
      </c>
      <c r="AB394" s="55">
        <f>IF(B394="","",SUMIFS('REVENUE'!$J$5:$J$1504,'REVENUE'!$B$5:$B$1504,A394))</f>
        <v/>
      </c>
      <c r="AC394" s="55">
        <f>IF(L394="","",IF(OR(O394="Cancelled",O394="No-Show"),"",L394-N(X394)-N(Y394)-AA394-AB394))</f>
        <v/>
      </c>
      <c r="AD394" s="99">
        <f>IF(OR(AC394="",N(L394)=0),"",AC394/L394)</f>
        <v/>
      </c>
      <c r="AE394" s="55">
        <f>IF(OR(AC394="",N(R394)=0),"",L394/R394)</f>
        <v/>
      </c>
      <c r="AF394" s="100">
        <f>IF(OR(N(K394)=0,N(J394)+N(Q394)=0),"",K394-IF(N(J394)&gt;0,J394,Q394))</f>
        <v/>
      </c>
      <c r="AG394" s="99">
        <f>IF(B394="","",IFERROR(AVERAGEIFS('QUALITY CONTROL'!$M$5:$M$304,'QUALITY CONTROL'!$B$5:$B$304,A394),""))</f>
        <v/>
      </c>
      <c r="AH394" s="51">
        <f>IF(B394="","",DATE(YEAR(B394),MONTH(B394),1))</f>
        <v/>
      </c>
      <c r="AI394" s="49">
        <f>IF(D394="","",IFERROR(INDEX('CUSTOMERS'!$E$5:$E$404,MATCH(D394,'CUSTOMERS'!$B$5:$B$404,0)),""))</f>
        <v/>
      </c>
      <c r="AJ394" s="49">
        <f>IF(B394="","",N(C394))</f>
        <v/>
      </c>
      <c r="AK394" s="49">
        <f>IF(OR(B394="",O394="Cancelled",O394="Rescheduled"),"",B394&amp;"|"&amp;(COUNTIFS('JOBS'!$B$5:$B$1504,B394,'JOBS'!$AJ$5:$AJ$1504,"&lt;"&amp;AJ394,'JOBS'!$O$5:$O$1504,"&lt;&gt;Cancelled",'JOBS'!$O$5:$O$1504,"&lt;&gt;Rescheduled")+COUNTIFS($B$5:B394,B394,$AJ$5:AJ394,AJ394,$O$5:O394,"&lt;&gt;Cancelled",$O$5:O394,"&lt;&gt;Rescheduled")))</f>
        <v/>
      </c>
      <c r="AL394" s="49">
        <f>IF(N(U394)&lt;=0.005,"",COUNTIFS('JOBS'!$U$5:$U$1504,"&gt;0.005",'JOBS'!$B$5:$B$1504,"&lt;"&amp;B394)+COUNTIFS($U$5:U394,"&gt;0.005",$B$5:B394,B394))</f>
        <v/>
      </c>
    </row>
    <row r="395">
      <c r="A395" s="46" t="inlineStr">
        <is>
          <t>J-0391</t>
        </is>
      </c>
      <c r="B395" s="47" t="n"/>
      <c r="C395" s="94" t="n"/>
      <c r="D395" s="38" t="n"/>
      <c r="E395" s="38" t="n"/>
      <c r="F395" s="38" t="n"/>
      <c r="G395" s="38" t="n"/>
      <c r="H395" s="38" t="n"/>
      <c r="I395" s="57" t="n"/>
      <c r="J395" s="95" t="n"/>
      <c r="K395" s="95" t="n"/>
      <c r="L395" s="48" t="n"/>
      <c r="M395" s="96" t="n"/>
      <c r="N395" s="48" t="n"/>
      <c r="O395" s="38" t="n"/>
      <c r="P395" s="38" t="n"/>
      <c r="Q395" s="97">
        <f>IF(OR(F395="",E395=""),"",IFERROR(IF(INDEX('PROPERTIES'!$F$5:$F$404,MATCH(E395,'PROPERTIES'!$B$5:$B$404,0))=0,"",ROUND((INDEX('PROPERTIES'!$F$5:$F$404,MATCH(E395,'PROPERTIES'!$B$5:$B$404,0))/INDEX('PRICING'!$C$7:$C$16,MATCH(F395,'PRICING'!$A$7:$A$16,0))+INDEX('PROPERTIES'!$G$5:$G$404,MATCH(E395,'PROPERTIES'!$B$5:$B$404,0))*INDEX('PRICING'!$D$7:$D$16,MATCH(F395,'PRICING'!$A$7:$A$16,0))/60+INDEX('PROPERTIES'!$H$5:$H$404,MATCH(E395,'PROPERTIES'!$B$5:$B$404,0))*INDEX('PRICING'!$E$7:$E$16,MATCH(F395,'PRICING'!$A$7:$A$16,0))/60+INDEX('PRICING'!$F$7:$F$16,MATCH(F395,'PRICING'!$A$7:$A$16,0))/60),2)),""))</f>
        <v/>
      </c>
      <c r="R395" s="97">
        <f>IF(B395="","",IF(N(K395)&gt;0,K395,IF(N(J395)&gt;0,J395,N(Q395))))</f>
        <v/>
      </c>
      <c r="S395" s="55">
        <f>IF(L395="","",ROUND(L395*(1+N(M395)),2))</f>
        <v/>
      </c>
      <c r="T395" s="55">
        <f>IF(B395="","",SUMIFS('REVENUE'!$C$5:$C$1504,'REVENUE'!$B$5:$B$1504,A395))</f>
        <v/>
      </c>
      <c r="U395" s="55">
        <f>IF(B395="","",IF(O395="Completed",MAX(0,N(S395)-T395),""))</f>
        <v/>
      </c>
      <c r="V395" s="49">
        <f>IF(B395="","",IF(O395&lt;&gt;"Completed",IF(T395&gt;0,"Deposit","—"),IF(U395&lt;=0.005,"Paid",IF(T395&gt;0,"Partial","Unpaid"))))</f>
        <v/>
      </c>
      <c r="W395" s="55">
        <f>IF(B395="","",IFERROR(1/(1/INDEX('STAFF &amp; TASKS'!$C$5:$C$24,MATCH(H395,'STAFF &amp; TASKS'!$A$5:$A$24,0))),PayRate))</f>
        <v/>
      </c>
      <c r="X395" s="55">
        <f>IF(B395="","",IF(OR(O395="Cancelled",O395="No-Show"),"",ROUND(R395*W395*(1+Burden),2)))</f>
        <v/>
      </c>
      <c r="Y395" s="55">
        <f>IF(B395="","",IF(OR(O395="Cancelled",O395="No-Show"),"",IF(N395&lt;&gt;"",N395,ROUND(R395*SupHr*IFERROR(INDEX('PRICING'!$G$7:$G$16,MATCH(F395,'PRICING'!$A$7:$A$16,0)),1),2))))</f>
        <v/>
      </c>
      <c r="Z395" s="98">
        <f>IF(B395="","",SUMIFS('MILEAGE'!$J$5:$J$1504,'MILEAGE'!$B$5:$B$1504,A395))</f>
        <v/>
      </c>
      <c r="AA395" s="55">
        <f>IF(B395="","",ROUND(Z395*MileRate,2))</f>
        <v/>
      </c>
      <c r="AB395" s="55">
        <f>IF(B395="","",SUMIFS('REVENUE'!$J$5:$J$1504,'REVENUE'!$B$5:$B$1504,A395))</f>
        <v/>
      </c>
      <c r="AC395" s="55">
        <f>IF(L395="","",IF(OR(O395="Cancelled",O395="No-Show"),"",L395-N(X395)-N(Y395)-AA395-AB395))</f>
        <v/>
      </c>
      <c r="AD395" s="99">
        <f>IF(OR(AC395="",N(L395)=0),"",AC395/L395)</f>
        <v/>
      </c>
      <c r="AE395" s="55">
        <f>IF(OR(AC395="",N(R395)=0),"",L395/R395)</f>
        <v/>
      </c>
      <c r="AF395" s="100">
        <f>IF(OR(N(K395)=0,N(J395)+N(Q395)=0),"",K395-IF(N(J395)&gt;0,J395,Q395))</f>
        <v/>
      </c>
      <c r="AG395" s="99">
        <f>IF(B395="","",IFERROR(AVERAGEIFS('QUALITY CONTROL'!$M$5:$M$304,'QUALITY CONTROL'!$B$5:$B$304,A395),""))</f>
        <v/>
      </c>
      <c r="AH395" s="51">
        <f>IF(B395="","",DATE(YEAR(B395),MONTH(B395),1))</f>
        <v/>
      </c>
      <c r="AI395" s="49">
        <f>IF(D395="","",IFERROR(INDEX('CUSTOMERS'!$E$5:$E$404,MATCH(D395,'CUSTOMERS'!$B$5:$B$404,0)),""))</f>
        <v/>
      </c>
      <c r="AJ395" s="49">
        <f>IF(B395="","",N(C395))</f>
        <v/>
      </c>
      <c r="AK395" s="49">
        <f>IF(OR(B395="",O395="Cancelled",O395="Rescheduled"),"",B395&amp;"|"&amp;(COUNTIFS('JOBS'!$B$5:$B$1504,B395,'JOBS'!$AJ$5:$AJ$1504,"&lt;"&amp;AJ395,'JOBS'!$O$5:$O$1504,"&lt;&gt;Cancelled",'JOBS'!$O$5:$O$1504,"&lt;&gt;Rescheduled")+COUNTIFS($B$5:B395,B395,$AJ$5:AJ395,AJ395,$O$5:O395,"&lt;&gt;Cancelled",$O$5:O395,"&lt;&gt;Rescheduled")))</f>
        <v/>
      </c>
      <c r="AL395" s="49">
        <f>IF(N(U395)&lt;=0.005,"",COUNTIFS('JOBS'!$U$5:$U$1504,"&gt;0.005",'JOBS'!$B$5:$B$1504,"&lt;"&amp;B395)+COUNTIFS($U$5:U395,"&gt;0.005",$B$5:B395,B395))</f>
        <v/>
      </c>
    </row>
    <row r="396">
      <c r="A396" s="46" t="inlineStr">
        <is>
          <t>J-0392</t>
        </is>
      </c>
      <c r="B396" s="47" t="n"/>
      <c r="C396" s="94" t="n"/>
      <c r="D396" s="38" t="n"/>
      <c r="E396" s="38" t="n"/>
      <c r="F396" s="38" t="n"/>
      <c r="G396" s="38" t="n"/>
      <c r="H396" s="38" t="n"/>
      <c r="I396" s="57" t="n"/>
      <c r="J396" s="95" t="n"/>
      <c r="K396" s="95" t="n"/>
      <c r="L396" s="48" t="n"/>
      <c r="M396" s="96" t="n"/>
      <c r="N396" s="48" t="n"/>
      <c r="O396" s="38" t="n"/>
      <c r="P396" s="38" t="n"/>
      <c r="Q396" s="97">
        <f>IF(OR(F396="",E396=""),"",IFERROR(IF(INDEX('PROPERTIES'!$F$5:$F$404,MATCH(E396,'PROPERTIES'!$B$5:$B$404,0))=0,"",ROUND((INDEX('PROPERTIES'!$F$5:$F$404,MATCH(E396,'PROPERTIES'!$B$5:$B$404,0))/INDEX('PRICING'!$C$7:$C$16,MATCH(F396,'PRICING'!$A$7:$A$16,0))+INDEX('PROPERTIES'!$G$5:$G$404,MATCH(E396,'PROPERTIES'!$B$5:$B$404,0))*INDEX('PRICING'!$D$7:$D$16,MATCH(F396,'PRICING'!$A$7:$A$16,0))/60+INDEX('PROPERTIES'!$H$5:$H$404,MATCH(E396,'PROPERTIES'!$B$5:$B$404,0))*INDEX('PRICING'!$E$7:$E$16,MATCH(F396,'PRICING'!$A$7:$A$16,0))/60+INDEX('PRICING'!$F$7:$F$16,MATCH(F396,'PRICING'!$A$7:$A$16,0))/60),2)),""))</f>
        <v/>
      </c>
      <c r="R396" s="97">
        <f>IF(B396="","",IF(N(K396)&gt;0,K396,IF(N(J396)&gt;0,J396,N(Q396))))</f>
        <v/>
      </c>
      <c r="S396" s="55">
        <f>IF(L396="","",ROUND(L396*(1+N(M396)),2))</f>
        <v/>
      </c>
      <c r="T396" s="55">
        <f>IF(B396="","",SUMIFS('REVENUE'!$C$5:$C$1504,'REVENUE'!$B$5:$B$1504,A396))</f>
        <v/>
      </c>
      <c r="U396" s="55">
        <f>IF(B396="","",IF(O396="Completed",MAX(0,N(S396)-T396),""))</f>
        <v/>
      </c>
      <c r="V396" s="49">
        <f>IF(B396="","",IF(O396&lt;&gt;"Completed",IF(T396&gt;0,"Deposit","—"),IF(U396&lt;=0.005,"Paid",IF(T396&gt;0,"Partial","Unpaid"))))</f>
        <v/>
      </c>
      <c r="W396" s="55">
        <f>IF(B396="","",IFERROR(1/(1/INDEX('STAFF &amp; TASKS'!$C$5:$C$24,MATCH(H396,'STAFF &amp; TASKS'!$A$5:$A$24,0))),PayRate))</f>
        <v/>
      </c>
      <c r="X396" s="55">
        <f>IF(B396="","",IF(OR(O396="Cancelled",O396="No-Show"),"",ROUND(R396*W396*(1+Burden),2)))</f>
        <v/>
      </c>
      <c r="Y396" s="55">
        <f>IF(B396="","",IF(OR(O396="Cancelled",O396="No-Show"),"",IF(N396&lt;&gt;"",N396,ROUND(R396*SupHr*IFERROR(INDEX('PRICING'!$G$7:$G$16,MATCH(F396,'PRICING'!$A$7:$A$16,0)),1),2))))</f>
        <v/>
      </c>
      <c r="Z396" s="98">
        <f>IF(B396="","",SUMIFS('MILEAGE'!$J$5:$J$1504,'MILEAGE'!$B$5:$B$1504,A396))</f>
        <v/>
      </c>
      <c r="AA396" s="55">
        <f>IF(B396="","",ROUND(Z396*MileRate,2))</f>
        <v/>
      </c>
      <c r="AB396" s="55">
        <f>IF(B396="","",SUMIFS('REVENUE'!$J$5:$J$1504,'REVENUE'!$B$5:$B$1504,A396))</f>
        <v/>
      </c>
      <c r="AC396" s="55">
        <f>IF(L396="","",IF(OR(O396="Cancelled",O396="No-Show"),"",L396-N(X396)-N(Y396)-AA396-AB396))</f>
        <v/>
      </c>
      <c r="AD396" s="99">
        <f>IF(OR(AC396="",N(L396)=0),"",AC396/L396)</f>
        <v/>
      </c>
      <c r="AE396" s="55">
        <f>IF(OR(AC396="",N(R396)=0),"",L396/R396)</f>
        <v/>
      </c>
      <c r="AF396" s="100">
        <f>IF(OR(N(K396)=0,N(J396)+N(Q396)=0),"",K396-IF(N(J396)&gt;0,J396,Q396))</f>
        <v/>
      </c>
      <c r="AG396" s="99">
        <f>IF(B396="","",IFERROR(AVERAGEIFS('QUALITY CONTROL'!$M$5:$M$304,'QUALITY CONTROL'!$B$5:$B$304,A396),""))</f>
        <v/>
      </c>
      <c r="AH396" s="51">
        <f>IF(B396="","",DATE(YEAR(B396),MONTH(B396),1))</f>
        <v/>
      </c>
      <c r="AI396" s="49">
        <f>IF(D396="","",IFERROR(INDEX('CUSTOMERS'!$E$5:$E$404,MATCH(D396,'CUSTOMERS'!$B$5:$B$404,0)),""))</f>
        <v/>
      </c>
      <c r="AJ396" s="49">
        <f>IF(B396="","",N(C396))</f>
        <v/>
      </c>
      <c r="AK396" s="49">
        <f>IF(OR(B396="",O396="Cancelled",O396="Rescheduled"),"",B396&amp;"|"&amp;(COUNTIFS('JOBS'!$B$5:$B$1504,B396,'JOBS'!$AJ$5:$AJ$1504,"&lt;"&amp;AJ396,'JOBS'!$O$5:$O$1504,"&lt;&gt;Cancelled",'JOBS'!$O$5:$O$1504,"&lt;&gt;Rescheduled")+COUNTIFS($B$5:B396,B396,$AJ$5:AJ396,AJ396,$O$5:O396,"&lt;&gt;Cancelled",$O$5:O396,"&lt;&gt;Rescheduled")))</f>
        <v/>
      </c>
      <c r="AL396" s="49">
        <f>IF(N(U396)&lt;=0.005,"",COUNTIFS('JOBS'!$U$5:$U$1504,"&gt;0.005",'JOBS'!$B$5:$B$1504,"&lt;"&amp;B396)+COUNTIFS($U$5:U396,"&gt;0.005",$B$5:B396,B396))</f>
        <v/>
      </c>
    </row>
    <row r="397">
      <c r="A397" s="46" t="inlineStr">
        <is>
          <t>J-0393</t>
        </is>
      </c>
      <c r="B397" s="47" t="n"/>
      <c r="C397" s="94" t="n"/>
      <c r="D397" s="38" t="n"/>
      <c r="E397" s="38" t="n"/>
      <c r="F397" s="38" t="n"/>
      <c r="G397" s="38" t="n"/>
      <c r="H397" s="38" t="n"/>
      <c r="I397" s="57" t="n"/>
      <c r="J397" s="95" t="n"/>
      <c r="K397" s="95" t="n"/>
      <c r="L397" s="48" t="n"/>
      <c r="M397" s="96" t="n"/>
      <c r="N397" s="48" t="n"/>
      <c r="O397" s="38" t="n"/>
      <c r="P397" s="38" t="n"/>
      <c r="Q397" s="97">
        <f>IF(OR(F397="",E397=""),"",IFERROR(IF(INDEX('PROPERTIES'!$F$5:$F$404,MATCH(E397,'PROPERTIES'!$B$5:$B$404,0))=0,"",ROUND((INDEX('PROPERTIES'!$F$5:$F$404,MATCH(E397,'PROPERTIES'!$B$5:$B$404,0))/INDEX('PRICING'!$C$7:$C$16,MATCH(F397,'PRICING'!$A$7:$A$16,0))+INDEX('PROPERTIES'!$G$5:$G$404,MATCH(E397,'PROPERTIES'!$B$5:$B$404,0))*INDEX('PRICING'!$D$7:$D$16,MATCH(F397,'PRICING'!$A$7:$A$16,0))/60+INDEX('PROPERTIES'!$H$5:$H$404,MATCH(E397,'PROPERTIES'!$B$5:$B$404,0))*INDEX('PRICING'!$E$7:$E$16,MATCH(F397,'PRICING'!$A$7:$A$16,0))/60+INDEX('PRICING'!$F$7:$F$16,MATCH(F397,'PRICING'!$A$7:$A$16,0))/60),2)),""))</f>
        <v/>
      </c>
      <c r="R397" s="97">
        <f>IF(B397="","",IF(N(K397)&gt;0,K397,IF(N(J397)&gt;0,J397,N(Q397))))</f>
        <v/>
      </c>
      <c r="S397" s="55">
        <f>IF(L397="","",ROUND(L397*(1+N(M397)),2))</f>
        <v/>
      </c>
      <c r="T397" s="55">
        <f>IF(B397="","",SUMIFS('REVENUE'!$C$5:$C$1504,'REVENUE'!$B$5:$B$1504,A397))</f>
        <v/>
      </c>
      <c r="U397" s="55">
        <f>IF(B397="","",IF(O397="Completed",MAX(0,N(S397)-T397),""))</f>
        <v/>
      </c>
      <c r="V397" s="49">
        <f>IF(B397="","",IF(O397&lt;&gt;"Completed",IF(T397&gt;0,"Deposit","—"),IF(U397&lt;=0.005,"Paid",IF(T397&gt;0,"Partial","Unpaid"))))</f>
        <v/>
      </c>
      <c r="W397" s="55">
        <f>IF(B397="","",IFERROR(1/(1/INDEX('STAFF &amp; TASKS'!$C$5:$C$24,MATCH(H397,'STAFF &amp; TASKS'!$A$5:$A$24,0))),PayRate))</f>
        <v/>
      </c>
      <c r="X397" s="55">
        <f>IF(B397="","",IF(OR(O397="Cancelled",O397="No-Show"),"",ROUND(R397*W397*(1+Burden),2)))</f>
        <v/>
      </c>
      <c r="Y397" s="55">
        <f>IF(B397="","",IF(OR(O397="Cancelled",O397="No-Show"),"",IF(N397&lt;&gt;"",N397,ROUND(R397*SupHr*IFERROR(INDEX('PRICING'!$G$7:$G$16,MATCH(F397,'PRICING'!$A$7:$A$16,0)),1),2))))</f>
        <v/>
      </c>
      <c r="Z397" s="98">
        <f>IF(B397="","",SUMIFS('MILEAGE'!$J$5:$J$1504,'MILEAGE'!$B$5:$B$1504,A397))</f>
        <v/>
      </c>
      <c r="AA397" s="55">
        <f>IF(B397="","",ROUND(Z397*MileRate,2))</f>
        <v/>
      </c>
      <c r="AB397" s="55">
        <f>IF(B397="","",SUMIFS('REVENUE'!$J$5:$J$1504,'REVENUE'!$B$5:$B$1504,A397))</f>
        <v/>
      </c>
      <c r="AC397" s="55">
        <f>IF(L397="","",IF(OR(O397="Cancelled",O397="No-Show"),"",L397-N(X397)-N(Y397)-AA397-AB397))</f>
        <v/>
      </c>
      <c r="AD397" s="99">
        <f>IF(OR(AC397="",N(L397)=0),"",AC397/L397)</f>
        <v/>
      </c>
      <c r="AE397" s="55">
        <f>IF(OR(AC397="",N(R397)=0),"",L397/R397)</f>
        <v/>
      </c>
      <c r="AF397" s="100">
        <f>IF(OR(N(K397)=0,N(J397)+N(Q397)=0),"",K397-IF(N(J397)&gt;0,J397,Q397))</f>
        <v/>
      </c>
      <c r="AG397" s="99">
        <f>IF(B397="","",IFERROR(AVERAGEIFS('QUALITY CONTROL'!$M$5:$M$304,'QUALITY CONTROL'!$B$5:$B$304,A397),""))</f>
        <v/>
      </c>
      <c r="AH397" s="51">
        <f>IF(B397="","",DATE(YEAR(B397),MONTH(B397),1))</f>
        <v/>
      </c>
      <c r="AI397" s="49">
        <f>IF(D397="","",IFERROR(INDEX('CUSTOMERS'!$E$5:$E$404,MATCH(D397,'CUSTOMERS'!$B$5:$B$404,0)),""))</f>
        <v/>
      </c>
      <c r="AJ397" s="49">
        <f>IF(B397="","",N(C397))</f>
        <v/>
      </c>
      <c r="AK397" s="49">
        <f>IF(OR(B397="",O397="Cancelled",O397="Rescheduled"),"",B397&amp;"|"&amp;(COUNTIFS('JOBS'!$B$5:$B$1504,B397,'JOBS'!$AJ$5:$AJ$1504,"&lt;"&amp;AJ397,'JOBS'!$O$5:$O$1504,"&lt;&gt;Cancelled",'JOBS'!$O$5:$O$1504,"&lt;&gt;Rescheduled")+COUNTIFS($B$5:B397,B397,$AJ$5:AJ397,AJ397,$O$5:O397,"&lt;&gt;Cancelled",$O$5:O397,"&lt;&gt;Rescheduled")))</f>
        <v/>
      </c>
      <c r="AL397" s="49">
        <f>IF(N(U397)&lt;=0.005,"",COUNTIFS('JOBS'!$U$5:$U$1504,"&gt;0.005",'JOBS'!$B$5:$B$1504,"&lt;"&amp;B397)+COUNTIFS($U$5:U397,"&gt;0.005",$B$5:B397,B397))</f>
        <v/>
      </c>
    </row>
    <row r="398">
      <c r="A398" s="46" t="inlineStr">
        <is>
          <t>J-0394</t>
        </is>
      </c>
      <c r="B398" s="47" t="n"/>
      <c r="C398" s="94" t="n"/>
      <c r="D398" s="38" t="n"/>
      <c r="E398" s="38" t="n"/>
      <c r="F398" s="38" t="n"/>
      <c r="G398" s="38" t="n"/>
      <c r="H398" s="38" t="n"/>
      <c r="I398" s="57" t="n"/>
      <c r="J398" s="95" t="n"/>
      <c r="K398" s="95" t="n"/>
      <c r="L398" s="48" t="n"/>
      <c r="M398" s="96" t="n"/>
      <c r="N398" s="48" t="n"/>
      <c r="O398" s="38" t="n"/>
      <c r="P398" s="38" t="n"/>
      <c r="Q398" s="97">
        <f>IF(OR(F398="",E398=""),"",IFERROR(IF(INDEX('PROPERTIES'!$F$5:$F$404,MATCH(E398,'PROPERTIES'!$B$5:$B$404,0))=0,"",ROUND((INDEX('PROPERTIES'!$F$5:$F$404,MATCH(E398,'PROPERTIES'!$B$5:$B$404,0))/INDEX('PRICING'!$C$7:$C$16,MATCH(F398,'PRICING'!$A$7:$A$16,0))+INDEX('PROPERTIES'!$G$5:$G$404,MATCH(E398,'PROPERTIES'!$B$5:$B$404,0))*INDEX('PRICING'!$D$7:$D$16,MATCH(F398,'PRICING'!$A$7:$A$16,0))/60+INDEX('PROPERTIES'!$H$5:$H$404,MATCH(E398,'PROPERTIES'!$B$5:$B$404,0))*INDEX('PRICING'!$E$7:$E$16,MATCH(F398,'PRICING'!$A$7:$A$16,0))/60+INDEX('PRICING'!$F$7:$F$16,MATCH(F398,'PRICING'!$A$7:$A$16,0))/60),2)),""))</f>
        <v/>
      </c>
      <c r="R398" s="97">
        <f>IF(B398="","",IF(N(K398)&gt;0,K398,IF(N(J398)&gt;0,J398,N(Q398))))</f>
        <v/>
      </c>
      <c r="S398" s="55">
        <f>IF(L398="","",ROUND(L398*(1+N(M398)),2))</f>
        <v/>
      </c>
      <c r="T398" s="55">
        <f>IF(B398="","",SUMIFS('REVENUE'!$C$5:$C$1504,'REVENUE'!$B$5:$B$1504,A398))</f>
        <v/>
      </c>
      <c r="U398" s="55">
        <f>IF(B398="","",IF(O398="Completed",MAX(0,N(S398)-T398),""))</f>
        <v/>
      </c>
      <c r="V398" s="49">
        <f>IF(B398="","",IF(O398&lt;&gt;"Completed",IF(T398&gt;0,"Deposit","—"),IF(U398&lt;=0.005,"Paid",IF(T398&gt;0,"Partial","Unpaid"))))</f>
        <v/>
      </c>
      <c r="W398" s="55">
        <f>IF(B398="","",IFERROR(1/(1/INDEX('STAFF &amp; TASKS'!$C$5:$C$24,MATCH(H398,'STAFF &amp; TASKS'!$A$5:$A$24,0))),PayRate))</f>
        <v/>
      </c>
      <c r="X398" s="55">
        <f>IF(B398="","",IF(OR(O398="Cancelled",O398="No-Show"),"",ROUND(R398*W398*(1+Burden),2)))</f>
        <v/>
      </c>
      <c r="Y398" s="55">
        <f>IF(B398="","",IF(OR(O398="Cancelled",O398="No-Show"),"",IF(N398&lt;&gt;"",N398,ROUND(R398*SupHr*IFERROR(INDEX('PRICING'!$G$7:$G$16,MATCH(F398,'PRICING'!$A$7:$A$16,0)),1),2))))</f>
        <v/>
      </c>
      <c r="Z398" s="98">
        <f>IF(B398="","",SUMIFS('MILEAGE'!$J$5:$J$1504,'MILEAGE'!$B$5:$B$1504,A398))</f>
        <v/>
      </c>
      <c r="AA398" s="55">
        <f>IF(B398="","",ROUND(Z398*MileRate,2))</f>
        <v/>
      </c>
      <c r="AB398" s="55">
        <f>IF(B398="","",SUMIFS('REVENUE'!$J$5:$J$1504,'REVENUE'!$B$5:$B$1504,A398))</f>
        <v/>
      </c>
      <c r="AC398" s="55">
        <f>IF(L398="","",IF(OR(O398="Cancelled",O398="No-Show"),"",L398-N(X398)-N(Y398)-AA398-AB398))</f>
        <v/>
      </c>
      <c r="AD398" s="99">
        <f>IF(OR(AC398="",N(L398)=0),"",AC398/L398)</f>
        <v/>
      </c>
      <c r="AE398" s="55">
        <f>IF(OR(AC398="",N(R398)=0),"",L398/R398)</f>
        <v/>
      </c>
      <c r="AF398" s="100">
        <f>IF(OR(N(K398)=0,N(J398)+N(Q398)=0),"",K398-IF(N(J398)&gt;0,J398,Q398))</f>
        <v/>
      </c>
      <c r="AG398" s="99">
        <f>IF(B398="","",IFERROR(AVERAGEIFS('QUALITY CONTROL'!$M$5:$M$304,'QUALITY CONTROL'!$B$5:$B$304,A398),""))</f>
        <v/>
      </c>
      <c r="AH398" s="51">
        <f>IF(B398="","",DATE(YEAR(B398),MONTH(B398),1))</f>
        <v/>
      </c>
      <c r="AI398" s="49">
        <f>IF(D398="","",IFERROR(INDEX('CUSTOMERS'!$E$5:$E$404,MATCH(D398,'CUSTOMERS'!$B$5:$B$404,0)),""))</f>
        <v/>
      </c>
      <c r="AJ398" s="49">
        <f>IF(B398="","",N(C398))</f>
        <v/>
      </c>
      <c r="AK398" s="49">
        <f>IF(OR(B398="",O398="Cancelled",O398="Rescheduled"),"",B398&amp;"|"&amp;(COUNTIFS('JOBS'!$B$5:$B$1504,B398,'JOBS'!$AJ$5:$AJ$1504,"&lt;"&amp;AJ398,'JOBS'!$O$5:$O$1504,"&lt;&gt;Cancelled",'JOBS'!$O$5:$O$1504,"&lt;&gt;Rescheduled")+COUNTIFS($B$5:B398,B398,$AJ$5:AJ398,AJ398,$O$5:O398,"&lt;&gt;Cancelled",$O$5:O398,"&lt;&gt;Rescheduled")))</f>
        <v/>
      </c>
      <c r="AL398" s="49">
        <f>IF(N(U398)&lt;=0.005,"",COUNTIFS('JOBS'!$U$5:$U$1504,"&gt;0.005",'JOBS'!$B$5:$B$1504,"&lt;"&amp;B398)+COUNTIFS($U$5:U398,"&gt;0.005",$B$5:B398,B398))</f>
        <v/>
      </c>
    </row>
    <row r="399">
      <c r="A399" s="46" t="inlineStr">
        <is>
          <t>J-0395</t>
        </is>
      </c>
      <c r="B399" s="47" t="n"/>
      <c r="C399" s="94" t="n"/>
      <c r="D399" s="38" t="n"/>
      <c r="E399" s="38" t="n"/>
      <c r="F399" s="38" t="n"/>
      <c r="G399" s="38" t="n"/>
      <c r="H399" s="38" t="n"/>
      <c r="I399" s="57" t="n"/>
      <c r="J399" s="95" t="n"/>
      <c r="K399" s="95" t="n"/>
      <c r="L399" s="48" t="n"/>
      <c r="M399" s="96" t="n"/>
      <c r="N399" s="48" t="n"/>
      <c r="O399" s="38" t="n"/>
      <c r="P399" s="38" t="n"/>
      <c r="Q399" s="97">
        <f>IF(OR(F399="",E399=""),"",IFERROR(IF(INDEX('PROPERTIES'!$F$5:$F$404,MATCH(E399,'PROPERTIES'!$B$5:$B$404,0))=0,"",ROUND((INDEX('PROPERTIES'!$F$5:$F$404,MATCH(E399,'PROPERTIES'!$B$5:$B$404,0))/INDEX('PRICING'!$C$7:$C$16,MATCH(F399,'PRICING'!$A$7:$A$16,0))+INDEX('PROPERTIES'!$G$5:$G$404,MATCH(E399,'PROPERTIES'!$B$5:$B$404,0))*INDEX('PRICING'!$D$7:$D$16,MATCH(F399,'PRICING'!$A$7:$A$16,0))/60+INDEX('PROPERTIES'!$H$5:$H$404,MATCH(E399,'PROPERTIES'!$B$5:$B$404,0))*INDEX('PRICING'!$E$7:$E$16,MATCH(F399,'PRICING'!$A$7:$A$16,0))/60+INDEX('PRICING'!$F$7:$F$16,MATCH(F399,'PRICING'!$A$7:$A$16,0))/60),2)),""))</f>
        <v/>
      </c>
      <c r="R399" s="97">
        <f>IF(B399="","",IF(N(K399)&gt;0,K399,IF(N(J399)&gt;0,J399,N(Q399))))</f>
        <v/>
      </c>
      <c r="S399" s="55">
        <f>IF(L399="","",ROUND(L399*(1+N(M399)),2))</f>
        <v/>
      </c>
      <c r="T399" s="55">
        <f>IF(B399="","",SUMIFS('REVENUE'!$C$5:$C$1504,'REVENUE'!$B$5:$B$1504,A399))</f>
        <v/>
      </c>
      <c r="U399" s="55">
        <f>IF(B399="","",IF(O399="Completed",MAX(0,N(S399)-T399),""))</f>
        <v/>
      </c>
      <c r="V399" s="49">
        <f>IF(B399="","",IF(O399&lt;&gt;"Completed",IF(T399&gt;0,"Deposit","—"),IF(U399&lt;=0.005,"Paid",IF(T399&gt;0,"Partial","Unpaid"))))</f>
        <v/>
      </c>
      <c r="W399" s="55">
        <f>IF(B399="","",IFERROR(1/(1/INDEX('STAFF &amp; TASKS'!$C$5:$C$24,MATCH(H399,'STAFF &amp; TASKS'!$A$5:$A$24,0))),PayRate))</f>
        <v/>
      </c>
      <c r="X399" s="55">
        <f>IF(B399="","",IF(OR(O399="Cancelled",O399="No-Show"),"",ROUND(R399*W399*(1+Burden),2)))</f>
        <v/>
      </c>
      <c r="Y399" s="55">
        <f>IF(B399="","",IF(OR(O399="Cancelled",O399="No-Show"),"",IF(N399&lt;&gt;"",N399,ROUND(R399*SupHr*IFERROR(INDEX('PRICING'!$G$7:$G$16,MATCH(F399,'PRICING'!$A$7:$A$16,0)),1),2))))</f>
        <v/>
      </c>
      <c r="Z399" s="98">
        <f>IF(B399="","",SUMIFS('MILEAGE'!$J$5:$J$1504,'MILEAGE'!$B$5:$B$1504,A399))</f>
        <v/>
      </c>
      <c r="AA399" s="55">
        <f>IF(B399="","",ROUND(Z399*MileRate,2))</f>
        <v/>
      </c>
      <c r="AB399" s="55">
        <f>IF(B399="","",SUMIFS('REVENUE'!$J$5:$J$1504,'REVENUE'!$B$5:$B$1504,A399))</f>
        <v/>
      </c>
      <c r="AC399" s="55">
        <f>IF(L399="","",IF(OR(O399="Cancelled",O399="No-Show"),"",L399-N(X399)-N(Y399)-AA399-AB399))</f>
        <v/>
      </c>
      <c r="AD399" s="99">
        <f>IF(OR(AC399="",N(L399)=0),"",AC399/L399)</f>
        <v/>
      </c>
      <c r="AE399" s="55">
        <f>IF(OR(AC399="",N(R399)=0),"",L399/R399)</f>
        <v/>
      </c>
      <c r="AF399" s="100">
        <f>IF(OR(N(K399)=0,N(J399)+N(Q399)=0),"",K399-IF(N(J399)&gt;0,J399,Q399))</f>
        <v/>
      </c>
      <c r="AG399" s="99">
        <f>IF(B399="","",IFERROR(AVERAGEIFS('QUALITY CONTROL'!$M$5:$M$304,'QUALITY CONTROL'!$B$5:$B$304,A399),""))</f>
        <v/>
      </c>
      <c r="AH399" s="51">
        <f>IF(B399="","",DATE(YEAR(B399),MONTH(B399),1))</f>
        <v/>
      </c>
      <c r="AI399" s="49">
        <f>IF(D399="","",IFERROR(INDEX('CUSTOMERS'!$E$5:$E$404,MATCH(D399,'CUSTOMERS'!$B$5:$B$404,0)),""))</f>
        <v/>
      </c>
      <c r="AJ399" s="49">
        <f>IF(B399="","",N(C399))</f>
        <v/>
      </c>
      <c r="AK399" s="49">
        <f>IF(OR(B399="",O399="Cancelled",O399="Rescheduled"),"",B399&amp;"|"&amp;(COUNTIFS('JOBS'!$B$5:$B$1504,B399,'JOBS'!$AJ$5:$AJ$1504,"&lt;"&amp;AJ399,'JOBS'!$O$5:$O$1504,"&lt;&gt;Cancelled",'JOBS'!$O$5:$O$1504,"&lt;&gt;Rescheduled")+COUNTIFS($B$5:B399,B399,$AJ$5:AJ399,AJ399,$O$5:O399,"&lt;&gt;Cancelled",$O$5:O399,"&lt;&gt;Rescheduled")))</f>
        <v/>
      </c>
      <c r="AL399" s="49">
        <f>IF(N(U399)&lt;=0.005,"",COUNTIFS('JOBS'!$U$5:$U$1504,"&gt;0.005",'JOBS'!$B$5:$B$1504,"&lt;"&amp;B399)+COUNTIFS($U$5:U399,"&gt;0.005",$B$5:B399,B399))</f>
        <v/>
      </c>
    </row>
    <row r="400">
      <c r="A400" s="46" t="inlineStr">
        <is>
          <t>J-0396</t>
        </is>
      </c>
      <c r="B400" s="47" t="n"/>
      <c r="C400" s="94" t="n"/>
      <c r="D400" s="38" t="n"/>
      <c r="E400" s="38" t="n"/>
      <c r="F400" s="38" t="n"/>
      <c r="G400" s="38" t="n"/>
      <c r="H400" s="38" t="n"/>
      <c r="I400" s="57" t="n"/>
      <c r="J400" s="95" t="n"/>
      <c r="K400" s="95" t="n"/>
      <c r="L400" s="48" t="n"/>
      <c r="M400" s="96" t="n"/>
      <c r="N400" s="48" t="n"/>
      <c r="O400" s="38" t="n"/>
      <c r="P400" s="38" t="n"/>
      <c r="Q400" s="97">
        <f>IF(OR(F400="",E400=""),"",IFERROR(IF(INDEX('PROPERTIES'!$F$5:$F$404,MATCH(E400,'PROPERTIES'!$B$5:$B$404,0))=0,"",ROUND((INDEX('PROPERTIES'!$F$5:$F$404,MATCH(E400,'PROPERTIES'!$B$5:$B$404,0))/INDEX('PRICING'!$C$7:$C$16,MATCH(F400,'PRICING'!$A$7:$A$16,0))+INDEX('PROPERTIES'!$G$5:$G$404,MATCH(E400,'PROPERTIES'!$B$5:$B$404,0))*INDEX('PRICING'!$D$7:$D$16,MATCH(F400,'PRICING'!$A$7:$A$16,0))/60+INDEX('PROPERTIES'!$H$5:$H$404,MATCH(E400,'PROPERTIES'!$B$5:$B$404,0))*INDEX('PRICING'!$E$7:$E$16,MATCH(F400,'PRICING'!$A$7:$A$16,0))/60+INDEX('PRICING'!$F$7:$F$16,MATCH(F400,'PRICING'!$A$7:$A$16,0))/60),2)),""))</f>
        <v/>
      </c>
      <c r="R400" s="97">
        <f>IF(B400="","",IF(N(K400)&gt;0,K400,IF(N(J400)&gt;0,J400,N(Q400))))</f>
        <v/>
      </c>
      <c r="S400" s="55">
        <f>IF(L400="","",ROUND(L400*(1+N(M400)),2))</f>
        <v/>
      </c>
      <c r="T400" s="55">
        <f>IF(B400="","",SUMIFS('REVENUE'!$C$5:$C$1504,'REVENUE'!$B$5:$B$1504,A400))</f>
        <v/>
      </c>
      <c r="U400" s="55">
        <f>IF(B400="","",IF(O400="Completed",MAX(0,N(S400)-T400),""))</f>
        <v/>
      </c>
      <c r="V400" s="49">
        <f>IF(B400="","",IF(O400&lt;&gt;"Completed",IF(T400&gt;0,"Deposit","—"),IF(U400&lt;=0.005,"Paid",IF(T400&gt;0,"Partial","Unpaid"))))</f>
        <v/>
      </c>
      <c r="W400" s="55">
        <f>IF(B400="","",IFERROR(1/(1/INDEX('STAFF &amp; TASKS'!$C$5:$C$24,MATCH(H400,'STAFF &amp; TASKS'!$A$5:$A$24,0))),PayRate))</f>
        <v/>
      </c>
      <c r="X400" s="55">
        <f>IF(B400="","",IF(OR(O400="Cancelled",O400="No-Show"),"",ROUND(R400*W400*(1+Burden),2)))</f>
        <v/>
      </c>
      <c r="Y400" s="55">
        <f>IF(B400="","",IF(OR(O400="Cancelled",O400="No-Show"),"",IF(N400&lt;&gt;"",N400,ROUND(R400*SupHr*IFERROR(INDEX('PRICING'!$G$7:$G$16,MATCH(F400,'PRICING'!$A$7:$A$16,0)),1),2))))</f>
        <v/>
      </c>
      <c r="Z400" s="98">
        <f>IF(B400="","",SUMIFS('MILEAGE'!$J$5:$J$1504,'MILEAGE'!$B$5:$B$1504,A400))</f>
        <v/>
      </c>
      <c r="AA400" s="55">
        <f>IF(B400="","",ROUND(Z400*MileRate,2))</f>
        <v/>
      </c>
      <c r="AB400" s="55">
        <f>IF(B400="","",SUMIFS('REVENUE'!$J$5:$J$1504,'REVENUE'!$B$5:$B$1504,A400))</f>
        <v/>
      </c>
      <c r="AC400" s="55">
        <f>IF(L400="","",IF(OR(O400="Cancelled",O400="No-Show"),"",L400-N(X400)-N(Y400)-AA400-AB400))</f>
        <v/>
      </c>
      <c r="AD400" s="99">
        <f>IF(OR(AC400="",N(L400)=0),"",AC400/L400)</f>
        <v/>
      </c>
      <c r="AE400" s="55">
        <f>IF(OR(AC400="",N(R400)=0),"",L400/R400)</f>
        <v/>
      </c>
      <c r="AF400" s="100">
        <f>IF(OR(N(K400)=0,N(J400)+N(Q400)=0),"",K400-IF(N(J400)&gt;0,J400,Q400))</f>
        <v/>
      </c>
      <c r="AG400" s="99">
        <f>IF(B400="","",IFERROR(AVERAGEIFS('QUALITY CONTROL'!$M$5:$M$304,'QUALITY CONTROL'!$B$5:$B$304,A400),""))</f>
        <v/>
      </c>
      <c r="AH400" s="51">
        <f>IF(B400="","",DATE(YEAR(B400),MONTH(B400),1))</f>
        <v/>
      </c>
      <c r="AI400" s="49">
        <f>IF(D400="","",IFERROR(INDEX('CUSTOMERS'!$E$5:$E$404,MATCH(D400,'CUSTOMERS'!$B$5:$B$404,0)),""))</f>
        <v/>
      </c>
      <c r="AJ400" s="49">
        <f>IF(B400="","",N(C400))</f>
        <v/>
      </c>
      <c r="AK400" s="49">
        <f>IF(OR(B400="",O400="Cancelled",O400="Rescheduled"),"",B400&amp;"|"&amp;(COUNTIFS('JOBS'!$B$5:$B$1504,B400,'JOBS'!$AJ$5:$AJ$1504,"&lt;"&amp;AJ400,'JOBS'!$O$5:$O$1504,"&lt;&gt;Cancelled",'JOBS'!$O$5:$O$1504,"&lt;&gt;Rescheduled")+COUNTIFS($B$5:B400,B400,$AJ$5:AJ400,AJ400,$O$5:O400,"&lt;&gt;Cancelled",$O$5:O400,"&lt;&gt;Rescheduled")))</f>
        <v/>
      </c>
      <c r="AL400" s="49">
        <f>IF(N(U400)&lt;=0.005,"",COUNTIFS('JOBS'!$U$5:$U$1504,"&gt;0.005",'JOBS'!$B$5:$B$1504,"&lt;"&amp;B400)+COUNTIFS($U$5:U400,"&gt;0.005",$B$5:B400,B400))</f>
        <v/>
      </c>
    </row>
    <row r="401">
      <c r="A401" s="46" t="inlineStr">
        <is>
          <t>J-0397</t>
        </is>
      </c>
      <c r="B401" s="47" t="n"/>
      <c r="C401" s="94" t="n"/>
      <c r="D401" s="38" t="n"/>
      <c r="E401" s="38" t="n"/>
      <c r="F401" s="38" t="n"/>
      <c r="G401" s="38" t="n"/>
      <c r="H401" s="38" t="n"/>
      <c r="I401" s="57" t="n"/>
      <c r="J401" s="95" t="n"/>
      <c r="K401" s="95" t="n"/>
      <c r="L401" s="48" t="n"/>
      <c r="M401" s="96" t="n"/>
      <c r="N401" s="48" t="n"/>
      <c r="O401" s="38" t="n"/>
      <c r="P401" s="38" t="n"/>
      <c r="Q401" s="97">
        <f>IF(OR(F401="",E401=""),"",IFERROR(IF(INDEX('PROPERTIES'!$F$5:$F$404,MATCH(E401,'PROPERTIES'!$B$5:$B$404,0))=0,"",ROUND((INDEX('PROPERTIES'!$F$5:$F$404,MATCH(E401,'PROPERTIES'!$B$5:$B$404,0))/INDEX('PRICING'!$C$7:$C$16,MATCH(F401,'PRICING'!$A$7:$A$16,0))+INDEX('PROPERTIES'!$G$5:$G$404,MATCH(E401,'PROPERTIES'!$B$5:$B$404,0))*INDEX('PRICING'!$D$7:$D$16,MATCH(F401,'PRICING'!$A$7:$A$16,0))/60+INDEX('PROPERTIES'!$H$5:$H$404,MATCH(E401,'PROPERTIES'!$B$5:$B$404,0))*INDEX('PRICING'!$E$7:$E$16,MATCH(F401,'PRICING'!$A$7:$A$16,0))/60+INDEX('PRICING'!$F$7:$F$16,MATCH(F401,'PRICING'!$A$7:$A$16,0))/60),2)),""))</f>
        <v/>
      </c>
      <c r="R401" s="97">
        <f>IF(B401="","",IF(N(K401)&gt;0,K401,IF(N(J401)&gt;0,J401,N(Q401))))</f>
        <v/>
      </c>
      <c r="S401" s="55">
        <f>IF(L401="","",ROUND(L401*(1+N(M401)),2))</f>
        <v/>
      </c>
      <c r="T401" s="55">
        <f>IF(B401="","",SUMIFS('REVENUE'!$C$5:$C$1504,'REVENUE'!$B$5:$B$1504,A401))</f>
        <v/>
      </c>
      <c r="U401" s="55">
        <f>IF(B401="","",IF(O401="Completed",MAX(0,N(S401)-T401),""))</f>
        <v/>
      </c>
      <c r="V401" s="49">
        <f>IF(B401="","",IF(O401&lt;&gt;"Completed",IF(T401&gt;0,"Deposit","—"),IF(U401&lt;=0.005,"Paid",IF(T401&gt;0,"Partial","Unpaid"))))</f>
        <v/>
      </c>
      <c r="W401" s="55">
        <f>IF(B401="","",IFERROR(1/(1/INDEX('STAFF &amp; TASKS'!$C$5:$C$24,MATCH(H401,'STAFF &amp; TASKS'!$A$5:$A$24,0))),PayRate))</f>
        <v/>
      </c>
      <c r="X401" s="55">
        <f>IF(B401="","",IF(OR(O401="Cancelled",O401="No-Show"),"",ROUND(R401*W401*(1+Burden),2)))</f>
        <v/>
      </c>
      <c r="Y401" s="55">
        <f>IF(B401="","",IF(OR(O401="Cancelled",O401="No-Show"),"",IF(N401&lt;&gt;"",N401,ROUND(R401*SupHr*IFERROR(INDEX('PRICING'!$G$7:$G$16,MATCH(F401,'PRICING'!$A$7:$A$16,0)),1),2))))</f>
        <v/>
      </c>
      <c r="Z401" s="98">
        <f>IF(B401="","",SUMIFS('MILEAGE'!$J$5:$J$1504,'MILEAGE'!$B$5:$B$1504,A401))</f>
        <v/>
      </c>
      <c r="AA401" s="55">
        <f>IF(B401="","",ROUND(Z401*MileRate,2))</f>
        <v/>
      </c>
      <c r="AB401" s="55">
        <f>IF(B401="","",SUMIFS('REVENUE'!$J$5:$J$1504,'REVENUE'!$B$5:$B$1504,A401))</f>
        <v/>
      </c>
      <c r="AC401" s="55">
        <f>IF(L401="","",IF(OR(O401="Cancelled",O401="No-Show"),"",L401-N(X401)-N(Y401)-AA401-AB401))</f>
        <v/>
      </c>
      <c r="AD401" s="99">
        <f>IF(OR(AC401="",N(L401)=0),"",AC401/L401)</f>
        <v/>
      </c>
      <c r="AE401" s="55">
        <f>IF(OR(AC401="",N(R401)=0),"",L401/R401)</f>
        <v/>
      </c>
      <c r="AF401" s="100">
        <f>IF(OR(N(K401)=0,N(J401)+N(Q401)=0),"",K401-IF(N(J401)&gt;0,J401,Q401))</f>
        <v/>
      </c>
      <c r="AG401" s="99">
        <f>IF(B401="","",IFERROR(AVERAGEIFS('QUALITY CONTROL'!$M$5:$M$304,'QUALITY CONTROL'!$B$5:$B$304,A401),""))</f>
        <v/>
      </c>
      <c r="AH401" s="51">
        <f>IF(B401="","",DATE(YEAR(B401),MONTH(B401),1))</f>
        <v/>
      </c>
      <c r="AI401" s="49">
        <f>IF(D401="","",IFERROR(INDEX('CUSTOMERS'!$E$5:$E$404,MATCH(D401,'CUSTOMERS'!$B$5:$B$404,0)),""))</f>
        <v/>
      </c>
      <c r="AJ401" s="49">
        <f>IF(B401="","",N(C401))</f>
        <v/>
      </c>
      <c r="AK401" s="49">
        <f>IF(OR(B401="",O401="Cancelled",O401="Rescheduled"),"",B401&amp;"|"&amp;(COUNTIFS('JOBS'!$B$5:$B$1504,B401,'JOBS'!$AJ$5:$AJ$1504,"&lt;"&amp;AJ401,'JOBS'!$O$5:$O$1504,"&lt;&gt;Cancelled",'JOBS'!$O$5:$O$1504,"&lt;&gt;Rescheduled")+COUNTIFS($B$5:B401,B401,$AJ$5:AJ401,AJ401,$O$5:O401,"&lt;&gt;Cancelled",$O$5:O401,"&lt;&gt;Rescheduled")))</f>
        <v/>
      </c>
      <c r="AL401" s="49">
        <f>IF(N(U401)&lt;=0.005,"",COUNTIFS('JOBS'!$U$5:$U$1504,"&gt;0.005",'JOBS'!$B$5:$B$1504,"&lt;"&amp;B401)+COUNTIFS($U$5:U401,"&gt;0.005",$B$5:B401,B401))</f>
        <v/>
      </c>
    </row>
    <row r="402">
      <c r="A402" s="46" t="inlineStr">
        <is>
          <t>J-0398</t>
        </is>
      </c>
      <c r="B402" s="47" t="n"/>
      <c r="C402" s="94" t="n"/>
      <c r="D402" s="38" t="n"/>
      <c r="E402" s="38" t="n"/>
      <c r="F402" s="38" t="n"/>
      <c r="G402" s="38" t="n"/>
      <c r="H402" s="38" t="n"/>
      <c r="I402" s="57" t="n"/>
      <c r="J402" s="95" t="n"/>
      <c r="K402" s="95" t="n"/>
      <c r="L402" s="48" t="n"/>
      <c r="M402" s="96" t="n"/>
      <c r="N402" s="48" t="n"/>
      <c r="O402" s="38" t="n"/>
      <c r="P402" s="38" t="n"/>
      <c r="Q402" s="97">
        <f>IF(OR(F402="",E402=""),"",IFERROR(IF(INDEX('PROPERTIES'!$F$5:$F$404,MATCH(E402,'PROPERTIES'!$B$5:$B$404,0))=0,"",ROUND((INDEX('PROPERTIES'!$F$5:$F$404,MATCH(E402,'PROPERTIES'!$B$5:$B$404,0))/INDEX('PRICING'!$C$7:$C$16,MATCH(F402,'PRICING'!$A$7:$A$16,0))+INDEX('PROPERTIES'!$G$5:$G$404,MATCH(E402,'PROPERTIES'!$B$5:$B$404,0))*INDEX('PRICING'!$D$7:$D$16,MATCH(F402,'PRICING'!$A$7:$A$16,0))/60+INDEX('PROPERTIES'!$H$5:$H$404,MATCH(E402,'PROPERTIES'!$B$5:$B$404,0))*INDEX('PRICING'!$E$7:$E$16,MATCH(F402,'PRICING'!$A$7:$A$16,0))/60+INDEX('PRICING'!$F$7:$F$16,MATCH(F402,'PRICING'!$A$7:$A$16,0))/60),2)),""))</f>
        <v/>
      </c>
      <c r="R402" s="97">
        <f>IF(B402="","",IF(N(K402)&gt;0,K402,IF(N(J402)&gt;0,J402,N(Q402))))</f>
        <v/>
      </c>
      <c r="S402" s="55">
        <f>IF(L402="","",ROUND(L402*(1+N(M402)),2))</f>
        <v/>
      </c>
      <c r="T402" s="55">
        <f>IF(B402="","",SUMIFS('REVENUE'!$C$5:$C$1504,'REVENUE'!$B$5:$B$1504,A402))</f>
        <v/>
      </c>
      <c r="U402" s="55">
        <f>IF(B402="","",IF(O402="Completed",MAX(0,N(S402)-T402),""))</f>
        <v/>
      </c>
      <c r="V402" s="49">
        <f>IF(B402="","",IF(O402&lt;&gt;"Completed",IF(T402&gt;0,"Deposit","—"),IF(U402&lt;=0.005,"Paid",IF(T402&gt;0,"Partial","Unpaid"))))</f>
        <v/>
      </c>
      <c r="W402" s="55">
        <f>IF(B402="","",IFERROR(1/(1/INDEX('STAFF &amp; TASKS'!$C$5:$C$24,MATCH(H402,'STAFF &amp; TASKS'!$A$5:$A$24,0))),PayRate))</f>
        <v/>
      </c>
      <c r="X402" s="55">
        <f>IF(B402="","",IF(OR(O402="Cancelled",O402="No-Show"),"",ROUND(R402*W402*(1+Burden),2)))</f>
        <v/>
      </c>
      <c r="Y402" s="55">
        <f>IF(B402="","",IF(OR(O402="Cancelled",O402="No-Show"),"",IF(N402&lt;&gt;"",N402,ROUND(R402*SupHr*IFERROR(INDEX('PRICING'!$G$7:$G$16,MATCH(F402,'PRICING'!$A$7:$A$16,0)),1),2))))</f>
        <v/>
      </c>
      <c r="Z402" s="98">
        <f>IF(B402="","",SUMIFS('MILEAGE'!$J$5:$J$1504,'MILEAGE'!$B$5:$B$1504,A402))</f>
        <v/>
      </c>
      <c r="AA402" s="55">
        <f>IF(B402="","",ROUND(Z402*MileRate,2))</f>
        <v/>
      </c>
      <c r="AB402" s="55">
        <f>IF(B402="","",SUMIFS('REVENUE'!$J$5:$J$1504,'REVENUE'!$B$5:$B$1504,A402))</f>
        <v/>
      </c>
      <c r="AC402" s="55">
        <f>IF(L402="","",IF(OR(O402="Cancelled",O402="No-Show"),"",L402-N(X402)-N(Y402)-AA402-AB402))</f>
        <v/>
      </c>
      <c r="AD402" s="99">
        <f>IF(OR(AC402="",N(L402)=0),"",AC402/L402)</f>
        <v/>
      </c>
      <c r="AE402" s="55">
        <f>IF(OR(AC402="",N(R402)=0),"",L402/R402)</f>
        <v/>
      </c>
      <c r="AF402" s="100">
        <f>IF(OR(N(K402)=0,N(J402)+N(Q402)=0),"",K402-IF(N(J402)&gt;0,J402,Q402))</f>
        <v/>
      </c>
      <c r="AG402" s="99">
        <f>IF(B402="","",IFERROR(AVERAGEIFS('QUALITY CONTROL'!$M$5:$M$304,'QUALITY CONTROL'!$B$5:$B$304,A402),""))</f>
        <v/>
      </c>
      <c r="AH402" s="51">
        <f>IF(B402="","",DATE(YEAR(B402),MONTH(B402),1))</f>
        <v/>
      </c>
      <c r="AI402" s="49">
        <f>IF(D402="","",IFERROR(INDEX('CUSTOMERS'!$E$5:$E$404,MATCH(D402,'CUSTOMERS'!$B$5:$B$404,0)),""))</f>
        <v/>
      </c>
      <c r="AJ402" s="49">
        <f>IF(B402="","",N(C402))</f>
        <v/>
      </c>
      <c r="AK402" s="49">
        <f>IF(OR(B402="",O402="Cancelled",O402="Rescheduled"),"",B402&amp;"|"&amp;(COUNTIFS('JOBS'!$B$5:$B$1504,B402,'JOBS'!$AJ$5:$AJ$1504,"&lt;"&amp;AJ402,'JOBS'!$O$5:$O$1504,"&lt;&gt;Cancelled",'JOBS'!$O$5:$O$1504,"&lt;&gt;Rescheduled")+COUNTIFS($B$5:B402,B402,$AJ$5:AJ402,AJ402,$O$5:O402,"&lt;&gt;Cancelled",$O$5:O402,"&lt;&gt;Rescheduled")))</f>
        <v/>
      </c>
      <c r="AL402" s="49">
        <f>IF(N(U402)&lt;=0.005,"",COUNTIFS('JOBS'!$U$5:$U$1504,"&gt;0.005",'JOBS'!$B$5:$B$1504,"&lt;"&amp;B402)+COUNTIFS($U$5:U402,"&gt;0.005",$B$5:B402,B402))</f>
        <v/>
      </c>
    </row>
    <row r="403">
      <c r="A403" s="46" t="inlineStr">
        <is>
          <t>J-0399</t>
        </is>
      </c>
      <c r="B403" s="47" t="n"/>
      <c r="C403" s="94" t="n"/>
      <c r="D403" s="38" t="n"/>
      <c r="E403" s="38" t="n"/>
      <c r="F403" s="38" t="n"/>
      <c r="G403" s="38" t="n"/>
      <c r="H403" s="38" t="n"/>
      <c r="I403" s="57" t="n"/>
      <c r="J403" s="95" t="n"/>
      <c r="K403" s="95" t="n"/>
      <c r="L403" s="48" t="n"/>
      <c r="M403" s="96" t="n"/>
      <c r="N403" s="48" t="n"/>
      <c r="O403" s="38" t="n"/>
      <c r="P403" s="38" t="n"/>
      <c r="Q403" s="97">
        <f>IF(OR(F403="",E403=""),"",IFERROR(IF(INDEX('PROPERTIES'!$F$5:$F$404,MATCH(E403,'PROPERTIES'!$B$5:$B$404,0))=0,"",ROUND((INDEX('PROPERTIES'!$F$5:$F$404,MATCH(E403,'PROPERTIES'!$B$5:$B$404,0))/INDEX('PRICING'!$C$7:$C$16,MATCH(F403,'PRICING'!$A$7:$A$16,0))+INDEX('PROPERTIES'!$G$5:$G$404,MATCH(E403,'PROPERTIES'!$B$5:$B$404,0))*INDEX('PRICING'!$D$7:$D$16,MATCH(F403,'PRICING'!$A$7:$A$16,0))/60+INDEX('PROPERTIES'!$H$5:$H$404,MATCH(E403,'PROPERTIES'!$B$5:$B$404,0))*INDEX('PRICING'!$E$7:$E$16,MATCH(F403,'PRICING'!$A$7:$A$16,0))/60+INDEX('PRICING'!$F$7:$F$16,MATCH(F403,'PRICING'!$A$7:$A$16,0))/60),2)),""))</f>
        <v/>
      </c>
      <c r="R403" s="97">
        <f>IF(B403="","",IF(N(K403)&gt;0,K403,IF(N(J403)&gt;0,J403,N(Q403))))</f>
        <v/>
      </c>
      <c r="S403" s="55">
        <f>IF(L403="","",ROUND(L403*(1+N(M403)),2))</f>
        <v/>
      </c>
      <c r="T403" s="55">
        <f>IF(B403="","",SUMIFS('REVENUE'!$C$5:$C$1504,'REVENUE'!$B$5:$B$1504,A403))</f>
        <v/>
      </c>
      <c r="U403" s="55">
        <f>IF(B403="","",IF(O403="Completed",MAX(0,N(S403)-T403),""))</f>
        <v/>
      </c>
      <c r="V403" s="49">
        <f>IF(B403="","",IF(O403&lt;&gt;"Completed",IF(T403&gt;0,"Deposit","—"),IF(U403&lt;=0.005,"Paid",IF(T403&gt;0,"Partial","Unpaid"))))</f>
        <v/>
      </c>
      <c r="W403" s="55">
        <f>IF(B403="","",IFERROR(1/(1/INDEX('STAFF &amp; TASKS'!$C$5:$C$24,MATCH(H403,'STAFF &amp; TASKS'!$A$5:$A$24,0))),PayRate))</f>
        <v/>
      </c>
      <c r="X403" s="55">
        <f>IF(B403="","",IF(OR(O403="Cancelled",O403="No-Show"),"",ROUND(R403*W403*(1+Burden),2)))</f>
        <v/>
      </c>
      <c r="Y403" s="55">
        <f>IF(B403="","",IF(OR(O403="Cancelled",O403="No-Show"),"",IF(N403&lt;&gt;"",N403,ROUND(R403*SupHr*IFERROR(INDEX('PRICING'!$G$7:$G$16,MATCH(F403,'PRICING'!$A$7:$A$16,0)),1),2))))</f>
        <v/>
      </c>
      <c r="Z403" s="98">
        <f>IF(B403="","",SUMIFS('MILEAGE'!$J$5:$J$1504,'MILEAGE'!$B$5:$B$1504,A403))</f>
        <v/>
      </c>
      <c r="AA403" s="55">
        <f>IF(B403="","",ROUND(Z403*MileRate,2))</f>
        <v/>
      </c>
      <c r="AB403" s="55">
        <f>IF(B403="","",SUMIFS('REVENUE'!$J$5:$J$1504,'REVENUE'!$B$5:$B$1504,A403))</f>
        <v/>
      </c>
      <c r="AC403" s="55">
        <f>IF(L403="","",IF(OR(O403="Cancelled",O403="No-Show"),"",L403-N(X403)-N(Y403)-AA403-AB403))</f>
        <v/>
      </c>
      <c r="AD403" s="99">
        <f>IF(OR(AC403="",N(L403)=0),"",AC403/L403)</f>
        <v/>
      </c>
      <c r="AE403" s="55">
        <f>IF(OR(AC403="",N(R403)=0),"",L403/R403)</f>
        <v/>
      </c>
      <c r="AF403" s="100">
        <f>IF(OR(N(K403)=0,N(J403)+N(Q403)=0),"",K403-IF(N(J403)&gt;0,J403,Q403))</f>
        <v/>
      </c>
      <c r="AG403" s="99">
        <f>IF(B403="","",IFERROR(AVERAGEIFS('QUALITY CONTROL'!$M$5:$M$304,'QUALITY CONTROL'!$B$5:$B$304,A403),""))</f>
        <v/>
      </c>
      <c r="AH403" s="51">
        <f>IF(B403="","",DATE(YEAR(B403),MONTH(B403),1))</f>
        <v/>
      </c>
      <c r="AI403" s="49">
        <f>IF(D403="","",IFERROR(INDEX('CUSTOMERS'!$E$5:$E$404,MATCH(D403,'CUSTOMERS'!$B$5:$B$404,0)),""))</f>
        <v/>
      </c>
      <c r="AJ403" s="49">
        <f>IF(B403="","",N(C403))</f>
        <v/>
      </c>
      <c r="AK403" s="49">
        <f>IF(OR(B403="",O403="Cancelled",O403="Rescheduled"),"",B403&amp;"|"&amp;(COUNTIFS('JOBS'!$B$5:$B$1504,B403,'JOBS'!$AJ$5:$AJ$1504,"&lt;"&amp;AJ403,'JOBS'!$O$5:$O$1504,"&lt;&gt;Cancelled",'JOBS'!$O$5:$O$1504,"&lt;&gt;Rescheduled")+COUNTIFS($B$5:B403,B403,$AJ$5:AJ403,AJ403,$O$5:O403,"&lt;&gt;Cancelled",$O$5:O403,"&lt;&gt;Rescheduled")))</f>
        <v/>
      </c>
      <c r="AL403" s="49">
        <f>IF(N(U403)&lt;=0.005,"",COUNTIFS('JOBS'!$U$5:$U$1504,"&gt;0.005",'JOBS'!$B$5:$B$1504,"&lt;"&amp;B403)+COUNTIFS($U$5:U403,"&gt;0.005",$B$5:B403,B403))</f>
        <v/>
      </c>
    </row>
    <row r="404">
      <c r="A404" s="46" t="inlineStr">
        <is>
          <t>J-0400</t>
        </is>
      </c>
      <c r="B404" s="47" t="n"/>
      <c r="C404" s="94" t="n"/>
      <c r="D404" s="38" t="n"/>
      <c r="E404" s="38" t="n"/>
      <c r="F404" s="38" t="n"/>
      <c r="G404" s="38" t="n"/>
      <c r="H404" s="38" t="n"/>
      <c r="I404" s="57" t="n"/>
      <c r="J404" s="95" t="n"/>
      <c r="K404" s="95" t="n"/>
      <c r="L404" s="48" t="n"/>
      <c r="M404" s="96" t="n"/>
      <c r="N404" s="48" t="n"/>
      <c r="O404" s="38" t="n"/>
      <c r="P404" s="38" t="n"/>
      <c r="Q404" s="97">
        <f>IF(OR(F404="",E404=""),"",IFERROR(IF(INDEX('PROPERTIES'!$F$5:$F$404,MATCH(E404,'PROPERTIES'!$B$5:$B$404,0))=0,"",ROUND((INDEX('PROPERTIES'!$F$5:$F$404,MATCH(E404,'PROPERTIES'!$B$5:$B$404,0))/INDEX('PRICING'!$C$7:$C$16,MATCH(F404,'PRICING'!$A$7:$A$16,0))+INDEX('PROPERTIES'!$G$5:$G$404,MATCH(E404,'PROPERTIES'!$B$5:$B$404,0))*INDEX('PRICING'!$D$7:$D$16,MATCH(F404,'PRICING'!$A$7:$A$16,0))/60+INDEX('PROPERTIES'!$H$5:$H$404,MATCH(E404,'PROPERTIES'!$B$5:$B$404,0))*INDEX('PRICING'!$E$7:$E$16,MATCH(F404,'PRICING'!$A$7:$A$16,0))/60+INDEX('PRICING'!$F$7:$F$16,MATCH(F404,'PRICING'!$A$7:$A$16,0))/60),2)),""))</f>
        <v/>
      </c>
      <c r="R404" s="97">
        <f>IF(B404="","",IF(N(K404)&gt;0,K404,IF(N(J404)&gt;0,J404,N(Q404))))</f>
        <v/>
      </c>
      <c r="S404" s="55">
        <f>IF(L404="","",ROUND(L404*(1+N(M404)),2))</f>
        <v/>
      </c>
      <c r="T404" s="55">
        <f>IF(B404="","",SUMIFS('REVENUE'!$C$5:$C$1504,'REVENUE'!$B$5:$B$1504,A404))</f>
        <v/>
      </c>
      <c r="U404" s="55">
        <f>IF(B404="","",IF(O404="Completed",MAX(0,N(S404)-T404),""))</f>
        <v/>
      </c>
      <c r="V404" s="49">
        <f>IF(B404="","",IF(O404&lt;&gt;"Completed",IF(T404&gt;0,"Deposit","—"),IF(U404&lt;=0.005,"Paid",IF(T404&gt;0,"Partial","Unpaid"))))</f>
        <v/>
      </c>
      <c r="W404" s="55">
        <f>IF(B404="","",IFERROR(1/(1/INDEX('STAFF &amp; TASKS'!$C$5:$C$24,MATCH(H404,'STAFF &amp; TASKS'!$A$5:$A$24,0))),PayRate))</f>
        <v/>
      </c>
      <c r="X404" s="55">
        <f>IF(B404="","",IF(OR(O404="Cancelled",O404="No-Show"),"",ROUND(R404*W404*(1+Burden),2)))</f>
        <v/>
      </c>
      <c r="Y404" s="55">
        <f>IF(B404="","",IF(OR(O404="Cancelled",O404="No-Show"),"",IF(N404&lt;&gt;"",N404,ROUND(R404*SupHr*IFERROR(INDEX('PRICING'!$G$7:$G$16,MATCH(F404,'PRICING'!$A$7:$A$16,0)),1),2))))</f>
        <v/>
      </c>
      <c r="Z404" s="98">
        <f>IF(B404="","",SUMIFS('MILEAGE'!$J$5:$J$1504,'MILEAGE'!$B$5:$B$1504,A404))</f>
        <v/>
      </c>
      <c r="AA404" s="55">
        <f>IF(B404="","",ROUND(Z404*MileRate,2))</f>
        <v/>
      </c>
      <c r="AB404" s="55">
        <f>IF(B404="","",SUMIFS('REVENUE'!$J$5:$J$1504,'REVENUE'!$B$5:$B$1504,A404))</f>
        <v/>
      </c>
      <c r="AC404" s="55">
        <f>IF(L404="","",IF(OR(O404="Cancelled",O404="No-Show"),"",L404-N(X404)-N(Y404)-AA404-AB404))</f>
        <v/>
      </c>
      <c r="AD404" s="99">
        <f>IF(OR(AC404="",N(L404)=0),"",AC404/L404)</f>
        <v/>
      </c>
      <c r="AE404" s="55">
        <f>IF(OR(AC404="",N(R404)=0),"",L404/R404)</f>
        <v/>
      </c>
      <c r="AF404" s="100">
        <f>IF(OR(N(K404)=0,N(J404)+N(Q404)=0),"",K404-IF(N(J404)&gt;0,J404,Q404))</f>
        <v/>
      </c>
      <c r="AG404" s="99">
        <f>IF(B404="","",IFERROR(AVERAGEIFS('QUALITY CONTROL'!$M$5:$M$304,'QUALITY CONTROL'!$B$5:$B$304,A404),""))</f>
        <v/>
      </c>
      <c r="AH404" s="51">
        <f>IF(B404="","",DATE(YEAR(B404),MONTH(B404),1))</f>
        <v/>
      </c>
      <c r="AI404" s="49">
        <f>IF(D404="","",IFERROR(INDEX('CUSTOMERS'!$E$5:$E$404,MATCH(D404,'CUSTOMERS'!$B$5:$B$404,0)),""))</f>
        <v/>
      </c>
      <c r="AJ404" s="49">
        <f>IF(B404="","",N(C404))</f>
        <v/>
      </c>
      <c r="AK404" s="49">
        <f>IF(OR(B404="",O404="Cancelled",O404="Rescheduled"),"",B404&amp;"|"&amp;(COUNTIFS('JOBS'!$B$5:$B$1504,B404,'JOBS'!$AJ$5:$AJ$1504,"&lt;"&amp;AJ404,'JOBS'!$O$5:$O$1504,"&lt;&gt;Cancelled",'JOBS'!$O$5:$O$1504,"&lt;&gt;Rescheduled")+COUNTIFS($B$5:B404,B404,$AJ$5:AJ404,AJ404,$O$5:O404,"&lt;&gt;Cancelled",$O$5:O404,"&lt;&gt;Rescheduled")))</f>
        <v/>
      </c>
      <c r="AL404" s="49">
        <f>IF(N(U404)&lt;=0.005,"",COUNTIFS('JOBS'!$U$5:$U$1504,"&gt;0.005",'JOBS'!$B$5:$B$1504,"&lt;"&amp;B404)+COUNTIFS($U$5:U404,"&gt;0.005",$B$5:B404,B404))</f>
        <v/>
      </c>
    </row>
    <row r="405">
      <c r="A405" s="46" t="inlineStr">
        <is>
          <t>J-0401</t>
        </is>
      </c>
      <c r="B405" s="47" t="n"/>
      <c r="C405" s="94" t="n"/>
      <c r="D405" s="38" t="n"/>
      <c r="E405" s="38" t="n"/>
      <c r="F405" s="38" t="n"/>
      <c r="G405" s="38" t="n"/>
      <c r="H405" s="38" t="n"/>
      <c r="I405" s="57" t="n"/>
      <c r="J405" s="95" t="n"/>
      <c r="K405" s="95" t="n"/>
      <c r="L405" s="48" t="n"/>
      <c r="M405" s="96" t="n"/>
      <c r="N405" s="48" t="n"/>
      <c r="O405" s="38" t="n"/>
      <c r="P405" s="38" t="n"/>
      <c r="Q405" s="97">
        <f>IF(OR(F405="",E405=""),"",IFERROR(IF(INDEX('PROPERTIES'!$F$5:$F$404,MATCH(E405,'PROPERTIES'!$B$5:$B$404,0))=0,"",ROUND((INDEX('PROPERTIES'!$F$5:$F$404,MATCH(E405,'PROPERTIES'!$B$5:$B$404,0))/INDEX('PRICING'!$C$7:$C$16,MATCH(F405,'PRICING'!$A$7:$A$16,0))+INDEX('PROPERTIES'!$G$5:$G$404,MATCH(E405,'PROPERTIES'!$B$5:$B$404,0))*INDEX('PRICING'!$D$7:$D$16,MATCH(F405,'PRICING'!$A$7:$A$16,0))/60+INDEX('PROPERTIES'!$H$5:$H$404,MATCH(E405,'PROPERTIES'!$B$5:$B$404,0))*INDEX('PRICING'!$E$7:$E$16,MATCH(F405,'PRICING'!$A$7:$A$16,0))/60+INDEX('PRICING'!$F$7:$F$16,MATCH(F405,'PRICING'!$A$7:$A$16,0))/60),2)),""))</f>
        <v/>
      </c>
      <c r="R405" s="97">
        <f>IF(B405="","",IF(N(K405)&gt;0,K405,IF(N(J405)&gt;0,J405,N(Q405))))</f>
        <v/>
      </c>
      <c r="S405" s="55">
        <f>IF(L405="","",ROUND(L405*(1+N(M405)),2))</f>
        <v/>
      </c>
      <c r="T405" s="55">
        <f>IF(B405="","",SUMIFS('REVENUE'!$C$5:$C$1504,'REVENUE'!$B$5:$B$1504,A405))</f>
        <v/>
      </c>
      <c r="U405" s="55">
        <f>IF(B405="","",IF(O405="Completed",MAX(0,N(S405)-T405),""))</f>
        <v/>
      </c>
      <c r="V405" s="49">
        <f>IF(B405="","",IF(O405&lt;&gt;"Completed",IF(T405&gt;0,"Deposit","—"),IF(U405&lt;=0.005,"Paid",IF(T405&gt;0,"Partial","Unpaid"))))</f>
        <v/>
      </c>
      <c r="W405" s="55">
        <f>IF(B405="","",IFERROR(1/(1/INDEX('STAFF &amp; TASKS'!$C$5:$C$24,MATCH(H405,'STAFF &amp; TASKS'!$A$5:$A$24,0))),PayRate))</f>
        <v/>
      </c>
      <c r="X405" s="55">
        <f>IF(B405="","",IF(OR(O405="Cancelled",O405="No-Show"),"",ROUND(R405*W405*(1+Burden),2)))</f>
        <v/>
      </c>
      <c r="Y405" s="55">
        <f>IF(B405="","",IF(OR(O405="Cancelled",O405="No-Show"),"",IF(N405&lt;&gt;"",N405,ROUND(R405*SupHr*IFERROR(INDEX('PRICING'!$G$7:$G$16,MATCH(F405,'PRICING'!$A$7:$A$16,0)),1),2))))</f>
        <v/>
      </c>
      <c r="Z405" s="98">
        <f>IF(B405="","",SUMIFS('MILEAGE'!$J$5:$J$1504,'MILEAGE'!$B$5:$B$1504,A405))</f>
        <v/>
      </c>
      <c r="AA405" s="55">
        <f>IF(B405="","",ROUND(Z405*MileRate,2))</f>
        <v/>
      </c>
      <c r="AB405" s="55">
        <f>IF(B405="","",SUMIFS('REVENUE'!$J$5:$J$1504,'REVENUE'!$B$5:$B$1504,A405))</f>
        <v/>
      </c>
      <c r="AC405" s="55">
        <f>IF(L405="","",IF(OR(O405="Cancelled",O405="No-Show"),"",L405-N(X405)-N(Y405)-AA405-AB405))</f>
        <v/>
      </c>
      <c r="AD405" s="99">
        <f>IF(OR(AC405="",N(L405)=0),"",AC405/L405)</f>
        <v/>
      </c>
      <c r="AE405" s="55">
        <f>IF(OR(AC405="",N(R405)=0),"",L405/R405)</f>
        <v/>
      </c>
      <c r="AF405" s="100">
        <f>IF(OR(N(K405)=0,N(J405)+N(Q405)=0),"",K405-IF(N(J405)&gt;0,J405,Q405))</f>
        <v/>
      </c>
      <c r="AG405" s="99">
        <f>IF(B405="","",IFERROR(AVERAGEIFS('QUALITY CONTROL'!$M$5:$M$304,'QUALITY CONTROL'!$B$5:$B$304,A405),""))</f>
        <v/>
      </c>
      <c r="AH405" s="51">
        <f>IF(B405="","",DATE(YEAR(B405),MONTH(B405),1))</f>
        <v/>
      </c>
      <c r="AI405" s="49">
        <f>IF(D405="","",IFERROR(INDEX('CUSTOMERS'!$E$5:$E$404,MATCH(D405,'CUSTOMERS'!$B$5:$B$404,0)),""))</f>
        <v/>
      </c>
      <c r="AJ405" s="49">
        <f>IF(B405="","",N(C405))</f>
        <v/>
      </c>
      <c r="AK405" s="49">
        <f>IF(OR(B405="",O405="Cancelled",O405="Rescheduled"),"",B405&amp;"|"&amp;(COUNTIFS('JOBS'!$B$5:$B$1504,B405,'JOBS'!$AJ$5:$AJ$1504,"&lt;"&amp;AJ405,'JOBS'!$O$5:$O$1504,"&lt;&gt;Cancelled",'JOBS'!$O$5:$O$1504,"&lt;&gt;Rescheduled")+COUNTIFS($B$5:B405,B405,$AJ$5:AJ405,AJ405,$O$5:O405,"&lt;&gt;Cancelled",$O$5:O405,"&lt;&gt;Rescheduled")))</f>
        <v/>
      </c>
      <c r="AL405" s="49">
        <f>IF(N(U405)&lt;=0.005,"",COUNTIFS('JOBS'!$U$5:$U$1504,"&gt;0.005",'JOBS'!$B$5:$B$1504,"&lt;"&amp;B405)+COUNTIFS($U$5:U405,"&gt;0.005",$B$5:B405,B405))</f>
        <v/>
      </c>
    </row>
    <row r="406">
      <c r="A406" s="46" t="inlineStr">
        <is>
          <t>J-0402</t>
        </is>
      </c>
      <c r="B406" s="47" t="n"/>
      <c r="C406" s="94" t="n"/>
      <c r="D406" s="38" t="n"/>
      <c r="E406" s="38" t="n"/>
      <c r="F406" s="38" t="n"/>
      <c r="G406" s="38" t="n"/>
      <c r="H406" s="38" t="n"/>
      <c r="I406" s="57" t="n"/>
      <c r="J406" s="95" t="n"/>
      <c r="K406" s="95" t="n"/>
      <c r="L406" s="48" t="n"/>
      <c r="M406" s="96" t="n"/>
      <c r="N406" s="48" t="n"/>
      <c r="O406" s="38" t="n"/>
      <c r="P406" s="38" t="n"/>
      <c r="Q406" s="97">
        <f>IF(OR(F406="",E406=""),"",IFERROR(IF(INDEX('PROPERTIES'!$F$5:$F$404,MATCH(E406,'PROPERTIES'!$B$5:$B$404,0))=0,"",ROUND((INDEX('PROPERTIES'!$F$5:$F$404,MATCH(E406,'PROPERTIES'!$B$5:$B$404,0))/INDEX('PRICING'!$C$7:$C$16,MATCH(F406,'PRICING'!$A$7:$A$16,0))+INDEX('PROPERTIES'!$G$5:$G$404,MATCH(E406,'PROPERTIES'!$B$5:$B$404,0))*INDEX('PRICING'!$D$7:$D$16,MATCH(F406,'PRICING'!$A$7:$A$16,0))/60+INDEX('PROPERTIES'!$H$5:$H$404,MATCH(E406,'PROPERTIES'!$B$5:$B$404,0))*INDEX('PRICING'!$E$7:$E$16,MATCH(F406,'PRICING'!$A$7:$A$16,0))/60+INDEX('PRICING'!$F$7:$F$16,MATCH(F406,'PRICING'!$A$7:$A$16,0))/60),2)),""))</f>
        <v/>
      </c>
      <c r="R406" s="97">
        <f>IF(B406="","",IF(N(K406)&gt;0,K406,IF(N(J406)&gt;0,J406,N(Q406))))</f>
        <v/>
      </c>
      <c r="S406" s="55">
        <f>IF(L406="","",ROUND(L406*(1+N(M406)),2))</f>
        <v/>
      </c>
      <c r="T406" s="55">
        <f>IF(B406="","",SUMIFS('REVENUE'!$C$5:$C$1504,'REVENUE'!$B$5:$B$1504,A406))</f>
        <v/>
      </c>
      <c r="U406" s="55">
        <f>IF(B406="","",IF(O406="Completed",MAX(0,N(S406)-T406),""))</f>
        <v/>
      </c>
      <c r="V406" s="49">
        <f>IF(B406="","",IF(O406&lt;&gt;"Completed",IF(T406&gt;0,"Deposit","—"),IF(U406&lt;=0.005,"Paid",IF(T406&gt;0,"Partial","Unpaid"))))</f>
        <v/>
      </c>
      <c r="W406" s="55">
        <f>IF(B406="","",IFERROR(1/(1/INDEX('STAFF &amp; TASKS'!$C$5:$C$24,MATCH(H406,'STAFF &amp; TASKS'!$A$5:$A$24,0))),PayRate))</f>
        <v/>
      </c>
      <c r="X406" s="55">
        <f>IF(B406="","",IF(OR(O406="Cancelled",O406="No-Show"),"",ROUND(R406*W406*(1+Burden),2)))</f>
        <v/>
      </c>
      <c r="Y406" s="55">
        <f>IF(B406="","",IF(OR(O406="Cancelled",O406="No-Show"),"",IF(N406&lt;&gt;"",N406,ROUND(R406*SupHr*IFERROR(INDEX('PRICING'!$G$7:$G$16,MATCH(F406,'PRICING'!$A$7:$A$16,0)),1),2))))</f>
        <v/>
      </c>
      <c r="Z406" s="98">
        <f>IF(B406="","",SUMIFS('MILEAGE'!$J$5:$J$1504,'MILEAGE'!$B$5:$B$1504,A406))</f>
        <v/>
      </c>
      <c r="AA406" s="55">
        <f>IF(B406="","",ROUND(Z406*MileRate,2))</f>
        <v/>
      </c>
      <c r="AB406" s="55">
        <f>IF(B406="","",SUMIFS('REVENUE'!$J$5:$J$1504,'REVENUE'!$B$5:$B$1504,A406))</f>
        <v/>
      </c>
      <c r="AC406" s="55">
        <f>IF(L406="","",IF(OR(O406="Cancelled",O406="No-Show"),"",L406-N(X406)-N(Y406)-AA406-AB406))</f>
        <v/>
      </c>
      <c r="AD406" s="99">
        <f>IF(OR(AC406="",N(L406)=0),"",AC406/L406)</f>
        <v/>
      </c>
      <c r="AE406" s="55">
        <f>IF(OR(AC406="",N(R406)=0),"",L406/R406)</f>
        <v/>
      </c>
      <c r="AF406" s="100">
        <f>IF(OR(N(K406)=0,N(J406)+N(Q406)=0),"",K406-IF(N(J406)&gt;0,J406,Q406))</f>
        <v/>
      </c>
      <c r="AG406" s="99">
        <f>IF(B406="","",IFERROR(AVERAGEIFS('QUALITY CONTROL'!$M$5:$M$304,'QUALITY CONTROL'!$B$5:$B$304,A406),""))</f>
        <v/>
      </c>
      <c r="AH406" s="51">
        <f>IF(B406="","",DATE(YEAR(B406),MONTH(B406),1))</f>
        <v/>
      </c>
      <c r="AI406" s="49">
        <f>IF(D406="","",IFERROR(INDEX('CUSTOMERS'!$E$5:$E$404,MATCH(D406,'CUSTOMERS'!$B$5:$B$404,0)),""))</f>
        <v/>
      </c>
      <c r="AJ406" s="49">
        <f>IF(B406="","",N(C406))</f>
        <v/>
      </c>
      <c r="AK406" s="49">
        <f>IF(OR(B406="",O406="Cancelled",O406="Rescheduled"),"",B406&amp;"|"&amp;(COUNTIFS('JOBS'!$B$5:$B$1504,B406,'JOBS'!$AJ$5:$AJ$1504,"&lt;"&amp;AJ406,'JOBS'!$O$5:$O$1504,"&lt;&gt;Cancelled",'JOBS'!$O$5:$O$1504,"&lt;&gt;Rescheduled")+COUNTIFS($B$5:B406,B406,$AJ$5:AJ406,AJ406,$O$5:O406,"&lt;&gt;Cancelled",$O$5:O406,"&lt;&gt;Rescheduled")))</f>
        <v/>
      </c>
      <c r="AL406" s="49">
        <f>IF(N(U406)&lt;=0.005,"",COUNTIFS('JOBS'!$U$5:$U$1504,"&gt;0.005",'JOBS'!$B$5:$B$1504,"&lt;"&amp;B406)+COUNTIFS($U$5:U406,"&gt;0.005",$B$5:B406,B406))</f>
        <v/>
      </c>
    </row>
    <row r="407">
      <c r="A407" s="46" t="inlineStr">
        <is>
          <t>J-0403</t>
        </is>
      </c>
      <c r="B407" s="47" t="n"/>
      <c r="C407" s="94" t="n"/>
      <c r="D407" s="38" t="n"/>
      <c r="E407" s="38" t="n"/>
      <c r="F407" s="38" t="n"/>
      <c r="G407" s="38" t="n"/>
      <c r="H407" s="38" t="n"/>
      <c r="I407" s="57" t="n"/>
      <c r="J407" s="95" t="n"/>
      <c r="K407" s="95" t="n"/>
      <c r="L407" s="48" t="n"/>
      <c r="M407" s="96" t="n"/>
      <c r="N407" s="48" t="n"/>
      <c r="O407" s="38" t="n"/>
      <c r="P407" s="38" t="n"/>
      <c r="Q407" s="97">
        <f>IF(OR(F407="",E407=""),"",IFERROR(IF(INDEX('PROPERTIES'!$F$5:$F$404,MATCH(E407,'PROPERTIES'!$B$5:$B$404,0))=0,"",ROUND((INDEX('PROPERTIES'!$F$5:$F$404,MATCH(E407,'PROPERTIES'!$B$5:$B$404,0))/INDEX('PRICING'!$C$7:$C$16,MATCH(F407,'PRICING'!$A$7:$A$16,0))+INDEX('PROPERTIES'!$G$5:$G$404,MATCH(E407,'PROPERTIES'!$B$5:$B$404,0))*INDEX('PRICING'!$D$7:$D$16,MATCH(F407,'PRICING'!$A$7:$A$16,0))/60+INDEX('PROPERTIES'!$H$5:$H$404,MATCH(E407,'PROPERTIES'!$B$5:$B$404,0))*INDEX('PRICING'!$E$7:$E$16,MATCH(F407,'PRICING'!$A$7:$A$16,0))/60+INDEX('PRICING'!$F$7:$F$16,MATCH(F407,'PRICING'!$A$7:$A$16,0))/60),2)),""))</f>
        <v/>
      </c>
      <c r="R407" s="97">
        <f>IF(B407="","",IF(N(K407)&gt;0,K407,IF(N(J407)&gt;0,J407,N(Q407))))</f>
        <v/>
      </c>
      <c r="S407" s="55">
        <f>IF(L407="","",ROUND(L407*(1+N(M407)),2))</f>
        <v/>
      </c>
      <c r="T407" s="55">
        <f>IF(B407="","",SUMIFS('REVENUE'!$C$5:$C$1504,'REVENUE'!$B$5:$B$1504,A407))</f>
        <v/>
      </c>
      <c r="U407" s="55">
        <f>IF(B407="","",IF(O407="Completed",MAX(0,N(S407)-T407),""))</f>
        <v/>
      </c>
      <c r="V407" s="49">
        <f>IF(B407="","",IF(O407&lt;&gt;"Completed",IF(T407&gt;0,"Deposit","—"),IF(U407&lt;=0.005,"Paid",IF(T407&gt;0,"Partial","Unpaid"))))</f>
        <v/>
      </c>
      <c r="W407" s="55">
        <f>IF(B407="","",IFERROR(1/(1/INDEX('STAFF &amp; TASKS'!$C$5:$C$24,MATCH(H407,'STAFF &amp; TASKS'!$A$5:$A$24,0))),PayRate))</f>
        <v/>
      </c>
      <c r="X407" s="55">
        <f>IF(B407="","",IF(OR(O407="Cancelled",O407="No-Show"),"",ROUND(R407*W407*(1+Burden),2)))</f>
        <v/>
      </c>
      <c r="Y407" s="55">
        <f>IF(B407="","",IF(OR(O407="Cancelled",O407="No-Show"),"",IF(N407&lt;&gt;"",N407,ROUND(R407*SupHr*IFERROR(INDEX('PRICING'!$G$7:$G$16,MATCH(F407,'PRICING'!$A$7:$A$16,0)),1),2))))</f>
        <v/>
      </c>
      <c r="Z407" s="98">
        <f>IF(B407="","",SUMIFS('MILEAGE'!$J$5:$J$1504,'MILEAGE'!$B$5:$B$1504,A407))</f>
        <v/>
      </c>
      <c r="AA407" s="55">
        <f>IF(B407="","",ROUND(Z407*MileRate,2))</f>
        <v/>
      </c>
      <c r="AB407" s="55">
        <f>IF(B407="","",SUMIFS('REVENUE'!$J$5:$J$1504,'REVENUE'!$B$5:$B$1504,A407))</f>
        <v/>
      </c>
      <c r="AC407" s="55">
        <f>IF(L407="","",IF(OR(O407="Cancelled",O407="No-Show"),"",L407-N(X407)-N(Y407)-AA407-AB407))</f>
        <v/>
      </c>
      <c r="AD407" s="99">
        <f>IF(OR(AC407="",N(L407)=0),"",AC407/L407)</f>
        <v/>
      </c>
      <c r="AE407" s="55">
        <f>IF(OR(AC407="",N(R407)=0),"",L407/R407)</f>
        <v/>
      </c>
      <c r="AF407" s="100">
        <f>IF(OR(N(K407)=0,N(J407)+N(Q407)=0),"",K407-IF(N(J407)&gt;0,J407,Q407))</f>
        <v/>
      </c>
      <c r="AG407" s="99">
        <f>IF(B407="","",IFERROR(AVERAGEIFS('QUALITY CONTROL'!$M$5:$M$304,'QUALITY CONTROL'!$B$5:$B$304,A407),""))</f>
        <v/>
      </c>
      <c r="AH407" s="51">
        <f>IF(B407="","",DATE(YEAR(B407),MONTH(B407),1))</f>
        <v/>
      </c>
      <c r="AI407" s="49">
        <f>IF(D407="","",IFERROR(INDEX('CUSTOMERS'!$E$5:$E$404,MATCH(D407,'CUSTOMERS'!$B$5:$B$404,0)),""))</f>
        <v/>
      </c>
      <c r="AJ407" s="49">
        <f>IF(B407="","",N(C407))</f>
        <v/>
      </c>
      <c r="AK407" s="49">
        <f>IF(OR(B407="",O407="Cancelled",O407="Rescheduled"),"",B407&amp;"|"&amp;(COUNTIFS('JOBS'!$B$5:$B$1504,B407,'JOBS'!$AJ$5:$AJ$1504,"&lt;"&amp;AJ407,'JOBS'!$O$5:$O$1504,"&lt;&gt;Cancelled",'JOBS'!$O$5:$O$1504,"&lt;&gt;Rescheduled")+COUNTIFS($B$5:B407,B407,$AJ$5:AJ407,AJ407,$O$5:O407,"&lt;&gt;Cancelled",$O$5:O407,"&lt;&gt;Rescheduled")))</f>
        <v/>
      </c>
      <c r="AL407" s="49">
        <f>IF(N(U407)&lt;=0.005,"",COUNTIFS('JOBS'!$U$5:$U$1504,"&gt;0.005",'JOBS'!$B$5:$B$1504,"&lt;"&amp;B407)+COUNTIFS($U$5:U407,"&gt;0.005",$B$5:B407,B407))</f>
        <v/>
      </c>
    </row>
    <row r="408">
      <c r="A408" s="46" t="inlineStr">
        <is>
          <t>J-0404</t>
        </is>
      </c>
      <c r="B408" s="47" t="n"/>
      <c r="C408" s="94" t="n"/>
      <c r="D408" s="38" t="n"/>
      <c r="E408" s="38" t="n"/>
      <c r="F408" s="38" t="n"/>
      <c r="G408" s="38" t="n"/>
      <c r="H408" s="38" t="n"/>
      <c r="I408" s="57" t="n"/>
      <c r="J408" s="95" t="n"/>
      <c r="K408" s="95" t="n"/>
      <c r="L408" s="48" t="n"/>
      <c r="M408" s="96" t="n"/>
      <c r="N408" s="48" t="n"/>
      <c r="O408" s="38" t="n"/>
      <c r="P408" s="38" t="n"/>
      <c r="Q408" s="97">
        <f>IF(OR(F408="",E408=""),"",IFERROR(IF(INDEX('PROPERTIES'!$F$5:$F$404,MATCH(E408,'PROPERTIES'!$B$5:$B$404,0))=0,"",ROUND((INDEX('PROPERTIES'!$F$5:$F$404,MATCH(E408,'PROPERTIES'!$B$5:$B$404,0))/INDEX('PRICING'!$C$7:$C$16,MATCH(F408,'PRICING'!$A$7:$A$16,0))+INDEX('PROPERTIES'!$G$5:$G$404,MATCH(E408,'PROPERTIES'!$B$5:$B$404,0))*INDEX('PRICING'!$D$7:$D$16,MATCH(F408,'PRICING'!$A$7:$A$16,0))/60+INDEX('PROPERTIES'!$H$5:$H$404,MATCH(E408,'PROPERTIES'!$B$5:$B$404,0))*INDEX('PRICING'!$E$7:$E$16,MATCH(F408,'PRICING'!$A$7:$A$16,0))/60+INDEX('PRICING'!$F$7:$F$16,MATCH(F408,'PRICING'!$A$7:$A$16,0))/60),2)),""))</f>
        <v/>
      </c>
      <c r="R408" s="97">
        <f>IF(B408="","",IF(N(K408)&gt;0,K408,IF(N(J408)&gt;0,J408,N(Q408))))</f>
        <v/>
      </c>
      <c r="S408" s="55">
        <f>IF(L408="","",ROUND(L408*(1+N(M408)),2))</f>
        <v/>
      </c>
      <c r="T408" s="55">
        <f>IF(B408="","",SUMIFS('REVENUE'!$C$5:$C$1504,'REVENUE'!$B$5:$B$1504,A408))</f>
        <v/>
      </c>
      <c r="U408" s="55">
        <f>IF(B408="","",IF(O408="Completed",MAX(0,N(S408)-T408),""))</f>
        <v/>
      </c>
      <c r="V408" s="49">
        <f>IF(B408="","",IF(O408&lt;&gt;"Completed",IF(T408&gt;0,"Deposit","—"),IF(U408&lt;=0.005,"Paid",IF(T408&gt;0,"Partial","Unpaid"))))</f>
        <v/>
      </c>
      <c r="W408" s="55">
        <f>IF(B408="","",IFERROR(1/(1/INDEX('STAFF &amp; TASKS'!$C$5:$C$24,MATCH(H408,'STAFF &amp; TASKS'!$A$5:$A$24,0))),PayRate))</f>
        <v/>
      </c>
      <c r="X408" s="55">
        <f>IF(B408="","",IF(OR(O408="Cancelled",O408="No-Show"),"",ROUND(R408*W408*(1+Burden),2)))</f>
        <v/>
      </c>
      <c r="Y408" s="55">
        <f>IF(B408="","",IF(OR(O408="Cancelled",O408="No-Show"),"",IF(N408&lt;&gt;"",N408,ROUND(R408*SupHr*IFERROR(INDEX('PRICING'!$G$7:$G$16,MATCH(F408,'PRICING'!$A$7:$A$16,0)),1),2))))</f>
        <v/>
      </c>
      <c r="Z408" s="98">
        <f>IF(B408="","",SUMIFS('MILEAGE'!$J$5:$J$1504,'MILEAGE'!$B$5:$B$1504,A408))</f>
        <v/>
      </c>
      <c r="AA408" s="55">
        <f>IF(B408="","",ROUND(Z408*MileRate,2))</f>
        <v/>
      </c>
      <c r="AB408" s="55">
        <f>IF(B408="","",SUMIFS('REVENUE'!$J$5:$J$1504,'REVENUE'!$B$5:$B$1504,A408))</f>
        <v/>
      </c>
      <c r="AC408" s="55">
        <f>IF(L408="","",IF(OR(O408="Cancelled",O408="No-Show"),"",L408-N(X408)-N(Y408)-AA408-AB408))</f>
        <v/>
      </c>
      <c r="AD408" s="99">
        <f>IF(OR(AC408="",N(L408)=0),"",AC408/L408)</f>
        <v/>
      </c>
      <c r="AE408" s="55">
        <f>IF(OR(AC408="",N(R408)=0),"",L408/R408)</f>
        <v/>
      </c>
      <c r="AF408" s="100">
        <f>IF(OR(N(K408)=0,N(J408)+N(Q408)=0),"",K408-IF(N(J408)&gt;0,J408,Q408))</f>
        <v/>
      </c>
      <c r="AG408" s="99">
        <f>IF(B408="","",IFERROR(AVERAGEIFS('QUALITY CONTROL'!$M$5:$M$304,'QUALITY CONTROL'!$B$5:$B$304,A408),""))</f>
        <v/>
      </c>
      <c r="AH408" s="51">
        <f>IF(B408="","",DATE(YEAR(B408),MONTH(B408),1))</f>
        <v/>
      </c>
      <c r="AI408" s="49">
        <f>IF(D408="","",IFERROR(INDEX('CUSTOMERS'!$E$5:$E$404,MATCH(D408,'CUSTOMERS'!$B$5:$B$404,0)),""))</f>
        <v/>
      </c>
      <c r="AJ408" s="49">
        <f>IF(B408="","",N(C408))</f>
        <v/>
      </c>
      <c r="AK408" s="49">
        <f>IF(OR(B408="",O408="Cancelled",O408="Rescheduled"),"",B408&amp;"|"&amp;(COUNTIFS('JOBS'!$B$5:$B$1504,B408,'JOBS'!$AJ$5:$AJ$1504,"&lt;"&amp;AJ408,'JOBS'!$O$5:$O$1504,"&lt;&gt;Cancelled",'JOBS'!$O$5:$O$1504,"&lt;&gt;Rescheduled")+COUNTIFS($B$5:B408,B408,$AJ$5:AJ408,AJ408,$O$5:O408,"&lt;&gt;Cancelled",$O$5:O408,"&lt;&gt;Rescheduled")))</f>
        <v/>
      </c>
      <c r="AL408" s="49">
        <f>IF(N(U408)&lt;=0.005,"",COUNTIFS('JOBS'!$U$5:$U$1504,"&gt;0.005",'JOBS'!$B$5:$B$1504,"&lt;"&amp;B408)+COUNTIFS($U$5:U408,"&gt;0.005",$B$5:B408,B408))</f>
        <v/>
      </c>
    </row>
    <row r="409">
      <c r="A409" s="46" t="inlineStr">
        <is>
          <t>J-0405</t>
        </is>
      </c>
      <c r="B409" s="47" t="n"/>
      <c r="C409" s="94" t="n"/>
      <c r="D409" s="38" t="n"/>
      <c r="E409" s="38" t="n"/>
      <c r="F409" s="38" t="n"/>
      <c r="G409" s="38" t="n"/>
      <c r="H409" s="38" t="n"/>
      <c r="I409" s="57" t="n"/>
      <c r="J409" s="95" t="n"/>
      <c r="K409" s="95" t="n"/>
      <c r="L409" s="48" t="n"/>
      <c r="M409" s="96" t="n"/>
      <c r="N409" s="48" t="n"/>
      <c r="O409" s="38" t="n"/>
      <c r="P409" s="38" t="n"/>
      <c r="Q409" s="97">
        <f>IF(OR(F409="",E409=""),"",IFERROR(IF(INDEX('PROPERTIES'!$F$5:$F$404,MATCH(E409,'PROPERTIES'!$B$5:$B$404,0))=0,"",ROUND((INDEX('PROPERTIES'!$F$5:$F$404,MATCH(E409,'PROPERTIES'!$B$5:$B$404,0))/INDEX('PRICING'!$C$7:$C$16,MATCH(F409,'PRICING'!$A$7:$A$16,0))+INDEX('PROPERTIES'!$G$5:$G$404,MATCH(E409,'PROPERTIES'!$B$5:$B$404,0))*INDEX('PRICING'!$D$7:$D$16,MATCH(F409,'PRICING'!$A$7:$A$16,0))/60+INDEX('PROPERTIES'!$H$5:$H$404,MATCH(E409,'PROPERTIES'!$B$5:$B$404,0))*INDEX('PRICING'!$E$7:$E$16,MATCH(F409,'PRICING'!$A$7:$A$16,0))/60+INDEX('PRICING'!$F$7:$F$16,MATCH(F409,'PRICING'!$A$7:$A$16,0))/60),2)),""))</f>
        <v/>
      </c>
      <c r="R409" s="97">
        <f>IF(B409="","",IF(N(K409)&gt;0,K409,IF(N(J409)&gt;0,J409,N(Q409))))</f>
        <v/>
      </c>
      <c r="S409" s="55">
        <f>IF(L409="","",ROUND(L409*(1+N(M409)),2))</f>
        <v/>
      </c>
      <c r="T409" s="55">
        <f>IF(B409="","",SUMIFS('REVENUE'!$C$5:$C$1504,'REVENUE'!$B$5:$B$1504,A409))</f>
        <v/>
      </c>
      <c r="U409" s="55">
        <f>IF(B409="","",IF(O409="Completed",MAX(0,N(S409)-T409),""))</f>
        <v/>
      </c>
      <c r="V409" s="49">
        <f>IF(B409="","",IF(O409&lt;&gt;"Completed",IF(T409&gt;0,"Deposit","—"),IF(U409&lt;=0.005,"Paid",IF(T409&gt;0,"Partial","Unpaid"))))</f>
        <v/>
      </c>
      <c r="W409" s="55">
        <f>IF(B409="","",IFERROR(1/(1/INDEX('STAFF &amp; TASKS'!$C$5:$C$24,MATCH(H409,'STAFF &amp; TASKS'!$A$5:$A$24,0))),PayRate))</f>
        <v/>
      </c>
      <c r="X409" s="55">
        <f>IF(B409="","",IF(OR(O409="Cancelled",O409="No-Show"),"",ROUND(R409*W409*(1+Burden),2)))</f>
        <v/>
      </c>
      <c r="Y409" s="55">
        <f>IF(B409="","",IF(OR(O409="Cancelled",O409="No-Show"),"",IF(N409&lt;&gt;"",N409,ROUND(R409*SupHr*IFERROR(INDEX('PRICING'!$G$7:$G$16,MATCH(F409,'PRICING'!$A$7:$A$16,0)),1),2))))</f>
        <v/>
      </c>
      <c r="Z409" s="98">
        <f>IF(B409="","",SUMIFS('MILEAGE'!$J$5:$J$1504,'MILEAGE'!$B$5:$B$1504,A409))</f>
        <v/>
      </c>
      <c r="AA409" s="55">
        <f>IF(B409="","",ROUND(Z409*MileRate,2))</f>
        <v/>
      </c>
      <c r="AB409" s="55">
        <f>IF(B409="","",SUMIFS('REVENUE'!$J$5:$J$1504,'REVENUE'!$B$5:$B$1504,A409))</f>
        <v/>
      </c>
      <c r="AC409" s="55">
        <f>IF(L409="","",IF(OR(O409="Cancelled",O409="No-Show"),"",L409-N(X409)-N(Y409)-AA409-AB409))</f>
        <v/>
      </c>
      <c r="AD409" s="99">
        <f>IF(OR(AC409="",N(L409)=0),"",AC409/L409)</f>
        <v/>
      </c>
      <c r="AE409" s="55">
        <f>IF(OR(AC409="",N(R409)=0),"",L409/R409)</f>
        <v/>
      </c>
      <c r="AF409" s="100">
        <f>IF(OR(N(K409)=0,N(J409)+N(Q409)=0),"",K409-IF(N(J409)&gt;0,J409,Q409))</f>
        <v/>
      </c>
      <c r="AG409" s="99">
        <f>IF(B409="","",IFERROR(AVERAGEIFS('QUALITY CONTROL'!$M$5:$M$304,'QUALITY CONTROL'!$B$5:$B$304,A409),""))</f>
        <v/>
      </c>
      <c r="AH409" s="51">
        <f>IF(B409="","",DATE(YEAR(B409),MONTH(B409),1))</f>
        <v/>
      </c>
      <c r="AI409" s="49">
        <f>IF(D409="","",IFERROR(INDEX('CUSTOMERS'!$E$5:$E$404,MATCH(D409,'CUSTOMERS'!$B$5:$B$404,0)),""))</f>
        <v/>
      </c>
      <c r="AJ409" s="49">
        <f>IF(B409="","",N(C409))</f>
        <v/>
      </c>
      <c r="AK409" s="49">
        <f>IF(OR(B409="",O409="Cancelled",O409="Rescheduled"),"",B409&amp;"|"&amp;(COUNTIFS('JOBS'!$B$5:$B$1504,B409,'JOBS'!$AJ$5:$AJ$1504,"&lt;"&amp;AJ409,'JOBS'!$O$5:$O$1504,"&lt;&gt;Cancelled",'JOBS'!$O$5:$O$1504,"&lt;&gt;Rescheduled")+COUNTIFS($B$5:B409,B409,$AJ$5:AJ409,AJ409,$O$5:O409,"&lt;&gt;Cancelled",$O$5:O409,"&lt;&gt;Rescheduled")))</f>
        <v/>
      </c>
      <c r="AL409" s="49">
        <f>IF(N(U409)&lt;=0.005,"",COUNTIFS('JOBS'!$U$5:$U$1504,"&gt;0.005",'JOBS'!$B$5:$B$1504,"&lt;"&amp;B409)+COUNTIFS($U$5:U409,"&gt;0.005",$B$5:B409,B409))</f>
        <v/>
      </c>
    </row>
    <row r="410">
      <c r="A410" s="46" t="inlineStr">
        <is>
          <t>J-0406</t>
        </is>
      </c>
      <c r="B410" s="47" t="n"/>
      <c r="C410" s="94" t="n"/>
      <c r="D410" s="38" t="n"/>
      <c r="E410" s="38" t="n"/>
      <c r="F410" s="38" t="n"/>
      <c r="G410" s="38" t="n"/>
      <c r="H410" s="38" t="n"/>
      <c r="I410" s="57" t="n"/>
      <c r="J410" s="95" t="n"/>
      <c r="K410" s="95" t="n"/>
      <c r="L410" s="48" t="n"/>
      <c r="M410" s="96" t="n"/>
      <c r="N410" s="48" t="n"/>
      <c r="O410" s="38" t="n"/>
      <c r="P410" s="38" t="n"/>
      <c r="Q410" s="97">
        <f>IF(OR(F410="",E410=""),"",IFERROR(IF(INDEX('PROPERTIES'!$F$5:$F$404,MATCH(E410,'PROPERTIES'!$B$5:$B$404,0))=0,"",ROUND((INDEX('PROPERTIES'!$F$5:$F$404,MATCH(E410,'PROPERTIES'!$B$5:$B$404,0))/INDEX('PRICING'!$C$7:$C$16,MATCH(F410,'PRICING'!$A$7:$A$16,0))+INDEX('PROPERTIES'!$G$5:$G$404,MATCH(E410,'PROPERTIES'!$B$5:$B$404,0))*INDEX('PRICING'!$D$7:$D$16,MATCH(F410,'PRICING'!$A$7:$A$16,0))/60+INDEX('PROPERTIES'!$H$5:$H$404,MATCH(E410,'PROPERTIES'!$B$5:$B$404,0))*INDEX('PRICING'!$E$7:$E$16,MATCH(F410,'PRICING'!$A$7:$A$16,0))/60+INDEX('PRICING'!$F$7:$F$16,MATCH(F410,'PRICING'!$A$7:$A$16,0))/60),2)),""))</f>
        <v/>
      </c>
      <c r="R410" s="97">
        <f>IF(B410="","",IF(N(K410)&gt;0,K410,IF(N(J410)&gt;0,J410,N(Q410))))</f>
        <v/>
      </c>
      <c r="S410" s="55">
        <f>IF(L410="","",ROUND(L410*(1+N(M410)),2))</f>
        <v/>
      </c>
      <c r="T410" s="55">
        <f>IF(B410="","",SUMIFS('REVENUE'!$C$5:$C$1504,'REVENUE'!$B$5:$B$1504,A410))</f>
        <v/>
      </c>
      <c r="U410" s="55">
        <f>IF(B410="","",IF(O410="Completed",MAX(0,N(S410)-T410),""))</f>
        <v/>
      </c>
      <c r="V410" s="49">
        <f>IF(B410="","",IF(O410&lt;&gt;"Completed",IF(T410&gt;0,"Deposit","—"),IF(U410&lt;=0.005,"Paid",IF(T410&gt;0,"Partial","Unpaid"))))</f>
        <v/>
      </c>
      <c r="W410" s="55">
        <f>IF(B410="","",IFERROR(1/(1/INDEX('STAFF &amp; TASKS'!$C$5:$C$24,MATCH(H410,'STAFF &amp; TASKS'!$A$5:$A$24,0))),PayRate))</f>
        <v/>
      </c>
      <c r="X410" s="55">
        <f>IF(B410="","",IF(OR(O410="Cancelled",O410="No-Show"),"",ROUND(R410*W410*(1+Burden),2)))</f>
        <v/>
      </c>
      <c r="Y410" s="55">
        <f>IF(B410="","",IF(OR(O410="Cancelled",O410="No-Show"),"",IF(N410&lt;&gt;"",N410,ROUND(R410*SupHr*IFERROR(INDEX('PRICING'!$G$7:$G$16,MATCH(F410,'PRICING'!$A$7:$A$16,0)),1),2))))</f>
        <v/>
      </c>
      <c r="Z410" s="98">
        <f>IF(B410="","",SUMIFS('MILEAGE'!$J$5:$J$1504,'MILEAGE'!$B$5:$B$1504,A410))</f>
        <v/>
      </c>
      <c r="AA410" s="55">
        <f>IF(B410="","",ROUND(Z410*MileRate,2))</f>
        <v/>
      </c>
      <c r="AB410" s="55">
        <f>IF(B410="","",SUMIFS('REVENUE'!$J$5:$J$1504,'REVENUE'!$B$5:$B$1504,A410))</f>
        <v/>
      </c>
      <c r="AC410" s="55">
        <f>IF(L410="","",IF(OR(O410="Cancelled",O410="No-Show"),"",L410-N(X410)-N(Y410)-AA410-AB410))</f>
        <v/>
      </c>
      <c r="AD410" s="99">
        <f>IF(OR(AC410="",N(L410)=0),"",AC410/L410)</f>
        <v/>
      </c>
      <c r="AE410" s="55">
        <f>IF(OR(AC410="",N(R410)=0),"",L410/R410)</f>
        <v/>
      </c>
      <c r="AF410" s="100">
        <f>IF(OR(N(K410)=0,N(J410)+N(Q410)=0),"",K410-IF(N(J410)&gt;0,J410,Q410))</f>
        <v/>
      </c>
      <c r="AG410" s="99">
        <f>IF(B410="","",IFERROR(AVERAGEIFS('QUALITY CONTROL'!$M$5:$M$304,'QUALITY CONTROL'!$B$5:$B$304,A410),""))</f>
        <v/>
      </c>
      <c r="AH410" s="51">
        <f>IF(B410="","",DATE(YEAR(B410),MONTH(B410),1))</f>
        <v/>
      </c>
      <c r="AI410" s="49">
        <f>IF(D410="","",IFERROR(INDEX('CUSTOMERS'!$E$5:$E$404,MATCH(D410,'CUSTOMERS'!$B$5:$B$404,0)),""))</f>
        <v/>
      </c>
      <c r="AJ410" s="49">
        <f>IF(B410="","",N(C410))</f>
        <v/>
      </c>
      <c r="AK410" s="49">
        <f>IF(OR(B410="",O410="Cancelled",O410="Rescheduled"),"",B410&amp;"|"&amp;(COUNTIFS('JOBS'!$B$5:$B$1504,B410,'JOBS'!$AJ$5:$AJ$1504,"&lt;"&amp;AJ410,'JOBS'!$O$5:$O$1504,"&lt;&gt;Cancelled",'JOBS'!$O$5:$O$1504,"&lt;&gt;Rescheduled")+COUNTIFS($B$5:B410,B410,$AJ$5:AJ410,AJ410,$O$5:O410,"&lt;&gt;Cancelled",$O$5:O410,"&lt;&gt;Rescheduled")))</f>
        <v/>
      </c>
      <c r="AL410" s="49">
        <f>IF(N(U410)&lt;=0.005,"",COUNTIFS('JOBS'!$U$5:$U$1504,"&gt;0.005",'JOBS'!$B$5:$B$1504,"&lt;"&amp;B410)+COUNTIFS($U$5:U410,"&gt;0.005",$B$5:B410,B410))</f>
        <v/>
      </c>
    </row>
    <row r="411">
      <c r="A411" s="46" t="inlineStr">
        <is>
          <t>J-0407</t>
        </is>
      </c>
      <c r="B411" s="47" t="n"/>
      <c r="C411" s="94" t="n"/>
      <c r="D411" s="38" t="n"/>
      <c r="E411" s="38" t="n"/>
      <c r="F411" s="38" t="n"/>
      <c r="G411" s="38" t="n"/>
      <c r="H411" s="38" t="n"/>
      <c r="I411" s="57" t="n"/>
      <c r="J411" s="95" t="n"/>
      <c r="K411" s="95" t="n"/>
      <c r="L411" s="48" t="n"/>
      <c r="M411" s="96" t="n"/>
      <c r="N411" s="48" t="n"/>
      <c r="O411" s="38" t="n"/>
      <c r="P411" s="38" t="n"/>
      <c r="Q411" s="97">
        <f>IF(OR(F411="",E411=""),"",IFERROR(IF(INDEX('PROPERTIES'!$F$5:$F$404,MATCH(E411,'PROPERTIES'!$B$5:$B$404,0))=0,"",ROUND((INDEX('PROPERTIES'!$F$5:$F$404,MATCH(E411,'PROPERTIES'!$B$5:$B$404,0))/INDEX('PRICING'!$C$7:$C$16,MATCH(F411,'PRICING'!$A$7:$A$16,0))+INDEX('PROPERTIES'!$G$5:$G$404,MATCH(E411,'PROPERTIES'!$B$5:$B$404,0))*INDEX('PRICING'!$D$7:$D$16,MATCH(F411,'PRICING'!$A$7:$A$16,0))/60+INDEX('PROPERTIES'!$H$5:$H$404,MATCH(E411,'PROPERTIES'!$B$5:$B$404,0))*INDEX('PRICING'!$E$7:$E$16,MATCH(F411,'PRICING'!$A$7:$A$16,0))/60+INDEX('PRICING'!$F$7:$F$16,MATCH(F411,'PRICING'!$A$7:$A$16,0))/60),2)),""))</f>
        <v/>
      </c>
      <c r="R411" s="97">
        <f>IF(B411="","",IF(N(K411)&gt;0,K411,IF(N(J411)&gt;0,J411,N(Q411))))</f>
        <v/>
      </c>
      <c r="S411" s="55">
        <f>IF(L411="","",ROUND(L411*(1+N(M411)),2))</f>
        <v/>
      </c>
      <c r="T411" s="55">
        <f>IF(B411="","",SUMIFS('REVENUE'!$C$5:$C$1504,'REVENUE'!$B$5:$B$1504,A411))</f>
        <v/>
      </c>
      <c r="U411" s="55">
        <f>IF(B411="","",IF(O411="Completed",MAX(0,N(S411)-T411),""))</f>
        <v/>
      </c>
      <c r="V411" s="49">
        <f>IF(B411="","",IF(O411&lt;&gt;"Completed",IF(T411&gt;0,"Deposit","—"),IF(U411&lt;=0.005,"Paid",IF(T411&gt;0,"Partial","Unpaid"))))</f>
        <v/>
      </c>
      <c r="W411" s="55">
        <f>IF(B411="","",IFERROR(1/(1/INDEX('STAFF &amp; TASKS'!$C$5:$C$24,MATCH(H411,'STAFF &amp; TASKS'!$A$5:$A$24,0))),PayRate))</f>
        <v/>
      </c>
      <c r="X411" s="55">
        <f>IF(B411="","",IF(OR(O411="Cancelled",O411="No-Show"),"",ROUND(R411*W411*(1+Burden),2)))</f>
        <v/>
      </c>
      <c r="Y411" s="55">
        <f>IF(B411="","",IF(OR(O411="Cancelled",O411="No-Show"),"",IF(N411&lt;&gt;"",N411,ROUND(R411*SupHr*IFERROR(INDEX('PRICING'!$G$7:$G$16,MATCH(F411,'PRICING'!$A$7:$A$16,0)),1),2))))</f>
        <v/>
      </c>
      <c r="Z411" s="98">
        <f>IF(B411="","",SUMIFS('MILEAGE'!$J$5:$J$1504,'MILEAGE'!$B$5:$B$1504,A411))</f>
        <v/>
      </c>
      <c r="AA411" s="55">
        <f>IF(B411="","",ROUND(Z411*MileRate,2))</f>
        <v/>
      </c>
      <c r="AB411" s="55">
        <f>IF(B411="","",SUMIFS('REVENUE'!$J$5:$J$1504,'REVENUE'!$B$5:$B$1504,A411))</f>
        <v/>
      </c>
      <c r="AC411" s="55">
        <f>IF(L411="","",IF(OR(O411="Cancelled",O411="No-Show"),"",L411-N(X411)-N(Y411)-AA411-AB411))</f>
        <v/>
      </c>
      <c r="AD411" s="99">
        <f>IF(OR(AC411="",N(L411)=0),"",AC411/L411)</f>
        <v/>
      </c>
      <c r="AE411" s="55">
        <f>IF(OR(AC411="",N(R411)=0),"",L411/R411)</f>
        <v/>
      </c>
      <c r="AF411" s="100">
        <f>IF(OR(N(K411)=0,N(J411)+N(Q411)=0),"",K411-IF(N(J411)&gt;0,J411,Q411))</f>
        <v/>
      </c>
      <c r="AG411" s="99">
        <f>IF(B411="","",IFERROR(AVERAGEIFS('QUALITY CONTROL'!$M$5:$M$304,'QUALITY CONTROL'!$B$5:$B$304,A411),""))</f>
        <v/>
      </c>
      <c r="AH411" s="51">
        <f>IF(B411="","",DATE(YEAR(B411),MONTH(B411),1))</f>
        <v/>
      </c>
      <c r="AI411" s="49">
        <f>IF(D411="","",IFERROR(INDEX('CUSTOMERS'!$E$5:$E$404,MATCH(D411,'CUSTOMERS'!$B$5:$B$404,0)),""))</f>
        <v/>
      </c>
      <c r="AJ411" s="49">
        <f>IF(B411="","",N(C411))</f>
        <v/>
      </c>
      <c r="AK411" s="49">
        <f>IF(OR(B411="",O411="Cancelled",O411="Rescheduled"),"",B411&amp;"|"&amp;(COUNTIFS('JOBS'!$B$5:$B$1504,B411,'JOBS'!$AJ$5:$AJ$1504,"&lt;"&amp;AJ411,'JOBS'!$O$5:$O$1504,"&lt;&gt;Cancelled",'JOBS'!$O$5:$O$1504,"&lt;&gt;Rescheduled")+COUNTIFS($B$5:B411,B411,$AJ$5:AJ411,AJ411,$O$5:O411,"&lt;&gt;Cancelled",$O$5:O411,"&lt;&gt;Rescheduled")))</f>
        <v/>
      </c>
      <c r="AL411" s="49">
        <f>IF(N(U411)&lt;=0.005,"",COUNTIFS('JOBS'!$U$5:$U$1504,"&gt;0.005",'JOBS'!$B$5:$B$1504,"&lt;"&amp;B411)+COUNTIFS($U$5:U411,"&gt;0.005",$B$5:B411,B411))</f>
        <v/>
      </c>
    </row>
    <row r="412">
      <c r="A412" s="46" t="inlineStr">
        <is>
          <t>J-0408</t>
        </is>
      </c>
      <c r="B412" s="47" t="n"/>
      <c r="C412" s="94" t="n"/>
      <c r="D412" s="38" t="n"/>
      <c r="E412" s="38" t="n"/>
      <c r="F412" s="38" t="n"/>
      <c r="G412" s="38" t="n"/>
      <c r="H412" s="38" t="n"/>
      <c r="I412" s="57" t="n"/>
      <c r="J412" s="95" t="n"/>
      <c r="K412" s="95" t="n"/>
      <c r="L412" s="48" t="n"/>
      <c r="M412" s="96" t="n"/>
      <c r="N412" s="48" t="n"/>
      <c r="O412" s="38" t="n"/>
      <c r="P412" s="38" t="n"/>
      <c r="Q412" s="97">
        <f>IF(OR(F412="",E412=""),"",IFERROR(IF(INDEX('PROPERTIES'!$F$5:$F$404,MATCH(E412,'PROPERTIES'!$B$5:$B$404,0))=0,"",ROUND((INDEX('PROPERTIES'!$F$5:$F$404,MATCH(E412,'PROPERTIES'!$B$5:$B$404,0))/INDEX('PRICING'!$C$7:$C$16,MATCH(F412,'PRICING'!$A$7:$A$16,0))+INDEX('PROPERTIES'!$G$5:$G$404,MATCH(E412,'PROPERTIES'!$B$5:$B$404,0))*INDEX('PRICING'!$D$7:$D$16,MATCH(F412,'PRICING'!$A$7:$A$16,0))/60+INDEX('PROPERTIES'!$H$5:$H$404,MATCH(E412,'PROPERTIES'!$B$5:$B$404,0))*INDEX('PRICING'!$E$7:$E$16,MATCH(F412,'PRICING'!$A$7:$A$16,0))/60+INDEX('PRICING'!$F$7:$F$16,MATCH(F412,'PRICING'!$A$7:$A$16,0))/60),2)),""))</f>
        <v/>
      </c>
      <c r="R412" s="97">
        <f>IF(B412="","",IF(N(K412)&gt;0,K412,IF(N(J412)&gt;0,J412,N(Q412))))</f>
        <v/>
      </c>
      <c r="S412" s="55">
        <f>IF(L412="","",ROUND(L412*(1+N(M412)),2))</f>
        <v/>
      </c>
      <c r="T412" s="55">
        <f>IF(B412="","",SUMIFS('REVENUE'!$C$5:$C$1504,'REVENUE'!$B$5:$B$1504,A412))</f>
        <v/>
      </c>
      <c r="U412" s="55">
        <f>IF(B412="","",IF(O412="Completed",MAX(0,N(S412)-T412),""))</f>
        <v/>
      </c>
      <c r="V412" s="49">
        <f>IF(B412="","",IF(O412&lt;&gt;"Completed",IF(T412&gt;0,"Deposit","—"),IF(U412&lt;=0.005,"Paid",IF(T412&gt;0,"Partial","Unpaid"))))</f>
        <v/>
      </c>
      <c r="W412" s="55">
        <f>IF(B412="","",IFERROR(1/(1/INDEX('STAFF &amp; TASKS'!$C$5:$C$24,MATCH(H412,'STAFF &amp; TASKS'!$A$5:$A$24,0))),PayRate))</f>
        <v/>
      </c>
      <c r="X412" s="55">
        <f>IF(B412="","",IF(OR(O412="Cancelled",O412="No-Show"),"",ROUND(R412*W412*(1+Burden),2)))</f>
        <v/>
      </c>
      <c r="Y412" s="55">
        <f>IF(B412="","",IF(OR(O412="Cancelled",O412="No-Show"),"",IF(N412&lt;&gt;"",N412,ROUND(R412*SupHr*IFERROR(INDEX('PRICING'!$G$7:$G$16,MATCH(F412,'PRICING'!$A$7:$A$16,0)),1),2))))</f>
        <v/>
      </c>
      <c r="Z412" s="98">
        <f>IF(B412="","",SUMIFS('MILEAGE'!$J$5:$J$1504,'MILEAGE'!$B$5:$B$1504,A412))</f>
        <v/>
      </c>
      <c r="AA412" s="55">
        <f>IF(B412="","",ROUND(Z412*MileRate,2))</f>
        <v/>
      </c>
      <c r="AB412" s="55">
        <f>IF(B412="","",SUMIFS('REVENUE'!$J$5:$J$1504,'REVENUE'!$B$5:$B$1504,A412))</f>
        <v/>
      </c>
      <c r="AC412" s="55">
        <f>IF(L412="","",IF(OR(O412="Cancelled",O412="No-Show"),"",L412-N(X412)-N(Y412)-AA412-AB412))</f>
        <v/>
      </c>
      <c r="AD412" s="99">
        <f>IF(OR(AC412="",N(L412)=0),"",AC412/L412)</f>
        <v/>
      </c>
      <c r="AE412" s="55">
        <f>IF(OR(AC412="",N(R412)=0),"",L412/R412)</f>
        <v/>
      </c>
      <c r="AF412" s="100">
        <f>IF(OR(N(K412)=0,N(J412)+N(Q412)=0),"",K412-IF(N(J412)&gt;0,J412,Q412))</f>
        <v/>
      </c>
      <c r="AG412" s="99">
        <f>IF(B412="","",IFERROR(AVERAGEIFS('QUALITY CONTROL'!$M$5:$M$304,'QUALITY CONTROL'!$B$5:$B$304,A412),""))</f>
        <v/>
      </c>
      <c r="AH412" s="51">
        <f>IF(B412="","",DATE(YEAR(B412),MONTH(B412),1))</f>
        <v/>
      </c>
      <c r="AI412" s="49">
        <f>IF(D412="","",IFERROR(INDEX('CUSTOMERS'!$E$5:$E$404,MATCH(D412,'CUSTOMERS'!$B$5:$B$404,0)),""))</f>
        <v/>
      </c>
      <c r="AJ412" s="49">
        <f>IF(B412="","",N(C412))</f>
        <v/>
      </c>
      <c r="AK412" s="49">
        <f>IF(OR(B412="",O412="Cancelled",O412="Rescheduled"),"",B412&amp;"|"&amp;(COUNTIFS('JOBS'!$B$5:$B$1504,B412,'JOBS'!$AJ$5:$AJ$1504,"&lt;"&amp;AJ412,'JOBS'!$O$5:$O$1504,"&lt;&gt;Cancelled",'JOBS'!$O$5:$O$1504,"&lt;&gt;Rescheduled")+COUNTIFS($B$5:B412,B412,$AJ$5:AJ412,AJ412,$O$5:O412,"&lt;&gt;Cancelled",$O$5:O412,"&lt;&gt;Rescheduled")))</f>
        <v/>
      </c>
      <c r="AL412" s="49">
        <f>IF(N(U412)&lt;=0.005,"",COUNTIFS('JOBS'!$U$5:$U$1504,"&gt;0.005",'JOBS'!$B$5:$B$1504,"&lt;"&amp;B412)+COUNTIFS($U$5:U412,"&gt;0.005",$B$5:B412,B412))</f>
        <v/>
      </c>
    </row>
    <row r="413">
      <c r="A413" s="46" t="inlineStr">
        <is>
          <t>J-0409</t>
        </is>
      </c>
      <c r="B413" s="47" t="n"/>
      <c r="C413" s="94" t="n"/>
      <c r="D413" s="38" t="n"/>
      <c r="E413" s="38" t="n"/>
      <c r="F413" s="38" t="n"/>
      <c r="G413" s="38" t="n"/>
      <c r="H413" s="38" t="n"/>
      <c r="I413" s="57" t="n"/>
      <c r="J413" s="95" t="n"/>
      <c r="K413" s="95" t="n"/>
      <c r="L413" s="48" t="n"/>
      <c r="M413" s="96" t="n"/>
      <c r="N413" s="48" t="n"/>
      <c r="O413" s="38" t="n"/>
      <c r="P413" s="38" t="n"/>
      <c r="Q413" s="97">
        <f>IF(OR(F413="",E413=""),"",IFERROR(IF(INDEX('PROPERTIES'!$F$5:$F$404,MATCH(E413,'PROPERTIES'!$B$5:$B$404,0))=0,"",ROUND((INDEX('PROPERTIES'!$F$5:$F$404,MATCH(E413,'PROPERTIES'!$B$5:$B$404,0))/INDEX('PRICING'!$C$7:$C$16,MATCH(F413,'PRICING'!$A$7:$A$16,0))+INDEX('PROPERTIES'!$G$5:$G$404,MATCH(E413,'PROPERTIES'!$B$5:$B$404,0))*INDEX('PRICING'!$D$7:$D$16,MATCH(F413,'PRICING'!$A$7:$A$16,0))/60+INDEX('PROPERTIES'!$H$5:$H$404,MATCH(E413,'PROPERTIES'!$B$5:$B$404,0))*INDEX('PRICING'!$E$7:$E$16,MATCH(F413,'PRICING'!$A$7:$A$16,0))/60+INDEX('PRICING'!$F$7:$F$16,MATCH(F413,'PRICING'!$A$7:$A$16,0))/60),2)),""))</f>
        <v/>
      </c>
      <c r="R413" s="97">
        <f>IF(B413="","",IF(N(K413)&gt;0,K413,IF(N(J413)&gt;0,J413,N(Q413))))</f>
        <v/>
      </c>
      <c r="S413" s="55">
        <f>IF(L413="","",ROUND(L413*(1+N(M413)),2))</f>
        <v/>
      </c>
      <c r="T413" s="55">
        <f>IF(B413="","",SUMIFS('REVENUE'!$C$5:$C$1504,'REVENUE'!$B$5:$B$1504,A413))</f>
        <v/>
      </c>
      <c r="U413" s="55">
        <f>IF(B413="","",IF(O413="Completed",MAX(0,N(S413)-T413),""))</f>
        <v/>
      </c>
      <c r="V413" s="49">
        <f>IF(B413="","",IF(O413&lt;&gt;"Completed",IF(T413&gt;0,"Deposit","—"),IF(U413&lt;=0.005,"Paid",IF(T413&gt;0,"Partial","Unpaid"))))</f>
        <v/>
      </c>
      <c r="W413" s="55">
        <f>IF(B413="","",IFERROR(1/(1/INDEX('STAFF &amp; TASKS'!$C$5:$C$24,MATCH(H413,'STAFF &amp; TASKS'!$A$5:$A$24,0))),PayRate))</f>
        <v/>
      </c>
      <c r="X413" s="55">
        <f>IF(B413="","",IF(OR(O413="Cancelled",O413="No-Show"),"",ROUND(R413*W413*(1+Burden),2)))</f>
        <v/>
      </c>
      <c r="Y413" s="55">
        <f>IF(B413="","",IF(OR(O413="Cancelled",O413="No-Show"),"",IF(N413&lt;&gt;"",N413,ROUND(R413*SupHr*IFERROR(INDEX('PRICING'!$G$7:$G$16,MATCH(F413,'PRICING'!$A$7:$A$16,0)),1),2))))</f>
        <v/>
      </c>
      <c r="Z413" s="98">
        <f>IF(B413="","",SUMIFS('MILEAGE'!$J$5:$J$1504,'MILEAGE'!$B$5:$B$1504,A413))</f>
        <v/>
      </c>
      <c r="AA413" s="55">
        <f>IF(B413="","",ROUND(Z413*MileRate,2))</f>
        <v/>
      </c>
      <c r="AB413" s="55">
        <f>IF(B413="","",SUMIFS('REVENUE'!$J$5:$J$1504,'REVENUE'!$B$5:$B$1504,A413))</f>
        <v/>
      </c>
      <c r="AC413" s="55">
        <f>IF(L413="","",IF(OR(O413="Cancelled",O413="No-Show"),"",L413-N(X413)-N(Y413)-AA413-AB413))</f>
        <v/>
      </c>
      <c r="AD413" s="99">
        <f>IF(OR(AC413="",N(L413)=0),"",AC413/L413)</f>
        <v/>
      </c>
      <c r="AE413" s="55">
        <f>IF(OR(AC413="",N(R413)=0),"",L413/R413)</f>
        <v/>
      </c>
      <c r="AF413" s="100">
        <f>IF(OR(N(K413)=0,N(J413)+N(Q413)=0),"",K413-IF(N(J413)&gt;0,J413,Q413))</f>
        <v/>
      </c>
      <c r="AG413" s="99">
        <f>IF(B413="","",IFERROR(AVERAGEIFS('QUALITY CONTROL'!$M$5:$M$304,'QUALITY CONTROL'!$B$5:$B$304,A413),""))</f>
        <v/>
      </c>
      <c r="AH413" s="51">
        <f>IF(B413="","",DATE(YEAR(B413),MONTH(B413),1))</f>
        <v/>
      </c>
      <c r="AI413" s="49">
        <f>IF(D413="","",IFERROR(INDEX('CUSTOMERS'!$E$5:$E$404,MATCH(D413,'CUSTOMERS'!$B$5:$B$404,0)),""))</f>
        <v/>
      </c>
      <c r="AJ413" s="49">
        <f>IF(B413="","",N(C413))</f>
        <v/>
      </c>
      <c r="AK413" s="49">
        <f>IF(OR(B413="",O413="Cancelled",O413="Rescheduled"),"",B413&amp;"|"&amp;(COUNTIFS('JOBS'!$B$5:$B$1504,B413,'JOBS'!$AJ$5:$AJ$1504,"&lt;"&amp;AJ413,'JOBS'!$O$5:$O$1504,"&lt;&gt;Cancelled",'JOBS'!$O$5:$O$1504,"&lt;&gt;Rescheduled")+COUNTIFS($B$5:B413,B413,$AJ$5:AJ413,AJ413,$O$5:O413,"&lt;&gt;Cancelled",$O$5:O413,"&lt;&gt;Rescheduled")))</f>
        <v/>
      </c>
      <c r="AL413" s="49">
        <f>IF(N(U413)&lt;=0.005,"",COUNTIFS('JOBS'!$U$5:$U$1504,"&gt;0.005",'JOBS'!$B$5:$B$1504,"&lt;"&amp;B413)+COUNTIFS($U$5:U413,"&gt;0.005",$B$5:B413,B413))</f>
        <v/>
      </c>
    </row>
    <row r="414">
      <c r="A414" s="46" t="inlineStr">
        <is>
          <t>J-0410</t>
        </is>
      </c>
      <c r="B414" s="47" t="n"/>
      <c r="C414" s="94" t="n"/>
      <c r="D414" s="38" t="n"/>
      <c r="E414" s="38" t="n"/>
      <c r="F414" s="38" t="n"/>
      <c r="G414" s="38" t="n"/>
      <c r="H414" s="38" t="n"/>
      <c r="I414" s="57" t="n"/>
      <c r="J414" s="95" t="n"/>
      <c r="K414" s="95" t="n"/>
      <c r="L414" s="48" t="n"/>
      <c r="M414" s="96" t="n"/>
      <c r="N414" s="48" t="n"/>
      <c r="O414" s="38" t="n"/>
      <c r="P414" s="38" t="n"/>
      <c r="Q414" s="97">
        <f>IF(OR(F414="",E414=""),"",IFERROR(IF(INDEX('PROPERTIES'!$F$5:$F$404,MATCH(E414,'PROPERTIES'!$B$5:$B$404,0))=0,"",ROUND((INDEX('PROPERTIES'!$F$5:$F$404,MATCH(E414,'PROPERTIES'!$B$5:$B$404,0))/INDEX('PRICING'!$C$7:$C$16,MATCH(F414,'PRICING'!$A$7:$A$16,0))+INDEX('PROPERTIES'!$G$5:$G$404,MATCH(E414,'PROPERTIES'!$B$5:$B$404,0))*INDEX('PRICING'!$D$7:$D$16,MATCH(F414,'PRICING'!$A$7:$A$16,0))/60+INDEX('PROPERTIES'!$H$5:$H$404,MATCH(E414,'PROPERTIES'!$B$5:$B$404,0))*INDEX('PRICING'!$E$7:$E$16,MATCH(F414,'PRICING'!$A$7:$A$16,0))/60+INDEX('PRICING'!$F$7:$F$16,MATCH(F414,'PRICING'!$A$7:$A$16,0))/60),2)),""))</f>
        <v/>
      </c>
      <c r="R414" s="97">
        <f>IF(B414="","",IF(N(K414)&gt;0,K414,IF(N(J414)&gt;0,J414,N(Q414))))</f>
        <v/>
      </c>
      <c r="S414" s="55">
        <f>IF(L414="","",ROUND(L414*(1+N(M414)),2))</f>
        <v/>
      </c>
      <c r="T414" s="55">
        <f>IF(B414="","",SUMIFS('REVENUE'!$C$5:$C$1504,'REVENUE'!$B$5:$B$1504,A414))</f>
        <v/>
      </c>
      <c r="U414" s="55">
        <f>IF(B414="","",IF(O414="Completed",MAX(0,N(S414)-T414),""))</f>
        <v/>
      </c>
      <c r="V414" s="49">
        <f>IF(B414="","",IF(O414&lt;&gt;"Completed",IF(T414&gt;0,"Deposit","—"),IF(U414&lt;=0.005,"Paid",IF(T414&gt;0,"Partial","Unpaid"))))</f>
        <v/>
      </c>
      <c r="W414" s="55">
        <f>IF(B414="","",IFERROR(1/(1/INDEX('STAFF &amp; TASKS'!$C$5:$C$24,MATCH(H414,'STAFF &amp; TASKS'!$A$5:$A$24,0))),PayRate))</f>
        <v/>
      </c>
      <c r="X414" s="55">
        <f>IF(B414="","",IF(OR(O414="Cancelled",O414="No-Show"),"",ROUND(R414*W414*(1+Burden),2)))</f>
        <v/>
      </c>
      <c r="Y414" s="55">
        <f>IF(B414="","",IF(OR(O414="Cancelled",O414="No-Show"),"",IF(N414&lt;&gt;"",N414,ROUND(R414*SupHr*IFERROR(INDEX('PRICING'!$G$7:$G$16,MATCH(F414,'PRICING'!$A$7:$A$16,0)),1),2))))</f>
        <v/>
      </c>
      <c r="Z414" s="98">
        <f>IF(B414="","",SUMIFS('MILEAGE'!$J$5:$J$1504,'MILEAGE'!$B$5:$B$1504,A414))</f>
        <v/>
      </c>
      <c r="AA414" s="55">
        <f>IF(B414="","",ROUND(Z414*MileRate,2))</f>
        <v/>
      </c>
      <c r="AB414" s="55">
        <f>IF(B414="","",SUMIFS('REVENUE'!$J$5:$J$1504,'REVENUE'!$B$5:$B$1504,A414))</f>
        <v/>
      </c>
      <c r="AC414" s="55">
        <f>IF(L414="","",IF(OR(O414="Cancelled",O414="No-Show"),"",L414-N(X414)-N(Y414)-AA414-AB414))</f>
        <v/>
      </c>
      <c r="AD414" s="99">
        <f>IF(OR(AC414="",N(L414)=0),"",AC414/L414)</f>
        <v/>
      </c>
      <c r="AE414" s="55">
        <f>IF(OR(AC414="",N(R414)=0),"",L414/R414)</f>
        <v/>
      </c>
      <c r="AF414" s="100">
        <f>IF(OR(N(K414)=0,N(J414)+N(Q414)=0),"",K414-IF(N(J414)&gt;0,J414,Q414))</f>
        <v/>
      </c>
      <c r="AG414" s="99">
        <f>IF(B414="","",IFERROR(AVERAGEIFS('QUALITY CONTROL'!$M$5:$M$304,'QUALITY CONTROL'!$B$5:$B$304,A414),""))</f>
        <v/>
      </c>
      <c r="AH414" s="51">
        <f>IF(B414="","",DATE(YEAR(B414),MONTH(B414),1))</f>
        <v/>
      </c>
      <c r="AI414" s="49">
        <f>IF(D414="","",IFERROR(INDEX('CUSTOMERS'!$E$5:$E$404,MATCH(D414,'CUSTOMERS'!$B$5:$B$404,0)),""))</f>
        <v/>
      </c>
      <c r="AJ414" s="49">
        <f>IF(B414="","",N(C414))</f>
        <v/>
      </c>
      <c r="AK414" s="49">
        <f>IF(OR(B414="",O414="Cancelled",O414="Rescheduled"),"",B414&amp;"|"&amp;(COUNTIFS('JOBS'!$B$5:$B$1504,B414,'JOBS'!$AJ$5:$AJ$1504,"&lt;"&amp;AJ414,'JOBS'!$O$5:$O$1504,"&lt;&gt;Cancelled",'JOBS'!$O$5:$O$1504,"&lt;&gt;Rescheduled")+COUNTIFS($B$5:B414,B414,$AJ$5:AJ414,AJ414,$O$5:O414,"&lt;&gt;Cancelled",$O$5:O414,"&lt;&gt;Rescheduled")))</f>
        <v/>
      </c>
      <c r="AL414" s="49">
        <f>IF(N(U414)&lt;=0.005,"",COUNTIFS('JOBS'!$U$5:$U$1504,"&gt;0.005",'JOBS'!$B$5:$B$1504,"&lt;"&amp;B414)+COUNTIFS($U$5:U414,"&gt;0.005",$B$5:B414,B414))</f>
        <v/>
      </c>
    </row>
    <row r="415">
      <c r="A415" s="46" t="inlineStr">
        <is>
          <t>J-0411</t>
        </is>
      </c>
      <c r="B415" s="47" t="n"/>
      <c r="C415" s="94" t="n"/>
      <c r="D415" s="38" t="n"/>
      <c r="E415" s="38" t="n"/>
      <c r="F415" s="38" t="n"/>
      <c r="G415" s="38" t="n"/>
      <c r="H415" s="38" t="n"/>
      <c r="I415" s="57" t="n"/>
      <c r="J415" s="95" t="n"/>
      <c r="K415" s="95" t="n"/>
      <c r="L415" s="48" t="n"/>
      <c r="M415" s="96" t="n"/>
      <c r="N415" s="48" t="n"/>
      <c r="O415" s="38" t="n"/>
      <c r="P415" s="38" t="n"/>
      <c r="Q415" s="97">
        <f>IF(OR(F415="",E415=""),"",IFERROR(IF(INDEX('PROPERTIES'!$F$5:$F$404,MATCH(E415,'PROPERTIES'!$B$5:$B$404,0))=0,"",ROUND((INDEX('PROPERTIES'!$F$5:$F$404,MATCH(E415,'PROPERTIES'!$B$5:$B$404,0))/INDEX('PRICING'!$C$7:$C$16,MATCH(F415,'PRICING'!$A$7:$A$16,0))+INDEX('PROPERTIES'!$G$5:$G$404,MATCH(E415,'PROPERTIES'!$B$5:$B$404,0))*INDEX('PRICING'!$D$7:$D$16,MATCH(F415,'PRICING'!$A$7:$A$16,0))/60+INDEX('PROPERTIES'!$H$5:$H$404,MATCH(E415,'PROPERTIES'!$B$5:$B$404,0))*INDEX('PRICING'!$E$7:$E$16,MATCH(F415,'PRICING'!$A$7:$A$16,0))/60+INDEX('PRICING'!$F$7:$F$16,MATCH(F415,'PRICING'!$A$7:$A$16,0))/60),2)),""))</f>
        <v/>
      </c>
      <c r="R415" s="97">
        <f>IF(B415="","",IF(N(K415)&gt;0,K415,IF(N(J415)&gt;0,J415,N(Q415))))</f>
        <v/>
      </c>
      <c r="S415" s="55">
        <f>IF(L415="","",ROUND(L415*(1+N(M415)),2))</f>
        <v/>
      </c>
      <c r="T415" s="55">
        <f>IF(B415="","",SUMIFS('REVENUE'!$C$5:$C$1504,'REVENUE'!$B$5:$B$1504,A415))</f>
        <v/>
      </c>
      <c r="U415" s="55">
        <f>IF(B415="","",IF(O415="Completed",MAX(0,N(S415)-T415),""))</f>
        <v/>
      </c>
      <c r="V415" s="49">
        <f>IF(B415="","",IF(O415&lt;&gt;"Completed",IF(T415&gt;0,"Deposit","—"),IF(U415&lt;=0.005,"Paid",IF(T415&gt;0,"Partial","Unpaid"))))</f>
        <v/>
      </c>
      <c r="W415" s="55">
        <f>IF(B415="","",IFERROR(1/(1/INDEX('STAFF &amp; TASKS'!$C$5:$C$24,MATCH(H415,'STAFF &amp; TASKS'!$A$5:$A$24,0))),PayRate))</f>
        <v/>
      </c>
      <c r="X415" s="55">
        <f>IF(B415="","",IF(OR(O415="Cancelled",O415="No-Show"),"",ROUND(R415*W415*(1+Burden),2)))</f>
        <v/>
      </c>
      <c r="Y415" s="55">
        <f>IF(B415="","",IF(OR(O415="Cancelled",O415="No-Show"),"",IF(N415&lt;&gt;"",N415,ROUND(R415*SupHr*IFERROR(INDEX('PRICING'!$G$7:$G$16,MATCH(F415,'PRICING'!$A$7:$A$16,0)),1),2))))</f>
        <v/>
      </c>
      <c r="Z415" s="98">
        <f>IF(B415="","",SUMIFS('MILEAGE'!$J$5:$J$1504,'MILEAGE'!$B$5:$B$1504,A415))</f>
        <v/>
      </c>
      <c r="AA415" s="55">
        <f>IF(B415="","",ROUND(Z415*MileRate,2))</f>
        <v/>
      </c>
      <c r="AB415" s="55">
        <f>IF(B415="","",SUMIFS('REVENUE'!$J$5:$J$1504,'REVENUE'!$B$5:$B$1504,A415))</f>
        <v/>
      </c>
      <c r="AC415" s="55">
        <f>IF(L415="","",IF(OR(O415="Cancelled",O415="No-Show"),"",L415-N(X415)-N(Y415)-AA415-AB415))</f>
        <v/>
      </c>
      <c r="AD415" s="99">
        <f>IF(OR(AC415="",N(L415)=0),"",AC415/L415)</f>
        <v/>
      </c>
      <c r="AE415" s="55">
        <f>IF(OR(AC415="",N(R415)=0),"",L415/R415)</f>
        <v/>
      </c>
      <c r="AF415" s="100">
        <f>IF(OR(N(K415)=0,N(J415)+N(Q415)=0),"",K415-IF(N(J415)&gt;0,J415,Q415))</f>
        <v/>
      </c>
      <c r="AG415" s="99">
        <f>IF(B415="","",IFERROR(AVERAGEIFS('QUALITY CONTROL'!$M$5:$M$304,'QUALITY CONTROL'!$B$5:$B$304,A415),""))</f>
        <v/>
      </c>
      <c r="AH415" s="51">
        <f>IF(B415="","",DATE(YEAR(B415),MONTH(B415),1))</f>
        <v/>
      </c>
      <c r="AI415" s="49">
        <f>IF(D415="","",IFERROR(INDEX('CUSTOMERS'!$E$5:$E$404,MATCH(D415,'CUSTOMERS'!$B$5:$B$404,0)),""))</f>
        <v/>
      </c>
      <c r="AJ415" s="49">
        <f>IF(B415="","",N(C415))</f>
        <v/>
      </c>
      <c r="AK415" s="49">
        <f>IF(OR(B415="",O415="Cancelled",O415="Rescheduled"),"",B415&amp;"|"&amp;(COUNTIFS('JOBS'!$B$5:$B$1504,B415,'JOBS'!$AJ$5:$AJ$1504,"&lt;"&amp;AJ415,'JOBS'!$O$5:$O$1504,"&lt;&gt;Cancelled",'JOBS'!$O$5:$O$1504,"&lt;&gt;Rescheduled")+COUNTIFS($B$5:B415,B415,$AJ$5:AJ415,AJ415,$O$5:O415,"&lt;&gt;Cancelled",$O$5:O415,"&lt;&gt;Rescheduled")))</f>
        <v/>
      </c>
      <c r="AL415" s="49">
        <f>IF(N(U415)&lt;=0.005,"",COUNTIFS('JOBS'!$U$5:$U$1504,"&gt;0.005",'JOBS'!$B$5:$B$1504,"&lt;"&amp;B415)+COUNTIFS($U$5:U415,"&gt;0.005",$B$5:B415,B415))</f>
        <v/>
      </c>
    </row>
    <row r="416">
      <c r="A416" s="46" t="inlineStr">
        <is>
          <t>J-0412</t>
        </is>
      </c>
      <c r="B416" s="47" t="n"/>
      <c r="C416" s="94" t="n"/>
      <c r="D416" s="38" t="n"/>
      <c r="E416" s="38" t="n"/>
      <c r="F416" s="38" t="n"/>
      <c r="G416" s="38" t="n"/>
      <c r="H416" s="38" t="n"/>
      <c r="I416" s="57" t="n"/>
      <c r="J416" s="95" t="n"/>
      <c r="K416" s="95" t="n"/>
      <c r="L416" s="48" t="n"/>
      <c r="M416" s="96" t="n"/>
      <c r="N416" s="48" t="n"/>
      <c r="O416" s="38" t="n"/>
      <c r="P416" s="38" t="n"/>
      <c r="Q416" s="97">
        <f>IF(OR(F416="",E416=""),"",IFERROR(IF(INDEX('PROPERTIES'!$F$5:$F$404,MATCH(E416,'PROPERTIES'!$B$5:$B$404,0))=0,"",ROUND((INDEX('PROPERTIES'!$F$5:$F$404,MATCH(E416,'PROPERTIES'!$B$5:$B$404,0))/INDEX('PRICING'!$C$7:$C$16,MATCH(F416,'PRICING'!$A$7:$A$16,0))+INDEX('PROPERTIES'!$G$5:$G$404,MATCH(E416,'PROPERTIES'!$B$5:$B$404,0))*INDEX('PRICING'!$D$7:$D$16,MATCH(F416,'PRICING'!$A$7:$A$16,0))/60+INDEX('PROPERTIES'!$H$5:$H$404,MATCH(E416,'PROPERTIES'!$B$5:$B$404,0))*INDEX('PRICING'!$E$7:$E$16,MATCH(F416,'PRICING'!$A$7:$A$16,0))/60+INDEX('PRICING'!$F$7:$F$16,MATCH(F416,'PRICING'!$A$7:$A$16,0))/60),2)),""))</f>
        <v/>
      </c>
      <c r="R416" s="97">
        <f>IF(B416="","",IF(N(K416)&gt;0,K416,IF(N(J416)&gt;0,J416,N(Q416))))</f>
        <v/>
      </c>
      <c r="S416" s="55">
        <f>IF(L416="","",ROUND(L416*(1+N(M416)),2))</f>
        <v/>
      </c>
      <c r="T416" s="55">
        <f>IF(B416="","",SUMIFS('REVENUE'!$C$5:$C$1504,'REVENUE'!$B$5:$B$1504,A416))</f>
        <v/>
      </c>
      <c r="U416" s="55">
        <f>IF(B416="","",IF(O416="Completed",MAX(0,N(S416)-T416),""))</f>
        <v/>
      </c>
      <c r="V416" s="49">
        <f>IF(B416="","",IF(O416&lt;&gt;"Completed",IF(T416&gt;0,"Deposit","—"),IF(U416&lt;=0.005,"Paid",IF(T416&gt;0,"Partial","Unpaid"))))</f>
        <v/>
      </c>
      <c r="W416" s="55">
        <f>IF(B416="","",IFERROR(1/(1/INDEX('STAFF &amp; TASKS'!$C$5:$C$24,MATCH(H416,'STAFF &amp; TASKS'!$A$5:$A$24,0))),PayRate))</f>
        <v/>
      </c>
      <c r="X416" s="55">
        <f>IF(B416="","",IF(OR(O416="Cancelled",O416="No-Show"),"",ROUND(R416*W416*(1+Burden),2)))</f>
        <v/>
      </c>
      <c r="Y416" s="55">
        <f>IF(B416="","",IF(OR(O416="Cancelled",O416="No-Show"),"",IF(N416&lt;&gt;"",N416,ROUND(R416*SupHr*IFERROR(INDEX('PRICING'!$G$7:$G$16,MATCH(F416,'PRICING'!$A$7:$A$16,0)),1),2))))</f>
        <v/>
      </c>
      <c r="Z416" s="98">
        <f>IF(B416="","",SUMIFS('MILEAGE'!$J$5:$J$1504,'MILEAGE'!$B$5:$B$1504,A416))</f>
        <v/>
      </c>
      <c r="AA416" s="55">
        <f>IF(B416="","",ROUND(Z416*MileRate,2))</f>
        <v/>
      </c>
      <c r="AB416" s="55">
        <f>IF(B416="","",SUMIFS('REVENUE'!$J$5:$J$1504,'REVENUE'!$B$5:$B$1504,A416))</f>
        <v/>
      </c>
      <c r="AC416" s="55">
        <f>IF(L416="","",IF(OR(O416="Cancelled",O416="No-Show"),"",L416-N(X416)-N(Y416)-AA416-AB416))</f>
        <v/>
      </c>
      <c r="AD416" s="99">
        <f>IF(OR(AC416="",N(L416)=0),"",AC416/L416)</f>
        <v/>
      </c>
      <c r="AE416" s="55">
        <f>IF(OR(AC416="",N(R416)=0),"",L416/R416)</f>
        <v/>
      </c>
      <c r="AF416" s="100">
        <f>IF(OR(N(K416)=0,N(J416)+N(Q416)=0),"",K416-IF(N(J416)&gt;0,J416,Q416))</f>
        <v/>
      </c>
      <c r="AG416" s="99">
        <f>IF(B416="","",IFERROR(AVERAGEIFS('QUALITY CONTROL'!$M$5:$M$304,'QUALITY CONTROL'!$B$5:$B$304,A416),""))</f>
        <v/>
      </c>
      <c r="AH416" s="51">
        <f>IF(B416="","",DATE(YEAR(B416),MONTH(B416),1))</f>
        <v/>
      </c>
      <c r="AI416" s="49">
        <f>IF(D416="","",IFERROR(INDEX('CUSTOMERS'!$E$5:$E$404,MATCH(D416,'CUSTOMERS'!$B$5:$B$404,0)),""))</f>
        <v/>
      </c>
      <c r="AJ416" s="49">
        <f>IF(B416="","",N(C416))</f>
        <v/>
      </c>
      <c r="AK416" s="49">
        <f>IF(OR(B416="",O416="Cancelled",O416="Rescheduled"),"",B416&amp;"|"&amp;(COUNTIFS('JOBS'!$B$5:$B$1504,B416,'JOBS'!$AJ$5:$AJ$1504,"&lt;"&amp;AJ416,'JOBS'!$O$5:$O$1504,"&lt;&gt;Cancelled",'JOBS'!$O$5:$O$1504,"&lt;&gt;Rescheduled")+COUNTIFS($B$5:B416,B416,$AJ$5:AJ416,AJ416,$O$5:O416,"&lt;&gt;Cancelled",$O$5:O416,"&lt;&gt;Rescheduled")))</f>
        <v/>
      </c>
      <c r="AL416" s="49">
        <f>IF(N(U416)&lt;=0.005,"",COUNTIFS('JOBS'!$U$5:$U$1504,"&gt;0.005",'JOBS'!$B$5:$B$1504,"&lt;"&amp;B416)+COUNTIFS($U$5:U416,"&gt;0.005",$B$5:B416,B416))</f>
        <v/>
      </c>
    </row>
    <row r="417">
      <c r="A417" s="46" t="inlineStr">
        <is>
          <t>J-0413</t>
        </is>
      </c>
      <c r="B417" s="47" t="n"/>
      <c r="C417" s="94" t="n"/>
      <c r="D417" s="38" t="n"/>
      <c r="E417" s="38" t="n"/>
      <c r="F417" s="38" t="n"/>
      <c r="G417" s="38" t="n"/>
      <c r="H417" s="38" t="n"/>
      <c r="I417" s="57" t="n"/>
      <c r="J417" s="95" t="n"/>
      <c r="K417" s="95" t="n"/>
      <c r="L417" s="48" t="n"/>
      <c r="M417" s="96" t="n"/>
      <c r="N417" s="48" t="n"/>
      <c r="O417" s="38" t="n"/>
      <c r="P417" s="38" t="n"/>
      <c r="Q417" s="97">
        <f>IF(OR(F417="",E417=""),"",IFERROR(IF(INDEX('PROPERTIES'!$F$5:$F$404,MATCH(E417,'PROPERTIES'!$B$5:$B$404,0))=0,"",ROUND((INDEX('PROPERTIES'!$F$5:$F$404,MATCH(E417,'PROPERTIES'!$B$5:$B$404,0))/INDEX('PRICING'!$C$7:$C$16,MATCH(F417,'PRICING'!$A$7:$A$16,0))+INDEX('PROPERTIES'!$G$5:$G$404,MATCH(E417,'PROPERTIES'!$B$5:$B$404,0))*INDEX('PRICING'!$D$7:$D$16,MATCH(F417,'PRICING'!$A$7:$A$16,0))/60+INDEX('PROPERTIES'!$H$5:$H$404,MATCH(E417,'PROPERTIES'!$B$5:$B$404,0))*INDEX('PRICING'!$E$7:$E$16,MATCH(F417,'PRICING'!$A$7:$A$16,0))/60+INDEX('PRICING'!$F$7:$F$16,MATCH(F417,'PRICING'!$A$7:$A$16,0))/60),2)),""))</f>
        <v/>
      </c>
      <c r="R417" s="97">
        <f>IF(B417="","",IF(N(K417)&gt;0,K417,IF(N(J417)&gt;0,J417,N(Q417))))</f>
        <v/>
      </c>
      <c r="S417" s="55">
        <f>IF(L417="","",ROUND(L417*(1+N(M417)),2))</f>
        <v/>
      </c>
      <c r="T417" s="55">
        <f>IF(B417="","",SUMIFS('REVENUE'!$C$5:$C$1504,'REVENUE'!$B$5:$B$1504,A417))</f>
        <v/>
      </c>
      <c r="U417" s="55">
        <f>IF(B417="","",IF(O417="Completed",MAX(0,N(S417)-T417),""))</f>
        <v/>
      </c>
      <c r="V417" s="49">
        <f>IF(B417="","",IF(O417&lt;&gt;"Completed",IF(T417&gt;0,"Deposit","—"),IF(U417&lt;=0.005,"Paid",IF(T417&gt;0,"Partial","Unpaid"))))</f>
        <v/>
      </c>
      <c r="W417" s="55">
        <f>IF(B417="","",IFERROR(1/(1/INDEX('STAFF &amp; TASKS'!$C$5:$C$24,MATCH(H417,'STAFF &amp; TASKS'!$A$5:$A$24,0))),PayRate))</f>
        <v/>
      </c>
      <c r="X417" s="55">
        <f>IF(B417="","",IF(OR(O417="Cancelled",O417="No-Show"),"",ROUND(R417*W417*(1+Burden),2)))</f>
        <v/>
      </c>
      <c r="Y417" s="55">
        <f>IF(B417="","",IF(OR(O417="Cancelled",O417="No-Show"),"",IF(N417&lt;&gt;"",N417,ROUND(R417*SupHr*IFERROR(INDEX('PRICING'!$G$7:$G$16,MATCH(F417,'PRICING'!$A$7:$A$16,0)),1),2))))</f>
        <v/>
      </c>
      <c r="Z417" s="98">
        <f>IF(B417="","",SUMIFS('MILEAGE'!$J$5:$J$1504,'MILEAGE'!$B$5:$B$1504,A417))</f>
        <v/>
      </c>
      <c r="AA417" s="55">
        <f>IF(B417="","",ROUND(Z417*MileRate,2))</f>
        <v/>
      </c>
      <c r="AB417" s="55">
        <f>IF(B417="","",SUMIFS('REVENUE'!$J$5:$J$1504,'REVENUE'!$B$5:$B$1504,A417))</f>
        <v/>
      </c>
      <c r="AC417" s="55">
        <f>IF(L417="","",IF(OR(O417="Cancelled",O417="No-Show"),"",L417-N(X417)-N(Y417)-AA417-AB417))</f>
        <v/>
      </c>
      <c r="AD417" s="99">
        <f>IF(OR(AC417="",N(L417)=0),"",AC417/L417)</f>
        <v/>
      </c>
      <c r="AE417" s="55">
        <f>IF(OR(AC417="",N(R417)=0),"",L417/R417)</f>
        <v/>
      </c>
      <c r="AF417" s="100">
        <f>IF(OR(N(K417)=0,N(J417)+N(Q417)=0),"",K417-IF(N(J417)&gt;0,J417,Q417))</f>
        <v/>
      </c>
      <c r="AG417" s="99">
        <f>IF(B417="","",IFERROR(AVERAGEIFS('QUALITY CONTROL'!$M$5:$M$304,'QUALITY CONTROL'!$B$5:$B$304,A417),""))</f>
        <v/>
      </c>
      <c r="AH417" s="51">
        <f>IF(B417="","",DATE(YEAR(B417),MONTH(B417),1))</f>
        <v/>
      </c>
      <c r="AI417" s="49">
        <f>IF(D417="","",IFERROR(INDEX('CUSTOMERS'!$E$5:$E$404,MATCH(D417,'CUSTOMERS'!$B$5:$B$404,0)),""))</f>
        <v/>
      </c>
      <c r="AJ417" s="49">
        <f>IF(B417="","",N(C417))</f>
        <v/>
      </c>
      <c r="AK417" s="49">
        <f>IF(OR(B417="",O417="Cancelled",O417="Rescheduled"),"",B417&amp;"|"&amp;(COUNTIFS('JOBS'!$B$5:$B$1504,B417,'JOBS'!$AJ$5:$AJ$1504,"&lt;"&amp;AJ417,'JOBS'!$O$5:$O$1504,"&lt;&gt;Cancelled",'JOBS'!$O$5:$O$1504,"&lt;&gt;Rescheduled")+COUNTIFS($B$5:B417,B417,$AJ$5:AJ417,AJ417,$O$5:O417,"&lt;&gt;Cancelled",$O$5:O417,"&lt;&gt;Rescheduled")))</f>
        <v/>
      </c>
      <c r="AL417" s="49">
        <f>IF(N(U417)&lt;=0.005,"",COUNTIFS('JOBS'!$U$5:$U$1504,"&gt;0.005",'JOBS'!$B$5:$B$1504,"&lt;"&amp;B417)+COUNTIFS($U$5:U417,"&gt;0.005",$B$5:B417,B417))</f>
        <v/>
      </c>
    </row>
    <row r="418">
      <c r="A418" s="46" t="inlineStr">
        <is>
          <t>J-0414</t>
        </is>
      </c>
      <c r="B418" s="47" t="n"/>
      <c r="C418" s="94" t="n"/>
      <c r="D418" s="38" t="n"/>
      <c r="E418" s="38" t="n"/>
      <c r="F418" s="38" t="n"/>
      <c r="G418" s="38" t="n"/>
      <c r="H418" s="38" t="n"/>
      <c r="I418" s="57" t="n"/>
      <c r="J418" s="95" t="n"/>
      <c r="K418" s="95" t="n"/>
      <c r="L418" s="48" t="n"/>
      <c r="M418" s="96" t="n"/>
      <c r="N418" s="48" t="n"/>
      <c r="O418" s="38" t="n"/>
      <c r="P418" s="38" t="n"/>
      <c r="Q418" s="97">
        <f>IF(OR(F418="",E418=""),"",IFERROR(IF(INDEX('PROPERTIES'!$F$5:$F$404,MATCH(E418,'PROPERTIES'!$B$5:$B$404,0))=0,"",ROUND((INDEX('PROPERTIES'!$F$5:$F$404,MATCH(E418,'PROPERTIES'!$B$5:$B$404,0))/INDEX('PRICING'!$C$7:$C$16,MATCH(F418,'PRICING'!$A$7:$A$16,0))+INDEX('PROPERTIES'!$G$5:$G$404,MATCH(E418,'PROPERTIES'!$B$5:$B$404,0))*INDEX('PRICING'!$D$7:$D$16,MATCH(F418,'PRICING'!$A$7:$A$16,0))/60+INDEX('PROPERTIES'!$H$5:$H$404,MATCH(E418,'PROPERTIES'!$B$5:$B$404,0))*INDEX('PRICING'!$E$7:$E$16,MATCH(F418,'PRICING'!$A$7:$A$16,0))/60+INDEX('PRICING'!$F$7:$F$16,MATCH(F418,'PRICING'!$A$7:$A$16,0))/60),2)),""))</f>
        <v/>
      </c>
      <c r="R418" s="97">
        <f>IF(B418="","",IF(N(K418)&gt;0,K418,IF(N(J418)&gt;0,J418,N(Q418))))</f>
        <v/>
      </c>
      <c r="S418" s="55">
        <f>IF(L418="","",ROUND(L418*(1+N(M418)),2))</f>
        <v/>
      </c>
      <c r="T418" s="55">
        <f>IF(B418="","",SUMIFS('REVENUE'!$C$5:$C$1504,'REVENUE'!$B$5:$B$1504,A418))</f>
        <v/>
      </c>
      <c r="U418" s="55">
        <f>IF(B418="","",IF(O418="Completed",MAX(0,N(S418)-T418),""))</f>
        <v/>
      </c>
      <c r="V418" s="49">
        <f>IF(B418="","",IF(O418&lt;&gt;"Completed",IF(T418&gt;0,"Deposit","—"),IF(U418&lt;=0.005,"Paid",IF(T418&gt;0,"Partial","Unpaid"))))</f>
        <v/>
      </c>
      <c r="W418" s="55">
        <f>IF(B418="","",IFERROR(1/(1/INDEX('STAFF &amp; TASKS'!$C$5:$C$24,MATCH(H418,'STAFF &amp; TASKS'!$A$5:$A$24,0))),PayRate))</f>
        <v/>
      </c>
      <c r="X418" s="55">
        <f>IF(B418="","",IF(OR(O418="Cancelled",O418="No-Show"),"",ROUND(R418*W418*(1+Burden),2)))</f>
        <v/>
      </c>
      <c r="Y418" s="55">
        <f>IF(B418="","",IF(OR(O418="Cancelled",O418="No-Show"),"",IF(N418&lt;&gt;"",N418,ROUND(R418*SupHr*IFERROR(INDEX('PRICING'!$G$7:$G$16,MATCH(F418,'PRICING'!$A$7:$A$16,0)),1),2))))</f>
        <v/>
      </c>
      <c r="Z418" s="98">
        <f>IF(B418="","",SUMIFS('MILEAGE'!$J$5:$J$1504,'MILEAGE'!$B$5:$B$1504,A418))</f>
        <v/>
      </c>
      <c r="AA418" s="55">
        <f>IF(B418="","",ROUND(Z418*MileRate,2))</f>
        <v/>
      </c>
      <c r="AB418" s="55">
        <f>IF(B418="","",SUMIFS('REVENUE'!$J$5:$J$1504,'REVENUE'!$B$5:$B$1504,A418))</f>
        <v/>
      </c>
      <c r="AC418" s="55">
        <f>IF(L418="","",IF(OR(O418="Cancelled",O418="No-Show"),"",L418-N(X418)-N(Y418)-AA418-AB418))</f>
        <v/>
      </c>
      <c r="AD418" s="99">
        <f>IF(OR(AC418="",N(L418)=0),"",AC418/L418)</f>
        <v/>
      </c>
      <c r="AE418" s="55">
        <f>IF(OR(AC418="",N(R418)=0),"",L418/R418)</f>
        <v/>
      </c>
      <c r="AF418" s="100">
        <f>IF(OR(N(K418)=0,N(J418)+N(Q418)=0),"",K418-IF(N(J418)&gt;0,J418,Q418))</f>
        <v/>
      </c>
      <c r="AG418" s="99">
        <f>IF(B418="","",IFERROR(AVERAGEIFS('QUALITY CONTROL'!$M$5:$M$304,'QUALITY CONTROL'!$B$5:$B$304,A418),""))</f>
        <v/>
      </c>
      <c r="AH418" s="51">
        <f>IF(B418="","",DATE(YEAR(B418),MONTH(B418),1))</f>
        <v/>
      </c>
      <c r="AI418" s="49">
        <f>IF(D418="","",IFERROR(INDEX('CUSTOMERS'!$E$5:$E$404,MATCH(D418,'CUSTOMERS'!$B$5:$B$404,0)),""))</f>
        <v/>
      </c>
      <c r="AJ418" s="49">
        <f>IF(B418="","",N(C418))</f>
        <v/>
      </c>
      <c r="AK418" s="49">
        <f>IF(OR(B418="",O418="Cancelled",O418="Rescheduled"),"",B418&amp;"|"&amp;(COUNTIFS('JOBS'!$B$5:$B$1504,B418,'JOBS'!$AJ$5:$AJ$1504,"&lt;"&amp;AJ418,'JOBS'!$O$5:$O$1504,"&lt;&gt;Cancelled",'JOBS'!$O$5:$O$1504,"&lt;&gt;Rescheduled")+COUNTIFS($B$5:B418,B418,$AJ$5:AJ418,AJ418,$O$5:O418,"&lt;&gt;Cancelled",$O$5:O418,"&lt;&gt;Rescheduled")))</f>
        <v/>
      </c>
      <c r="AL418" s="49">
        <f>IF(N(U418)&lt;=0.005,"",COUNTIFS('JOBS'!$U$5:$U$1504,"&gt;0.005",'JOBS'!$B$5:$B$1504,"&lt;"&amp;B418)+COUNTIFS($U$5:U418,"&gt;0.005",$B$5:B418,B418))</f>
        <v/>
      </c>
    </row>
    <row r="419">
      <c r="A419" s="46" t="inlineStr">
        <is>
          <t>J-0415</t>
        </is>
      </c>
      <c r="B419" s="47" t="n"/>
      <c r="C419" s="94" t="n"/>
      <c r="D419" s="38" t="n"/>
      <c r="E419" s="38" t="n"/>
      <c r="F419" s="38" t="n"/>
      <c r="G419" s="38" t="n"/>
      <c r="H419" s="38" t="n"/>
      <c r="I419" s="57" t="n"/>
      <c r="J419" s="95" t="n"/>
      <c r="K419" s="95" t="n"/>
      <c r="L419" s="48" t="n"/>
      <c r="M419" s="96" t="n"/>
      <c r="N419" s="48" t="n"/>
      <c r="O419" s="38" t="n"/>
      <c r="P419" s="38" t="n"/>
      <c r="Q419" s="97">
        <f>IF(OR(F419="",E419=""),"",IFERROR(IF(INDEX('PROPERTIES'!$F$5:$F$404,MATCH(E419,'PROPERTIES'!$B$5:$B$404,0))=0,"",ROUND((INDEX('PROPERTIES'!$F$5:$F$404,MATCH(E419,'PROPERTIES'!$B$5:$B$404,0))/INDEX('PRICING'!$C$7:$C$16,MATCH(F419,'PRICING'!$A$7:$A$16,0))+INDEX('PROPERTIES'!$G$5:$G$404,MATCH(E419,'PROPERTIES'!$B$5:$B$404,0))*INDEX('PRICING'!$D$7:$D$16,MATCH(F419,'PRICING'!$A$7:$A$16,0))/60+INDEX('PROPERTIES'!$H$5:$H$404,MATCH(E419,'PROPERTIES'!$B$5:$B$404,0))*INDEX('PRICING'!$E$7:$E$16,MATCH(F419,'PRICING'!$A$7:$A$16,0))/60+INDEX('PRICING'!$F$7:$F$16,MATCH(F419,'PRICING'!$A$7:$A$16,0))/60),2)),""))</f>
        <v/>
      </c>
      <c r="R419" s="97">
        <f>IF(B419="","",IF(N(K419)&gt;0,K419,IF(N(J419)&gt;0,J419,N(Q419))))</f>
        <v/>
      </c>
      <c r="S419" s="55">
        <f>IF(L419="","",ROUND(L419*(1+N(M419)),2))</f>
        <v/>
      </c>
      <c r="T419" s="55">
        <f>IF(B419="","",SUMIFS('REVENUE'!$C$5:$C$1504,'REVENUE'!$B$5:$B$1504,A419))</f>
        <v/>
      </c>
      <c r="U419" s="55">
        <f>IF(B419="","",IF(O419="Completed",MAX(0,N(S419)-T419),""))</f>
        <v/>
      </c>
      <c r="V419" s="49">
        <f>IF(B419="","",IF(O419&lt;&gt;"Completed",IF(T419&gt;0,"Deposit","—"),IF(U419&lt;=0.005,"Paid",IF(T419&gt;0,"Partial","Unpaid"))))</f>
        <v/>
      </c>
      <c r="W419" s="55">
        <f>IF(B419="","",IFERROR(1/(1/INDEX('STAFF &amp; TASKS'!$C$5:$C$24,MATCH(H419,'STAFF &amp; TASKS'!$A$5:$A$24,0))),PayRate))</f>
        <v/>
      </c>
      <c r="X419" s="55">
        <f>IF(B419="","",IF(OR(O419="Cancelled",O419="No-Show"),"",ROUND(R419*W419*(1+Burden),2)))</f>
        <v/>
      </c>
      <c r="Y419" s="55">
        <f>IF(B419="","",IF(OR(O419="Cancelled",O419="No-Show"),"",IF(N419&lt;&gt;"",N419,ROUND(R419*SupHr*IFERROR(INDEX('PRICING'!$G$7:$G$16,MATCH(F419,'PRICING'!$A$7:$A$16,0)),1),2))))</f>
        <v/>
      </c>
      <c r="Z419" s="98">
        <f>IF(B419="","",SUMIFS('MILEAGE'!$J$5:$J$1504,'MILEAGE'!$B$5:$B$1504,A419))</f>
        <v/>
      </c>
      <c r="AA419" s="55">
        <f>IF(B419="","",ROUND(Z419*MileRate,2))</f>
        <v/>
      </c>
      <c r="AB419" s="55">
        <f>IF(B419="","",SUMIFS('REVENUE'!$J$5:$J$1504,'REVENUE'!$B$5:$B$1504,A419))</f>
        <v/>
      </c>
      <c r="AC419" s="55">
        <f>IF(L419="","",IF(OR(O419="Cancelled",O419="No-Show"),"",L419-N(X419)-N(Y419)-AA419-AB419))</f>
        <v/>
      </c>
      <c r="AD419" s="99">
        <f>IF(OR(AC419="",N(L419)=0),"",AC419/L419)</f>
        <v/>
      </c>
      <c r="AE419" s="55">
        <f>IF(OR(AC419="",N(R419)=0),"",L419/R419)</f>
        <v/>
      </c>
      <c r="AF419" s="100">
        <f>IF(OR(N(K419)=0,N(J419)+N(Q419)=0),"",K419-IF(N(J419)&gt;0,J419,Q419))</f>
        <v/>
      </c>
      <c r="AG419" s="99">
        <f>IF(B419="","",IFERROR(AVERAGEIFS('QUALITY CONTROL'!$M$5:$M$304,'QUALITY CONTROL'!$B$5:$B$304,A419),""))</f>
        <v/>
      </c>
      <c r="AH419" s="51">
        <f>IF(B419="","",DATE(YEAR(B419),MONTH(B419),1))</f>
        <v/>
      </c>
      <c r="AI419" s="49">
        <f>IF(D419="","",IFERROR(INDEX('CUSTOMERS'!$E$5:$E$404,MATCH(D419,'CUSTOMERS'!$B$5:$B$404,0)),""))</f>
        <v/>
      </c>
      <c r="AJ419" s="49">
        <f>IF(B419="","",N(C419))</f>
        <v/>
      </c>
      <c r="AK419" s="49">
        <f>IF(OR(B419="",O419="Cancelled",O419="Rescheduled"),"",B419&amp;"|"&amp;(COUNTIFS('JOBS'!$B$5:$B$1504,B419,'JOBS'!$AJ$5:$AJ$1504,"&lt;"&amp;AJ419,'JOBS'!$O$5:$O$1504,"&lt;&gt;Cancelled",'JOBS'!$O$5:$O$1504,"&lt;&gt;Rescheduled")+COUNTIFS($B$5:B419,B419,$AJ$5:AJ419,AJ419,$O$5:O419,"&lt;&gt;Cancelled",$O$5:O419,"&lt;&gt;Rescheduled")))</f>
        <v/>
      </c>
      <c r="AL419" s="49">
        <f>IF(N(U419)&lt;=0.005,"",COUNTIFS('JOBS'!$U$5:$U$1504,"&gt;0.005",'JOBS'!$B$5:$B$1504,"&lt;"&amp;B419)+COUNTIFS($U$5:U419,"&gt;0.005",$B$5:B419,B419))</f>
        <v/>
      </c>
    </row>
    <row r="420">
      <c r="A420" s="46" t="inlineStr">
        <is>
          <t>J-0416</t>
        </is>
      </c>
      <c r="B420" s="47" t="n"/>
      <c r="C420" s="94" t="n"/>
      <c r="D420" s="38" t="n"/>
      <c r="E420" s="38" t="n"/>
      <c r="F420" s="38" t="n"/>
      <c r="G420" s="38" t="n"/>
      <c r="H420" s="38" t="n"/>
      <c r="I420" s="57" t="n"/>
      <c r="J420" s="95" t="n"/>
      <c r="K420" s="95" t="n"/>
      <c r="L420" s="48" t="n"/>
      <c r="M420" s="96" t="n"/>
      <c r="N420" s="48" t="n"/>
      <c r="O420" s="38" t="n"/>
      <c r="P420" s="38" t="n"/>
      <c r="Q420" s="97">
        <f>IF(OR(F420="",E420=""),"",IFERROR(IF(INDEX('PROPERTIES'!$F$5:$F$404,MATCH(E420,'PROPERTIES'!$B$5:$B$404,0))=0,"",ROUND((INDEX('PROPERTIES'!$F$5:$F$404,MATCH(E420,'PROPERTIES'!$B$5:$B$404,0))/INDEX('PRICING'!$C$7:$C$16,MATCH(F420,'PRICING'!$A$7:$A$16,0))+INDEX('PROPERTIES'!$G$5:$G$404,MATCH(E420,'PROPERTIES'!$B$5:$B$404,0))*INDEX('PRICING'!$D$7:$D$16,MATCH(F420,'PRICING'!$A$7:$A$16,0))/60+INDEX('PROPERTIES'!$H$5:$H$404,MATCH(E420,'PROPERTIES'!$B$5:$B$404,0))*INDEX('PRICING'!$E$7:$E$16,MATCH(F420,'PRICING'!$A$7:$A$16,0))/60+INDEX('PRICING'!$F$7:$F$16,MATCH(F420,'PRICING'!$A$7:$A$16,0))/60),2)),""))</f>
        <v/>
      </c>
      <c r="R420" s="97">
        <f>IF(B420="","",IF(N(K420)&gt;0,K420,IF(N(J420)&gt;0,J420,N(Q420))))</f>
        <v/>
      </c>
      <c r="S420" s="55">
        <f>IF(L420="","",ROUND(L420*(1+N(M420)),2))</f>
        <v/>
      </c>
      <c r="T420" s="55">
        <f>IF(B420="","",SUMIFS('REVENUE'!$C$5:$C$1504,'REVENUE'!$B$5:$B$1504,A420))</f>
        <v/>
      </c>
      <c r="U420" s="55">
        <f>IF(B420="","",IF(O420="Completed",MAX(0,N(S420)-T420),""))</f>
        <v/>
      </c>
      <c r="V420" s="49">
        <f>IF(B420="","",IF(O420&lt;&gt;"Completed",IF(T420&gt;0,"Deposit","—"),IF(U420&lt;=0.005,"Paid",IF(T420&gt;0,"Partial","Unpaid"))))</f>
        <v/>
      </c>
      <c r="W420" s="55">
        <f>IF(B420="","",IFERROR(1/(1/INDEX('STAFF &amp; TASKS'!$C$5:$C$24,MATCH(H420,'STAFF &amp; TASKS'!$A$5:$A$24,0))),PayRate))</f>
        <v/>
      </c>
      <c r="X420" s="55">
        <f>IF(B420="","",IF(OR(O420="Cancelled",O420="No-Show"),"",ROUND(R420*W420*(1+Burden),2)))</f>
        <v/>
      </c>
      <c r="Y420" s="55">
        <f>IF(B420="","",IF(OR(O420="Cancelled",O420="No-Show"),"",IF(N420&lt;&gt;"",N420,ROUND(R420*SupHr*IFERROR(INDEX('PRICING'!$G$7:$G$16,MATCH(F420,'PRICING'!$A$7:$A$16,0)),1),2))))</f>
        <v/>
      </c>
      <c r="Z420" s="98">
        <f>IF(B420="","",SUMIFS('MILEAGE'!$J$5:$J$1504,'MILEAGE'!$B$5:$B$1504,A420))</f>
        <v/>
      </c>
      <c r="AA420" s="55">
        <f>IF(B420="","",ROUND(Z420*MileRate,2))</f>
        <v/>
      </c>
      <c r="AB420" s="55">
        <f>IF(B420="","",SUMIFS('REVENUE'!$J$5:$J$1504,'REVENUE'!$B$5:$B$1504,A420))</f>
        <v/>
      </c>
      <c r="AC420" s="55">
        <f>IF(L420="","",IF(OR(O420="Cancelled",O420="No-Show"),"",L420-N(X420)-N(Y420)-AA420-AB420))</f>
        <v/>
      </c>
      <c r="AD420" s="99">
        <f>IF(OR(AC420="",N(L420)=0),"",AC420/L420)</f>
        <v/>
      </c>
      <c r="AE420" s="55">
        <f>IF(OR(AC420="",N(R420)=0),"",L420/R420)</f>
        <v/>
      </c>
      <c r="AF420" s="100">
        <f>IF(OR(N(K420)=0,N(J420)+N(Q420)=0),"",K420-IF(N(J420)&gt;0,J420,Q420))</f>
        <v/>
      </c>
      <c r="AG420" s="99">
        <f>IF(B420="","",IFERROR(AVERAGEIFS('QUALITY CONTROL'!$M$5:$M$304,'QUALITY CONTROL'!$B$5:$B$304,A420),""))</f>
        <v/>
      </c>
      <c r="AH420" s="51">
        <f>IF(B420="","",DATE(YEAR(B420),MONTH(B420),1))</f>
        <v/>
      </c>
      <c r="AI420" s="49">
        <f>IF(D420="","",IFERROR(INDEX('CUSTOMERS'!$E$5:$E$404,MATCH(D420,'CUSTOMERS'!$B$5:$B$404,0)),""))</f>
        <v/>
      </c>
      <c r="AJ420" s="49">
        <f>IF(B420="","",N(C420))</f>
        <v/>
      </c>
      <c r="AK420" s="49">
        <f>IF(OR(B420="",O420="Cancelled",O420="Rescheduled"),"",B420&amp;"|"&amp;(COUNTIFS('JOBS'!$B$5:$B$1504,B420,'JOBS'!$AJ$5:$AJ$1504,"&lt;"&amp;AJ420,'JOBS'!$O$5:$O$1504,"&lt;&gt;Cancelled",'JOBS'!$O$5:$O$1504,"&lt;&gt;Rescheduled")+COUNTIFS($B$5:B420,B420,$AJ$5:AJ420,AJ420,$O$5:O420,"&lt;&gt;Cancelled",$O$5:O420,"&lt;&gt;Rescheduled")))</f>
        <v/>
      </c>
      <c r="AL420" s="49">
        <f>IF(N(U420)&lt;=0.005,"",COUNTIFS('JOBS'!$U$5:$U$1504,"&gt;0.005",'JOBS'!$B$5:$B$1504,"&lt;"&amp;B420)+COUNTIFS($U$5:U420,"&gt;0.005",$B$5:B420,B420))</f>
        <v/>
      </c>
    </row>
    <row r="421">
      <c r="A421" s="46" t="inlineStr">
        <is>
          <t>J-0417</t>
        </is>
      </c>
      <c r="B421" s="47" t="n"/>
      <c r="C421" s="94" t="n"/>
      <c r="D421" s="38" t="n"/>
      <c r="E421" s="38" t="n"/>
      <c r="F421" s="38" t="n"/>
      <c r="G421" s="38" t="n"/>
      <c r="H421" s="38" t="n"/>
      <c r="I421" s="57" t="n"/>
      <c r="J421" s="95" t="n"/>
      <c r="K421" s="95" t="n"/>
      <c r="L421" s="48" t="n"/>
      <c r="M421" s="96" t="n"/>
      <c r="N421" s="48" t="n"/>
      <c r="O421" s="38" t="n"/>
      <c r="P421" s="38" t="n"/>
      <c r="Q421" s="97">
        <f>IF(OR(F421="",E421=""),"",IFERROR(IF(INDEX('PROPERTIES'!$F$5:$F$404,MATCH(E421,'PROPERTIES'!$B$5:$B$404,0))=0,"",ROUND((INDEX('PROPERTIES'!$F$5:$F$404,MATCH(E421,'PROPERTIES'!$B$5:$B$404,0))/INDEX('PRICING'!$C$7:$C$16,MATCH(F421,'PRICING'!$A$7:$A$16,0))+INDEX('PROPERTIES'!$G$5:$G$404,MATCH(E421,'PROPERTIES'!$B$5:$B$404,0))*INDEX('PRICING'!$D$7:$D$16,MATCH(F421,'PRICING'!$A$7:$A$16,0))/60+INDEX('PROPERTIES'!$H$5:$H$404,MATCH(E421,'PROPERTIES'!$B$5:$B$404,0))*INDEX('PRICING'!$E$7:$E$16,MATCH(F421,'PRICING'!$A$7:$A$16,0))/60+INDEX('PRICING'!$F$7:$F$16,MATCH(F421,'PRICING'!$A$7:$A$16,0))/60),2)),""))</f>
        <v/>
      </c>
      <c r="R421" s="97">
        <f>IF(B421="","",IF(N(K421)&gt;0,K421,IF(N(J421)&gt;0,J421,N(Q421))))</f>
        <v/>
      </c>
      <c r="S421" s="55">
        <f>IF(L421="","",ROUND(L421*(1+N(M421)),2))</f>
        <v/>
      </c>
      <c r="T421" s="55">
        <f>IF(B421="","",SUMIFS('REVENUE'!$C$5:$C$1504,'REVENUE'!$B$5:$B$1504,A421))</f>
        <v/>
      </c>
      <c r="U421" s="55">
        <f>IF(B421="","",IF(O421="Completed",MAX(0,N(S421)-T421),""))</f>
        <v/>
      </c>
      <c r="V421" s="49">
        <f>IF(B421="","",IF(O421&lt;&gt;"Completed",IF(T421&gt;0,"Deposit","—"),IF(U421&lt;=0.005,"Paid",IF(T421&gt;0,"Partial","Unpaid"))))</f>
        <v/>
      </c>
      <c r="W421" s="55">
        <f>IF(B421="","",IFERROR(1/(1/INDEX('STAFF &amp; TASKS'!$C$5:$C$24,MATCH(H421,'STAFF &amp; TASKS'!$A$5:$A$24,0))),PayRate))</f>
        <v/>
      </c>
      <c r="X421" s="55">
        <f>IF(B421="","",IF(OR(O421="Cancelled",O421="No-Show"),"",ROUND(R421*W421*(1+Burden),2)))</f>
        <v/>
      </c>
      <c r="Y421" s="55">
        <f>IF(B421="","",IF(OR(O421="Cancelled",O421="No-Show"),"",IF(N421&lt;&gt;"",N421,ROUND(R421*SupHr*IFERROR(INDEX('PRICING'!$G$7:$G$16,MATCH(F421,'PRICING'!$A$7:$A$16,0)),1),2))))</f>
        <v/>
      </c>
      <c r="Z421" s="98">
        <f>IF(B421="","",SUMIFS('MILEAGE'!$J$5:$J$1504,'MILEAGE'!$B$5:$B$1504,A421))</f>
        <v/>
      </c>
      <c r="AA421" s="55">
        <f>IF(B421="","",ROUND(Z421*MileRate,2))</f>
        <v/>
      </c>
      <c r="AB421" s="55">
        <f>IF(B421="","",SUMIFS('REVENUE'!$J$5:$J$1504,'REVENUE'!$B$5:$B$1504,A421))</f>
        <v/>
      </c>
      <c r="AC421" s="55">
        <f>IF(L421="","",IF(OR(O421="Cancelled",O421="No-Show"),"",L421-N(X421)-N(Y421)-AA421-AB421))</f>
        <v/>
      </c>
      <c r="AD421" s="99">
        <f>IF(OR(AC421="",N(L421)=0),"",AC421/L421)</f>
        <v/>
      </c>
      <c r="AE421" s="55">
        <f>IF(OR(AC421="",N(R421)=0),"",L421/R421)</f>
        <v/>
      </c>
      <c r="AF421" s="100">
        <f>IF(OR(N(K421)=0,N(J421)+N(Q421)=0),"",K421-IF(N(J421)&gt;0,J421,Q421))</f>
        <v/>
      </c>
      <c r="AG421" s="99">
        <f>IF(B421="","",IFERROR(AVERAGEIFS('QUALITY CONTROL'!$M$5:$M$304,'QUALITY CONTROL'!$B$5:$B$304,A421),""))</f>
        <v/>
      </c>
      <c r="AH421" s="51">
        <f>IF(B421="","",DATE(YEAR(B421),MONTH(B421),1))</f>
        <v/>
      </c>
      <c r="AI421" s="49">
        <f>IF(D421="","",IFERROR(INDEX('CUSTOMERS'!$E$5:$E$404,MATCH(D421,'CUSTOMERS'!$B$5:$B$404,0)),""))</f>
        <v/>
      </c>
      <c r="AJ421" s="49">
        <f>IF(B421="","",N(C421))</f>
        <v/>
      </c>
      <c r="AK421" s="49">
        <f>IF(OR(B421="",O421="Cancelled",O421="Rescheduled"),"",B421&amp;"|"&amp;(COUNTIFS('JOBS'!$B$5:$B$1504,B421,'JOBS'!$AJ$5:$AJ$1504,"&lt;"&amp;AJ421,'JOBS'!$O$5:$O$1504,"&lt;&gt;Cancelled",'JOBS'!$O$5:$O$1504,"&lt;&gt;Rescheduled")+COUNTIFS($B$5:B421,B421,$AJ$5:AJ421,AJ421,$O$5:O421,"&lt;&gt;Cancelled",$O$5:O421,"&lt;&gt;Rescheduled")))</f>
        <v/>
      </c>
      <c r="AL421" s="49">
        <f>IF(N(U421)&lt;=0.005,"",COUNTIFS('JOBS'!$U$5:$U$1504,"&gt;0.005",'JOBS'!$B$5:$B$1504,"&lt;"&amp;B421)+COUNTIFS($U$5:U421,"&gt;0.005",$B$5:B421,B421))</f>
        <v/>
      </c>
    </row>
    <row r="422">
      <c r="A422" s="46" t="inlineStr">
        <is>
          <t>J-0418</t>
        </is>
      </c>
      <c r="B422" s="47" t="n"/>
      <c r="C422" s="94" t="n"/>
      <c r="D422" s="38" t="n"/>
      <c r="E422" s="38" t="n"/>
      <c r="F422" s="38" t="n"/>
      <c r="G422" s="38" t="n"/>
      <c r="H422" s="38" t="n"/>
      <c r="I422" s="57" t="n"/>
      <c r="J422" s="95" t="n"/>
      <c r="K422" s="95" t="n"/>
      <c r="L422" s="48" t="n"/>
      <c r="M422" s="96" t="n"/>
      <c r="N422" s="48" t="n"/>
      <c r="O422" s="38" t="n"/>
      <c r="P422" s="38" t="n"/>
      <c r="Q422" s="97">
        <f>IF(OR(F422="",E422=""),"",IFERROR(IF(INDEX('PROPERTIES'!$F$5:$F$404,MATCH(E422,'PROPERTIES'!$B$5:$B$404,0))=0,"",ROUND((INDEX('PROPERTIES'!$F$5:$F$404,MATCH(E422,'PROPERTIES'!$B$5:$B$404,0))/INDEX('PRICING'!$C$7:$C$16,MATCH(F422,'PRICING'!$A$7:$A$16,0))+INDEX('PROPERTIES'!$G$5:$G$404,MATCH(E422,'PROPERTIES'!$B$5:$B$404,0))*INDEX('PRICING'!$D$7:$D$16,MATCH(F422,'PRICING'!$A$7:$A$16,0))/60+INDEX('PROPERTIES'!$H$5:$H$404,MATCH(E422,'PROPERTIES'!$B$5:$B$404,0))*INDEX('PRICING'!$E$7:$E$16,MATCH(F422,'PRICING'!$A$7:$A$16,0))/60+INDEX('PRICING'!$F$7:$F$16,MATCH(F422,'PRICING'!$A$7:$A$16,0))/60),2)),""))</f>
        <v/>
      </c>
      <c r="R422" s="97">
        <f>IF(B422="","",IF(N(K422)&gt;0,K422,IF(N(J422)&gt;0,J422,N(Q422))))</f>
        <v/>
      </c>
      <c r="S422" s="55">
        <f>IF(L422="","",ROUND(L422*(1+N(M422)),2))</f>
        <v/>
      </c>
      <c r="T422" s="55">
        <f>IF(B422="","",SUMIFS('REVENUE'!$C$5:$C$1504,'REVENUE'!$B$5:$B$1504,A422))</f>
        <v/>
      </c>
      <c r="U422" s="55">
        <f>IF(B422="","",IF(O422="Completed",MAX(0,N(S422)-T422),""))</f>
        <v/>
      </c>
      <c r="V422" s="49">
        <f>IF(B422="","",IF(O422&lt;&gt;"Completed",IF(T422&gt;0,"Deposit","—"),IF(U422&lt;=0.005,"Paid",IF(T422&gt;0,"Partial","Unpaid"))))</f>
        <v/>
      </c>
      <c r="W422" s="55">
        <f>IF(B422="","",IFERROR(1/(1/INDEX('STAFF &amp; TASKS'!$C$5:$C$24,MATCH(H422,'STAFF &amp; TASKS'!$A$5:$A$24,0))),PayRate))</f>
        <v/>
      </c>
      <c r="X422" s="55">
        <f>IF(B422="","",IF(OR(O422="Cancelled",O422="No-Show"),"",ROUND(R422*W422*(1+Burden),2)))</f>
        <v/>
      </c>
      <c r="Y422" s="55">
        <f>IF(B422="","",IF(OR(O422="Cancelled",O422="No-Show"),"",IF(N422&lt;&gt;"",N422,ROUND(R422*SupHr*IFERROR(INDEX('PRICING'!$G$7:$G$16,MATCH(F422,'PRICING'!$A$7:$A$16,0)),1),2))))</f>
        <v/>
      </c>
      <c r="Z422" s="98">
        <f>IF(B422="","",SUMIFS('MILEAGE'!$J$5:$J$1504,'MILEAGE'!$B$5:$B$1504,A422))</f>
        <v/>
      </c>
      <c r="AA422" s="55">
        <f>IF(B422="","",ROUND(Z422*MileRate,2))</f>
        <v/>
      </c>
      <c r="AB422" s="55">
        <f>IF(B422="","",SUMIFS('REVENUE'!$J$5:$J$1504,'REVENUE'!$B$5:$B$1504,A422))</f>
        <v/>
      </c>
      <c r="AC422" s="55">
        <f>IF(L422="","",IF(OR(O422="Cancelled",O422="No-Show"),"",L422-N(X422)-N(Y422)-AA422-AB422))</f>
        <v/>
      </c>
      <c r="AD422" s="99">
        <f>IF(OR(AC422="",N(L422)=0),"",AC422/L422)</f>
        <v/>
      </c>
      <c r="AE422" s="55">
        <f>IF(OR(AC422="",N(R422)=0),"",L422/R422)</f>
        <v/>
      </c>
      <c r="AF422" s="100">
        <f>IF(OR(N(K422)=0,N(J422)+N(Q422)=0),"",K422-IF(N(J422)&gt;0,J422,Q422))</f>
        <v/>
      </c>
      <c r="AG422" s="99">
        <f>IF(B422="","",IFERROR(AVERAGEIFS('QUALITY CONTROL'!$M$5:$M$304,'QUALITY CONTROL'!$B$5:$B$304,A422),""))</f>
        <v/>
      </c>
      <c r="AH422" s="51">
        <f>IF(B422="","",DATE(YEAR(B422),MONTH(B422),1))</f>
        <v/>
      </c>
      <c r="AI422" s="49">
        <f>IF(D422="","",IFERROR(INDEX('CUSTOMERS'!$E$5:$E$404,MATCH(D422,'CUSTOMERS'!$B$5:$B$404,0)),""))</f>
        <v/>
      </c>
      <c r="AJ422" s="49">
        <f>IF(B422="","",N(C422))</f>
        <v/>
      </c>
      <c r="AK422" s="49">
        <f>IF(OR(B422="",O422="Cancelled",O422="Rescheduled"),"",B422&amp;"|"&amp;(COUNTIFS('JOBS'!$B$5:$B$1504,B422,'JOBS'!$AJ$5:$AJ$1504,"&lt;"&amp;AJ422,'JOBS'!$O$5:$O$1504,"&lt;&gt;Cancelled",'JOBS'!$O$5:$O$1504,"&lt;&gt;Rescheduled")+COUNTIFS($B$5:B422,B422,$AJ$5:AJ422,AJ422,$O$5:O422,"&lt;&gt;Cancelled",$O$5:O422,"&lt;&gt;Rescheduled")))</f>
        <v/>
      </c>
      <c r="AL422" s="49">
        <f>IF(N(U422)&lt;=0.005,"",COUNTIFS('JOBS'!$U$5:$U$1504,"&gt;0.005",'JOBS'!$B$5:$B$1504,"&lt;"&amp;B422)+COUNTIFS($U$5:U422,"&gt;0.005",$B$5:B422,B422))</f>
        <v/>
      </c>
    </row>
    <row r="423">
      <c r="A423" s="46" t="inlineStr">
        <is>
          <t>J-0419</t>
        </is>
      </c>
      <c r="B423" s="47" t="n"/>
      <c r="C423" s="94" t="n"/>
      <c r="D423" s="38" t="n"/>
      <c r="E423" s="38" t="n"/>
      <c r="F423" s="38" t="n"/>
      <c r="G423" s="38" t="n"/>
      <c r="H423" s="38" t="n"/>
      <c r="I423" s="57" t="n"/>
      <c r="J423" s="95" t="n"/>
      <c r="K423" s="95" t="n"/>
      <c r="L423" s="48" t="n"/>
      <c r="M423" s="96" t="n"/>
      <c r="N423" s="48" t="n"/>
      <c r="O423" s="38" t="n"/>
      <c r="P423" s="38" t="n"/>
      <c r="Q423" s="97">
        <f>IF(OR(F423="",E423=""),"",IFERROR(IF(INDEX('PROPERTIES'!$F$5:$F$404,MATCH(E423,'PROPERTIES'!$B$5:$B$404,0))=0,"",ROUND((INDEX('PROPERTIES'!$F$5:$F$404,MATCH(E423,'PROPERTIES'!$B$5:$B$404,0))/INDEX('PRICING'!$C$7:$C$16,MATCH(F423,'PRICING'!$A$7:$A$16,0))+INDEX('PROPERTIES'!$G$5:$G$404,MATCH(E423,'PROPERTIES'!$B$5:$B$404,0))*INDEX('PRICING'!$D$7:$D$16,MATCH(F423,'PRICING'!$A$7:$A$16,0))/60+INDEX('PROPERTIES'!$H$5:$H$404,MATCH(E423,'PROPERTIES'!$B$5:$B$404,0))*INDEX('PRICING'!$E$7:$E$16,MATCH(F423,'PRICING'!$A$7:$A$16,0))/60+INDEX('PRICING'!$F$7:$F$16,MATCH(F423,'PRICING'!$A$7:$A$16,0))/60),2)),""))</f>
        <v/>
      </c>
      <c r="R423" s="97">
        <f>IF(B423="","",IF(N(K423)&gt;0,K423,IF(N(J423)&gt;0,J423,N(Q423))))</f>
        <v/>
      </c>
      <c r="S423" s="55">
        <f>IF(L423="","",ROUND(L423*(1+N(M423)),2))</f>
        <v/>
      </c>
      <c r="T423" s="55">
        <f>IF(B423="","",SUMIFS('REVENUE'!$C$5:$C$1504,'REVENUE'!$B$5:$B$1504,A423))</f>
        <v/>
      </c>
      <c r="U423" s="55">
        <f>IF(B423="","",IF(O423="Completed",MAX(0,N(S423)-T423),""))</f>
        <v/>
      </c>
      <c r="V423" s="49">
        <f>IF(B423="","",IF(O423&lt;&gt;"Completed",IF(T423&gt;0,"Deposit","—"),IF(U423&lt;=0.005,"Paid",IF(T423&gt;0,"Partial","Unpaid"))))</f>
        <v/>
      </c>
      <c r="W423" s="55">
        <f>IF(B423="","",IFERROR(1/(1/INDEX('STAFF &amp; TASKS'!$C$5:$C$24,MATCH(H423,'STAFF &amp; TASKS'!$A$5:$A$24,0))),PayRate))</f>
        <v/>
      </c>
      <c r="X423" s="55">
        <f>IF(B423="","",IF(OR(O423="Cancelled",O423="No-Show"),"",ROUND(R423*W423*(1+Burden),2)))</f>
        <v/>
      </c>
      <c r="Y423" s="55">
        <f>IF(B423="","",IF(OR(O423="Cancelled",O423="No-Show"),"",IF(N423&lt;&gt;"",N423,ROUND(R423*SupHr*IFERROR(INDEX('PRICING'!$G$7:$G$16,MATCH(F423,'PRICING'!$A$7:$A$16,0)),1),2))))</f>
        <v/>
      </c>
      <c r="Z423" s="98">
        <f>IF(B423="","",SUMIFS('MILEAGE'!$J$5:$J$1504,'MILEAGE'!$B$5:$B$1504,A423))</f>
        <v/>
      </c>
      <c r="AA423" s="55">
        <f>IF(B423="","",ROUND(Z423*MileRate,2))</f>
        <v/>
      </c>
      <c r="AB423" s="55">
        <f>IF(B423="","",SUMIFS('REVENUE'!$J$5:$J$1504,'REVENUE'!$B$5:$B$1504,A423))</f>
        <v/>
      </c>
      <c r="AC423" s="55">
        <f>IF(L423="","",IF(OR(O423="Cancelled",O423="No-Show"),"",L423-N(X423)-N(Y423)-AA423-AB423))</f>
        <v/>
      </c>
      <c r="AD423" s="99">
        <f>IF(OR(AC423="",N(L423)=0),"",AC423/L423)</f>
        <v/>
      </c>
      <c r="AE423" s="55">
        <f>IF(OR(AC423="",N(R423)=0),"",L423/R423)</f>
        <v/>
      </c>
      <c r="AF423" s="100">
        <f>IF(OR(N(K423)=0,N(J423)+N(Q423)=0),"",K423-IF(N(J423)&gt;0,J423,Q423))</f>
        <v/>
      </c>
      <c r="AG423" s="99">
        <f>IF(B423="","",IFERROR(AVERAGEIFS('QUALITY CONTROL'!$M$5:$M$304,'QUALITY CONTROL'!$B$5:$B$304,A423),""))</f>
        <v/>
      </c>
      <c r="AH423" s="51">
        <f>IF(B423="","",DATE(YEAR(B423),MONTH(B423),1))</f>
        <v/>
      </c>
      <c r="AI423" s="49">
        <f>IF(D423="","",IFERROR(INDEX('CUSTOMERS'!$E$5:$E$404,MATCH(D423,'CUSTOMERS'!$B$5:$B$404,0)),""))</f>
        <v/>
      </c>
      <c r="AJ423" s="49">
        <f>IF(B423="","",N(C423))</f>
        <v/>
      </c>
      <c r="AK423" s="49">
        <f>IF(OR(B423="",O423="Cancelled",O423="Rescheduled"),"",B423&amp;"|"&amp;(COUNTIFS('JOBS'!$B$5:$B$1504,B423,'JOBS'!$AJ$5:$AJ$1504,"&lt;"&amp;AJ423,'JOBS'!$O$5:$O$1504,"&lt;&gt;Cancelled",'JOBS'!$O$5:$O$1504,"&lt;&gt;Rescheduled")+COUNTIFS($B$5:B423,B423,$AJ$5:AJ423,AJ423,$O$5:O423,"&lt;&gt;Cancelled",$O$5:O423,"&lt;&gt;Rescheduled")))</f>
        <v/>
      </c>
      <c r="AL423" s="49">
        <f>IF(N(U423)&lt;=0.005,"",COUNTIFS('JOBS'!$U$5:$U$1504,"&gt;0.005",'JOBS'!$B$5:$B$1504,"&lt;"&amp;B423)+COUNTIFS($U$5:U423,"&gt;0.005",$B$5:B423,B423))</f>
        <v/>
      </c>
    </row>
    <row r="424">
      <c r="A424" s="46" t="inlineStr">
        <is>
          <t>J-0420</t>
        </is>
      </c>
      <c r="B424" s="47" t="n"/>
      <c r="C424" s="94" t="n"/>
      <c r="D424" s="38" t="n"/>
      <c r="E424" s="38" t="n"/>
      <c r="F424" s="38" t="n"/>
      <c r="G424" s="38" t="n"/>
      <c r="H424" s="38" t="n"/>
      <c r="I424" s="57" t="n"/>
      <c r="J424" s="95" t="n"/>
      <c r="K424" s="95" t="n"/>
      <c r="L424" s="48" t="n"/>
      <c r="M424" s="96" t="n"/>
      <c r="N424" s="48" t="n"/>
      <c r="O424" s="38" t="n"/>
      <c r="P424" s="38" t="n"/>
      <c r="Q424" s="97">
        <f>IF(OR(F424="",E424=""),"",IFERROR(IF(INDEX('PROPERTIES'!$F$5:$F$404,MATCH(E424,'PROPERTIES'!$B$5:$B$404,0))=0,"",ROUND((INDEX('PROPERTIES'!$F$5:$F$404,MATCH(E424,'PROPERTIES'!$B$5:$B$404,0))/INDEX('PRICING'!$C$7:$C$16,MATCH(F424,'PRICING'!$A$7:$A$16,0))+INDEX('PROPERTIES'!$G$5:$G$404,MATCH(E424,'PROPERTIES'!$B$5:$B$404,0))*INDEX('PRICING'!$D$7:$D$16,MATCH(F424,'PRICING'!$A$7:$A$16,0))/60+INDEX('PROPERTIES'!$H$5:$H$404,MATCH(E424,'PROPERTIES'!$B$5:$B$404,0))*INDEX('PRICING'!$E$7:$E$16,MATCH(F424,'PRICING'!$A$7:$A$16,0))/60+INDEX('PRICING'!$F$7:$F$16,MATCH(F424,'PRICING'!$A$7:$A$16,0))/60),2)),""))</f>
        <v/>
      </c>
      <c r="R424" s="97">
        <f>IF(B424="","",IF(N(K424)&gt;0,K424,IF(N(J424)&gt;0,J424,N(Q424))))</f>
        <v/>
      </c>
      <c r="S424" s="55">
        <f>IF(L424="","",ROUND(L424*(1+N(M424)),2))</f>
        <v/>
      </c>
      <c r="T424" s="55">
        <f>IF(B424="","",SUMIFS('REVENUE'!$C$5:$C$1504,'REVENUE'!$B$5:$B$1504,A424))</f>
        <v/>
      </c>
      <c r="U424" s="55">
        <f>IF(B424="","",IF(O424="Completed",MAX(0,N(S424)-T424),""))</f>
        <v/>
      </c>
      <c r="V424" s="49">
        <f>IF(B424="","",IF(O424&lt;&gt;"Completed",IF(T424&gt;0,"Deposit","—"),IF(U424&lt;=0.005,"Paid",IF(T424&gt;0,"Partial","Unpaid"))))</f>
        <v/>
      </c>
      <c r="W424" s="55">
        <f>IF(B424="","",IFERROR(1/(1/INDEX('STAFF &amp; TASKS'!$C$5:$C$24,MATCH(H424,'STAFF &amp; TASKS'!$A$5:$A$24,0))),PayRate))</f>
        <v/>
      </c>
      <c r="X424" s="55">
        <f>IF(B424="","",IF(OR(O424="Cancelled",O424="No-Show"),"",ROUND(R424*W424*(1+Burden),2)))</f>
        <v/>
      </c>
      <c r="Y424" s="55">
        <f>IF(B424="","",IF(OR(O424="Cancelled",O424="No-Show"),"",IF(N424&lt;&gt;"",N424,ROUND(R424*SupHr*IFERROR(INDEX('PRICING'!$G$7:$G$16,MATCH(F424,'PRICING'!$A$7:$A$16,0)),1),2))))</f>
        <v/>
      </c>
      <c r="Z424" s="98">
        <f>IF(B424="","",SUMIFS('MILEAGE'!$J$5:$J$1504,'MILEAGE'!$B$5:$B$1504,A424))</f>
        <v/>
      </c>
      <c r="AA424" s="55">
        <f>IF(B424="","",ROUND(Z424*MileRate,2))</f>
        <v/>
      </c>
      <c r="AB424" s="55">
        <f>IF(B424="","",SUMIFS('REVENUE'!$J$5:$J$1504,'REVENUE'!$B$5:$B$1504,A424))</f>
        <v/>
      </c>
      <c r="AC424" s="55">
        <f>IF(L424="","",IF(OR(O424="Cancelled",O424="No-Show"),"",L424-N(X424)-N(Y424)-AA424-AB424))</f>
        <v/>
      </c>
      <c r="AD424" s="99">
        <f>IF(OR(AC424="",N(L424)=0),"",AC424/L424)</f>
        <v/>
      </c>
      <c r="AE424" s="55">
        <f>IF(OR(AC424="",N(R424)=0),"",L424/R424)</f>
        <v/>
      </c>
      <c r="AF424" s="100">
        <f>IF(OR(N(K424)=0,N(J424)+N(Q424)=0),"",K424-IF(N(J424)&gt;0,J424,Q424))</f>
        <v/>
      </c>
      <c r="AG424" s="99">
        <f>IF(B424="","",IFERROR(AVERAGEIFS('QUALITY CONTROL'!$M$5:$M$304,'QUALITY CONTROL'!$B$5:$B$304,A424),""))</f>
        <v/>
      </c>
      <c r="AH424" s="51">
        <f>IF(B424="","",DATE(YEAR(B424),MONTH(B424),1))</f>
        <v/>
      </c>
      <c r="AI424" s="49">
        <f>IF(D424="","",IFERROR(INDEX('CUSTOMERS'!$E$5:$E$404,MATCH(D424,'CUSTOMERS'!$B$5:$B$404,0)),""))</f>
        <v/>
      </c>
      <c r="AJ424" s="49">
        <f>IF(B424="","",N(C424))</f>
        <v/>
      </c>
      <c r="AK424" s="49">
        <f>IF(OR(B424="",O424="Cancelled",O424="Rescheduled"),"",B424&amp;"|"&amp;(COUNTIFS('JOBS'!$B$5:$B$1504,B424,'JOBS'!$AJ$5:$AJ$1504,"&lt;"&amp;AJ424,'JOBS'!$O$5:$O$1504,"&lt;&gt;Cancelled",'JOBS'!$O$5:$O$1504,"&lt;&gt;Rescheduled")+COUNTIFS($B$5:B424,B424,$AJ$5:AJ424,AJ424,$O$5:O424,"&lt;&gt;Cancelled",$O$5:O424,"&lt;&gt;Rescheduled")))</f>
        <v/>
      </c>
      <c r="AL424" s="49">
        <f>IF(N(U424)&lt;=0.005,"",COUNTIFS('JOBS'!$U$5:$U$1504,"&gt;0.005",'JOBS'!$B$5:$B$1504,"&lt;"&amp;B424)+COUNTIFS($U$5:U424,"&gt;0.005",$B$5:B424,B424))</f>
        <v/>
      </c>
    </row>
    <row r="425">
      <c r="A425" s="46" t="inlineStr">
        <is>
          <t>J-0421</t>
        </is>
      </c>
      <c r="B425" s="47" t="n"/>
      <c r="C425" s="94" t="n"/>
      <c r="D425" s="38" t="n"/>
      <c r="E425" s="38" t="n"/>
      <c r="F425" s="38" t="n"/>
      <c r="G425" s="38" t="n"/>
      <c r="H425" s="38" t="n"/>
      <c r="I425" s="57" t="n"/>
      <c r="J425" s="95" t="n"/>
      <c r="K425" s="95" t="n"/>
      <c r="L425" s="48" t="n"/>
      <c r="M425" s="96" t="n"/>
      <c r="N425" s="48" t="n"/>
      <c r="O425" s="38" t="n"/>
      <c r="P425" s="38" t="n"/>
      <c r="Q425" s="97">
        <f>IF(OR(F425="",E425=""),"",IFERROR(IF(INDEX('PROPERTIES'!$F$5:$F$404,MATCH(E425,'PROPERTIES'!$B$5:$B$404,0))=0,"",ROUND((INDEX('PROPERTIES'!$F$5:$F$404,MATCH(E425,'PROPERTIES'!$B$5:$B$404,0))/INDEX('PRICING'!$C$7:$C$16,MATCH(F425,'PRICING'!$A$7:$A$16,0))+INDEX('PROPERTIES'!$G$5:$G$404,MATCH(E425,'PROPERTIES'!$B$5:$B$404,0))*INDEX('PRICING'!$D$7:$D$16,MATCH(F425,'PRICING'!$A$7:$A$16,0))/60+INDEX('PROPERTIES'!$H$5:$H$404,MATCH(E425,'PROPERTIES'!$B$5:$B$404,0))*INDEX('PRICING'!$E$7:$E$16,MATCH(F425,'PRICING'!$A$7:$A$16,0))/60+INDEX('PRICING'!$F$7:$F$16,MATCH(F425,'PRICING'!$A$7:$A$16,0))/60),2)),""))</f>
        <v/>
      </c>
      <c r="R425" s="97">
        <f>IF(B425="","",IF(N(K425)&gt;0,K425,IF(N(J425)&gt;0,J425,N(Q425))))</f>
        <v/>
      </c>
      <c r="S425" s="55">
        <f>IF(L425="","",ROUND(L425*(1+N(M425)),2))</f>
        <v/>
      </c>
      <c r="T425" s="55">
        <f>IF(B425="","",SUMIFS('REVENUE'!$C$5:$C$1504,'REVENUE'!$B$5:$B$1504,A425))</f>
        <v/>
      </c>
      <c r="U425" s="55">
        <f>IF(B425="","",IF(O425="Completed",MAX(0,N(S425)-T425),""))</f>
        <v/>
      </c>
      <c r="V425" s="49">
        <f>IF(B425="","",IF(O425&lt;&gt;"Completed",IF(T425&gt;0,"Deposit","—"),IF(U425&lt;=0.005,"Paid",IF(T425&gt;0,"Partial","Unpaid"))))</f>
        <v/>
      </c>
      <c r="W425" s="55">
        <f>IF(B425="","",IFERROR(1/(1/INDEX('STAFF &amp; TASKS'!$C$5:$C$24,MATCH(H425,'STAFF &amp; TASKS'!$A$5:$A$24,0))),PayRate))</f>
        <v/>
      </c>
      <c r="X425" s="55">
        <f>IF(B425="","",IF(OR(O425="Cancelled",O425="No-Show"),"",ROUND(R425*W425*(1+Burden),2)))</f>
        <v/>
      </c>
      <c r="Y425" s="55">
        <f>IF(B425="","",IF(OR(O425="Cancelled",O425="No-Show"),"",IF(N425&lt;&gt;"",N425,ROUND(R425*SupHr*IFERROR(INDEX('PRICING'!$G$7:$G$16,MATCH(F425,'PRICING'!$A$7:$A$16,0)),1),2))))</f>
        <v/>
      </c>
      <c r="Z425" s="98">
        <f>IF(B425="","",SUMIFS('MILEAGE'!$J$5:$J$1504,'MILEAGE'!$B$5:$B$1504,A425))</f>
        <v/>
      </c>
      <c r="AA425" s="55">
        <f>IF(B425="","",ROUND(Z425*MileRate,2))</f>
        <v/>
      </c>
      <c r="AB425" s="55">
        <f>IF(B425="","",SUMIFS('REVENUE'!$J$5:$J$1504,'REVENUE'!$B$5:$B$1504,A425))</f>
        <v/>
      </c>
      <c r="AC425" s="55">
        <f>IF(L425="","",IF(OR(O425="Cancelled",O425="No-Show"),"",L425-N(X425)-N(Y425)-AA425-AB425))</f>
        <v/>
      </c>
      <c r="AD425" s="99">
        <f>IF(OR(AC425="",N(L425)=0),"",AC425/L425)</f>
        <v/>
      </c>
      <c r="AE425" s="55">
        <f>IF(OR(AC425="",N(R425)=0),"",L425/R425)</f>
        <v/>
      </c>
      <c r="AF425" s="100">
        <f>IF(OR(N(K425)=0,N(J425)+N(Q425)=0),"",K425-IF(N(J425)&gt;0,J425,Q425))</f>
        <v/>
      </c>
      <c r="AG425" s="99">
        <f>IF(B425="","",IFERROR(AVERAGEIFS('QUALITY CONTROL'!$M$5:$M$304,'QUALITY CONTROL'!$B$5:$B$304,A425),""))</f>
        <v/>
      </c>
      <c r="AH425" s="51">
        <f>IF(B425="","",DATE(YEAR(B425),MONTH(B425),1))</f>
        <v/>
      </c>
      <c r="AI425" s="49">
        <f>IF(D425="","",IFERROR(INDEX('CUSTOMERS'!$E$5:$E$404,MATCH(D425,'CUSTOMERS'!$B$5:$B$404,0)),""))</f>
        <v/>
      </c>
      <c r="AJ425" s="49">
        <f>IF(B425="","",N(C425))</f>
        <v/>
      </c>
      <c r="AK425" s="49">
        <f>IF(OR(B425="",O425="Cancelled",O425="Rescheduled"),"",B425&amp;"|"&amp;(COUNTIFS('JOBS'!$B$5:$B$1504,B425,'JOBS'!$AJ$5:$AJ$1504,"&lt;"&amp;AJ425,'JOBS'!$O$5:$O$1504,"&lt;&gt;Cancelled",'JOBS'!$O$5:$O$1504,"&lt;&gt;Rescheduled")+COUNTIFS($B$5:B425,B425,$AJ$5:AJ425,AJ425,$O$5:O425,"&lt;&gt;Cancelled",$O$5:O425,"&lt;&gt;Rescheduled")))</f>
        <v/>
      </c>
      <c r="AL425" s="49">
        <f>IF(N(U425)&lt;=0.005,"",COUNTIFS('JOBS'!$U$5:$U$1504,"&gt;0.005",'JOBS'!$B$5:$B$1504,"&lt;"&amp;B425)+COUNTIFS($U$5:U425,"&gt;0.005",$B$5:B425,B425))</f>
        <v/>
      </c>
    </row>
    <row r="426">
      <c r="A426" s="46" t="inlineStr">
        <is>
          <t>J-0422</t>
        </is>
      </c>
      <c r="B426" s="47" t="n"/>
      <c r="C426" s="94" t="n"/>
      <c r="D426" s="38" t="n"/>
      <c r="E426" s="38" t="n"/>
      <c r="F426" s="38" t="n"/>
      <c r="G426" s="38" t="n"/>
      <c r="H426" s="38" t="n"/>
      <c r="I426" s="57" t="n"/>
      <c r="J426" s="95" t="n"/>
      <c r="K426" s="95" t="n"/>
      <c r="L426" s="48" t="n"/>
      <c r="M426" s="96" t="n"/>
      <c r="N426" s="48" t="n"/>
      <c r="O426" s="38" t="n"/>
      <c r="P426" s="38" t="n"/>
      <c r="Q426" s="97">
        <f>IF(OR(F426="",E426=""),"",IFERROR(IF(INDEX('PROPERTIES'!$F$5:$F$404,MATCH(E426,'PROPERTIES'!$B$5:$B$404,0))=0,"",ROUND((INDEX('PROPERTIES'!$F$5:$F$404,MATCH(E426,'PROPERTIES'!$B$5:$B$404,0))/INDEX('PRICING'!$C$7:$C$16,MATCH(F426,'PRICING'!$A$7:$A$16,0))+INDEX('PROPERTIES'!$G$5:$G$404,MATCH(E426,'PROPERTIES'!$B$5:$B$404,0))*INDEX('PRICING'!$D$7:$D$16,MATCH(F426,'PRICING'!$A$7:$A$16,0))/60+INDEX('PROPERTIES'!$H$5:$H$404,MATCH(E426,'PROPERTIES'!$B$5:$B$404,0))*INDEX('PRICING'!$E$7:$E$16,MATCH(F426,'PRICING'!$A$7:$A$16,0))/60+INDEX('PRICING'!$F$7:$F$16,MATCH(F426,'PRICING'!$A$7:$A$16,0))/60),2)),""))</f>
        <v/>
      </c>
      <c r="R426" s="97">
        <f>IF(B426="","",IF(N(K426)&gt;0,K426,IF(N(J426)&gt;0,J426,N(Q426))))</f>
        <v/>
      </c>
      <c r="S426" s="55">
        <f>IF(L426="","",ROUND(L426*(1+N(M426)),2))</f>
        <v/>
      </c>
      <c r="T426" s="55">
        <f>IF(B426="","",SUMIFS('REVENUE'!$C$5:$C$1504,'REVENUE'!$B$5:$B$1504,A426))</f>
        <v/>
      </c>
      <c r="U426" s="55">
        <f>IF(B426="","",IF(O426="Completed",MAX(0,N(S426)-T426),""))</f>
        <v/>
      </c>
      <c r="V426" s="49">
        <f>IF(B426="","",IF(O426&lt;&gt;"Completed",IF(T426&gt;0,"Deposit","—"),IF(U426&lt;=0.005,"Paid",IF(T426&gt;0,"Partial","Unpaid"))))</f>
        <v/>
      </c>
      <c r="W426" s="55">
        <f>IF(B426="","",IFERROR(1/(1/INDEX('STAFF &amp; TASKS'!$C$5:$C$24,MATCH(H426,'STAFF &amp; TASKS'!$A$5:$A$24,0))),PayRate))</f>
        <v/>
      </c>
      <c r="X426" s="55">
        <f>IF(B426="","",IF(OR(O426="Cancelled",O426="No-Show"),"",ROUND(R426*W426*(1+Burden),2)))</f>
        <v/>
      </c>
      <c r="Y426" s="55">
        <f>IF(B426="","",IF(OR(O426="Cancelled",O426="No-Show"),"",IF(N426&lt;&gt;"",N426,ROUND(R426*SupHr*IFERROR(INDEX('PRICING'!$G$7:$G$16,MATCH(F426,'PRICING'!$A$7:$A$16,0)),1),2))))</f>
        <v/>
      </c>
      <c r="Z426" s="98">
        <f>IF(B426="","",SUMIFS('MILEAGE'!$J$5:$J$1504,'MILEAGE'!$B$5:$B$1504,A426))</f>
        <v/>
      </c>
      <c r="AA426" s="55">
        <f>IF(B426="","",ROUND(Z426*MileRate,2))</f>
        <v/>
      </c>
      <c r="AB426" s="55">
        <f>IF(B426="","",SUMIFS('REVENUE'!$J$5:$J$1504,'REVENUE'!$B$5:$B$1504,A426))</f>
        <v/>
      </c>
      <c r="AC426" s="55">
        <f>IF(L426="","",IF(OR(O426="Cancelled",O426="No-Show"),"",L426-N(X426)-N(Y426)-AA426-AB426))</f>
        <v/>
      </c>
      <c r="AD426" s="99">
        <f>IF(OR(AC426="",N(L426)=0),"",AC426/L426)</f>
        <v/>
      </c>
      <c r="AE426" s="55">
        <f>IF(OR(AC426="",N(R426)=0),"",L426/R426)</f>
        <v/>
      </c>
      <c r="AF426" s="100">
        <f>IF(OR(N(K426)=0,N(J426)+N(Q426)=0),"",K426-IF(N(J426)&gt;0,J426,Q426))</f>
        <v/>
      </c>
      <c r="AG426" s="99">
        <f>IF(B426="","",IFERROR(AVERAGEIFS('QUALITY CONTROL'!$M$5:$M$304,'QUALITY CONTROL'!$B$5:$B$304,A426),""))</f>
        <v/>
      </c>
      <c r="AH426" s="51">
        <f>IF(B426="","",DATE(YEAR(B426),MONTH(B426),1))</f>
        <v/>
      </c>
      <c r="AI426" s="49">
        <f>IF(D426="","",IFERROR(INDEX('CUSTOMERS'!$E$5:$E$404,MATCH(D426,'CUSTOMERS'!$B$5:$B$404,0)),""))</f>
        <v/>
      </c>
      <c r="AJ426" s="49">
        <f>IF(B426="","",N(C426))</f>
        <v/>
      </c>
      <c r="AK426" s="49">
        <f>IF(OR(B426="",O426="Cancelled",O426="Rescheduled"),"",B426&amp;"|"&amp;(COUNTIFS('JOBS'!$B$5:$B$1504,B426,'JOBS'!$AJ$5:$AJ$1504,"&lt;"&amp;AJ426,'JOBS'!$O$5:$O$1504,"&lt;&gt;Cancelled",'JOBS'!$O$5:$O$1504,"&lt;&gt;Rescheduled")+COUNTIFS($B$5:B426,B426,$AJ$5:AJ426,AJ426,$O$5:O426,"&lt;&gt;Cancelled",$O$5:O426,"&lt;&gt;Rescheduled")))</f>
        <v/>
      </c>
      <c r="AL426" s="49">
        <f>IF(N(U426)&lt;=0.005,"",COUNTIFS('JOBS'!$U$5:$U$1504,"&gt;0.005",'JOBS'!$B$5:$B$1504,"&lt;"&amp;B426)+COUNTIFS($U$5:U426,"&gt;0.005",$B$5:B426,B426))</f>
        <v/>
      </c>
    </row>
    <row r="427">
      <c r="A427" s="46" t="inlineStr">
        <is>
          <t>J-0423</t>
        </is>
      </c>
      <c r="B427" s="47" t="n"/>
      <c r="C427" s="94" t="n"/>
      <c r="D427" s="38" t="n"/>
      <c r="E427" s="38" t="n"/>
      <c r="F427" s="38" t="n"/>
      <c r="G427" s="38" t="n"/>
      <c r="H427" s="38" t="n"/>
      <c r="I427" s="57" t="n"/>
      <c r="J427" s="95" t="n"/>
      <c r="K427" s="95" t="n"/>
      <c r="L427" s="48" t="n"/>
      <c r="M427" s="96" t="n"/>
      <c r="N427" s="48" t="n"/>
      <c r="O427" s="38" t="n"/>
      <c r="P427" s="38" t="n"/>
      <c r="Q427" s="97">
        <f>IF(OR(F427="",E427=""),"",IFERROR(IF(INDEX('PROPERTIES'!$F$5:$F$404,MATCH(E427,'PROPERTIES'!$B$5:$B$404,0))=0,"",ROUND((INDEX('PROPERTIES'!$F$5:$F$404,MATCH(E427,'PROPERTIES'!$B$5:$B$404,0))/INDEX('PRICING'!$C$7:$C$16,MATCH(F427,'PRICING'!$A$7:$A$16,0))+INDEX('PROPERTIES'!$G$5:$G$404,MATCH(E427,'PROPERTIES'!$B$5:$B$404,0))*INDEX('PRICING'!$D$7:$D$16,MATCH(F427,'PRICING'!$A$7:$A$16,0))/60+INDEX('PROPERTIES'!$H$5:$H$404,MATCH(E427,'PROPERTIES'!$B$5:$B$404,0))*INDEX('PRICING'!$E$7:$E$16,MATCH(F427,'PRICING'!$A$7:$A$16,0))/60+INDEX('PRICING'!$F$7:$F$16,MATCH(F427,'PRICING'!$A$7:$A$16,0))/60),2)),""))</f>
        <v/>
      </c>
      <c r="R427" s="97">
        <f>IF(B427="","",IF(N(K427)&gt;0,K427,IF(N(J427)&gt;0,J427,N(Q427))))</f>
        <v/>
      </c>
      <c r="S427" s="55">
        <f>IF(L427="","",ROUND(L427*(1+N(M427)),2))</f>
        <v/>
      </c>
      <c r="T427" s="55">
        <f>IF(B427="","",SUMIFS('REVENUE'!$C$5:$C$1504,'REVENUE'!$B$5:$B$1504,A427))</f>
        <v/>
      </c>
      <c r="U427" s="55">
        <f>IF(B427="","",IF(O427="Completed",MAX(0,N(S427)-T427),""))</f>
        <v/>
      </c>
      <c r="V427" s="49">
        <f>IF(B427="","",IF(O427&lt;&gt;"Completed",IF(T427&gt;0,"Deposit","—"),IF(U427&lt;=0.005,"Paid",IF(T427&gt;0,"Partial","Unpaid"))))</f>
        <v/>
      </c>
      <c r="W427" s="55">
        <f>IF(B427="","",IFERROR(1/(1/INDEX('STAFF &amp; TASKS'!$C$5:$C$24,MATCH(H427,'STAFF &amp; TASKS'!$A$5:$A$24,0))),PayRate))</f>
        <v/>
      </c>
      <c r="X427" s="55">
        <f>IF(B427="","",IF(OR(O427="Cancelled",O427="No-Show"),"",ROUND(R427*W427*(1+Burden),2)))</f>
        <v/>
      </c>
      <c r="Y427" s="55">
        <f>IF(B427="","",IF(OR(O427="Cancelled",O427="No-Show"),"",IF(N427&lt;&gt;"",N427,ROUND(R427*SupHr*IFERROR(INDEX('PRICING'!$G$7:$G$16,MATCH(F427,'PRICING'!$A$7:$A$16,0)),1),2))))</f>
        <v/>
      </c>
      <c r="Z427" s="98">
        <f>IF(B427="","",SUMIFS('MILEAGE'!$J$5:$J$1504,'MILEAGE'!$B$5:$B$1504,A427))</f>
        <v/>
      </c>
      <c r="AA427" s="55">
        <f>IF(B427="","",ROUND(Z427*MileRate,2))</f>
        <v/>
      </c>
      <c r="AB427" s="55">
        <f>IF(B427="","",SUMIFS('REVENUE'!$J$5:$J$1504,'REVENUE'!$B$5:$B$1504,A427))</f>
        <v/>
      </c>
      <c r="AC427" s="55">
        <f>IF(L427="","",IF(OR(O427="Cancelled",O427="No-Show"),"",L427-N(X427)-N(Y427)-AA427-AB427))</f>
        <v/>
      </c>
      <c r="AD427" s="99">
        <f>IF(OR(AC427="",N(L427)=0),"",AC427/L427)</f>
        <v/>
      </c>
      <c r="AE427" s="55">
        <f>IF(OR(AC427="",N(R427)=0),"",L427/R427)</f>
        <v/>
      </c>
      <c r="AF427" s="100">
        <f>IF(OR(N(K427)=0,N(J427)+N(Q427)=0),"",K427-IF(N(J427)&gt;0,J427,Q427))</f>
        <v/>
      </c>
      <c r="AG427" s="99">
        <f>IF(B427="","",IFERROR(AVERAGEIFS('QUALITY CONTROL'!$M$5:$M$304,'QUALITY CONTROL'!$B$5:$B$304,A427),""))</f>
        <v/>
      </c>
      <c r="AH427" s="51">
        <f>IF(B427="","",DATE(YEAR(B427),MONTH(B427),1))</f>
        <v/>
      </c>
      <c r="AI427" s="49">
        <f>IF(D427="","",IFERROR(INDEX('CUSTOMERS'!$E$5:$E$404,MATCH(D427,'CUSTOMERS'!$B$5:$B$404,0)),""))</f>
        <v/>
      </c>
      <c r="AJ427" s="49">
        <f>IF(B427="","",N(C427))</f>
        <v/>
      </c>
      <c r="AK427" s="49">
        <f>IF(OR(B427="",O427="Cancelled",O427="Rescheduled"),"",B427&amp;"|"&amp;(COUNTIFS('JOBS'!$B$5:$B$1504,B427,'JOBS'!$AJ$5:$AJ$1504,"&lt;"&amp;AJ427,'JOBS'!$O$5:$O$1504,"&lt;&gt;Cancelled",'JOBS'!$O$5:$O$1504,"&lt;&gt;Rescheduled")+COUNTIFS($B$5:B427,B427,$AJ$5:AJ427,AJ427,$O$5:O427,"&lt;&gt;Cancelled",$O$5:O427,"&lt;&gt;Rescheduled")))</f>
        <v/>
      </c>
      <c r="AL427" s="49">
        <f>IF(N(U427)&lt;=0.005,"",COUNTIFS('JOBS'!$U$5:$U$1504,"&gt;0.005",'JOBS'!$B$5:$B$1504,"&lt;"&amp;B427)+COUNTIFS($U$5:U427,"&gt;0.005",$B$5:B427,B427))</f>
        <v/>
      </c>
    </row>
    <row r="428">
      <c r="A428" s="46" t="inlineStr">
        <is>
          <t>J-0424</t>
        </is>
      </c>
      <c r="B428" s="47" t="n"/>
      <c r="C428" s="94" t="n"/>
      <c r="D428" s="38" t="n"/>
      <c r="E428" s="38" t="n"/>
      <c r="F428" s="38" t="n"/>
      <c r="G428" s="38" t="n"/>
      <c r="H428" s="38" t="n"/>
      <c r="I428" s="57" t="n"/>
      <c r="J428" s="95" t="n"/>
      <c r="K428" s="95" t="n"/>
      <c r="L428" s="48" t="n"/>
      <c r="M428" s="96" t="n"/>
      <c r="N428" s="48" t="n"/>
      <c r="O428" s="38" t="n"/>
      <c r="P428" s="38" t="n"/>
      <c r="Q428" s="97">
        <f>IF(OR(F428="",E428=""),"",IFERROR(IF(INDEX('PROPERTIES'!$F$5:$F$404,MATCH(E428,'PROPERTIES'!$B$5:$B$404,0))=0,"",ROUND((INDEX('PROPERTIES'!$F$5:$F$404,MATCH(E428,'PROPERTIES'!$B$5:$B$404,0))/INDEX('PRICING'!$C$7:$C$16,MATCH(F428,'PRICING'!$A$7:$A$16,0))+INDEX('PROPERTIES'!$G$5:$G$404,MATCH(E428,'PROPERTIES'!$B$5:$B$404,0))*INDEX('PRICING'!$D$7:$D$16,MATCH(F428,'PRICING'!$A$7:$A$16,0))/60+INDEX('PROPERTIES'!$H$5:$H$404,MATCH(E428,'PROPERTIES'!$B$5:$B$404,0))*INDEX('PRICING'!$E$7:$E$16,MATCH(F428,'PRICING'!$A$7:$A$16,0))/60+INDEX('PRICING'!$F$7:$F$16,MATCH(F428,'PRICING'!$A$7:$A$16,0))/60),2)),""))</f>
        <v/>
      </c>
      <c r="R428" s="97">
        <f>IF(B428="","",IF(N(K428)&gt;0,K428,IF(N(J428)&gt;0,J428,N(Q428))))</f>
        <v/>
      </c>
      <c r="S428" s="55">
        <f>IF(L428="","",ROUND(L428*(1+N(M428)),2))</f>
        <v/>
      </c>
      <c r="T428" s="55">
        <f>IF(B428="","",SUMIFS('REVENUE'!$C$5:$C$1504,'REVENUE'!$B$5:$B$1504,A428))</f>
        <v/>
      </c>
      <c r="U428" s="55">
        <f>IF(B428="","",IF(O428="Completed",MAX(0,N(S428)-T428),""))</f>
        <v/>
      </c>
      <c r="V428" s="49">
        <f>IF(B428="","",IF(O428&lt;&gt;"Completed",IF(T428&gt;0,"Deposit","—"),IF(U428&lt;=0.005,"Paid",IF(T428&gt;0,"Partial","Unpaid"))))</f>
        <v/>
      </c>
      <c r="W428" s="55">
        <f>IF(B428="","",IFERROR(1/(1/INDEX('STAFF &amp; TASKS'!$C$5:$C$24,MATCH(H428,'STAFF &amp; TASKS'!$A$5:$A$24,0))),PayRate))</f>
        <v/>
      </c>
      <c r="X428" s="55">
        <f>IF(B428="","",IF(OR(O428="Cancelled",O428="No-Show"),"",ROUND(R428*W428*(1+Burden),2)))</f>
        <v/>
      </c>
      <c r="Y428" s="55">
        <f>IF(B428="","",IF(OR(O428="Cancelled",O428="No-Show"),"",IF(N428&lt;&gt;"",N428,ROUND(R428*SupHr*IFERROR(INDEX('PRICING'!$G$7:$G$16,MATCH(F428,'PRICING'!$A$7:$A$16,0)),1),2))))</f>
        <v/>
      </c>
      <c r="Z428" s="98">
        <f>IF(B428="","",SUMIFS('MILEAGE'!$J$5:$J$1504,'MILEAGE'!$B$5:$B$1504,A428))</f>
        <v/>
      </c>
      <c r="AA428" s="55">
        <f>IF(B428="","",ROUND(Z428*MileRate,2))</f>
        <v/>
      </c>
      <c r="AB428" s="55">
        <f>IF(B428="","",SUMIFS('REVENUE'!$J$5:$J$1504,'REVENUE'!$B$5:$B$1504,A428))</f>
        <v/>
      </c>
      <c r="AC428" s="55">
        <f>IF(L428="","",IF(OR(O428="Cancelled",O428="No-Show"),"",L428-N(X428)-N(Y428)-AA428-AB428))</f>
        <v/>
      </c>
      <c r="AD428" s="99">
        <f>IF(OR(AC428="",N(L428)=0),"",AC428/L428)</f>
        <v/>
      </c>
      <c r="AE428" s="55">
        <f>IF(OR(AC428="",N(R428)=0),"",L428/R428)</f>
        <v/>
      </c>
      <c r="AF428" s="100">
        <f>IF(OR(N(K428)=0,N(J428)+N(Q428)=0),"",K428-IF(N(J428)&gt;0,J428,Q428))</f>
        <v/>
      </c>
      <c r="AG428" s="99">
        <f>IF(B428="","",IFERROR(AVERAGEIFS('QUALITY CONTROL'!$M$5:$M$304,'QUALITY CONTROL'!$B$5:$B$304,A428),""))</f>
        <v/>
      </c>
      <c r="AH428" s="51">
        <f>IF(B428="","",DATE(YEAR(B428),MONTH(B428),1))</f>
        <v/>
      </c>
      <c r="AI428" s="49">
        <f>IF(D428="","",IFERROR(INDEX('CUSTOMERS'!$E$5:$E$404,MATCH(D428,'CUSTOMERS'!$B$5:$B$404,0)),""))</f>
        <v/>
      </c>
      <c r="AJ428" s="49">
        <f>IF(B428="","",N(C428))</f>
        <v/>
      </c>
      <c r="AK428" s="49">
        <f>IF(OR(B428="",O428="Cancelled",O428="Rescheduled"),"",B428&amp;"|"&amp;(COUNTIFS('JOBS'!$B$5:$B$1504,B428,'JOBS'!$AJ$5:$AJ$1504,"&lt;"&amp;AJ428,'JOBS'!$O$5:$O$1504,"&lt;&gt;Cancelled",'JOBS'!$O$5:$O$1504,"&lt;&gt;Rescheduled")+COUNTIFS($B$5:B428,B428,$AJ$5:AJ428,AJ428,$O$5:O428,"&lt;&gt;Cancelled",$O$5:O428,"&lt;&gt;Rescheduled")))</f>
        <v/>
      </c>
      <c r="AL428" s="49">
        <f>IF(N(U428)&lt;=0.005,"",COUNTIFS('JOBS'!$U$5:$U$1504,"&gt;0.005",'JOBS'!$B$5:$B$1504,"&lt;"&amp;B428)+COUNTIFS($U$5:U428,"&gt;0.005",$B$5:B428,B428))</f>
        <v/>
      </c>
    </row>
    <row r="429">
      <c r="A429" s="46" t="inlineStr">
        <is>
          <t>J-0425</t>
        </is>
      </c>
      <c r="B429" s="47" t="n"/>
      <c r="C429" s="94" t="n"/>
      <c r="D429" s="38" t="n"/>
      <c r="E429" s="38" t="n"/>
      <c r="F429" s="38" t="n"/>
      <c r="G429" s="38" t="n"/>
      <c r="H429" s="38" t="n"/>
      <c r="I429" s="57" t="n"/>
      <c r="J429" s="95" t="n"/>
      <c r="K429" s="95" t="n"/>
      <c r="L429" s="48" t="n"/>
      <c r="M429" s="96" t="n"/>
      <c r="N429" s="48" t="n"/>
      <c r="O429" s="38" t="n"/>
      <c r="P429" s="38" t="n"/>
      <c r="Q429" s="97">
        <f>IF(OR(F429="",E429=""),"",IFERROR(IF(INDEX('PROPERTIES'!$F$5:$F$404,MATCH(E429,'PROPERTIES'!$B$5:$B$404,0))=0,"",ROUND((INDEX('PROPERTIES'!$F$5:$F$404,MATCH(E429,'PROPERTIES'!$B$5:$B$404,0))/INDEX('PRICING'!$C$7:$C$16,MATCH(F429,'PRICING'!$A$7:$A$16,0))+INDEX('PROPERTIES'!$G$5:$G$404,MATCH(E429,'PROPERTIES'!$B$5:$B$404,0))*INDEX('PRICING'!$D$7:$D$16,MATCH(F429,'PRICING'!$A$7:$A$16,0))/60+INDEX('PROPERTIES'!$H$5:$H$404,MATCH(E429,'PROPERTIES'!$B$5:$B$404,0))*INDEX('PRICING'!$E$7:$E$16,MATCH(F429,'PRICING'!$A$7:$A$16,0))/60+INDEX('PRICING'!$F$7:$F$16,MATCH(F429,'PRICING'!$A$7:$A$16,0))/60),2)),""))</f>
        <v/>
      </c>
      <c r="R429" s="97">
        <f>IF(B429="","",IF(N(K429)&gt;0,K429,IF(N(J429)&gt;0,J429,N(Q429))))</f>
        <v/>
      </c>
      <c r="S429" s="55">
        <f>IF(L429="","",ROUND(L429*(1+N(M429)),2))</f>
        <v/>
      </c>
      <c r="T429" s="55">
        <f>IF(B429="","",SUMIFS('REVENUE'!$C$5:$C$1504,'REVENUE'!$B$5:$B$1504,A429))</f>
        <v/>
      </c>
      <c r="U429" s="55">
        <f>IF(B429="","",IF(O429="Completed",MAX(0,N(S429)-T429),""))</f>
        <v/>
      </c>
      <c r="V429" s="49">
        <f>IF(B429="","",IF(O429&lt;&gt;"Completed",IF(T429&gt;0,"Deposit","—"),IF(U429&lt;=0.005,"Paid",IF(T429&gt;0,"Partial","Unpaid"))))</f>
        <v/>
      </c>
      <c r="W429" s="55">
        <f>IF(B429="","",IFERROR(1/(1/INDEX('STAFF &amp; TASKS'!$C$5:$C$24,MATCH(H429,'STAFF &amp; TASKS'!$A$5:$A$24,0))),PayRate))</f>
        <v/>
      </c>
      <c r="X429" s="55">
        <f>IF(B429="","",IF(OR(O429="Cancelled",O429="No-Show"),"",ROUND(R429*W429*(1+Burden),2)))</f>
        <v/>
      </c>
      <c r="Y429" s="55">
        <f>IF(B429="","",IF(OR(O429="Cancelled",O429="No-Show"),"",IF(N429&lt;&gt;"",N429,ROUND(R429*SupHr*IFERROR(INDEX('PRICING'!$G$7:$G$16,MATCH(F429,'PRICING'!$A$7:$A$16,0)),1),2))))</f>
        <v/>
      </c>
      <c r="Z429" s="98">
        <f>IF(B429="","",SUMIFS('MILEAGE'!$J$5:$J$1504,'MILEAGE'!$B$5:$B$1504,A429))</f>
        <v/>
      </c>
      <c r="AA429" s="55">
        <f>IF(B429="","",ROUND(Z429*MileRate,2))</f>
        <v/>
      </c>
      <c r="AB429" s="55">
        <f>IF(B429="","",SUMIFS('REVENUE'!$J$5:$J$1504,'REVENUE'!$B$5:$B$1504,A429))</f>
        <v/>
      </c>
      <c r="AC429" s="55">
        <f>IF(L429="","",IF(OR(O429="Cancelled",O429="No-Show"),"",L429-N(X429)-N(Y429)-AA429-AB429))</f>
        <v/>
      </c>
      <c r="AD429" s="99">
        <f>IF(OR(AC429="",N(L429)=0),"",AC429/L429)</f>
        <v/>
      </c>
      <c r="AE429" s="55">
        <f>IF(OR(AC429="",N(R429)=0),"",L429/R429)</f>
        <v/>
      </c>
      <c r="AF429" s="100">
        <f>IF(OR(N(K429)=0,N(J429)+N(Q429)=0),"",K429-IF(N(J429)&gt;0,J429,Q429))</f>
        <v/>
      </c>
      <c r="AG429" s="99">
        <f>IF(B429="","",IFERROR(AVERAGEIFS('QUALITY CONTROL'!$M$5:$M$304,'QUALITY CONTROL'!$B$5:$B$304,A429),""))</f>
        <v/>
      </c>
      <c r="AH429" s="51">
        <f>IF(B429="","",DATE(YEAR(B429),MONTH(B429),1))</f>
        <v/>
      </c>
      <c r="AI429" s="49">
        <f>IF(D429="","",IFERROR(INDEX('CUSTOMERS'!$E$5:$E$404,MATCH(D429,'CUSTOMERS'!$B$5:$B$404,0)),""))</f>
        <v/>
      </c>
      <c r="AJ429" s="49">
        <f>IF(B429="","",N(C429))</f>
        <v/>
      </c>
      <c r="AK429" s="49">
        <f>IF(OR(B429="",O429="Cancelled",O429="Rescheduled"),"",B429&amp;"|"&amp;(COUNTIFS('JOBS'!$B$5:$B$1504,B429,'JOBS'!$AJ$5:$AJ$1504,"&lt;"&amp;AJ429,'JOBS'!$O$5:$O$1504,"&lt;&gt;Cancelled",'JOBS'!$O$5:$O$1504,"&lt;&gt;Rescheduled")+COUNTIFS($B$5:B429,B429,$AJ$5:AJ429,AJ429,$O$5:O429,"&lt;&gt;Cancelled",$O$5:O429,"&lt;&gt;Rescheduled")))</f>
        <v/>
      </c>
      <c r="AL429" s="49">
        <f>IF(N(U429)&lt;=0.005,"",COUNTIFS('JOBS'!$U$5:$U$1504,"&gt;0.005",'JOBS'!$B$5:$B$1504,"&lt;"&amp;B429)+COUNTIFS($U$5:U429,"&gt;0.005",$B$5:B429,B429))</f>
        <v/>
      </c>
    </row>
    <row r="430">
      <c r="A430" s="46" t="inlineStr">
        <is>
          <t>J-0426</t>
        </is>
      </c>
      <c r="B430" s="47" t="n"/>
      <c r="C430" s="94" t="n"/>
      <c r="D430" s="38" t="n"/>
      <c r="E430" s="38" t="n"/>
      <c r="F430" s="38" t="n"/>
      <c r="G430" s="38" t="n"/>
      <c r="H430" s="38" t="n"/>
      <c r="I430" s="57" t="n"/>
      <c r="J430" s="95" t="n"/>
      <c r="K430" s="95" t="n"/>
      <c r="L430" s="48" t="n"/>
      <c r="M430" s="96" t="n"/>
      <c r="N430" s="48" t="n"/>
      <c r="O430" s="38" t="n"/>
      <c r="P430" s="38" t="n"/>
      <c r="Q430" s="97">
        <f>IF(OR(F430="",E430=""),"",IFERROR(IF(INDEX('PROPERTIES'!$F$5:$F$404,MATCH(E430,'PROPERTIES'!$B$5:$B$404,0))=0,"",ROUND((INDEX('PROPERTIES'!$F$5:$F$404,MATCH(E430,'PROPERTIES'!$B$5:$B$404,0))/INDEX('PRICING'!$C$7:$C$16,MATCH(F430,'PRICING'!$A$7:$A$16,0))+INDEX('PROPERTIES'!$G$5:$G$404,MATCH(E430,'PROPERTIES'!$B$5:$B$404,0))*INDEX('PRICING'!$D$7:$D$16,MATCH(F430,'PRICING'!$A$7:$A$16,0))/60+INDEX('PROPERTIES'!$H$5:$H$404,MATCH(E430,'PROPERTIES'!$B$5:$B$404,0))*INDEX('PRICING'!$E$7:$E$16,MATCH(F430,'PRICING'!$A$7:$A$16,0))/60+INDEX('PRICING'!$F$7:$F$16,MATCH(F430,'PRICING'!$A$7:$A$16,0))/60),2)),""))</f>
        <v/>
      </c>
      <c r="R430" s="97">
        <f>IF(B430="","",IF(N(K430)&gt;0,K430,IF(N(J430)&gt;0,J430,N(Q430))))</f>
        <v/>
      </c>
      <c r="S430" s="55">
        <f>IF(L430="","",ROUND(L430*(1+N(M430)),2))</f>
        <v/>
      </c>
      <c r="T430" s="55">
        <f>IF(B430="","",SUMIFS('REVENUE'!$C$5:$C$1504,'REVENUE'!$B$5:$B$1504,A430))</f>
        <v/>
      </c>
      <c r="U430" s="55">
        <f>IF(B430="","",IF(O430="Completed",MAX(0,N(S430)-T430),""))</f>
        <v/>
      </c>
      <c r="V430" s="49">
        <f>IF(B430="","",IF(O430&lt;&gt;"Completed",IF(T430&gt;0,"Deposit","—"),IF(U430&lt;=0.005,"Paid",IF(T430&gt;0,"Partial","Unpaid"))))</f>
        <v/>
      </c>
      <c r="W430" s="55">
        <f>IF(B430="","",IFERROR(1/(1/INDEX('STAFF &amp; TASKS'!$C$5:$C$24,MATCH(H430,'STAFF &amp; TASKS'!$A$5:$A$24,0))),PayRate))</f>
        <v/>
      </c>
      <c r="X430" s="55">
        <f>IF(B430="","",IF(OR(O430="Cancelled",O430="No-Show"),"",ROUND(R430*W430*(1+Burden),2)))</f>
        <v/>
      </c>
      <c r="Y430" s="55">
        <f>IF(B430="","",IF(OR(O430="Cancelled",O430="No-Show"),"",IF(N430&lt;&gt;"",N430,ROUND(R430*SupHr*IFERROR(INDEX('PRICING'!$G$7:$G$16,MATCH(F430,'PRICING'!$A$7:$A$16,0)),1),2))))</f>
        <v/>
      </c>
      <c r="Z430" s="98">
        <f>IF(B430="","",SUMIFS('MILEAGE'!$J$5:$J$1504,'MILEAGE'!$B$5:$B$1504,A430))</f>
        <v/>
      </c>
      <c r="AA430" s="55">
        <f>IF(B430="","",ROUND(Z430*MileRate,2))</f>
        <v/>
      </c>
      <c r="AB430" s="55">
        <f>IF(B430="","",SUMIFS('REVENUE'!$J$5:$J$1504,'REVENUE'!$B$5:$B$1504,A430))</f>
        <v/>
      </c>
      <c r="AC430" s="55">
        <f>IF(L430="","",IF(OR(O430="Cancelled",O430="No-Show"),"",L430-N(X430)-N(Y430)-AA430-AB430))</f>
        <v/>
      </c>
      <c r="AD430" s="99">
        <f>IF(OR(AC430="",N(L430)=0),"",AC430/L430)</f>
        <v/>
      </c>
      <c r="AE430" s="55">
        <f>IF(OR(AC430="",N(R430)=0),"",L430/R430)</f>
        <v/>
      </c>
      <c r="AF430" s="100">
        <f>IF(OR(N(K430)=0,N(J430)+N(Q430)=0),"",K430-IF(N(J430)&gt;0,J430,Q430))</f>
        <v/>
      </c>
      <c r="AG430" s="99">
        <f>IF(B430="","",IFERROR(AVERAGEIFS('QUALITY CONTROL'!$M$5:$M$304,'QUALITY CONTROL'!$B$5:$B$304,A430),""))</f>
        <v/>
      </c>
      <c r="AH430" s="51">
        <f>IF(B430="","",DATE(YEAR(B430),MONTH(B430),1))</f>
        <v/>
      </c>
      <c r="AI430" s="49">
        <f>IF(D430="","",IFERROR(INDEX('CUSTOMERS'!$E$5:$E$404,MATCH(D430,'CUSTOMERS'!$B$5:$B$404,0)),""))</f>
        <v/>
      </c>
      <c r="AJ430" s="49">
        <f>IF(B430="","",N(C430))</f>
        <v/>
      </c>
      <c r="AK430" s="49">
        <f>IF(OR(B430="",O430="Cancelled",O430="Rescheduled"),"",B430&amp;"|"&amp;(COUNTIFS('JOBS'!$B$5:$B$1504,B430,'JOBS'!$AJ$5:$AJ$1504,"&lt;"&amp;AJ430,'JOBS'!$O$5:$O$1504,"&lt;&gt;Cancelled",'JOBS'!$O$5:$O$1504,"&lt;&gt;Rescheduled")+COUNTIFS($B$5:B430,B430,$AJ$5:AJ430,AJ430,$O$5:O430,"&lt;&gt;Cancelled",$O$5:O430,"&lt;&gt;Rescheduled")))</f>
        <v/>
      </c>
      <c r="AL430" s="49">
        <f>IF(N(U430)&lt;=0.005,"",COUNTIFS('JOBS'!$U$5:$U$1504,"&gt;0.005",'JOBS'!$B$5:$B$1504,"&lt;"&amp;B430)+COUNTIFS($U$5:U430,"&gt;0.005",$B$5:B430,B430))</f>
        <v/>
      </c>
    </row>
    <row r="431">
      <c r="A431" s="46" t="inlineStr">
        <is>
          <t>J-0427</t>
        </is>
      </c>
      <c r="B431" s="47" t="n"/>
      <c r="C431" s="94" t="n"/>
      <c r="D431" s="38" t="n"/>
      <c r="E431" s="38" t="n"/>
      <c r="F431" s="38" t="n"/>
      <c r="G431" s="38" t="n"/>
      <c r="H431" s="38" t="n"/>
      <c r="I431" s="57" t="n"/>
      <c r="J431" s="95" t="n"/>
      <c r="K431" s="95" t="n"/>
      <c r="L431" s="48" t="n"/>
      <c r="M431" s="96" t="n"/>
      <c r="N431" s="48" t="n"/>
      <c r="O431" s="38" t="n"/>
      <c r="P431" s="38" t="n"/>
      <c r="Q431" s="97">
        <f>IF(OR(F431="",E431=""),"",IFERROR(IF(INDEX('PROPERTIES'!$F$5:$F$404,MATCH(E431,'PROPERTIES'!$B$5:$B$404,0))=0,"",ROUND((INDEX('PROPERTIES'!$F$5:$F$404,MATCH(E431,'PROPERTIES'!$B$5:$B$404,0))/INDEX('PRICING'!$C$7:$C$16,MATCH(F431,'PRICING'!$A$7:$A$16,0))+INDEX('PROPERTIES'!$G$5:$G$404,MATCH(E431,'PROPERTIES'!$B$5:$B$404,0))*INDEX('PRICING'!$D$7:$D$16,MATCH(F431,'PRICING'!$A$7:$A$16,0))/60+INDEX('PROPERTIES'!$H$5:$H$404,MATCH(E431,'PROPERTIES'!$B$5:$B$404,0))*INDEX('PRICING'!$E$7:$E$16,MATCH(F431,'PRICING'!$A$7:$A$16,0))/60+INDEX('PRICING'!$F$7:$F$16,MATCH(F431,'PRICING'!$A$7:$A$16,0))/60),2)),""))</f>
        <v/>
      </c>
      <c r="R431" s="97">
        <f>IF(B431="","",IF(N(K431)&gt;0,K431,IF(N(J431)&gt;0,J431,N(Q431))))</f>
        <v/>
      </c>
      <c r="S431" s="55">
        <f>IF(L431="","",ROUND(L431*(1+N(M431)),2))</f>
        <v/>
      </c>
      <c r="T431" s="55">
        <f>IF(B431="","",SUMIFS('REVENUE'!$C$5:$C$1504,'REVENUE'!$B$5:$B$1504,A431))</f>
        <v/>
      </c>
      <c r="U431" s="55">
        <f>IF(B431="","",IF(O431="Completed",MAX(0,N(S431)-T431),""))</f>
        <v/>
      </c>
      <c r="V431" s="49">
        <f>IF(B431="","",IF(O431&lt;&gt;"Completed",IF(T431&gt;0,"Deposit","—"),IF(U431&lt;=0.005,"Paid",IF(T431&gt;0,"Partial","Unpaid"))))</f>
        <v/>
      </c>
      <c r="W431" s="55">
        <f>IF(B431="","",IFERROR(1/(1/INDEX('STAFF &amp; TASKS'!$C$5:$C$24,MATCH(H431,'STAFF &amp; TASKS'!$A$5:$A$24,0))),PayRate))</f>
        <v/>
      </c>
      <c r="X431" s="55">
        <f>IF(B431="","",IF(OR(O431="Cancelled",O431="No-Show"),"",ROUND(R431*W431*(1+Burden),2)))</f>
        <v/>
      </c>
      <c r="Y431" s="55">
        <f>IF(B431="","",IF(OR(O431="Cancelled",O431="No-Show"),"",IF(N431&lt;&gt;"",N431,ROUND(R431*SupHr*IFERROR(INDEX('PRICING'!$G$7:$G$16,MATCH(F431,'PRICING'!$A$7:$A$16,0)),1),2))))</f>
        <v/>
      </c>
      <c r="Z431" s="98">
        <f>IF(B431="","",SUMIFS('MILEAGE'!$J$5:$J$1504,'MILEAGE'!$B$5:$B$1504,A431))</f>
        <v/>
      </c>
      <c r="AA431" s="55">
        <f>IF(B431="","",ROUND(Z431*MileRate,2))</f>
        <v/>
      </c>
      <c r="AB431" s="55">
        <f>IF(B431="","",SUMIFS('REVENUE'!$J$5:$J$1504,'REVENUE'!$B$5:$B$1504,A431))</f>
        <v/>
      </c>
      <c r="AC431" s="55">
        <f>IF(L431="","",IF(OR(O431="Cancelled",O431="No-Show"),"",L431-N(X431)-N(Y431)-AA431-AB431))</f>
        <v/>
      </c>
      <c r="AD431" s="99">
        <f>IF(OR(AC431="",N(L431)=0),"",AC431/L431)</f>
        <v/>
      </c>
      <c r="AE431" s="55">
        <f>IF(OR(AC431="",N(R431)=0),"",L431/R431)</f>
        <v/>
      </c>
      <c r="AF431" s="100">
        <f>IF(OR(N(K431)=0,N(J431)+N(Q431)=0),"",K431-IF(N(J431)&gt;0,J431,Q431))</f>
        <v/>
      </c>
      <c r="AG431" s="99">
        <f>IF(B431="","",IFERROR(AVERAGEIFS('QUALITY CONTROL'!$M$5:$M$304,'QUALITY CONTROL'!$B$5:$B$304,A431),""))</f>
        <v/>
      </c>
      <c r="AH431" s="51">
        <f>IF(B431="","",DATE(YEAR(B431),MONTH(B431),1))</f>
        <v/>
      </c>
      <c r="AI431" s="49">
        <f>IF(D431="","",IFERROR(INDEX('CUSTOMERS'!$E$5:$E$404,MATCH(D431,'CUSTOMERS'!$B$5:$B$404,0)),""))</f>
        <v/>
      </c>
      <c r="AJ431" s="49">
        <f>IF(B431="","",N(C431))</f>
        <v/>
      </c>
      <c r="AK431" s="49">
        <f>IF(OR(B431="",O431="Cancelled",O431="Rescheduled"),"",B431&amp;"|"&amp;(COUNTIFS('JOBS'!$B$5:$B$1504,B431,'JOBS'!$AJ$5:$AJ$1504,"&lt;"&amp;AJ431,'JOBS'!$O$5:$O$1504,"&lt;&gt;Cancelled",'JOBS'!$O$5:$O$1504,"&lt;&gt;Rescheduled")+COUNTIFS($B$5:B431,B431,$AJ$5:AJ431,AJ431,$O$5:O431,"&lt;&gt;Cancelled",$O$5:O431,"&lt;&gt;Rescheduled")))</f>
        <v/>
      </c>
      <c r="AL431" s="49">
        <f>IF(N(U431)&lt;=0.005,"",COUNTIFS('JOBS'!$U$5:$U$1504,"&gt;0.005",'JOBS'!$B$5:$B$1504,"&lt;"&amp;B431)+COUNTIFS($U$5:U431,"&gt;0.005",$B$5:B431,B431))</f>
        <v/>
      </c>
    </row>
    <row r="432">
      <c r="A432" s="46" t="inlineStr">
        <is>
          <t>J-0428</t>
        </is>
      </c>
      <c r="B432" s="47" t="n"/>
      <c r="C432" s="94" t="n"/>
      <c r="D432" s="38" t="n"/>
      <c r="E432" s="38" t="n"/>
      <c r="F432" s="38" t="n"/>
      <c r="G432" s="38" t="n"/>
      <c r="H432" s="38" t="n"/>
      <c r="I432" s="57" t="n"/>
      <c r="J432" s="95" t="n"/>
      <c r="K432" s="95" t="n"/>
      <c r="L432" s="48" t="n"/>
      <c r="M432" s="96" t="n"/>
      <c r="N432" s="48" t="n"/>
      <c r="O432" s="38" t="n"/>
      <c r="P432" s="38" t="n"/>
      <c r="Q432" s="97">
        <f>IF(OR(F432="",E432=""),"",IFERROR(IF(INDEX('PROPERTIES'!$F$5:$F$404,MATCH(E432,'PROPERTIES'!$B$5:$B$404,0))=0,"",ROUND((INDEX('PROPERTIES'!$F$5:$F$404,MATCH(E432,'PROPERTIES'!$B$5:$B$404,0))/INDEX('PRICING'!$C$7:$C$16,MATCH(F432,'PRICING'!$A$7:$A$16,0))+INDEX('PROPERTIES'!$G$5:$G$404,MATCH(E432,'PROPERTIES'!$B$5:$B$404,0))*INDEX('PRICING'!$D$7:$D$16,MATCH(F432,'PRICING'!$A$7:$A$16,0))/60+INDEX('PROPERTIES'!$H$5:$H$404,MATCH(E432,'PROPERTIES'!$B$5:$B$404,0))*INDEX('PRICING'!$E$7:$E$16,MATCH(F432,'PRICING'!$A$7:$A$16,0))/60+INDEX('PRICING'!$F$7:$F$16,MATCH(F432,'PRICING'!$A$7:$A$16,0))/60),2)),""))</f>
        <v/>
      </c>
      <c r="R432" s="97">
        <f>IF(B432="","",IF(N(K432)&gt;0,K432,IF(N(J432)&gt;0,J432,N(Q432))))</f>
        <v/>
      </c>
      <c r="S432" s="55">
        <f>IF(L432="","",ROUND(L432*(1+N(M432)),2))</f>
        <v/>
      </c>
      <c r="T432" s="55">
        <f>IF(B432="","",SUMIFS('REVENUE'!$C$5:$C$1504,'REVENUE'!$B$5:$B$1504,A432))</f>
        <v/>
      </c>
      <c r="U432" s="55">
        <f>IF(B432="","",IF(O432="Completed",MAX(0,N(S432)-T432),""))</f>
        <v/>
      </c>
      <c r="V432" s="49">
        <f>IF(B432="","",IF(O432&lt;&gt;"Completed",IF(T432&gt;0,"Deposit","—"),IF(U432&lt;=0.005,"Paid",IF(T432&gt;0,"Partial","Unpaid"))))</f>
        <v/>
      </c>
      <c r="W432" s="55">
        <f>IF(B432="","",IFERROR(1/(1/INDEX('STAFF &amp; TASKS'!$C$5:$C$24,MATCH(H432,'STAFF &amp; TASKS'!$A$5:$A$24,0))),PayRate))</f>
        <v/>
      </c>
      <c r="X432" s="55">
        <f>IF(B432="","",IF(OR(O432="Cancelled",O432="No-Show"),"",ROUND(R432*W432*(1+Burden),2)))</f>
        <v/>
      </c>
      <c r="Y432" s="55">
        <f>IF(B432="","",IF(OR(O432="Cancelled",O432="No-Show"),"",IF(N432&lt;&gt;"",N432,ROUND(R432*SupHr*IFERROR(INDEX('PRICING'!$G$7:$G$16,MATCH(F432,'PRICING'!$A$7:$A$16,0)),1),2))))</f>
        <v/>
      </c>
      <c r="Z432" s="98">
        <f>IF(B432="","",SUMIFS('MILEAGE'!$J$5:$J$1504,'MILEAGE'!$B$5:$B$1504,A432))</f>
        <v/>
      </c>
      <c r="AA432" s="55">
        <f>IF(B432="","",ROUND(Z432*MileRate,2))</f>
        <v/>
      </c>
      <c r="AB432" s="55">
        <f>IF(B432="","",SUMIFS('REVENUE'!$J$5:$J$1504,'REVENUE'!$B$5:$B$1504,A432))</f>
        <v/>
      </c>
      <c r="AC432" s="55">
        <f>IF(L432="","",IF(OR(O432="Cancelled",O432="No-Show"),"",L432-N(X432)-N(Y432)-AA432-AB432))</f>
        <v/>
      </c>
      <c r="AD432" s="99">
        <f>IF(OR(AC432="",N(L432)=0),"",AC432/L432)</f>
        <v/>
      </c>
      <c r="AE432" s="55">
        <f>IF(OR(AC432="",N(R432)=0),"",L432/R432)</f>
        <v/>
      </c>
      <c r="AF432" s="100">
        <f>IF(OR(N(K432)=0,N(J432)+N(Q432)=0),"",K432-IF(N(J432)&gt;0,J432,Q432))</f>
        <v/>
      </c>
      <c r="AG432" s="99">
        <f>IF(B432="","",IFERROR(AVERAGEIFS('QUALITY CONTROL'!$M$5:$M$304,'QUALITY CONTROL'!$B$5:$B$304,A432),""))</f>
        <v/>
      </c>
      <c r="AH432" s="51">
        <f>IF(B432="","",DATE(YEAR(B432),MONTH(B432),1))</f>
        <v/>
      </c>
      <c r="AI432" s="49">
        <f>IF(D432="","",IFERROR(INDEX('CUSTOMERS'!$E$5:$E$404,MATCH(D432,'CUSTOMERS'!$B$5:$B$404,0)),""))</f>
        <v/>
      </c>
      <c r="AJ432" s="49">
        <f>IF(B432="","",N(C432))</f>
        <v/>
      </c>
      <c r="AK432" s="49">
        <f>IF(OR(B432="",O432="Cancelled",O432="Rescheduled"),"",B432&amp;"|"&amp;(COUNTIFS('JOBS'!$B$5:$B$1504,B432,'JOBS'!$AJ$5:$AJ$1504,"&lt;"&amp;AJ432,'JOBS'!$O$5:$O$1504,"&lt;&gt;Cancelled",'JOBS'!$O$5:$O$1504,"&lt;&gt;Rescheduled")+COUNTIFS($B$5:B432,B432,$AJ$5:AJ432,AJ432,$O$5:O432,"&lt;&gt;Cancelled",$O$5:O432,"&lt;&gt;Rescheduled")))</f>
        <v/>
      </c>
      <c r="AL432" s="49">
        <f>IF(N(U432)&lt;=0.005,"",COUNTIFS('JOBS'!$U$5:$U$1504,"&gt;0.005",'JOBS'!$B$5:$B$1504,"&lt;"&amp;B432)+COUNTIFS($U$5:U432,"&gt;0.005",$B$5:B432,B432))</f>
        <v/>
      </c>
    </row>
    <row r="433">
      <c r="A433" s="46" t="inlineStr">
        <is>
          <t>J-0429</t>
        </is>
      </c>
      <c r="B433" s="47" t="n"/>
      <c r="C433" s="94" t="n"/>
      <c r="D433" s="38" t="n"/>
      <c r="E433" s="38" t="n"/>
      <c r="F433" s="38" t="n"/>
      <c r="G433" s="38" t="n"/>
      <c r="H433" s="38" t="n"/>
      <c r="I433" s="57" t="n"/>
      <c r="J433" s="95" t="n"/>
      <c r="K433" s="95" t="n"/>
      <c r="L433" s="48" t="n"/>
      <c r="M433" s="96" t="n"/>
      <c r="N433" s="48" t="n"/>
      <c r="O433" s="38" t="n"/>
      <c r="P433" s="38" t="n"/>
      <c r="Q433" s="97">
        <f>IF(OR(F433="",E433=""),"",IFERROR(IF(INDEX('PROPERTIES'!$F$5:$F$404,MATCH(E433,'PROPERTIES'!$B$5:$B$404,0))=0,"",ROUND((INDEX('PROPERTIES'!$F$5:$F$404,MATCH(E433,'PROPERTIES'!$B$5:$B$404,0))/INDEX('PRICING'!$C$7:$C$16,MATCH(F433,'PRICING'!$A$7:$A$16,0))+INDEX('PROPERTIES'!$G$5:$G$404,MATCH(E433,'PROPERTIES'!$B$5:$B$404,0))*INDEX('PRICING'!$D$7:$D$16,MATCH(F433,'PRICING'!$A$7:$A$16,0))/60+INDEX('PROPERTIES'!$H$5:$H$404,MATCH(E433,'PROPERTIES'!$B$5:$B$404,0))*INDEX('PRICING'!$E$7:$E$16,MATCH(F433,'PRICING'!$A$7:$A$16,0))/60+INDEX('PRICING'!$F$7:$F$16,MATCH(F433,'PRICING'!$A$7:$A$16,0))/60),2)),""))</f>
        <v/>
      </c>
      <c r="R433" s="97">
        <f>IF(B433="","",IF(N(K433)&gt;0,K433,IF(N(J433)&gt;0,J433,N(Q433))))</f>
        <v/>
      </c>
      <c r="S433" s="55">
        <f>IF(L433="","",ROUND(L433*(1+N(M433)),2))</f>
        <v/>
      </c>
      <c r="T433" s="55">
        <f>IF(B433="","",SUMIFS('REVENUE'!$C$5:$C$1504,'REVENUE'!$B$5:$B$1504,A433))</f>
        <v/>
      </c>
      <c r="U433" s="55">
        <f>IF(B433="","",IF(O433="Completed",MAX(0,N(S433)-T433),""))</f>
        <v/>
      </c>
      <c r="V433" s="49">
        <f>IF(B433="","",IF(O433&lt;&gt;"Completed",IF(T433&gt;0,"Deposit","—"),IF(U433&lt;=0.005,"Paid",IF(T433&gt;0,"Partial","Unpaid"))))</f>
        <v/>
      </c>
      <c r="W433" s="55">
        <f>IF(B433="","",IFERROR(1/(1/INDEX('STAFF &amp; TASKS'!$C$5:$C$24,MATCH(H433,'STAFF &amp; TASKS'!$A$5:$A$24,0))),PayRate))</f>
        <v/>
      </c>
      <c r="X433" s="55">
        <f>IF(B433="","",IF(OR(O433="Cancelled",O433="No-Show"),"",ROUND(R433*W433*(1+Burden),2)))</f>
        <v/>
      </c>
      <c r="Y433" s="55">
        <f>IF(B433="","",IF(OR(O433="Cancelled",O433="No-Show"),"",IF(N433&lt;&gt;"",N433,ROUND(R433*SupHr*IFERROR(INDEX('PRICING'!$G$7:$G$16,MATCH(F433,'PRICING'!$A$7:$A$16,0)),1),2))))</f>
        <v/>
      </c>
      <c r="Z433" s="98">
        <f>IF(B433="","",SUMIFS('MILEAGE'!$J$5:$J$1504,'MILEAGE'!$B$5:$B$1504,A433))</f>
        <v/>
      </c>
      <c r="AA433" s="55">
        <f>IF(B433="","",ROUND(Z433*MileRate,2))</f>
        <v/>
      </c>
      <c r="AB433" s="55">
        <f>IF(B433="","",SUMIFS('REVENUE'!$J$5:$J$1504,'REVENUE'!$B$5:$B$1504,A433))</f>
        <v/>
      </c>
      <c r="AC433" s="55">
        <f>IF(L433="","",IF(OR(O433="Cancelled",O433="No-Show"),"",L433-N(X433)-N(Y433)-AA433-AB433))</f>
        <v/>
      </c>
      <c r="AD433" s="99">
        <f>IF(OR(AC433="",N(L433)=0),"",AC433/L433)</f>
        <v/>
      </c>
      <c r="AE433" s="55">
        <f>IF(OR(AC433="",N(R433)=0),"",L433/R433)</f>
        <v/>
      </c>
      <c r="AF433" s="100">
        <f>IF(OR(N(K433)=0,N(J433)+N(Q433)=0),"",K433-IF(N(J433)&gt;0,J433,Q433))</f>
        <v/>
      </c>
      <c r="AG433" s="99">
        <f>IF(B433="","",IFERROR(AVERAGEIFS('QUALITY CONTROL'!$M$5:$M$304,'QUALITY CONTROL'!$B$5:$B$304,A433),""))</f>
        <v/>
      </c>
      <c r="AH433" s="51">
        <f>IF(B433="","",DATE(YEAR(B433),MONTH(B433),1))</f>
        <v/>
      </c>
      <c r="AI433" s="49">
        <f>IF(D433="","",IFERROR(INDEX('CUSTOMERS'!$E$5:$E$404,MATCH(D433,'CUSTOMERS'!$B$5:$B$404,0)),""))</f>
        <v/>
      </c>
      <c r="AJ433" s="49">
        <f>IF(B433="","",N(C433))</f>
        <v/>
      </c>
      <c r="AK433" s="49">
        <f>IF(OR(B433="",O433="Cancelled",O433="Rescheduled"),"",B433&amp;"|"&amp;(COUNTIFS('JOBS'!$B$5:$B$1504,B433,'JOBS'!$AJ$5:$AJ$1504,"&lt;"&amp;AJ433,'JOBS'!$O$5:$O$1504,"&lt;&gt;Cancelled",'JOBS'!$O$5:$O$1504,"&lt;&gt;Rescheduled")+COUNTIFS($B$5:B433,B433,$AJ$5:AJ433,AJ433,$O$5:O433,"&lt;&gt;Cancelled",$O$5:O433,"&lt;&gt;Rescheduled")))</f>
        <v/>
      </c>
      <c r="AL433" s="49">
        <f>IF(N(U433)&lt;=0.005,"",COUNTIFS('JOBS'!$U$5:$U$1504,"&gt;0.005",'JOBS'!$B$5:$B$1504,"&lt;"&amp;B433)+COUNTIFS($U$5:U433,"&gt;0.005",$B$5:B433,B433))</f>
        <v/>
      </c>
    </row>
    <row r="434">
      <c r="A434" s="46" t="inlineStr">
        <is>
          <t>J-0430</t>
        </is>
      </c>
      <c r="B434" s="47" t="n"/>
      <c r="C434" s="94" t="n"/>
      <c r="D434" s="38" t="n"/>
      <c r="E434" s="38" t="n"/>
      <c r="F434" s="38" t="n"/>
      <c r="G434" s="38" t="n"/>
      <c r="H434" s="38" t="n"/>
      <c r="I434" s="57" t="n"/>
      <c r="J434" s="95" t="n"/>
      <c r="K434" s="95" t="n"/>
      <c r="L434" s="48" t="n"/>
      <c r="M434" s="96" t="n"/>
      <c r="N434" s="48" t="n"/>
      <c r="O434" s="38" t="n"/>
      <c r="P434" s="38" t="n"/>
      <c r="Q434" s="97">
        <f>IF(OR(F434="",E434=""),"",IFERROR(IF(INDEX('PROPERTIES'!$F$5:$F$404,MATCH(E434,'PROPERTIES'!$B$5:$B$404,0))=0,"",ROUND((INDEX('PROPERTIES'!$F$5:$F$404,MATCH(E434,'PROPERTIES'!$B$5:$B$404,0))/INDEX('PRICING'!$C$7:$C$16,MATCH(F434,'PRICING'!$A$7:$A$16,0))+INDEX('PROPERTIES'!$G$5:$G$404,MATCH(E434,'PROPERTIES'!$B$5:$B$404,0))*INDEX('PRICING'!$D$7:$D$16,MATCH(F434,'PRICING'!$A$7:$A$16,0))/60+INDEX('PROPERTIES'!$H$5:$H$404,MATCH(E434,'PROPERTIES'!$B$5:$B$404,0))*INDEX('PRICING'!$E$7:$E$16,MATCH(F434,'PRICING'!$A$7:$A$16,0))/60+INDEX('PRICING'!$F$7:$F$16,MATCH(F434,'PRICING'!$A$7:$A$16,0))/60),2)),""))</f>
        <v/>
      </c>
      <c r="R434" s="97">
        <f>IF(B434="","",IF(N(K434)&gt;0,K434,IF(N(J434)&gt;0,J434,N(Q434))))</f>
        <v/>
      </c>
      <c r="S434" s="55">
        <f>IF(L434="","",ROUND(L434*(1+N(M434)),2))</f>
        <v/>
      </c>
      <c r="T434" s="55">
        <f>IF(B434="","",SUMIFS('REVENUE'!$C$5:$C$1504,'REVENUE'!$B$5:$B$1504,A434))</f>
        <v/>
      </c>
      <c r="U434" s="55">
        <f>IF(B434="","",IF(O434="Completed",MAX(0,N(S434)-T434),""))</f>
        <v/>
      </c>
      <c r="V434" s="49">
        <f>IF(B434="","",IF(O434&lt;&gt;"Completed",IF(T434&gt;0,"Deposit","—"),IF(U434&lt;=0.005,"Paid",IF(T434&gt;0,"Partial","Unpaid"))))</f>
        <v/>
      </c>
      <c r="W434" s="55">
        <f>IF(B434="","",IFERROR(1/(1/INDEX('STAFF &amp; TASKS'!$C$5:$C$24,MATCH(H434,'STAFF &amp; TASKS'!$A$5:$A$24,0))),PayRate))</f>
        <v/>
      </c>
      <c r="X434" s="55">
        <f>IF(B434="","",IF(OR(O434="Cancelled",O434="No-Show"),"",ROUND(R434*W434*(1+Burden),2)))</f>
        <v/>
      </c>
      <c r="Y434" s="55">
        <f>IF(B434="","",IF(OR(O434="Cancelled",O434="No-Show"),"",IF(N434&lt;&gt;"",N434,ROUND(R434*SupHr*IFERROR(INDEX('PRICING'!$G$7:$G$16,MATCH(F434,'PRICING'!$A$7:$A$16,0)),1),2))))</f>
        <v/>
      </c>
      <c r="Z434" s="98">
        <f>IF(B434="","",SUMIFS('MILEAGE'!$J$5:$J$1504,'MILEAGE'!$B$5:$B$1504,A434))</f>
        <v/>
      </c>
      <c r="AA434" s="55">
        <f>IF(B434="","",ROUND(Z434*MileRate,2))</f>
        <v/>
      </c>
      <c r="AB434" s="55">
        <f>IF(B434="","",SUMIFS('REVENUE'!$J$5:$J$1504,'REVENUE'!$B$5:$B$1504,A434))</f>
        <v/>
      </c>
      <c r="AC434" s="55">
        <f>IF(L434="","",IF(OR(O434="Cancelled",O434="No-Show"),"",L434-N(X434)-N(Y434)-AA434-AB434))</f>
        <v/>
      </c>
      <c r="AD434" s="99">
        <f>IF(OR(AC434="",N(L434)=0),"",AC434/L434)</f>
        <v/>
      </c>
      <c r="AE434" s="55">
        <f>IF(OR(AC434="",N(R434)=0),"",L434/R434)</f>
        <v/>
      </c>
      <c r="AF434" s="100">
        <f>IF(OR(N(K434)=0,N(J434)+N(Q434)=0),"",K434-IF(N(J434)&gt;0,J434,Q434))</f>
        <v/>
      </c>
      <c r="AG434" s="99">
        <f>IF(B434="","",IFERROR(AVERAGEIFS('QUALITY CONTROL'!$M$5:$M$304,'QUALITY CONTROL'!$B$5:$B$304,A434),""))</f>
        <v/>
      </c>
      <c r="AH434" s="51">
        <f>IF(B434="","",DATE(YEAR(B434),MONTH(B434),1))</f>
        <v/>
      </c>
      <c r="AI434" s="49">
        <f>IF(D434="","",IFERROR(INDEX('CUSTOMERS'!$E$5:$E$404,MATCH(D434,'CUSTOMERS'!$B$5:$B$404,0)),""))</f>
        <v/>
      </c>
      <c r="AJ434" s="49">
        <f>IF(B434="","",N(C434))</f>
        <v/>
      </c>
      <c r="AK434" s="49">
        <f>IF(OR(B434="",O434="Cancelled",O434="Rescheduled"),"",B434&amp;"|"&amp;(COUNTIFS('JOBS'!$B$5:$B$1504,B434,'JOBS'!$AJ$5:$AJ$1504,"&lt;"&amp;AJ434,'JOBS'!$O$5:$O$1504,"&lt;&gt;Cancelled",'JOBS'!$O$5:$O$1504,"&lt;&gt;Rescheduled")+COUNTIFS($B$5:B434,B434,$AJ$5:AJ434,AJ434,$O$5:O434,"&lt;&gt;Cancelled",$O$5:O434,"&lt;&gt;Rescheduled")))</f>
        <v/>
      </c>
      <c r="AL434" s="49">
        <f>IF(N(U434)&lt;=0.005,"",COUNTIFS('JOBS'!$U$5:$U$1504,"&gt;0.005",'JOBS'!$B$5:$B$1504,"&lt;"&amp;B434)+COUNTIFS($U$5:U434,"&gt;0.005",$B$5:B434,B434))</f>
        <v/>
      </c>
    </row>
    <row r="435">
      <c r="A435" s="46" t="inlineStr">
        <is>
          <t>J-0431</t>
        </is>
      </c>
      <c r="B435" s="47" t="n"/>
      <c r="C435" s="94" t="n"/>
      <c r="D435" s="38" t="n"/>
      <c r="E435" s="38" t="n"/>
      <c r="F435" s="38" t="n"/>
      <c r="G435" s="38" t="n"/>
      <c r="H435" s="38" t="n"/>
      <c r="I435" s="57" t="n"/>
      <c r="J435" s="95" t="n"/>
      <c r="K435" s="95" t="n"/>
      <c r="L435" s="48" t="n"/>
      <c r="M435" s="96" t="n"/>
      <c r="N435" s="48" t="n"/>
      <c r="O435" s="38" t="n"/>
      <c r="P435" s="38" t="n"/>
      <c r="Q435" s="97">
        <f>IF(OR(F435="",E435=""),"",IFERROR(IF(INDEX('PROPERTIES'!$F$5:$F$404,MATCH(E435,'PROPERTIES'!$B$5:$B$404,0))=0,"",ROUND((INDEX('PROPERTIES'!$F$5:$F$404,MATCH(E435,'PROPERTIES'!$B$5:$B$404,0))/INDEX('PRICING'!$C$7:$C$16,MATCH(F435,'PRICING'!$A$7:$A$16,0))+INDEX('PROPERTIES'!$G$5:$G$404,MATCH(E435,'PROPERTIES'!$B$5:$B$404,0))*INDEX('PRICING'!$D$7:$D$16,MATCH(F435,'PRICING'!$A$7:$A$16,0))/60+INDEX('PROPERTIES'!$H$5:$H$404,MATCH(E435,'PROPERTIES'!$B$5:$B$404,0))*INDEX('PRICING'!$E$7:$E$16,MATCH(F435,'PRICING'!$A$7:$A$16,0))/60+INDEX('PRICING'!$F$7:$F$16,MATCH(F435,'PRICING'!$A$7:$A$16,0))/60),2)),""))</f>
        <v/>
      </c>
      <c r="R435" s="97">
        <f>IF(B435="","",IF(N(K435)&gt;0,K435,IF(N(J435)&gt;0,J435,N(Q435))))</f>
        <v/>
      </c>
      <c r="S435" s="55">
        <f>IF(L435="","",ROUND(L435*(1+N(M435)),2))</f>
        <v/>
      </c>
      <c r="T435" s="55">
        <f>IF(B435="","",SUMIFS('REVENUE'!$C$5:$C$1504,'REVENUE'!$B$5:$B$1504,A435))</f>
        <v/>
      </c>
      <c r="U435" s="55">
        <f>IF(B435="","",IF(O435="Completed",MAX(0,N(S435)-T435),""))</f>
        <v/>
      </c>
      <c r="V435" s="49">
        <f>IF(B435="","",IF(O435&lt;&gt;"Completed",IF(T435&gt;0,"Deposit","—"),IF(U435&lt;=0.005,"Paid",IF(T435&gt;0,"Partial","Unpaid"))))</f>
        <v/>
      </c>
      <c r="W435" s="55">
        <f>IF(B435="","",IFERROR(1/(1/INDEX('STAFF &amp; TASKS'!$C$5:$C$24,MATCH(H435,'STAFF &amp; TASKS'!$A$5:$A$24,0))),PayRate))</f>
        <v/>
      </c>
      <c r="X435" s="55">
        <f>IF(B435="","",IF(OR(O435="Cancelled",O435="No-Show"),"",ROUND(R435*W435*(1+Burden),2)))</f>
        <v/>
      </c>
      <c r="Y435" s="55">
        <f>IF(B435="","",IF(OR(O435="Cancelled",O435="No-Show"),"",IF(N435&lt;&gt;"",N435,ROUND(R435*SupHr*IFERROR(INDEX('PRICING'!$G$7:$G$16,MATCH(F435,'PRICING'!$A$7:$A$16,0)),1),2))))</f>
        <v/>
      </c>
      <c r="Z435" s="98">
        <f>IF(B435="","",SUMIFS('MILEAGE'!$J$5:$J$1504,'MILEAGE'!$B$5:$B$1504,A435))</f>
        <v/>
      </c>
      <c r="AA435" s="55">
        <f>IF(B435="","",ROUND(Z435*MileRate,2))</f>
        <v/>
      </c>
      <c r="AB435" s="55">
        <f>IF(B435="","",SUMIFS('REVENUE'!$J$5:$J$1504,'REVENUE'!$B$5:$B$1504,A435))</f>
        <v/>
      </c>
      <c r="AC435" s="55">
        <f>IF(L435="","",IF(OR(O435="Cancelled",O435="No-Show"),"",L435-N(X435)-N(Y435)-AA435-AB435))</f>
        <v/>
      </c>
      <c r="AD435" s="99">
        <f>IF(OR(AC435="",N(L435)=0),"",AC435/L435)</f>
        <v/>
      </c>
      <c r="AE435" s="55">
        <f>IF(OR(AC435="",N(R435)=0),"",L435/R435)</f>
        <v/>
      </c>
      <c r="AF435" s="100">
        <f>IF(OR(N(K435)=0,N(J435)+N(Q435)=0),"",K435-IF(N(J435)&gt;0,J435,Q435))</f>
        <v/>
      </c>
      <c r="AG435" s="99">
        <f>IF(B435="","",IFERROR(AVERAGEIFS('QUALITY CONTROL'!$M$5:$M$304,'QUALITY CONTROL'!$B$5:$B$304,A435),""))</f>
        <v/>
      </c>
      <c r="AH435" s="51">
        <f>IF(B435="","",DATE(YEAR(B435),MONTH(B435),1))</f>
        <v/>
      </c>
      <c r="AI435" s="49">
        <f>IF(D435="","",IFERROR(INDEX('CUSTOMERS'!$E$5:$E$404,MATCH(D435,'CUSTOMERS'!$B$5:$B$404,0)),""))</f>
        <v/>
      </c>
      <c r="AJ435" s="49">
        <f>IF(B435="","",N(C435))</f>
        <v/>
      </c>
      <c r="AK435" s="49">
        <f>IF(OR(B435="",O435="Cancelled",O435="Rescheduled"),"",B435&amp;"|"&amp;(COUNTIFS('JOBS'!$B$5:$B$1504,B435,'JOBS'!$AJ$5:$AJ$1504,"&lt;"&amp;AJ435,'JOBS'!$O$5:$O$1504,"&lt;&gt;Cancelled",'JOBS'!$O$5:$O$1504,"&lt;&gt;Rescheduled")+COUNTIFS($B$5:B435,B435,$AJ$5:AJ435,AJ435,$O$5:O435,"&lt;&gt;Cancelled",$O$5:O435,"&lt;&gt;Rescheduled")))</f>
        <v/>
      </c>
      <c r="AL435" s="49">
        <f>IF(N(U435)&lt;=0.005,"",COUNTIFS('JOBS'!$U$5:$U$1504,"&gt;0.005",'JOBS'!$B$5:$B$1504,"&lt;"&amp;B435)+COUNTIFS($U$5:U435,"&gt;0.005",$B$5:B435,B435))</f>
        <v/>
      </c>
    </row>
    <row r="436">
      <c r="A436" s="46" t="inlineStr">
        <is>
          <t>J-0432</t>
        </is>
      </c>
      <c r="B436" s="47" t="n"/>
      <c r="C436" s="94" t="n"/>
      <c r="D436" s="38" t="n"/>
      <c r="E436" s="38" t="n"/>
      <c r="F436" s="38" t="n"/>
      <c r="G436" s="38" t="n"/>
      <c r="H436" s="38" t="n"/>
      <c r="I436" s="57" t="n"/>
      <c r="J436" s="95" t="n"/>
      <c r="K436" s="95" t="n"/>
      <c r="L436" s="48" t="n"/>
      <c r="M436" s="96" t="n"/>
      <c r="N436" s="48" t="n"/>
      <c r="O436" s="38" t="n"/>
      <c r="P436" s="38" t="n"/>
      <c r="Q436" s="97">
        <f>IF(OR(F436="",E436=""),"",IFERROR(IF(INDEX('PROPERTIES'!$F$5:$F$404,MATCH(E436,'PROPERTIES'!$B$5:$B$404,0))=0,"",ROUND((INDEX('PROPERTIES'!$F$5:$F$404,MATCH(E436,'PROPERTIES'!$B$5:$B$404,0))/INDEX('PRICING'!$C$7:$C$16,MATCH(F436,'PRICING'!$A$7:$A$16,0))+INDEX('PROPERTIES'!$G$5:$G$404,MATCH(E436,'PROPERTIES'!$B$5:$B$404,0))*INDEX('PRICING'!$D$7:$D$16,MATCH(F436,'PRICING'!$A$7:$A$16,0))/60+INDEX('PROPERTIES'!$H$5:$H$404,MATCH(E436,'PROPERTIES'!$B$5:$B$404,0))*INDEX('PRICING'!$E$7:$E$16,MATCH(F436,'PRICING'!$A$7:$A$16,0))/60+INDEX('PRICING'!$F$7:$F$16,MATCH(F436,'PRICING'!$A$7:$A$16,0))/60),2)),""))</f>
        <v/>
      </c>
      <c r="R436" s="97">
        <f>IF(B436="","",IF(N(K436)&gt;0,K436,IF(N(J436)&gt;0,J436,N(Q436))))</f>
        <v/>
      </c>
      <c r="S436" s="55">
        <f>IF(L436="","",ROUND(L436*(1+N(M436)),2))</f>
        <v/>
      </c>
      <c r="T436" s="55">
        <f>IF(B436="","",SUMIFS('REVENUE'!$C$5:$C$1504,'REVENUE'!$B$5:$B$1504,A436))</f>
        <v/>
      </c>
      <c r="U436" s="55">
        <f>IF(B436="","",IF(O436="Completed",MAX(0,N(S436)-T436),""))</f>
        <v/>
      </c>
      <c r="V436" s="49">
        <f>IF(B436="","",IF(O436&lt;&gt;"Completed",IF(T436&gt;0,"Deposit","—"),IF(U436&lt;=0.005,"Paid",IF(T436&gt;0,"Partial","Unpaid"))))</f>
        <v/>
      </c>
      <c r="W436" s="55">
        <f>IF(B436="","",IFERROR(1/(1/INDEX('STAFF &amp; TASKS'!$C$5:$C$24,MATCH(H436,'STAFF &amp; TASKS'!$A$5:$A$24,0))),PayRate))</f>
        <v/>
      </c>
      <c r="X436" s="55">
        <f>IF(B436="","",IF(OR(O436="Cancelled",O436="No-Show"),"",ROUND(R436*W436*(1+Burden),2)))</f>
        <v/>
      </c>
      <c r="Y436" s="55">
        <f>IF(B436="","",IF(OR(O436="Cancelled",O436="No-Show"),"",IF(N436&lt;&gt;"",N436,ROUND(R436*SupHr*IFERROR(INDEX('PRICING'!$G$7:$G$16,MATCH(F436,'PRICING'!$A$7:$A$16,0)),1),2))))</f>
        <v/>
      </c>
      <c r="Z436" s="98">
        <f>IF(B436="","",SUMIFS('MILEAGE'!$J$5:$J$1504,'MILEAGE'!$B$5:$B$1504,A436))</f>
        <v/>
      </c>
      <c r="AA436" s="55">
        <f>IF(B436="","",ROUND(Z436*MileRate,2))</f>
        <v/>
      </c>
      <c r="AB436" s="55">
        <f>IF(B436="","",SUMIFS('REVENUE'!$J$5:$J$1504,'REVENUE'!$B$5:$B$1504,A436))</f>
        <v/>
      </c>
      <c r="AC436" s="55">
        <f>IF(L436="","",IF(OR(O436="Cancelled",O436="No-Show"),"",L436-N(X436)-N(Y436)-AA436-AB436))</f>
        <v/>
      </c>
      <c r="AD436" s="99">
        <f>IF(OR(AC436="",N(L436)=0),"",AC436/L436)</f>
        <v/>
      </c>
      <c r="AE436" s="55">
        <f>IF(OR(AC436="",N(R436)=0),"",L436/R436)</f>
        <v/>
      </c>
      <c r="AF436" s="100">
        <f>IF(OR(N(K436)=0,N(J436)+N(Q436)=0),"",K436-IF(N(J436)&gt;0,J436,Q436))</f>
        <v/>
      </c>
      <c r="AG436" s="99">
        <f>IF(B436="","",IFERROR(AVERAGEIFS('QUALITY CONTROL'!$M$5:$M$304,'QUALITY CONTROL'!$B$5:$B$304,A436),""))</f>
        <v/>
      </c>
      <c r="AH436" s="51">
        <f>IF(B436="","",DATE(YEAR(B436),MONTH(B436),1))</f>
        <v/>
      </c>
      <c r="AI436" s="49">
        <f>IF(D436="","",IFERROR(INDEX('CUSTOMERS'!$E$5:$E$404,MATCH(D436,'CUSTOMERS'!$B$5:$B$404,0)),""))</f>
        <v/>
      </c>
      <c r="AJ436" s="49">
        <f>IF(B436="","",N(C436))</f>
        <v/>
      </c>
      <c r="AK436" s="49">
        <f>IF(OR(B436="",O436="Cancelled",O436="Rescheduled"),"",B436&amp;"|"&amp;(COUNTIFS('JOBS'!$B$5:$B$1504,B436,'JOBS'!$AJ$5:$AJ$1504,"&lt;"&amp;AJ436,'JOBS'!$O$5:$O$1504,"&lt;&gt;Cancelled",'JOBS'!$O$5:$O$1504,"&lt;&gt;Rescheduled")+COUNTIFS($B$5:B436,B436,$AJ$5:AJ436,AJ436,$O$5:O436,"&lt;&gt;Cancelled",$O$5:O436,"&lt;&gt;Rescheduled")))</f>
        <v/>
      </c>
      <c r="AL436" s="49">
        <f>IF(N(U436)&lt;=0.005,"",COUNTIFS('JOBS'!$U$5:$U$1504,"&gt;0.005",'JOBS'!$B$5:$B$1504,"&lt;"&amp;B436)+COUNTIFS($U$5:U436,"&gt;0.005",$B$5:B436,B436))</f>
        <v/>
      </c>
    </row>
    <row r="437">
      <c r="A437" s="46" t="inlineStr">
        <is>
          <t>J-0433</t>
        </is>
      </c>
      <c r="B437" s="47" t="n"/>
      <c r="C437" s="94" t="n"/>
      <c r="D437" s="38" t="n"/>
      <c r="E437" s="38" t="n"/>
      <c r="F437" s="38" t="n"/>
      <c r="G437" s="38" t="n"/>
      <c r="H437" s="38" t="n"/>
      <c r="I437" s="57" t="n"/>
      <c r="J437" s="95" t="n"/>
      <c r="K437" s="95" t="n"/>
      <c r="L437" s="48" t="n"/>
      <c r="M437" s="96" t="n"/>
      <c r="N437" s="48" t="n"/>
      <c r="O437" s="38" t="n"/>
      <c r="P437" s="38" t="n"/>
      <c r="Q437" s="97">
        <f>IF(OR(F437="",E437=""),"",IFERROR(IF(INDEX('PROPERTIES'!$F$5:$F$404,MATCH(E437,'PROPERTIES'!$B$5:$B$404,0))=0,"",ROUND((INDEX('PROPERTIES'!$F$5:$F$404,MATCH(E437,'PROPERTIES'!$B$5:$B$404,0))/INDEX('PRICING'!$C$7:$C$16,MATCH(F437,'PRICING'!$A$7:$A$16,0))+INDEX('PROPERTIES'!$G$5:$G$404,MATCH(E437,'PROPERTIES'!$B$5:$B$404,0))*INDEX('PRICING'!$D$7:$D$16,MATCH(F437,'PRICING'!$A$7:$A$16,0))/60+INDEX('PROPERTIES'!$H$5:$H$404,MATCH(E437,'PROPERTIES'!$B$5:$B$404,0))*INDEX('PRICING'!$E$7:$E$16,MATCH(F437,'PRICING'!$A$7:$A$16,0))/60+INDEX('PRICING'!$F$7:$F$16,MATCH(F437,'PRICING'!$A$7:$A$16,0))/60),2)),""))</f>
        <v/>
      </c>
      <c r="R437" s="97">
        <f>IF(B437="","",IF(N(K437)&gt;0,K437,IF(N(J437)&gt;0,J437,N(Q437))))</f>
        <v/>
      </c>
      <c r="S437" s="55">
        <f>IF(L437="","",ROUND(L437*(1+N(M437)),2))</f>
        <v/>
      </c>
      <c r="T437" s="55">
        <f>IF(B437="","",SUMIFS('REVENUE'!$C$5:$C$1504,'REVENUE'!$B$5:$B$1504,A437))</f>
        <v/>
      </c>
      <c r="U437" s="55">
        <f>IF(B437="","",IF(O437="Completed",MAX(0,N(S437)-T437),""))</f>
        <v/>
      </c>
      <c r="V437" s="49">
        <f>IF(B437="","",IF(O437&lt;&gt;"Completed",IF(T437&gt;0,"Deposit","—"),IF(U437&lt;=0.005,"Paid",IF(T437&gt;0,"Partial","Unpaid"))))</f>
        <v/>
      </c>
      <c r="W437" s="55">
        <f>IF(B437="","",IFERROR(1/(1/INDEX('STAFF &amp; TASKS'!$C$5:$C$24,MATCH(H437,'STAFF &amp; TASKS'!$A$5:$A$24,0))),PayRate))</f>
        <v/>
      </c>
      <c r="X437" s="55">
        <f>IF(B437="","",IF(OR(O437="Cancelled",O437="No-Show"),"",ROUND(R437*W437*(1+Burden),2)))</f>
        <v/>
      </c>
      <c r="Y437" s="55">
        <f>IF(B437="","",IF(OR(O437="Cancelled",O437="No-Show"),"",IF(N437&lt;&gt;"",N437,ROUND(R437*SupHr*IFERROR(INDEX('PRICING'!$G$7:$G$16,MATCH(F437,'PRICING'!$A$7:$A$16,0)),1),2))))</f>
        <v/>
      </c>
      <c r="Z437" s="98">
        <f>IF(B437="","",SUMIFS('MILEAGE'!$J$5:$J$1504,'MILEAGE'!$B$5:$B$1504,A437))</f>
        <v/>
      </c>
      <c r="AA437" s="55">
        <f>IF(B437="","",ROUND(Z437*MileRate,2))</f>
        <v/>
      </c>
      <c r="AB437" s="55">
        <f>IF(B437="","",SUMIFS('REVENUE'!$J$5:$J$1504,'REVENUE'!$B$5:$B$1504,A437))</f>
        <v/>
      </c>
      <c r="AC437" s="55">
        <f>IF(L437="","",IF(OR(O437="Cancelled",O437="No-Show"),"",L437-N(X437)-N(Y437)-AA437-AB437))</f>
        <v/>
      </c>
      <c r="AD437" s="99">
        <f>IF(OR(AC437="",N(L437)=0),"",AC437/L437)</f>
        <v/>
      </c>
      <c r="AE437" s="55">
        <f>IF(OR(AC437="",N(R437)=0),"",L437/R437)</f>
        <v/>
      </c>
      <c r="AF437" s="100">
        <f>IF(OR(N(K437)=0,N(J437)+N(Q437)=0),"",K437-IF(N(J437)&gt;0,J437,Q437))</f>
        <v/>
      </c>
      <c r="AG437" s="99">
        <f>IF(B437="","",IFERROR(AVERAGEIFS('QUALITY CONTROL'!$M$5:$M$304,'QUALITY CONTROL'!$B$5:$B$304,A437),""))</f>
        <v/>
      </c>
      <c r="AH437" s="51">
        <f>IF(B437="","",DATE(YEAR(B437),MONTH(B437),1))</f>
        <v/>
      </c>
      <c r="AI437" s="49">
        <f>IF(D437="","",IFERROR(INDEX('CUSTOMERS'!$E$5:$E$404,MATCH(D437,'CUSTOMERS'!$B$5:$B$404,0)),""))</f>
        <v/>
      </c>
      <c r="AJ437" s="49">
        <f>IF(B437="","",N(C437))</f>
        <v/>
      </c>
      <c r="AK437" s="49">
        <f>IF(OR(B437="",O437="Cancelled",O437="Rescheduled"),"",B437&amp;"|"&amp;(COUNTIFS('JOBS'!$B$5:$B$1504,B437,'JOBS'!$AJ$5:$AJ$1504,"&lt;"&amp;AJ437,'JOBS'!$O$5:$O$1504,"&lt;&gt;Cancelled",'JOBS'!$O$5:$O$1504,"&lt;&gt;Rescheduled")+COUNTIFS($B$5:B437,B437,$AJ$5:AJ437,AJ437,$O$5:O437,"&lt;&gt;Cancelled",$O$5:O437,"&lt;&gt;Rescheduled")))</f>
        <v/>
      </c>
      <c r="AL437" s="49">
        <f>IF(N(U437)&lt;=0.005,"",COUNTIFS('JOBS'!$U$5:$U$1504,"&gt;0.005",'JOBS'!$B$5:$B$1504,"&lt;"&amp;B437)+COUNTIFS($U$5:U437,"&gt;0.005",$B$5:B437,B437))</f>
        <v/>
      </c>
    </row>
    <row r="438">
      <c r="A438" s="46" t="inlineStr">
        <is>
          <t>J-0434</t>
        </is>
      </c>
      <c r="B438" s="47" t="n"/>
      <c r="C438" s="94" t="n"/>
      <c r="D438" s="38" t="n"/>
      <c r="E438" s="38" t="n"/>
      <c r="F438" s="38" t="n"/>
      <c r="G438" s="38" t="n"/>
      <c r="H438" s="38" t="n"/>
      <c r="I438" s="57" t="n"/>
      <c r="J438" s="95" t="n"/>
      <c r="K438" s="95" t="n"/>
      <c r="L438" s="48" t="n"/>
      <c r="M438" s="96" t="n"/>
      <c r="N438" s="48" t="n"/>
      <c r="O438" s="38" t="n"/>
      <c r="P438" s="38" t="n"/>
      <c r="Q438" s="97">
        <f>IF(OR(F438="",E438=""),"",IFERROR(IF(INDEX('PROPERTIES'!$F$5:$F$404,MATCH(E438,'PROPERTIES'!$B$5:$B$404,0))=0,"",ROUND((INDEX('PROPERTIES'!$F$5:$F$404,MATCH(E438,'PROPERTIES'!$B$5:$B$404,0))/INDEX('PRICING'!$C$7:$C$16,MATCH(F438,'PRICING'!$A$7:$A$16,0))+INDEX('PROPERTIES'!$G$5:$G$404,MATCH(E438,'PROPERTIES'!$B$5:$B$404,0))*INDEX('PRICING'!$D$7:$D$16,MATCH(F438,'PRICING'!$A$7:$A$16,0))/60+INDEX('PROPERTIES'!$H$5:$H$404,MATCH(E438,'PROPERTIES'!$B$5:$B$404,0))*INDEX('PRICING'!$E$7:$E$16,MATCH(F438,'PRICING'!$A$7:$A$16,0))/60+INDEX('PRICING'!$F$7:$F$16,MATCH(F438,'PRICING'!$A$7:$A$16,0))/60),2)),""))</f>
        <v/>
      </c>
      <c r="R438" s="97">
        <f>IF(B438="","",IF(N(K438)&gt;0,K438,IF(N(J438)&gt;0,J438,N(Q438))))</f>
        <v/>
      </c>
      <c r="S438" s="55">
        <f>IF(L438="","",ROUND(L438*(1+N(M438)),2))</f>
        <v/>
      </c>
      <c r="T438" s="55">
        <f>IF(B438="","",SUMIFS('REVENUE'!$C$5:$C$1504,'REVENUE'!$B$5:$B$1504,A438))</f>
        <v/>
      </c>
      <c r="U438" s="55">
        <f>IF(B438="","",IF(O438="Completed",MAX(0,N(S438)-T438),""))</f>
        <v/>
      </c>
      <c r="V438" s="49">
        <f>IF(B438="","",IF(O438&lt;&gt;"Completed",IF(T438&gt;0,"Deposit","—"),IF(U438&lt;=0.005,"Paid",IF(T438&gt;0,"Partial","Unpaid"))))</f>
        <v/>
      </c>
      <c r="W438" s="55">
        <f>IF(B438="","",IFERROR(1/(1/INDEX('STAFF &amp; TASKS'!$C$5:$C$24,MATCH(H438,'STAFF &amp; TASKS'!$A$5:$A$24,0))),PayRate))</f>
        <v/>
      </c>
      <c r="X438" s="55">
        <f>IF(B438="","",IF(OR(O438="Cancelled",O438="No-Show"),"",ROUND(R438*W438*(1+Burden),2)))</f>
        <v/>
      </c>
      <c r="Y438" s="55">
        <f>IF(B438="","",IF(OR(O438="Cancelled",O438="No-Show"),"",IF(N438&lt;&gt;"",N438,ROUND(R438*SupHr*IFERROR(INDEX('PRICING'!$G$7:$G$16,MATCH(F438,'PRICING'!$A$7:$A$16,0)),1),2))))</f>
        <v/>
      </c>
      <c r="Z438" s="98">
        <f>IF(B438="","",SUMIFS('MILEAGE'!$J$5:$J$1504,'MILEAGE'!$B$5:$B$1504,A438))</f>
        <v/>
      </c>
      <c r="AA438" s="55">
        <f>IF(B438="","",ROUND(Z438*MileRate,2))</f>
        <v/>
      </c>
      <c r="AB438" s="55">
        <f>IF(B438="","",SUMIFS('REVENUE'!$J$5:$J$1504,'REVENUE'!$B$5:$B$1504,A438))</f>
        <v/>
      </c>
      <c r="AC438" s="55">
        <f>IF(L438="","",IF(OR(O438="Cancelled",O438="No-Show"),"",L438-N(X438)-N(Y438)-AA438-AB438))</f>
        <v/>
      </c>
      <c r="AD438" s="99">
        <f>IF(OR(AC438="",N(L438)=0),"",AC438/L438)</f>
        <v/>
      </c>
      <c r="AE438" s="55">
        <f>IF(OR(AC438="",N(R438)=0),"",L438/R438)</f>
        <v/>
      </c>
      <c r="AF438" s="100">
        <f>IF(OR(N(K438)=0,N(J438)+N(Q438)=0),"",K438-IF(N(J438)&gt;0,J438,Q438))</f>
        <v/>
      </c>
      <c r="AG438" s="99">
        <f>IF(B438="","",IFERROR(AVERAGEIFS('QUALITY CONTROL'!$M$5:$M$304,'QUALITY CONTROL'!$B$5:$B$304,A438),""))</f>
        <v/>
      </c>
      <c r="AH438" s="51">
        <f>IF(B438="","",DATE(YEAR(B438),MONTH(B438),1))</f>
        <v/>
      </c>
      <c r="AI438" s="49">
        <f>IF(D438="","",IFERROR(INDEX('CUSTOMERS'!$E$5:$E$404,MATCH(D438,'CUSTOMERS'!$B$5:$B$404,0)),""))</f>
        <v/>
      </c>
      <c r="AJ438" s="49">
        <f>IF(B438="","",N(C438))</f>
        <v/>
      </c>
      <c r="AK438" s="49">
        <f>IF(OR(B438="",O438="Cancelled",O438="Rescheduled"),"",B438&amp;"|"&amp;(COUNTIFS('JOBS'!$B$5:$B$1504,B438,'JOBS'!$AJ$5:$AJ$1504,"&lt;"&amp;AJ438,'JOBS'!$O$5:$O$1504,"&lt;&gt;Cancelled",'JOBS'!$O$5:$O$1504,"&lt;&gt;Rescheduled")+COUNTIFS($B$5:B438,B438,$AJ$5:AJ438,AJ438,$O$5:O438,"&lt;&gt;Cancelled",$O$5:O438,"&lt;&gt;Rescheduled")))</f>
        <v/>
      </c>
      <c r="AL438" s="49">
        <f>IF(N(U438)&lt;=0.005,"",COUNTIFS('JOBS'!$U$5:$U$1504,"&gt;0.005",'JOBS'!$B$5:$B$1504,"&lt;"&amp;B438)+COUNTIFS($U$5:U438,"&gt;0.005",$B$5:B438,B438))</f>
        <v/>
      </c>
    </row>
    <row r="439">
      <c r="A439" s="46" t="inlineStr">
        <is>
          <t>J-0435</t>
        </is>
      </c>
      <c r="B439" s="47" t="n"/>
      <c r="C439" s="94" t="n"/>
      <c r="D439" s="38" t="n"/>
      <c r="E439" s="38" t="n"/>
      <c r="F439" s="38" t="n"/>
      <c r="G439" s="38" t="n"/>
      <c r="H439" s="38" t="n"/>
      <c r="I439" s="57" t="n"/>
      <c r="J439" s="95" t="n"/>
      <c r="K439" s="95" t="n"/>
      <c r="L439" s="48" t="n"/>
      <c r="M439" s="96" t="n"/>
      <c r="N439" s="48" t="n"/>
      <c r="O439" s="38" t="n"/>
      <c r="P439" s="38" t="n"/>
      <c r="Q439" s="97">
        <f>IF(OR(F439="",E439=""),"",IFERROR(IF(INDEX('PROPERTIES'!$F$5:$F$404,MATCH(E439,'PROPERTIES'!$B$5:$B$404,0))=0,"",ROUND((INDEX('PROPERTIES'!$F$5:$F$404,MATCH(E439,'PROPERTIES'!$B$5:$B$404,0))/INDEX('PRICING'!$C$7:$C$16,MATCH(F439,'PRICING'!$A$7:$A$16,0))+INDEX('PROPERTIES'!$G$5:$G$404,MATCH(E439,'PROPERTIES'!$B$5:$B$404,0))*INDEX('PRICING'!$D$7:$D$16,MATCH(F439,'PRICING'!$A$7:$A$16,0))/60+INDEX('PROPERTIES'!$H$5:$H$404,MATCH(E439,'PROPERTIES'!$B$5:$B$404,0))*INDEX('PRICING'!$E$7:$E$16,MATCH(F439,'PRICING'!$A$7:$A$16,0))/60+INDEX('PRICING'!$F$7:$F$16,MATCH(F439,'PRICING'!$A$7:$A$16,0))/60),2)),""))</f>
        <v/>
      </c>
      <c r="R439" s="97">
        <f>IF(B439="","",IF(N(K439)&gt;0,K439,IF(N(J439)&gt;0,J439,N(Q439))))</f>
        <v/>
      </c>
      <c r="S439" s="55">
        <f>IF(L439="","",ROUND(L439*(1+N(M439)),2))</f>
        <v/>
      </c>
      <c r="T439" s="55">
        <f>IF(B439="","",SUMIFS('REVENUE'!$C$5:$C$1504,'REVENUE'!$B$5:$B$1504,A439))</f>
        <v/>
      </c>
      <c r="U439" s="55">
        <f>IF(B439="","",IF(O439="Completed",MAX(0,N(S439)-T439),""))</f>
        <v/>
      </c>
      <c r="V439" s="49">
        <f>IF(B439="","",IF(O439&lt;&gt;"Completed",IF(T439&gt;0,"Deposit","—"),IF(U439&lt;=0.005,"Paid",IF(T439&gt;0,"Partial","Unpaid"))))</f>
        <v/>
      </c>
      <c r="W439" s="55">
        <f>IF(B439="","",IFERROR(1/(1/INDEX('STAFF &amp; TASKS'!$C$5:$C$24,MATCH(H439,'STAFF &amp; TASKS'!$A$5:$A$24,0))),PayRate))</f>
        <v/>
      </c>
      <c r="X439" s="55">
        <f>IF(B439="","",IF(OR(O439="Cancelled",O439="No-Show"),"",ROUND(R439*W439*(1+Burden),2)))</f>
        <v/>
      </c>
      <c r="Y439" s="55">
        <f>IF(B439="","",IF(OR(O439="Cancelled",O439="No-Show"),"",IF(N439&lt;&gt;"",N439,ROUND(R439*SupHr*IFERROR(INDEX('PRICING'!$G$7:$G$16,MATCH(F439,'PRICING'!$A$7:$A$16,0)),1),2))))</f>
        <v/>
      </c>
      <c r="Z439" s="98">
        <f>IF(B439="","",SUMIFS('MILEAGE'!$J$5:$J$1504,'MILEAGE'!$B$5:$B$1504,A439))</f>
        <v/>
      </c>
      <c r="AA439" s="55">
        <f>IF(B439="","",ROUND(Z439*MileRate,2))</f>
        <v/>
      </c>
      <c r="AB439" s="55">
        <f>IF(B439="","",SUMIFS('REVENUE'!$J$5:$J$1504,'REVENUE'!$B$5:$B$1504,A439))</f>
        <v/>
      </c>
      <c r="AC439" s="55">
        <f>IF(L439="","",IF(OR(O439="Cancelled",O439="No-Show"),"",L439-N(X439)-N(Y439)-AA439-AB439))</f>
        <v/>
      </c>
      <c r="AD439" s="99">
        <f>IF(OR(AC439="",N(L439)=0),"",AC439/L439)</f>
        <v/>
      </c>
      <c r="AE439" s="55">
        <f>IF(OR(AC439="",N(R439)=0),"",L439/R439)</f>
        <v/>
      </c>
      <c r="AF439" s="100">
        <f>IF(OR(N(K439)=0,N(J439)+N(Q439)=0),"",K439-IF(N(J439)&gt;0,J439,Q439))</f>
        <v/>
      </c>
      <c r="AG439" s="99">
        <f>IF(B439="","",IFERROR(AVERAGEIFS('QUALITY CONTROL'!$M$5:$M$304,'QUALITY CONTROL'!$B$5:$B$304,A439),""))</f>
        <v/>
      </c>
      <c r="AH439" s="51">
        <f>IF(B439="","",DATE(YEAR(B439),MONTH(B439),1))</f>
        <v/>
      </c>
      <c r="AI439" s="49">
        <f>IF(D439="","",IFERROR(INDEX('CUSTOMERS'!$E$5:$E$404,MATCH(D439,'CUSTOMERS'!$B$5:$B$404,0)),""))</f>
        <v/>
      </c>
      <c r="AJ439" s="49">
        <f>IF(B439="","",N(C439))</f>
        <v/>
      </c>
      <c r="AK439" s="49">
        <f>IF(OR(B439="",O439="Cancelled",O439="Rescheduled"),"",B439&amp;"|"&amp;(COUNTIFS('JOBS'!$B$5:$B$1504,B439,'JOBS'!$AJ$5:$AJ$1504,"&lt;"&amp;AJ439,'JOBS'!$O$5:$O$1504,"&lt;&gt;Cancelled",'JOBS'!$O$5:$O$1504,"&lt;&gt;Rescheduled")+COUNTIFS($B$5:B439,B439,$AJ$5:AJ439,AJ439,$O$5:O439,"&lt;&gt;Cancelled",$O$5:O439,"&lt;&gt;Rescheduled")))</f>
        <v/>
      </c>
      <c r="AL439" s="49">
        <f>IF(N(U439)&lt;=0.005,"",COUNTIFS('JOBS'!$U$5:$U$1504,"&gt;0.005",'JOBS'!$B$5:$B$1504,"&lt;"&amp;B439)+COUNTIFS($U$5:U439,"&gt;0.005",$B$5:B439,B439))</f>
        <v/>
      </c>
    </row>
    <row r="440">
      <c r="A440" s="46" t="inlineStr">
        <is>
          <t>J-0436</t>
        </is>
      </c>
      <c r="B440" s="47" t="n"/>
      <c r="C440" s="94" t="n"/>
      <c r="D440" s="38" t="n"/>
      <c r="E440" s="38" t="n"/>
      <c r="F440" s="38" t="n"/>
      <c r="G440" s="38" t="n"/>
      <c r="H440" s="38" t="n"/>
      <c r="I440" s="57" t="n"/>
      <c r="J440" s="95" t="n"/>
      <c r="K440" s="95" t="n"/>
      <c r="L440" s="48" t="n"/>
      <c r="M440" s="96" t="n"/>
      <c r="N440" s="48" t="n"/>
      <c r="O440" s="38" t="n"/>
      <c r="P440" s="38" t="n"/>
      <c r="Q440" s="97">
        <f>IF(OR(F440="",E440=""),"",IFERROR(IF(INDEX('PROPERTIES'!$F$5:$F$404,MATCH(E440,'PROPERTIES'!$B$5:$B$404,0))=0,"",ROUND((INDEX('PROPERTIES'!$F$5:$F$404,MATCH(E440,'PROPERTIES'!$B$5:$B$404,0))/INDEX('PRICING'!$C$7:$C$16,MATCH(F440,'PRICING'!$A$7:$A$16,0))+INDEX('PROPERTIES'!$G$5:$G$404,MATCH(E440,'PROPERTIES'!$B$5:$B$404,0))*INDEX('PRICING'!$D$7:$D$16,MATCH(F440,'PRICING'!$A$7:$A$16,0))/60+INDEX('PROPERTIES'!$H$5:$H$404,MATCH(E440,'PROPERTIES'!$B$5:$B$404,0))*INDEX('PRICING'!$E$7:$E$16,MATCH(F440,'PRICING'!$A$7:$A$16,0))/60+INDEX('PRICING'!$F$7:$F$16,MATCH(F440,'PRICING'!$A$7:$A$16,0))/60),2)),""))</f>
        <v/>
      </c>
      <c r="R440" s="97">
        <f>IF(B440="","",IF(N(K440)&gt;0,K440,IF(N(J440)&gt;0,J440,N(Q440))))</f>
        <v/>
      </c>
      <c r="S440" s="55">
        <f>IF(L440="","",ROUND(L440*(1+N(M440)),2))</f>
        <v/>
      </c>
      <c r="T440" s="55">
        <f>IF(B440="","",SUMIFS('REVENUE'!$C$5:$C$1504,'REVENUE'!$B$5:$B$1504,A440))</f>
        <v/>
      </c>
      <c r="U440" s="55">
        <f>IF(B440="","",IF(O440="Completed",MAX(0,N(S440)-T440),""))</f>
        <v/>
      </c>
      <c r="V440" s="49">
        <f>IF(B440="","",IF(O440&lt;&gt;"Completed",IF(T440&gt;0,"Deposit","—"),IF(U440&lt;=0.005,"Paid",IF(T440&gt;0,"Partial","Unpaid"))))</f>
        <v/>
      </c>
      <c r="W440" s="55">
        <f>IF(B440="","",IFERROR(1/(1/INDEX('STAFF &amp; TASKS'!$C$5:$C$24,MATCH(H440,'STAFF &amp; TASKS'!$A$5:$A$24,0))),PayRate))</f>
        <v/>
      </c>
      <c r="X440" s="55">
        <f>IF(B440="","",IF(OR(O440="Cancelled",O440="No-Show"),"",ROUND(R440*W440*(1+Burden),2)))</f>
        <v/>
      </c>
      <c r="Y440" s="55">
        <f>IF(B440="","",IF(OR(O440="Cancelled",O440="No-Show"),"",IF(N440&lt;&gt;"",N440,ROUND(R440*SupHr*IFERROR(INDEX('PRICING'!$G$7:$G$16,MATCH(F440,'PRICING'!$A$7:$A$16,0)),1),2))))</f>
        <v/>
      </c>
      <c r="Z440" s="98">
        <f>IF(B440="","",SUMIFS('MILEAGE'!$J$5:$J$1504,'MILEAGE'!$B$5:$B$1504,A440))</f>
        <v/>
      </c>
      <c r="AA440" s="55">
        <f>IF(B440="","",ROUND(Z440*MileRate,2))</f>
        <v/>
      </c>
      <c r="AB440" s="55">
        <f>IF(B440="","",SUMIFS('REVENUE'!$J$5:$J$1504,'REVENUE'!$B$5:$B$1504,A440))</f>
        <v/>
      </c>
      <c r="AC440" s="55">
        <f>IF(L440="","",IF(OR(O440="Cancelled",O440="No-Show"),"",L440-N(X440)-N(Y440)-AA440-AB440))</f>
        <v/>
      </c>
      <c r="AD440" s="99">
        <f>IF(OR(AC440="",N(L440)=0),"",AC440/L440)</f>
        <v/>
      </c>
      <c r="AE440" s="55">
        <f>IF(OR(AC440="",N(R440)=0),"",L440/R440)</f>
        <v/>
      </c>
      <c r="AF440" s="100">
        <f>IF(OR(N(K440)=0,N(J440)+N(Q440)=0),"",K440-IF(N(J440)&gt;0,J440,Q440))</f>
        <v/>
      </c>
      <c r="AG440" s="99">
        <f>IF(B440="","",IFERROR(AVERAGEIFS('QUALITY CONTROL'!$M$5:$M$304,'QUALITY CONTROL'!$B$5:$B$304,A440),""))</f>
        <v/>
      </c>
      <c r="AH440" s="51">
        <f>IF(B440="","",DATE(YEAR(B440),MONTH(B440),1))</f>
        <v/>
      </c>
      <c r="AI440" s="49">
        <f>IF(D440="","",IFERROR(INDEX('CUSTOMERS'!$E$5:$E$404,MATCH(D440,'CUSTOMERS'!$B$5:$B$404,0)),""))</f>
        <v/>
      </c>
      <c r="AJ440" s="49">
        <f>IF(B440="","",N(C440))</f>
        <v/>
      </c>
      <c r="AK440" s="49">
        <f>IF(OR(B440="",O440="Cancelled",O440="Rescheduled"),"",B440&amp;"|"&amp;(COUNTIFS('JOBS'!$B$5:$B$1504,B440,'JOBS'!$AJ$5:$AJ$1504,"&lt;"&amp;AJ440,'JOBS'!$O$5:$O$1504,"&lt;&gt;Cancelled",'JOBS'!$O$5:$O$1504,"&lt;&gt;Rescheduled")+COUNTIFS($B$5:B440,B440,$AJ$5:AJ440,AJ440,$O$5:O440,"&lt;&gt;Cancelled",$O$5:O440,"&lt;&gt;Rescheduled")))</f>
        <v/>
      </c>
      <c r="AL440" s="49">
        <f>IF(N(U440)&lt;=0.005,"",COUNTIFS('JOBS'!$U$5:$U$1504,"&gt;0.005",'JOBS'!$B$5:$B$1504,"&lt;"&amp;B440)+COUNTIFS($U$5:U440,"&gt;0.005",$B$5:B440,B440))</f>
        <v/>
      </c>
    </row>
    <row r="441">
      <c r="A441" s="46" t="inlineStr">
        <is>
          <t>J-0437</t>
        </is>
      </c>
      <c r="B441" s="47" t="n"/>
      <c r="C441" s="94" t="n"/>
      <c r="D441" s="38" t="n"/>
      <c r="E441" s="38" t="n"/>
      <c r="F441" s="38" t="n"/>
      <c r="G441" s="38" t="n"/>
      <c r="H441" s="38" t="n"/>
      <c r="I441" s="57" t="n"/>
      <c r="J441" s="95" t="n"/>
      <c r="K441" s="95" t="n"/>
      <c r="L441" s="48" t="n"/>
      <c r="M441" s="96" t="n"/>
      <c r="N441" s="48" t="n"/>
      <c r="O441" s="38" t="n"/>
      <c r="P441" s="38" t="n"/>
      <c r="Q441" s="97">
        <f>IF(OR(F441="",E441=""),"",IFERROR(IF(INDEX('PROPERTIES'!$F$5:$F$404,MATCH(E441,'PROPERTIES'!$B$5:$B$404,0))=0,"",ROUND((INDEX('PROPERTIES'!$F$5:$F$404,MATCH(E441,'PROPERTIES'!$B$5:$B$404,0))/INDEX('PRICING'!$C$7:$C$16,MATCH(F441,'PRICING'!$A$7:$A$16,0))+INDEX('PROPERTIES'!$G$5:$G$404,MATCH(E441,'PROPERTIES'!$B$5:$B$404,0))*INDEX('PRICING'!$D$7:$D$16,MATCH(F441,'PRICING'!$A$7:$A$16,0))/60+INDEX('PROPERTIES'!$H$5:$H$404,MATCH(E441,'PROPERTIES'!$B$5:$B$404,0))*INDEX('PRICING'!$E$7:$E$16,MATCH(F441,'PRICING'!$A$7:$A$16,0))/60+INDEX('PRICING'!$F$7:$F$16,MATCH(F441,'PRICING'!$A$7:$A$16,0))/60),2)),""))</f>
        <v/>
      </c>
      <c r="R441" s="97">
        <f>IF(B441="","",IF(N(K441)&gt;0,K441,IF(N(J441)&gt;0,J441,N(Q441))))</f>
        <v/>
      </c>
      <c r="S441" s="55">
        <f>IF(L441="","",ROUND(L441*(1+N(M441)),2))</f>
        <v/>
      </c>
      <c r="T441" s="55">
        <f>IF(B441="","",SUMIFS('REVENUE'!$C$5:$C$1504,'REVENUE'!$B$5:$B$1504,A441))</f>
        <v/>
      </c>
      <c r="U441" s="55">
        <f>IF(B441="","",IF(O441="Completed",MAX(0,N(S441)-T441),""))</f>
        <v/>
      </c>
      <c r="V441" s="49">
        <f>IF(B441="","",IF(O441&lt;&gt;"Completed",IF(T441&gt;0,"Deposit","—"),IF(U441&lt;=0.005,"Paid",IF(T441&gt;0,"Partial","Unpaid"))))</f>
        <v/>
      </c>
      <c r="W441" s="55">
        <f>IF(B441="","",IFERROR(1/(1/INDEX('STAFF &amp; TASKS'!$C$5:$C$24,MATCH(H441,'STAFF &amp; TASKS'!$A$5:$A$24,0))),PayRate))</f>
        <v/>
      </c>
      <c r="X441" s="55">
        <f>IF(B441="","",IF(OR(O441="Cancelled",O441="No-Show"),"",ROUND(R441*W441*(1+Burden),2)))</f>
        <v/>
      </c>
      <c r="Y441" s="55">
        <f>IF(B441="","",IF(OR(O441="Cancelled",O441="No-Show"),"",IF(N441&lt;&gt;"",N441,ROUND(R441*SupHr*IFERROR(INDEX('PRICING'!$G$7:$G$16,MATCH(F441,'PRICING'!$A$7:$A$16,0)),1),2))))</f>
        <v/>
      </c>
      <c r="Z441" s="98">
        <f>IF(B441="","",SUMIFS('MILEAGE'!$J$5:$J$1504,'MILEAGE'!$B$5:$B$1504,A441))</f>
        <v/>
      </c>
      <c r="AA441" s="55">
        <f>IF(B441="","",ROUND(Z441*MileRate,2))</f>
        <v/>
      </c>
      <c r="AB441" s="55">
        <f>IF(B441="","",SUMIFS('REVENUE'!$J$5:$J$1504,'REVENUE'!$B$5:$B$1504,A441))</f>
        <v/>
      </c>
      <c r="AC441" s="55">
        <f>IF(L441="","",IF(OR(O441="Cancelled",O441="No-Show"),"",L441-N(X441)-N(Y441)-AA441-AB441))</f>
        <v/>
      </c>
      <c r="AD441" s="99">
        <f>IF(OR(AC441="",N(L441)=0),"",AC441/L441)</f>
        <v/>
      </c>
      <c r="AE441" s="55">
        <f>IF(OR(AC441="",N(R441)=0),"",L441/R441)</f>
        <v/>
      </c>
      <c r="AF441" s="100">
        <f>IF(OR(N(K441)=0,N(J441)+N(Q441)=0),"",K441-IF(N(J441)&gt;0,J441,Q441))</f>
        <v/>
      </c>
      <c r="AG441" s="99">
        <f>IF(B441="","",IFERROR(AVERAGEIFS('QUALITY CONTROL'!$M$5:$M$304,'QUALITY CONTROL'!$B$5:$B$304,A441),""))</f>
        <v/>
      </c>
      <c r="AH441" s="51">
        <f>IF(B441="","",DATE(YEAR(B441),MONTH(B441),1))</f>
        <v/>
      </c>
      <c r="AI441" s="49">
        <f>IF(D441="","",IFERROR(INDEX('CUSTOMERS'!$E$5:$E$404,MATCH(D441,'CUSTOMERS'!$B$5:$B$404,0)),""))</f>
        <v/>
      </c>
      <c r="AJ441" s="49">
        <f>IF(B441="","",N(C441))</f>
        <v/>
      </c>
      <c r="AK441" s="49">
        <f>IF(OR(B441="",O441="Cancelled",O441="Rescheduled"),"",B441&amp;"|"&amp;(COUNTIFS('JOBS'!$B$5:$B$1504,B441,'JOBS'!$AJ$5:$AJ$1504,"&lt;"&amp;AJ441,'JOBS'!$O$5:$O$1504,"&lt;&gt;Cancelled",'JOBS'!$O$5:$O$1504,"&lt;&gt;Rescheduled")+COUNTIFS($B$5:B441,B441,$AJ$5:AJ441,AJ441,$O$5:O441,"&lt;&gt;Cancelled",$O$5:O441,"&lt;&gt;Rescheduled")))</f>
        <v/>
      </c>
      <c r="AL441" s="49">
        <f>IF(N(U441)&lt;=0.005,"",COUNTIFS('JOBS'!$U$5:$U$1504,"&gt;0.005",'JOBS'!$B$5:$B$1504,"&lt;"&amp;B441)+COUNTIFS($U$5:U441,"&gt;0.005",$B$5:B441,B441))</f>
        <v/>
      </c>
    </row>
    <row r="442">
      <c r="A442" s="46" t="inlineStr">
        <is>
          <t>J-0438</t>
        </is>
      </c>
      <c r="B442" s="47" t="n"/>
      <c r="C442" s="94" t="n"/>
      <c r="D442" s="38" t="n"/>
      <c r="E442" s="38" t="n"/>
      <c r="F442" s="38" t="n"/>
      <c r="G442" s="38" t="n"/>
      <c r="H442" s="38" t="n"/>
      <c r="I442" s="57" t="n"/>
      <c r="J442" s="95" t="n"/>
      <c r="K442" s="95" t="n"/>
      <c r="L442" s="48" t="n"/>
      <c r="M442" s="96" t="n"/>
      <c r="N442" s="48" t="n"/>
      <c r="O442" s="38" t="n"/>
      <c r="P442" s="38" t="n"/>
      <c r="Q442" s="97">
        <f>IF(OR(F442="",E442=""),"",IFERROR(IF(INDEX('PROPERTIES'!$F$5:$F$404,MATCH(E442,'PROPERTIES'!$B$5:$B$404,0))=0,"",ROUND((INDEX('PROPERTIES'!$F$5:$F$404,MATCH(E442,'PROPERTIES'!$B$5:$B$404,0))/INDEX('PRICING'!$C$7:$C$16,MATCH(F442,'PRICING'!$A$7:$A$16,0))+INDEX('PROPERTIES'!$G$5:$G$404,MATCH(E442,'PROPERTIES'!$B$5:$B$404,0))*INDEX('PRICING'!$D$7:$D$16,MATCH(F442,'PRICING'!$A$7:$A$16,0))/60+INDEX('PROPERTIES'!$H$5:$H$404,MATCH(E442,'PROPERTIES'!$B$5:$B$404,0))*INDEX('PRICING'!$E$7:$E$16,MATCH(F442,'PRICING'!$A$7:$A$16,0))/60+INDEX('PRICING'!$F$7:$F$16,MATCH(F442,'PRICING'!$A$7:$A$16,0))/60),2)),""))</f>
        <v/>
      </c>
      <c r="R442" s="97">
        <f>IF(B442="","",IF(N(K442)&gt;0,K442,IF(N(J442)&gt;0,J442,N(Q442))))</f>
        <v/>
      </c>
      <c r="S442" s="55">
        <f>IF(L442="","",ROUND(L442*(1+N(M442)),2))</f>
        <v/>
      </c>
      <c r="T442" s="55">
        <f>IF(B442="","",SUMIFS('REVENUE'!$C$5:$C$1504,'REVENUE'!$B$5:$B$1504,A442))</f>
        <v/>
      </c>
      <c r="U442" s="55">
        <f>IF(B442="","",IF(O442="Completed",MAX(0,N(S442)-T442),""))</f>
        <v/>
      </c>
      <c r="V442" s="49">
        <f>IF(B442="","",IF(O442&lt;&gt;"Completed",IF(T442&gt;0,"Deposit","—"),IF(U442&lt;=0.005,"Paid",IF(T442&gt;0,"Partial","Unpaid"))))</f>
        <v/>
      </c>
      <c r="W442" s="55">
        <f>IF(B442="","",IFERROR(1/(1/INDEX('STAFF &amp; TASKS'!$C$5:$C$24,MATCH(H442,'STAFF &amp; TASKS'!$A$5:$A$24,0))),PayRate))</f>
        <v/>
      </c>
      <c r="X442" s="55">
        <f>IF(B442="","",IF(OR(O442="Cancelled",O442="No-Show"),"",ROUND(R442*W442*(1+Burden),2)))</f>
        <v/>
      </c>
      <c r="Y442" s="55">
        <f>IF(B442="","",IF(OR(O442="Cancelled",O442="No-Show"),"",IF(N442&lt;&gt;"",N442,ROUND(R442*SupHr*IFERROR(INDEX('PRICING'!$G$7:$G$16,MATCH(F442,'PRICING'!$A$7:$A$16,0)),1),2))))</f>
        <v/>
      </c>
      <c r="Z442" s="98">
        <f>IF(B442="","",SUMIFS('MILEAGE'!$J$5:$J$1504,'MILEAGE'!$B$5:$B$1504,A442))</f>
        <v/>
      </c>
      <c r="AA442" s="55">
        <f>IF(B442="","",ROUND(Z442*MileRate,2))</f>
        <v/>
      </c>
      <c r="AB442" s="55">
        <f>IF(B442="","",SUMIFS('REVENUE'!$J$5:$J$1504,'REVENUE'!$B$5:$B$1504,A442))</f>
        <v/>
      </c>
      <c r="AC442" s="55">
        <f>IF(L442="","",IF(OR(O442="Cancelled",O442="No-Show"),"",L442-N(X442)-N(Y442)-AA442-AB442))</f>
        <v/>
      </c>
      <c r="AD442" s="99">
        <f>IF(OR(AC442="",N(L442)=0),"",AC442/L442)</f>
        <v/>
      </c>
      <c r="AE442" s="55">
        <f>IF(OR(AC442="",N(R442)=0),"",L442/R442)</f>
        <v/>
      </c>
      <c r="AF442" s="100">
        <f>IF(OR(N(K442)=0,N(J442)+N(Q442)=0),"",K442-IF(N(J442)&gt;0,J442,Q442))</f>
        <v/>
      </c>
      <c r="AG442" s="99">
        <f>IF(B442="","",IFERROR(AVERAGEIFS('QUALITY CONTROL'!$M$5:$M$304,'QUALITY CONTROL'!$B$5:$B$304,A442),""))</f>
        <v/>
      </c>
      <c r="AH442" s="51">
        <f>IF(B442="","",DATE(YEAR(B442),MONTH(B442),1))</f>
        <v/>
      </c>
      <c r="AI442" s="49">
        <f>IF(D442="","",IFERROR(INDEX('CUSTOMERS'!$E$5:$E$404,MATCH(D442,'CUSTOMERS'!$B$5:$B$404,0)),""))</f>
        <v/>
      </c>
      <c r="AJ442" s="49">
        <f>IF(B442="","",N(C442))</f>
        <v/>
      </c>
      <c r="AK442" s="49">
        <f>IF(OR(B442="",O442="Cancelled",O442="Rescheduled"),"",B442&amp;"|"&amp;(COUNTIFS('JOBS'!$B$5:$B$1504,B442,'JOBS'!$AJ$5:$AJ$1504,"&lt;"&amp;AJ442,'JOBS'!$O$5:$O$1504,"&lt;&gt;Cancelled",'JOBS'!$O$5:$O$1504,"&lt;&gt;Rescheduled")+COUNTIFS($B$5:B442,B442,$AJ$5:AJ442,AJ442,$O$5:O442,"&lt;&gt;Cancelled",$O$5:O442,"&lt;&gt;Rescheduled")))</f>
        <v/>
      </c>
      <c r="AL442" s="49">
        <f>IF(N(U442)&lt;=0.005,"",COUNTIFS('JOBS'!$U$5:$U$1504,"&gt;0.005",'JOBS'!$B$5:$B$1504,"&lt;"&amp;B442)+COUNTIFS($U$5:U442,"&gt;0.005",$B$5:B442,B442))</f>
        <v/>
      </c>
    </row>
    <row r="443">
      <c r="A443" s="46" t="inlineStr">
        <is>
          <t>J-0439</t>
        </is>
      </c>
      <c r="B443" s="47" t="n"/>
      <c r="C443" s="94" t="n"/>
      <c r="D443" s="38" t="n"/>
      <c r="E443" s="38" t="n"/>
      <c r="F443" s="38" t="n"/>
      <c r="G443" s="38" t="n"/>
      <c r="H443" s="38" t="n"/>
      <c r="I443" s="57" t="n"/>
      <c r="J443" s="95" t="n"/>
      <c r="K443" s="95" t="n"/>
      <c r="L443" s="48" t="n"/>
      <c r="M443" s="96" t="n"/>
      <c r="N443" s="48" t="n"/>
      <c r="O443" s="38" t="n"/>
      <c r="P443" s="38" t="n"/>
      <c r="Q443" s="97">
        <f>IF(OR(F443="",E443=""),"",IFERROR(IF(INDEX('PROPERTIES'!$F$5:$F$404,MATCH(E443,'PROPERTIES'!$B$5:$B$404,0))=0,"",ROUND((INDEX('PROPERTIES'!$F$5:$F$404,MATCH(E443,'PROPERTIES'!$B$5:$B$404,0))/INDEX('PRICING'!$C$7:$C$16,MATCH(F443,'PRICING'!$A$7:$A$16,0))+INDEX('PROPERTIES'!$G$5:$G$404,MATCH(E443,'PROPERTIES'!$B$5:$B$404,0))*INDEX('PRICING'!$D$7:$D$16,MATCH(F443,'PRICING'!$A$7:$A$16,0))/60+INDEX('PROPERTIES'!$H$5:$H$404,MATCH(E443,'PROPERTIES'!$B$5:$B$404,0))*INDEX('PRICING'!$E$7:$E$16,MATCH(F443,'PRICING'!$A$7:$A$16,0))/60+INDEX('PRICING'!$F$7:$F$16,MATCH(F443,'PRICING'!$A$7:$A$16,0))/60),2)),""))</f>
        <v/>
      </c>
      <c r="R443" s="97">
        <f>IF(B443="","",IF(N(K443)&gt;0,K443,IF(N(J443)&gt;0,J443,N(Q443))))</f>
        <v/>
      </c>
      <c r="S443" s="55">
        <f>IF(L443="","",ROUND(L443*(1+N(M443)),2))</f>
        <v/>
      </c>
      <c r="T443" s="55">
        <f>IF(B443="","",SUMIFS('REVENUE'!$C$5:$C$1504,'REVENUE'!$B$5:$B$1504,A443))</f>
        <v/>
      </c>
      <c r="U443" s="55">
        <f>IF(B443="","",IF(O443="Completed",MAX(0,N(S443)-T443),""))</f>
        <v/>
      </c>
      <c r="V443" s="49">
        <f>IF(B443="","",IF(O443&lt;&gt;"Completed",IF(T443&gt;0,"Deposit","—"),IF(U443&lt;=0.005,"Paid",IF(T443&gt;0,"Partial","Unpaid"))))</f>
        <v/>
      </c>
      <c r="W443" s="55">
        <f>IF(B443="","",IFERROR(1/(1/INDEX('STAFF &amp; TASKS'!$C$5:$C$24,MATCH(H443,'STAFF &amp; TASKS'!$A$5:$A$24,0))),PayRate))</f>
        <v/>
      </c>
      <c r="X443" s="55">
        <f>IF(B443="","",IF(OR(O443="Cancelled",O443="No-Show"),"",ROUND(R443*W443*(1+Burden),2)))</f>
        <v/>
      </c>
      <c r="Y443" s="55">
        <f>IF(B443="","",IF(OR(O443="Cancelled",O443="No-Show"),"",IF(N443&lt;&gt;"",N443,ROUND(R443*SupHr*IFERROR(INDEX('PRICING'!$G$7:$G$16,MATCH(F443,'PRICING'!$A$7:$A$16,0)),1),2))))</f>
        <v/>
      </c>
      <c r="Z443" s="98">
        <f>IF(B443="","",SUMIFS('MILEAGE'!$J$5:$J$1504,'MILEAGE'!$B$5:$B$1504,A443))</f>
        <v/>
      </c>
      <c r="AA443" s="55">
        <f>IF(B443="","",ROUND(Z443*MileRate,2))</f>
        <v/>
      </c>
      <c r="AB443" s="55">
        <f>IF(B443="","",SUMIFS('REVENUE'!$J$5:$J$1504,'REVENUE'!$B$5:$B$1504,A443))</f>
        <v/>
      </c>
      <c r="AC443" s="55">
        <f>IF(L443="","",IF(OR(O443="Cancelled",O443="No-Show"),"",L443-N(X443)-N(Y443)-AA443-AB443))</f>
        <v/>
      </c>
      <c r="AD443" s="99">
        <f>IF(OR(AC443="",N(L443)=0),"",AC443/L443)</f>
        <v/>
      </c>
      <c r="AE443" s="55">
        <f>IF(OR(AC443="",N(R443)=0),"",L443/R443)</f>
        <v/>
      </c>
      <c r="AF443" s="100">
        <f>IF(OR(N(K443)=0,N(J443)+N(Q443)=0),"",K443-IF(N(J443)&gt;0,J443,Q443))</f>
        <v/>
      </c>
      <c r="AG443" s="99">
        <f>IF(B443="","",IFERROR(AVERAGEIFS('QUALITY CONTROL'!$M$5:$M$304,'QUALITY CONTROL'!$B$5:$B$304,A443),""))</f>
        <v/>
      </c>
      <c r="AH443" s="51">
        <f>IF(B443="","",DATE(YEAR(B443),MONTH(B443),1))</f>
        <v/>
      </c>
      <c r="AI443" s="49">
        <f>IF(D443="","",IFERROR(INDEX('CUSTOMERS'!$E$5:$E$404,MATCH(D443,'CUSTOMERS'!$B$5:$B$404,0)),""))</f>
        <v/>
      </c>
      <c r="AJ443" s="49">
        <f>IF(B443="","",N(C443))</f>
        <v/>
      </c>
      <c r="AK443" s="49">
        <f>IF(OR(B443="",O443="Cancelled",O443="Rescheduled"),"",B443&amp;"|"&amp;(COUNTIFS('JOBS'!$B$5:$B$1504,B443,'JOBS'!$AJ$5:$AJ$1504,"&lt;"&amp;AJ443,'JOBS'!$O$5:$O$1504,"&lt;&gt;Cancelled",'JOBS'!$O$5:$O$1504,"&lt;&gt;Rescheduled")+COUNTIFS($B$5:B443,B443,$AJ$5:AJ443,AJ443,$O$5:O443,"&lt;&gt;Cancelled",$O$5:O443,"&lt;&gt;Rescheduled")))</f>
        <v/>
      </c>
      <c r="AL443" s="49">
        <f>IF(N(U443)&lt;=0.005,"",COUNTIFS('JOBS'!$U$5:$U$1504,"&gt;0.005",'JOBS'!$B$5:$B$1504,"&lt;"&amp;B443)+COUNTIFS($U$5:U443,"&gt;0.005",$B$5:B443,B443))</f>
        <v/>
      </c>
    </row>
    <row r="444">
      <c r="A444" s="46" t="inlineStr">
        <is>
          <t>J-0440</t>
        </is>
      </c>
      <c r="B444" s="47" t="n"/>
      <c r="C444" s="94" t="n"/>
      <c r="D444" s="38" t="n"/>
      <c r="E444" s="38" t="n"/>
      <c r="F444" s="38" t="n"/>
      <c r="G444" s="38" t="n"/>
      <c r="H444" s="38" t="n"/>
      <c r="I444" s="57" t="n"/>
      <c r="J444" s="95" t="n"/>
      <c r="K444" s="95" t="n"/>
      <c r="L444" s="48" t="n"/>
      <c r="M444" s="96" t="n"/>
      <c r="N444" s="48" t="n"/>
      <c r="O444" s="38" t="n"/>
      <c r="P444" s="38" t="n"/>
      <c r="Q444" s="97">
        <f>IF(OR(F444="",E444=""),"",IFERROR(IF(INDEX('PROPERTIES'!$F$5:$F$404,MATCH(E444,'PROPERTIES'!$B$5:$B$404,0))=0,"",ROUND((INDEX('PROPERTIES'!$F$5:$F$404,MATCH(E444,'PROPERTIES'!$B$5:$B$404,0))/INDEX('PRICING'!$C$7:$C$16,MATCH(F444,'PRICING'!$A$7:$A$16,0))+INDEX('PROPERTIES'!$G$5:$G$404,MATCH(E444,'PROPERTIES'!$B$5:$B$404,0))*INDEX('PRICING'!$D$7:$D$16,MATCH(F444,'PRICING'!$A$7:$A$16,0))/60+INDEX('PROPERTIES'!$H$5:$H$404,MATCH(E444,'PROPERTIES'!$B$5:$B$404,0))*INDEX('PRICING'!$E$7:$E$16,MATCH(F444,'PRICING'!$A$7:$A$16,0))/60+INDEX('PRICING'!$F$7:$F$16,MATCH(F444,'PRICING'!$A$7:$A$16,0))/60),2)),""))</f>
        <v/>
      </c>
      <c r="R444" s="97">
        <f>IF(B444="","",IF(N(K444)&gt;0,K444,IF(N(J444)&gt;0,J444,N(Q444))))</f>
        <v/>
      </c>
      <c r="S444" s="55">
        <f>IF(L444="","",ROUND(L444*(1+N(M444)),2))</f>
        <v/>
      </c>
      <c r="T444" s="55">
        <f>IF(B444="","",SUMIFS('REVENUE'!$C$5:$C$1504,'REVENUE'!$B$5:$B$1504,A444))</f>
        <v/>
      </c>
      <c r="U444" s="55">
        <f>IF(B444="","",IF(O444="Completed",MAX(0,N(S444)-T444),""))</f>
        <v/>
      </c>
      <c r="V444" s="49">
        <f>IF(B444="","",IF(O444&lt;&gt;"Completed",IF(T444&gt;0,"Deposit","—"),IF(U444&lt;=0.005,"Paid",IF(T444&gt;0,"Partial","Unpaid"))))</f>
        <v/>
      </c>
      <c r="W444" s="55">
        <f>IF(B444="","",IFERROR(1/(1/INDEX('STAFF &amp; TASKS'!$C$5:$C$24,MATCH(H444,'STAFF &amp; TASKS'!$A$5:$A$24,0))),PayRate))</f>
        <v/>
      </c>
      <c r="X444" s="55">
        <f>IF(B444="","",IF(OR(O444="Cancelled",O444="No-Show"),"",ROUND(R444*W444*(1+Burden),2)))</f>
        <v/>
      </c>
      <c r="Y444" s="55">
        <f>IF(B444="","",IF(OR(O444="Cancelled",O444="No-Show"),"",IF(N444&lt;&gt;"",N444,ROUND(R444*SupHr*IFERROR(INDEX('PRICING'!$G$7:$G$16,MATCH(F444,'PRICING'!$A$7:$A$16,0)),1),2))))</f>
        <v/>
      </c>
      <c r="Z444" s="98">
        <f>IF(B444="","",SUMIFS('MILEAGE'!$J$5:$J$1504,'MILEAGE'!$B$5:$B$1504,A444))</f>
        <v/>
      </c>
      <c r="AA444" s="55">
        <f>IF(B444="","",ROUND(Z444*MileRate,2))</f>
        <v/>
      </c>
      <c r="AB444" s="55">
        <f>IF(B444="","",SUMIFS('REVENUE'!$J$5:$J$1504,'REVENUE'!$B$5:$B$1504,A444))</f>
        <v/>
      </c>
      <c r="AC444" s="55">
        <f>IF(L444="","",IF(OR(O444="Cancelled",O444="No-Show"),"",L444-N(X444)-N(Y444)-AA444-AB444))</f>
        <v/>
      </c>
      <c r="AD444" s="99">
        <f>IF(OR(AC444="",N(L444)=0),"",AC444/L444)</f>
        <v/>
      </c>
      <c r="AE444" s="55">
        <f>IF(OR(AC444="",N(R444)=0),"",L444/R444)</f>
        <v/>
      </c>
      <c r="AF444" s="100">
        <f>IF(OR(N(K444)=0,N(J444)+N(Q444)=0),"",K444-IF(N(J444)&gt;0,J444,Q444))</f>
        <v/>
      </c>
      <c r="AG444" s="99">
        <f>IF(B444="","",IFERROR(AVERAGEIFS('QUALITY CONTROL'!$M$5:$M$304,'QUALITY CONTROL'!$B$5:$B$304,A444),""))</f>
        <v/>
      </c>
      <c r="AH444" s="51">
        <f>IF(B444="","",DATE(YEAR(B444),MONTH(B444),1))</f>
        <v/>
      </c>
      <c r="AI444" s="49">
        <f>IF(D444="","",IFERROR(INDEX('CUSTOMERS'!$E$5:$E$404,MATCH(D444,'CUSTOMERS'!$B$5:$B$404,0)),""))</f>
        <v/>
      </c>
      <c r="AJ444" s="49">
        <f>IF(B444="","",N(C444))</f>
        <v/>
      </c>
      <c r="AK444" s="49">
        <f>IF(OR(B444="",O444="Cancelled",O444="Rescheduled"),"",B444&amp;"|"&amp;(COUNTIFS('JOBS'!$B$5:$B$1504,B444,'JOBS'!$AJ$5:$AJ$1504,"&lt;"&amp;AJ444,'JOBS'!$O$5:$O$1504,"&lt;&gt;Cancelled",'JOBS'!$O$5:$O$1504,"&lt;&gt;Rescheduled")+COUNTIFS($B$5:B444,B444,$AJ$5:AJ444,AJ444,$O$5:O444,"&lt;&gt;Cancelled",$O$5:O444,"&lt;&gt;Rescheduled")))</f>
        <v/>
      </c>
      <c r="AL444" s="49">
        <f>IF(N(U444)&lt;=0.005,"",COUNTIFS('JOBS'!$U$5:$U$1504,"&gt;0.005",'JOBS'!$B$5:$B$1504,"&lt;"&amp;B444)+COUNTIFS($U$5:U444,"&gt;0.005",$B$5:B444,B444))</f>
        <v/>
      </c>
    </row>
    <row r="445">
      <c r="A445" s="46" t="inlineStr">
        <is>
          <t>J-0441</t>
        </is>
      </c>
      <c r="B445" s="47" t="n"/>
      <c r="C445" s="94" t="n"/>
      <c r="D445" s="38" t="n"/>
      <c r="E445" s="38" t="n"/>
      <c r="F445" s="38" t="n"/>
      <c r="G445" s="38" t="n"/>
      <c r="H445" s="38" t="n"/>
      <c r="I445" s="57" t="n"/>
      <c r="J445" s="95" t="n"/>
      <c r="K445" s="95" t="n"/>
      <c r="L445" s="48" t="n"/>
      <c r="M445" s="96" t="n"/>
      <c r="N445" s="48" t="n"/>
      <c r="O445" s="38" t="n"/>
      <c r="P445" s="38" t="n"/>
      <c r="Q445" s="97">
        <f>IF(OR(F445="",E445=""),"",IFERROR(IF(INDEX('PROPERTIES'!$F$5:$F$404,MATCH(E445,'PROPERTIES'!$B$5:$B$404,0))=0,"",ROUND((INDEX('PROPERTIES'!$F$5:$F$404,MATCH(E445,'PROPERTIES'!$B$5:$B$404,0))/INDEX('PRICING'!$C$7:$C$16,MATCH(F445,'PRICING'!$A$7:$A$16,0))+INDEX('PROPERTIES'!$G$5:$G$404,MATCH(E445,'PROPERTIES'!$B$5:$B$404,0))*INDEX('PRICING'!$D$7:$D$16,MATCH(F445,'PRICING'!$A$7:$A$16,0))/60+INDEX('PROPERTIES'!$H$5:$H$404,MATCH(E445,'PROPERTIES'!$B$5:$B$404,0))*INDEX('PRICING'!$E$7:$E$16,MATCH(F445,'PRICING'!$A$7:$A$16,0))/60+INDEX('PRICING'!$F$7:$F$16,MATCH(F445,'PRICING'!$A$7:$A$16,0))/60),2)),""))</f>
        <v/>
      </c>
      <c r="R445" s="97">
        <f>IF(B445="","",IF(N(K445)&gt;0,K445,IF(N(J445)&gt;0,J445,N(Q445))))</f>
        <v/>
      </c>
      <c r="S445" s="55">
        <f>IF(L445="","",ROUND(L445*(1+N(M445)),2))</f>
        <v/>
      </c>
      <c r="T445" s="55">
        <f>IF(B445="","",SUMIFS('REVENUE'!$C$5:$C$1504,'REVENUE'!$B$5:$B$1504,A445))</f>
        <v/>
      </c>
      <c r="U445" s="55">
        <f>IF(B445="","",IF(O445="Completed",MAX(0,N(S445)-T445),""))</f>
        <v/>
      </c>
      <c r="V445" s="49">
        <f>IF(B445="","",IF(O445&lt;&gt;"Completed",IF(T445&gt;0,"Deposit","—"),IF(U445&lt;=0.005,"Paid",IF(T445&gt;0,"Partial","Unpaid"))))</f>
        <v/>
      </c>
      <c r="W445" s="55">
        <f>IF(B445="","",IFERROR(1/(1/INDEX('STAFF &amp; TASKS'!$C$5:$C$24,MATCH(H445,'STAFF &amp; TASKS'!$A$5:$A$24,0))),PayRate))</f>
        <v/>
      </c>
      <c r="X445" s="55">
        <f>IF(B445="","",IF(OR(O445="Cancelled",O445="No-Show"),"",ROUND(R445*W445*(1+Burden),2)))</f>
        <v/>
      </c>
      <c r="Y445" s="55">
        <f>IF(B445="","",IF(OR(O445="Cancelled",O445="No-Show"),"",IF(N445&lt;&gt;"",N445,ROUND(R445*SupHr*IFERROR(INDEX('PRICING'!$G$7:$G$16,MATCH(F445,'PRICING'!$A$7:$A$16,0)),1),2))))</f>
        <v/>
      </c>
      <c r="Z445" s="98">
        <f>IF(B445="","",SUMIFS('MILEAGE'!$J$5:$J$1504,'MILEAGE'!$B$5:$B$1504,A445))</f>
        <v/>
      </c>
      <c r="AA445" s="55">
        <f>IF(B445="","",ROUND(Z445*MileRate,2))</f>
        <v/>
      </c>
      <c r="AB445" s="55">
        <f>IF(B445="","",SUMIFS('REVENUE'!$J$5:$J$1504,'REVENUE'!$B$5:$B$1504,A445))</f>
        <v/>
      </c>
      <c r="AC445" s="55">
        <f>IF(L445="","",IF(OR(O445="Cancelled",O445="No-Show"),"",L445-N(X445)-N(Y445)-AA445-AB445))</f>
        <v/>
      </c>
      <c r="AD445" s="99">
        <f>IF(OR(AC445="",N(L445)=0),"",AC445/L445)</f>
        <v/>
      </c>
      <c r="AE445" s="55">
        <f>IF(OR(AC445="",N(R445)=0),"",L445/R445)</f>
        <v/>
      </c>
      <c r="AF445" s="100">
        <f>IF(OR(N(K445)=0,N(J445)+N(Q445)=0),"",K445-IF(N(J445)&gt;0,J445,Q445))</f>
        <v/>
      </c>
      <c r="AG445" s="99">
        <f>IF(B445="","",IFERROR(AVERAGEIFS('QUALITY CONTROL'!$M$5:$M$304,'QUALITY CONTROL'!$B$5:$B$304,A445),""))</f>
        <v/>
      </c>
      <c r="AH445" s="51">
        <f>IF(B445="","",DATE(YEAR(B445),MONTH(B445),1))</f>
        <v/>
      </c>
      <c r="AI445" s="49">
        <f>IF(D445="","",IFERROR(INDEX('CUSTOMERS'!$E$5:$E$404,MATCH(D445,'CUSTOMERS'!$B$5:$B$404,0)),""))</f>
        <v/>
      </c>
      <c r="AJ445" s="49">
        <f>IF(B445="","",N(C445))</f>
        <v/>
      </c>
      <c r="AK445" s="49">
        <f>IF(OR(B445="",O445="Cancelled",O445="Rescheduled"),"",B445&amp;"|"&amp;(COUNTIFS('JOBS'!$B$5:$B$1504,B445,'JOBS'!$AJ$5:$AJ$1504,"&lt;"&amp;AJ445,'JOBS'!$O$5:$O$1504,"&lt;&gt;Cancelled",'JOBS'!$O$5:$O$1504,"&lt;&gt;Rescheduled")+COUNTIFS($B$5:B445,B445,$AJ$5:AJ445,AJ445,$O$5:O445,"&lt;&gt;Cancelled",$O$5:O445,"&lt;&gt;Rescheduled")))</f>
        <v/>
      </c>
      <c r="AL445" s="49">
        <f>IF(N(U445)&lt;=0.005,"",COUNTIFS('JOBS'!$U$5:$U$1504,"&gt;0.005",'JOBS'!$B$5:$B$1504,"&lt;"&amp;B445)+COUNTIFS($U$5:U445,"&gt;0.005",$B$5:B445,B445))</f>
        <v/>
      </c>
    </row>
    <row r="446">
      <c r="A446" s="46" t="inlineStr">
        <is>
          <t>J-0442</t>
        </is>
      </c>
      <c r="B446" s="47" t="n"/>
      <c r="C446" s="94" t="n"/>
      <c r="D446" s="38" t="n"/>
      <c r="E446" s="38" t="n"/>
      <c r="F446" s="38" t="n"/>
      <c r="G446" s="38" t="n"/>
      <c r="H446" s="38" t="n"/>
      <c r="I446" s="57" t="n"/>
      <c r="J446" s="95" t="n"/>
      <c r="K446" s="95" t="n"/>
      <c r="L446" s="48" t="n"/>
      <c r="M446" s="96" t="n"/>
      <c r="N446" s="48" t="n"/>
      <c r="O446" s="38" t="n"/>
      <c r="P446" s="38" t="n"/>
      <c r="Q446" s="97">
        <f>IF(OR(F446="",E446=""),"",IFERROR(IF(INDEX('PROPERTIES'!$F$5:$F$404,MATCH(E446,'PROPERTIES'!$B$5:$B$404,0))=0,"",ROUND((INDEX('PROPERTIES'!$F$5:$F$404,MATCH(E446,'PROPERTIES'!$B$5:$B$404,0))/INDEX('PRICING'!$C$7:$C$16,MATCH(F446,'PRICING'!$A$7:$A$16,0))+INDEX('PROPERTIES'!$G$5:$G$404,MATCH(E446,'PROPERTIES'!$B$5:$B$404,0))*INDEX('PRICING'!$D$7:$D$16,MATCH(F446,'PRICING'!$A$7:$A$16,0))/60+INDEX('PROPERTIES'!$H$5:$H$404,MATCH(E446,'PROPERTIES'!$B$5:$B$404,0))*INDEX('PRICING'!$E$7:$E$16,MATCH(F446,'PRICING'!$A$7:$A$16,0))/60+INDEX('PRICING'!$F$7:$F$16,MATCH(F446,'PRICING'!$A$7:$A$16,0))/60),2)),""))</f>
        <v/>
      </c>
      <c r="R446" s="97">
        <f>IF(B446="","",IF(N(K446)&gt;0,K446,IF(N(J446)&gt;0,J446,N(Q446))))</f>
        <v/>
      </c>
      <c r="S446" s="55">
        <f>IF(L446="","",ROUND(L446*(1+N(M446)),2))</f>
        <v/>
      </c>
      <c r="T446" s="55">
        <f>IF(B446="","",SUMIFS('REVENUE'!$C$5:$C$1504,'REVENUE'!$B$5:$B$1504,A446))</f>
        <v/>
      </c>
      <c r="U446" s="55">
        <f>IF(B446="","",IF(O446="Completed",MAX(0,N(S446)-T446),""))</f>
        <v/>
      </c>
      <c r="V446" s="49">
        <f>IF(B446="","",IF(O446&lt;&gt;"Completed",IF(T446&gt;0,"Deposit","—"),IF(U446&lt;=0.005,"Paid",IF(T446&gt;0,"Partial","Unpaid"))))</f>
        <v/>
      </c>
      <c r="W446" s="55">
        <f>IF(B446="","",IFERROR(1/(1/INDEX('STAFF &amp; TASKS'!$C$5:$C$24,MATCH(H446,'STAFF &amp; TASKS'!$A$5:$A$24,0))),PayRate))</f>
        <v/>
      </c>
      <c r="X446" s="55">
        <f>IF(B446="","",IF(OR(O446="Cancelled",O446="No-Show"),"",ROUND(R446*W446*(1+Burden),2)))</f>
        <v/>
      </c>
      <c r="Y446" s="55">
        <f>IF(B446="","",IF(OR(O446="Cancelled",O446="No-Show"),"",IF(N446&lt;&gt;"",N446,ROUND(R446*SupHr*IFERROR(INDEX('PRICING'!$G$7:$G$16,MATCH(F446,'PRICING'!$A$7:$A$16,0)),1),2))))</f>
        <v/>
      </c>
      <c r="Z446" s="98">
        <f>IF(B446="","",SUMIFS('MILEAGE'!$J$5:$J$1504,'MILEAGE'!$B$5:$B$1504,A446))</f>
        <v/>
      </c>
      <c r="AA446" s="55">
        <f>IF(B446="","",ROUND(Z446*MileRate,2))</f>
        <v/>
      </c>
      <c r="AB446" s="55">
        <f>IF(B446="","",SUMIFS('REVENUE'!$J$5:$J$1504,'REVENUE'!$B$5:$B$1504,A446))</f>
        <v/>
      </c>
      <c r="AC446" s="55">
        <f>IF(L446="","",IF(OR(O446="Cancelled",O446="No-Show"),"",L446-N(X446)-N(Y446)-AA446-AB446))</f>
        <v/>
      </c>
      <c r="AD446" s="99">
        <f>IF(OR(AC446="",N(L446)=0),"",AC446/L446)</f>
        <v/>
      </c>
      <c r="AE446" s="55">
        <f>IF(OR(AC446="",N(R446)=0),"",L446/R446)</f>
        <v/>
      </c>
      <c r="AF446" s="100">
        <f>IF(OR(N(K446)=0,N(J446)+N(Q446)=0),"",K446-IF(N(J446)&gt;0,J446,Q446))</f>
        <v/>
      </c>
      <c r="AG446" s="99">
        <f>IF(B446="","",IFERROR(AVERAGEIFS('QUALITY CONTROL'!$M$5:$M$304,'QUALITY CONTROL'!$B$5:$B$304,A446),""))</f>
        <v/>
      </c>
      <c r="AH446" s="51">
        <f>IF(B446="","",DATE(YEAR(B446),MONTH(B446),1))</f>
        <v/>
      </c>
      <c r="AI446" s="49">
        <f>IF(D446="","",IFERROR(INDEX('CUSTOMERS'!$E$5:$E$404,MATCH(D446,'CUSTOMERS'!$B$5:$B$404,0)),""))</f>
        <v/>
      </c>
      <c r="AJ446" s="49">
        <f>IF(B446="","",N(C446))</f>
        <v/>
      </c>
      <c r="AK446" s="49">
        <f>IF(OR(B446="",O446="Cancelled",O446="Rescheduled"),"",B446&amp;"|"&amp;(COUNTIFS('JOBS'!$B$5:$B$1504,B446,'JOBS'!$AJ$5:$AJ$1504,"&lt;"&amp;AJ446,'JOBS'!$O$5:$O$1504,"&lt;&gt;Cancelled",'JOBS'!$O$5:$O$1504,"&lt;&gt;Rescheduled")+COUNTIFS($B$5:B446,B446,$AJ$5:AJ446,AJ446,$O$5:O446,"&lt;&gt;Cancelled",$O$5:O446,"&lt;&gt;Rescheduled")))</f>
        <v/>
      </c>
      <c r="AL446" s="49">
        <f>IF(N(U446)&lt;=0.005,"",COUNTIFS('JOBS'!$U$5:$U$1504,"&gt;0.005",'JOBS'!$B$5:$B$1504,"&lt;"&amp;B446)+COUNTIFS($U$5:U446,"&gt;0.005",$B$5:B446,B446))</f>
        <v/>
      </c>
    </row>
    <row r="447">
      <c r="A447" s="46" t="inlineStr">
        <is>
          <t>J-0443</t>
        </is>
      </c>
      <c r="B447" s="47" t="n"/>
      <c r="C447" s="94" t="n"/>
      <c r="D447" s="38" t="n"/>
      <c r="E447" s="38" t="n"/>
      <c r="F447" s="38" t="n"/>
      <c r="G447" s="38" t="n"/>
      <c r="H447" s="38" t="n"/>
      <c r="I447" s="57" t="n"/>
      <c r="J447" s="95" t="n"/>
      <c r="K447" s="95" t="n"/>
      <c r="L447" s="48" t="n"/>
      <c r="M447" s="96" t="n"/>
      <c r="N447" s="48" t="n"/>
      <c r="O447" s="38" t="n"/>
      <c r="P447" s="38" t="n"/>
      <c r="Q447" s="97">
        <f>IF(OR(F447="",E447=""),"",IFERROR(IF(INDEX('PROPERTIES'!$F$5:$F$404,MATCH(E447,'PROPERTIES'!$B$5:$B$404,0))=0,"",ROUND((INDEX('PROPERTIES'!$F$5:$F$404,MATCH(E447,'PROPERTIES'!$B$5:$B$404,0))/INDEX('PRICING'!$C$7:$C$16,MATCH(F447,'PRICING'!$A$7:$A$16,0))+INDEX('PROPERTIES'!$G$5:$G$404,MATCH(E447,'PROPERTIES'!$B$5:$B$404,0))*INDEX('PRICING'!$D$7:$D$16,MATCH(F447,'PRICING'!$A$7:$A$16,0))/60+INDEX('PROPERTIES'!$H$5:$H$404,MATCH(E447,'PROPERTIES'!$B$5:$B$404,0))*INDEX('PRICING'!$E$7:$E$16,MATCH(F447,'PRICING'!$A$7:$A$16,0))/60+INDEX('PRICING'!$F$7:$F$16,MATCH(F447,'PRICING'!$A$7:$A$16,0))/60),2)),""))</f>
        <v/>
      </c>
      <c r="R447" s="97">
        <f>IF(B447="","",IF(N(K447)&gt;0,K447,IF(N(J447)&gt;0,J447,N(Q447))))</f>
        <v/>
      </c>
      <c r="S447" s="55">
        <f>IF(L447="","",ROUND(L447*(1+N(M447)),2))</f>
        <v/>
      </c>
      <c r="T447" s="55">
        <f>IF(B447="","",SUMIFS('REVENUE'!$C$5:$C$1504,'REVENUE'!$B$5:$B$1504,A447))</f>
        <v/>
      </c>
      <c r="U447" s="55">
        <f>IF(B447="","",IF(O447="Completed",MAX(0,N(S447)-T447),""))</f>
        <v/>
      </c>
      <c r="V447" s="49">
        <f>IF(B447="","",IF(O447&lt;&gt;"Completed",IF(T447&gt;0,"Deposit","—"),IF(U447&lt;=0.005,"Paid",IF(T447&gt;0,"Partial","Unpaid"))))</f>
        <v/>
      </c>
      <c r="W447" s="55">
        <f>IF(B447="","",IFERROR(1/(1/INDEX('STAFF &amp; TASKS'!$C$5:$C$24,MATCH(H447,'STAFF &amp; TASKS'!$A$5:$A$24,0))),PayRate))</f>
        <v/>
      </c>
      <c r="X447" s="55">
        <f>IF(B447="","",IF(OR(O447="Cancelled",O447="No-Show"),"",ROUND(R447*W447*(1+Burden),2)))</f>
        <v/>
      </c>
      <c r="Y447" s="55">
        <f>IF(B447="","",IF(OR(O447="Cancelled",O447="No-Show"),"",IF(N447&lt;&gt;"",N447,ROUND(R447*SupHr*IFERROR(INDEX('PRICING'!$G$7:$G$16,MATCH(F447,'PRICING'!$A$7:$A$16,0)),1),2))))</f>
        <v/>
      </c>
      <c r="Z447" s="98">
        <f>IF(B447="","",SUMIFS('MILEAGE'!$J$5:$J$1504,'MILEAGE'!$B$5:$B$1504,A447))</f>
        <v/>
      </c>
      <c r="AA447" s="55">
        <f>IF(B447="","",ROUND(Z447*MileRate,2))</f>
        <v/>
      </c>
      <c r="AB447" s="55">
        <f>IF(B447="","",SUMIFS('REVENUE'!$J$5:$J$1504,'REVENUE'!$B$5:$B$1504,A447))</f>
        <v/>
      </c>
      <c r="AC447" s="55">
        <f>IF(L447="","",IF(OR(O447="Cancelled",O447="No-Show"),"",L447-N(X447)-N(Y447)-AA447-AB447))</f>
        <v/>
      </c>
      <c r="AD447" s="99">
        <f>IF(OR(AC447="",N(L447)=0),"",AC447/L447)</f>
        <v/>
      </c>
      <c r="AE447" s="55">
        <f>IF(OR(AC447="",N(R447)=0),"",L447/R447)</f>
        <v/>
      </c>
      <c r="AF447" s="100">
        <f>IF(OR(N(K447)=0,N(J447)+N(Q447)=0),"",K447-IF(N(J447)&gt;0,J447,Q447))</f>
        <v/>
      </c>
      <c r="AG447" s="99">
        <f>IF(B447="","",IFERROR(AVERAGEIFS('QUALITY CONTROL'!$M$5:$M$304,'QUALITY CONTROL'!$B$5:$B$304,A447),""))</f>
        <v/>
      </c>
      <c r="AH447" s="51">
        <f>IF(B447="","",DATE(YEAR(B447),MONTH(B447),1))</f>
        <v/>
      </c>
      <c r="AI447" s="49">
        <f>IF(D447="","",IFERROR(INDEX('CUSTOMERS'!$E$5:$E$404,MATCH(D447,'CUSTOMERS'!$B$5:$B$404,0)),""))</f>
        <v/>
      </c>
      <c r="AJ447" s="49">
        <f>IF(B447="","",N(C447))</f>
        <v/>
      </c>
      <c r="AK447" s="49">
        <f>IF(OR(B447="",O447="Cancelled",O447="Rescheduled"),"",B447&amp;"|"&amp;(COUNTIFS('JOBS'!$B$5:$B$1504,B447,'JOBS'!$AJ$5:$AJ$1504,"&lt;"&amp;AJ447,'JOBS'!$O$5:$O$1504,"&lt;&gt;Cancelled",'JOBS'!$O$5:$O$1504,"&lt;&gt;Rescheduled")+COUNTIFS($B$5:B447,B447,$AJ$5:AJ447,AJ447,$O$5:O447,"&lt;&gt;Cancelled",$O$5:O447,"&lt;&gt;Rescheduled")))</f>
        <v/>
      </c>
      <c r="AL447" s="49">
        <f>IF(N(U447)&lt;=0.005,"",COUNTIFS('JOBS'!$U$5:$U$1504,"&gt;0.005",'JOBS'!$B$5:$B$1504,"&lt;"&amp;B447)+COUNTIFS($U$5:U447,"&gt;0.005",$B$5:B447,B447))</f>
        <v/>
      </c>
    </row>
    <row r="448">
      <c r="A448" s="46" t="inlineStr">
        <is>
          <t>J-0444</t>
        </is>
      </c>
      <c r="B448" s="47" t="n"/>
      <c r="C448" s="94" t="n"/>
      <c r="D448" s="38" t="n"/>
      <c r="E448" s="38" t="n"/>
      <c r="F448" s="38" t="n"/>
      <c r="G448" s="38" t="n"/>
      <c r="H448" s="38" t="n"/>
      <c r="I448" s="57" t="n"/>
      <c r="J448" s="95" t="n"/>
      <c r="K448" s="95" t="n"/>
      <c r="L448" s="48" t="n"/>
      <c r="M448" s="96" t="n"/>
      <c r="N448" s="48" t="n"/>
      <c r="O448" s="38" t="n"/>
      <c r="P448" s="38" t="n"/>
      <c r="Q448" s="97">
        <f>IF(OR(F448="",E448=""),"",IFERROR(IF(INDEX('PROPERTIES'!$F$5:$F$404,MATCH(E448,'PROPERTIES'!$B$5:$B$404,0))=0,"",ROUND((INDEX('PROPERTIES'!$F$5:$F$404,MATCH(E448,'PROPERTIES'!$B$5:$B$404,0))/INDEX('PRICING'!$C$7:$C$16,MATCH(F448,'PRICING'!$A$7:$A$16,0))+INDEX('PROPERTIES'!$G$5:$G$404,MATCH(E448,'PROPERTIES'!$B$5:$B$404,0))*INDEX('PRICING'!$D$7:$D$16,MATCH(F448,'PRICING'!$A$7:$A$16,0))/60+INDEX('PROPERTIES'!$H$5:$H$404,MATCH(E448,'PROPERTIES'!$B$5:$B$404,0))*INDEX('PRICING'!$E$7:$E$16,MATCH(F448,'PRICING'!$A$7:$A$16,0))/60+INDEX('PRICING'!$F$7:$F$16,MATCH(F448,'PRICING'!$A$7:$A$16,0))/60),2)),""))</f>
        <v/>
      </c>
      <c r="R448" s="97">
        <f>IF(B448="","",IF(N(K448)&gt;0,K448,IF(N(J448)&gt;0,J448,N(Q448))))</f>
        <v/>
      </c>
      <c r="S448" s="55">
        <f>IF(L448="","",ROUND(L448*(1+N(M448)),2))</f>
        <v/>
      </c>
      <c r="T448" s="55">
        <f>IF(B448="","",SUMIFS('REVENUE'!$C$5:$C$1504,'REVENUE'!$B$5:$B$1504,A448))</f>
        <v/>
      </c>
      <c r="U448" s="55">
        <f>IF(B448="","",IF(O448="Completed",MAX(0,N(S448)-T448),""))</f>
        <v/>
      </c>
      <c r="V448" s="49">
        <f>IF(B448="","",IF(O448&lt;&gt;"Completed",IF(T448&gt;0,"Deposit","—"),IF(U448&lt;=0.005,"Paid",IF(T448&gt;0,"Partial","Unpaid"))))</f>
        <v/>
      </c>
      <c r="W448" s="55">
        <f>IF(B448="","",IFERROR(1/(1/INDEX('STAFF &amp; TASKS'!$C$5:$C$24,MATCH(H448,'STAFF &amp; TASKS'!$A$5:$A$24,0))),PayRate))</f>
        <v/>
      </c>
      <c r="X448" s="55">
        <f>IF(B448="","",IF(OR(O448="Cancelled",O448="No-Show"),"",ROUND(R448*W448*(1+Burden),2)))</f>
        <v/>
      </c>
      <c r="Y448" s="55">
        <f>IF(B448="","",IF(OR(O448="Cancelled",O448="No-Show"),"",IF(N448&lt;&gt;"",N448,ROUND(R448*SupHr*IFERROR(INDEX('PRICING'!$G$7:$G$16,MATCH(F448,'PRICING'!$A$7:$A$16,0)),1),2))))</f>
        <v/>
      </c>
      <c r="Z448" s="98">
        <f>IF(B448="","",SUMIFS('MILEAGE'!$J$5:$J$1504,'MILEAGE'!$B$5:$B$1504,A448))</f>
        <v/>
      </c>
      <c r="AA448" s="55">
        <f>IF(B448="","",ROUND(Z448*MileRate,2))</f>
        <v/>
      </c>
      <c r="AB448" s="55">
        <f>IF(B448="","",SUMIFS('REVENUE'!$J$5:$J$1504,'REVENUE'!$B$5:$B$1504,A448))</f>
        <v/>
      </c>
      <c r="AC448" s="55">
        <f>IF(L448="","",IF(OR(O448="Cancelled",O448="No-Show"),"",L448-N(X448)-N(Y448)-AA448-AB448))</f>
        <v/>
      </c>
      <c r="AD448" s="99">
        <f>IF(OR(AC448="",N(L448)=0),"",AC448/L448)</f>
        <v/>
      </c>
      <c r="AE448" s="55">
        <f>IF(OR(AC448="",N(R448)=0),"",L448/R448)</f>
        <v/>
      </c>
      <c r="AF448" s="100">
        <f>IF(OR(N(K448)=0,N(J448)+N(Q448)=0),"",K448-IF(N(J448)&gt;0,J448,Q448))</f>
        <v/>
      </c>
      <c r="AG448" s="99">
        <f>IF(B448="","",IFERROR(AVERAGEIFS('QUALITY CONTROL'!$M$5:$M$304,'QUALITY CONTROL'!$B$5:$B$304,A448),""))</f>
        <v/>
      </c>
      <c r="AH448" s="51">
        <f>IF(B448="","",DATE(YEAR(B448),MONTH(B448),1))</f>
        <v/>
      </c>
      <c r="AI448" s="49">
        <f>IF(D448="","",IFERROR(INDEX('CUSTOMERS'!$E$5:$E$404,MATCH(D448,'CUSTOMERS'!$B$5:$B$404,0)),""))</f>
        <v/>
      </c>
      <c r="AJ448" s="49">
        <f>IF(B448="","",N(C448))</f>
        <v/>
      </c>
      <c r="AK448" s="49">
        <f>IF(OR(B448="",O448="Cancelled",O448="Rescheduled"),"",B448&amp;"|"&amp;(COUNTIFS('JOBS'!$B$5:$B$1504,B448,'JOBS'!$AJ$5:$AJ$1504,"&lt;"&amp;AJ448,'JOBS'!$O$5:$O$1504,"&lt;&gt;Cancelled",'JOBS'!$O$5:$O$1504,"&lt;&gt;Rescheduled")+COUNTIFS($B$5:B448,B448,$AJ$5:AJ448,AJ448,$O$5:O448,"&lt;&gt;Cancelled",$O$5:O448,"&lt;&gt;Rescheduled")))</f>
        <v/>
      </c>
      <c r="AL448" s="49">
        <f>IF(N(U448)&lt;=0.005,"",COUNTIFS('JOBS'!$U$5:$U$1504,"&gt;0.005",'JOBS'!$B$5:$B$1504,"&lt;"&amp;B448)+COUNTIFS($U$5:U448,"&gt;0.005",$B$5:B448,B448))</f>
        <v/>
      </c>
    </row>
    <row r="449">
      <c r="A449" s="46" t="inlineStr">
        <is>
          <t>J-0445</t>
        </is>
      </c>
      <c r="B449" s="47" t="n"/>
      <c r="C449" s="94" t="n"/>
      <c r="D449" s="38" t="n"/>
      <c r="E449" s="38" t="n"/>
      <c r="F449" s="38" t="n"/>
      <c r="G449" s="38" t="n"/>
      <c r="H449" s="38" t="n"/>
      <c r="I449" s="57" t="n"/>
      <c r="J449" s="95" t="n"/>
      <c r="K449" s="95" t="n"/>
      <c r="L449" s="48" t="n"/>
      <c r="M449" s="96" t="n"/>
      <c r="N449" s="48" t="n"/>
      <c r="O449" s="38" t="n"/>
      <c r="P449" s="38" t="n"/>
      <c r="Q449" s="97">
        <f>IF(OR(F449="",E449=""),"",IFERROR(IF(INDEX('PROPERTIES'!$F$5:$F$404,MATCH(E449,'PROPERTIES'!$B$5:$B$404,0))=0,"",ROUND((INDEX('PROPERTIES'!$F$5:$F$404,MATCH(E449,'PROPERTIES'!$B$5:$B$404,0))/INDEX('PRICING'!$C$7:$C$16,MATCH(F449,'PRICING'!$A$7:$A$16,0))+INDEX('PROPERTIES'!$G$5:$G$404,MATCH(E449,'PROPERTIES'!$B$5:$B$404,0))*INDEX('PRICING'!$D$7:$D$16,MATCH(F449,'PRICING'!$A$7:$A$16,0))/60+INDEX('PROPERTIES'!$H$5:$H$404,MATCH(E449,'PROPERTIES'!$B$5:$B$404,0))*INDEX('PRICING'!$E$7:$E$16,MATCH(F449,'PRICING'!$A$7:$A$16,0))/60+INDEX('PRICING'!$F$7:$F$16,MATCH(F449,'PRICING'!$A$7:$A$16,0))/60),2)),""))</f>
        <v/>
      </c>
      <c r="R449" s="97">
        <f>IF(B449="","",IF(N(K449)&gt;0,K449,IF(N(J449)&gt;0,J449,N(Q449))))</f>
        <v/>
      </c>
      <c r="S449" s="55">
        <f>IF(L449="","",ROUND(L449*(1+N(M449)),2))</f>
        <v/>
      </c>
      <c r="T449" s="55">
        <f>IF(B449="","",SUMIFS('REVENUE'!$C$5:$C$1504,'REVENUE'!$B$5:$B$1504,A449))</f>
        <v/>
      </c>
      <c r="U449" s="55">
        <f>IF(B449="","",IF(O449="Completed",MAX(0,N(S449)-T449),""))</f>
        <v/>
      </c>
      <c r="V449" s="49">
        <f>IF(B449="","",IF(O449&lt;&gt;"Completed",IF(T449&gt;0,"Deposit","—"),IF(U449&lt;=0.005,"Paid",IF(T449&gt;0,"Partial","Unpaid"))))</f>
        <v/>
      </c>
      <c r="W449" s="55">
        <f>IF(B449="","",IFERROR(1/(1/INDEX('STAFF &amp; TASKS'!$C$5:$C$24,MATCH(H449,'STAFF &amp; TASKS'!$A$5:$A$24,0))),PayRate))</f>
        <v/>
      </c>
      <c r="X449" s="55">
        <f>IF(B449="","",IF(OR(O449="Cancelled",O449="No-Show"),"",ROUND(R449*W449*(1+Burden),2)))</f>
        <v/>
      </c>
      <c r="Y449" s="55">
        <f>IF(B449="","",IF(OR(O449="Cancelled",O449="No-Show"),"",IF(N449&lt;&gt;"",N449,ROUND(R449*SupHr*IFERROR(INDEX('PRICING'!$G$7:$G$16,MATCH(F449,'PRICING'!$A$7:$A$16,0)),1),2))))</f>
        <v/>
      </c>
      <c r="Z449" s="98">
        <f>IF(B449="","",SUMIFS('MILEAGE'!$J$5:$J$1504,'MILEAGE'!$B$5:$B$1504,A449))</f>
        <v/>
      </c>
      <c r="AA449" s="55">
        <f>IF(B449="","",ROUND(Z449*MileRate,2))</f>
        <v/>
      </c>
      <c r="AB449" s="55">
        <f>IF(B449="","",SUMIFS('REVENUE'!$J$5:$J$1504,'REVENUE'!$B$5:$B$1504,A449))</f>
        <v/>
      </c>
      <c r="AC449" s="55">
        <f>IF(L449="","",IF(OR(O449="Cancelled",O449="No-Show"),"",L449-N(X449)-N(Y449)-AA449-AB449))</f>
        <v/>
      </c>
      <c r="AD449" s="99">
        <f>IF(OR(AC449="",N(L449)=0),"",AC449/L449)</f>
        <v/>
      </c>
      <c r="AE449" s="55">
        <f>IF(OR(AC449="",N(R449)=0),"",L449/R449)</f>
        <v/>
      </c>
      <c r="AF449" s="100">
        <f>IF(OR(N(K449)=0,N(J449)+N(Q449)=0),"",K449-IF(N(J449)&gt;0,J449,Q449))</f>
        <v/>
      </c>
      <c r="AG449" s="99">
        <f>IF(B449="","",IFERROR(AVERAGEIFS('QUALITY CONTROL'!$M$5:$M$304,'QUALITY CONTROL'!$B$5:$B$304,A449),""))</f>
        <v/>
      </c>
      <c r="AH449" s="51">
        <f>IF(B449="","",DATE(YEAR(B449),MONTH(B449),1))</f>
        <v/>
      </c>
      <c r="AI449" s="49">
        <f>IF(D449="","",IFERROR(INDEX('CUSTOMERS'!$E$5:$E$404,MATCH(D449,'CUSTOMERS'!$B$5:$B$404,0)),""))</f>
        <v/>
      </c>
      <c r="AJ449" s="49">
        <f>IF(B449="","",N(C449))</f>
        <v/>
      </c>
      <c r="AK449" s="49">
        <f>IF(OR(B449="",O449="Cancelled",O449="Rescheduled"),"",B449&amp;"|"&amp;(COUNTIFS('JOBS'!$B$5:$B$1504,B449,'JOBS'!$AJ$5:$AJ$1504,"&lt;"&amp;AJ449,'JOBS'!$O$5:$O$1504,"&lt;&gt;Cancelled",'JOBS'!$O$5:$O$1504,"&lt;&gt;Rescheduled")+COUNTIFS($B$5:B449,B449,$AJ$5:AJ449,AJ449,$O$5:O449,"&lt;&gt;Cancelled",$O$5:O449,"&lt;&gt;Rescheduled")))</f>
        <v/>
      </c>
      <c r="AL449" s="49">
        <f>IF(N(U449)&lt;=0.005,"",COUNTIFS('JOBS'!$U$5:$U$1504,"&gt;0.005",'JOBS'!$B$5:$B$1504,"&lt;"&amp;B449)+COUNTIFS($U$5:U449,"&gt;0.005",$B$5:B449,B449))</f>
        <v/>
      </c>
    </row>
    <row r="450">
      <c r="A450" s="46" t="inlineStr">
        <is>
          <t>J-0446</t>
        </is>
      </c>
      <c r="B450" s="47" t="n"/>
      <c r="C450" s="94" t="n"/>
      <c r="D450" s="38" t="n"/>
      <c r="E450" s="38" t="n"/>
      <c r="F450" s="38" t="n"/>
      <c r="G450" s="38" t="n"/>
      <c r="H450" s="38" t="n"/>
      <c r="I450" s="57" t="n"/>
      <c r="J450" s="95" t="n"/>
      <c r="K450" s="95" t="n"/>
      <c r="L450" s="48" t="n"/>
      <c r="M450" s="96" t="n"/>
      <c r="N450" s="48" t="n"/>
      <c r="O450" s="38" t="n"/>
      <c r="P450" s="38" t="n"/>
      <c r="Q450" s="97">
        <f>IF(OR(F450="",E450=""),"",IFERROR(IF(INDEX('PROPERTIES'!$F$5:$F$404,MATCH(E450,'PROPERTIES'!$B$5:$B$404,0))=0,"",ROUND((INDEX('PROPERTIES'!$F$5:$F$404,MATCH(E450,'PROPERTIES'!$B$5:$B$404,0))/INDEX('PRICING'!$C$7:$C$16,MATCH(F450,'PRICING'!$A$7:$A$16,0))+INDEX('PROPERTIES'!$G$5:$G$404,MATCH(E450,'PROPERTIES'!$B$5:$B$404,0))*INDEX('PRICING'!$D$7:$D$16,MATCH(F450,'PRICING'!$A$7:$A$16,0))/60+INDEX('PROPERTIES'!$H$5:$H$404,MATCH(E450,'PROPERTIES'!$B$5:$B$404,0))*INDEX('PRICING'!$E$7:$E$16,MATCH(F450,'PRICING'!$A$7:$A$16,0))/60+INDEX('PRICING'!$F$7:$F$16,MATCH(F450,'PRICING'!$A$7:$A$16,0))/60),2)),""))</f>
        <v/>
      </c>
      <c r="R450" s="97">
        <f>IF(B450="","",IF(N(K450)&gt;0,K450,IF(N(J450)&gt;0,J450,N(Q450))))</f>
        <v/>
      </c>
      <c r="S450" s="55">
        <f>IF(L450="","",ROUND(L450*(1+N(M450)),2))</f>
        <v/>
      </c>
      <c r="T450" s="55">
        <f>IF(B450="","",SUMIFS('REVENUE'!$C$5:$C$1504,'REVENUE'!$B$5:$B$1504,A450))</f>
        <v/>
      </c>
      <c r="U450" s="55">
        <f>IF(B450="","",IF(O450="Completed",MAX(0,N(S450)-T450),""))</f>
        <v/>
      </c>
      <c r="V450" s="49">
        <f>IF(B450="","",IF(O450&lt;&gt;"Completed",IF(T450&gt;0,"Deposit","—"),IF(U450&lt;=0.005,"Paid",IF(T450&gt;0,"Partial","Unpaid"))))</f>
        <v/>
      </c>
      <c r="W450" s="55">
        <f>IF(B450="","",IFERROR(1/(1/INDEX('STAFF &amp; TASKS'!$C$5:$C$24,MATCH(H450,'STAFF &amp; TASKS'!$A$5:$A$24,0))),PayRate))</f>
        <v/>
      </c>
      <c r="X450" s="55">
        <f>IF(B450="","",IF(OR(O450="Cancelled",O450="No-Show"),"",ROUND(R450*W450*(1+Burden),2)))</f>
        <v/>
      </c>
      <c r="Y450" s="55">
        <f>IF(B450="","",IF(OR(O450="Cancelled",O450="No-Show"),"",IF(N450&lt;&gt;"",N450,ROUND(R450*SupHr*IFERROR(INDEX('PRICING'!$G$7:$G$16,MATCH(F450,'PRICING'!$A$7:$A$16,0)),1),2))))</f>
        <v/>
      </c>
      <c r="Z450" s="98">
        <f>IF(B450="","",SUMIFS('MILEAGE'!$J$5:$J$1504,'MILEAGE'!$B$5:$B$1504,A450))</f>
        <v/>
      </c>
      <c r="AA450" s="55">
        <f>IF(B450="","",ROUND(Z450*MileRate,2))</f>
        <v/>
      </c>
      <c r="AB450" s="55">
        <f>IF(B450="","",SUMIFS('REVENUE'!$J$5:$J$1504,'REVENUE'!$B$5:$B$1504,A450))</f>
        <v/>
      </c>
      <c r="AC450" s="55">
        <f>IF(L450="","",IF(OR(O450="Cancelled",O450="No-Show"),"",L450-N(X450)-N(Y450)-AA450-AB450))</f>
        <v/>
      </c>
      <c r="AD450" s="99">
        <f>IF(OR(AC450="",N(L450)=0),"",AC450/L450)</f>
        <v/>
      </c>
      <c r="AE450" s="55">
        <f>IF(OR(AC450="",N(R450)=0),"",L450/R450)</f>
        <v/>
      </c>
      <c r="AF450" s="100">
        <f>IF(OR(N(K450)=0,N(J450)+N(Q450)=0),"",K450-IF(N(J450)&gt;0,J450,Q450))</f>
        <v/>
      </c>
      <c r="AG450" s="99">
        <f>IF(B450="","",IFERROR(AVERAGEIFS('QUALITY CONTROL'!$M$5:$M$304,'QUALITY CONTROL'!$B$5:$B$304,A450),""))</f>
        <v/>
      </c>
      <c r="AH450" s="51">
        <f>IF(B450="","",DATE(YEAR(B450),MONTH(B450),1))</f>
        <v/>
      </c>
      <c r="AI450" s="49">
        <f>IF(D450="","",IFERROR(INDEX('CUSTOMERS'!$E$5:$E$404,MATCH(D450,'CUSTOMERS'!$B$5:$B$404,0)),""))</f>
        <v/>
      </c>
      <c r="AJ450" s="49">
        <f>IF(B450="","",N(C450))</f>
        <v/>
      </c>
      <c r="AK450" s="49">
        <f>IF(OR(B450="",O450="Cancelled",O450="Rescheduled"),"",B450&amp;"|"&amp;(COUNTIFS('JOBS'!$B$5:$B$1504,B450,'JOBS'!$AJ$5:$AJ$1504,"&lt;"&amp;AJ450,'JOBS'!$O$5:$O$1504,"&lt;&gt;Cancelled",'JOBS'!$O$5:$O$1504,"&lt;&gt;Rescheduled")+COUNTIFS($B$5:B450,B450,$AJ$5:AJ450,AJ450,$O$5:O450,"&lt;&gt;Cancelled",$O$5:O450,"&lt;&gt;Rescheduled")))</f>
        <v/>
      </c>
      <c r="AL450" s="49">
        <f>IF(N(U450)&lt;=0.005,"",COUNTIFS('JOBS'!$U$5:$U$1504,"&gt;0.005",'JOBS'!$B$5:$B$1504,"&lt;"&amp;B450)+COUNTIFS($U$5:U450,"&gt;0.005",$B$5:B450,B450))</f>
        <v/>
      </c>
    </row>
    <row r="451">
      <c r="A451" s="46" t="inlineStr">
        <is>
          <t>J-0447</t>
        </is>
      </c>
      <c r="B451" s="47" t="n"/>
      <c r="C451" s="94" t="n"/>
      <c r="D451" s="38" t="n"/>
      <c r="E451" s="38" t="n"/>
      <c r="F451" s="38" t="n"/>
      <c r="G451" s="38" t="n"/>
      <c r="H451" s="38" t="n"/>
      <c r="I451" s="57" t="n"/>
      <c r="J451" s="95" t="n"/>
      <c r="K451" s="95" t="n"/>
      <c r="L451" s="48" t="n"/>
      <c r="M451" s="96" t="n"/>
      <c r="N451" s="48" t="n"/>
      <c r="O451" s="38" t="n"/>
      <c r="P451" s="38" t="n"/>
      <c r="Q451" s="97">
        <f>IF(OR(F451="",E451=""),"",IFERROR(IF(INDEX('PROPERTIES'!$F$5:$F$404,MATCH(E451,'PROPERTIES'!$B$5:$B$404,0))=0,"",ROUND((INDEX('PROPERTIES'!$F$5:$F$404,MATCH(E451,'PROPERTIES'!$B$5:$B$404,0))/INDEX('PRICING'!$C$7:$C$16,MATCH(F451,'PRICING'!$A$7:$A$16,0))+INDEX('PROPERTIES'!$G$5:$G$404,MATCH(E451,'PROPERTIES'!$B$5:$B$404,0))*INDEX('PRICING'!$D$7:$D$16,MATCH(F451,'PRICING'!$A$7:$A$16,0))/60+INDEX('PROPERTIES'!$H$5:$H$404,MATCH(E451,'PROPERTIES'!$B$5:$B$404,0))*INDEX('PRICING'!$E$7:$E$16,MATCH(F451,'PRICING'!$A$7:$A$16,0))/60+INDEX('PRICING'!$F$7:$F$16,MATCH(F451,'PRICING'!$A$7:$A$16,0))/60),2)),""))</f>
        <v/>
      </c>
      <c r="R451" s="97">
        <f>IF(B451="","",IF(N(K451)&gt;0,K451,IF(N(J451)&gt;0,J451,N(Q451))))</f>
        <v/>
      </c>
      <c r="S451" s="55">
        <f>IF(L451="","",ROUND(L451*(1+N(M451)),2))</f>
        <v/>
      </c>
      <c r="T451" s="55">
        <f>IF(B451="","",SUMIFS('REVENUE'!$C$5:$C$1504,'REVENUE'!$B$5:$B$1504,A451))</f>
        <v/>
      </c>
      <c r="U451" s="55">
        <f>IF(B451="","",IF(O451="Completed",MAX(0,N(S451)-T451),""))</f>
        <v/>
      </c>
      <c r="V451" s="49">
        <f>IF(B451="","",IF(O451&lt;&gt;"Completed",IF(T451&gt;0,"Deposit","—"),IF(U451&lt;=0.005,"Paid",IF(T451&gt;0,"Partial","Unpaid"))))</f>
        <v/>
      </c>
      <c r="W451" s="55">
        <f>IF(B451="","",IFERROR(1/(1/INDEX('STAFF &amp; TASKS'!$C$5:$C$24,MATCH(H451,'STAFF &amp; TASKS'!$A$5:$A$24,0))),PayRate))</f>
        <v/>
      </c>
      <c r="X451" s="55">
        <f>IF(B451="","",IF(OR(O451="Cancelled",O451="No-Show"),"",ROUND(R451*W451*(1+Burden),2)))</f>
        <v/>
      </c>
      <c r="Y451" s="55">
        <f>IF(B451="","",IF(OR(O451="Cancelled",O451="No-Show"),"",IF(N451&lt;&gt;"",N451,ROUND(R451*SupHr*IFERROR(INDEX('PRICING'!$G$7:$G$16,MATCH(F451,'PRICING'!$A$7:$A$16,0)),1),2))))</f>
        <v/>
      </c>
      <c r="Z451" s="98">
        <f>IF(B451="","",SUMIFS('MILEAGE'!$J$5:$J$1504,'MILEAGE'!$B$5:$B$1504,A451))</f>
        <v/>
      </c>
      <c r="AA451" s="55">
        <f>IF(B451="","",ROUND(Z451*MileRate,2))</f>
        <v/>
      </c>
      <c r="AB451" s="55">
        <f>IF(B451="","",SUMIFS('REVENUE'!$J$5:$J$1504,'REVENUE'!$B$5:$B$1504,A451))</f>
        <v/>
      </c>
      <c r="AC451" s="55">
        <f>IF(L451="","",IF(OR(O451="Cancelled",O451="No-Show"),"",L451-N(X451)-N(Y451)-AA451-AB451))</f>
        <v/>
      </c>
      <c r="AD451" s="99">
        <f>IF(OR(AC451="",N(L451)=0),"",AC451/L451)</f>
        <v/>
      </c>
      <c r="AE451" s="55">
        <f>IF(OR(AC451="",N(R451)=0),"",L451/R451)</f>
        <v/>
      </c>
      <c r="AF451" s="100">
        <f>IF(OR(N(K451)=0,N(J451)+N(Q451)=0),"",K451-IF(N(J451)&gt;0,J451,Q451))</f>
        <v/>
      </c>
      <c r="AG451" s="99">
        <f>IF(B451="","",IFERROR(AVERAGEIFS('QUALITY CONTROL'!$M$5:$M$304,'QUALITY CONTROL'!$B$5:$B$304,A451),""))</f>
        <v/>
      </c>
      <c r="AH451" s="51">
        <f>IF(B451="","",DATE(YEAR(B451),MONTH(B451),1))</f>
        <v/>
      </c>
      <c r="AI451" s="49">
        <f>IF(D451="","",IFERROR(INDEX('CUSTOMERS'!$E$5:$E$404,MATCH(D451,'CUSTOMERS'!$B$5:$B$404,0)),""))</f>
        <v/>
      </c>
      <c r="AJ451" s="49">
        <f>IF(B451="","",N(C451))</f>
        <v/>
      </c>
      <c r="AK451" s="49">
        <f>IF(OR(B451="",O451="Cancelled",O451="Rescheduled"),"",B451&amp;"|"&amp;(COUNTIFS('JOBS'!$B$5:$B$1504,B451,'JOBS'!$AJ$5:$AJ$1504,"&lt;"&amp;AJ451,'JOBS'!$O$5:$O$1504,"&lt;&gt;Cancelled",'JOBS'!$O$5:$O$1504,"&lt;&gt;Rescheduled")+COUNTIFS($B$5:B451,B451,$AJ$5:AJ451,AJ451,$O$5:O451,"&lt;&gt;Cancelled",$O$5:O451,"&lt;&gt;Rescheduled")))</f>
        <v/>
      </c>
      <c r="AL451" s="49">
        <f>IF(N(U451)&lt;=0.005,"",COUNTIFS('JOBS'!$U$5:$U$1504,"&gt;0.005",'JOBS'!$B$5:$B$1504,"&lt;"&amp;B451)+COUNTIFS($U$5:U451,"&gt;0.005",$B$5:B451,B451))</f>
        <v/>
      </c>
    </row>
    <row r="452">
      <c r="A452" s="46" t="inlineStr">
        <is>
          <t>J-0448</t>
        </is>
      </c>
      <c r="B452" s="47" t="n"/>
      <c r="C452" s="94" t="n"/>
      <c r="D452" s="38" t="n"/>
      <c r="E452" s="38" t="n"/>
      <c r="F452" s="38" t="n"/>
      <c r="G452" s="38" t="n"/>
      <c r="H452" s="38" t="n"/>
      <c r="I452" s="57" t="n"/>
      <c r="J452" s="95" t="n"/>
      <c r="K452" s="95" t="n"/>
      <c r="L452" s="48" t="n"/>
      <c r="M452" s="96" t="n"/>
      <c r="N452" s="48" t="n"/>
      <c r="O452" s="38" t="n"/>
      <c r="P452" s="38" t="n"/>
      <c r="Q452" s="97">
        <f>IF(OR(F452="",E452=""),"",IFERROR(IF(INDEX('PROPERTIES'!$F$5:$F$404,MATCH(E452,'PROPERTIES'!$B$5:$B$404,0))=0,"",ROUND((INDEX('PROPERTIES'!$F$5:$F$404,MATCH(E452,'PROPERTIES'!$B$5:$B$404,0))/INDEX('PRICING'!$C$7:$C$16,MATCH(F452,'PRICING'!$A$7:$A$16,0))+INDEX('PROPERTIES'!$G$5:$G$404,MATCH(E452,'PROPERTIES'!$B$5:$B$404,0))*INDEX('PRICING'!$D$7:$D$16,MATCH(F452,'PRICING'!$A$7:$A$16,0))/60+INDEX('PROPERTIES'!$H$5:$H$404,MATCH(E452,'PROPERTIES'!$B$5:$B$404,0))*INDEX('PRICING'!$E$7:$E$16,MATCH(F452,'PRICING'!$A$7:$A$16,0))/60+INDEX('PRICING'!$F$7:$F$16,MATCH(F452,'PRICING'!$A$7:$A$16,0))/60),2)),""))</f>
        <v/>
      </c>
      <c r="R452" s="97">
        <f>IF(B452="","",IF(N(K452)&gt;0,K452,IF(N(J452)&gt;0,J452,N(Q452))))</f>
        <v/>
      </c>
      <c r="S452" s="55">
        <f>IF(L452="","",ROUND(L452*(1+N(M452)),2))</f>
        <v/>
      </c>
      <c r="T452" s="55">
        <f>IF(B452="","",SUMIFS('REVENUE'!$C$5:$C$1504,'REVENUE'!$B$5:$B$1504,A452))</f>
        <v/>
      </c>
      <c r="U452" s="55">
        <f>IF(B452="","",IF(O452="Completed",MAX(0,N(S452)-T452),""))</f>
        <v/>
      </c>
      <c r="V452" s="49">
        <f>IF(B452="","",IF(O452&lt;&gt;"Completed",IF(T452&gt;0,"Deposit","—"),IF(U452&lt;=0.005,"Paid",IF(T452&gt;0,"Partial","Unpaid"))))</f>
        <v/>
      </c>
      <c r="W452" s="55">
        <f>IF(B452="","",IFERROR(1/(1/INDEX('STAFF &amp; TASKS'!$C$5:$C$24,MATCH(H452,'STAFF &amp; TASKS'!$A$5:$A$24,0))),PayRate))</f>
        <v/>
      </c>
      <c r="X452" s="55">
        <f>IF(B452="","",IF(OR(O452="Cancelled",O452="No-Show"),"",ROUND(R452*W452*(1+Burden),2)))</f>
        <v/>
      </c>
      <c r="Y452" s="55">
        <f>IF(B452="","",IF(OR(O452="Cancelled",O452="No-Show"),"",IF(N452&lt;&gt;"",N452,ROUND(R452*SupHr*IFERROR(INDEX('PRICING'!$G$7:$G$16,MATCH(F452,'PRICING'!$A$7:$A$16,0)),1),2))))</f>
        <v/>
      </c>
      <c r="Z452" s="98">
        <f>IF(B452="","",SUMIFS('MILEAGE'!$J$5:$J$1504,'MILEAGE'!$B$5:$B$1504,A452))</f>
        <v/>
      </c>
      <c r="AA452" s="55">
        <f>IF(B452="","",ROUND(Z452*MileRate,2))</f>
        <v/>
      </c>
      <c r="AB452" s="55">
        <f>IF(B452="","",SUMIFS('REVENUE'!$J$5:$J$1504,'REVENUE'!$B$5:$B$1504,A452))</f>
        <v/>
      </c>
      <c r="AC452" s="55">
        <f>IF(L452="","",IF(OR(O452="Cancelled",O452="No-Show"),"",L452-N(X452)-N(Y452)-AA452-AB452))</f>
        <v/>
      </c>
      <c r="AD452" s="99">
        <f>IF(OR(AC452="",N(L452)=0),"",AC452/L452)</f>
        <v/>
      </c>
      <c r="AE452" s="55">
        <f>IF(OR(AC452="",N(R452)=0),"",L452/R452)</f>
        <v/>
      </c>
      <c r="AF452" s="100">
        <f>IF(OR(N(K452)=0,N(J452)+N(Q452)=0),"",K452-IF(N(J452)&gt;0,J452,Q452))</f>
        <v/>
      </c>
      <c r="AG452" s="99">
        <f>IF(B452="","",IFERROR(AVERAGEIFS('QUALITY CONTROL'!$M$5:$M$304,'QUALITY CONTROL'!$B$5:$B$304,A452),""))</f>
        <v/>
      </c>
      <c r="AH452" s="51">
        <f>IF(B452="","",DATE(YEAR(B452),MONTH(B452),1))</f>
        <v/>
      </c>
      <c r="AI452" s="49">
        <f>IF(D452="","",IFERROR(INDEX('CUSTOMERS'!$E$5:$E$404,MATCH(D452,'CUSTOMERS'!$B$5:$B$404,0)),""))</f>
        <v/>
      </c>
      <c r="AJ452" s="49">
        <f>IF(B452="","",N(C452))</f>
        <v/>
      </c>
      <c r="AK452" s="49">
        <f>IF(OR(B452="",O452="Cancelled",O452="Rescheduled"),"",B452&amp;"|"&amp;(COUNTIFS('JOBS'!$B$5:$B$1504,B452,'JOBS'!$AJ$5:$AJ$1504,"&lt;"&amp;AJ452,'JOBS'!$O$5:$O$1504,"&lt;&gt;Cancelled",'JOBS'!$O$5:$O$1504,"&lt;&gt;Rescheduled")+COUNTIFS($B$5:B452,B452,$AJ$5:AJ452,AJ452,$O$5:O452,"&lt;&gt;Cancelled",$O$5:O452,"&lt;&gt;Rescheduled")))</f>
        <v/>
      </c>
      <c r="AL452" s="49">
        <f>IF(N(U452)&lt;=0.005,"",COUNTIFS('JOBS'!$U$5:$U$1504,"&gt;0.005",'JOBS'!$B$5:$B$1504,"&lt;"&amp;B452)+COUNTIFS($U$5:U452,"&gt;0.005",$B$5:B452,B452))</f>
        <v/>
      </c>
    </row>
    <row r="453">
      <c r="A453" s="46" t="inlineStr">
        <is>
          <t>J-0449</t>
        </is>
      </c>
      <c r="B453" s="47" t="n"/>
      <c r="C453" s="94" t="n"/>
      <c r="D453" s="38" t="n"/>
      <c r="E453" s="38" t="n"/>
      <c r="F453" s="38" t="n"/>
      <c r="G453" s="38" t="n"/>
      <c r="H453" s="38" t="n"/>
      <c r="I453" s="57" t="n"/>
      <c r="J453" s="95" t="n"/>
      <c r="K453" s="95" t="n"/>
      <c r="L453" s="48" t="n"/>
      <c r="M453" s="96" t="n"/>
      <c r="N453" s="48" t="n"/>
      <c r="O453" s="38" t="n"/>
      <c r="P453" s="38" t="n"/>
      <c r="Q453" s="97">
        <f>IF(OR(F453="",E453=""),"",IFERROR(IF(INDEX('PROPERTIES'!$F$5:$F$404,MATCH(E453,'PROPERTIES'!$B$5:$B$404,0))=0,"",ROUND((INDEX('PROPERTIES'!$F$5:$F$404,MATCH(E453,'PROPERTIES'!$B$5:$B$404,0))/INDEX('PRICING'!$C$7:$C$16,MATCH(F453,'PRICING'!$A$7:$A$16,0))+INDEX('PROPERTIES'!$G$5:$G$404,MATCH(E453,'PROPERTIES'!$B$5:$B$404,0))*INDEX('PRICING'!$D$7:$D$16,MATCH(F453,'PRICING'!$A$7:$A$16,0))/60+INDEX('PROPERTIES'!$H$5:$H$404,MATCH(E453,'PROPERTIES'!$B$5:$B$404,0))*INDEX('PRICING'!$E$7:$E$16,MATCH(F453,'PRICING'!$A$7:$A$16,0))/60+INDEX('PRICING'!$F$7:$F$16,MATCH(F453,'PRICING'!$A$7:$A$16,0))/60),2)),""))</f>
        <v/>
      </c>
      <c r="R453" s="97">
        <f>IF(B453="","",IF(N(K453)&gt;0,K453,IF(N(J453)&gt;0,J453,N(Q453))))</f>
        <v/>
      </c>
      <c r="S453" s="55">
        <f>IF(L453="","",ROUND(L453*(1+N(M453)),2))</f>
        <v/>
      </c>
      <c r="T453" s="55">
        <f>IF(B453="","",SUMIFS('REVENUE'!$C$5:$C$1504,'REVENUE'!$B$5:$B$1504,A453))</f>
        <v/>
      </c>
      <c r="U453" s="55">
        <f>IF(B453="","",IF(O453="Completed",MAX(0,N(S453)-T453),""))</f>
        <v/>
      </c>
      <c r="V453" s="49">
        <f>IF(B453="","",IF(O453&lt;&gt;"Completed",IF(T453&gt;0,"Deposit","—"),IF(U453&lt;=0.005,"Paid",IF(T453&gt;0,"Partial","Unpaid"))))</f>
        <v/>
      </c>
      <c r="W453" s="55">
        <f>IF(B453="","",IFERROR(1/(1/INDEX('STAFF &amp; TASKS'!$C$5:$C$24,MATCH(H453,'STAFF &amp; TASKS'!$A$5:$A$24,0))),PayRate))</f>
        <v/>
      </c>
      <c r="X453" s="55">
        <f>IF(B453="","",IF(OR(O453="Cancelled",O453="No-Show"),"",ROUND(R453*W453*(1+Burden),2)))</f>
        <v/>
      </c>
      <c r="Y453" s="55">
        <f>IF(B453="","",IF(OR(O453="Cancelled",O453="No-Show"),"",IF(N453&lt;&gt;"",N453,ROUND(R453*SupHr*IFERROR(INDEX('PRICING'!$G$7:$G$16,MATCH(F453,'PRICING'!$A$7:$A$16,0)),1),2))))</f>
        <v/>
      </c>
      <c r="Z453" s="98">
        <f>IF(B453="","",SUMIFS('MILEAGE'!$J$5:$J$1504,'MILEAGE'!$B$5:$B$1504,A453))</f>
        <v/>
      </c>
      <c r="AA453" s="55">
        <f>IF(B453="","",ROUND(Z453*MileRate,2))</f>
        <v/>
      </c>
      <c r="AB453" s="55">
        <f>IF(B453="","",SUMIFS('REVENUE'!$J$5:$J$1504,'REVENUE'!$B$5:$B$1504,A453))</f>
        <v/>
      </c>
      <c r="AC453" s="55">
        <f>IF(L453="","",IF(OR(O453="Cancelled",O453="No-Show"),"",L453-N(X453)-N(Y453)-AA453-AB453))</f>
        <v/>
      </c>
      <c r="AD453" s="99">
        <f>IF(OR(AC453="",N(L453)=0),"",AC453/L453)</f>
        <v/>
      </c>
      <c r="AE453" s="55">
        <f>IF(OR(AC453="",N(R453)=0),"",L453/R453)</f>
        <v/>
      </c>
      <c r="AF453" s="100">
        <f>IF(OR(N(K453)=0,N(J453)+N(Q453)=0),"",K453-IF(N(J453)&gt;0,J453,Q453))</f>
        <v/>
      </c>
      <c r="AG453" s="99">
        <f>IF(B453="","",IFERROR(AVERAGEIFS('QUALITY CONTROL'!$M$5:$M$304,'QUALITY CONTROL'!$B$5:$B$304,A453),""))</f>
        <v/>
      </c>
      <c r="AH453" s="51">
        <f>IF(B453="","",DATE(YEAR(B453),MONTH(B453),1))</f>
        <v/>
      </c>
      <c r="AI453" s="49">
        <f>IF(D453="","",IFERROR(INDEX('CUSTOMERS'!$E$5:$E$404,MATCH(D453,'CUSTOMERS'!$B$5:$B$404,0)),""))</f>
        <v/>
      </c>
      <c r="AJ453" s="49">
        <f>IF(B453="","",N(C453))</f>
        <v/>
      </c>
      <c r="AK453" s="49">
        <f>IF(OR(B453="",O453="Cancelled",O453="Rescheduled"),"",B453&amp;"|"&amp;(COUNTIFS('JOBS'!$B$5:$B$1504,B453,'JOBS'!$AJ$5:$AJ$1504,"&lt;"&amp;AJ453,'JOBS'!$O$5:$O$1504,"&lt;&gt;Cancelled",'JOBS'!$O$5:$O$1504,"&lt;&gt;Rescheduled")+COUNTIFS($B$5:B453,B453,$AJ$5:AJ453,AJ453,$O$5:O453,"&lt;&gt;Cancelled",$O$5:O453,"&lt;&gt;Rescheduled")))</f>
        <v/>
      </c>
      <c r="AL453" s="49">
        <f>IF(N(U453)&lt;=0.005,"",COUNTIFS('JOBS'!$U$5:$U$1504,"&gt;0.005",'JOBS'!$B$5:$B$1504,"&lt;"&amp;B453)+COUNTIFS($U$5:U453,"&gt;0.005",$B$5:B453,B453))</f>
        <v/>
      </c>
    </row>
    <row r="454">
      <c r="A454" s="46" t="inlineStr">
        <is>
          <t>J-0450</t>
        </is>
      </c>
      <c r="B454" s="47" t="n"/>
      <c r="C454" s="94" t="n"/>
      <c r="D454" s="38" t="n"/>
      <c r="E454" s="38" t="n"/>
      <c r="F454" s="38" t="n"/>
      <c r="G454" s="38" t="n"/>
      <c r="H454" s="38" t="n"/>
      <c r="I454" s="57" t="n"/>
      <c r="J454" s="95" t="n"/>
      <c r="K454" s="95" t="n"/>
      <c r="L454" s="48" t="n"/>
      <c r="M454" s="96" t="n"/>
      <c r="N454" s="48" t="n"/>
      <c r="O454" s="38" t="n"/>
      <c r="P454" s="38" t="n"/>
      <c r="Q454" s="97">
        <f>IF(OR(F454="",E454=""),"",IFERROR(IF(INDEX('PROPERTIES'!$F$5:$F$404,MATCH(E454,'PROPERTIES'!$B$5:$B$404,0))=0,"",ROUND((INDEX('PROPERTIES'!$F$5:$F$404,MATCH(E454,'PROPERTIES'!$B$5:$B$404,0))/INDEX('PRICING'!$C$7:$C$16,MATCH(F454,'PRICING'!$A$7:$A$16,0))+INDEX('PROPERTIES'!$G$5:$G$404,MATCH(E454,'PROPERTIES'!$B$5:$B$404,0))*INDEX('PRICING'!$D$7:$D$16,MATCH(F454,'PRICING'!$A$7:$A$16,0))/60+INDEX('PROPERTIES'!$H$5:$H$404,MATCH(E454,'PROPERTIES'!$B$5:$B$404,0))*INDEX('PRICING'!$E$7:$E$16,MATCH(F454,'PRICING'!$A$7:$A$16,0))/60+INDEX('PRICING'!$F$7:$F$16,MATCH(F454,'PRICING'!$A$7:$A$16,0))/60),2)),""))</f>
        <v/>
      </c>
      <c r="R454" s="97">
        <f>IF(B454="","",IF(N(K454)&gt;0,K454,IF(N(J454)&gt;0,J454,N(Q454))))</f>
        <v/>
      </c>
      <c r="S454" s="55">
        <f>IF(L454="","",ROUND(L454*(1+N(M454)),2))</f>
        <v/>
      </c>
      <c r="T454" s="55">
        <f>IF(B454="","",SUMIFS('REVENUE'!$C$5:$C$1504,'REVENUE'!$B$5:$B$1504,A454))</f>
        <v/>
      </c>
      <c r="U454" s="55">
        <f>IF(B454="","",IF(O454="Completed",MAX(0,N(S454)-T454),""))</f>
        <v/>
      </c>
      <c r="V454" s="49">
        <f>IF(B454="","",IF(O454&lt;&gt;"Completed",IF(T454&gt;0,"Deposit","—"),IF(U454&lt;=0.005,"Paid",IF(T454&gt;0,"Partial","Unpaid"))))</f>
        <v/>
      </c>
      <c r="W454" s="55">
        <f>IF(B454="","",IFERROR(1/(1/INDEX('STAFF &amp; TASKS'!$C$5:$C$24,MATCH(H454,'STAFF &amp; TASKS'!$A$5:$A$24,0))),PayRate))</f>
        <v/>
      </c>
      <c r="X454" s="55">
        <f>IF(B454="","",IF(OR(O454="Cancelled",O454="No-Show"),"",ROUND(R454*W454*(1+Burden),2)))</f>
        <v/>
      </c>
      <c r="Y454" s="55">
        <f>IF(B454="","",IF(OR(O454="Cancelled",O454="No-Show"),"",IF(N454&lt;&gt;"",N454,ROUND(R454*SupHr*IFERROR(INDEX('PRICING'!$G$7:$G$16,MATCH(F454,'PRICING'!$A$7:$A$16,0)),1),2))))</f>
        <v/>
      </c>
      <c r="Z454" s="98">
        <f>IF(B454="","",SUMIFS('MILEAGE'!$J$5:$J$1504,'MILEAGE'!$B$5:$B$1504,A454))</f>
        <v/>
      </c>
      <c r="AA454" s="55">
        <f>IF(B454="","",ROUND(Z454*MileRate,2))</f>
        <v/>
      </c>
      <c r="AB454" s="55">
        <f>IF(B454="","",SUMIFS('REVENUE'!$J$5:$J$1504,'REVENUE'!$B$5:$B$1504,A454))</f>
        <v/>
      </c>
      <c r="AC454" s="55">
        <f>IF(L454="","",IF(OR(O454="Cancelled",O454="No-Show"),"",L454-N(X454)-N(Y454)-AA454-AB454))</f>
        <v/>
      </c>
      <c r="AD454" s="99">
        <f>IF(OR(AC454="",N(L454)=0),"",AC454/L454)</f>
        <v/>
      </c>
      <c r="AE454" s="55">
        <f>IF(OR(AC454="",N(R454)=0),"",L454/R454)</f>
        <v/>
      </c>
      <c r="AF454" s="100">
        <f>IF(OR(N(K454)=0,N(J454)+N(Q454)=0),"",K454-IF(N(J454)&gt;0,J454,Q454))</f>
        <v/>
      </c>
      <c r="AG454" s="99">
        <f>IF(B454="","",IFERROR(AVERAGEIFS('QUALITY CONTROL'!$M$5:$M$304,'QUALITY CONTROL'!$B$5:$B$304,A454),""))</f>
        <v/>
      </c>
      <c r="AH454" s="51">
        <f>IF(B454="","",DATE(YEAR(B454),MONTH(B454),1))</f>
        <v/>
      </c>
      <c r="AI454" s="49">
        <f>IF(D454="","",IFERROR(INDEX('CUSTOMERS'!$E$5:$E$404,MATCH(D454,'CUSTOMERS'!$B$5:$B$404,0)),""))</f>
        <v/>
      </c>
      <c r="AJ454" s="49">
        <f>IF(B454="","",N(C454))</f>
        <v/>
      </c>
      <c r="AK454" s="49">
        <f>IF(OR(B454="",O454="Cancelled",O454="Rescheduled"),"",B454&amp;"|"&amp;(COUNTIFS('JOBS'!$B$5:$B$1504,B454,'JOBS'!$AJ$5:$AJ$1504,"&lt;"&amp;AJ454,'JOBS'!$O$5:$O$1504,"&lt;&gt;Cancelled",'JOBS'!$O$5:$O$1504,"&lt;&gt;Rescheduled")+COUNTIFS($B$5:B454,B454,$AJ$5:AJ454,AJ454,$O$5:O454,"&lt;&gt;Cancelled",$O$5:O454,"&lt;&gt;Rescheduled")))</f>
        <v/>
      </c>
      <c r="AL454" s="49">
        <f>IF(N(U454)&lt;=0.005,"",COUNTIFS('JOBS'!$U$5:$U$1504,"&gt;0.005",'JOBS'!$B$5:$B$1504,"&lt;"&amp;B454)+COUNTIFS($U$5:U454,"&gt;0.005",$B$5:B454,B454))</f>
        <v/>
      </c>
    </row>
    <row r="455">
      <c r="A455" s="46" t="inlineStr">
        <is>
          <t>J-0451</t>
        </is>
      </c>
      <c r="B455" s="47" t="n"/>
      <c r="C455" s="94" t="n"/>
      <c r="D455" s="38" t="n"/>
      <c r="E455" s="38" t="n"/>
      <c r="F455" s="38" t="n"/>
      <c r="G455" s="38" t="n"/>
      <c r="H455" s="38" t="n"/>
      <c r="I455" s="57" t="n"/>
      <c r="J455" s="95" t="n"/>
      <c r="K455" s="95" t="n"/>
      <c r="L455" s="48" t="n"/>
      <c r="M455" s="96" t="n"/>
      <c r="N455" s="48" t="n"/>
      <c r="O455" s="38" t="n"/>
      <c r="P455" s="38" t="n"/>
      <c r="Q455" s="97">
        <f>IF(OR(F455="",E455=""),"",IFERROR(IF(INDEX('PROPERTIES'!$F$5:$F$404,MATCH(E455,'PROPERTIES'!$B$5:$B$404,0))=0,"",ROUND((INDEX('PROPERTIES'!$F$5:$F$404,MATCH(E455,'PROPERTIES'!$B$5:$B$404,0))/INDEX('PRICING'!$C$7:$C$16,MATCH(F455,'PRICING'!$A$7:$A$16,0))+INDEX('PROPERTIES'!$G$5:$G$404,MATCH(E455,'PROPERTIES'!$B$5:$B$404,0))*INDEX('PRICING'!$D$7:$D$16,MATCH(F455,'PRICING'!$A$7:$A$16,0))/60+INDEX('PROPERTIES'!$H$5:$H$404,MATCH(E455,'PROPERTIES'!$B$5:$B$404,0))*INDEX('PRICING'!$E$7:$E$16,MATCH(F455,'PRICING'!$A$7:$A$16,0))/60+INDEX('PRICING'!$F$7:$F$16,MATCH(F455,'PRICING'!$A$7:$A$16,0))/60),2)),""))</f>
        <v/>
      </c>
      <c r="R455" s="97">
        <f>IF(B455="","",IF(N(K455)&gt;0,K455,IF(N(J455)&gt;0,J455,N(Q455))))</f>
        <v/>
      </c>
      <c r="S455" s="55">
        <f>IF(L455="","",ROUND(L455*(1+N(M455)),2))</f>
        <v/>
      </c>
      <c r="T455" s="55">
        <f>IF(B455="","",SUMIFS('REVENUE'!$C$5:$C$1504,'REVENUE'!$B$5:$B$1504,A455))</f>
        <v/>
      </c>
      <c r="U455" s="55">
        <f>IF(B455="","",IF(O455="Completed",MAX(0,N(S455)-T455),""))</f>
        <v/>
      </c>
      <c r="V455" s="49">
        <f>IF(B455="","",IF(O455&lt;&gt;"Completed",IF(T455&gt;0,"Deposit","—"),IF(U455&lt;=0.005,"Paid",IF(T455&gt;0,"Partial","Unpaid"))))</f>
        <v/>
      </c>
      <c r="W455" s="55">
        <f>IF(B455="","",IFERROR(1/(1/INDEX('STAFF &amp; TASKS'!$C$5:$C$24,MATCH(H455,'STAFF &amp; TASKS'!$A$5:$A$24,0))),PayRate))</f>
        <v/>
      </c>
      <c r="X455" s="55">
        <f>IF(B455="","",IF(OR(O455="Cancelled",O455="No-Show"),"",ROUND(R455*W455*(1+Burden),2)))</f>
        <v/>
      </c>
      <c r="Y455" s="55">
        <f>IF(B455="","",IF(OR(O455="Cancelled",O455="No-Show"),"",IF(N455&lt;&gt;"",N455,ROUND(R455*SupHr*IFERROR(INDEX('PRICING'!$G$7:$G$16,MATCH(F455,'PRICING'!$A$7:$A$16,0)),1),2))))</f>
        <v/>
      </c>
      <c r="Z455" s="98">
        <f>IF(B455="","",SUMIFS('MILEAGE'!$J$5:$J$1504,'MILEAGE'!$B$5:$B$1504,A455))</f>
        <v/>
      </c>
      <c r="AA455" s="55">
        <f>IF(B455="","",ROUND(Z455*MileRate,2))</f>
        <v/>
      </c>
      <c r="AB455" s="55">
        <f>IF(B455="","",SUMIFS('REVENUE'!$J$5:$J$1504,'REVENUE'!$B$5:$B$1504,A455))</f>
        <v/>
      </c>
      <c r="AC455" s="55">
        <f>IF(L455="","",IF(OR(O455="Cancelled",O455="No-Show"),"",L455-N(X455)-N(Y455)-AA455-AB455))</f>
        <v/>
      </c>
      <c r="AD455" s="99">
        <f>IF(OR(AC455="",N(L455)=0),"",AC455/L455)</f>
        <v/>
      </c>
      <c r="AE455" s="55">
        <f>IF(OR(AC455="",N(R455)=0),"",L455/R455)</f>
        <v/>
      </c>
      <c r="AF455" s="100">
        <f>IF(OR(N(K455)=0,N(J455)+N(Q455)=0),"",K455-IF(N(J455)&gt;0,J455,Q455))</f>
        <v/>
      </c>
      <c r="AG455" s="99">
        <f>IF(B455="","",IFERROR(AVERAGEIFS('QUALITY CONTROL'!$M$5:$M$304,'QUALITY CONTROL'!$B$5:$B$304,A455),""))</f>
        <v/>
      </c>
      <c r="AH455" s="51">
        <f>IF(B455="","",DATE(YEAR(B455),MONTH(B455),1))</f>
        <v/>
      </c>
      <c r="AI455" s="49">
        <f>IF(D455="","",IFERROR(INDEX('CUSTOMERS'!$E$5:$E$404,MATCH(D455,'CUSTOMERS'!$B$5:$B$404,0)),""))</f>
        <v/>
      </c>
      <c r="AJ455" s="49">
        <f>IF(B455="","",N(C455))</f>
        <v/>
      </c>
      <c r="AK455" s="49">
        <f>IF(OR(B455="",O455="Cancelled",O455="Rescheduled"),"",B455&amp;"|"&amp;(COUNTIFS('JOBS'!$B$5:$B$1504,B455,'JOBS'!$AJ$5:$AJ$1504,"&lt;"&amp;AJ455,'JOBS'!$O$5:$O$1504,"&lt;&gt;Cancelled",'JOBS'!$O$5:$O$1504,"&lt;&gt;Rescheduled")+COUNTIFS($B$5:B455,B455,$AJ$5:AJ455,AJ455,$O$5:O455,"&lt;&gt;Cancelled",$O$5:O455,"&lt;&gt;Rescheduled")))</f>
        <v/>
      </c>
      <c r="AL455" s="49">
        <f>IF(N(U455)&lt;=0.005,"",COUNTIFS('JOBS'!$U$5:$U$1504,"&gt;0.005",'JOBS'!$B$5:$B$1504,"&lt;"&amp;B455)+COUNTIFS($U$5:U455,"&gt;0.005",$B$5:B455,B455))</f>
        <v/>
      </c>
    </row>
    <row r="456">
      <c r="A456" s="46" t="inlineStr">
        <is>
          <t>J-0452</t>
        </is>
      </c>
      <c r="B456" s="47" t="n"/>
      <c r="C456" s="94" t="n"/>
      <c r="D456" s="38" t="n"/>
      <c r="E456" s="38" t="n"/>
      <c r="F456" s="38" t="n"/>
      <c r="G456" s="38" t="n"/>
      <c r="H456" s="38" t="n"/>
      <c r="I456" s="57" t="n"/>
      <c r="J456" s="95" t="n"/>
      <c r="K456" s="95" t="n"/>
      <c r="L456" s="48" t="n"/>
      <c r="M456" s="96" t="n"/>
      <c r="N456" s="48" t="n"/>
      <c r="O456" s="38" t="n"/>
      <c r="P456" s="38" t="n"/>
      <c r="Q456" s="97">
        <f>IF(OR(F456="",E456=""),"",IFERROR(IF(INDEX('PROPERTIES'!$F$5:$F$404,MATCH(E456,'PROPERTIES'!$B$5:$B$404,0))=0,"",ROUND((INDEX('PROPERTIES'!$F$5:$F$404,MATCH(E456,'PROPERTIES'!$B$5:$B$404,0))/INDEX('PRICING'!$C$7:$C$16,MATCH(F456,'PRICING'!$A$7:$A$16,0))+INDEX('PROPERTIES'!$G$5:$G$404,MATCH(E456,'PROPERTIES'!$B$5:$B$404,0))*INDEX('PRICING'!$D$7:$D$16,MATCH(F456,'PRICING'!$A$7:$A$16,0))/60+INDEX('PROPERTIES'!$H$5:$H$404,MATCH(E456,'PROPERTIES'!$B$5:$B$404,0))*INDEX('PRICING'!$E$7:$E$16,MATCH(F456,'PRICING'!$A$7:$A$16,0))/60+INDEX('PRICING'!$F$7:$F$16,MATCH(F456,'PRICING'!$A$7:$A$16,0))/60),2)),""))</f>
        <v/>
      </c>
      <c r="R456" s="97">
        <f>IF(B456="","",IF(N(K456)&gt;0,K456,IF(N(J456)&gt;0,J456,N(Q456))))</f>
        <v/>
      </c>
      <c r="S456" s="55">
        <f>IF(L456="","",ROUND(L456*(1+N(M456)),2))</f>
        <v/>
      </c>
      <c r="T456" s="55">
        <f>IF(B456="","",SUMIFS('REVENUE'!$C$5:$C$1504,'REVENUE'!$B$5:$B$1504,A456))</f>
        <v/>
      </c>
      <c r="U456" s="55">
        <f>IF(B456="","",IF(O456="Completed",MAX(0,N(S456)-T456),""))</f>
        <v/>
      </c>
      <c r="V456" s="49">
        <f>IF(B456="","",IF(O456&lt;&gt;"Completed",IF(T456&gt;0,"Deposit","—"),IF(U456&lt;=0.005,"Paid",IF(T456&gt;0,"Partial","Unpaid"))))</f>
        <v/>
      </c>
      <c r="W456" s="55">
        <f>IF(B456="","",IFERROR(1/(1/INDEX('STAFF &amp; TASKS'!$C$5:$C$24,MATCH(H456,'STAFF &amp; TASKS'!$A$5:$A$24,0))),PayRate))</f>
        <v/>
      </c>
      <c r="X456" s="55">
        <f>IF(B456="","",IF(OR(O456="Cancelled",O456="No-Show"),"",ROUND(R456*W456*(1+Burden),2)))</f>
        <v/>
      </c>
      <c r="Y456" s="55">
        <f>IF(B456="","",IF(OR(O456="Cancelled",O456="No-Show"),"",IF(N456&lt;&gt;"",N456,ROUND(R456*SupHr*IFERROR(INDEX('PRICING'!$G$7:$G$16,MATCH(F456,'PRICING'!$A$7:$A$16,0)),1),2))))</f>
        <v/>
      </c>
      <c r="Z456" s="98">
        <f>IF(B456="","",SUMIFS('MILEAGE'!$J$5:$J$1504,'MILEAGE'!$B$5:$B$1504,A456))</f>
        <v/>
      </c>
      <c r="AA456" s="55">
        <f>IF(B456="","",ROUND(Z456*MileRate,2))</f>
        <v/>
      </c>
      <c r="AB456" s="55">
        <f>IF(B456="","",SUMIFS('REVENUE'!$J$5:$J$1504,'REVENUE'!$B$5:$B$1504,A456))</f>
        <v/>
      </c>
      <c r="AC456" s="55">
        <f>IF(L456="","",IF(OR(O456="Cancelled",O456="No-Show"),"",L456-N(X456)-N(Y456)-AA456-AB456))</f>
        <v/>
      </c>
      <c r="AD456" s="99">
        <f>IF(OR(AC456="",N(L456)=0),"",AC456/L456)</f>
        <v/>
      </c>
      <c r="AE456" s="55">
        <f>IF(OR(AC456="",N(R456)=0),"",L456/R456)</f>
        <v/>
      </c>
      <c r="AF456" s="100">
        <f>IF(OR(N(K456)=0,N(J456)+N(Q456)=0),"",K456-IF(N(J456)&gt;0,J456,Q456))</f>
        <v/>
      </c>
      <c r="AG456" s="99">
        <f>IF(B456="","",IFERROR(AVERAGEIFS('QUALITY CONTROL'!$M$5:$M$304,'QUALITY CONTROL'!$B$5:$B$304,A456),""))</f>
        <v/>
      </c>
      <c r="AH456" s="51">
        <f>IF(B456="","",DATE(YEAR(B456),MONTH(B456),1))</f>
        <v/>
      </c>
      <c r="AI456" s="49">
        <f>IF(D456="","",IFERROR(INDEX('CUSTOMERS'!$E$5:$E$404,MATCH(D456,'CUSTOMERS'!$B$5:$B$404,0)),""))</f>
        <v/>
      </c>
      <c r="AJ456" s="49">
        <f>IF(B456="","",N(C456))</f>
        <v/>
      </c>
      <c r="AK456" s="49">
        <f>IF(OR(B456="",O456="Cancelled",O456="Rescheduled"),"",B456&amp;"|"&amp;(COUNTIFS('JOBS'!$B$5:$B$1504,B456,'JOBS'!$AJ$5:$AJ$1504,"&lt;"&amp;AJ456,'JOBS'!$O$5:$O$1504,"&lt;&gt;Cancelled",'JOBS'!$O$5:$O$1504,"&lt;&gt;Rescheduled")+COUNTIFS($B$5:B456,B456,$AJ$5:AJ456,AJ456,$O$5:O456,"&lt;&gt;Cancelled",$O$5:O456,"&lt;&gt;Rescheduled")))</f>
        <v/>
      </c>
      <c r="AL456" s="49">
        <f>IF(N(U456)&lt;=0.005,"",COUNTIFS('JOBS'!$U$5:$U$1504,"&gt;0.005",'JOBS'!$B$5:$B$1504,"&lt;"&amp;B456)+COUNTIFS($U$5:U456,"&gt;0.005",$B$5:B456,B456))</f>
        <v/>
      </c>
    </row>
    <row r="457">
      <c r="A457" s="46" t="inlineStr">
        <is>
          <t>J-0453</t>
        </is>
      </c>
      <c r="B457" s="47" t="n"/>
      <c r="C457" s="94" t="n"/>
      <c r="D457" s="38" t="n"/>
      <c r="E457" s="38" t="n"/>
      <c r="F457" s="38" t="n"/>
      <c r="G457" s="38" t="n"/>
      <c r="H457" s="38" t="n"/>
      <c r="I457" s="57" t="n"/>
      <c r="J457" s="95" t="n"/>
      <c r="K457" s="95" t="n"/>
      <c r="L457" s="48" t="n"/>
      <c r="M457" s="96" t="n"/>
      <c r="N457" s="48" t="n"/>
      <c r="O457" s="38" t="n"/>
      <c r="P457" s="38" t="n"/>
      <c r="Q457" s="97">
        <f>IF(OR(F457="",E457=""),"",IFERROR(IF(INDEX('PROPERTIES'!$F$5:$F$404,MATCH(E457,'PROPERTIES'!$B$5:$B$404,0))=0,"",ROUND((INDEX('PROPERTIES'!$F$5:$F$404,MATCH(E457,'PROPERTIES'!$B$5:$B$404,0))/INDEX('PRICING'!$C$7:$C$16,MATCH(F457,'PRICING'!$A$7:$A$16,0))+INDEX('PROPERTIES'!$G$5:$G$404,MATCH(E457,'PROPERTIES'!$B$5:$B$404,0))*INDEX('PRICING'!$D$7:$D$16,MATCH(F457,'PRICING'!$A$7:$A$16,0))/60+INDEX('PROPERTIES'!$H$5:$H$404,MATCH(E457,'PROPERTIES'!$B$5:$B$404,0))*INDEX('PRICING'!$E$7:$E$16,MATCH(F457,'PRICING'!$A$7:$A$16,0))/60+INDEX('PRICING'!$F$7:$F$16,MATCH(F457,'PRICING'!$A$7:$A$16,0))/60),2)),""))</f>
        <v/>
      </c>
      <c r="R457" s="97">
        <f>IF(B457="","",IF(N(K457)&gt;0,K457,IF(N(J457)&gt;0,J457,N(Q457))))</f>
        <v/>
      </c>
      <c r="S457" s="55">
        <f>IF(L457="","",ROUND(L457*(1+N(M457)),2))</f>
        <v/>
      </c>
      <c r="T457" s="55">
        <f>IF(B457="","",SUMIFS('REVENUE'!$C$5:$C$1504,'REVENUE'!$B$5:$B$1504,A457))</f>
        <v/>
      </c>
      <c r="U457" s="55">
        <f>IF(B457="","",IF(O457="Completed",MAX(0,N(S457)-T457),""))</f>
        <v/>
      </c>
      <c r="V457" s="49">
        <f>IF(B457="","",IF(O457&lt;&gt;"Completed",IF(T457&gt;0,"Deposit","—"),IF(U457&lt;=0.005,"Paid",IF(T457&gt;0,"Partial","Unpaid"))))</f>
        <v/>
      </c>
      <c r="W457" s="55">
        <f>IF(B457="","",IFERROR(1/(1/INDEX('STAFF &amp; TASKS'!$C$5:$C$24,MATCH(H457,'STAFF &amp; TASKS'!$A$5:$A$24,0))),PayRate))</f>
        <v/>
      </c>
      <c r="X457" s="55">
        <f>IF(B457="","",IF(OR(O457="Cancelled",O457="No-Show"),"",ROUND(R457*W457*(1+Burden),2)))</f>
        <v/>
      </c>
      <c r="Y457" s="55">
        <f>IF(B457="","",IF(OR(O457="Cancelled",O457="No-Show"),"",IF(N457&lt;&gt;"",N457,ROUND(R457*SupHr*IFERROR(INDEX('PRICING'!$G$7:$G$16,MATCH(F457,'PRICING'!$A$7:$A$16,0)),1),2))))</f>
        <v/>
      </c>
      <c r="Z457" s="98">
        <f>IF(B457="","",SUMIFS('MILEAGE'!$J$5:$J$1504,'MILEAGE'!$B$5:$B$1504,A457))</f>
        <v/>
      </c>
      <c r="AA457" s="55">
        <f>IF(B457="","",ROUND(Z457*MileRate,2))</f>
        <v/>
      </c>
      <c r="AB457" s="55">
        <f>IF(B457="","",SUMIFS('REVENUE'!$J$5:$J$1504,'REVENUE'!$B$5:$B$1504,A457))</f>
        <v/>
      </c>
      <c r="AC457" s="55">
        <f>IF(L457="","",IF(OR(O457="Cancelled",O457="No-Show"),"",L457-N(X457)-N(Y457)-AA457-AB457))</f>
        <v/>
      </c>
      <c r="AD457" s="99">
        <f>IF(OR(AC457="",N(L457)=0),"",AC457/L457)</f>
        <v/>
      </c>
      <c r="AE457" s="55">
        <f>IF(OR(AC457="",N(R457)=0),"",L457/R457)</f>
        <v/>
      </c>
      <c r="AF457" s="100">
        <f>IF(OR(N(K457)=0,N(J457)+N(Q457)=0),"",K457-IF(N(J457)&gt;0,J457,Q457))</f>
        <v/>
      </c>
      <c r="AG457" s="99">
        <f>IF(B457="","",IFERROR(AVERAGEIFS('QUALITY CONTROL'!$M$5:$M$304,'QUALITY CONTROL'!$B$5:$B$304,A457),""))</f>
        <v/>
      </c>
      <c r="AH457" s="51">
        <f>IF(B457="","",DATE(YEAR(B457),MONTH(B457),1))</f>
        <v/>
      </c>
      <c r="AI457" s="49">
        <f>IF(D457="","",IFERROR(INDEX('CUSTOMERS'!$E$5:$E$404,MATCH(D457,'CUSTOMERS'!$B$5:$B$404,0)),""))</f>
        <v/>
      </c>
      <c r="AJ457" s="49">
        <f>IF(B457="","",N(C457))</f>
        <v/>
      </c>
      <c r="AK457" s="49">
        <f>IF(OR(B457="",O457="Cancelled",O457="Rescheduled"),"",B457&amp;"|"&amp;(COUNTIFS('JOBS'!$B$5:$B$1504,B457,'JOBS'!$AJ$5:$AJ$1504,"&lt;"&amp;AJ457,'JOBS'!$O$5:$O$1504,"&lt;&gt;Cancelled",'JOBS'!$O$5:$O$1504,"&lt;&gt;Rescheduled")+COUNTIFS($B$5:B457,B457,$AJ$5:AJ457,AJ457,$O$5:O457,"&lt;&gt;Cancelled",$O$5:O457,"&lt;&gt;Rescheduled")))</f>
        <v/>
      </c>
      <c r="AL457" s="49">
        <f>IF(N(U457)&lt;=0.005,"",COUNTIFS('JOBS'!$U$5:$U$1504,"&gt;0.005",'JOBS'!$B$5:$B$1504,"&lt;"&amp;B457)+COUNTIFS($U$5:U457,"&gt;0.005",$B$5:B457,B457))</f>
        <v/>
      </c>
    </row>
    <row r="458">
      <c r="A458" s="46" t="inlineStr">
        <is>
          <t>J-0454</t>
        </is>
      </c>
      <c r="B458" s="47" t="n"/>
      <c r="C458" s="94" t="n"/>
      <c r="D458" s="38" t="n"/>
      <c r="E458" s="38" t="n"/>
      <c r="F458" s="38" t="n"/>
      <c r="G458" s="38" t="n"/>
      <c r="H458" s="38" t="n"/>
      <c r="I458" s="57" t="n"/>
      <c r="J458" s="95" t="n"/>
      <c r="K458" s="95" t="n"/>
      <c r="L458" s="48" t="n"/>
      <c r="M458" s="96" t="n"/>
      <c r="N458" s="48" t="n"/>
      <c r="O458" s="38" t="n"/>
      <c r="P458" s="38" t="n"/>
      <c r="Q458" s="97">
        <f>IF(OR(F458="",E458=""),"",IFERROR(IF(INDEX('PROPERTIES'!$F$5:$F$404,MATCH(E458,'PROPERTIES'!$B$5:$B$404,0))=0,"",ROUND((INDEX('PROPERTIES'!$F$5:$F$404,MATCH(E458,'PROPERTIES'!$B$5:$B$404,0))/INDEX('PRICING'!$C$7:$C$16,MATCH(F458,'PRICING'!$A$7:$A$16,0))+INDEX('PROPERTIES'!$G$5:$G$404,MATCH(E458,'PROPERTIES'!$B$5:$B$404,0))*INDEX('PRICING'!$D$7:$D$16,MATCH(F458,'PRICING'!$A$7:$A$16,0))/60+INDEX('PROPERTIES'!$H$5:$H$404,MATCH(E458,'PROPERTIES'!$B$5:$B$404,0))*INDEX('PRICING'!$E$7:$E$16,MATCH(F458,'PRICING'!$A$7:$A$16,0))/60+INDEX('PRICING'!$F$7:$F$16,MATCH(F458,'PRICING'!$A$7:$A$16,0))/60),2)),""))</f>
        <v/>
      </c>
      <c r="R458" s="97">
        <f>IF(B458="","",IF(N(K458)&gt;0,K458,IF(N(J458)&gt;0,J458,N(Q458))))</f>
        <v/>
      </c>
      <c r="S458" s="55">
        <f>IF(L458="","",ROUND(L458*(1+N(M458)),2))</f>
        <v/>
      </c>
      <c r="T458" s="55">
        <f>IF(B458="","",SUMIFS('REVENUE'!$C$5:$C$1504,'REVENUE'!$B$5:$B$1504,A458))</f>
        <v/>
      </c>
      <c r="U458" s="55">
        <f>IF(B458="","",IF(O458="Completed",MAX(0,N(S458)-T458),""))</f>
        <v/>
      </c>
      <c r="V458" s="49">
        <f>IF(B458="","",IF(O458&lt;&gt;"Completed",IF(T458&gt;0,"Deposit","—"),IF(U458&lt;=0.005,"Paid",IF(T458&gt;0,"Partial","Unpaid"))))</f>
        <v/>
      </c>
      <c r="W458" s="55">
        <f>IF(B458="","",IFERROR(1/(1/INDEX('STAFF &amp; TASKS'!$C$5:$C$24,MATCH(H458,'STAFF &amp; TASKS'!$A$5:$A$24,0))),PayRate))</f>
        <v/>
      </c>
      <c r="X458" s="55">
        <f>IF(B458="","",IF(OR(O458="Cancelled",O458="No-Show"),"",ROUND(R458*W458*(1+Burden),2)))</f>
        <v/>
      </c>
      <c r="Y458" s="55">
        <f>IF(B458="","",IF(OR(O458="Cancelled",O458="No-Show"),"",IF(N458&lt;&gt;"",N458,ROUND(R458*SupHr*IFERROR(INDEX('PRICING'!$G$7:$G$16,MATCH(F458,'PRICING'!$A$7:$A$16,0)),1),2))))</f>
        <v/>
      </c>
      <c r="Z458" s="98">
        <f>IF(B458="","",SUMIFS('MILEAGE'!$J$5:$J$1504,'MILEAGE'!$B$5:$B$1504,A458))</f>
        <v/>
      </c>
      <c r="AA458" s="55">
        <f>IF(B458="","",ROUND(Z458*MileRate,2))</f>
        <v/>
      </c>
      <c r="AB458" s="55">
        <f>IF(B458="","",SUMIFS('REVENUE'!$J$5:$J$1504,'REVENUE'!$B$5:$B$1504,A458))</f>
        <v/>
      </c>
      <c r="AC458" s="55">
        <f>IF(L458="","",IF(OR(O458="Cancelled",O458="No-Show"),"",L458-N(X458)-N(Y458)-AA458-AB458))</f>
        <v/>
      </c>
      <c r="AD458" s="99">
        <f>IF(OR(AC458="",N(L458)=0),"",AC458/L458)</f>
        <v/>
      </c>
      <c r="AE458" s="55">
        <f>IF(OR(AC458="",N(R458)=0),"",L458/R458)</f>
        <v/>
      </c>
      <c r="AF458" s="100">
        <f>IF(OR(N(K458)=0,N(J458)+N(Q458)=0),"",K458-IF(N(J458)&gt;0,J458,Q458))</f>
        <v/>
      </c>
      <c r="AG458" s="99">
        <f>IF(B458="","",IFERROR(AVERAGEIFS('QUALITY CONTROL'!$M$5:$M$304,'QUALITY CONTROL'!$B$5:$B$304,A458),""))</f>
        <v/>
      </c>
      <c r="AH458" s="51">
        <f>IF(B458="","",DATE(YEAR(B458),MONTH(B458),1))</f>
        <v/>
      </c>
      <c r="AI458" s="49">
        <f>IF(D458="","",IFERROR(INDEX('CUSTOMERS'!$E$5:$E$404,MATCH(D458,'CUSTOMERS'!$B$5:$B$404,0)),""))</f>
        <v/>
      </c>
      <c r="AJ458" s="49">
        <f>IF(B458="","",N(C458))</f>
        <v/>
      </c>
      <c r="AK458" s="49">
        <f>IF(OR(B458="",O458="Cancelled",O458="Rescheduled"),"",B458&amp;"|"&amp;(COUNTIFS('JOBS'!$B$5:$B$1504,B458,'JOBS'!$AJ$5:$AJ$1504,"&lt;"&amp;AJ458,'JOBS'!$O$5:$O$1504,"&lt;&gt;Cancelled",'JOBS'!$O$5:$O$1504,"&lt;&gt;Rescheduled")+COUNTIFS($B$5:B458,B458,$AJ$5:AJ458,AJ458,$O$5:O458,"&lt;&gt;Cancelled",$O$5:O458,"&lt;&gt;Rescheduled")))</f>
        <v/>
      </c>
      <c r="AL458" s="49">
        <f>IF(N(U458)&lt;=0.005,"",COUNTIFS('JOBS'!$U$5:$U$1504,"&gt;0.005",'JOBS'!$B$5:$B$1504,"&lt;"&amp;B458)+COUNTIFS($U$5:U458,"&gt;0.005",$B$5:B458,B458))</f>
        <v/>
      </c>
    </row>
    <row r="459">
      <c r="A459" s="46" t="inlineStr">
        <is>
          <t>J-0455</t>
        </is>
      </c>
      <c r="B459" s="47" t="n"/>
      <c r="C459" s="94" t="n"/>
      <c r="D459" s="38" t="n"/>
      <c r="E459" s="38" t="n"/>
      <c r="F459" s="38" t="n"/>
      <c r="G459" s="38" t="n"/>
      <c r="H459" s="38" t="n"/>
      <c r="I459" s="57" t="n"/>
      <c r="J459" s="95" t="n"/>
      <c r="K459" s="95" t="n"/>
      <c r="L459" s="48" t="n"/>
      <c r="M459" s="96" t="n"/>
      <c r="N459" s="48" t="n"/>
      <c r="O459" s="38" t="n"/>
      <c r="P459" s="38" t="n"/>
      <c r="Q459" s="97">
        <f>IF(OR(F459="",E459=""),"",IFERROR(IF(INDEX('PROPERTIES'!$F$5:$F$404,MATCH(E459,'PROPERTIES'!$B$5:$B$404,0))=0,"",ROUND((INDEX('PROPERTIES'!$F$5:$F$404,MATCH(E459,'PROPERTIES'!$B$5:$B$404,0))/INDEX('PRICING'!$C$7:$C$16,MATCH(F459,'PRICING'!$A$7:$A$16,0))+INDEX('PROPERTIES'!$G$5:$G$404,MATCH(E459,'PROPERTIES'!$B$5:$B$404,0))*INDEX('PRICING'!$D$7:$D$16,MATCH(F459,'PRICING'!$A$7:$A$16,0))/60+INDEX('PROPERTIES'!$H$5:$H$404,MATCH(E459,'PROPERTIES'!$B$5:$B$404,0))*INDEX('PRICING'!$E$7:$E$16,MATCH(F459,'PRICING'!$A$7:$A$16,0))/60+INDEX('PRICING'!$F$7:$F$16,MATCH(F459,'PRICING'!$A$7:$A$16,0))/60),2)),""))</f>
        <v/>
      </c>
      <c r="R459" s="97">
        <f>IF(B459="","",IF(N(K459)&gt;0,K459,IF(N(J459)&gt;0,J459,N(Q459))))</f>
        <v/>
      </c>
      <c r="S459" s="55">
        <f>IF(L459="","",ROUND(L459*(1+N(M459)),2))</f>
        <v/>
      </c>
      <c r="T459" s="55">
        <f>IF(B459="","",SUMIFS('REVENUE'!$C$5:$C$1504,'REVENUE'!$B$5:$B$1504,A459))</f>
        <v/>
      </c>
      <c r="U459" s="55">
        <f>IF(B459="","",IF(O459="Completed",MAX(0,N(S459)-T459),""))</f>
        <v/>
      </c>
      <c r="V459" s="49">
        <f>IF(B459="","",IF(O459&lt;&gt;"Completed",IF(T459&gt;0,"Deposit","—"),IF(U459&lt;=0.005,"Paid",IF(T459&gt;0,"Partial","Unpaid"))))</f>
        <v/>
      </c>
      <c r="W459" s="55">
        <f>IF(B459="","",IFERROR(1/(1/INDEX('STAFF &amp; TASKS'!$C$5:$C$24,MATCH(H459,'STAFF &amp; TASKS'!$A$5:$A$24,0))),PayRate))</f>
        <v/>
      </c>
      <c r="X459" s="55">
        <f>IF(B459="","",IF(OR(O459="Cancelled",O459="No-Show"),"",ROUND(R459*W459*(1+Burden),2)))</f>
        <v/>
      </c>
      <c r="Y459" s="55">
        <f>IF(B459="","",IF(OR(O459="Cancelled",O459="No-Show"),"",IF(N459&lt;&gt;"",N459,ROUND(R459*SupHr*IFERROR(INDEX('PRICING'!$G$7:$G$16,MATCH(F459,'PRICING'!$A$7:$A$16,0)),1),2))))</f>
        <v/>
      </c>
      <c r="Z459" s="98">
        <f>IF(B459="","",SUMIFS('MILEAGE'!$J$5:$J$1504,'MILEAGE'!$B$5:$B$1504,A459))</f>
        <v/>
      </c>
      <c r="AA459" s="55">
        <f>IF(B459="","",ROUND(Z459*MileRate,2))</f>
        <v/>
      </c>
      <c r="AB459" s="55">
        <f>IF(B459="","",SUMIFS('REVENUE'!$J$5:$J$1504,'REVENUE'!$B$5:$B$1504,A459))</f>
        <v/>
      </c>
      <c r="AC459" s="55">
        <f>IF(L459="","",IF(OR(O459="Cancelled",O459="No-Show"),"",L459-N(X459)-N(Y459)-AA459-AB459))</f>
        <v/>
      </c>
      <c r="AD459" s="99">
        <f>IF(OR(AC459="",N(L459)=0),"",AC459/L459)</f>
        <v/>
      </c>
      <c r="AE459" s="55">
        <f>IF(OR(AC459="",N(R459)=0),"",L459/R459)</f>
        <v/>
      </c>
      <c r="AF459" s="100">
        <f>IF(OR(N(K459)=0,N(J459)+N(Q459)=0),"",K459-IF(N(J459)&gt;0,J459,Q459))</f>
        <v/>
      </c>
      <c r="AG459" s="99">
        <f>IF(B459="","",IFERROR(AVERAGEIFS('QUALITY CONTROL'!$M$5:$M$304,'QUALITY CONTROL'!$B$5:$B$304,A459),""))</f>
        <v/>
      </c>
      <c r="AH459" s="51">
        <f>IF(B459="","",DATE(YEAR(B459),MONTH(B459),1))</f>
        <v/>
      </c>
      <c r="AI459" s="49">
        <f>IF(D459="","",IFERROR(INDEX('CUSTOMERS'!$E$5:$E$404,MATCH(D459,'CUSTOMERS'!$B$5:$B$404,0)),""))</f>
        <v/>
      </c>
      <c r="AJ459" s="49">
        <f>IF(B459="","",N(C459))</f>
        <v/>
      </c>
      <c r="AK459" s="49">
        <f>IF(OR(B459="",O459="Cancelled",O459="Rescheduled"),"",B459&amp;"|"&amp;(COUNTIFS('JOBS'!$B$5:$B$1504,B459,'JOBS'!$AJ$5:$AJ$1504,"&lt;"&amp;AJ459,'JOBS'!$O$5:$O$1504,"&lt;&gt;Cancelled",'JOBS'!$O$5:$O$1504,"&lt;&gt;Rescheduled")+COUNTIFS($B$5:B459,B459,$AJ$5:AJ459,AJ459,$O$5:O459,"&lt;&gt;Cancelled",$O$5:O459,"&lt;&gt;Rescheduled")))</f>
        <v/>
      </c>
      <c r="AL459" s="49">
        <f>IF(N(U459)&lt;=0.005,"",COUNTIFS('JOBS'!$U$5:$U$1504,"&gt;0.005",'JOBS'!$B$5:$B$1504,"&lt;"&amp;B459)+COUNTIFS($U$5:U459,"&gt;0.005",$B$5:B459,B459))</f>
        <v/>
      </c>
    </row>
    <row r="460">
      <c r="A460" s="46" t="inlineStr">
        <is>
          <t>J-0456</t>
        </is>
      </c>
      <c r="B460" s="47" t="n"/>
      <c r="C460" s="94" t="n"/>
      <c r="D460" s="38" t="n"/>
      <c r="E460" s="38" t="n"/>
      <c r="F460" s="38" t="n"/>
      <c r="G460" s="38" t="n"/>
      <c r="H460" s="38" t="n"/>
      <c r="I460" s="57" t="n"/>
      <c r="J460" s="95" t="n"/>
      <c r="K460" s="95" t="n"/>
      <c r="L460" s="48" t="n"/>
      <c r="M460" s="96" t="n"/>
      <c r="N460" s="48" t="n"/>
      <c r="O460" s="38" t="n"/>
      <c r="P460" s="38" t="n"/>
      <c r="Q460" s="97">
        <f>IF(OR(F460="",E460=""),"",IFERROR(IF(INDEX('PROPERTIES'!$F$5:$F$404,MATCH(E460,'PROPERTIES'!$B$5:$B$404,0))=0,"",ROUND((INDEX('PROPERTIES'!$F$5:$F$404,MATCH(E460,'PROPERTIES'!$B$5:$B$404,0))/INDEX('PRICING'!$C$7:$C$16,MATCH(F460,'PRICING'!$A$7:$A$16,0))+INDEX('PROPERTIES'!$G$5:$G$404,MATCH(E460,'PROPERTIES'!$B$5:$B$404,0))*INDEX('PRICING'!$D$7:$D$16,MATCH(F460,'PRICING'!$A$7:$A$16,0))/60+INDEX('PROPERTIES'!$H$5:$H$404,MATCH(E460,'PROPERTIES'!$B$5:$B$404,0))*INDEX('PRICING'!$E$7:$E$16,MATCH(F460,'PRICING'!$A$7:$A$16,0))/60+INDEX('PRICING'!$F$7:$F$16,MATCH(F460,'PRICING'!$A$7:$A$16,0))/60),2)),""))</f>
        <v/>
      </c>
      <c r="R460" s="97">
        <f>IF(B460="","",IF(N(K460)&gt;0,K460,IF(N(J460)&gt;0,J460,N(Q460))))</f>
        <v/>
      </c>
      <c r="S460" s="55">
        <f>IF(L460="","",ROUND(L460*(1+N(M460)),2))</f>
        <v/>
      </c>
      <c r="T460" s="55">
        <f>IF(B460="","",SUMIFS('REVENUE'!$C$5:$C$1504,'REVENUE'!$B$5:$B$1504,A460))</f>
        <v/>
      </c>
      <c r="U460" s="55">
        <f>IF(B460="","",IF(O460="Completed",MAX(0,N(S460)-T460),""))</f>
        <v/>
      </c>
      <c r="V460" s="49">
        <f>IF(B460="","",IF(O460&lt;&gt;"Completed",IF(T460&gt;0,"Deposit","—"),IF(U460&lt;=0.005,"Paid",IF(T460&gt;0,"Partial","Unpaid"))))</f>
        <v/>
      </c>
      <c r="W460" s="55">
        <f>IF(B460="","",IFERROR(1/(1/INDEX('STAFF &amp; TASKS'!$C$5:$C$24,MATCH(H460,'STAFF &amp; TASKS'!$A$5:$A$24,0))),PayRate))</f>
        <v/>
      </c>
      <c r="X460" s="55">
        <f>IF(B460="","",IF(OR(O460="Cancelled",O460="No-Show"),"",ROUND(R460*W460*(1+Burden),2)))</f>
        <v/>
      </c>
      <c r="Y460" s="55">
        <f>IF(B460="","",IF(OR(O460="Cancelled",O460="No-Show"),"",IF(N460&lt;&gt;"",N460,ROUND(R460*SupHr*IFERROR(INDEX('PRICING'!$G$7:$G$16,MATCH(F460,'PRICING'!$A$7:$A$16,0)),1),2))))</f>
        <v/>
      </c>
      <c r="Z460" s="98">
        <f>IF(B460="","",SUMIFS('MILEAGE'!$J$5:$J$1504,'MILEAGE'!$B$5:$B$1504,A460))</f>
        <v/>
      </c>
      <c r="AA460" s="55">
        <f>IF(B460="","",ROUND(Z460*MileRate,2))</f>
        <v/>
      </c>
      <c r="AB460" s="55">
        <f>IF(B460="","",SUMIFS('REVENUE'!$J$5:$J$1504,'REVENUE'!$B$5:$B$1504,A460))</f>
        <v/>
      </c>
      <c r="AC460" s="55">
        <f>IF(L460="","",IF(OR(O460="Cancelled",O460="No-Show"),"",L460-N(X460)-N(Y460)-AA460-AB460))</f>
        <v/>
      </c>
      <c r="AD460" s="99">
        <f>IF(OR(AC460="",N(L460)=0),"",AC460/L460)</f>
        <v/>
      </c>
      <c r="AE460" s="55">
        <f>IF(OR(AC460="",N(R460)=0),"",L460/R460)</f>
        <v/>
      </c>
      <c r="AF460" s="100">
        <f>IF(OR(N(K460)=0,N(J460)+N(Q460)=0),"",K460-IF(N(J460)&gt;0,J460,Q460))</f>
        <v/>
      </c>
      <c r="AG460" s="99">
        <f>IF(B460="","",IFERROR(AVERAGEIFS('QUALITY CONTROL'!$M$5:$M$304,'QUALITY CONTROL'!$B$5:$B$304,A460),""))</f>
        <v/>
      </c>
      <c r="AH460" s="51">
        <f>IF(B460="","",DATE(YEAR(B460),MONTH(B460),1))</f>
        <v/>
      </c>
      <c r="AI460" s="49">
        <f>IF(D460="","",IFERROR(INDEX('CUSTOMERS'!$E$5:$E$404,MATCH(D460,'CUSTOMERS'!$B$5:$B$404,0)),""))</f>
        <v/>
      </c>
      <c r="AJ460" s="49">
        <f>IF(B460="","",N(C460))</f>
        <v/>
      </c>
      <c r="AK460" s="49">
        <f>IF(OR(B460="",O460="Cancelled",O460="Rescheduled"),"",B460&amp;"|"&amp;(COUNTIFS('JOBS'!$B$5:$B$1504,B460,'JOBS'!$AJ$5:$AJ$1504,"&lt;"&amp;AJ460,'JOBS'!$O$5:$O$1504,"&lt;&gt;Cancelled",'JOBS'!$O$5:$O$1504,"&lt;&gt;Rescheduled")+COUNTIFS($B$5:B460,B460,$AJ$5:AJ460,AJ460,$O$5:O460,"&lt;&gt;Cancelled",$O$5:O460,"&lt;&gt;Rescheduled")))</f>
        <v/>
      </c>
      <c r="AL460" s="49">
        <f>IF(N(U460)&lt;=0.005,"",COUNTIFS('JOBS'!$U$5:$U$1504,"&gt;0.005",'JOBS'!$B$5:$B$1504,"&lt;"&amp;B460)+COUNTIFS($U$5:U460,"&gt;0.005",$B$5:B460,B460))</f>
        <v/>
      </c>
    </row>
    <row r="461">
      <c r="A461" s="46" t="inlineStr">
        <is>
          <t>J-0457</t>
        </is>
      </c>
      <c r="B461" s="47" t="n"/>
      <c r="C461" s="94" t="n"/>
      <c r="D461" s="38" t="n"/>
      <c r="E461" s="38" t="n"/>
      <c r="F461" s="38" t="n"/>
      <c r="G461" s="38" t="n"/>
      <c r="H461" s="38" t="n"/>
      <c r="I461" s="57" t="n"/>
      <c r="J461" s="95" t="n"/>
      <c r="K461" s="95" t="n"/>
      <c r="L461" s="48" t="n"/>
      <c r="M461" s="96" t="n"/>
      <c r="N461" s="48" t="n"/>
      <c r="O461" s="38" t="n"/>
      <c r="P461" s="38" t="n"/>
      <c r="Q461" s="97">
        <f>IF(OR(F461="",E461=""),"",IFERROR(IF(INDEX('PROPERTIES'!$F$5:$F$404,MATCH(E461,'PROPERTIES'!$B$5:$B$404,0))=0,"",ROUND((INDEX('PROPERTIES'!$F$5:$F$404,MATCH(E461,'PROPERTIES'!$B$5:$B$404,0))/INDEX('PRICING'!$C$7:$C$16,MATCH(F461,'PRICING'!$A$7:$A$16,0))+INDEX('PROPERTIES'!$G$5:$G$404,MATCH(E461,'PROPERTIES'!$B$5:$B$404,0))*INDEX('PRICING'!$D$7:$D$16,MATCH(F461,'PRICING'!$A$7:$A$16,0))/60+INDEX('PROPERTIES'!$H$5:$H$404,MATCH(E461,'PROPERTIES'!$B$5:$B$404,0))*INDEX('PRICING'!$E$7:$E$16,MATCH(F461,'PRICING'!$A$7:$A$16,0))/60+INDEX('PRICING'!$F$7:$F$16,MATCH(F461,'PRICING'!$A$7:$A$16,0))/60),2)),""))</f>
        <v/>
      </c>
      <c r="R461" s="97">
        <f>IF(B461="","",IF(N(K461)&gt;0,K461,IF(N(J461)&gt;0,J461,N(Q461))))</f>
        <v/>
      </c>
      <c r="S461" s="55">
        <f>IF(L461="","",ROUND(L461*(1+N(M461)),2))</f>
        <v/>
      </c>
      <c r="T461" s="55">
        <f>IF(B461="","",SUMIFS('REVENUE'!$C$5:$C$1504,'REVENUE'!$B$5:$B$1504,A461))</f>
        <v/>
      </c>
      <c r="U461" s="55">
        <f>IF(B461="","",IF(O461="Completed",MAX(0,N(S461)-T461),""))</f>
        <v/>
      </c>
      <c r="V461" s="49">
        <f>IF(B461="","",IF(O461&lt;&gt;"Completed",IF(T461&gt;0,"Deposit","—"),IF(U461&lt;=0.005,"Paid",IF(T461&gt;0,"Partial","Unpaid"))))</f>
        <v/>
      </c>
      <c r="W461" s="55">
        <f>IF(B461="","",IFERROR(1/(1/INDEX('STAFF &amp; TASKS'!$C$5:$C$24,MATCH(H461,'STAFF &amp; TASKS'!$A$5:$A$24,0))),PayRate))</f>
        <v/>
      </c>
      <c r="X461" s="55">
        <f>IF(B461="","",IF(OR(O461="Cancelled",O461="No-Show"),"",ROUND(R461*W461*(1+Burden),2)))</f>
        <v/>
      </c>
      <c r="Y461" s="55">
        <f>IF(B461="","",IF(OR(O461="Cancelled",O461="No-Show"),"",IF(N461&lt;&gt;"",N461,ROUND(R461*SupHr*IFERROR(INDEX('PRICING'!$G$7:$G$16,MATCH(F461,'PRICING'!$A$7:$A$16,0)),1),2))))</f>
        <v/>
      </c>
      <c r="Z461" s="98">
        <f>IF(B461="","",SUMIFS('MILEAGE'!$J$5:$J$1504,'MILEAGE'!$B$5:$B$1504,A461))</f>
        <v/>
      </c>
      <c r="AA461" s="55">
        <f>IF(B461="","",ROUND(Z461*MileRate,2))</f>
        <v/>
      </c>
      <c r="AB461" s="55">
        <f>IF(B461="","",SUMIFS('REVENUE'!$J$5:$J$1504,'REVENUE'!$B$5:$B$1504,A461))</f>
        <v/>
      </c>
      <c r="AC461" s="55">
        <f>IF(L461="","",IF(OR(O461="Cancelled",O461="No-Show"),"",L461-N(X461)-N(Y461)-AA461-AB461))</f>
        <v/>
      </c>
      <c r="AD461" s="99">
        <f>IF(OR(AC461="",N(L461)=0),"",AC461/L461)</f>
        <v/>
      </c>
      <c r="AE461" s="55">
        <f>IF(OR(AC461="",N(R461)=0),"",L461/R461)</f>
        <v/>
      </c>
      <c r="AF461" s="100">
        <f>IF(OR(N(K461)=0,N(J461)+N(Q461)=0),"",K461-IF(N(J461)&gt;0,J461,Q461))</f>
        <v/>
      </c>
      <c r="AG461" s="99">
        <f>IF(B461="","",IFERROR(AVERAGEIFS('QUALITY CONTROL'!$M$5:$M$304,'QUALITY CONTROL'!$B$5:$B$304,A461),""))</f>
        <v/>
      </c>
      <c r="AH461" s="51">
        <f>IF(B461="","",DATE(YEAR(B461),MONTH(B461),1))</f>
        <v/>
      </c>
      <c r="AI461" s="49">
        <f>IF(D461="","",IFERROR(INDEX('CUSTOMERS'!$E$5:$E$404,MATCH(D461,'CUSTOMERS'!$B$5:$B$404,0)),""))</f>
        <v/>
      </c>
      <c r="AJ461" s="49">
        <f>IF(B461="","",N(C461))</f>
        <v/>
      </c>
      <c r="AK461" s="49">
        <f>IF(OR(B461="",O461="Cancelled",O461="Rescheduled"),"",B461&amp;"|"&amp;(COUNTIFS('JOBS'!$B$5:$B$1504,B461,'JOBS'!$AJ$5:$AJ$1504,"&lt;"&amp;AJ461,'JOBS'!$O$5:$O$1504,"&lt;&gt;Cancelled",'JOBS'!$O$5:$O$1504,"&lt;&gt;Rescheduled")+COUNTIFS($B$5:B461,B461,$AJ$5:AJ461,AJ461,$O$5:O461,"&lt;&gt;Cancelled",$O$5:O461,"&lt;&gt;Rescheduled")))</f>
        <v/>
      </c>
      <c r="AL461" s="49">
        <f>IF(N(U461)&lt;=0.005,"",COUNTIFS('JOBS'!$U$5:$U$1504,"&gt;0.005",'JOBS'!$B$5:$B$1504,"&lt;"&amp;B461)+COUNTIFS($U$5:U461,"&gt;0.005",$B$5:B461,B461))</f>
        <v/>
      </c>
    </row>
    <row r="462">
      <c r="A462" s="46" t="inlineStr">
        <is>
          <t>J-0458</t>
        </is>
      </c>
      <c r="B462" s="47" t="n"/>
      <c r="C462" s="94" t="n"/>
      <c r="D462" s="38" t="n"/>
      <c r="E462" s="38" t="n"/>
      <c r="F462" s="38" t="n"/>
      <c r="G462" s="38" t="n"/>
      <c r="H462" s="38" t="n"/>
      <c r="I462" s="57" t="n"/>
      <c r="J462" s="95" t="n"/>
      <c r="K462" s="95" t="n"/>
      <c r="L462" s="48" t="n"/>
      <c r="M462" s="96" t="n"/>
      <c r="N462" s="48" t="n"/>
      <c r="O462" s="38" t="n"/>
      <c r="P462" s="38" t="n"/>
      <c r="Q462" s="97">
        <f>IF(OR(F462="",E462=""),"",IFERROR(IF(INDEX('PROPERTIES'!$F$5:$F$404,MATCH(E462,'PROPERTIES'!$B$5:$B$404,0))=0,"",ROUND((INDEX('PROPERTIES'!$F$5:$F$404,MATCH(E462,'PROPERTIES'!$B$5:$B$404,0))/INDEX('PRICING'!$C$7:$C$16,MATCH(F462,'PRICING'!$A$7:$A$16,0))+INDEX('PROPERTIES'!$G$5:$G$404,MATCH(E462,'PROPERTIES'!$B$5:$B$404,0))*INDEX('PRICING'!$D$7:$D$16,MATCH(F462,'PRICING'!$A$7:$A$16,0))/60+INDEX('PROPERTIES'!$H$5:$H$404,MATCH(E462,'PROPERTIES'!$B$5:$B$404,0))*INDEX('PRICING'!$E$7:$E$16,MATCH(F462,'PRICING'!$A$7:$A$16,0))/60+INDEX('PRICING'!$F$7:$F$16,MATCH(F462,'PRICING'!$A$7:$A$16,0))/60),2)),""))</f>
        <v/>
      </c>
      <c r="R462" s="97">
        <f>IF(B462="","",IF(N(K462)&gt;0,K462,IF(N(J462)&gt;0,J462,N(Q462))))</f>
        <v/>
      </c>
      <c r="S462" s="55">
        <f>IF(L462="","",ROUND(L462*(1+N(M462)),2))</f>
        <v/>
      </c>
      <c r="T462" s="55">
        <f>IF(B462="","",SUMIFS('REVENUE'!$C$5:$C$1504,'REVENUE'!$B$5:$B$1504,A462))</f>
        <v/>
      </c>
      <c r="U462" s="55">
        <f>IF(B462="","",IF(O462="Completed",MAX(0,N(S462)-T462),""))</f>
        <v/>
      </c>
      <c r="V462" s="49">
        <f>IF(B462="","",IF(O462&lt;&gt;"Completed",IF(T462&gt;0,"Deposit","—"),IF(U462&lt;=0.005,"Paid",IF(T462&gt;0,"Partial","Unpaid"))))</f>
        <v/>
      </c>
      <c r="W462" s="55">
        <f>IF(B462="","",IFERROR(1/(1/INDEX('STAFF &amp; TASKS'!$C$5:$C$24,MATCH(H462,'STAFF &amp; TASKS'!$A$5:$A$24,0))),PayRate))</f>
        <v/>
      </c>
      <c r="X462" s="55">
        <f>IF(B462="","",IF(OR(O462="Cancelled",O462="No-Show"),"",ROUND(R462*W462*(1+Burden),2)))</f>
        <v/>
      </c>
      <c r="Y462" s="55">
        <f>IF(B462="","",IF(OR(O462="Cancelled",O462="No-Show"),"",IF(N462&lt;&gt;"",N462,ROUND(R462*SupHr*IFERROR(INDEX('PRICING'!$G$7:$G$16,MATCH(F462,'PRICING'!$A$7:$A$16,0)),1),2))))</f>
        <v/>
      </c>
      <c r="Z462" s="98">
        <f>IF(B462="","",SUMIFS('MILEAGE'!$J$5:$J$1504,'MILEAGE'!$B$5:$B$1504,A462))</f>
        <v/>
      </c>
      <c r="AA462" s="55">
        <f>IF(B462="","",ROUND(Z462*MileRate,2))</f>
        <v/>
      </c>
      <c r="AB462" s="55">
        <f>IF(B462="","",SUMIFS('REVENUE'!$J$5:$J$1504,'REVENUE'!$B$5:$B$1504,A462))</f>
        <v/>
      </c>
      <c r="AC462" s="55">
        <f>IF(L462="","",IF(OR(O462="Cancelled",O462="No-Show"),"",L462-N(X462)-N(Y462)-AA462-AB462))</f>
        <v/>
      </c>
      <c r="AD462" s="99">
        <f>IF(OR(AC462="",N(L462)=0),"",AC462/L462)</f>
        <v/>
      </c>
      <c r="AE462" s="55">
        <f>IF(OR(AC462="",N(R462)=0),"",L462/R462)</f>
        <v/>
      </c>
      <c r="AF462" s="100">
        <f>IF(OR(N(K462)=0,N(J462)+N(Q462)=0),"",K462-IF(N(J462)&gt;0,J462,Q462))</f>
        <v/>
      </c>
      <c r="AG462" s="99">
        <f>IF(B462="","",IFERROR(AVERAGEIFS('QUALITY CONTROL'!$M$5:$M$304,'QUALITY CONTROL'!$B$5:$B$304,A462),""))</f>
        <v/>
      </c>
      <c r="AH462" s="51">
        <f>IF(B462="","",DATE(YEAR(B462),MONTH(B462),1))</f>
        <v/>
      </c>
      <c r="AI462" s="49">
        <f>IF(D462="","",IFERROR(INDEX('CUSTOMERS'!$E$5:$E$404,MATCH(D462,'CUSTOMERS'!$B$5:$B$404,0)),""))</f>
        <v/>
      </c>
      <c r="AJ462" s="49">
        <f>IF(B462="","",N(C462))</f>
        <v/>
      </c>
      <c r="AK462" s="49">
        <f>IF(OR(B462="",O462="Cancelled",O462="Rescheduled"),"",B462&amp;"|"&amp;(COUNTIFS('JOBS'!$B$5:$B$1504,B462,'JOBS'!$AJ$5:$AJ$1504,"&lt;"&amp;AJ462,'JOBS'!$O$5:$O$1504,"&lt;&gt;Cancelled",'JOBS'!$O$5:$O$1504,"&lt;&gt;Rescheduled")+COUNTIFS($B$5:B462,B462,$AJ$5:AJ462,AJ462,$O$5:O462,"&lt;&gt;Cancelled",$O$5:O462,"&lt;&gt;Rescheduled")))</f>
        <v/>
      </c>
      <c r="AL462" s="49">
        <f>IF(N(U462)&lt;=0.005,"",COUNTIFS('JOBS'!$U$5:$U$1504,"&gt;0.005",'JOBS'!$B$5:$B$1504,"&lt;"&amp;B462)+COUNTIFS($U$5:U462,"&gt;0.005",$B$5:B462,B462))</f>
        <v/>
      </c>
    </row>
    <row r="463">
      <c r="A463" s="46" t="inlineStr">
        <is>
          <t>J-0459</t>
        </is>
      </c>
      <c r="B463" s="47" t="n"/>
      <c r="C463" s="94" t="n"/>
      <c r="D463" s="38" t="n"/>
      <c r="E463" s="38" t="n"/>
      <c r="F463" s="38" t="n"/>
      <c r="G463" s="38" t="n"/>
      <c r="H463" s="38" t="n"/>
      <c r="I463" s="57" t="n"/>
      <c r="J463" s="95" t="n"/>
      <c r="K463" s="95" t="n"/>
      <c r="L463" s="48" t="n"/>
      <c r="M463" s="96" t="n"/>
      <c r="N463" s="48" t="n"/>
      <c r="O463" s="38" t="n"/>
      <c r="P463" s="38" t="n"/>
      <c r="Q463" s="97">
        <f>IF(OR(F463="",E463=""),"",IFERROR(IF(INDEX('PROPERTIES'!$F$5:$F$404,MATCH(E463,'PROPERTIES'!$B$5:$B$404,0))=0,"",ROUND((INDEX('PROPERTIES'!$F$5:$F$404,MATCH(E463,'PROPERTIES'!$B$5:$B$404,0))/INDEX('PRICING'!$C$7:$C$16,MATCH(F463,'PRICING'!$A$7:$A$16,0))+INDEX('PROPERTIES'!$G$5:$G$404,MATCH(E463,'PROPERTIES'!$B$5:$B$404,0))*INDEX('PRICING'!$D$7:$D$16,MATCH(F463,'PRICING'!$A$7:$A$16,0))/60+INDEX('PROPERTIES'!$H$5:$H$404,MATCH(E463,'PROPERTIES'!$B$5:$B$404,0))*INDEX('PRICING'!$E$7:$E$16,MATCH(F463,'PRICING'!$A$7:$A$16,0))/60+INDEX('PRICING'!$F$7:$F$16,MATCH(F463,'PRICING'!$A$7:$A$16,0))/60),2)),""))</f>
        <v/>
      </c>
      <c r="R463" s="97">
        <f>IF(B463="","",IF(N(K463)&gt;0,K463,IF(N(J463)&gt;0,J463,N(Q463))))</f>
        <v/>
      </c>
      <c r="S463" s="55">
        <f>IF(L463="","",ROUND(L463*(1+N(M463)),2))</f>
        <v/>
      </c>
      <c r="T463" s="55">
        <f>IF(B463="","",SUMIFS('REVENUE'!$C$5:$C$1504,'REVENUE'!$B$5:$B$1504,A463))</f>
        <v/>
      </c>
      <c r="U463" s="55">
        <f>IF(B463="","",IF(O463="Completed",MAX(0,N(S463)-T463),""))</f>
        <v/>
      </c>
      <c r="V463" s="49">
        <f>IF(B463="","",IF(O463&lt;&gt;"Completed",IF(T463&gt;0,"Deposit","—"),IF(U463&lt;=0.005,"Paid",IF(T463&gt;0,"Partial","Unpaid"))))</f>
        <v/>
      </c>
      <c r="W463" s="55">
        <f>IF(B463="","",IFERROR(1/(1/INDEX('STAFF &amp; TASKS'!$C$5:$C$24,MATCH(H463,'STAFF &amp; TASKS'!$A$5:$A$24,0))),PayRate))</f>
        <v/>
      </c>
      <c r="X463" s="55">
        <f>IF(B463="","",IF(OR(O463="Cancelled",O463="No-Show"),"",ROUND(R463*W463*(1+Burden),2)))</f>
        <v/>
      </c>
      <c r="Y463" s="55">
        <f>IF(B463="","",IF(OR(O463="Cancelled",O463="No-Show"),"",IF(N463&lt;&gt;"",N463,ROUND(R463*SupHr*IFERROR(INDEX('PRICING'!$G$7:$G$16,MATCH(F463,'PRICING'!$A$7:$A$16,0)),1),2))))</f>
        <v/>
      </c>
      <c r="Z463" s="98">
        <f>IF(B463="","",SUMIFS('MILEAGE'!$J$5:$J$1504,'MILEAGE'!$B$5:$B$1504,A463))</f>
        <v/>
      </c>
      <c r="AA463" s="55">
        <f>IF(B463="","",ROUND(Z463*MileRate,2))</f>
        <v/>
      </c>
      <c r="AB463" s="55">
        <f>IF(B463="","",SUMIFS('REVENUE'!$J$5:$J$1504,'REVENUE'!$B$5:$B$1504,A463))</f>
        <v/>
      </c>
      <c r="AC463" s="55">
        <f>IF(L463="","",IF(OR(O463="Cancelled",O463="No-Show"),"",L463-N(X463)-N(Y463)-AA463-AB463))</f>
        <v/>
      </c>
      <c r="AD463" s="99">
        <f>IF(OR(AC463="",N(L463)=0),"",AC463/L463)</f>
        <v/>
      </c>
      <c r="AE463" s="55">
        <f>IF(OR(AC463="",N(R463)=0),"",L463/R463)</f>
        <v/>
      </c>
      <c r="AF463" s="100">
        <f>IF(OR(N(K463)=0,N(J463)+N(Q463)=0),"",K463-IF(N(J463)&gt;0,J463,Q463))</f>
        <v/>
      </c>
      <c r="AG463" s="99">
        <f>IF(B463="","",IFERROR(AVERAGEIFS('QUALITY CONTROL'!$M$5:$M$304,'QUALITY CONTROL'!$B$5:$B$304,A463),""))</f>
        <v/>
      </c>
      <c r="AH463" s="51">
        <f>IF(B463="","",DATE(YEAR(B463),MONTH(B463),1))</f>
        <v/>
      </c>
      <c r="AI463" s="49">
        <f>IF(D463="","",IFERROR(INDEX('CUSTOMERS'!$E$5:$E$404,MATCH(D463,'CUSTOMERS'!$B$5:$B$404,0)),""))</f>
        <v/>
      </c>
      <c r="AJ463" s="49">
        <f>IF(B463="","",N(C463))</f>
        <v/>
      </c>
      <c r="AK463" s="49">
        <f>IF(OR(B463="",O463="Cancelled",O463="Rescheduled"),"",B463&amp;"|"&amp;(COUNTIFS('JOBS'!$B$5:$B$1504,B463,'JOBS'!$AJ$5:$AJ$1504,"&lt;"&amp;AJ463,'JOBS'!$O$5:$O$1504,"&lt;&gt;Cancelled",'JOBS'!$O$5:$O$1504,"&lt;&gt;Rescheduled")+COUNTIFS($B$5:B463,B463,$AJ$5:AJ463,AJ463,$O$5:O463,"&lt;&gt;Cancelled",$O$5:O463,"&lt;&gt;Rescheduled")))</f>
        <v/>
      </c>
      <c r="AL463" s="49">
        <f>IF(N(U463)&lt;=0.005,"",COUNTIFS('JOBS'!$U$5:$U$1504,"&gt;0.005",'JOBS'!$B$5:$B$1504,"&lt;"&amp;B463)+COUNTIFS($U$5:U463,"&gt;0.005",$B$5:B463,B463))</f>
        <v/>
      </c>
    </row>
    <row r="464">
      <c r="A464" s="46" t="inlineStr">
        <is>
          <t>J-0460</t>
        </is>
      </c>
      <c r="B464" s="47" t="n"/>
      <c r="C464" s="94" t="n"/>
      <c r="D464" s="38" t="n"/>
      <c r="E464" s="38" t="n"/>
      <c r="F464" s="38" t="n"/>
      <c r="G464" s="38" t="n"/>
      <c r="H464" s="38" t="n"/>
      <c r="I464" s="57" t="n"/>
      <c r="J464" s="95" t="n"/>
      <c r="K464" s="95" t="n"/>
      <c r="L464" s="48" t="n"/>
      <c r="M464" s="96" t="n"/>
      <c r="N464" s="48" t="n"/>
      <c r="O464" s="38" t="n"/>
      <c r="P464" s="38" t="n"/>
      <c r="Q464" s="97">
        <f>IF(OR(F464="",E464=""),"",IFERROR(IF(INDEX('PROPERTIES'!$F$5:$F$404,MATCH(E464,'PROPERTIES'!$B$5:$B$404,0))=0,"",ROUND((INDEX('PROPERTIES'!$F$5:$F$404,MATCH(E464,'PROPERTIES'!$B$5:$B$404,0))/INDEX('PRICING'!$C$7:$C$16,MATCH(F464,'PRICING'!$A$7:$A$16,0))+INDEX('PROPERTIES'!$G$5:$G$404,MATCH(E464,'PROPERTIES'!$B$5:$B$404,0))*INDEX('PRICING'!$D$7:$D$16,MATCH(F464,'PRICING'!$A$7:$A$16,0))/60+INDEX('PROPERTIES'!$H$5:$H$404,MATCH(E464,'PROPERTIES'!$B$5:$B$404,0))*INDEX('PRICING'!$E$7:$E$16,MATCH(F464,'PRICING'!$A$7:$A$16,0))/60+INDEX('PRICING'!$F$7:$F$16,MATCH(F464,'PRICING'!$A$7:$A$16,0))/60),2)),""))</f>
        <v/>
      </c>
      <c r="R464" s="97">
        <f>IF(B464="","",IF(N(K464)&gt;0,K464,IF(N(J464)&gt;0,J464,N(Q464))))</f>
        <v/>
      </c>
      <c r="S464" s="55">
        <f>IF(L464="","",ROUND(L464*(1+N(M464)),2))</f>
        <v/>
      </c>
      <c r="T464" s="55">
        <f>IF(B464="","",SUMIFS('REVENUE'!$C$5:$C$1504,'REVENUE'!$B$5:$B$1504,A464))</f>
        <v/>
      </c>
      <c r="U464" s="55">
        <f>IF(B464="","",IF(O464="Completed",MAX(0,N(S464)-T464),""))</f>
        <v/>
      </c>
      <c r="V464" s="49">
        <f>IF(B464="","",IF(O464&lt;&gt;"Completed",IF(T464&gt;0,"Deposit","—"),IF(U464&lt;=0.005,"Paid",IF(T464&gt;0,"Partial","Unpaid"))))</f>
        <v/>
      </c>
      <c r="W464" s="55">
        <f>IF(B464="","",IFERROR(1/(1/INDEX('STAFF &amp; TASKS'!$C$5:$C$24,MATCH(H464,'STAFF &amp; TASKS'!$A$5:$A$24,0))),PayRate))</f>
        <v/>
      </c>
      <c r="X464" s="55">
        <f>IF(B464="","",IF(OR(O464="Cancelled",O464="No-Show"),"",ROUND(R464*W464*(1+Burden),2)))</f>
        <v/>
      </c>
      <c r="Y464" s="55">
        <f>IF(B464="","",IF(OR(O464="Cancelled",O464="No-Show"),"",IF(N464&lt;&gt;"",N464,ROUND(R464*SupHr*IFERROR(INDEX('PRICING'!$G$7:$G$16,MATCH(F464,'PRICING'!$A$7:$A$16,0)),1),2))))</f>
        <v/>
      </c>
      <c r="Z464" s="98">
        <f>IF(B464="","",SUMIFS('MILEAGE'!$J$5:$J$1504,'MILEAGE'!$B$5:$B$1504,A464))</f>
        <v/>
      </c>
      <c r="AA464" s="55">
        <f>IF(B464="","",ROUND(Z464*MileRate,2))</f>
        <v/>
      </c>
      <c r="AB464" s="55">
        <f>IF(B464="","",SUMIFS('REVENUE'!$J$5:$J$1504,'REVENUE'!$B$5:$B$1504,A464))</f>
        <v/>
      </c>
      <c r="AC464" s="55">
        <f>IF(L464="","",IF(OR(O464="Cancelled",O464="No-Show"),"",L464-N(X464)-N(Y464)-AA464-AB464))</f>
        <v/>
      </c>
      <c r="AD464" s="99">
        <f>IF(OR(AC464="",N(L464)=0),"",AC464/L464)</f>
        <v/>
      </c>
      <c r="AE464" s="55">
        <f>IF(OR(AC464="",N(R464)=0),"",L464/R464)</f>
        <v/>
      </c>
      <c r="AF464" s="100">
        <f>IF(OR(N(K464)=0,N(J464)+N(Q464)=0),"",K464-IF(N(J464)&gt;0,J464,Q464))</f>
        <v/>
      </c>
      <c r="AG464" s="99">
        <f>IF(B464="","",IFERROR(AVERAGEIFS('QUALITY CONTROL'!$M$5:$M$304,'QUALITY CONTROL'!$B$5:$B$304,A464),""))</f>
        <v/>
      </c>
      <c r="AH464" s="51">
        <f>IF(B464="","",DATE(YEAR(B464),MONTH(B464),1))</f>
        <v/>
      </c>
      <c r="AI464" s="49">
        <f>IF(D464="","",IFERROR(INDEX('CUSTOMERS'!$E$5:$E$404,MATCH(D464,'CUSTOMERS'!$B$5:$B$404,0)),""))</f>
        <v/>
      </c>
      <c r="AJ464" s="49">
        <f>IF(B464="","",N(C464))</f>
        <v/>
      </c>
      <c r="AK464" s="49">
        <f>IF(OR(B464="",O464="Cancelled",O464="Rescheduled"),"",B464&amp;"|"&amp;(COUNTIFS('JOBS'!$B$5:$B$1504,B464,'JOBS'!$AJ$5:$AJ$1504,"&lt;"&amp;AJ464,'JOBS'!$O$5:$O$1504,"&lt;&gt;Cancelled",'JOBS'!$O$5:$O$1504,"&lt;&gt;Rescheduled")+COUNTIFS($B$5:B464,B464,$AJ$5:AJ464,AJ464,$O$5:O464,"&lt;&gt;Cancelled",$O$5:O464,"&lt;&gt;Rescheduled")))</f>
        <v/>
      </c>
      <c r="AL464" s="49">
        <f>IF(N(U464)&lt;=0.005,"",COUNTIFS('JOBS'!$U$5:$U$1504,"&gt;0.005",'JOBS'!$B$5:$B$1504,"&lt;"&amp;B464)+COUNTIFS($U$5:U464,"&gt;0.005",$B$5:B464,B464))</f>
        <v/>
      </c>
    </row>
    <row r="465">
      <c r="A465" s="46" t="inlineStr">
        <is>
          <t>J-0461</t>
        </is>
      </c>
      <c r="B465" s="47" t="n"/>
      <c r="C465" s="94" t="n"/>
      <c r="D465" s="38" t="n"/>
      <c r="E465" s="38" t="n"/>
      <c r="F465" s="38" t="n"/>
      <c r="G465" s="38" t="n"/>
      <c r="H465" s="38" t="n"/>
      <c r="I465" s="57" t="n"/>
      <c r="J465" s="95" t="n"/>
      <c r="K465" s="95" t="n"/>
      <c r="L465" s="48" t="n"/>
      <c r="M465" s="96" t="n"/>
      <c r="N465" s="48" t="n"/>
      <c r="O465" s="38" t="n"/>
      <c r="P465" s="38" t="n"/>
      <c r="Q465" s="97">
        <f>IF(OR(F465="",E465=""),"",IFERROR(IF(INDEX('PROPERTIES'!$F$5:$F$404,MATCH(E465,'PROPERTIES'!$B$5:$B$404,0))=0,"",ROUND((INDEX('PROPERTIES'!$F$5:$F$404,MATCH(E465,'PROPERTIES'!$B$5:$B$404,0))/INDEX('PRICING'!$C$7:$C$16,MATCH(F465,'PRICING'!$A$7:$A$16,0))+INDEX('PROPERTIES'!$G$5:$G$404,MATCH(E465,'PROPERTIES'!$B$5:$B$404,0))*INDEX('PRICING'!$D$7:$D$16,MATCH(F465,'PRICING'!$A$7:$A$16,0))/60+INDEX('PROPERTIES'!$H$5:$H$404,MATCH(E465,'PROPERTIES'!$B$5:$B$404,0))*INDEX('PRICING'!$E$7:$E$16,MATCH(F465,'PRICING'!$A$7:$A$16,0))/60+INDEX('PRICING'!$F$7:$F$16,MATCH(F465,'PRICING'!$A$7:$A$16,0))/60),2)),""))</f>
        <v/>
      </c>
      <c r="R465" s="97">
        <f>IF(B465="","",IF(N(K465)&gt;0,K465,IF(N(J465)&gt;0,J465,N(Q465))))</f>
        <v/>
      </c>
      <c r="S465" s="55">
        <f>IF(L465="","",ROUND(L465*(1+N(M465)),2))</f>
        <v/>
      </c>
      <c r="T465" s="55">
        <f>IF(B465="","",SUMIFS('REVENUE'!$C$5:$C$1504,'REVENUE'!$B$5:$B$1504,A465))</f>
        <v/>
      </c>
      <c r="U465" s="55">
        <f>IF(B465="","",IF(O465="Completed",MAX(0,N(S465)-T465),""))</f>
        <v/>
      </c>
      <c r="V465" s="49">
        <f>IF(B465="","",IF(O465&lt;&gt;"Completed",IF(T465&gt;0,"Deposit","—"),IF(U465&lt;=0.005,"Paid",IF(T465&gt;0,"Partial","Unpaid"))))</f>
        <v/>
      </c>
      <c r="W465" s="55">
        <f>IF(B465="","",IFERROR(1/(1/INDEX('STAFF &amp; TASKS'!$C$5:$C$24,MATCH(H465,'STAFF &amp; TASKS'!$A$5:$A$24,0))),PayRate))</f>
        <v/>
      </c>
      <c r="X465" s="55">
        <f>IF(B465="","",IF(OR(O465="Cancelled",O465="No-Show"),"",ROUND(R465*W465*(1+Burden),2)))</f>
        <v/>
      </c>
      <c r="Y465" s="55">
        <f>IF(B465="","",IF(OR(O465="Cancelled",O465="No-Show"),"",IF(N465&lt;&gt;"",N465,ROUND(R465*SupHr*IFERROR(INDEX('PRICING'!$G$7:$G$16,MATCH(F465,'PRICING'!$A$7:$A$16,0)),1),2))))</f>
        <v/>
      </c>
      <c r="Z465" s="98">
        <f>IF(B465="","",SUMIFS('MILEAGE'!$J$5:$J$1504,'MILEAGE'!$B$5:$B$1504,A465))</f>
        <v/>
      </c>
      <c r="AA465" s="55">
        <f>IF(B465="","",ROUND(Z465*MileRate,2))</f>
        <v/>
      </c>
      <c r="AB465" s="55">
        <f>IF(B465="","",SUMIFS('REVENUE'!$J$5:$J$1504,'REVENUE'!$B$5:$B$1504,A465))</f>
        <v/>
      </c>
      <c r="AC465" s="55">
        <f>IF(L465="","",IF(OR(O465="Cancelled",O465="No-Show"),"",L465-N(X465)-N(Y465)-AA465-AB465))</f>
        <v/>
      </c>
      <c r="AD465" s="99">
        <f>IF(OR(AC465="",N(L465)=0),"",AC465/L465)</f>
        <v/>
      </c>
      <c r="AE465" s="55">
        <f>IF(OR(AC465="",N(R465)=0),"",L465/R465)</f>
        <v/>
      </c>
      <c r="AF465" s="100">
        <f>IF(OR(N(K465)=0,N(J465)+N(Q465)=0),"",K465-IF(N(J465)&gt;0,J465,Q465))</f>
        <v/>
      </c>
      <c r="AG465" s="99">
        <f>IF(B465="","",IFERROR(AVERAGEIFS('QUALITY CONTROL'!$M$5:$M$304,'QUALITY CONTROL'!$B$5:$B$304,A465),""))</f>
        <v/>
      </c>
      <c r="AH465" s="51">
        <f>IF(B465="","",DATE(YEAR(B465),MONTH(B465),1))</f>
        <v/>
      </c>
      <c r="AI465" s="49">
        <f>IF(D465="","",IFERROR(INDEX('CUSTOMERS'!$E$5:$E$404,MATCH(D465,'CUSTOMERS'!$B$5:$B$404,0)),""))</f>
        <v/>
      </c>
      <c r="AJ465" s="49">
        <f>IF(B465="","",N(C465))</f>
        <v/>
      </c>
      <c r="AK465" s="49">
        <f>IF(OR(B465="",O465="Cancelled",O465="Rescheduled"),"",B465&amp;"|"&amp;(COUNTIFS('JOBS'!$B$5:$B$1504,B465,'JOBS'!$AJ$5:$AJ$1504,"&lt;"&amp;AJ465,'JOBS'!$O$5:$O$1504,"&lt;&gt;Cancelled",'JOBS'!$O$5:$O$1504,"&lt;&gt;Rescheduled")+COUNTIFS($B$5:B465,B465,$AJ$5:AJ465,AJ465,$O$5:O465,"&lt;&gt;Cancelled",$O$5:O465,"&lt;&gt;Rescheduled")))</f>
        <v/>
      </c>
      <c r="AL465" s="49">
        <f>IF(N(U465)&lt;=0.005,"",COUNTIFS('JOBS'!$U$5:$U$1504,"&gt;0.005",'JOBS'!$B$5:$B$1504,"&lt;"&amp;B465)+COUNTIFS($U$5:U465,"&gt;0.005",$B$5:B465,B465))</f>
        <v/>
      </c>
    </row>
    <row r="466">
      <c r="A466" s="46" t="inlineStr">
        <is>
          <t>J-0462</t>
        </is>
      </c>
      <c r="B466" s="47" t="n"/>
      <c r="C466" s="94" t="n"/>
      <c r="D466" s="38" t="n"/>
      <c r="E466" s="38" t="n"/>
      <c r="F466" s="38" t="n"/>
      <c r="G466" s="38" t="n"/>
      <c r="H466" s="38" t="n"/>
      <c r="I466" s="57" t="n"/>
      <c r="J466" s="95" t="n"/>
      <c r="K466" s="95" t="n"/>
      <c r="L466" s="48" t="n"/>
      <c r="M466" s="96" t="n"/>
      <c r="N466" s="48" t="n"/>
      <c r="O466" s="38" t="n"/>
      <c r="P466" s="38" t="n"/>
      <c r="Q466" s="97">
        <f>IF(OR(F466="",E466=""),"",IFERROR(IF(INDEX('PROPERTIES'!$F$5:$F$404,MATCH(E466,'PROPERTIES'!$B$5:$B$404,0))=0,"",ROUND((INDEX('PROPERTIES'!$F$5:$F$404,MATCH(E466,'PROPERTIES'!$B$5:$B$404,0))/INDEX('PRICING'!$C$7:$C$16,MATCH(F466,'PRICING'!$A$7:$A$16,0))+INDEX('PROPERTIES'!$G$5:$G$404,MATCH(E466,'PROPERTIES'!$B$5:$B$404,0))*INDEX('PRICING'!$D$7:$D$16,MATCH(F466,'PRICING'!$A$7:$A$16,0))/60+INDEX('PROPERTIES'!$H$5:$H$404,MATCH(E466,'PROPERTIES'!$B$5:$B$404,0))*INDEX('PRICING'!$E$7:$E$16,MATCH(F466,'PRICING'!$A$7:$A$16,0))/60+INDEX('PRICING'!$F$7:$F$16,MATCH(F466,'PRICING'!$A$7:$A$16,0))/60),2)),""))</f>
        <v/>
      </c>
      <c r="R466" s="97">
        <f>IF(B466="","",IF(N(K466)&gt;0,K466,IF(N(J466)&gt;0,J466,N(Q466))))</f>
        <v/>
      </c>
      <c r="S466" s="55">
        <f>IF(L466="","",ROUND(L466*(1+N(M466)),2))</f>
        <v/>
      </c>
      <c r="T466" s="55">
        <f>IF(B466="","",SUMIFS('REVENUE'!$C$5:$C$1504,'REVENUE'!$B$5:$B$1504,A466))</f>
        <v/>
      </c>
      <c r="U466" s="55">
        <f>IF(B466="","",IF(O466="Completed",MAX(0,N(S466)-T466),""))</f>
        <v/>
      </c>
      <c r="V466" s="49">
        <f>IF(B466="","",IF(O466&lt;&gt;"Completed",IF(T466&gt;0,"Deposit","—"),IF(U466&lt;=0.005,"Paid",IF(T466&gt;0,"Partial","Unpaid"))))</f>
        <v/>
      </c>
      <c r="W466" s="55">
        <f>IF(B466="","",IFERROR(1/(1/INDEX('STAFF &amp; TASKS'!$C$5:$C$24,MATCH(H466,'STAFF &amp; TASKS'!$A$5:$A$24,0))),PayRate))</f>
        <v/>
      </c>
      <c r="X466" s="55">
        <f>IF(B466="","",IF(OR(O466="Cancelled",O466="No-Show"),"",ROUND(R466*W466*(1+Burden),2)))</f>
        <v/>
      </c>
      <c r="Y466" s="55">
        <f>IF(B466="","",IF(OR(O466="Cancelled",O466="No-Show"),"",IF(N466&lt;&gt;"",N466,ROUND(R466*SupHr*IFERROR(INDEX('PRICING'!$G$7:$G$16,MATCH(F466,'PRICING'!$A$7:$A$16,0)),1),2))))</f>
        <v/>
      </c>
      <c r="Z466" s="98">
        <f>IF(B466="","",SUMIFS('MILEAGE'!$J$5:$J$1504,'MILEAGE'!$B$5:$B$1504,A466))</f>
        <v/>
      </c>
      <c r="AA466" s="55">
        <f>IF(B466="","",ROUND(Z466*MileRate,2))</f>
        <v/>
      </c>
      <c r="AB466" s="55">
        <f>IF(B466="","",SUMIFS('REVENUE'!$J$5:$J$1504,'REVENUE'!$B$5:$B$1504,A466))</f>
        <v/>
      </c>
      <c r="AC466" s="55">
        <f>IF(L466="","",IF(OR(O466="Cancelled",O466="No-Show"),"",L466-N(X466)-N(Y466)-AA466-AB466))</f>
        <v/>
      </c>
      <c r="AD466" s="99">
        <f>IF(OR(AC466="",N(L466)=0),"",AC466/L466)</f>
        <v/>
      </c>
      <c r="AE466" s="55">
        <f>IF(OR(AC466="",N(R466)=0),"",L466/R466)</f>
        <v/>
      </c>
      <c r="AF466" s="100">
        <f>IF(OR(N(K466)=0,N(J466)+N(Q466)=0),"",K466-IF(N(J466)&gt;0,J466,Q466))</f>
        <v/>
      </c>
      <c r="AG466" s="99">
        <f>IF(B466="","",IFERROR(AVERAGEIFS('QUALITY CONTROL'!$M$5:$M$304,'QUALITY CONTROL'!$B$5:$B$304,A466),""))</f>
        <v/>
      </c>
      <c r="AH466" s="51">
        <f>IF(B466="","",DATE(YEAR(B466),MONTH(B466),1))</f>
        <v/>
      </c>
      <c r="AI466" s="49">
        <f>IF(D466="","",IFERROR(INDEX('CUSTOMERS'!$E$5:$E$404,MATCH(D466,'CUSTOMERS'!$B$5:$B$404,0)),""))</f>
        <v/>
      </c>
      <c r="AJ466" s="49">
        <f>IF(B466="","",N(C466))</f>
        <v/>
      </c>
      <c r="AK466" s="49">
        <f>IF(OR(B466="",O466="Cancelled",O466="Rescheduled"),"",B466&amp;"|"&amp;(COUNTIFS('JOBS'!$B$5:$B$1504,B466,'JOBS'!$AJ$5:$AJ$1504,"&lt;"&amp;AJ466,'JOBS'!$O$5:$O$1504,"&lt;&gt;Cancelled",'JOBS'!$O$5:$O$1504,"&lt;&gt;Rescheduled")+COUNTIFS($B$5:B466,B466,$AJ$5:AJ466,AJ466,$O$5:O466,"&lt;&gt;Cancelled",$O$5:O466,"&lt;&gt;Rescheduled")))</f>
        <v/>
      </c>
      <c r="AL466" s="49">
        <f>IF(N(U466)&lt;=0.005,"",COUNTIFS('JOBS'!$U$5:$U$1504,"&gt;0.005",'JOBS'!$B$5:$B$1504,"&lt;"&amp;B466)+COUNTIFS($U$5:U466,"&gt;0.005",$B$5:B466,B466))</f>
        <v/>
      </c>
    </row>
    <row r="467">
      <c r="A467" s="46" t="inlineStr">
        <is>
          <t>J-0463</t>
        </is>
      </c>
      <c r="B467" s="47" t="n"/>
      <c r="C467" s="94" t="n"/>
      <c r="D467" s="38" t="n"/>
      <c r="E467" s="38" t="n"/>
      <c r="F467" s="38" t="n"/>
      <c r="G467" s="38" t="n"/>
      <c r="H467" s="38" t="n"/>
      <c r="I467" s="57" t="n"/>
      <c r="J467" s="95" t="n"/>
      <c r="K467" s="95" t="n"/>
      <c r="L467" s="48" t="n"/>
      <c r="M467" s="96" t="n"/>
      <c r="N467" s="48" t="n"/>
      <c r="O467" s="38" t="n"/>
      <c r="P467" s="38" t="n"/>
      <c r="Q467" s="97">
        <f>IF(OR(F467="",E467=""),"",IFERROR(IF(INDEX('PROPERTIES'!$F$5:$F$404,MATCH(E467,'PROPERTIES'!$B$5:$B$404,0))=0,"",ROUND((INDEX('PROPERTIES'!$F$5:$F$404,MATCH(E467,'PROPERTIES'!$B$5:$B$404,0))/INDEX('PRICING'!$C$7:$C$16,MATCH(F467,'PRICING'!$A$7:$A$16,0))+INDEX('PROPERTIES'!$G$5:$G$404,MATCH(E467,'PROPERTIES'!$B$5:$B$404,0))*INDEX('PRICING'!$D$7:$D$16,MATCH(F467,'PRICING'!$A$7:$A$16,0))/60+INDEX('PROPERTIES'!$H$5:$H$404,MATCH(E467,'PROPERTIES'!$B$5:$B$404,0))*INDEX('PRICING'!$E$7:$E$16,MATCH(F467,'PRICING'!$A$7:$A$16,0))/60+INDEX('PRICING'!$F$7:$F$16,MATCH(F467,'PRICING'!$A$7:$A$16,0))/60),2)),""))</f>
        <v/>
      </c>
      <c r="R467" s="97">
        <f>IF(B467="","",IF(N(K467)&gt;0,K467,IF(N(J467)&gt;0,J467,N(Q467))))</f>
        <v/>
      </c>
      <c r="S467" s="55">
        <f>IF(L467="","",ROUND(L467*(1+N(M467)),2))</f>
        <v/>
      </c>
      <c r="T467" s="55">
        <f>IF(B467="","",SUMIFS('REVENUE'!$C$5:$C$1504,'REVENUE'!$B$5:$B$1504,A467))</f>
        <v/>
      </c>
      <c r="U467" s="55">
        <f>IF(B467="","",IF(O467="Completed",MAX(0,N(S467)-T467),""))</f>
        <v/>
      </c>
      <c r="V467" s="49">
        <f>IF(B467="","",IF(O467&lt;&gt;"Completed",IF(T467&gt;0,"Deposit","—"),IF(U467&lt;=0.005,"Paid",IF(T467&gt;0,"Partial","Unpaid"))))</f>
        <v/>
      </c>
      <c r="W467" s="55">
        <f>IF(B467="","",IFERROR(1/(1/INDEX('STAFF &amp; TASKS'!$C$5:$C$24,MATCH(H467,'STAFF &amp; TASKS'!$A$5:$A$24,0))),PayRate))</f>
        <v/>
      </c>
      <c r="X467" s="55">
        <f>IF(B467="","",IF(OR(O467="Cancelled",O467="No-Show"),"",ROUND(R467*W467*(1+Burden),2)))</f>
        <v/>
      </c>
      <c r="Y467" s="55">
        <f>IF(B467="","",IF(OR(O467="Cancelled",O467="No-Show"),"",IF(N467&lt;&gt;"",N467,ROUND(R467*SupHr*IFERROR(INDEX('PRICING'!$G$7:$G$16,MATCH(F467,'PRICING'!$A$7:$A$16,0)),1),2))))</f>
        <v/>
      </c>
      <c r="Z467" s="98">
        <f>IF(B467="","",SUMIFS('MILEAGE'!$J$5:$J$1504,'MILEAGE'!$B$5:$B$1504,A467))</f>
        <v/>
      </c>
      <c r="AA467" s="55">
        <f>IF(B467="","",ROUND(Z467*MileRate,2))</f>
        <v/>
      </c>
      <c r="AB467" s="55">
        <f>IF(B467="","",SUMIFS('REVENUE'!$J$5:$J$1504,'REVENUE'!$B$5:$B$1504,A467))</f>
        <v/>
      </c>
      <c r="AC467" s="55">
        <f>IF(L467="","",IF(OR(O467="Cancelled",O467="No-Show"),"",L467-N(X467)-N(Y467)-AA467-AB467))</f>
        <v/>
      </c>
      <c r="AD467" s="99">
        <f>IF(OR(AC467="",N(L467)=0),"",AC467/L467)</f>
        <v/>
      </c>
      <c r="AE467" s="55">
        <f>IF(OR(AC467="",N(R467)=0),"",L467/R467)</f>
        <v/>
      </c>
      <c r="AF467" s="100">
        <f>IF(OR(N(K467)=0,N(J467)+N(Q467)=0),"",K467-IF(N(J467)&gt;0,J467,Q467))</f>
        <v/>
      </c>
      <c r="AG467" s="99">
        <f>IF(B467="","",IFERROR(AVERAGEIFS('QUALITY CONTROL'!$M$5:$M$304,'QUALITY CONTROL'!$B$5:$B$304,A467),""))</f>
        <v/>
      </c>
      <c r="AH467" s="51">
        <f>IF(B467="","",DATE(YEAR(B467),MONTH(B467),1))</f>
        <v/>
      </c>
      <c r="AI467" s="49">
        <f>IF(D467="","",IFERROR(INDEX('CUSTOMERS'!$E$5:$E$404,MATCH(D467,'CUSTOMERS'!$B$5:$B$404,0)),""))</f>
        <v/>
      </c>
      <c r="AJ467" s="49">
        <f>IF(B467="","",N(C467))</f>
        <v/>
      </c>
      <c r="AK467" s="49">
        <f>IF(OR(B467="",O467="Cancelled",O467="Rescheduled"),"",B467&amp;"|"&amp;(COUNTIFS('JOBS'!$B$5:$B$1504,B467,'JOBS'!$AJ$5:$AJ$1504,"&lt;"&amp;AJ467,'JOBS'!$O$5:$O$1504,"&lt;&gt;Cancelled",'JOBS'!$O$5:$O$1504,"&lt;&gt;Rescheduled")+COUNTIFS($B$5:B467,B467,$AJ$5:AJ467,AJ467,$O$5:O467,"&lt;&gt;Cancelled",$O$5:O467,"&lt;&gt;Rescheduled")))</f>
        <v/>
      </c>
      <c r="AL467" s="49">
        <f>IF(N(U467)&lt;=0.005,"",COUNTIFS('JOBS'!$U$5:$U$1504,"&gt;0.005",'JOBS'!$B$5:$B$1504,"&lt;"&amp;B467)+COUNTIFS($U$5:U467,"&gt;0.005",$B$5:B467,B467))</f>
        <v/>
      </c>
    </row>
    <row r="468">
      <c r="A468" s="46" t="inlineStr">
        <is>
          <t>J-0464</t>
        </is>
      </c>
      <c r="B468" s="47" t="n"/>
      <c r="C468" s="94" t="n"/>
      <c r="D468" s="38" t="n"/>
      <c r="E468" s="38" t="n"/>
      <c r="F468" s="38" t="n"/>
      <c r="G468" s="38" t="n"/>
      <c r="H468" s="38" t="n"/>
      <c r="I468" s="57" t="n"/>
      <c r="J468" s="95" t="n"/>
      <c r="K468" s="95" t="n"/>
      <c r="L468" s="48" t="n"/>
      <c r="M468" s="96" t="n"/>
      <c r="N468" s="48" t="n"/>
      <c r="O468" s="38" t="n"/>
      <c r="P468" s="38" t="n"/>
      <c r="Q468" s="97">
        <f>IF(OR(F468="",E468=""),"",IFERROR(IF(INDEX('PROPERTIES'!$F$5:$F$404,MATCH(E468,'PROPERTIES'!$B$5:$B$404,0))=0,"",ROUND((INDEX('PROPERTIES'!$F$5:$F$404,MATCH(E468,'PROPERTIES'!$B$5:$B$404,0))/INDEX('PRICING'!$C$7:$C$16,MATCH(F468,'PRICING'!$A$7:$A$16,0))+INDEX('PROPERTIES'!$G$5:$G$404,MATCH(E468,'PROPERTIES'!$B$5:$B$404,0))*INDEX('PRICING'!$D$7:$D$16,MATCH(F468,'PRICING'!$A$7:$A$16,0))/60+INDEX('PROPERTIES'!$H$5:$H$404,MATCH(E468,'PROPERTIES'!$B$5:$B$404,0))*INDEX('PRICING'!$E$7:$E$16,MATCH(F468,'PRICING'!$A$7:$A$16,0))/60+INDEX('PRICING'!$F$7:$F$16,MATCH(F468,'PRICING'!$A$7:$A$16,0))/60),2)),""))</f>
        <v/>
      </c>
      <c r="R468" s="97">
        <f>IF(B468="","",IF(N(K468)&gt;0,K468,IF(N(J468)&gt;0,J468,N(Q468))))</f>
        <v/>
      </c>
      <c r="S468" s="55">
        <f>IF(L468="","",ROUND(L468*(1+N(M468)),2))</f>
        <v/>
      </c>
      <c r="T468" s="55">
        <f>IF(B468="","",SUMIFS('REVENUE'!$C$5:$C$1504,'REVENUE'!$B$5:$B$1504,A468))</f>
        <v/>
      </c>
      <c r="U468" s="55">
        <f>IF(B468="","",IF(O468="Completed",MAX(0,N(S468)-T468),""))</f>
        <v/>
      </c>
      <c r="V468" s="49">
        <f>IF(B468="","",IF(O468&lt;&gt;"Completed",IF(T468&gt;0,"Deposit","—"),IF(U468&lt;=0.005,"Paid",IF(T468&gt;0,"Partial","Unpaid"))))</f>
        <v/>
      </c>
      <c r="W468" s="55">
        <f>IF(B468="","",IFERROR(1/(1/INDEX('STAFF &amp; TASKS'!$C$5:$C$24,MATCH(H468,'STAFF &amp; TASKS'!$A$5:$A$24,0))),PayRate))</f>
        <v/>
      </c>
      <c r="X468" s="55">
        <f>IF(B468="","",IF(OR(O468="Cancelled",O468="No-Show"),"",ROUND(R468*W468*(1+Burden),2)))</f>
        <v/>
      </c>
      <c r="Y468" s="55">
        <f>IF(B468="","",IF(OR(O468="Cancelled",O468="No-Show"),"",IF(N468&lt;&gt;"",N468,ROUND(R468*SupHr*IFERROR(INDEX('PRICING'!$G$7:$G$16,MATCH(F468,'PRICING'!$A$7:$A$16,0)),1),2))))</f>
        <v/>
      </c>
      <c r="Z468" s="98">
        <f>IF(B468="","",SUMIFS('MILEAGE'!$J$5:$J$1504,'MILEAGE'!$B$5:$B$1504,A468))</f>
        <v/>
      </c>
      <c r="AA468" s="55">
        <f>IF(B468="","",ROUND(Z468*MileRate,2))</f>
        <v/>
      </c>
      <c r="AB468" s="55">
        <f>IF(B468="","",SUMIFS('REVENUE'!$J$5:$J$1504,'REVENUE'!$B$5:$B$1504,A468))</f>
        <v/>
      </c>
      <c r="AC468" s="55">
        <f>IF(L468="","",IF(OR(O468="Cancelled",O468="No-Show"),"",L468-N(X468)-N(Y468)-AA468-AB468))</f>
        <v/>
      </c>
      <c r="AD468" s="99">
        <f>IF(OR(AC468="",N(L468)=0),"",AC468/L468)</f>
        <v/>
      </c>
      <c r="AE468" s="55">
        <f>IF(OR(AC468="",N(R468)=0),"",L468/R468)</f>
        <v/>
      </c>
      <c r="AF468" s="100">
        <f>IF(OR(N(K468)=0,N(J468)+N(Q468)=0),"",K468-IF(N(J468)&gt;0,J468,Q468))</f>
        <v/>
      </c>
      <c r="AG468" s="99">
        <f>IF(B468="","",IFERROR(AVERAGEIFS('QUALITY CONTROL'!$M$5:$M$304,'QUALITY CONTROL'!$B$5:$B$304,A468),""))</f>
        <v/>
      </c>
      <c r="AH468" s="51">
        <f>IF(B468="","",DATE(YEAR(B468),MONTH(B468),1))</f>
        <v/>
      </c>
      <c r="AI468" s="49">
        <f>IF(D468="","",IFERROR(INDEX('CUSTOMERS'!$E$5:$E$404,MATCH(D468,'CUSTOMERS'!$B$5:$B$404,0)),""))</f>
        <v/>
      </c>
      <c r="AJ468" s="49">
        <f>IF(B468="","",N(C468))</f>
        <v/>
      </c>
      <c r="AK468" s="49">
        <f>IF(OR(B468="",O468="Cancelled",O468="Rescheduled"),"",B468&amp;"|"&amp;(COUNTIFS('JOBS'!$B$5:$B$1504,B468,'JOBS'!$AJ$5:$AJ$1504,"&lt;"&amp;AJ468,'JOBS'!$O$5:$O$1504,"&lt;&gt;Cancelled",'JOBS'!$O$5:$O$1504,"&lt;&gt;Rescheduled")+COUNTIFS($B$5:B468,B468,$AJ$5:AJ468,AJ468,$O$5:O468,"&lt;&gt;Cancelled",$O$5:O468,"&lt;&gt;Rescheduled")))</f>
        <v/>
      </c>
      <c r="AL468" s="49">
        <f>IF(N(U468)&lt;=0.005,"",COUNTIFS('JOBS'!$U$5:$U$1504,"&gt;0.005",'JOBS'!$B$5:$B$1504,"&lt;"&amp;B468)+COUNTIFS($U$5:U468,"&gt;0.005",$B$5:B468,B468))</f>
        <v/>
      </c>
    </row>
    <row r="469">
      <c r="A469" s="46" t="inlineStr">
        <is>
          <t>J-0465</t>
        </is>
      </c>
      <c r="B469" s="47" t="n"/>
      <c r="C469" s="94" t="n"/>
      <c r="D469" s="38" t="n"/>
      <c r="E469" s="38" t="n"/>
      <c r="F469" s="38" t="n"/>
      <c r="G469" s="38" t="n"/>
      <c r="H469" s="38" t="n"/>
      <c r="I469" s="57" t="n"/>
      <c r="J469" s="95" t="n"/>
      <c r="K469" s="95" t="n"/>
      <c r="L469" s="48" t="n"/>
      <c r="M469" s="96" t="n"/>
      <c r="N469" s="48" t="n"/>
      <c r="O469" s="38" t="n"/>
      <c r="P469" s="38" t="n"/>
      <c r="Q469" s="97">
        <f>IF(OR(F469="",E469=""),"",IFERROR(IF(INDEX('PROPERTIES'!$F$5:$F$404,MATCH(E469,'PROPERTIES'!$B$5:$B$404,0))=0,"",ROUND((INDEX('PROPERTIES'!$F$5:$F$404,MATCH(E469,'PROPERTIES'!$B$5:$B$404,0))/INDEX('PRICING'!$C$7:$C$16,MATCH(F469,'PRICING'!$A$7:$A$16,0))+INDEX('PROPERTIES'!$G$5:$G$404,MATCH(E469,'PROPERTIES'!$B$5:$B$404,0))*INDEX('PRICING'!$D$7:$D$16,MATCH(F469,'PRICING'!$A$7:$A$16,0))/60+INDEX('PROPERTIES'!$H$5:$H$404,MATCH(E469,'PROPERTIES'!$B$5:$B$404,0))*INDEX('PRICING'!$E$7:$E$16,MATCH(F469,'PRICING'!$A$7:$A$16,0))/60+INDEX('PRICING'!$F$7:$F$16,MATCH(F469,'PRICING'!$A$7:$A$16,0))/60),2)),""))</f>
        <v/>
      </c>
      <c r="R469" s="97">
        <f>IF(B469="","",IF(N(K469)&gt;0,K469,IF(N(J469)&gt;0,J469,N(Q469))))</f>
        <v/>
      </c>
      <c r="S469" s="55">
        <f>IF(L469="","",ROUND(L469*(1+N(M469)),2))</f>
        <v/>
      </c>
      <c r="T469" s="55">
        <f>IF(B469="","",SUMIFS('REVENUE'!$C$5:$C$1504,'REVENUE'!$B$5:$B$1504,A469))</f>
        <v/>
      </c>
      <c r="U469" s="55">
        <f>IF(B469="","",IF(O469="Completed",MAX(0,N(S469)-T469),""))</f>
        <v/>
      </c>
      <c r="V469" s="49">
        <f>IF(B469="","",IF(O469&lt;&gt;"Completed",IF(T469&gt;0,"Deposit","—"),IF(U469&lt;=0.005,"Paid",IF(T469&gt;0,"Partial","Unpaid"))))</f>
        <v/>
      </c>
      <c r="W469" s="55">
        <f>IF(B469="","",IFERROR(1/(1/INDEX('STAFF &amp; TASKS'!$C$5:$C$24,MATCH(H469,'STAFF &amp; TASKS'!$A$5:$A$24,0))),PayRate))</f>
        <v/>
      </c>
      <c r="X469" s="55">
        <f>IF(B469="","",IF(OR(O469="Cancelled",O469="No-Show"),"",ROUND(R469*W469*(1+Burden),2)))</f>
        <v/>
      </c>
      <c r="Y469" s="55">
        <f>IF(B469="","",IF(OR(O469="Cancelled",O469="No-Show"),"",IF(N469&lt;&gt;"",N469,ROUND(R469*SupHr*IFERROR(INDEX('PRICING'!$G$7:$G$16,MATCH(F469,'PRICING'!$A$7:$A$16,0)),1),2))))</f>
        <v/>
      </c>
      <c r="Z469" s="98">
        <f>IF(B469="","",SUMIFS('MILEAGE'!$J$5:$J$1504,'MILEAGE'!$B$5:$B$1504,A469))</f>
        <v/>
      </c>
      <c r="AA469" s="55">
        <f>IF(B469="","",ROUND(Z469*MileRate,2))</f>
        <v/>
      </c>
      <c r="AB469" s="55">
        <f>IF(B469="","",SUMIFS('REVENUE'!$J$5:$J$1504,'REVENUE'!$B$5:$B$1504,A469))</f>
        <v/>
      </c>
      <c r="AC469" s="55">
        <f>IF(L469="","",IF(OR(O469="Cancelled",O469="No-Show"),"",L469-N(X469)-N(Y469)-AA469-AB469))</f>
        <v/>
      </c>
      <c r="AD469" s="99">
        <f>IF(OR(AC469="",N(L469)=0),"",AC469/L469)</f>
        <v/>
      </c>
      <c r="AE469" s="55">
        <f>IF(OR(AC469="",N(R469)=0),"",L469/R469)</f>
        <v/>
      </c>
      <c r="AF469" s="100">
        <f>IF(OR(N(K469)=0,N(J469)+N(Q469)=0),"",K469-IF(N(J469)&gt;0,J469,Q469))</f>
        <v/>
      </c>
      <c r="AG469" s="99">
        <f>IF(B469="","",IFERROR(AVERAGEIFS('QUALITY CONTROL'!$M$5:$M$304,'QUALITY CONTROL'!$B$5:$B$304,A469),""))</f>
        <v/>
      </c>
      <c r="AH469" s="51">
        <f>IF(B469="","",DATE(YEAR(B469),MONTH(B469),1))</f>
        <v/>
      </c>
      <c r="AI469" s="49">
        <f>IF(D469="","",IFERROR(INDEX('CUSTOMERS'!$E$5:$E$404,MATCH(D469,'CUSTOMERS'!$B$5:$B$404,0)),""))</f>
        <v/>
      </c>
      <c r="AJ469" s="49">
        <f>IF(B469="","",N(C469))</f>
        <v/>
      </c>
      <c r="AK469" s="49">
        <f>IF(OR(B469="",O469="Cancelled",O469="Rescheduled"),"",B469&amp;"|"&amp;(COUNTIFS('JOBS'!$B$5:$B$1504,B469,'JOBS'!$AJ$5:$AJ$1504,"&lt;"&amp;AJ469,'JOBS'!$O$5:$O$1504,"&lt;&gt;Cancelled",'JOBS'!$O$5:$O$1504,"&lt;&gt;Rescheduled")+COUNTIFS($B$5:B469,B469,$AJ$5:AJ469,AJ469,$O$5:O469,"&lt;&gt;Cancelled",$O$5:O469,"&lt;&gt;Rescheduled")))</f>
        <v/>
      </c>
      <c r="AL469" s="49">
        <f>IF(N(U469)&lt;=0.005,"",COUNTIFS('JOBS'!$U$5:$U$1504,"&gt;0.005",'JOBS'!$B$5:$B$1504,"&lt;"&amp;B469)+COUNTIFS($U$5:U469,"&gt;0.005",$B$5:B469,B469))</f>
        <v/>
      </c>
    </row>
    <row r="470">
      <c r="A470" s="46" t="inlineStr">
        <is>
          <t>J-0466</t>
        </is>
      </c>
      <c r="B470" s="47" t="n"/>
      <c r="C470" s="94" t="n"/>
      <c r="D470" s="38" t="n"/>
      <c r="E470" s="38" t="n"/>
      <c r="F470" s="38" t="n"/>
      <c r="G470" s="38" t="n"/>
      <c r="H470" s="38" t="n"/>
      <c r="I470" s="57" t="n"/>
      <c r="J470" s="95" t="n"/>
      <c r="K470" s="95" t="n"/>
      <c r="L470" s="48" t="n"/>
      <c r="M470" s="96" t="n"/>
      <c r="N470" s="48" t="n"/>
      <c r="O470" s="38" t="n"/>
      <c r="P470" s="38" t="n"/>
      <c r="Q470" s="97">
        <f>IF(OR(F470="",E470=""),"",IFERROR(IF(INDEX('PROPERTIES'!$F$5:$F$404,MATCH(E470,'PROPERTIES'!$B$5:$B$404,0))=0,"",ROUND((INDEX('PROPERTIES'!$F$5:$F$404,MATCH(E470,'PROPERTIES'!$B$5:$B$404,0))/INDEX('PRICING'!$C$7:$C$16,MATCH(F470,'PRICING'!$A$7:$A$16,0))+INDEX('PROPERTIES'!$G$5:$G$404,MATCH(E470,'PROPERTIES'!$B$5:$B$404,0))*INDEX('PRICING'!$D$7:$D$16,MATCH(F470,'PRICING'!$A$7:$A$16,0))/60+INDEX('PROPERTIES'!$H$5:$H$404,MATCH(E470,'PROPERTIES'!$B$5:$B$404,0))*INDEX('PRICING'!$E$7:$E$16,MATCH(F470,'PRICING'!$A$7:$A$16,0))/60+INDEX('PRICING'!$F$7:$F$16,MATCH(F470,'PRICING'!$A$7:$A$16,0))/60),2)),""))</f>
        <v/>
      </c>
      <c r="R470" s="97">
        <f>IF(B470="","",IF(N(K470)&gt;0,K470,IF(N(J470)&gt;0,J470,N(Q470))))</f>
        <v/>
      </c>
      <c r="S470" s="55">
        <f>IF(L470="","",ROUND(L470*(1+N(M470)),2))</f>
        <v/>
      </c>
      <c r="T470" s="55">
        <f>IF(B470="","",SUMIFS('REVENUE'!$C$5:$C$1504,'REVENUE'!$B$5:$B$1504,A470))</f>
        <v/>
      </c>
      <c r="U470" s="55">
        <f>IF(B470="","",IF(O470="Completed",MAX(0,N(S470)-T470),""))</f>
        <v/>
      </c>
      <c r="V470" s="49">
        <f>IF(B470="","",IF(O470&lt;&gt;"Completed",IF(T470&gt;0,"Deposit","—"),IF(U470&lt;=0.005,"Paid",IF(T470&gt;0,"Partial","Unpaid"))))</f>
        <v/>
      </c>
      <c r="W470" s="55">
        <f>IF(B470="","",IFERROR(1/(1/INDEX('STAFF &amp; TASKS'!$C$5:$C$24,MATCH(H470,'STAFF &amp; TASKS'!$A$5:$A$24,0))),PayRate))</f>
        <v/>
      </c>
      <c r="X470" s="55">
        <f>IF(B470="","",IF(OR(O470="Cancelled",O470="No-Show"),"",ROUND(R470*W470*(1+Burden),2)))</f>
        <v/>
      </c>
      <c r="Y470" s="55">
        <f>IF(B470="","",IF(OR(O470="Cancelled",O470="No-Show"),"",IF(N470&lt;&gt;"",N470,ROUND(R470*SupHr*IFERROR(INDEX('PRICING'!$G$7:$G$16,MATCH(F470,'PRICING'!$A$7:$A$16,0)),1),2))))</f>
        <v/>
      </c>
      <c r="Z470" s="98">
        <f>IF(B470="","",SUMIFS('MILEAGE'!$J$5:$J$1504,'MILEAGE'!$B$5:$B$1504,A470))</f>
        <v/>
      </c>
      <c r="AA470" s="55">
        <f>IF(B470="","",ROUND(Z470*MileRate,2))</f>
        <v/>
      </c>
      <c r="AB470" s="55">
        <f>IF(B470="","",SUMIFS('REVENUE'!$J$5:$J$1504,'REVENUE'!$B$5:$B$1504,A470))</f>
        <v/>
      </c>
      <c r="AC470" s="55">
        <f>IF(L470="","",IF(OR(O470="Cancelled",O470="No-Show"),"",L470-N(X470)-N(Y470)-AA470-AB470))</f>
        <v/>
      </c>
      <c r="AD470" s="99">
        <f>IF(OR(AC470="",N(L470)=0),"",AC470/L470)</f>
        <v/>
      </c>
      <c r="AE470" s="55">
        <f>IF(OR(AC470="",N(R470)=0),"",L470/R470)</f>
        <v/>
      </c>
      <c r="AF470" s="100">
        <f>IF(OR(N(K470)=0,N(J470)+N(Q470)=0),"",K470-IF(N(J470)&gt;0,J470,Q470))</f>
        <v/>
      </c>
      <c r="AG470" s="99">
        <f>IF(B470="","",IFERROR(AVERAGEIFS('QUALITY CONTROL'!$M$5:$M$304,'QUALITY CONTROL'!$B$5:$B$304,A470),""))</f>
        <v/>
      </c>
      <c r="AH470" s="51">
        <f>IF(B470="","",DATE(YEAR(B470),MONTH(B470),1))</f>
        <v/>
      </c>
      <c r="AI470" s="49">
        <f>IF(D470="","",IFERROR(INDEX('CUSTOMERS'!$E$5:$E$404,MATCH(D470,'CUSTOMERS'!$B$5:$B$404,0)),""))</f>
        <v/>
      </c>
      <c r="AJ470" s="49">
        <f>IF(B470="","",N(C470))</f>
        <v/>
      </c>
      <c r="AK470" s="49">
        <f>IF(OR(B470="",O470="Cancelled",O470="Rescheduled"),"",B470&amp;"|"&amp;(COUNTIFS('JOBS'!$B$5:$B$1504,B470,'JOBS'!$AJ$5:$AJ$1504,"&lt;"&amp;AJ470,'JOBS'!$O$5:$O$1504,"&lt;&gt;Cancelled",'JOBS'!$O$5:$O$1504,"&lt;&gt;Rescheduled")+COUNTIFS($B$5:B470,B470,$AJ$5:AJ470,AJ470,$O$5:O470,"&lt;&gt;Cancelled",$O$5:O470,"&lt;&gt;Rescheduled")))</f>
        <v/>
      </c>
      <c r="AL470" s="49">
        <f>IF(N(U470)&lt;=0.005,"",COUNTIFS('JOBS'!$U$5:$U$1504,"&gt;0.005",'JOBS'!$B$5:$B$1504,"&lt;"&amp;B470)+COUNTIFS($U$5:U470,"&gt;0.005",$B$5:B470,B470))</f>
        <v/>
      </c>
    </row>
    <row r="471">
      <c r="A471" s="46" t="inlineStr">
        <is>
          <t>J-0467</t>
        </is>
      </c>
      <c r="B471" s="47" t="n"/>
      <c r="C471" s="94" t="n"/>
      <c r="D471" s="38" t="n"/>
      <c r="E471" s="38" t="n"/>
      <c r="F471" s="38" t="n"/>
      <c r="G471" s="38" t="n"/>
      <c r="H471" s="38" t="n"/>
      <c r="I471" s="57" t="n"/>
      <c r="J471" s="95" t="n"/>
      <c r="K471" s="95" t="n"/>
      <c r="L471" s="48" t="n"/>
      <c r="M471" s="96" t="n"/>
      <c r="N471" s="48" t="n"/>
      <c r="O471" s="38" t="n"/>
      <c r="P471" s="38" t="n"/>
      <c r="Q471" s="97">
        <f>IF(OR(F471="",E471=""),"",IFERROR(IF(INDEX('PROPERTIES'!$F$5:$F$404,MATCH(E471,'PROPERTIES'!$B$5:$B$404,0))=0,"",ROUND((INDEX('PROPERTIES'!$F$5:$F$404,MATCH(E471,'PROPERTIES'!$B$5:$B$404,0))/INDEX('PRICING'!$C$7:$C$16,MATCH(F471,'PRICING'!$A$7:$A$16,0))+INDEX('PROPERTIES'!$G$5:$G$404,MATCH(E471,'PROPERTIES'!$B$5:$B$404,0))*INDEX('PRICING'!$D$7:$D$16,MATCH(F471,'PRICING'!$A$7:$A$16,0))/60+INDEX('PROPERTIES'!$H$5:$H$404,MATCH(E471,'PROPERTIES'!$B$5:$B$404,0))*INDEX('PRICING'!$E$7:$E$16,MATCH(F471,'PRICING'!$A$7:$A$16,0))/60+INDEX('PRICING'!$F$7:$F$16,MATCH(F471,'PRICING'!$A$7:$A$16,0))/60),2)),""))</f>
        <v/>
      </c>
      <c r="R471" s="97">
        <f>IF(B471="","",IF(N(K471)&gt;0,K471,IF(N(J471)&gt;0,J471,N(Q471))))</f>
        <v/>
      </c>
      <c r="S471" s="55">
        <f>IF(L471="","",ROUND(L471*(1+N(M471)),2))</f>
        <v/>
      </c>
      <c r="T471" s="55">
        <f>IF(B471="","",SUMIFS('REVENUE'!$C$5:$C$1504,'REVENUE'!$B$5:$B$1504,A471))</f>
        <v/>
      </c>
      <c r="U471" s="55">
        <f>IF(B471="","",IF(O471="Completed",MAX(0,N(S471)-T471),""))</f>
        <v/>
      </c>
      <c r="V471" s="49">
        <f>IF(B471="","",IF(O471&lt;&gt;"Completed",IF(T471&gt;0,"Deposit","—"),IF(U471&lt;=0.005,"Paid",IF(T471&gt;0,"Partial","Unpaid"))))</f>
        <v/>
      </c>
      <c r="W471" s="55">
        <f>IF(B471="","",IFERROR(1/(1/INDEX('STAFF &amp; TASKS'!$C$5:$C$24,MATCH(H471,'STAFF &amp; TASKS'!$A$5:$A$24,0))),PayRate))</f>
        <v/>
      </c>
      <c r="X471" s="55">
        <f>IF(B471="","",IF(OR(O471="Cancelled",O471="No-Show"),"",ROUND(R471*W471*(1+Burden),2)))</f>
        <v/>
      </c>
      <c r="Y471" s="55">
        <f>IF(B471="","",IF(OR(O471="Cancelled",O471="No-Show"),"",IF(N471&lt;&gt;"",N471,ROUND(R471*SupHr*IFERROR(INDEX('PRICING'!$G$7:$G$16,MATCH(F471,'PRICING'!$A$7:$A$16,0)),1),2))))</f>
        <v/>
      </c>
      <c r="Z471" s="98">
        <f>IF(B471="","",SUMIFS('MILEAGE'!$J$5:$J$1504,'MILEAGE'!$B$5:$B$1504,A471))</f>
        <v/>
      </c>
      <c r="AA471" s="55">
        <f>IF(B471="","",ROUND(Z471*MileRate,2))</f>
        <v/>
      </c>
      <c r="AB471" s="55">
        <f>IF(B471="","",SUMIFS('REVENUE'!$J$5:$J$1504,'REVENUE'!$B$5:$B$1504,A471))</f>
        <v/>
      </c>
      <c r="AC471" s="55">
        <f>IF(L471="","",IF(OR(O471="Cancelled",O471="No-Show"),"",L471-N(X471)-N(Y471)-AA471-AB471))</f>
        <v/>
      </c>
      <c r="AD471" s="99">
        <f>IF(OR(AC471="",N(L471)=0),"",AC471/L471)</f>
        <v/>
      </c>
      <c r="AE471" s="55">
        <f>IF(OR(AC471="",N(R471)=0),"",L471/R471)</f>
        <v/>
      </c>
      <c r="AF471" s="100">
        <f>IF(OR(N(K471)=0,N(J471)+N(Q471)=0),"",K471-IF(N(J471)&gt;0,J471,Q471))</f>
        <v/>
      </c>
      <c r="AG471" s="99">
        <f>IF(B471="","",IFERROR(AVERAGEIFS('QUALITY CONTROL'!$M$5:$M$304,'QUALITY CONTROL'!$B$5:$B$304,A471),""))</f>
        <v/>
      </c>
      <c r="AH471" s="51">
        <f>IF(B471="","",DATE(YEAR(B471),MONTH(B471),1))</f>
        <v/>
      </c>
      <c r="AI471" s="49">
        <f>IF(D471="","",IFERROR(INDEX('CUSTOMERS'!$E$5:$E$404,MATCH(D471,'CUSTOMERS'!$B$5:$B$404,0)),""))</f>
        <v/>
      </c>
      <c r="AJ471" s="49">
        <f>IF(B471="","",N(C471))</f>
        <v/>
      </c>
      <c r="AK471" s="49">
        <f>IF(OR(B471="",O471="Cancelled",O471="Rescheduled"),"",B471&amp;"|"&amp;(COUNTIFS('JOBS'!$B$5:$B$1504,B471,'JOBS'!$AJ$5:$AJ$1504,"&lt;"&amp;AJ471,'JOBS'!$O$5:$O$1504,"&lt;&gt;Cancelled",'JOBS'!$O$5:$O$1504,"&lt;&gt;Rescheduled")+COUNTIFS($B$5:B471,B471,$AJ$5:AJ471,AJ471,$O$5:O471,"&lt;&gt;Cancelled",$O$5:O471,"&lt;&gt;Rescheduled")))</f>
        <v/>
      </c>
      <c r="AL471" s="49">
        <f>IF(N(U471)&lt;=0.005,"",COUNTIFS('JOBS'!$U$5:$U$1504,"&gt;0.005",'JOBS'!$B$5:$B$1504,"&lt;"&amp;B471)+COUNTIFS($U$5:U471,"&gt;0.005",$B$5:B471,B471))</f>
        <v/>
      </c>
    </row>
    <row r="472">
      <c r="A472" s="46" t="inlineStr">
        <is>
          <t>J-0468</t>
        </is>
      </c>
      <c r="B472" s="47" t="n"/>
      <c r="C472" s="94" t="n"/>
      <c r="D472" s="38" t="n"/>
      <c r="E472" s="38" t="n"/>
      <c r="F472" s="38" t="n"/>
      <c r="G472" s="38" t="n"/>
      <c r="H472" s="38" t="n"/>
      <c r="I472" s="57" t="n"/>
      <c r="J472" s="95" t="n"/>
      <c r="K472" s="95" t="n"/>
      <c r="L472" s="48" t="n"/>
      <c r="M472" s="96" t="n"/>
      <c r="N472" s="48" t="n"/>
      <c r="O472" s="38" t="n"/>
      <c r="P472" s="38" t="n"/>
      <c r="Q472" s="97">
        <f>IF(OR(F472="",E472=""),"",IFERROR(IF(INDEX('PROPERTIES'!$F$5:$F$404,MATCH(E472,'PROPERTIES'!$B$5:$B$404,0))=0,"",ROUND((INDEX('PROPERTIES'!$F$5:$F$404,MATCH(E472,'PROPERTIES'!$B$5:$B$404,0))/INDEX('PRICING'!$C$7:$C$16,MATCH(F472,'PRICING'!$A$7:$A$16,0))+INDEX('PROPERTIES'!$G$5:$G$404,MATCH(E472,'PROPERTIES'!$B$5:$B$404,0))*INDEX('PRICING'!$D$7:$D$16,MATCH(F472,'PRICING'!$A$7:$A$16,0))/60+INDEX('PROPERTIES'!$H$5:$H$404,MATCH(E472,'PROPERTIES'!$B$5:$B$404,0))*INDEX('PRICING'!$E$7:$E$16,MATCH(F472,'PRICING'!$A$7:$A$16,0))/60+INDEX('PRICING'!$F$7:$F$16,MATCH(F472,'PRICING'!$A$7:$A$16,0))/60),2)),""))</f>
        <v/>
      </c>
      <c r="R472" s="97">
        <f>IF(B472="","",IF(N(K472)&gt;0,K472,IF(N(J472)&gt;0,J472,N(Q472))))</f>
        <v/>
      </c>
      <c r="S472" s="55">
        <f>IF(L472="","",ROUND(L472*(1+N(M472)),2))</f>
        <v/>
      </c>
      <c r="T472" s="55">
        <f>IF(B472="","",SUMIFS('REVENUE'!$C$5:$C$1504,'REVENUE'!$B$5:$B$1504,A472))</f>
        <v/>
      </c>
      <c r="U472" s="55">
        <f>IF(B472="","",IF(O472="Completed",MAX(0,N(S472)-T472),""))</f>
        <v/>
      </c>
      <c r="V472" s="49">
        <f>IF(B472="","",IF(O472&lt;&gt;"Completed",IF(T472&gt;0,"Deposit","—"),IF(U472&lt;=0.005,"Paid",IF(T472&gt;0,"Partial","Unpaid"))))</f>
        <v/>
      </c>
      <c r="W472" s="55">
        <f>IF(B472="","",IFERROR(1/(1/INDEX('STAFF &amp; TASKS'!$C$5:$C$24,MATCH(H472,'STAFF &amp; TASKS'!$A$5:$A$24,0))),PayRate))</f>
        <v/>
      </c>
      <c r="X472" s="55">
        <f>IF(B472="","",IF(OR(O472="Cancelled",O472="No-Show"),"",ROUND(R472*W472*(1+Burden),2)))</f>
        <v/>
      </c>
      <c r="Y472" s="55">
        <f>IF(B472="","",IF(OR(O472="Cancelled",O472="No-Show"),"",IF(N472&lt;&gt;"",N472,ROUND(R472*SupHr*IFERROR(INDEX('PRICING'!$G$7:$G$16,MATCH(F472,'PRICING'!$A$7:$A$16,0)),1),2))))</f>
        <v/>
      </c>
      <c r="Z472" s="98">
        <f>IF(B472="","",SUMIFS('MILEAGE'!$J$5:$J$1504,'MILEAGE'!$B$5:$B$1504,A472))</f>
        <v/>
      </c>
      <c r="AA472" s="55">
        <f>IF(B472="","",ROUND(Z472*MileRate,2))</f>
        <v/>
      </c>
      <c r="AB472" s="55">
        <f>IF(B472="","",SUMIFS('REVENUE'!$J$5:$J$1504,'REVENUE'!$B$5:$B$1504,A472))</f>
        <v/>
      </c>
      <c r="AC472" s="55">
        <f>IF(L472="","",IF(OR(O472="Cancelled",O472="No-Show"),"",L472-N(X472)-N(Y472)-AA472-AB472))</f>
        <v/>
      </c>
      <c r="AD472" s="99">
        <f>IF(OR(AC472="",N(L472)=0),"",AC472/L472)</f>
        <v/>
      </c>
      <c r="AE472" s="55">
        <f>IF(OR(AC472="",N(R472)=0),"",L472/R472)</f>
        <v/>
      </c>
      <c r="AF472" s="100">
        <f>IF(OR(N(K472)=0,N(J472)+N(Q472)=0),"",K472-IF(N(J472)&gt;0,J472,Q472))</f>
        <v/>
      </c>
      <c r="AG472" s="99">
        <f>IF(B472="","",IFERROR(AVERAGEIFS('QUALITY CONTROL'!$M$5:$M$304,'QUALITY CONTROL'!$B$5:$B$304,A472),""))</f>
        <v/>
      </c>
      <c r="AH472" s="51">
        <f>IF(B472="","",DATE(YEAR(B472),MONTH(B472),1))</f>
        <v/>
      </c>
      <c r="AI472" s="49">
        <f>IF(D472="","",IFERROR(INDEX('CUSTOMERS'!$E$5:$E$404,MATCH(D472,'CUSTOMERS'!$B$5:$B$404,0)),""))</f>
        <v/>
      </c>
      <c r="AJ472" s="49">
        <f>IF(B472="","",N(C472))</f>
        <v/>
      </c>
      <c r="AK472" s="49">
        <f>IF(OR(B472="",O472="Cancelled",O472="Rescheduled"),"",B472&amp;"|"&amp;(COUNTIFS('JOBS'!$B$5:$B$1504,B472,'JOBS'!$AJ$5:$AJ$1504,"&lt;"&amp;AJ472,'JOBS'!$O$5:$O$1504,"&lt;&gt;Cancelled",'JOBS'!$O$5:$O$1504,"&lt;&gt;Rescheduled")+COUNTIFS($B$5:B472,B472,$AJ$5:AJ472,AJ472,$O$5:O472,"&lt;&gt;Cancelled",$O$5:O472,"&lt;&gt;Rescheduled")))</f>
        <v/>
      </c>
      <c r="AL472" s="49">
        <f>IF(N(U472)&lt;=0.005,"",COUNTIFS('JOBS'!$U$5:$U$1504,"&gt;0.005",'JOBS'!$B$5:$B$1504,"&lt;"&amp;B472)+COUNTIFS($U$5:U472,"&gt;0.005",$B$5:B472,B472))</f>
        <v/>
      </c>
    </row>
    <row r="473">
      <c r="A473" s="46" t="inlineStr">
        <is>
          <t>J-0469</t>
        </is>
      </c>
      <c r="B473" s="47" t="n"/>
      <c r="C473" s="94" t="n"/>
      <c r="D473" s="38" t="n"/>
      <c r="E473" s="38" t="n"/>
      <c r="F473" s="38" t="n"/>
      <c r="G473" s="38" t="n"/>
      <c r="H473" s="38" t="n"/>
      <c r="I473" s="57" t="n"/>
      <c r="J473" s="95" t="n"/>
      <c r="K473" s="95" t="n"/>
      <c r="L473" s="48" t="n"/>
      <c r="M473" s="96" t="n"/>
      <c r="N473" s="48" t="n"/>
      <c r="O473" s="38" t="n"/>
      <c r="P473" s="38" t="n"/>
      <c r="Q473" s="97">
        <f>IF(OR(F473="",E473=""),"",IFERROR(IF(INDEX('PROPERTIES'!$F$5:$F$404,MATCH(E473,'PROPERTIES'!$B$5:$B$404,0))=0,"",ROUND((INDEX('PROPERTIES'!$F$5:$F$404,MATCH(E473,'PROPERTIES'!$B$5:$B$404,0))/INDEX('PRICING'!$C$7:$C$16,MATCH(F473,'PRICING'!$A$7:$A$16,0))+INDEX('PROPERTIES'!$G$5:$G$404,MATCH(E473,'PROPERTIES'!$B$5:$B$404,0))*INDEX('PRICING'!$D$7:$D$16,MATCH(F473,'PRICING'!$A$7:$A$16,0))/60+INDEX('PROPERTIES'!$H$5:$H$404,MATCH(E473,'PROPERTIES'!$B$5:$B$404,0))*INDEX('PRICING'!$E$7:$E$16,MATCH(F473,'PRICING'!$A$7:$A$16,0))/60+INDEX('PRICING'!$F$7:$F$16,MATCH(F473,'PRICING'!$A$7:$A$16,0))/60),2)),""))</f>
        <v/>
      </c>
      <c r="R473" s="97">
        <f>IF(B473="","",IF(N(K473)&gt;0,K473,IF(N(J473)&gt;0,J473,N(Q473))))</f>
        <v/>
      </c>
      <c r="S473" s="55">
        <f>IF(L473="","",ROUND(L473*(1+N(M473)),2))</f>
        <v/>
      </c>
      <c r="T473" s="55">
        <f>IF(B473="","",SUMIFS('REVENUE'!$C$5:$C$1504,'REVENUE'!$B$5:$B$1504,A473))</f>
        <v/>
      </c>
      <c r="U473" s="55">
        <f>IF(B473="","",IF(O473="Completed",MAX(0,N(S473)-T473),""))</f>
        <v/>
      </c>
      <c r="V473" s="49">
        <f>IF(B473="","",IF(O473&lt;&gt;"Completed",IF(T473&gt;0,"Deposit","—"),IF(U473&lt;=0.005,"Paid",IF(T473&gt;0,"Partial","Unpaid"))))</f>
        <v/>
      </c>
      <c r="W473" s="55">
        <f>IF(B473="","",IFERROR(1/(1/INDEX('STAFF &amp; TASKS'!$C$5:$C$24,MATCH(H473,'STAFF &amp; TASKS'!$A$5:$A$24,0))),PayRate))</f>
        <v/>
      </c>
      <c r="X473" s="55">
        <f>IF(B473="","",IF(OR(O473="Cancelled",O473="No-Show"),"",ROUND(R473*W473*(1+Burden),2)))</f>
        <v/>
      </c>
      <c r="Y473" s="55">
        <f>IF(B473="","",IF(OR(O473="Cancelled",O473="No-Show"),"",IF(N473&lt;&gt;"",N473,ROUND(R473*SupHr*IFERROR(INDEX('PRICING'!$G$7:$G$16,MATCH(F473,'PRICING'!$A$7:$A$16,0)),1),2))))</f>
        <v/>
      </c>
      <c r="Z473" s="98">
        <f>IF(B473="","",SUMIFS('MILEAGE'!$J$5:$J$1504,'MILEAGE'!$B$5:$B$1504,A473))</f>
        <v/>
      </c>
      <c r="AA473" s="55">
        <f>IF(B473="","",ROUND(Z473*MileRate,2))</f>
        <v/>
      </c>
      <c r="AB473" s="55">
        <f>IF(B473="","",SUMIFS('REVENUE'!$J$5:$J$1504,'REVENUE'!$B$5:$B$1504,A473))</f>
        <v/>
      </c>
      <c r="AC473" s="55">
        <f>IF(L473="","",IF(OR(O473="Cancelled",O473="No-Show"),"",L473-N(X473)-N(Y473)-AA473-AB473))</f>
        <v/>
      </c>
      <c r="AD473" s="99">
        <f>IF(OR(AC473="",N(L473)=0),"",AC473/L473)</f>
        <v/>
      </c>
      <c r="AE473" s="55">
        <f>IF(OR(AC473="",N(R473)=0),"",L473/R473)</f>
        <v/>
      </c>
      <c r="AF473" s="100">
        <f>IF(OR(N(K473)=0,N(J473)+N(Q473)=0),"",K473-IF(N(J473)&gt;0,J473,Q473))</f>
        <v/>
      </c>
      <c r="AG473" s="99">
        <f>IF(B473="","",IFERROR(AVERAGEIFS('QUALITY CONTROL'!$M$5:$M$304,'QUALITY CONTROL'!$B$5:$B$304,A473),""))</f>
        <v/>
      </c>
      <c r="AH473" s="51">
        <f>IF(B473="","",DATE(YEAR(B473),MONTH(B473),1))</f>
        <v/>
      </c>
      <c r="AI473" s="49">
        <f>IF(D473="","",IFERROR(INDEX('CUSTOMERS'!$E$5:$E$404,MATCH(D473,'CUSTOMERS'!$B$5:$B$404,0)),""))</f>
        <v/>
      </c>
      <c r="AJ473" s="49">
        <f>IF(B473="","",N(C473))</f>
        <v/>
      </c>
      <c r="AK473" s="49">
        <f>IF(OR(B473="",O473="Cancelled",O473="Rescheduled"),"",B473&amp;"|"&amp;(COUNTIFS('JOBS'!$B$5:$B$1504,B473,'JOBS'!$AJ$5:$AJ$1504,"&lt;"&amp;AJ473,'JOBS'!$O$5:$O$1504,"&lt;&gt;Cancelled",'JOBS'!$O$5:$O$1504,"&lt;&gt;Rescheduled")+COUNTIFS($B$5:B473,B473,$AJ$5:AJ473,AJ473,$O$5:O473,"&lt;&gt;Cancelled",$O$5:O473,"&lt;&gt;Rescheduled")))</f>
        <v/>
      </c>
      <c r="AL473" s="49">
        <f>IF(N(U473)&lt;=0.005,"",COUNTIFS('JOBS'!$U$5:$U$1504,"&gt;0.005",'JOBS'!$B$5:$B$1504,"&lt;"&amp;B473)+COUNTIFS($U$5:U473,"&gt;0.005",$B$5:B473,B473))</f>
        <v/>
      </c>
    </row>
    <row r="474">
      <c r="A474" s="46" t="inlineStr">
        <is>
          <t>J-0470</t>
        </is>
      </c>
      <c r="B474" s="47" t="n"/>
      <c r="C474" s="94" t="n"/>
      <c r="D474" s="38" t="n"/>
      <c r="E474" s="38" t="n"/>
      <c r="F474" s="38" t="n"/>
      <c r="G474" s="38" t="n"/>
      <c r="H474" s="38" t="n"/>
      <c r="I474" s="57" t="n"/>
      <c r="J474" s="95" t="n"/>
      <c r="K474" s="95" t="n"/>
      <c r="L474" s="48" t="n"/>
      <c r="M474" s="96" t="n"/>
      <c r="N474" s="48" t="n"/>
      <c r="O474" s="38" t="n"/>
      <c r="P474" s="38" t="n"/>
      <c r="Q474" s="97">
        <f>IF(OR(F474="",E474=""),"",IFERROR(IF(INDEX('PROPERTIES'!$F$5:$F$404,MATCH(E474,'PROPERTIES'!$B$5:$B$404,0))=0,"",ROUND((INDEX('PROPERTIES'!$F$5:$F$404,MATCH(E474,'PROPERTIES'!$B$5:$B$404,0))/INDEX('PRICING'!$C$7:$C$16,MATCH(F474,'PRICING'!$A$7:$A$16,0))+INDEX('PROPERTIES'!$G$5:$G$404,MATCH(E474,'PROPERTIES'!$B$5:$B$404,0))*INDEX('PRICING'!$D$7:$D$16,MATCH(F474,'PRICING'!$A$7:$A$16,0))/60+INDEX('PROPERTIES'!$H$5:$H$404,MATCH(E474,'PROPERTIES'!$B$5:$B$404,0))*INDEX('PRICING'!$E$7:$E$16,MATCH(F474,'PRICING'!$A$7:$A$16,0))/60+INDEX('PRICING'!$F$7:$F$16,MATCH(F474,'PRICING'!$A$7:$A$16,0))/60),2)),""))</f>
        <v/>
      </c>
      <c r="R474" s="97">
        <f>IF(B474="","",IF(N(K474)&gt;0,K474,IF(N(J474)&gt;0,J474,N(Q474))))</f>
        <v/>
      </c>
      <c r="S474" s="55">
        <f>IF(L474="","",ROUND(L474*(1+N(M474)),2))</f>
        <v/>
      </c>
      <c r="T474" s="55">
        <f>IF(B474="","",SUMIFS('REVENUE'!$C$5:$C$1504,'REVENUE'!$B$5:$B$1504,A474))</f>
        <v/>
      </c>
      <c r="U474" s="55">
        <f>IF(B474="","",IF(O474="Completed",MAX(0,N(S474)-T474),""))</f>
        <v/>
      </c>
      <c r="V474" s="49">
        <f>IF(B474="","",IF(O474&lt;&gt;"Completed",IF(T474&gt;0,"Deposit","—"),IF(U474&lt;=0.005,"Paid",IF(T474&gt;0,"Partial","Unpaid"))))</f>
        <v/>
      </c>
      <c r="W474" s="55">
        <f>IF(B474="","",IFERROR(1/(1/INDEX('STAFF &amp; TASKS'!$C$5:$C$24,MATCH(H474,'STAFF &amp; TASKS'!$A$5:$A$24,0))),PayRate))</f>
        <v/>
      </c>
      <c r="X474" s="55">
        <f>IF(B474="","",IF(OR(O474="Cancelled",O474="No-Show"),"",ROUND(R474*W474*(1+Burden),2)))</f>
        <v/>
      </c>
      <c r="Y474" s="55">
        <f>IF(B474="","",IF(OR(O474="Cancelled",O474="No-Show"),"",IF(N474&lt;&gt;"",N474,ROUND(R474*SupHr*IFERROR(INDEX('PRICING'!$G$7:$G$16,MATCH(F474,'PRICING'!$A$7:$A$16,0)),1),2))))</f>
        <v/>
      </c>
      <c r="Z474" s="98">
        <f>IF(B474="","",SUMIFS('MILEAGE'!$J$5:$J$1504,'MILEAGE'!$B$5:$B$1504,A474))</f>
        <v/>
      </c>
      <c r="AA474" s="55">
        <f>IF(B474="","",ROUND(Z474*MileRate,2))</f>
        <v/>
      </c>
      <c r="AB474" s="55">
        <f>IF(B474="","",SUMIFS('REVENUE'!$J$5:$J$1504,'REVENUE'!$B$5:$B$1504,A474))</f>
        <v/>
      </c>
      <c r="AC474" s="55">
        <f>IF(L474="","",IF(OR(O474="Cancelled",O474="No-Show"),"",L474-N(X474)-N(Y474)-AA474-AB474))</f>
        <v/>
      </c>
      <c r="AD474" s="99">
        <f>IF(OR(AC474="",N(L474)=0),"",AC474/L474)</f>
        <v/>
      </c>
      <c r="AE474" s="55">
        <f>IF(OR(AC474="",N(R474)=0),"",L474/R474)</f>
        <v/>
      </c>
      <c r="AF474" s="100">
        <f>IF(OR(N(K474)=0,N(J474)+N(Q474)=0),"",K474-IF(N(J474)&gt;0,J474,Q474))</f>
        <v/>
      </c>
      <c r="AG474" s="99">
        <f>IF(B474="","",IFERROR(AVERAGEIFS('QUALITY CONTROL'!$M$5:$M$304,'QUALITY CONTROL'!$B$5:$B$304,A474),""))</f>
        <v/>
      </c>
      <c r="AH474" s="51">
        <f>IF(B474="","",DATE(YEAR(B474),MONTH(B474),1))</f>
        <v/>
      </c>
      <c r="AI474" s="49">
        <f>IF(D474="","",IFERROR(INDEX('CUSTOMERS'!$E$5:$E$404,MATCH(D474,'CUSTOMERS'!$B$5:$B$404,0)),""))</f>
        <v/>
      </c>
      <c r="AJ474" s="49">
        <f>IF(B474="","",N(C474))</f>
        <v/>
      </c>
      <c r="AK474" s="49">
        <f>IF(OR(B474="",O474="Cancelled",O474="Rescheduled"),"",B474&amp;"|"&amp;(COUNTIFS('JOBS'!$B$5:$B$1504,B474,'JOBS'!$AJ$5:$AJ$1504,"&lt;"&amp;AJ474,'JOBS'!$O$5:$O$1504,"&lt;&gt;Cancelled",'JOBS'!$O$5:$O$1504,"&lt;&gt;Rescheduled")+COUNTIFS($B$5:B474,B474,$AJ$5:AJ474,AJ474,$O$5:O474,"&lt;&gt;Cancelled",$O$5:O474,"&lt;&gt;Rescheduled")))</f>
        <v/>
      </c>
      <c r="AL474" s="49">
        <f>IF(N(U474)&lt;=0.005,"",COUNTIFS('JOBS'!$U$5:$U$1504,"&gt;0.005",'JOBS'!$B$5:$B$1504,"&lt;"&amp;B474)+COUNTIFS($U$5:U474,"&gt;0.005",$B$5:B474,B474))</f>
        <v/>
      </c>
    </row>
    <row r="475">
      <c r="A475" s="46" t="inlineStr">
        <is>
          <t>J-0471</t>
        </is>
      </c>
      <c r="B475" s="47" t="n"/>
      <c r="C475" s="94" t="n"/>
      <c r="D475" s="38" t="n"/>
      <c r="E475" s="38" t="n"/>
      <c r="F475" s="38" t="n"/>
      <c r="G475" s="38" t="n"/>
      <c r="H475" s="38" t="n"/>
      <c r="I475" s="57" t="n"/>
      <c r="J475" s="95" t="n"/>
      <c r="K475" s="95" t="n"/>
      <c r="L475" s="48" t="n"/>
      <c r="M475" s="96" t="n"/>
      <c r="N475" s="48" t="n"/>
      <c r="O475" s="38" t="n"/>
      <c r="P475" s="38" t="n"/>
      <c r="Q475" s="97">
        <f>IF(OR(F475="",E475=""),"",IFERROR(IF(INDEX('PROPERTIES'!$F$5:$F$404,MATCH(E475,'PROPERTIES'!$B$5:$B$404,0))=0,"",ROUND((INDEX('PROPERTIES'!$F$5:$F$404,MATCH(E475,'PROPERTIES'!$B$5:$B$404,0))/INDEX('PRICING'!$C$7:$C$16,MATCH(F475,'PRICING'!$A$7:$A$16,0))+INDEX('PROPERTIES'!$G$5:$G$404,MATCH(E475,'PROPERTIES'!$B$5:$B$404,0))*INDEX('PRICING'!$D$7:$D$16,MATCH(F475,'PRICING'!$A$7:$A$16,0))/60+INDEX('PROPERTIES'!$H$5:$H$404,MATCH(E475,'PROPERTIES'!$B$5:$B$404,0))*INDEX('PRICING'!$E$7:$E$16,MATCH(F475,'PRICING'!$A$7:$A$16,0))/60+INDEX('PRICING'!$F$7:$F$16,MATCH(F475,'PRICING'!$A$7:$A$16,0))/60),2)),""))</f>
        <v/>
      </c>
      <c r="R475" s="97">
        <f>IF(B475="","",IF(N(K475)&gt;0,K475,IF(N(J475)&gt;0,J475,N(Q475))))</f>
        <v/>
      </c>
      <c r="S475" s="55">
        <f>IF(L475="","",ROUND(L475*(1+N(M475)),2))</f>
        <v/>
      </c>
      <c r="T475" s="55">
        <f>IF(B475="","",SUMIFS('REVENUE'!$C$5:$C$1504,'REVENUE'!$B$5:$B$1504,A475))</f>
        <v/>
      </c>
      <c r="U475" s="55">
        <f>IF(B475="","",IF(O475="Completed",MAX(0,N(S475)-T475),""))</f>
        <v/>
      </c>
      <c r="V475" s="49">
        <f>IF(B475="","",IF(O475&lt;&gt;"Completed",IF(T475&gt;0,"Deposit","—"),IF(U475&lt;=0.005,"Paid",IF(T475&gt;0,"Partial","Unpaid"))))</f>
        <v/>
      </c>
      <c r="W475" s="55">
        <f>IF(B475="","",IFERROR(1/(1/INDEX('STAFF &amp; TASKS'!$C$5:$C$24,MATCH(H475,'STAFF &amp; TASKS'!$A$5:$A$24,0))),PayRate))</f>
        <v/>
      </c>
      <c r="X475" s="55">
        <f>IF(B475="","",IF(OR(O475="Cancelled",O475="No-Show"),"",ROUND(R475*W475*(1+Burden),2)))</f>
        <v/>
      </c>
      <c r="Y475" s="55">
        <f>IF(B475="","",IF(OR(O475="Cancelled",O475="No-Show"),"",IF(N475&lt;&gt;"",N475,ROUND(R475*SupHr*IFERROR(INDEX('PRICING'!$G$7:$G$16,MATCH(F475,'PRICING'!$A$7:$A$16,0)),1),2))))</f>
        <v/>
      </c>
      <c r="Z475" s="98">
        <f>IF(B475="","",SUMIFS('MILEAGE'!$J$5:$J$1504,'MILEAGE'!$B$5:$B$1504,A475))</f>
        <v/>
      </c>
      <c r="AA475" s="55">
        <f>IF(B475="","",ROUND(Z475*MileRate,2))</f>
        <v/>
      </c>
      <c r="AB475" s="55">
        <f>IF(B475="","",SUMIFS('REVENUE'!$J$5:$J$1504,'REVENUE'!$B$5:$B$1504,A475))</f>
        <v/>
      </c>
      <c r="AC475" s="55">
        <f>IF(L475="","",IF(OR(O475="Cancelled",O475="No-Show"),"",L475-N(X475)-N(Y475)-AA475-AB475))</f>
        <v/>
      </c>
      <c r="AD475" s="99">
        <f>IF(OR(AC475="",N(L475)=0),"",AC475/L475)</f>
        <v/>
      </c>
      <c r="AE475" s="55">
        <f>IF(OR(AC475="",N(R475)=0),"",L475/R475)</f>
        <v/>
      </c>
      <c r="AF475" s="100">
        <f>IF(OR(N(K475)=0,N(J475)+N(Q475)=0),"",K475-IF(N(J475)&gt;0,J475,Q475))</f>
        <v/>
      </c>
      <c r="AG475" s="99">
        <f>IF(B475="","",IFERROR(AVERAGEIFS('QUALITY CONTROL'!$M$5:$M$304,'QUALITY CONTROL'!$B$5:$B$304,A475),""))</f>
        <v/>
      </c>
      <c r="AH475" s="51">
        <f>IF(B475="","",DATE(YEAR(B475),MONTH(B475),1))</f>
        <v/>
      </c>
      <c r="AI475" s="49">
        <f>IF(D475="","",IFERROR(INDEX('CUSTOMERS'!$E$5:$E$404,MATCH(D475,'CUSTOMERS'!$B$5:$B$404,0)),""))</f>
        <v/>
      </c>
      <c r="AJ475" s="49">
        <f>IF(B475="","",N(C475))</f>
        <v/>
      </c>
      <c r="AK475" s="49">
        <f>IF(OR(B475="",O475="Cancelled",O475="Rescheduled"),"",B475&amp;"|"&amp;(COUNTIFS('JOBS'!$B$5:$B$1504,B475,'JOBS'!$AJ$5:$AJ$1504,"&lt;"&amp;AJ475,'JOBS'!$O$5:$O$1504,"&lt;&gt;Cancelled",'JOBS'!$O$5:$O$1504,"&lt;&gt;Rescheduled")+COUNTIFS($B$5:B475,B475,$AJ$5:AJ475,AJ475,$O$5:O475,"&lt;&gt;Cancelled",$O$5:O475,"&lt;&gt;Rescheduled")))</f>
        <v/>
      </c>
      <c r="AL475" s="49">
        <f>IF(N(U475)&lt;=0.005,"",COUNTIFS('JOBS'!$U$5:$U$1504,"&gt;0.005",'JOBS'!$B$5:$B$1504,"&lt;"&amp;B475)+COUNTIFS($U$5:U475,"&gt;0.005",$B$5:B475,B475))</f>
        <v/>
      </c>
    </row>
    <row r="476">
      <c r="A476" s="46" t="inlineStr">
        <is>
          <t>J-0472</t>
        </is>
      </c>
      <c r="B476" s="47" t="n"/>
      <c r="C476" s="94" t="n"/>
      <c r="D476" s="38" t="n"/>
      <c r="E476" s="38" t="n"/>
      <c r="F476" s="38" t="n"/>
      <c r="G476" s="38" t="n"/>
      <c r="H476" s="38" t="n"/>
      <c r="I476" s="57" t="n"/>
      <c r="J476" s="95" t="n"/>
      <c r="K476" s="95" t="n"/>
      <c r="L476" s="48" t="n"/>
      <c r="M476" s="96" t="n"/>
      <c r="N476" s="48" t="n"/>
      <c r="O476" s="38" t="n"/>
      <c r="P476" s="38" t="n"/>
      <c r="Q476" s="97">
        <f>IF(OR(F476="",E476=""),"",IFERROR(IF(INDEX('PROPERTIES'!$F$5:$F$404,MATCH(E476,'PROPERTIES'!$B$5:$B$404,0))=0,"",ROUND((INDEX('PROPERTIES'!$F$5:$F$404,MATCH(E476,'PROPERTIES'!$B$5:$B$404,0))/INDEX('PRICING'!$C$7:$C$16,MATCH(F476,'PRICING'!$A$7:$A$16,0))+INDEX('PROPERTIES'!$G$5:$G$404,MATCH(E476,'PROPERTIES'!$B$5:$B$404,0))*INDEX('PRICING'!$D$7:$D$16,MATCH(F476,'PRICING'!$A$7:$A$16,0))/60+INDEX('PROPERTIES'!$H$5:$H$404,MATCH(E476,'PROPERTIES'!$B$5:$B$404,0))*INDEX('PRICING'!$E$7:$E$16,MATCH(F476,'PRICING'!$A$7:$A$16,0))/60+INDEX('PRICING'!$F$7:$F$16,MATCH(F476,'PRICING'!$A$7:$A$16,0))/60),2)),""))</f>
        <v/>
      </c>
      <c r="R476" s="97">
        <f>IF(B476="","",IF(N(K476)&gt;0,K476,IF(N(J476)&gt;0,J476,N(Q476))))</f>
        <v/>
      </c>
      <c r="S476" s="55">
        <f>IF(L476="","",ROUND(L476*(1+N(M476)),2))</f>
        <v/>
      </c>
      <c r="T476" s="55">
        <f>IF(B476="","",SUMIFS('REVENUE'!$C$5:$C$1504,'REVENUE'!$B$5:$B$1504,A476))</f>
        <v/>
      </c>
      <c r="U476" s="55">
        <f>IF(B476="","",IF(O476="Completed",MAX(0,N(S476)-T476),""))</f>
        <v/>
      </c>
      <c r="V476" s="49">
        <f>IF(B476="","",IF(O476&lt;&gt;"Completed",IF(T476&gt;0,"Deposit","—"),IF(U476&lt;=0.005,"Paid",IF(T476&gt;0,"Partial","Unpaid"))))</f>
        <v/>
      </c>
      <c r="W476" s="55">
        <f>IF(B476="","",IFERROR(1/(1/INDEX('STAFF &amp; TASKS'!$C$5:$C$24,MATCH(H476,'STAFF &amp; TASKS'!$A$5:$A$24,0))),PayRate))</f>
        <v/>
      </c>
      <c r="X476" s="55">
        <f>IF(B476="","",IF(OR(O476="Cancelled",O476="No-Show"),"",ROUND(R476*W476*(1+Burden),2)))</f>
        <v/>
      </c>
      <c r="Y476" s="55">
        <f>IF(B476="","",IF(OR(O476="Cancelled",O476="No-Show"),"",IF(N476&lt;&gt;"",N476,ROUND(R476*SupHr*IFERROR(INDEX('PRICING'!$G$7:$G$16,MATCH(F476,'PRICING'!$A$7:$A$16,0)),1),2))))</f>
        <v/>
      </c>
      <c r="Z476" s="98">
        <f>IF(B476="","",SUMIFS('MILEAGE'!$J$5:$J$1504,'MILEAGE'!$B$5:$B$1504,A476))</f>
        <v/>
      </c>
      <c r="AA476" s="55">
        <f>IF(B476="","",ROUND(Z476*MileRate,2))</f>
        <v/>
      </c>
      <c r="AB476" s="55">
        <f>IF(B476="","",SUMIFS('REVENUE'!$J$5:$J$1504,'REVENUE'!$B$5:$B$1504,A476))</f>
        <v/>
      </c>
      <c r="AC476" s="55">
        <f>IF(L476="","",IF(OR(O476="Cancelled",O476="No-Show"),"",L476-N(X476)-N(Y476)-AA476-AB476))</f>
        <v/>
      </c>
      <c r="AD476" s="99">
        <f>IF(OR(AC476="",N(L476)=0),"",AC476/L476)</f>
        <v/>
      </c>
      <c r="AE476" s="55">
        <f>IF(OR(AC476="",N(R476)=0),"",L476/R476)</f>
        <v/>
      </c>
      <c r="AF476" s="100">
        <f>IF(OR(N(K476)=0,N(J476)+N(Q476)=0),"",K476-IF(N(J476)&gt;0,J476,Q476))</f>
        <v/>
      </c>
      <c r="AG476" s="99">
        <f>IF(B476="","",IFERROR(AVERAGEIFS('QUALITY CONTROL'!$M$5:$M$304,'QUALITY CONTROL'!$B$5:$B$304,A476),""))</f>
        <v/>
      </c>
      <c r="AH476" s="51">
        <f>IF(B476="","",DATE(YEAR(B476),MONTH(B476),1))</f>
        <v/>
      </c>
      <c r="AI476" s="49">
        <f>IF(D476="","",IFERROR(INDEX('CUSTOMERS'!$E$5:$E$404,MATCH(D476,'CUSTOMERS'!$B$5:$B$404,0)),""))</f>
        <v/>
      </c>
      <c r="AJ476" s="49">
        <f>IF(B476="","",N(C476))</f>
        <v/>
      </c>
      <c r="AK476" s="49">
        <f>IF(OR(B476="",O476="Cancelled",O476="Rescheduled"),"",B476&amp;"|"&amp;(COUNTIFS('JOBS'!$B$5:$B$1504,B476,'JOBS'!$AJ$5:$AJ$1504,"&lt;"&amp;AJ476,'JOBS'!$O$5:$O$1504,"&lt;&gt;Cancelled",'JOBS'!$O$5:$O$1504,"&lt;&gt;Rescheduled")+COUNTIFS($B$5:B476,B476,$AJ$5:AJ476,AJ476,$O$5:O476,"&lt;&gt;Cancelled",$O$5:O476,"&lt;&gt;Rescheduled")))</f>
        <v/>
      </c>
      <c r="AL476" s="49">
        <f>IF(N(U476)&lt;=0.005,"",COUNTIFS('JOBS'!$U$5:$U$1504,"&gt;0.005",'JOBS'!$B$5:$B$1504,"&lt;"&amp;B476)+COUNTIFS($U$5:U476,"&gt;0.005",$B$5:B476,B476))</f>
        <v/>
      </c>
    </row>
    <row r="477">
      <c r="A477" s="46" t="inlineStr">
        <is>
          <t>J-0473</t>
        </is>
      </c>
      <c r="B477" s="47" t="n"/>
      <c r="C477" s="94" t="n"/>
      <c r="D477" s="38" t="n"/>
      <c r="E477" s="38" t="n"/>
      <c r="F477" s="38" t="n"/>
      <c r="G477" s="38" t="n"/>
      <c r="H477" s="38" t="n"/>
      <c r="I477" s="57" t="n"/>
      <c r="J477" s="95" t="n"/>
      <c r="K477" s="95" t="n"/>
      <c r="L477" s="48" t="n"/>
      <c r="M477" s="96" t="n"/>
      <c r="N477" s="48" t="n"/>
      <c r="O477" s="38" t="n"/>
      <c r="P477" s="38" t="n"/>
      <c r="Q477" s="97">
        <f>IF(OR(F477="",E477=""),"",IFERROR(IF(INDEX('PROPERTIES'!$F$5:$F$404,MATCH(E477,'PROPERTIES'!$B$5:$B$404,0))=0,"",ROUND((INDEX('PROPERTIES'!$F$5:$F$404,MATCH(E477,'PROPERTIES'!$B$5:$B$404,0))/INDEX('PRICING'!$C$7:$C$16,MATCH(F477,'PRICING'!$A$7:$A$16,0))+INDEX('PROPERTIES'!$G$5:$G$404,MATCH(E477,'PROPERTIES'!$B$5:$B$404,0))*INDEX('PRICING'!$D$7:$D$16,MATCH(F477,'PRICING'!$A$7:$A$16,0))/60+INDEX('PROPERTIES'!$H$5:$H$404,MATCH(E477,'PROPERTIES'!$B$5:$B$404,0))*INDEX('PRICING'!$E$7:$E$16,MATCH(F477,'PRICING'!$A$7:$A$16,0))/60+INDEX('PRICING'!$F$7:$F$16,MATCH(F477,'PRICING'!$A$7:$A$16,0))/60),2)),""))</f>
        <v/>
      </c>
      <c r="R477" s="97">
        <f>IF(B477="","",IF(N(K477)&gt;0,K477,IF(N(J477)&gt;0,J477,N(Q477))))</f>
        <v/>
      </c>
      <c r="S477" s="55">
        <f>IF(L477="","",ROUND(L477*(1+N(M477)),2))</f>
        <v/>
      </c>
      <c r="T477" s="55">
        <f>IF(B477="","",SUMIFS('REVENUE'!$C$5:$C$1504,'REVENUE'!$B$5:$B$1504,A477))</f>
        <v/>
      </c>
      <c r="U477" s="55">
        <f>IF(B477="","",IF(O477="Completed",MAX(0,N(S477)-T477),""))</f>
        <v/>
      </c>
      <c r="V477" s="49">
        <f>IF(B477="","",IF(O477&lt;&gt;"Completed",IF(T477&gt;0,"Deposit","—"),IF(U477&lt;=0.005,"Paid",IF(T477&gt;0,"Partial","Unpaid"))))</f>
        <v/>
      </c>
      <c r="W477" s="55">
        <f>IF(B477="","",IFERROR(1/(1/INDEX('STAFF &amp; TASKS'!$C$5:$C$24,MATCH(H477,'STAFF &amp; TASKS'!$A$5:$A$24,0))),PayRate))</f>
        <v/>
      </c>
      <c r="X477" s="55">
        <f>IF(B477="","",IF(OR(O477="Cancelled",O477="No-Show"),"",ROUND(R477*W477*(1+Burden),2)))</f>
        <v/>
      </c>
      <c r="Y477" s="55">
        <f>IF(B477="","",IF(OR(O477="Cancelled",O477="No-Show"),"",IF(N477&lt;&gt;"",N477,ROUND(R477*SupHr*IFERROR(INDEX('PRICING'!$G$7:$G$16,MATCH(F477,'PRICING'!$A$7:$A$16,0)),1),2))))</f>
        <v/>
      </c>
      <c r="Z477" s="98">
        <f>IF(B477="","",SUMIFS('MILEAGE'!$J$5:$J$1504,'MILEAGE'!$B$5:$B$1504,A477))</f>
        <v/>
      </c>
      <c r="AA477" s="55">
        <f>IF(B477="","",ROUND(Z477*MileRate,2))</f>
        <v/>
      </c>
      <c r="AB477" s="55">
        <f>IF(B477="","",SUMIFS('REVENUE'!$J$5:$J$1504,'REVENUE'!$B$5:$B$1504,A477))</f>
        <v/>
      </c>
      <c r="AC477" s="55">
        <f>IF(L477="","",IF(OR(O477="Cancelled",O477="No-Show"),"",L477-N(X477)-N(Y477)-AA477-AB477))</f>
        <v/>
      </c>
      <c r="AD477" s="99">
        <f>IF(OR(AC477="",N(L477)=0),"",AC477/L477)</f>
        <v/>
      </c>
      <c r="AE477" s="55">
        <f>IF(OR(AC477="",N(R477)=0),"",L477/R477)</f>
        <v/>
      </c>
      <c r="AF477" s="100">
        <f>IF(OR(N(K477)=0,N(J477)+N(Q477)=0),"",K477-IF(N(J477)&gt;0,J477,Q477))</f>
        <v/>
      </c>
      <c r="AG477" s="99">
        <f>IF(B477="","",IFERROR(AVERAGEIFS('QUALITY CONTROL'!$M$5:$M$304,'QUALITY CONTROL'!$B$5:$B$304,A477),""))</f>
        <v/>
      </c>
      <c r="AH477" s="51">
        <f>IF(B477="","",DATE(YEAR(B477),MONTH(B477),1))</f>
        <v/>
      </c>
      <c r="AI477" s="49">
        <f>IF(D477="","",IFERROR(INDEX('CUSTOMERS'!$E$5:$E$404,MATCH(D477,'CUSTOMERS'!$B$5:$B$404,0)),""))</f>
        <v/>
      </c>
      <c r="AJ477" s="49">
        <f>IF(B477="","",N(C477))</f>
        <v/>
      </c>
      <c r="AK477" s="49">
        <f>IF(OR(B477="",O477="Cancelled",O477="Rescheduled"),"",B477&amp;"|"&amp;(COUNTIFS('JOBS'!$B$5:$B$1504,B477,'JOBS'!$AJ$5:$AJ$1504,"&lt;"&amp;AJ477,'JOBS'!$O$5:$O$1504,"&lt;&gt;Cancelled",'JOBS'!$O$5:$O$1504,"&lt;&gt;Rescheduled")+COUNTIFS($B$5:B477,B477,$AJ$5:AJ477,AJ477,$O$5:O477,"&lt;&gt;Cancelled",$O$5:O477,"&lt;&gt;Rescheduled")))</f>
        <v/>
      </c>
      <c r="AL477" s="49">
        <f>IF(N(U477)&lt;=0.005,"",COUNTIFS('JOBS'!$U$5:$U$1504,"&gt;0.005",'JOBS'!$B$5:$B$1504,"&lt;"&amp;B477)+COUNTIFS($U$5:U477,"&gt;0.005",$B$5:B477,B477))</f>
        <v/>
      </c>
    </row>
    <row r="478">
      <c r="A478" s="46" t="inlineStr">
        <is>
          <t>J-0474</t>
        </is>
      </c>
      <c r="B478" s="47" t="n"/>
      <c r="C478" s="94" t="n"/>
      <c r="D478" s="38" t="n"/>
      <c r="E478" s="38" t="n"/>
      <c r="F478" s="38" t="n"/>
      <c r="G478" s="38" t="n"/>
      <c r="H478" s="38" t="n"/>
      <c r="I478" s="57" t="n"/>
      <c r="J478" s="95" t="n"/>
      <c r="K478" s="95" t="n"/>
      <c r="L478" s="48" t="n"/>
      <c r="M478" s="96" t="n"/>
      <c r="N478" s="48" t="n"/>
      <c r="O478" s="38" t="n"/>
      <c r="P478" s="38" t="n"/>
      <c r="Q478" s="97">
        <f>IF(OR(F478="",E478=""),"",IFERROR(IF(INDEX('PROPERTIES'!$F$5:$F$404,MATCH(E478,'PROPERTIES'!$B$5:$B$404,0))=0,"",ROUND((INDEX('PROPERTIES'!$F$5:$F$404,MATCH(E478,'PROPERTIES'!$B$5:$B$404,0))/INDEX('PRICING'!$C$7:$C$16,MATCH(F478,'PRICING'!$A$7:$A$16,0))+INDEX('PROPERTIES'!$G$5:$G$404,MATCH(E478,'PROPERTIES'!$B$5:$B$404,0))*INDEX('PRICING'!$D$7:$D$16,MATCH(F478,'PRICING'!$A$7:$A$16,0))/60+INDEX('PROPERTIES'!$H$5:$H$404,MATCH(E478,'PROPERTIES'!$B$5:$B$404,0))*INDEX('PRICING'!$E$7:$E$16,MATCH(F478,'PRICING'!$A$7:$A$16,0))/60+INDEX('PRICING'!$F$7:$F$16,MATCH(F478,'PRICING'!$A$7:$A$16,0))/60),2)),""))</f>
        <v/>
      </c>
      <c r="R478" s="97">
        <f>IF(B478="","",IF(N(K478)&gt;0,K478,IF(N(J478)&gt;0,J478,N(Q478))))</f>
        <v/>
      </c>
      <c r="S478" s="55">
        <f>IF(L478="","",ROUND(L478*(1+N(M478)),2))</f>
        <v/>
      </c>
      <c r="T478" s="55">
        <f>IF(B478="","",SUMIFS('REVENUE'!$C$5:$C$1504,'REVENUE'!$B$5:$B$1504,A478))</f>
        <v/>
      </c>
      <c r="U478" s="55">
        <f>IF(B478="","",IF(O478="Completed",MAX(0,N(S478)-T478),""))</f>
        <v/>
      </c>
      <c r="V478" s="49">
        <f>IF(B478="","",IF(O478&lt;&gt;"Completed",IF(T478&gt;0,"Deposit","—"),IF(U478&lt;=0.005,"Paid",IF(T478&gt;0,"Partial","Unpaid"))))</f>
        <v/>
      </c>
      <c r="W478" s="55">
        <f>IF(B478="","",IFERROR(1/(1/INDEX('STAFF &amp; TASKS'!$C$5:$C$24,MATCH(H478,'STAFF &amp; TASKS'!$A$5:$A$24,0))),PayRate))</f>
        <v/>
      </c>
      <c r="X478" s="55">
        <f>IF(B478="","",IF(OR(O478="Cancelled",O478="No-Show"),"",ROUND(R478*W478*(1+Burden),2)))</f>
        <v/>
      </c>
      <c r="Y478" s="55">
        <f>IF(B478="","",IF(OR(O478="Cancelled",O478="No-Show"),"",IF(N478&lt;&gt;"",N478,ROUND(R478*SupHr*IFERROR(INDEX('PRICING'!$G$7:$G$16,MATCH(F478,'PRICING'!$A$7:$A$16,0)),1),2))))</f>
        <v/>
      </c>
      <c r="Z478" s="98">
        <f>IF(B478="","",SUMIFS('MILEAGE'!$J$5:$J$1504,'MILEAGE'!$B$5:$B$1504,A478))</f>
        <v/>
      </c>
      <c r="AA478" s="55">
        <f>IF(B478="","",ROUND(Z478*MileRate,2))</f>
        <v/>
      </c>
      <c r="AB478" s="55">
        <f>IF(B478="","",SUMIFS('REVENUE'!$J$5:$J$1504,'REVENUE'!$B$5:$B$1504,A478))</f>
        <v/>
      </c>
      <c r="AC478" s="55">
        <f>IF(L478="","",IF(OR(O478="Cancelled",O478="No-Show"),"",L478-N(X478)-N(Y478)-AA478-AB478))</f>
        <v/>
      </c>
      <c r="AD478" s="99">
        <f>IF(OR(AC478="",N(L478)=0),"",AC478/L478)</f>
        <v/>
      </c>
      <c r="AE478" s="55">
        <f>IF(OR(AC478="",N(R478)=0),"",L478/R478)</f>
        <v/>
      </c>
      <c r="AF478" s="100">
        <f>IF(OR(N(K478)=0,N(J478)+N(Q478)=0),"",K478-IF(N(J478)&gt;0,J478,Q478))</f>
        <v/>
      </c>
      <c r="AG478" s="99">
        <f>IF(B478="","",IFERROR(AVERAGEIFS('QUALITY CONTROL'!$M$5:$M$304,'QUALITY CONTROL'!$B$5:$B$304,A478),""))</f>
        <v/>
      </c>
      <c r="AH478" s="51">
        <f>IF(B478="","",DATE(YEAR(B478),MONTH(B478),1))</f>
        <v/>
      </c>
      <c r="AI478" s="49">
        <f>IF(D478="","",IFERROR(INDEX('CUSTOMERS'!$E$5:$E$404,MATCH(D478,'CUSTOMERS'!$B$5:$B$404,0)),""))</f>
        <v/>
      </c>
      <c r="AJ478" s="49">
        <f>IF(B478="","",N(C478))</f>
        <v/>
      </c>
      <c r="AK478" s="49">
        <f>IF(OR(B478="",O478="Cancelled",O478="Rescheduled"),"",B478&amp;"|"&amp;(COUNTIFS('JOBS'!$B$5:$B$1504,B478,'JOBS'!$AJ$5:$AJ$1504,"&lt;"&amp;AJ478,'JOBS'!$O$5:$O$1504,"&lt;&gt;Cancelled",'JOBS'!$O$5:$O$1504,"&lt;&gt;Rescheduled")+COUNTIFS($B$5:B478,B478,$AJ$5:AJ478,AJ478,$O$5:O478,"&lt;&gt;Cancelled",$O$5:O478,"&lt;&gt;Rescheduled")))</f>
        <v/>
      </c>
      <c r="AL478" s="49">
        <f>IF(N(U478)&lt;=0.005,"",COUNTIFS('JOBS'!$U$5:$U$1504,"&gt;0.005",'JOBS'!$B$5:$B$1504,"&lt;"&amp;B478)+COUNTIFS($U$5:U478,"&gt;0.005",$B$5:B478,B478))</f>
        <v/>
      </c>
    </row>
    <row r="479">
      <c r="A479" s="46" t="inlineStr">
        <is>
          <t>J-0475</t>
        </is>
      </c>
      <c r="B479" s="47" t="n"/>
      <c r="C479" s="94" t="n"/>
      <c r="D479" s="38" t="n"/>
      <c r="E479" s="38" t="n"/>
      <c r="F479" s="38" t="n"/>
      <c r="G479" s="38" t="n"/>
      <c r="H479" s="38" t="n"/>
      <c r="I479" s="57" t="n"/>
      <c r="J479" s="95" t="n"/>
      <c r="K479" s="95" t="n"/>
      <c r="L479" s="48" t="n"/>
      <c r="M479" s="96" t="n"/>
      <c r="N479" s="48" t="n"/>
      <c r="O479" s="38" t="n"/>
      <c r="P479" s="38" t="n"/>
      <c r="Q479" s="97">
        <f>IF(OR(F479="",E479=""),"",IFERROR(IF(INDEX('PROPERTIES'!$F$5:$F$404,MATCH(E479,'PROPERTIES'!$B$5:$B$404,0))=0,"",ROUND((INDEX('PROPERTIES'!$F$5:$F$404,MATCH(E479,'PROPERTIES'!$B$5:$B$404,0))/INDEX('PRICING'!$C$7:$C$16,MATCH(F479,'PRICING'!$A$7:$A$16,0))+INDEX('PROPERTIES'!$G$5:$G$404,MATCH(E479,'PROPERTIES'!$B$5:$B$404,0))*INDEX('PRICING'!$D$7:$D$16,MATCH(F479,'PRICING'!$A$7:$A$16,0))/60+INDEX('PROPERTIES'!$H$5:$H$404,MATCH(E479,'PROPERTIES'!$B$5:$B$404,0))*INDEX('PRICING'!$E$7:$E$16,MATCH(F479,'PRICING'!$A$7:$A$16,0))/60+INDEX('PRICING'!$F$7:$F$16,MATCH(F479,'PRICING'!$A$7:$A$16,0))/60),2)),""))</f>
        <v/>
      </c>
      <c r="R479" s="97">
        <f>IF(B479="","",IF(N(K479)&gt;0,K479,IF(N(J479)&gt;0,J479,N(Q479))))</f>
        <v/>
      </c>
      <c r="S479" s="55">
        <f>IF(L479="","",ROUND(L479*(1+N(M479)),2))</f>
        <v/>
      </c>
      <c r="T479" s="55">
        <f>IF(B479="","",SUMIFS('REVENUE'!$C$5:$C$1504,'REVENUE'!$B$5:$B$1504,A479))</f>
        <v/>
      </c>
      <c r="U479" s="55">
        <f>IF(B479="","",IF(O479="Completed",MAX(0,N(S479)-T479),""))</f>
        <v/>
      </c>
      <c r="V479" s="49">
        <f>IF(B479="","",IF(O479&lt;&gt;"Completed",IF(T479&gt;0,"Deposit","—"),IF(U479&lt;=0.005,"Paid",IF(T479&gt;0,"Partial","Unpaid"))))</f>
        <v/>
      </c>
      <c r="W479" s="55">
        <f>IF(B479="","",IFERROR(1/(1/INDEX('STAFF &amp; TASKS'!$C$5:$C$24,MATCH(H479,'STAFF &amp; TASKS'!$A$5:$A$24,0))),PayRate))</f>
        <v/>
      </c>
      <c r="X479" s="55">
        <f>IF(B479="","",IF(OR(O479="Cancelled",O479="No-Show"),"",ROUND(R479*W479*(1+Burden),2)))</f>
        <v/>
      </c>
      <c r="Y479" s="55">
        <f>IF(B479="","",IF(OR(O479="Cancelled",O479="No-Show"),"",IF(N479&lt;&gt;"",N479,ROUND(R479*SupHr*IFERROR(INDEX('PRICING'!$G$7:$G$16,MATCH(F479,'PRICING'!$A$7:$A$16,0)),1),2))))</f>
        <v/>
      </c>
      <c r="Z479" s="98">
        <f>IF(B479="","",SUMIFS('MILEAGE'!$J$5:$J$1504,'MILEAGE'!$B$5:$B$1504,A479))</f>
        <v/>
      </c>
      <c r="AA479" s="55">
        <f>IF(B479="","",ROUND(Z479*MileRate,2))</f>
        <v/>
      </c>
      <c r="AB479" s="55">
        <f>IF(B479="","",SUMIFS('REVENUE'!$J$5:$J$1504,'REVENUE'!$B$5:$B$1504,A479))</f>
        <v/>
      </c>
      <c r="AC479" s="55">
        <f>IF(L479="","",IF(OR(O479="Cancelled",O479="No-Show"),"",L479-N(X479)-N(Y479)-AA479-AB479))</f>
        <v/>
      </c>
      <c r="AD479" s="99">
        <f>IF(OR(AC479="",N(L479)=0),"",AC479/L479)</f>
        <v/>
      </c>
      <c r="AE479" s="55">
        <f>IF(OR(AC479="",N(R479)=0),"",L479/R479)</f>
        <v/>
      </c>
      <c r="AF479" s="100">
        <f>IF(OR(N(K479)=0,N(J479)+N(Q479)=0),"",K479-IF(N(J479)&gt;0,J479,Q479))</f>
        <v/>
      </c>
      <c r="AG479" s="99">
        <f>IF(B479="","",IFERROR(AVERAGEIFS('QUALITY CONTROL'!$M$5:$M$304,'QUALITY CONTROL'!$B$5:$B$304,A479),""))</f>
        <v/>
      </c>
      <c r="AH479" s="51">
        <f>IF(B479="","",DATE(YEAR(B479),MONTH(B479),1))</f>
        <v/>
      </c>
      <c r="AI479" s="49">
        <f>IF(D479="","",IFERROR(INDEX('CUSTOMERS'!$E$5:$E$404,MATCH(D479,'CUSTOMERS'!$B$5:$B$404,0)),""))</f>
        <v/>
      </c>
      <c r="AJ479" s="49">
        <f>IF(B479="","",N(C479))</f>
        <v/>
      </c>
      <c r="AK479" s="49">
        <f>IF(OR(B479="",O479="Cancelled",O479="Rescheduled"),"",B479&amp;"|"&amp;(COUNTIFS('JOBS'!$B$5:$B$1504,B479,'JOBS'!$AJ$5:$AJ$1504,"&lt;"&amp;AJ479,'JOBS'!$O$5:$O$1504,"&lt;&gt;Cancelled",'JOBS'!$O$5:$O$1504,"&lt;&gt;Rescheduled")+COUNTIFS($B$5:B479,B479,$AJ$5:AJ479,AJ479,$O$5:O479,"&lt;&gt;Cancelled",$O$5:O479,"&lt;&gt;Rescheduled")))</f>
        <v/>
      </c>
      <c r="AL479" s="49">
        <f>IF(N(U479)&lt;=0.005,"",COUNTIFS('JOBS'!$U$5:$U$1504,"&gt;0.005",'JOBS'!$B$5:$B$1504,"&lt;"&amp;B479)+COUNTIFS($U$5:U479,"&gt;0.005",$B$5:B479,B479))</f>
        <v/>
      </c>
    </row>
    <row r="480">
      <c r="A480" s="46" t="inlineStr">
        <is>
          <t>J-0476</t>
        </is>
      </c>
      <c r="B480" s="47" t="n"/>
      <c r="C480" s="94" t="n"/>
      <c r="D480" s="38" t="n"/>
      <c r="E480" s="38" t="n"/>
      <c r="F480" s="38" t="n"/>
      <c r="G480" s="38" t="n"/>
      <c r="H480" s="38" t="n"/>
      <c r="I480" s="57" t="n"/>
      <c r="J480" s="95" t="n"/>
      <c r="K480" s="95" t="n"/>
      <c r="L480" s="48" t="n"/>
      <c r="M480" s="96" t="n"/>
      <c r="N480" s="48" t="n"/>
      <c r="O480" s="38" t="n"/>
      <c r="P480" s="38" t="n"/>
      <c r="Q480" s="97">
        <f>IF(OR(F480="",E480=""),"",IFERROR(IF(INDEX('PROPERTIES'!$F$5:$F$404,MATCH(E480,'PROPERTIES'!$B$5:$B$404,0))=0,"",ROUND((INDEX('PROPERTIES'!$F$5:$F$404,MATCH(E480,'PROPERTIES'!$B$5:$B$404,0))/INDEX('PRICING'!$C$7:$C$16,MATCH(F480,'PRICING'!$A$7:$A$16,0))+INDEX('PROPERTIES'!$G$5:$G$404,MATCH(E480,'PROPERTIES'!$B$5:$B$404,0))*INDEX('PRICING'!$D$7:$D$16,MATCH(F480,'PRICING'!$A$7:$A$16,0))/60+INDEX('PROPERTIES'!$H$5:$H$404,MATCH(E480,'PROPERTIES'!$B$5:$B$404,0))*INDEX('PRICING'!$E$7:$E$16,MATCH(F480,'PRICING'!$A$7:$A$16,0))/60+INDEX('PRICING'!$F$7:$F$16,MATCH(F480,'PRICING'!$A$7:$A$16,0))/60),2)),""))</f>
        <v/>
      </c>
      <c r="R480" s="97">
        <f>IF(B480="","",IF(N(K480)&gt;0,K480,IF(N(J480)&gt;0,J480,N(Q480))))</f>
        <v/>
      </c>
      <c r="S480" s="55">
        <f>IF(L480="","",ROUND(L480*(1+N(M480)),2))</f>
        <v/>
      </c>
      <c r="T480" s="55">
        <f>IF(B480="","",SUMIFS('REVENUE'!$C$5:$C$1504,'REVENUE'!$B$5:$B$1504,A480))</f>
        <v/>
      </c>
      <c r="U480" s="55">
        <f>IF(B480="","",IF(O480="Completed",MAX(0,N(S480)-T480),""))</f>
        <v/>
      </c>
      <c r="V480" s="49">
        <f>IF(B480="","",IF(O480&lt;&gt;"Completed",IF(T480&gt;0,"Deposit","—"),IF(U480&lt;=0.005,"Paid",IF(T480&gt;0,"Partial","Unpaid"))))</f>
        <v/>
      </c>
      <c r="W480" s="55">
        <f>IF(B480="","",IFERROR(1/(1/INDEX('STAFF &amp; TASKS'!$C$5:$C$24,MATCH(H480,'STAFF &amp; TASKS'!$A$5:$A$24,0))),PayRate))</f>
        <v/>
      </c>
      <c r="X480" s="55">
        <f>IF(B480="","",IF(OR(O480="Cancelled",O480="No-Show"),"",ROUND(R480*W480*(1+Burden),2)))</f>
        <v/>
      </c>
      <c r="Y480" s="55">
        <f>IF(B480="","",IF(OR(O480="Cancelled",O480="No-Show"),"",IF(N480&lt;&gt;"",N480,ROUND(R480*SupHr*IFERROR(INDEX('PRICING'!$G$7:$G$16,MATCH(F480,'PRICING'!$A$7:$A$16,0)),1),2))))</f>
        <v/>
      </c>
      <c r="Z480" s="98">
        <f>IF(B480="","",SUMIFS('MILEAGE'!$J$5:$J$1504,'MILEAGE'!$B$5:$B$1504,A480))</f>
        <v/>
      </c>
      <c r="AA480" s="55">
        <f>IF(B480="","",ROUND(Z480*MileRate,2))</f>
        <v/>
      </c>
      <c r="AB480" s="55">
        <f>IF(B480="","",SUMIFS('REVENUE'!$J$5:$J$1504,'REVENUE'!$B$5:$B$1504,A480))</f>
        <v/>
      </c>
      <c r="AC480" s="55">
        <f>IF(L480="","",IF(OR(O480="Cancelled",O480="No-Show"),"",L480-N(X480)-N(Y480)-AA480-AB480))</f>
        <v/>
      </c>
      <c r="AD480" s="99">
        <f>IF(OR(AC480="",N(L480)=0),"",AC480/L480)</f>
        <v/>
      </c>
      <c r="AE480" s="55">
        <f>IF(OR(AC480="",N(R480)=0),"",L480/R480)</f>
        <v/>
      </c>
      <c r="AF480" s="100">
        <f>IF(OR(N(K480)=0,N(J480)+N(Q480)=0),"",K480-IF(N(J480)&gt;0,J480,Q480))</f>
        <v/>
      </c>
      <c r="AG480" s="99">
        <f>IF(B480="","",IFERROR(AVERAGEIFS('QUALITY CONTROL'!$M$5:$M$304,'QUALITY CONTROL'!$B$5:$B$304,A480),""))</f>
        <v/>
      </c>
      <c r="AH480" s="51">
        <f>IF(B480="","",DATE(YEAR(B480),MONTH(B480),1))</f>
        <v/>
      </c>
      <c r="AI480" s="49">
        <f>IF(D480="","",IFERROR(INDEX('CUSTOMERS'!$E$5:$E$404,MATCH(D480,'CUSTOMERS'!$B$5:$B$404,0)),""))</f>
        <v/>
      </c>
      <c r="AJ480" s="49">
        <f>IF(B480="","",N(C480))</f>
        <v/>
      </c>
      <c r="AK480" s="49">
        <f>IF(OR(B480="",O480="Cancelled",O480="Rescheduled"),"",B480&amp;"|"&amp;(COUNTIFS('JOBS'!$B$5:$B$1504,B480,'JOBS'!$AJ$5:$AJ$1504,"&lt;"&amp;AJ480,'JOBS'!$O$5:$O$1504,"&lt;&gt;Cancelled",'JOBS'!$O$5:$O$1504,"&lt;&gt;Rescheduled")+COUNTIFS($B$5:B480,B480,$AJ$5:AJ480,AJ480,$O$5:O480,"&lt;&gt;Cancelled",$O$5:O480,"&lt;&gt;Rescheduled")))</f>
        <v/>
      </c>
      <c r="AL480" s="49">
        <f>IF(N(U480)&lt;=0.005,"",COUNTIFS('JOBS'!$U$5:$U$1504,"&gt;0.005",'JOBS'!$B$5:$B$1504,"&lt;"&amp;B480)+COUNTIFS($U$5:U480,"&gt;0.005",$B$5:B480,B480))</f>
        <v/>
      </c>
    </row>
    <row r="481">
      <c r="A481" s="46" t="inlineStr">
        <is>
          <t>J-0477</t>
        </is>
      </c>
      <c r="B481" s="47" t="n"/>
      <c r="C481" s="94" t="n"/>
      <c r="D481" s="38" t="n"/>
      <c r="E481" s="38" t="n"/>
      <c r="F481" s="38" t="n"/>
      <c r="G481" s="38" t="n"/>
      <c r="H481" s="38" t="n"/>
      <c r="I481" s="57" t="n"/>
      <c r="J481" s="95" t="n"/>
      <c r="K481" s="95" t="n"/>
      <c r="L481" s="48" t="n"/>
      <c r="M481" s="96" t="n"/>
      <c r="N481" s="48" t="n"/>
      <c r="O481" s="38" t="n"/>
      <c r="P481" s="38" t="n"/>
      <c r="Q481" s="97">
        <f>IF(OR(F481="",E481=""),"",IFERROR(IF(INDEX('PROPERTIES'!$F$5:$F$404,MATCH(E481,'PROPERTIES'!$B$5:$B$404,0))=0,"",ROUND((INDEX('PROPERTIES'!$F$5:$F$404,MATCH(E481,'PROPERTIES'!$B$5:$B$404,0))/INDEX('PRICING'!$C$7:$C$16,MATCH(F481,'PRICING'!$A$7:$A$16,0))+INDEX('PROPERTIES'!$G$5:$G$404,MATCH(E481,'PROPERTIES'!$B$5:$B$404,0))*INDEX('PRICING'!$D$7:$D$16,MATCH(F481,'PRICING'!$A$7:$A$16,0))/60+INDEX('PROPERTIES'!$H$5:$H$404,MATCH(E481,'PROPERTIES'!$B$5:$B$404,0))*INDEX('PRICING'!$E$7:$E$16,MATCH(F481,'PRICING'!$A$7:$A$16,0))/60+INDEX('PRICING'!$F$7:$F$16,MATCH(F481,'PRICING'!$A$7:$A$16,0))/60),2)),""))</f>
        <v/>
      </c>
      <c r="R481" s="97">
        <f>IF(B481="","",IF(N(K481)&gt;0,K481,IF(N(J481)&gt;0,J481,N(Q481))))</f>
        <v/>
      </c>
      <c r="S481" s="55">
        <f>IF(L481="","",ROUND(L481*(1+N(M481)),2))</f>
        <v/>
      </c>
      <c r="T481" s="55">
        <f>IF(B481="","",SUMIFS('REVENUE'!$C$5:$C$1504,'REVENUE'!$B$5:$B$1504,A481))</f>
        <v/>
      </c>
      <c r="U481" s="55">
        <f>IF(B481="","",IF(O481="Completed",MAX(0,N(S481)-T481),""))</f>
        <v/>
      </c>
      <c r="V481" s="49">
        <f>IF(B481="","",IF(O481&lt;&gt;"Completed",IF(T481&gt;0,"Deposit","—"),IF(U481&lt;=0.005,"Paid",IF(T481&gt;0,"Partial","Unpaid"))))</f>
        <v/>
      </c>
      <c r="W481" s="55">
        <f>IF(B481="","",IFERROR(1/(1/INDEX('STAFF &amp; TASKS'!$C$5:$C$24,MATCH(H481,'STAFF &amp; TASKS'!$A$5:$A$24,0))),PayRate))</f>
        <v/>
      </c>
      <c r="X481" s="55">
        <f>IF(B481="","",IF(OR(O481="Cancelled",O481="No-Show"),"",ROUND(R481*W481*(1+Burden),2)))</f>
        <v/>
      </c>
      <c r="Y481" s="55">
        <f>IF(B481="","",IF(OR(O481="Cancelled",O481="No-Show"),"",IF(N481&lt;&gt;"",N481,ROUND(R481*SupHr*IFERROR(INDEX('PRICING'!$G$7:$G$16,MATCH(F481,'PRICING'!$A$7:$A$16,0)),1),2))))</f>
        <v/>
      </c>
      <c r="Z481" s="98">
        <f>IF(B481="","",SUMIFS('MILEAGE'!$J$5:$J$1504,'MILEAGE'!$B$5:$B$1504,A481))</f>
        <v/>
      </c>
      <c r="AA481" s="55">
        <f>IF(B481="","",ROUND(Z481*MileRate,2))</f>
        <v/>
      </c>
      <c r="AB481" s="55">
        <f>IF(B481="","",SUMIFS('REVENUE'!$J$5:$J$1504,'REVENUE'!$B$5:$B$1504,A481))</f>
        <v/>
      </c>
      <c r="AC481" s="55">
        <f>IF(L481="","",IF(OR(O481="Cancelled",O481="No-Show"),"",L481-N(X481)-N(Y481)-AA481-AB481))</f>
        <v/>
      </c>
      <c r="AD481" s="99">
        <f>IF(OR(AC481="",N(L481)=0),"",AC481/L481)</f>
        <v/>
      </c>
      <c r="AE481" s="55">
        <f>IF(OR(AC481="",N(R481)=0),"",L481/R481)</f>
        <v/>
      </c>
      <c r="AF481" s="100">
        <f>IF(OR(N(K481)=0,N(J481)+N(Q481)=0),"",K481-IF(N(J481)&gt;0,J481,Q481))</f>
        <v/>
      </c>
      <c r="AG481" s="99">
        <f>IF(B481="","",IFERROR(AVERAGEIFS('QUALITY CONTROL'!$M$5:$M$304,'QUALITY CONTROL'!$B$5:$B$304,A481),""))</f>
        <v/>
      </c>
      <c r="AH481" s="51">
        <f>IF(B481="","",DATE(YEAR(B481),MONTH(B481),1))</f>
        <v/>
      </c>
      <c r="AI481" s="49">
        <f>IF(D481="","",IFERROR(INDEX('CUSTOMERS'!$E$5:$E$404,MATCH(D481,'CUSTOMERS'!$B$5:$B$404,0)),""))</f>
        <v/>
      </c>
      <c r="AJ481" s="49">
        <f>IF(B481="","",N(C481))</f>
        <v/>
      </c>
      <c r="AK481" s="49">
        <f>IF(OR(B481="",O481="Cancelled",O481="Rescheduled"),"",B481&amp;"|"&amp;(COUNTIFS('JOBS'!$B$5:$B$1504,B481,'JOBS'!$AJ$5:$AJ$1504,"&lt;"&amp;AJ481,'JOBS'!$O$5:$O$1504,"&lt;&gt;Cancelled",'JOBS'!$O$5:$O$1504,"&lt;&gt;Rescheduled")+COUNTIFS($B$5:B481,B481,$AJ$5:AJ481,AJ481,$O$5:O481,"&lt;&gt;Cancelled",$O$5:O481,"&lt;&gt;Rescheduled")))</f>
        <v/>
      </c>
      <c r="AL481" s="49">
        <f>IF(N(U481)&lt;=0.005,"",COUNTIFS('JOBS'!$U$5:$U$1504,"&gt;0.005",'JOBS'!$B$5:$B$1504,"&lt;"&amp;B481)+COUNTIFS($U$5:U481,"&gt;0.005",$B$5:B481,B481))</f>
        <v/>
      </c>
    </row>
    <row r="482">
      <c r="A482" s="46" t="inlineStr">
        <is>
          <t>J-0478</t>
        </is>
      </c>
      <c r="B482" s="47" t="n"/>
      <c r="C482" s="94" t="n"/>
      <c r="D482" s="38" t="n"/>
      <c r="E482" s="38" t="n"/>
      <c r="F482" s="38" t="n"/>
      <c r="G482" s="38" t="n"/>
      <c r="H482" s="38" t="n"/>
      <c r="I482" s="57" t="n"/>
      <c r="J482" s="95" t="n"/>
      <c r="K482" s="95" t="n"/>
      <c r="L482" s="48" t="n"/>
      <c r="M482" s="96" t="n"/>
      <c r="N482" s="48" t="n"/>
      <c r="O482" s="38" t="n"/>
      <c r="P482" s="38" t="n"/>
      <c r="Q482" s="97">
        <f>IF(OR(F482="",E482=""),"",IFERROR(IF(INDEX('PROPERTIES'!$F$5:$F$404,MATCH(E482,'PROPERTIES'!$B$5:$B$404,0))=0,"",ROUND((INDEX('PROPERTIES'!$F$5:$F$404,MATCH(E482,'PROPERTIES'!$B$5:$B$404,0))/INDEX('PRICING'!$C$7:$C$16,MATCH(F482,'PRICING'!$A$7:$A$16,0))+INDEX('PROPERTIES'!$G$5:$G$404,MATCH(E482,'PROPERTIES'!$B$5:$B$404,0))*INDEX('PRICING'!$D$7:$D$16,MATCH(F482,'PRICING'!$A$7:$A$16,0))/60+INDEX('PROPERTIES'!$H$5:$H$404,MATCH(E482,'PROPERTIES'!$B$5:$B$404,0))*INDEX('PRICING'!$E$7:$E$16,MATCH(F482,'PRICING'!$A$7:$A$16,0))/60+INDEX('PRICING'!$F$7:$F$16,MATCH(F482,'PRICING'!$A$7:$A$16,0))/60),2)),""))</f>
        <v/>
      </c>
      <c r="R482" s="97">
        <f>IF(B482="","",IF(N(K482)&gt;0,K482,IF(N(J482)&gt;0,J482,N(Q482))))</f>
        <v/>
      </c>
      <c r="S482" s="55">
        <f>IF(L482="","",ROUND(L482*(1+N(M482)),2))</f>
        <v/>
      </c>
      <c r="T482" s="55">
        <f>IF(B482="","",SUMIFS('REVENUE'!$C$5:$C$1504,'REVENUE'!$B$5:$B$1504,A482))</f>
        <v/>
      </c>
      <c r="U482" s="55">
        <f>IF(B482="","",IF(O482="Completed",MAX(0,N(S482)-T482),""))</f>
        <v/>
      </c>
      <c r="V482" s="49">
        <f>IF(B482="","",IF(O482&lt;&gt;"Completed",IF(T482&gt;0,"Deposit","—"),IF(U482&lt;=0.005,"Paid",IF(T482&gt;0,"Partial","Unpaid"))))</f>
        <v/>
      </c>
      <c r="W482" s="55">
        <f>IF(B482="","",IFERROR(1/(1/INDEX('STAFF &amp; TASKS'!$C$5:$C$24,MATCH(H482,'STAFF &amp; TASKS'!$A$5:$A$24,0))),PayRate))</f>
        <v/>
      </c>
      <c r="X482" s="55">
        <f>IF(B482="","",IF(OR(O482="Cancelled",O482="No-Show"),"",ROUND(R482*W482*(1+Burden),2)))</f>
        <v/>
      </c>
      <c r="Y482" s="55">
        <f>IF(B482="","",IF(OR(O482="Cancelled",O482="No-Show"),"",IF(N482&lt;&gt;"",N482,ROUND(R482*SupHr*IFERROR(INDEX('PRICING'!$G$7:$G$16,MATCH(F482,'PRICING'!$A$7:$A$16,0)),1),2))))</f>
        <v/>
      </c>
      <c r="Z482" s="98">
        <f>IF(B482="","",SUMIFS('MILEAGE'!$J$5:$J$1504,'MILEAGE'!$B$5:$B$1504,A482))</f>
        <v/>
      </c>
      <c r="AA482" s="55">
        <f>IF(B482="","",ROUND(Z482*MileRate,2))</f>
        <v/>
      </c>
      <c r="AB482" s="55">
        <f>IF(B482="","",SUMIFS('REVENUE'!$J$5:$J$1504,'REVENUE'!$B$5:$B$1504,A482))</f>
        <v/>
      </c>
      <c r="AC482" s="55">
        <f>IF(L482="","",IF(OR(O482="Cancelled",O482="No-Show"),"",L482-N(X482)-N(Y482)-AA482-AB482))</f>
        <v/>
      </c>
      <c r="AD482" s="99">
        <f>IF(OR(AC482="",N(L482)=0),"",AC482/L482)</f>
        <v/>
      </c>
      <c r="AE482" s="55">
        <f>IF(OR(AC482="",N(R482)=0),"",L482/R482)</f>
        <v/>
      </c>
      <c r="AF482" s="100">
        <f>IF(OR(N(K482)=0,N(J482)+N(Q482)=0),"",K482-IF(N(J482)&gt;0,J482,Q482))</f>
        <v/>
      </c>
      <c r="AG482" s="99">
        <f>IF(B482="","",IFERROR(AVERAGEIFS('QUALITY CONTROL'!$M$5:$M$304,'QUALITY CONTROL'!$B$5:$B$304,A482),""))</f>
        <v/>
      </c>
      <c r="AH482" s="51">
        <f>IF(B482="","",DATE(YEAR(B482),MONTH(B482),1))</f>
        <v/>
      </c>
      <c r="AI482" s="49">
        <f>IF(D482="","",IFERROR(INDEX('CUSTOMERS'!$E$5:$E$404,MATCH(D482,'CUSTOMERS'!$B$5:$B$404,0)),""))</f>
        <v/>
      </c>
      <c r="AJ482" s="49">
        <f>IF(B482="","",N(C482))</f>
        <v/>
      </c>
      <c r="AK482" s="49">
        <f>IF(OR(B482="",O482="Cancelled",O482="Rescheduled"),"",B482&amp;"|"&amp;(COUNTIFS('JOBS'!$B$5:$B$1504,B482,'JOBS'!$AJ$5:$AJ$1504,"&lt;"&amp;AJ482,'JOBS'!$O$5:$O$1504,"&lt;&gt;Cancelled",'JOBS'!$O$5:$O$1504,"&lt;&gt;Rescheduled")+COUNTIFS($B$5:B482,B482,$AJ$5:AJ482,AJ482,$O$5:O482,"&lt;&gt;Cancelled",$O$5:O482,"&lt;&gt;Rescheduled")))</f>
        <v/>
      </c>
      <c r="AL482" s="49">
        <f>IF(N(U482)&lt;=0.005,"",COUNTIFS('JOBS'!$U$5:$U$1504,"&gt;0.005",'JOBS'!$B$5:$B$1504,"&lt;"&amp;B482)+COUNTIFS($U$5:U482,"&gt;0.005",$B$5:B482,B482))</f>
        <v/>
      </c>
    </row>
    <row r="483">
      <c r="A483" s="46" t="inlineStr">
        <is>
          <t>J-0479</t>
        </is>
      </c>
      <c r="B483" s="47" t="n"/>
      <c r="C483" s="94" t="n"/>
      <c r="D483" s="38" t="n"/>
      <c r="E483" s="38" t="n"/>
      <c r="F483" s="38" t="n"/>
      <c r="G483" s="38" t="n"/>
      <c r="H483" s="38" t="n"/>
      <c r="I483" s="57" t="n"/>
      <c r="J483" s="95" t="n"/>
      <c r="K483" s="95" t="n"/>
      <c r="L483" s="48" t="n"/>
      <c r="M483" s="96" t="n"/>
      <c r="N483" s="48" t="n"/>
      <c r="O483" s="38" t="n"/>
      <c r="P483" s="38" t="n"/>
      <c r="Q483" s="97">
        <f>IF(OR(F483="",E483=""),"",IFERROR(IF(INDEX('PROPERTIES'!$F$5:$F$404,MATCH(E483,'PROPERTIES'!$B$5:$B$404,0))=0,"",ROUND((INDEX('PROPERTIES'!$F$5:$F$404,MATCH(E483,'PROPERTIES'!$B$5:$B$404,0))/INDEX('PRICING'!$C$7:$C$16,MATCH(F483,'PRICING'!$A$7:$A$16,0))+INDEX('PROPERTIES'!$G$5:$G$404,MATCH(E483,'PROPERTIES'!$B$5:$B$404,0))*INDEX('PRICING'!$D$7:$D$16,MATCH(F483,'PRICING'!$A$7:$A$16,0))/60+INDEX('PROPERTIES'!$H$5:$H$404,MATCH(E483,'PROPERTIES'!$B$5:$B$404,0))*INDEX('PRICING'!$E$7:$E$16,MATCH(F483,'PRICING'!$A$7:$A$16,0))/60+INDEX('PRICING'!$F$7:$F$16,MATCH(F483,'PRICING'!$A$7:$A$16,0))/60),2)),""))</f>
        <v/>
      </c>
      <c r="R483" s="97">
        <f>IF(B483="","",IF(N(K483)&gt;0,K483,IF(N(J483)&gt;0,J483,N(Q483))))</f>
        <v/>
      </c>
      <c r="S483" s="55">
        <f>IF(L483="","",ROUND(L483*(1+N(M483)),2))</f>
        <v/>
      </c>
      <c r="T483" s="55">
        <f>IF(B483="","",SUMIFS('REVENUE'!$C$5:$C$1504,'REVENUE'!$B$5:$B$1504,A483))</f>
        <v/>
      </c>
      <c r="U483" s="55">
        <f>IF(B483="","",IF(O483="Completed",MAX(0,N(S483)-T483),""))</f>
        <v/>
      </c>
      <c r="V483" s="49">
        <f>IF(B483="","",IF(O483&lt;&gt;"Completed",IF(T483&gt;0,"Deposit","—"),IF(U483&lt;=0.005,"Paid",IF(T483&gt;0,"Partial","Unpaid"))))</f>
        <v/>
      </c>
      <c r="W483" s="55">
        <f>IF(B483="","",IFERROR(1/(1/INDEX('STAFF &amp; TASKS'!$C$5:$C$24,MATCH(H483,'STAFF &amp; TASKS'!$A$5:$A$24,0))),PayRate))</f>
        <v/>
      </c>
      <c r="X483" s="55">
        <f>IF(B483="","",IF(OR(O483="Cancelled",O483="No-Show"),"",ROUND(R483*W483*(1+Burden),2)))</f>
        <v/>
      </c>
      <c r="Y483" s="55">
        <f>IF(B483="","",IF(OR(O483="Cancelled",O483="No-Show"),"",IF(N483&lt;&gt;"",N483,ROUND(R483*SupHr*IFERROR(INDEX('PRICING'!$G$7:$G$16,MATCH(F483,'PRICING'!$A$7:$A$16,0)),1),2))))</f>
        <v/>
      </c>
      <c r="Z483" s="98">
        <f>IF(B483="","",SUMIFS('MILEAGE'!$J$5:$J$1504,'MILEAGE'!$B$5:$B$1504,A483))</f>
        <v/>
      </c>
      <c r="AA483" s="55">
        <f>IF(B483="","",ROUND(Z483*MileRate,2))</f>
        <v/>
      </c>
      <c r="AB483" s="55">
        <f>IF(B483="","",SUMIFS('REVENUE'!$J$5:$J$1504,'REVENUE'!$B$5:$B$1504,A483))</f>
        <v/>
      </c>
      <c r="AC483" s="55">
        <f>IF(L483="","",IF(OR(O483="Cancelled",O483="No-Show"),"",L483-N(X483)-N(Y483)-AA483-AB483))</f>
        <v/>
      </c>
      <c r="AD483" s="99">
        <f>IF(OR(AC483="",N(L483)=0),"",AC483/L483)</f>
        <v/>
      </c>
      <c r="AE483" s="55">
        <f>IF(OR(AC483="",N(R483)=0),"",L483/R483)</f>
        <v/>
      </c>
      <c r="AF483" s="100">
        <f>IF(OR(N(K483)=0,N(J483)+N(Q483)=0),"",K483-IF(N(J483)&gt;0,J483,Q483))</f>
        <v/>
      </c>
      <c r="AG483" s="99">
        <f>IF(B483="","",IFERROR(AVERAGEIFS('QUALITY CONTROL'!$M$5:$M$304,'QUALITY CONTROL'!$B$5:$B$304,A483),""))</f>
        <v/>
      </c>
      <c r="AH483" s="51">
        <f>IF(B483="","",DATE(YEAR(B483),MONTH(B483),1))</f>
        <v/>
      </c>
      <c r="AI483" s="49">
        <f>IF(D483="","",IFERROR(INDEX('CUSTOMERS'!$E$5:$E$404,MATCH(D483,'CUSTOMERS'!$B$5:$B$404,0)),""))</f>
        <v/>
      </c>
      <c r="AJ483" s="49">
        <f>IF(B483="","",N(C483))</f>
        <v/>
      </c>
      <c r="AK483" s="49">
        <f>IF(OR(B483="",O483="Cancelled",O483="Rescheduled"),"",B483&amp;"|"&amp;(COUNTIFS('JOBS'!$B$5:$B$1504,B483,'JOBS'!$AJ$5:$AJ$1504,"&lt;"&amp;AJ483,'JOBS'!$O$5:$O$1504,"&lt;&gt;Cancelled",'JOBS'!$O$5:$O$1504,"&lt;&gt;Rescheduled")+COUNTIFS($B$5:B483,B483,$AJ$5:AJ483,AJ483,$O$5:O483,"&lt;&gt;Cancelled",$O$5:O483,"&lt;&gt;Rescheduled")))</f>
        <v/>
      </c>
      <c r="AL483" s="49">
        <f>IF(N(U483)&lt;=0.005,"",COUNTIFS('JOBS'!$U$5:$U$1504,"&gt;0.005",'JOBS'!$B$5:$B$1504,"&lt;"&amp;B483)+COUNTIFS($U$5:U483,"&gt;0.005",$B$5:B483,B483))</f>
        <v/>
      </c>
    </row>
    <row r="484">
      <c r="A484" s="46" t="inlineStr">
        <is>
          <t>J-0480</t>
        </is>
      </c>
      <c r="B484" s="47" t="n"/>
      <c r="C484" s="94" t="n"/>
      <c r="D484" s="38" t="n"/>
      <c r="E484" s="38" t="n"/>
      <c r="F484" s="38" t="n"/>
      <c r="G484" s="38" t="n"/>
      <c r="H484" s="38" t="n"/>
      <c r="I484" s="57" t="n"/>
      <c r="J484" s="95" t="n"/>
      <c r="K484" s="95" t="n"/>
      <c r="L484" s="48" t="n"/>
      <c r="M484" s="96" t="n"/>
      <c r="N484" s="48" t="n"/>
      <c r="O484" s="38" t="n"/>
      <c r="P484" s="38" t="n"/>
      <c r="Q484" s="97">
        <f>IF(OR(F484="",E484=""),"",IFERROR(IF(INDEX('PROPERTIES'!$F$5:$F$404,MATCH(E484,'PROPERTIES'!$B$5:$B$404,0))=0,"",ROUND((INDEX('PROPERTIES'!$F$5:$F$404,MATCH(E484,'PROPERTIES'!$B$5:$B$404,0))/INDEX('PRICING'!$C$7:$C$16,MATCH(F484,'PRICING'!$A$7:$A$16,0))+INDEX('PROPERTIES'!$G$5:$G$404,MATCH(E484,'PROPERTIES'!$B$5:$B$404,0))*INDEX('PRICING'!$D$7:$D$16,MATCH(F484,'PRICING'!$A$7:$A$16,0))/60+INDEX('PROPERTIES'!$H$5:$H$404,MATCH(E484,'PROPERTIES'!$B$5:$B$404,0))*INDEX('PRICING'!$E$7:$E$16,MATCH(F484,'PRICING'!$A$7:$A$16,0))/60+INDEX('PRICING'!$F$7:$F$16,MATCH(F484,'PRICING'!$A$7:$A$16,0))/60),2)),""))</f>
        <v/>
      </c>
      <c r="R484" s="97">
        <f>IF(B484="","",IF(N(K484)&gt;0,K484,IF(N(J484)&gt;0,J484,N(Q484))))</f>
        <v/>
      </c>
      <c r="S484" s="55">
        <f>IF(L484="","",ROUND(L484*(1+N(M484)),2))</f>
        <v/>
      </c>
      <c r="T484" s="55">
        <f>IF(B484="","",SUMIFS('REVENUE'!$C$5:$C$1504,'REVENUE'!$B$5:$B$1504,A484))</f>
        <v/>
      </c>
      <c r="U484" s="55">
        <f>IF(B484="","",IF(O484="Completed",MAX(0,N(S484)-T484),""))</f>
        <v/>
      </c>
      <c r="V484" s="49">
        <f>IF(B484="","",IF(O484&lt;&gt;"Completed",IF(T484&gt;0,"Deposit","—"),IF(U484&lt;=0.005,"Paid",IF(T484&gt;0,"Partial","Unpaid"))))</f>
        <v/>
      </c>
      <c r="W484" s="55">
        <f>IF(B484="","",IFERROR(1/(1/INDEX('STAFF &amp; TASKS'!$C$5:$C$24,MATCH(H484,'STAFF &amp; TASKS'!$A$5:$A$24,0))),PayRate))</f>
        <v/>
      </c>
      <c r="X484" s="55">
        <f>IF(B484="","",IF(OR(O484="Cancelled",O484="No-Show"),"",ROUND(R484*W484*(1+Burden),2)))</f>
        <v/>
      </c>
      <c r="Y484" s="55">
        <f>IF(B484="","",IF(OR(O484="Cancelled",O484="No-Show"),"",IF(N484&lt;&gt;"",N484,ROUND(R484*SupHr*IFERROR(INDEX('PRICING'!$G$7:$G$16,MATCH(F484,'PRICING'!$A$7:$A$16,0)),1),2))))</f>
        <v/>
      </c>
      <c r="Z484" s="98">
        <f>IF(B484="","",SUMIFS('MILEAGE'!$J$5:$J$1504,'MILEAGE'!$B$5:$B$1504,A484))</f>
        <v/>
      </c>
      <c r="AA484" s="55">
        <f>IF(B484="","",ROUND(Z484*MileRate,2))</f>
        <v/>
      </c>
      <c r="AB484" s="55">
        <f>IF(B484="","",SUMIFS('REVENUE'!$J$5:$J$1504,'REVENUE'!$B$5:$B$1504,A484))</f>
        <v/>
      </c>
      <c r="AC484" s="55">
        <f>IF(L484="","",IF(OR(O484="Cancelled",O484="No-Show"),"",L484-N(X484)-N(Y484)-AA484-AB484))</f>
        <v/>
      </c>
      <c r="AD484" s="99">
        <f>IF(OR(AC484="",N(L484)=0),"",AC484/L484)</f>
        <v/>
      </c>
      <c r="AE484" s="55">
        <f>IF(OR(AC484="",N(R484)=0),"",L484/R484)</f>
        <v/>
      </c>
      <c r="AF484" s="100">
        <f>IF(OR(N(K484)=0,N(J484)+N(Q484)=0),"",K484-IF(N(J484)&gt;0,J484,Q484))</f>
        <v/>
      </c>
      <c r="AG484" s="99">
        <f>IF(B484="","",IFERROR(AVERAGEIFS('QUALITY CONTROL'!$M$5:$M$304,'QUALITY CONTROL'!$B$5:$B$304,A484),""))</f>
        <v/>
      </c>
      <c r="AH484" s="51">
        <f>IF(B484="","",DATE(YEAR(B484),MONTH(B484),1))</f>
        <v/>
      </c>
      <c r="AI484" s="49">
        <f>IF(D484="","",IFERROR(INDEX('CUSTOMERS'!$E$5:$E$404,MATCH(D484,'CUSTOMERS'!$B$5:$B$404,0)),""))</f>
        <v/>
      </c>
      <c r="AJ484" s="49">
        <f>IF(B484="","",N(C484))</f>
        <v/>
      </c>
      <c r="AK484" s="49">
        <f>IF(OR(B484="",O484="Cancelled",O484="Rescheduled"),"",B484&amp;"|"&amp;(COUNTIFS('JOBS'!$B$5:$B$1504,B484,'JOBS'!$AJ$5:$AJ$1504,"&lt;"&amp;AJ484,'JOBS'!$O$5:$O$1504,"&lt;&gt;Cancelled",'JOBS'!$O$5:$O$1504,"&lt;&gt;Rescheduled")+COUNTIFS($B$5:B484,B484,$AJ$5:AJ484,AJ484,$O$5:O484,"&lt;&gt;Cancelled",$O$5:O484,"&lt;&gt;Rescheduled")))</f>
        <v/>
      </c>
      <c r="AL484" s="49">
        <f>IF(N(U484)&lt;=0.005,"",COUNTIFS('JOBS'!$U$5:$U$1504,"&gt;0.005",'JOBS'!$B$5:$B$1504,"&lt;"&amp;B484)+COUNTIFS($U$5:U484,"&gt;0.005",$B$5:B484,B484))</f>
        <v/>
      </c>
    </row>
    <row r="485">
      <c r="A485" s="46" t="inlineStr">
        <is>
          <t>J-0481</t>
        </is>
      </c>
      <c r="B485" s="47" t="n"/>
      <c r="C485" s="94" t="n"/>
      <c r="D485" s="38" t="n"/>
      <c r="E485" s="38" t="n"/>
      <c r="F485" s="38" t="n"/>
      <c r="G485" s="38" t="n"/>
      <c r="H485" s="38" t="n"/>
      <c r="I485" s="57" t="n"/>
      <c r="J485" s="95" t="n"/>
      <c r="K485" s="95" t="n"/>
      <c r="L485" s="48" t="n"/>
      <c r="M485" s="96" t="n"/>
      <c r="N485" s="48" t="n"/>
      <c r="O485" s="38" t="n"/>
      <c r="P485" s="38" t="n"/>
      <c r="Q485" s="97">
        <f>IF(OR(F485="",E485=""),"",IFERROR(IF(INDEX('PROPERTIES'!$F$5:$F$404,MATCH(E485,'PROPERTIES'!$B$5:$B$404,0))=0,"",ROUND((INDEX('PROPERTIES'!$F$5:$F$404,MATCH(E485,'PROPERTIES'!$B$5:$B$404,0))/INDEX('PRICING'!$C$7:$C$16,MATCH(F485,'PRICING'!$A$7:$A$16,0))+INDEX('PROPERTIES'!$G$5:$G$404,MATCH(E485,'PROPERTIES'!$B$5:$B$404,0))*INDEX('PRICING'!$D$7:$D$16,MATCH(F485,'PRICING'!$A$7:$A$16,0))/60+INDEX('PROPERTIES'!$H$5:$H$404,MATCH(E485,'PROPERTIES'!$B$5:$B$404,0))*INDEX('PRICING'!$E$7:$E$16,MATCH(F485,'PRICING'!$A$7:$A$16,0))/60+INDEX('PRICING'!$F$7:$F$16,MATCH(F485,'PRICING'!$A$7:$A$16,0))/60),2)),""))</f>
        <v/>
      </c>
      <c r="R485" s="97">
        <f>IF(B485="","",IF(N(K485)&gt;0,K485,IF(N(J485)&gt;0,J485,N(Q485))))</f>
        <v/>
      </c>
      <c r="S485" s="55">
        <f>IF(L485="","",ROUND(L485*(1+N(M485)),2))</f>
        <v/>
      </c>
      <c r="T485" s="55">
        <f>IF(B485="","",SUMIFS('REVENUE'!$C$5:$C$1504,'REVENUE'!$B$5:$B$1504,A485))</f>
        <v/>
      </c>
      <c r="U485" s="55">
        <f>IF(B485="","",IF(O485="Completed",MAX(0,N(S485)-T485),""))</f>
        <v/>
      </c>
      <c r="V485" s="49">
        <f>IF(B485="","",IF(O485&lt;&gt;"Completed",IF(T485&gt;0,"Deposit","—"),IF(U485&lt;=0.005,"Paid",IF(T485&gt;0,"Partial","Unpaid"))))</f>
        <v/>
      </c>
      <c r="W485" s="55">
        <f>IF(B485="","",IFERROR(1/(1/INDEX('STAFF &amp; TASKS'!$C$5:$C$24,MATCH(H485,'STAFF &amp; TASKS'!$A$5:$A$24,0))),PayRate))</f>
        <v/>
      </c>
      <c r="X485" s="55">
        <f>IF(B485="","",IF(OR(O485="Cancelled",O485="No-Show"),"",ROUND(R485*W485*(1+Burden),2)))</f>
        <v/>
      </c>
      <c r="Y485" s="55">
        <f>IF(B485="","",IF(OR(O485="Cancelled",O485="No-Show"),"",IF(N485&lt;&gt;"",N485,ROUND(R485*SupHr*IFERROR(INDEX('PRICING'!$G$7:$G$16,MATCH(F485,'PRICING'!$A$7:$A$16,0)),1),2))))</f>
        <v/>
      </c>
      <c r="Z485" s="98">
        <f>IF(B485="","",SUMIFS('MILEAGE'!$J$5:$J$1504,'MILEAGE'!$B$5:$B$1504,A485))</f>
        <v/>
      </c>
      <c r="AA485" s="55">
        <f>IF(B485="","",ROUND(Z485*MileRate,2))</f>
        <v/>
      </c>
      <c r="AB485" s="55">
        <f>IF(B485="","",SUMIFS('REVENUE'!$J$5:$J$1504,'REVENUE'!$B$5:$B$1504,A485))</f>
        <v/>
      </c>
      <c r="AC485" s="55">
        <f>IF(L485="","",IF(OR(O485="Cancelled",O485="No-Show"),"",L485-N(X485)-N(Y485)-AA485-AB485))</f>
        <v/>
      </c>
      <c r="AD485" s="99">
        <f>IF(OR(AC485="",N(L485)=0),"",AC485/L485)</f>
        <v/>
      </c>
      <c r="AE485" s="55">
        <f>IF(OR(AC485="",N(R485)=0),"",L485/R485)</f>
        <v/>
      </c>
      <c r="AF485" s="100">
        <f>IF(OR(N(K485)=0,N(J485)+N(Q485)=0),"",K485-IF(N(J485)&gt;0,J485,Q485))</f>
        <v/>
      </c>
      <c r="AG485" s="99">
        <f>IF(B485="","",IFERROR(AVERAGEIFS('QUALITY CONTROL'!$M$5:$M$304,'QUALITY CONTROL'!$B$5:$B$304,A485),""))</f>
        <v/>
      </c>
      <c r="AH485" s="51">
        <f>IF(B485="","",DATE(YEAR(B485),MONTH(B485),1))</f>
        <v/>
      </c>
      <c r="AI485" s="49">
        <f>IF(D485="","",IFERROR(INDEX('CUSTOMERS'!$E$5:$E$404,MATCH(D485,'CUSTOMERS'!$B$5:$B$404,0)),""))</f>
        <v/>
      </c>
      <c r="AJ485" s="49">
        <f>IF(B485="","",N(C485))</f>
        <v/>
      </c>
      <c r="AK485" s="49">
        <f>IF(OR(B485="",O485="Cancelled",O485="Rescheduled"),"",B485&amp;"|"&amp;(COUNTIFS('JOBS'!$B$5:$B$1504,B485,'JOBS'!$AJ$5:$AJ$1504,"&lt;"&amp;AJ485,'JOBS'!$O$5:$O$1504,"&lt;&gt;Cancelled",'JOBS'!$O$5:$O$1504,"&lt;&gt;Rescheduled")+COUNTIFS($B$5:B485,B485,$AJ$5:AJ485,AJ485,$O$5:O485,"&lt;&gt;Cancelled",$O$5:O485,"&lt;&gt;Rescheduled")))</f>
        <v/>
      </c>
      <c r="AL485" s="49">
        <f>IF(N(U485)&lt;=0.005,"",COUNTIFS('JOBS'!$U$5:$U$1504,"&gt;0.005",'JOBS'!$B$5:$B$1504,"&lt;"&amp;B485)+COUNTIFS($U$5:U485,"&gt;0.005",$B$5:B485,B485))</f>
        <v/>
      </c>
    </row>
    <row r="486">
      <c r="A486" s="46" t="inlineStr">
        <is>
          <t>J-0482</t>
        </is>
      </c>
      <c r="B486" s="47" t="n"/>
      <c r="C486" s="94" t="n"/>
      <c r="D486" s="38" t="n"/>
      <c r="E486" s="38" t="n"/>
      <c r="F486" s="38" t="n"/>
      <c r="G486" s="38" t="n"/>
      <c r="H486" s="38" t="n"/>
      <c r="I486" s="57" t="n"/>
      <c r="J486" s="95" t="n"/>
      <c r="K486" s="95" t="n"/>
      <c r="L486" s="48" t="n"/>
      <c r="M486" s="96" t="n"/>
      <c r="N486" s="48" t="n"/>
      <c r="O486" s="38" t="n"/>
      <c r="P486" s="38" t="n"/>
      <c r="Q486" s="97">
        <f>IF(OR(F486="",E486=""),"",IFERROR(IF(INDEX('PROPERTIES'!$F$5:$F$404,MATCH(E486,'PROPERTIES'!$B$5:$B$404,0))=0,"",ROUND((INDEX('PROPERTIES'!$F$5:$F$404,MATCH(E486,'PROPERTIES'!$B$5:$B$404,0))/INDEX('PRICING'!$C$7:$C$16,MATCH(F486,'PRICING'!$A$7:$A$16,0))+INDEX('PROPERTIES'!$G$5:$G$404,MATCH(E486,'PROPERTIES'!$B$5:$B$404,0))*INDEX('PRICING'!$D$7:$D$16,MATCH(F486,'PRICING'!$A$7:$A$16,0))/60+INDEX('PROPERTIES'!$H$5:$H$404,MATCH(E486,'PROPERTIES'!$B$5:$B$404,0))*INDEX('PRICING'!$E$7:$E$16,MATCH(F486,'PRICING'!$A$7:$A$16,0))/60+INDEX('PRICING'!$F$7:$F$16,MATCH(F486,'PRICING'!$A$7:$A$16,0))/60),2)),""))</f>
        <v/>
      </c>
      <c r="R486" s="97">
        <f>IF(B486="","",IF(N(K486)&gt;0,K486,IF(N(J486)&gt;0,J486,N(Q486))))</f>
        <v/>
      </c>
      <c r="S486" s="55">
        <f>IF(L486="","",ROUND(L486*(1+N(M486)),2))</f>
        <v/>
      </c>
      <c r="T486" s="55">
        <f>IF(B486="","",SUMIFS('REVENUE'!$C$5:$C$1504,'REVENUE'!$B$5:$B$1504,A486))</f>
        <v/>
      </c>
      <c r="U486" s="55">
        <f>IF(B486="","",IF(O486="Completed",MAX(0,N(S486)-T486),""))</f>
        <v/>
      </c>
      <c r="V486" s="49">
        <f>IF(B486="","",IF(O486&lt;&gt;"Completed",IF(T486&gt;0,"Deposit","—"),IF(U486&lt;=0.005,"Paid",IF(T486&gt;0,"Partial","Unpaid"))))</f>
        <v/>
      </c>
      <c r="W486" s="55">
        <f>IF(B486="","",IFERROR(1/(1/INDEX('STAFF &amp; TASKS'!$C$5:$C$24,MATCH(H486,'STAFF &amp; TASKS'!$A$5:$A$24,0))),PayRate))</f>
        <v/>
      </c>
      <c r="X486" s="55">
        <f>IF(B486="","",IF(OR(O486="Cancelled",O486="No-Show"),"",ROUND(R486*W486*(1+Burden),2)))</f>
        <v/>
      </c>
      <c r="Y486" s="55">
        <f>IF(B486="","",IF(OR(O486="Cancelled",O486="No-Show"),"",IF(N486&lt;&gt;"",N486,ROUND(R486*SupHr*IFERROR(INDEX('PRICING'!$G$7:$G$16,MATCH(F486,'PRICING'!$A$7:$A$16,0)),1),2))))</f>
        <v/>
      </c>
      <c r="Z486" s="98">
        <f>IF(B486="","",SUMIFS('MILEAGE'!$J$5:$J$1504,'MILEAGE'!$B$5:$B$1504,A486))</f>
        <v/>
      </c>
      <c r="AA486" s="55">
        <f>IF(B486="","",ROUND(Z486*MileRate,2))</f>
        <v/>
      </c>
      <c r="AB486" s="55">
        <f>IF(B486="","",SUMIFS('REVENUE'!$J$5:$J$1504,'REVENUE'!$B$5:$B$1504,A486))</f>
        <v/>
      </c>
      <c r="AC486" s="55">
        <f>IF(L486="","",IF(OR(O486="Cancelled",O486="No-Show"),"",L486-N(X486)-N(Y486)-AA486-AB486))</f>
        <v/>
      </c>
      <c r="AD486" s="99">
        <f>IF(OR(AC486="",N(L486)=0),"",AC486/L486)</f>
        <v/>
      </c>
      <c r="AE486" s="55">
        <f>IF(OR(AC486="",N(R486)=0),"",L486/R486)</f>
        <v/>
      </c>
      <c r="AF486" s="100">
        <f>IF(OR(N(K486)=0,N(J486)+N(Q486)=0),"",K486-IF(N(J486)&gt;0,J486,Q486))</f>
        <v/>
      </c>
      <c r="AG486" s="99">
        <f>IF(B486="","",IFERROR(AVERAGEIFS('QUALITY CONTROL'!$M$5:$M$304,'QUALITY CONTROL'!$B$5:$B$304,A486),""))</f>
        <v/>
      </c>
      <c r="AH486" s="51">
        <f>IF(B486="","",DATE(YEAR(B486),MONTH(B486),1))</f>
        <v/>
      </c>
      <c r="AI486" s="49">
        <f>IF(D486="","",IFERROR(INDEX('CUSTOMERS'!$E$5:$E$404,MATCH(D486,'CUSTOMERS'!$B$5:$B$404,0)),""))</f>
        <v/>
      </c>
      <c r="AJ486" s="49">
        <f>IF(B486="","",N(C486))</f>
        <v/>
      </c>
      <c r="AK486" s="49">
        <f>IF(OR(B486="",O486="Cancelled",O486="Rescheduled"),"",B486&amp;"|"&amp;(COUNTIFS('JOBS'!$B$5:$B$1504,B486,'JOBS'!$AJ$5:$AJ$1504,"&lt;"&amp;AJ486,'JOBS'!$O$5:$O$1504,"&lt;&gt;Cancelled",'JOBS'!$O$5:$O$1504,"&lt;&gt;Rescheduled")+COUNTIFS($B$5:B486,B486,$AJ$5:AJ486,AJ486,$O$5:O486,"&lt;&gt;Cancelled",$O$5:O486,"&lt;&gt;Rescheduled")))</f>
        <v/>
      </c>
      <c r="AL486" s="49">
        <f>IF(N(U486)&lt;=0.005,"",COUNTIFS('JOBS'!$U$5:$U$1504,"&gt;0.005",'JOBS'!$B$5:$B$1504,"&lt;"&amp;B486)+COUNTIFS($U$5:U486,"&gt;0.005",$B$5:B486,B486))</f>
        <v/>
      </c>
    </row>
    <row r="487">
      <c r="A487" s="46" t="inlineStr">
        <is>
          <t>J-0483</t>
        </is>
      </c>
      <c r="B487" s="47" t="n"/>
      <c r="C487" s="94" t="n"/>
      <c r="D487" s="38" t="n"/>
      <c r="E487" s="38" t="n"/>
      <c r="F487" s="38" t="n"/>
      <c r="G487" s="38" t="n"/>
      <c r="H487" s="38" t="n"/>
      <c r="I487" s="57" t="n"/>
      <c r="J487" s="95" t="n"/>
      <c r="K487" s="95" t="n"/>
      <c r="L487" s="48" t="n"/>
      <c r="M487" s="96" t="n"/>
      <c r="N487" s="48" t="n"/>
      <c r="O487" s="38" t="n"/>
      <c r="P487" s="38" t="n"/>
      <c r="Q487" s="97">
        <f>IF(OR(F487="",E487=""),"",IFERROR(IF(INDEX('PROPERTIES'!$F$5:$F$404,MATCH(E487,'PROPERTIES'!$B$5:$B$404,0))=0,"",ROUND((INDEX('PROPERTIES'!$F$5:$F$404,MATCH(E487,'PROPERTIES'!$B$5:$B$404,0))/INDEX('PRICING'!$C$7:$C$16,MATCH(F487,'PRICING'!$A$7:$A$16,0))+INDEX('PROPERTIES'!$G$5:$G$404,MATCH(E487,'PROPERTIES'!$B$5:$B$404,0))*INDEX('PRICING'!$D$7:$D$16,MATCH(F487,'PRICING'!$A$7:$A$16,0))/60+INDEX('PROPERTIES'!$H$5:$H$404,MATCH(E487,'PROPERTIES'!$B$5:$B$404,0))*INDEX('PRICING'!$E$7:$E$16,MATCH(F487,'PRICING'!$A$7:$A$16,0))/60+INDEX('PRICING'!$F$7:$F$16,MATCH(F487,'PRICING'!$A$7:$A$16,0))/60),2)),""))</f>
        <v/>
      </c>
      <c r="R487" s="97">
        <f>IF(B487="","",IF(N(K487)&gt;0,K487,IF(N(J487)&gt;0,J487,N(Q487))))</f>
        <v/>
      </c>
      <c r="S487" s="55">
        <f>IF(L487="","",ROUND(L487*(1+N(M487)),2))</f>
        <v/>
      </c>
      <c r="T487" s="55">
        <f>IF(B487="","",SUMIFS('REVENUE'!$C$5:$C$1504,'REVENUE'!$B$5:$B$1504,A487))</f>
        <v/>
      </c>
      <c r="U487" s="55">
        <f>IF(B487="","",IF(O487="Completed",MAX(0,N(S487)-T487),""))</f>
        <v/>
      </c>
      <c r="V487" s="49">
        <f>IF(B487="","",IF(O487&lt;&gt;"Completed",IF(T487&gt;0,"Deposit","—"),IF(U487&lt;=0.005,"Paid",IF(T487&gt;0,"Partial","Unpaid"))))</f>
        <v/>
      </c>
      <c r="W487" s="55">
        <f>IF(B487="","",IFERROR(1/(1/INDEX('STAFF &amp; TASKS'!$C$5:$C$24,MATCH(H487,'STAFF &amp; TASKS'!$A$5:$A$24,0))),PayRate))</f>
        <v/>
      </c>
      <c r="X487" s="55">
        <f>IF(B487="","",IF(OR(O487="Cancelled",O487="No-Show"),"",ROUND(R487*W487*(1+Burden),2)))</f>
        <v/>
      </c>
      <c r="Y487" s="55">
        <f>IF(B487="","",IF(OR(O487="Cancelled",O487="No-Show"),"",IF(N487&lt;&gt;"",N487,ROUND(R487*SupHr*IFERROR(INDEX('PRICING'!$G$7:$G$16,MATCH(F487,'PRICING'!$A$7:$A$16,0)),1),2))))</f>
        <v/>
      </c>
      <c r="Z487" s="98">
        <f>IF(B487="","",SUMIFS('MILEAGE'!$J$5:$J$1504,'MILEAGE'!$B$5:$B$1504,A487))</f>
        <v/>
      </c>
      <c r="AA487" s="55">
        <f>IF(B487="","",ROUND(Z487*MileRate,2))</f>
        <v/>
      </c>
      <c r="AB487" s="55">
        <f>IF(B487="","",SUMIFS('REVENUE'!$J$5:$J$1504,'REVENUE'!$B$5:$B$1504,A487))</f>
        <v/>
      </c>
      <c r="AC487" s="55">
        <f>IF(L487="","",IF(OR(O487="Cancelled",O487="No-Show"),"",L487-N(X487)-N(Y487)-AA487-AB487))</f>
        <v/>
      </c>
      <c r="AD487" s="99">
        <f>IF(OR(AC487="",N(L487)=0),"",AC487/L487)</f>
        <v/>
      </c>
      <c r="AE487" s="55">
        <f>IF(OR(AC487="",N(R487)=0),"",L487/R487)</f>
        <v/>
      </c>
      <c r="AF487" s="100">
        <f>IF(OR(N(K487)=0,N(J487)+N(Q487)=0),"",K487-IF(N(J487)&gt;0,J487,Q487))</f>
        <v/>
      </c>
      <c r="AG487" s="99">
        <f>IF(B487="","",IFERROR(AVERAGEIFS('QUALITY CONTROL'!$M$5:$M$304,'QUALITY CONTROL'!$B$5:$B$304,A487),""))</f>
        <v/>
      </c>
      <c r="AH487" s="51">
        <f>IF(B487="","",DATE(YEAR(B487),MONTH(B487),1))</f>
        <v/>
      </c>
      <c r="AI487" s="49">
        <f>IF(D487="","",IFERROR(INDEX('CUSTOMERS'!$E$5:$E$404,MATCH(D487,'CUSTOMERS'!$B$5:$B$404,0)),""))</f>
        <v/>
      </c>
      <c r="AJ487" s="49">
        <f>IF(B487="","",N(C487))</f>
        <v/>
      </c>
      <c r="AK487" s="49">
        <f>IF(OR(B487="",O487="Cancelled",O487="Rescheduled"),"",B487&amp;"|"&amp;(COUNTIFS('JOBS'!$B$5:$B$1504,B487,'JOBS'!$AJ$5:$AJ$1504,"&lt;"&amp;AJ487,'JOBS'!$O$5:$O$1504,"&lt;&gt;Cancelled",'JOBS'!$O$5:$O$1504,"&lt;&gt;Rescheduled")+COUNTIFS($B$5:B487,B487,$AJ$5:AJ487,AJ487,$O$5:O487,"&lt;&gt;Cancelled",$O$5:O487,"&lt;&gt;Rescheduled")))</f>
        <v/>
      </c>
      <c r="AL487" s="49">
        <f>IF(N(U487)&lt;=0.005,"",COUNTIFS('JOBS'!$U$5:$U$1504,"&gt;0.005",'JOBS'!$B$5:$B$1504,"&lt;"&amp;B487)+COUNTIFS($U$5:U487,"&gt;0.005",$B$5:B487,B487))</f>
        <v/>
      </c>
    </row>
    <row r="488">
      <c r="A488" s="46" t="inlineStr">
        <is>
          <t>J-0484</t>
        </is>
      </c>
      <c r="B488" s="47" t="n"/>
      <c r="C488" s="94" t="n"/>
      <c r="D488" s="38" t="n"/>
      <c r="E488" s="38" t="n"/>
      <c r="F488" s="38" t="n"/>
      <c r="G488" s="38" t="n"/>
      <c r="H488" s="38" t="n"/>
      <c r="I488" s="57" t="n"/>
      <c r="J488" s="95" t="n"/>
      <c r="K488" s="95" t="n"/>
      <c r="L488" s="48" t="n"/>
      <c r="M488" s="96" t="n"/>
      <c r="N488" s="48" t="n"/>
      <c r="O488" s="38" t="n"/>
      <c r="P488" s="38" t="n"/>
      <c r="Q488" s="97">
        <f>IF(OR(F488="",E488=""),"",IFERROR(IF(INDEX('PROPERTIES'!$F$5:$F$404,MATCH(E488,'PROPERTIES'!$B$5:$B$404,0))=0,"",ROUND((INDEX('PROPERTIES'!$F$5:$F$404,MATCH(E488,'PROPERTIES'!$B$5:$B$404,0))/INDEX('PRICING'!$C$7:$C$16,MATCH(F488,'PRICING'!$A$7:$A$16,0))+INDEX('PROPERTIES'!$G$5:$G$404,MATCH(E488,'PROPERTIES'!$B$5:$B$404,0))*INDEX('PRICING'!$D$7:$D$16,MATCH(F488,'PRICING'!$A$7:$A$16,0))/60+INDEX('PROPERTIES'!$H$5:$H$404,MATCH(E488,'PROPERTIES'!$B$5:$B$404,0))*INDEX('PRICING'!$E$7:$E$16,MATCH(F488,'PRICING'!$A$7:$A$16,0))/60+INDEX('PRICING'!$F$7:$F$16,MATCH(F488,'PRICING'!$A$7:$A$16,0))/60),2)),""))</f>
        <v/>
      </c>
      <c r="R488" s="97">
        <f>IF(B488="","",IF(N(K488)&gt;0,K488,IF(N(J488)&gt;0,J488,N(Q488))))</f>
        <v/>
      </c>
      <c r="S488" s="55">
        <f>IF(L488="","",ROUND(L488*(1+N(M488)),2))</f>
        <v/>
      </c>
      <c r="T488" s="55">
        <f>IF(B488="","",SUMIFS('REVENUE'!$C$5:$C$1504,'REVENUE'!$B$5:$B$1504,A488))</f>
        <v/>
      </c>
      <c r="U488" s="55">
        <f>IF(B488="","",IF(O488="Completed",MAX(0,N(S488)-T488),""))</f>
        <v/>
      </c>
      <c r="V488" s="49">
        <f>IF(B488="","",IF(O488&lt;&gt;"Completed",IF(T488&gt;0,"Deposit","—"),IF(U488&lt;=0.005,"Paid",IF(T488&gt;0,"Partial","Unpaid"))))</f>
        <v/>
      </c>
      <c r="W488" s="55">
        <f>IF(B488="","",IFERROR(1/(1/INDEX('STAFF &amp; TASKS'!$C$5:$C$24,MATCH(H488,'STAFF &amp; TASKS'!$A$5:$A$24,0))),PayRate))</f>
        <v/>
      </c>
      <c r="X488" s="55">
        <f>IF(B488="","",IF(OR(O488="Cancelled",O488="No-Show"),"",ROUND(R488*W488*(1+Burden),2)))</f>
        <v/>
      </c>
      <c r="Y488" s="55">
        <f>IF(B488="","",IF(OR(O488="Cancelled",O488="No-Show"),"",IF(N488&lt;&gt;"",N488,ROUND(R488*SupHr*IFERROR(INDEX('PRICING'!$G$7:$G$16,MATCH(F488,'PRICING'!$A$7:$A$16,0)),1),2))))</f>
        <v/>
      </c>
      <c r="Z488" s="98">
        <f>IF(B488="","",SUMIFS('MILEAGE'!$J$5:$J$1504,'MILEAGE'!$B$5:$B$1504,A488))</f>
        <v/>
      </c>
      <c r="AA488" s="55">
        <f>IF(B488="","",ROUND(Z488*MileRate,2))</f>
        <v/>
      </c>
      <c r="AB488" s="55">
        <f>IF(B488="","",SUMIFS('REVENUE'!$J$5:$J$1504,'REVENUE'!$B$5:$B$1504,A488))</f>
        <v/>
      </c>
      <c r="AC488" s="55">
        <f>IF(L488="","",IF(OR(O488="Cancelled",O488="No-Show"),"",L488-N(X488)-N(Y488)-AA488-AB488))</f>
        <v/>
      </c>
      <c r="AD488" s="99">
        <f>IF(OR(AC488="",N(L488)=0),"",AC488/L488)</f>
        <v/>
      </c>
      <c r="AE488" s="55">
        <f>IF(OR(AC488="",N(R488)=0),"",L488/R488)</f>
        <v/>
      </c>
      <c r="AF488" s="100">
        <f>IF(OR(N(K488)=0,N(J488)+N(Q488)=0),"",K488-IF(N(J488)&gt;0,J488,Q488))</f>
        <v/>
      </c>
      <c r="AG488" s="99">
        <f>IF(B488="","",IFERROR(AVERAGEIFS('QUALITY CONTROL'!$M$5:$M$304,'QUALITY CONTROL'!$B$5:$B$304,A488),""))</f>
        <v/>
      </c>
      <c r="AH488" s="51">
        <f>IF(B488="","",DATE(YEAR(B488),MONTH(B488),1))</f>
        <v/>
      </c>
      <c r="AI488" s="49">
        <f>IF(D488="","",IFERROR(INDEX('CUSTOMERS'!$E$5:$E$404,MATCH(D488,'CUSTOMERS'!$B$5:$B$404,0)),""))</f>
        <v/>
      </c>
      <c r="AJ488" s="49">
        <f>IF(B488="","",N(C488))</f>
        <v/>
      </c>
      <c r="AK488" s="49">
        <f>IF(OR(B488="",O488="Cancelled",O488="Rescheduled"),"",B488&amp;"|"&amp;(COUNTIFS('JOBS'!$B$5:$B$1504,B488,'JOBS'!$AJ$5:$AJ$1504,"&lt;"&amp;AJ488,'JOBS'!$O$5:$O$1504,"&lt;&gt;Cancelled",'JOBS'!$O$5:$O$1504,"&lt;&gt;Rescheduled")+COUNTIFS($B$5:B488,B488,$AJ$5:AJ488,AJ488,$O$5:O488,"&lt;&gt;Cancelled",$O$5:O488,"&lt;&gt;Rescheduled")))</f>
        <v/>
      </c>
      <c r="AL488" s="49">
        <f>IF(N(U488)&lt;=0.005,"",COUNTIFS('JOBS'!$U$5:$U$1504,"&gt;0.005",'JOBS'!$B$5:$B$1504,"&lt;"&amp;B488)+COUNTIFS($U$5:U488,"&gt;0.005",$B$5:B488,B488))</f>
        <v/>
      </c>
    </row>
    <row r="489">
      <c r="A489" s="46" t="inlineStr">
        <is>
          <t>J-0485</t>
        </is>
      </c>
      <c r="B489" s="47" t="n"/>
      <c r="C489" s="94" t="n"/>
      <c r="D489" s="38" t="n"/>
      <c r="E489" s="38" t="n"/>
      <c r="F489" s="38" t="n"/>
      <c r="G489" s="38" t="n"/>
      <c r="H489" s="38" t="n"/>
      <c r="I489" s="57" t="n"/>
      <c r="J489" s="95" t="n"/>
      <c r="K489" s="95" t="n"/>
      <c r="L489" s="48" t="n"/>
      <c r="M489" s="96" t="n"/>
      <c r="N489" s="48" t="n"/>
      <c r="O489" s="38" t="n"/>
      <c r="P489" s="38" t="n"/>
      <c r="Q489" s="97">
        <f>IF(OR(F489="",E489=""),"",IFERROR(IF(INDEX('PROPERTIES'!$F$5:$F$404,MATCH(E489,'PROPERTIES'!$B$5:$B$404,0))=0,"",ROUND((INDEX('PROPERTIES'!$F$5:$F$404,MATCH(E489,'PROPERTIES'!$B$5:$B$404,0))/INDEX('PRICING'!$C$7:$C$16,MATCH(F489,'PRICING'!$A$7:$A$16,0))+INDEX('PROPERTIES'!$G$5:$G$404,MATCH(E489,'PROPERTIES'!$B$5:$B$404,0))*INDEX('PRICING'!$D$7:$D$16,MATCH(F489,'PRICING'!$A$7:$A$16,0))/60+INDEX('PROPERTIES'!$H$5:$H$404,MATCH(E489,'PROPERTIES'!$B$5:$B$404,0))*INDEX('PRICING'!$E$7:$E$16,MATCH(F489,'PRICING'!$A$7:$A$16,0))/60+INDEX('PRICING'!$F$7:$F$16,MATCH(F489,'PRICING'!$A$7:$A$16,0))/60),2)),""))</f>
        <v/>
      </c>
      <c r="R489" s="97">
        <f>IF(B489="","",IF(N(K489)&gt;0,K489,IF(N(J489)&gt;0,J489,N(Q489))))</f>
        <v/>
      </c>
      <c r="S489" s="55">
        <f>IF(L489="","",ROUND(L489*(1+N(M489)),2))</f>
        <v/>
      </c>
      <c r="T489" s="55">
        <f>IF(B489="","",SUMIFS('REVENUE'!$C$5:$C$1504,'REVENUE'!$B$5:$B$1504,A489))</f>
        <v/>
      </c>
      <c r="U489" s="55">
        <f>IF(B489="","",IF(O489="Completed",MAX(0,N(S489)-T489),""))</f>
        <v/>
      </c>
      <c r="V489" s="49">
        <f>IF(B489="","",IF(O489&lt;&gt;"Completed",IF(T489&gt;0,"Deposit","—"),IF(U489&lt;=0.005,"Paid",IF(T489&gt;0,"Partial","Unpaid"))))</f>
        <v/>
      </c>
      <c r="W489" s="55">
        <f>IF(B489="","",IFERROR(1/(1/INDEX('STAFF &amp; TASKS'!$C$5:$C$24,MATCH(H489,'STAFF &amp; TASKS'!$A$5:$A$24,0))),PayRate))</f>
        <v/>
      </c>
      <c r="X489" s="55">
        <f>IF(B489="","",IF(OR(O489="Cancelled",O489="No-Show"),"",ROUND(R489*W489*(1+Burden),2)))</f>
        <v/>
      </c>
      <c r="Y489" s="55">
        <f>IF(B489="","",IF(OR(O489="Cancelled",O489="No-Show"),"",IF(N489&lt;&gt;"",N489,ROUND(R489*SupHr*IFERROR(INDEX('PRICING'!$G$7:$G$16,MATCH(F489,'PRICING'!$A$7:$A$16,0)),1),2))))</f>
        <v/>
      </c>
      <c r="Z489" s="98">
        <f>IF(B489="","",SUMIFS('MILEAGE'!$J$5:$J$1504,'MILEAGE'!$B$5:$B$1504,A489))</f>
        <v/>
      </c>
      <c r="AA489" s="55">
        <f>IF(B489="","",ROUND(Z489*MileRate,2))</f>
        <v/>
      </c>
      <c r="AB489" s="55">
        <f>IF(B489="","",SUMIFS('REVENUE'!$J$5:$J$1504,'REVENUE'!$B$5:$B$1504,A489))</f>
        <v/>
      </c>
      <c r="AC489" s="55">
        <f>IF(L489="","",IF(OR(O489="Cancelled",O489="No-Show"),"",L489-N(X489)-N(Y489)-AA489-AB489))</f>
        <v/>
      </c>
      <c r="AD489" s="99">
        <f>IF(OR(AC489="",N(L489)=0),"",AC489/L489)</f>
        <v/>
      </c>
      <c r="AE489" s="55">
        <f>IF(OR(AC489="",N(R489)=0),"",L489/R489)</f>
        <v/>
      </c>
      <c r="AF489" s="100">
        <f>IF(OR(N(K489)=0,N(J489)+N(Q489)=0),"",K489-IF(N(J489)&gt;0,J489,Q489))</f>
        <v/>
      </c>
      <c r="AG489" s="99">
        <f>IF(B489="","",IFERROR(AVERAGEIFS('QUALITY CONTROL'!$M$5:$M$304,'QUALITY CONTROL'!$B$5:$B$304,A489),""))</f>
        <v/>
      </c>
      <c r="AH489" s="51">
        <f>IF(B489="","",DATE(YEAR(B489),MONTH(B489),1))</f>
        <v/>
      </c>
      <c r="AI489" s="49">
        <f>IF(D489="","",IFERROR(INDEX('CUSTOMERS'!$E$5:$E$404,MATCH(D489,'CUSTOMERS'!$B$5:$B$404,0)),""))</f>
        <v/>
      </c>
      <c r="AJ489" s="49">
        <f>IF(B489="","",N(C489))</f>
        <v/>
      </c>
      <c r="AK489" s="49">
        <f>IF(OR(B489="",O489="Cancelled",O489="Rescheduled"),"",B489&amp;"|"&amp;(COUNTIFS('JOBS'!$B$5:$B$1504,B489,'JOBS'!$AJ$5:$AJ$1504,"&lt;"&amp;AJ489,'JOBS'!$O$5:$O$1504,"&lt;&gt;Cancelled",'JOBS'!$O$5:$O$1504,"&lt;&gt;Rescheduled")+COUNTIFS($B$5:B489,B489,$AJ$5:AJ489,AJ489,$O$5:O489,"&lt;&gt;Cancelled",$O$5:O489,"&lt;&gt;Rescheduled")))</f>
        <v/>
      </c>
      <c r="AL489" s="49">
        <f>IF(N(U489)&lt;=0.005,"",COUNTIFS('JOBS'!$U$5:$U$1504,"&gt;0.005",'JOBS'!$B$5:$B$1504,"&lt;"&amp;B489)+COUNTIFS($U$5:U489,"&gt;0.005",$B$5:B489,B489))</f>
        <v/>
      </c>
    </row>
    <row r="490">
      <c r="A490" s="46" t="inlineStr">
        <is>
          <t>J-0486</t>
        </is>
      </c>
      <c r="B490" s="47" t="n"/>
      <c r="C490" s="94" t="n"/>
      <c r="D490" s="38" t="n"/>
      <c r="E490" s="38" t="n"/>
      <c r="F490" s="38" t="n"/>
      <c r="G490" s="38" t="n"/>
      <c r="H490" s="38" t="n"/>
      <c r="I490" s="57" t="n"/>
      <c r="J490" s="95" t="n"/>
      <c r="K490" s="95" t="n"/>
      <c r="L490" s="48" t="n"/>
      <c r="M490" s="96" t="n"/>
      <c r="N490" s="48" t="n"/>
      <c r="O490" s="38" t="n"/>
      <c r="P490" s="38" t="n"/>
      <c r="Q490" s="97">
        <f>IF(OR(F490="",E490=""),"",IFERROR(IF(INDEX('PROPERTIES'!$F$5:$F$404,MATCH(E490,'PROPERTIES'!$B$5:$B$404,0))=0,"",ROUND((INDEX('PROPERTIES'!$F$5:$F$404,MATCH(E490,'PROPERTIES'!$B$5:$B$404,0))/INDEX('PRICING'!$C$7:$C$16,MATCH(F490,'PRICING'!$A$7:$A$16,0))+INDEX('PROPERTIES'!$G$5:$G$404,MATCH(E490,'PROPERTIES'!$B$5:$B$404,0))*INDEX('PRICING'!$D$7:$D$16,MATCH(F490,'PRICING'!$A$7:$A$16,0))/60+INDEX('PROPERTIES'!$H$5:$H$404,MATCH(E490,'PROPERTIES'!$B$5:$B$404,0))*INDEX('PRICING'!$E$7:$E$16,MATCH(F490,'PRICING'!$A$7:$A$16,0))/60+INDEX('PRICING'!$F$7:$F$16,MATCH(F490,'PRICING'!$A$7:$A$16,0))/60),2)),""))</f>
        <v/>
      </c>
      <c r="R490" s="97">
        <f>IF(B490="","",IF(N(K490)&gt;0,K490,IF(N(J490)&gt;0,J490,N(Q490))))</f>
        <v/>
      </c>
      <c r="S490" s="55">
        <f>IF(L490="","",ROUND(L490*(1+N(M490)),2))</f>
        <v/>
      </c>
      <c r="T490" s="55">
        <f>IF(B490="","",SUMIFS('REVENUE'!$C$5:$C$1504,'REVENUE'!$B$5:$B$1504,A490))</f>
        <v/>
      </c>
      <c r="U490" s="55">
        <f>IF(B490="","",IF(O490="Completed",MAX(0,N(S490)-T490),""))</f>
        <v/>
      </c>
      <c r="V490" s="49">
        <f>IF(B490="","",IF(O490&lt;&gt;"Completed",IF(T490&gt;0,"Deposit","—"),IF(U490&lt;=0.005,"Paid",IF(T490&gt;0,"Partial","Unpaid"))))</f>
        <v/>
      </c>
      <c r="W490" s="55">
        <f>IF(B490="","",IFERROR(1/(1/INDEX('STAFF &amp; TASKS'!$C$5:$C$24,MATCH(H490,'STAFF &amp; TASKS'!$A$5:$A$24,0))),PayRate))</f>
        <v/>
      </c>
      <c r="X490" s="55">
        <f>IF(B490="","",IF(OR(O490="Cancelled",O490="No-Show"),"",ROUND(R490*W490*(1+Burden),2)))</f>
        <v/>
      </c>
      <c r="Y490" s="55">
        <f>IF(B490="","",IF(OR(O490="Cancelled",O490="No-Show"),"",IF(N490&lt;&gt;"",N490,ROUND(R490*SupHr*IFERROR(INDEX('PRICING'!$G$7:$G$16,MATCH(F490,'PRICING'!$A$7:$A$16,0)),1),2))))</f>
        <v/>
      </c>
      <c r="Z490" s="98">
        <f>IF(B490="","",SUMIFS('MILEAGE'!$J$5:$J$1504,'MILEAGE'!$B$5:$B$1504,A490))</f>
        <v/>
      </c>
      <c r="AA490" s="55">
        <f>IF(B490="","",ROUND(Z490*MileRate,2))</f>
        <v/>
      </c>
      <c r="AB490" s="55">
        <f>IF(B490="","",SUMIFS('REVENUE'!$J$5:$J$1504,'REVENUE'!$B$5:$B$1504,A490))</f>
        <v/>
      </c>
      <c r="AC490" s="55">
        <f>IF(L490="","",IF(OR(O490="Cancelled",O490="No-Show"),"",L490-N(X490)-N(Y490)-AA490-AB490))</f>
        <v/>
      </c>
      <c r="AD490" s="99">
        <f>IF(OR(AC490="",N(L490)=0),"",AC490/L490)</f>
        <v/>
      </c>
      <c r="AE490" s="55">
        <f>IF(OR(AC490="",N(R490)=0),"",L490/R490)</f>
        <v/>
      </c>
      <c r="AF490" s="100">
        <f>IF(OR(N(K490)=0,N(J490)+N(Q490)=0),"",K490-IF(N(J490)&gt;0,J490,Q490))</f>
        <v/>
      </c>
      <c r="AG490" s="99">
        <f>IF(B490="","",IFERROR(AVERAGEIFS('QUALITY CONTROL'!$M$5:$M$304,'QUALITY CONTROL'!$B$5:$B$304,A490),""))</f>
        <v/>
      </c>
      <c r="AH490" s="51">
        <f>IF(B490="","",DATE(YEAR(B490),MONTH(B490),1))</f>
        <v/>
      </c>
      <c r="AI490" s="49">
        <f>IF(D490="","",IFERROR(INDEX('CUSTOMERS'!$E$5:$E$404,MATCH(D490,'CUSTOMERS'!$B$5:$B$404,0)),""))</f>
        <v/>
      </c>
      <c r="AJ490" s="49">
        <f>IF(B490="","",N(C490))</f>
        <v/>
      </c>
      <c r="AK490" s="49">
        <f>IF(OR(B490="",O490="Cancelled",O490="Rescheduled"),"",B490&amp;"|"&amp;(COUNTIFS('JOBS'!$B$5:$B$1504,B490,'JOBS'!$AJ$5:$AJ$1504,"&lt;"&amp;AJ490,'JOBS'!$O$5:$O$1504,"&lt;&gt;Cancelled",'JOBS'!$O$5:$O$1504,"&lt;&gt;Rescheduled")+COUNTIFS($B$5:B490,B490,$AJ$5:AJ490,AJ490,$O$5:O490,"&lt;&gt;Cancelled",$O$5:O490,"&lt;&gt;Rescheduled")))</f>
        <v/>
      </c>
      <c r="AL490" s="49">
        <f>IF(N(U490)&lt;=0.005,"",COUNTIFS('JOBS'!$U$5:$U$1504,"&gt;0.005",'JOBS'!$B$5:$B$1504,"&lt;"&amp;B490)+COUNTIFS($U$5:U490,"&gt;0.005",$B$5:B490,B490))</f>
        <v/>
      </c>
    </row>
    <row r="491">
      <c r="A491" s="46" t="inlineStr">
        <is>
          <t>J-0487</t>
        </is>
      </c>
      <c r="B491" s="47" t="n"/>
      <c r="C491" s="94" t="n"/>
      <c r="D491" s="38" t="n"/>
      <c r="E491" s="38" t="n"/>
      <c r="F491" s="38" t="n"/>
      <c r="G491" s="38" t="n"/>
      <c r="H491" s="38" t="n"/>
      <c r="I491" s="57" t="n"/>
      <c r="J491" s="95" t="n"/>
      <c r="K491" s="95" t="n"/>
      <c r="L491" s="48" t="n"/>
      <c r="M491" s="96" t="n"/>
      <c r="N491" s="48" t="n"/>
      <c r="O491" s="38" t="n"/>
      <c r="P491" s="38" t="n"/>
      <c r="Q491" s="97">
        <f>IF(OR(F491="",E491=""),"",IFERROR(IF(INDEX('PROPERTIES'!$F$5:$F$404,MATCH(E491,'PROPERTIES'!$B$5:$B$404,0))=0,"",ROUND((INDEX('PROPERTIES'!$F$5:$F$404,MATCH(E491,'PROPERTIES'!$B$5:$B$404,0))/INDEX('PRICING'!$C$7:$C$16,MATCH(F491,'PRICING'!$A$7:$A$16,0))+INDEX('PROPERTIES'!$G$5:$G$404,MATCH(E491,'PROPERTIES'!$B$5:$B$404,0))*INDEX('PRICING'!$D$7:$D$16,MATCH(F491,'PRICING'!$A$7:$A$16,0))/60+INDEX('PROPERTIES'!$H$5:$H$404,MATCH(E491,'PROPERTIES'!$B$5:$B$404,0))*INDEX('PRICING'!$E$7:$E$16,MATCH(F491,'PRICING'!$A$7:$A$16,0))/60+INDEX('PRICING'!$F$7:$F$16,MATCH(F491,'PRICING'!$A$7:$A$16,0))/60),2)),""))</f>
        <v/>
      </c>
      <c r="R491" s="97">
        <f>IF(B491="","",IF(N(K491)&gt;0,K491,IF(N(J491)&gt;0,J491,N(Q491))))</f>
        <v/>
      </c>
      <c r="S491" s="55">
        <f>IF(L491="","",ROUND(L491*(1+N(M491)),2))</f>
        <v/>
      </c>
      <c r="T491" s="55">
        <f>IF(B491="","",SUMIFS('REVENUE'!$C$5:$C$1504,'REVENUE'!$B$5:$B$1504,A491))</f>
        <v/>
      </c>
      <c r="U491" s="55">
        <f>IF(B491="","",IF(O491="Completed",MAX(0,N(S491)-T491),""))</f>
        <v/>
      </c>
      <c r="V491" s="49">
        <f>IF(B491="","",IF(O491&lt;&gt;"Completed",IF(T491&gt;0,"Deposit","—"),IF(U491&lt;=0.005,"Paid",IF(T491&gt;0,"Partial","Unpaid"))))</f>
        <v/>
      </c>
      <c r="W491" s="55">
        <f>IF(B491="","",IFERROR(1/(1/INDEX('STAFF &amp; TASKS'!$C$5:$C$24,MATCH(H491,'STAFF &amp; TASKS'!$A$5:$A$24,0))),PayRate))</f>
        <v/>
      </c>
      <c r="X491" s="55">
        <f>IF(B491="","",IF(OR(O491="Cancelled",O491="No-Show"),"",ROUND(R491*W491*(1+Burden),2)))</f>
        <v/>
      </c>
      <c r="Y491" s="55">
        <f>IF(B491="","",IF(OR(O491="Cancelled",O491="No-Show"),"",IF(N491&lt;&gt;"",N491,ROUND(R491*SupHr*IFERROR(INDEX('PRICING'!$G$7:$G$16,MATCH(F491,'PRICING'!$A$7:$A$16,0)),1),2))))</f>
        <v/>
      </c>
      <c r="Z491" s="98">
        <f>IF(B491="","",SUMIFS('MILEAGE'!$J$5:$J$1504,'MILEAGE'!$B$5:$B$1504,A491))</f>
        <v/>
      </c>
      <c r="AA491" s="55">
        <f>IF(B491="","",ROUND(Z491*MileRate,2))</f>
        <v/>
      </c>
      <c r="AB491" s="55">
        <f>IF(B491="","",SUMIFS('REVENUE'!$J$5:$J$1504,'REVENUE'!$B$5:$B$1504,A491))</f>
        <v/>
      </c>
      <c r="AC491" s="55">
        <f>IF(L491="","",IF(OR(O491="Cancelled",O491="No-Show"),"",L491-N(X491)-N(Y491)-AA491-AB491))</f>
        <v/>
      </c>
      <c r="AD491" s="99">
        <f>IF(OR(AC491="",N(L491)=0),"",AC491/L491)</f>
        <v/>
      </c>
      <c r="AE491" s="55">
        <f>IF(OR(AC491="",N(R491)=0),"",L491/R491)</f>
        <v/>
      </c>
      <c r="AF491" s="100">
        <f>IF(OR(N(K491)=0,N(J491)+N(Q491)=0),"",K491-IF(N(J491)&gt;0,J491,Q491))</f>
        <v/>
      </c>
      <c r="AG491" s="99">
        <f>IF(B491="","",IFERROR(AVERAGEIFS('QUALITY CONTROL'!$M$5:$M$304,'QUALITY CONTROL'!$B$5:$B$304,A491),""))</f>
        <v/>
      </c>
      <c r="AH491" s="51">
        <f>IF(B491="","",DATE(YEAR(B491),MONTH(B491),1))</f>
        <v/>
      </c>
      <c r="AI491" s="49">
        <f>IF(D491="","",IFERROR(INDEX('CUSTOMERS'!$E$5:$E$404,MATCH(D491,'CUSTOMERS'!$B$5:$B$404,0)),""))</f>
        <v/>
      </c>
      <c r="AJ491" s="49">
        <f>IF(B491="","",N(C491))</f>
        <v/>
      </c>
      <c r="AK491" s="49">
        <f>IF(OR(B491="",O491="Cancelled",O491="Rescheduled"),"",B491&amp;"|"&amp;(COUNTIFS('JOBS'!$B$5:$B$1504,B491,'JOBS'!$AJ$5:$AJ$1504,"&lt;"&amp;AJ491,'JOBS'!$O$5:$O$1504,"&lt;&gt;Cancelled",'JOBS'!$O$5:$O$1504,"&lt;&gt;Rescheduled")+COUNTIFS($B$5:B491,B491,$AJ$5:AJ491,AJ491,$O$5:O491,"&lt;&gt;Cancelled",$O$5:O491,"&lt;&gt;Rescheduled")))</f>
        <v/>
      </c>
      <c r="AL491" s="49">
        <f>IF(N(U491)&lt;=0.005,"",COUNTIFS('JOBS'!$U$5:$U$1504,"&gt;0.005",'JOBS'!$B$5:$B$1504,"&lt;"&amp;B491)+COUNTIFS($U$5:U491,"&gt;0.005",$B$5:B491,B491))</f>
        <v/>
      </c>
    </row>
    <row r="492">
      <c r="A492" s="46" t="inlineStr">
        <is>
          <t>J-0488</t>
        </is>
      </c>
      <c r="B492" s="47" t="n"/>
      <c r="C492" s="94" t="n"/>
      <c r="D492" s="38" t="n"/>
      <c r="E492" s="38" t="n"/>
      <c r="F492" s="38" t="n"/>
      <c r="G492" s="38" t="n"/>
      <c r="H492" s="38" t="n"/>
      <c r="I492" s="57" t="n"/>
      <c r="J492" s="95" t="n"/>
      <c r="K492" s="95" t="n"/>
      <c r="L492" s="48" t="n"/>
      <c r="M492" s="96" t="n"/>
      <c r="N492" s="48" t="n"/>
      <c r="O492" s="38" t="n"/>
      <c r="P492" s="38" t="n"/>
      <c r="Q492" s="97">
        <f>IF(OR(F492="",E492=""),"",IFERROR(IF(INDEX('PROPERTIES'!$F$5:$F$404,MATCH(E492,'PROPERTIES'!$B$5:$B$404,0))=0,"",ROUND((INDEX('PROPERTIES'!$F$5:$F$404,MATCH(E492,'PROPERTIES'!$B$5:$B$404,0))/INDEX('PRICING'!$C$7:$C$16,MATCH(F492,'PRICING'!$A$7:$A$16,0))+INDEX('PROPERTIES'!$G$5:$G$404,MATCH(E492,'PROPERTIES'!$B$5:$B$404,0))*INDEX('PRICING'!$D$7:$D$16,MATCH(F492,'PRICING'!$A$7:$A$16,0))/60+INDEX('PROPERTIES'!$H$5:$H$404,MATCH(E492,'PROPERTIES'!$B$5:$B$404,0))*INDEX('PRICING'!$E$7:$E$16,MATCH(F492,'PRICING'!$A$7:$A$16,0))/60+INDEX('PRICING'!$F$7:$F$16,MATCH(F492,'PRICING'!$A$7:$A$16,0))/60),2)),""))</f>
        <v/>
      </c>
      <c r="R492" s="97">
        <f>IF(B492="","",IF(N(K492)&gt;0,K492,IF(N(J492)&gt;0,J492,N(Q492))))</f>
        <v/>
      </c>
      <c r="S492" s="55">
        <f>IF(L492="","",ROUND(L492*(1+N(M492)),2))</f>
        <v/>
      </c>
      <c r="T492" s="55">
        <f>IF(B492="","",SUMIFS('REVENUE'!$C$5:$C$1504,'REVENUE'!$B$5:$B$1504,A492))</f>
        <v/>
      </c>
      <c r="U492" s="55">
        <f>IF(B492="","",IF(O492="Completed",MAX(0,N(S492)-T492),""))</f>
        <v/>
      </c>
      <c r="V492" s="49">
        <f>IF(B492="","",IF(O492&lt;&gt;"Completed",IF(T492&gt;0,"Deposit","—"),IF(U492&lt;=0.005,"Paid",IF(T492&gt;0,"Partial","Unpaid"))))</f>
        <v/>
      </c>
      <c r="W492" s="55">
        <f>IF(B492="","",IFERROR(1/(1/INDEX('STAFF &amp; TASKS'!$C$5:$C$24,MATCH(H492,'STAFF &amp; TASKS'!$A$5:$A$24,0))),PayRate))</f>
        <v/>
      </c>
      <c r="X492" s="55">
        <f>IF(B492="","",IF(OR(O492="Cancelled",O492="No-Show"),"",ROUND(R492*W492*(1+Burden),2)))</f>
        <v/>
      </c>
      <c r="Y492" s="55">
        <f>IF(B492="","",IF(OR(O492="Cancelled",O492="No-Show"),"",IF(N492&lt;&gt;"",N492,ROUND(R492*SupHr*IFERROR(INDEX('PRICING'!$G$7:$G$16,MATCH(F492,'PRICING'!$A$7:$A$16,0)),1),2))))</f>
        <v/>
      </c>
      <c r="Z492" s="98">
        <f>IF(B492="","",SUMIFS('MILEAGE'!$J$5:$J$1504,'MILEAGE'!$B$5:$B$1504,A492))</f>
        <v/>
      </c>
      <c r="AA492" s="55">
        <f>IF(B492="","",ROUND(Z492*MileRate,2))</f>
        <v/>
      </c>
      <c r="AB492" s="55">
        <f>IF(B492="","",SUMIFS('REVENUE'!$J$5:$J$1504,'REVENUE'!$B$5:$B$1504,A492))</f>
        <v/>
      </c>
      <c r="AC492" s="55">
        <f>IF(L492="","",IF(OR(O492="Cancelled",O492="No-Show"),"",L492-N(X492)-N(Y492)-AA492-AB492))</f>
        <v/>
      </c>
      <c r="AD492" s="99">
        <f>IF(OR(AC492="",N(L492)=0),"",AC492/L492)</f>
        <v/>
      </c>
      <c r="AE492" s="55">
        <f>IF(OR(AC492="",N(R492)=0),"",L492/R492)</f>
        <v/>
      </c>
      <c r="AF492" s="100">
        <f>IF(OR(N(K492)=0,N(J492)+N(Q492)=0),"",K492-IF(N(J492)&gt;0,J492,Q492))</f>
        <v/>
      </c>
      <c r="AG492" s="99">
        <f>IF(B492="","",IFERROR(AVERAGEIFS('QUALITY CONTROL'!$M$5:$M$304,'QUALITY CONTROL'!$B$5:$B$304,A492),""))</f>
        <v/>
      </c>
      <c r="AH492" s="51">
        <f>IF(B492="","",DATE(YEAR(B492),MONTH(B492),1))</f>
        <v/>
      </c>
      <c r="AI492" s="49">
        <f>IF(D492="","",IFERROR(INDEX('CUSTOMERS'!$E$5:$E$404,MATCH(D492,'CUSTOMERS'!$B$5:$B$404,0)),""))</f>
        <v/>
      </c>
      <c r="AJ492" s="49">
        <f>IF(B492="","",N(C492))</f>
        <v/>
      </c>
      <c r="AK492" s="49">
        <f>IF(OR(B492="",O492="Cancelled",O492="Rescheduled"),"",B492&amp;"|"&amp;(COUNTIFS('JOBS'!$B$5:$B$1504,B492,'JOBS'!$AJ$5:$AJ$1504,"&lt;"&amp;AJ492,'JOBS'!$O$5:$O$1504,"&lt;&gt;Cancelled",'JOBS'!$O$5:$O$1504,"&lt;&gt;Rescheduled")+COUNTIFS($B$5:B492,B492,$AJ$5:AJ492,AJ492,$O$5:O492,"&lt;&gt;Cancelled",$O$5:O492,"&lt;&gt;Rescheduled")))</f>
        <v/>
      </c>
      <c r="AL492" s="49">
        <f>IF(N(U492)&lt;=0.005,"",COUNTIFS('JOBS'!$U$5:$U$1504,"&gt;0.005",'JOBS'!$B$5:$B$1504,"&lt;"&amp;B492)+COUNTIFS($U$5:U492,"&gt;0.005",$B$5:B492,B492))</f>
        <v/>
      </c>
    </row>
    <row r="493">
      <c r="A493" s="46" t="inlineStr">
        <is>
          <t>J-0489</t>
        </is>
      </c>
      <c r="B493" s="47" t="n"/>
      <c r="C493" s="94" t="n"/>
      <c r="D493" s="38" t="n"/>
      <c r="E493" s="38" t="n"/>
      <c r="F493" s="38" t="n"/>
      <c r="G493" s="38" t="n"/>
      <c r="H493" s="38" t="n"/>
      <c r="I493" s="57" t="n"/>
      <c r="J493" s="95" t="n"/>
      <c r="K493" s="95" t="n"/>
      <c r="L493" s="48" t="n"/>
      <c r="M493" s="96" t="n"/>
      <c r="N493" s="48" t="n"/>
      <c r="O493" s="38" t="n"/>
      <c r="P493" s="38" t="n"/>
      <c r="Q493" s="97">
        <f>IF(OR(F493="",E493=""),"",IFERROR(IF(INDEX('PROPERTIES'!$F$5:$F$404,MATCH(E493,'PROPERTIES'!$B$5:$B$404,0))=0,"",ROUND((INDEX('PROPERTIES'!$F$5:$F$404,MATCH(E493,'PROPERTIES'!$B$5:$B$404,0))/INDEX('PRICING'!$C$7:$C$16,MATCH(F493,'PRICING'!$A$7:$A$16,0))+INDEX('PROPERTIES'!$G$5:$G$404,MATCH(E493,'PROPERTIES'!$B$5:$B$404,0))*INDEX('PRICING'!$D$7:$D$16,MATCH(F493,'PRICING'!$A$7:$A$16,0))/60+INDEX('PROPERTIES'!$H$5:$H$404,MATCH(E493,'PROPERTIES'!$B$5:$B$404,0))*INDEX('PRICING'!$E$7:$E$16,MATCH(F493,'PRICING'!$A$7:$A$16,0))/60+INDEX('PRICING'!$F$7:$F$16,MATCH(F493,'PRICING'!$A$7:$A$16,0))/60),2)),""))</f>
        <v/>
      </c>
      <c r="R493" s="97">
        <f>IF(B493="","",IF(N(K493)&gt;0,K493,IF(N(J493)&gt;0,J493,N(Q493))))</f>
        <v/>
      </c>
      <c r="S493" s="55">
        <f>IF(L493="","",ROUND(L493*(1+N(M493)),2))</f>
        <v/>
      </c>
      <c r="T493" s="55">
        <f>IF(B493="","",SUMIFS('REVENUE'!$C$5:$C$1504,'REVENUE'!$B$5:$B$1504,A493))</f>
        <v/>
      </c>
      <c r="U493" s="55">
        <f>IF(B493="","",IF(O493="Completed",MAX(0,N(S493)-T493),""))</f>
        <v/>
      </c>
      <c r="V493" s="49">
        <f>IF(B493="","",IF(O493&lt;&gt;"Completed",IF(T493&gt;0,"Deposit","—"),IF(U493&lt;=0.005,"Paid",IF(T493&gt;0,"Partial","Unpaid"))))</f>
        <v/>
      </c>
      <c r="W493" s="55">
        <f>IF(B493="","",IFERROR(1/(1/INDEX('STAFF &amp; TASKS'!$C$5:$C$24,MATCH(H493,'STAFF &amp; TASKS'!$A$5:$A$24,0))),PayRate))</f>
        <v/>
      </c>
      <c r="X493" s="55">
        <f>IF(B493="","",IF(OR(O493="Cancelled",O493="No-Show"),"",ROUND(R493*W493*(1+Burden),2)))</f>
        <v/>
      </c>
      <c r="Y493" s="55">
        <f>IF(B493="","",IF(OR(O493="Cancelled",O493="No-Show"),"",IF(N493&lt;&gt;"",N493,ROUND(R493*SupHr*IFERROR(INDEX('PRICING'!$G$7:$G$16,MATCH(F493,'PRICING'!$A$7:$A$16,0)),1),2))))</f>
        <v/>
      </c>
      <c r="Z493" s="98">
        <f>IF(B493="","",SUMIFS('MILEAGE'!$J$5:$J$1504,'MILEAGE'!$B$5:$B$1504,A493))</f>
        <v/>
      </c>
      <c r="AA493" s="55">
        <f>IF(B493="","",ROUND(Z493*MileRate,2))</f>
        <v/>
      </c>
      <c r="AB493" s="55">
        <f>IF(B493="","",SUMIFS('REVENUE'!$J$5:$J$1504,'REVENUE'!$B$5:$B$1504,A493))</f>
        <v/>
      </c>
      <c r="AC493" s="55">
        <f>IF(L493="","",IF(OR(O493="Cancelled",O493="No-Show"),"",L493-N(X493)-N(Y493)-AA493-AB493))</f>
        <v/>
      </c>
      <c r="AD493" s="99">
        <f>IF(OR(AC493="",N(L493)=0),"",AC493/L493)</f>
        <v/>
      </c>
      <c r="AE493" s="55">
        <f>IF(OR(AC493="",N(R493)=0),"",L493/R493)</f>
        <v/>
      </c>
      <c r="AF493" s="100">
        <f>IF(OR(N(K493)=0,N(J493)+N(Q493)=0),"",K493-IF(N(J493)&gt;0,J493,Q493))</f>
        <v/>
      </c>
      <c r="AG493" s="99">
        <f>IF(B493="","",IFERROR(AVERAGEIFS('QUALITY CONTROL'!$M$5:$M$304,'QUALITY CONTROL'!$B$5:$B$304,A493),""))</f>
        <v/>
      </c>
      <c r="AH493" s="51">
        <f>IF(B493="","",DATE(YEAR(B493),MONTH(B493),1))</f>
        <v/>
      </c>
      <c r="AI493" s="49">
        <f>IF(D493="","",IFERROR(INDEX('CUSTOMERS'!$E$5:$E$404,MATCH(D493,'CUSTOMERS'!$B$5:$B$404,0)),""))</f>
        <v/>
      </c>
      <c r="AJ493" s="49">
        <f>IF(B493="","",N(C493))</f>
        <v/>
      </c>
      <c r="AK493" s="49">
        <f>IF(OR(B493="",O493="Cancelled",O493="Rescheduled"),"",B493&amp;"|"&amp;(COUNTIFS('JOBS'!$B$5:$B$1504,B493,'JOBS'!$AJ$5:$AJ$1504,"&lt;"&amp;AJ493,'JOBS'!$O$5:$O$1504,"&lt;&gt;Cancelled",'JOBS'!$O$5:$O$1504,"&lt;&gt;Rescheduled")+COUNTIFS($B$5:B493,B493,$AJ$5:AJ493,AJ493,$O$5:O493,"&lt;&gt;Cancelled",$O$5:O493,"&lt;&gt;Rescheduled")))</f>
        <v/>
      </c>
      <c r="AL493" s="49">
        <f>IF(N(U493)&lt;=0.005,"",COUNTIFS('JOBS'!$U$5:$U$1504,"&gt;0.005",'JOBS'!$B$5:$B$1504,"&lt;"&amp;B493)+COUNTIFS($U$5:U493,"&gt;0.005",$B$5:B493,B493))</f>
        <v/>
      </c>
    </row>
    <row r="494">
      <c r="A494" s="46" t="inlineStr">
        <is>
          <t>J-0490</t>
        </is>
      </c>
      <c r="B494" s="47" t="n"/>
      <c r="C494" s="94" t="n"/>
      <c r="D494" s="38" t="n"/>
      <c r="E494" s="38" t="n"/>
      <c r="F494" s="38" t="n"/>
      <c r="G494" s="38" t="n"/>
      <c r="H494" s="38" t="n"/>
      <c r="I494" s="57" t="n"/>
      <c r="J494" s="95" t="n"/>
      <c r="K494" s="95" t="n"/>
      <c r="L494" s="48" t="n"/>
      <c r="M494" s="96" t="n"/>
      <c r="N494" s="48" t="n"/>
      <c r="O494" s="38" t="n"/>
      <c r="P494" s="38" t="n"/>
      <c r="Q494" s="97">
        <f>IF(OR(F494="",E494=""),"",IFERROR(IF(INDEX('PROPERTIES'!$F$5:$F$404,MATCH(E494,'PROPERTIES'!$B$5:$B$404,0))=0,"",ROUND((INDEX('PROPERTIES'!$F$5:$F$404,MATCH(E494,'PROPERTIES'!$B$5:$B$404,0))/INDEX('PRICING'!$C$7:$C$16,MATCH(F494,'PRICING'!$A$7:$A$16,0))+INDEX('PROPERTIES'!$G$5:$G$404,MATCH(E494,'PROPERTIES'!$B$5:$B$404,0))*INDEX('PRICING'!$D$7:$D$16,MATCH(F494,'PRICING'!$A$7:$A$16,0))/60+INDEX('PROPERTIES'!$H$5:$H$404,MATCH(E494,'PROPERTIES'!$B$5:$B$404,0))*INDEX('PRICING'!$E$7:$E$16,MATCH(F494,'PRICING'!$A$7:$A$16,0))/60+INDEX('PRICING'!$F$7:$F$16,MATCH(F494,'PRICING'!$A$7:$A$16,0))/60),2)),""))</f>
        <v/>
      </c>
      <c r="R494" s="97">
        <f>IF(B494="","",IF(N(K494)&gt;0,K494,IF(N(J494)&gt;0,J494,N(Q494))))</f>
        <v/>
      </c>
      <c r="S494" s="55">
        <f>IF(L494="","",ROUND(L494*(1+N(M494)),2))</f>
        <v/>
      </c>
      <c r="T494" s="55">
        <f>IF(B494="","",SUMIFS('REVENUE'!$C$5:$C$1504,'REVENUE'!$B$5:$B$1504,A494))</f>
        <v/>
      </c>
      <c r="U494" s="55">
        <f>IF(B494="","",IF(O494="Completed",MAX(0,N(S494)-T494),""))</f>
        <v/>
      </c>
      <c r="V494" s="49">
        <f>IF(B494="","",IF(O494&lt;&gt;"Completed",IF(T494&gt;0,"Deposit","—"),IF(U494&lt;=0.005,"Paid",IF(T494&gt;0,"Partial","Unpaid"))))</f>
        <v/>
      </c>
      <c r="W494" s="55">
        <f>IF(B494="","",IFERROR(1/(1/INDEX('STAFF &amp; TASKS'!$C$5:$C$24,MATCH(H494,'STAFF &amp; TASKS'!$A$5:$A$24,0))),PayRate))</f>
        <v/>
      </c>
      <c r="X494" s="55">
        <f>IF(B494="","",IF(OR(O494="Cancelled",O494="No-Show"),"",ROUND(R494*W494*(1+Burden),2)))</f>
        <v/>
      </c>
      <c r="Y494" s="55">
        <f>IF(B494="","",IF(OR(O494="Cancelled",O494="No-Show"),"",IF(N494&lt;&gt;"",N494,ROUND(R494*SupHr*IFERROR(INDEX('PRICING'!$G$7:$G$16,MATCH(F494,'PRICING'!$A$7:$A$16,0)),1),2))))</f>
        <v/>
      </c>
      <c r="Z494" s="98">
        <f>IF(B494="","",SUMIFS('MILEAGE'!$J$5:$J$1504,'MILEAGE'!$B$5:$B$1504,A494))</f>
        <v/>
      </c>
      <c r="AA494" s="55">
        <f>IF(B494="","",ROUND(Z494*MileRate,2))</f>
        <v/>
      </c>
      <c r="AB494" s="55">
        <f>IF(B494="","",SUMIFS('REVENUE'!$J$5:$J$1504,'REVENUE'!$B$5:$B$1504,A494))</f>
        <v/>
      </c>
      <c r="AC494" s="55">
        <f>IF(L494="","",IF(OR(O494="Cancelled",O494="No-Show"),"",L494-N(X494)-N(Y494)-AA494-AB494))</f>
        <v/>
      </c>
      <c r="AD494" s="99">
        <f>IF(OR(AC494="",N(L494)=0),"",AC494/L494)</f>
        <v/>
      </c>
      <c r="AE494" s="55">
        <f>IF(OR(AC494="",N(R494)=0),"",L494/R494)</f>
        <v/>
      </c>
      <c r="AF494" s="100">
        <f>IF(OR(N(K494)=0,N(J494)+N(Q494)=0),"",K494-IF(N(J494)&gt;0,J494,Q494))</f>
        <v/>
      </c>
      <c r="AG494" s="99">
        <f>IF(B494="","",IFERROR(AVERAGEIFS('QUALITY CONTROL'!$M$5:$M$304,'QUALITY CONTROL'!$B$5:$B$304,A494),""))</f>
        <v/>
      </c>
      <c r="AH494" s="51">
        <f>IF(B494="","",DATE(YEAR(B494),MONTH(B494),1))</f>
        <v/>
      </c>
      <c r="AI494" s="49">
        <f>IF(D494="","",IFERROR(INDEX('CUSTOMERS'!$E$5:$E$404,MATCH(D494,'CUSTOMERS'!$B$5:$B$404,0)),""))</f>
        <v/>
      </c>
      <c r="AJ494" s="49">
        <f>IF(B494="","",N(C494))</f>
        <v/>
      </c>
      <c r="AK494" s="49">
        <f>IF(OR(B494="",O494="Cancelled",O494="Rescheduled"),"",B494&amp;"|"&amp;(COUNTIFS('JOBS'!$B$5:$B$1504,B494,'JOBS'!$AJ$5:$AJ$1504,"&lt;"&amp;AJ494,'JOBS'!$O$5:$O$1504,"&lt;&gt;Cancelled",'JOBS'!$O$5:$O$1504,"&lt;&gt;Rescheduled")+COUNTIFS($B$5:B494,B494,$AJ$5:AJ494,AJ494,$O$5:O494,"&lt;&gt;Cancelled",$O$5:O494,"&lt;&gt;Rescheduled")))</f>
        <v/>
      </c>
      <c r="AL494" s="49">
        <f>IF(N(U494)&lt;=0.005,"",COUNTIFS('JOBS'!$U$5:$U$1504,"&gt;0.005",'JOBS'!$B$5:$B$1504,"&lt;"&amp;B494)+COUNTIFS($U$5:U494,"&gt;0.005",$B$5:B494,B494))</f>
        <v/>
      </c>
    </row>
    <row r="495">
      <c r="A495" s="46" t="inlineStr">
        <is>
          <t>J-0491</t>
        </is>
      </c>
      <c r="B495" s="47" t="n"/>
      <c r="C495" s="94" t="n"/>
      <c r="D495" s="38" t="n"/>
      <c r="E495" s="38" t="n"/>
      <c r="F495" s="38" t="n"/>
      <c r="G495" s="38" t="n"/>
      <c r="H495" s="38" t="n"/>
      <c r="I495" s="57" t="n"/>
      <c r="J495" s="95" t="n"/>
      <c r="K495" s="95" t="n"/>
      <c r="L495" s="48" t="n"/>
      <c r="M495" s="96" t="n"/>
      <c r="N495" s="48" t="n"/>
      <c r="O495" s="38" t="n"/>
      <c r="P495" s="38" t="n"/>
      <c r="Q495" s="97">
        <f>IF(OR(F495="",E495=""),"",IFERROR(IF(INDEX('PROPERTIES'!$F$5:$F$404,MATCH(E495,'PROPERTIES'!$B$5:$B$404,0))=0,"",ROUND((INDEX('PROPERTIES'!$F$5:$F$404,MATCH(E495,'PROPERTIES'!$B$5:$B$404,0))/INDEX('PRICING'!$C$7:$C$16,MATCH(F495,'PRICING'!$A$7:$A$16,0))+INDEX('PROPERTIES'!$G$5:$G$404,MATCH(E495,'PROPERTIES'!$B$5:$B$404,0))*INDEX('PRICING'!$D$7:$D$16,MATCH(F495,'PRICING'!$A$7:$A$16,0))/60+INDEX('PROPERTIES'!$H$5:$H$404,MATCH(E495,'PROPERTIES'!$B$5:$B$404,0))*INDEX('PRICING'!$E$7:$E$16,MATCH(F495,'PRICING'!$A$7:$A$16,0))/60+INDEX('PRICING'!$F$7:$F$16,MATCH(F495,'PRICING'!$A$7:$A$16,0))/60),2)),""))</f>
        <v/>
      </c>
      <c r="R495" s="97">
        <f>IF(B495="","",IF(N(K495)&gt;0,K495,IF(N(J495)&gt;0,J495,N(Q495))))</f>
        <v/>
      </c>
      <c r="S495" s="55">
        <f>IF(L495="","",ROUND(L495*(1+N(M495)),2))</f>
        <v/>
      </c>
      <c r="T495" s="55">
        <f>IF(B495="","",SUMIFS('REVENUE'!$C$5:$C$1504,'REVENUE'!$B$5:$B$1504,A495))</f>
        <v/>
      </c>
      <c r="U495" s="55">
        <f>IF(B495="","",IF(O495="Completed",MAX(0,N(S495)-T495),""))</f>
        <v/>
      </c>
      <c r="V495" s="49">
        <f>IF(B495="","",IF(O495&lt;&gt;"Completed",IF(T495&gt;0,"Deposit","—"),IF(U495&lt;=0.005,"Paid",IF(T495&gt;0,"Partial","Unpaid"))))</f>
        <v/>
      </c>
      <c r="W495" s="55">
        <f>IF(B495="","",IFERROR(1/(1/INDEX('STAFF &amp; TASKS'!$C$5:$C$24,MATCH(H495,'STAFF &amp; TASKS'!$A$5:$A$24,0))),PayRate))</f>
        <v/>
      </c>
      <c r="X495" s="55">
        <f>IF(B495="","",IF(OR(O495="Cancelled",O495="No-Show"),"",ROUND(R495*W495*(1+Burden),2)))</f>
        <v/>
      </c>
      <c r="Y495" s="55">
        <f>IF(B495="","",IF(OR(O495="Cancelled",O495="No-Show"),"",IF(N495&lt;&gt;"",N495,ROUND(R495*SupHr*IFERROR(INDEX('PRICING'!$G$7:$G$16,MATCH(F495,'PRICING'!$A$7:$A$16,0)),1),2))))</f>
        <v/>
      </c>
      <c r="Z495" s="98">
        <f>IF(B495="","",SUMIFS('MILEAGE'!$J$5:$J$1504,'MILEAGE'!$B$5:$B$1504,A495))</f>
        <v/>
      </c>
      <c r="AA495" s="55">
        <f>IF(B495="","",ROUND(Z495*MileRate,2))</f>
        <v/>
      </c>
      <c r="AB495" s="55">
        <f>IF(B495="","",SUMIFS('REVENUE'!$J$5:$J$1504,'REVENUE'!$B$5:$B$1504,A495))</f>
        <v/>
      </c>
      <c r="AC495" s="55">
        <f>IF(L495="","",IF(OR(O495="Cancelled",O495="No-Show"),"",L495-N(X495)-N(Y495)-AA495-AB495))</f>
        <v/>
      </c>
      <c r="AD495" s="99">
        <f>IF(OR(AC495="",N(L495)=0),"",AC495/L495)</f>
        <v/>
      </c>
      <c r="AE495" s="55">
        <f>IF(OR(AC495="",N(R495)=0),"",L495/R495)</f>
        <v/>
      </c>
      <c r="AF495" s="100">
        <f>IF(OR(N(K495)=0,N(J495)+N(Q495)=0),"",K495-IF(N(J495)&gt;0,J495,Q495))</f>
        <v/>
      </c>
      <c r="AG495" s="99">
        <f>IF(B495="","",IFERROR(AVERAGEIFS('QUALITY CONTROL'!$M$5:$M$304,'QUALITY CONTROL'!$B$5:$B$304,A495),""))</f>
        <v/>
      </c>
      <c r="AH495" s="51">
        <f>IF(B495="","",DATE(YEAR(B495),MONTH(B495),1))</f>
        <v/>
      </c>
      <c r="AI495" s="49">
        <f>IF(D495="","",IFERROR(INDEX('CUSTOMERS'!$E$5:$E$404,MATCH(D495,'CUSTOMERS'!$B$5:$B$404,0)),""))</f>
        <v/>
      </c>
      <c r="AJ495" s="49">
        <f>IF(B495="","",N(C495))</f>
        <v/>
      </c>
      <c r="AK495" s="49">
        <f>IF(OR(B495="",O495="Cancelled",O495="Rescheduled"),"",B495&amp;"|"&amp;(COUNTIFS('JOBS'!$B$5:$B$1504,B495,'JOBS'!$AJ$5:$AJ$1504,"&lt;"&amp;AJ495,'JOBS'!$O$5:$O$1504,"&lt;&gt;Cancelled",'JOBS'!$O$5:$O$1504,"&lt;&gt;Rescheduled")+COUNTIFS($B$5:B495,B495,$AJ$5:AJ495,AJ495,$O$5:O495,"&lt;&gt;Cancelled",$O$5:O495,"&lt;&gt;Rescheduled")))</f>
        <v/>
      </c>
      <c r="AL495" s="49">
        <f>IF(N(U495)&lt;=0.005,"",COUNTIFS('JOBS'!$U$5:$U$1504,"&gt;0.005",'JOBS'!$B$5:$B$1504,"&lt;"&amp;B495)+COUNTIFS($U$5:U495,"&gt;0.005",$B$5:B495,B495))</f>
        <v/>
      </c>
    </row>
    <row r="496">
      <c r="A496" s="46" t="inlineStr">
        <is>
          <t>J-0492</t>
        </is>
      </c>
      <c r="B496" s="47" t="n"/>
      <c r="C496" s="94" t="n"/>
      <c r="D496" s="38" t="n"/>
      <c r="E496" s="38" t="n"/>
      <c r="F496" s="38" t="n"/>
      <c r="G496" s="38" t="n"/>
      <c r="H496" s="38" t="n"/>
      <c r="I496" s="57" t="n"/>
      <c r="J496" s="95" t="n"/>
      <c r="K496" s="95" t="n"/>
      <c r="L496" s="48" t="n"/>
      <c r="M496" s="96" t="n"/>
      <c r="N496" s="48" t="n"/>
      <c r="O496" s="38" t="n"/>
      <c r="P496" s="38" t="n"/>
      <c r="Q496" s="97">
        <f>IF(OR(F496="",E496=""),"",IFERROR(IF(INDEX('PROPERTIES'!$F$5:$F$404,MATCH(E496,'PROPERTIES'!$B$5:$B$404,0))=0,"",ROUND((INDEX('PROPERTIES'!$F$5:$F$404,MATCH(E496,'PROPERTIES'!$B$5:$B$404,0))/INDEX('PRICING'!$C$7:$C$16,MATCH(F496,'PRICING'!$A$7:$A$16,0))+INDEX('PROPERTIES'!$G$5:$G$404,MATCH(E496,'PROPERTIES'!$B$5:$B$404,0))*INDEX('PRICING'!$D$7:$D$16,MATCH(F496,'PRICING'!$A$7:$A$16,0))/60+INDEX('PROPERTIES'!$H$5:$H$404,MATCH(E496,'PROPERTIES'!$B$5:$B$404,0))*INDEX('PRICING'!$E$7:$E$16,MATCH(F496,'PRICING'!$A$7:$A$16,0))/60+INDEX('PRICING'!$F$7:$F$16,MATCH(F496,'PRICING'!$A$7:$A$16,0))/60),2)),""))</f>
        <v/>
      </c>
      <c r="R496" s="97">
        <f>IF(B496="","",IF(N(K496)&gt;0,K496,IF(N(J496)&gt;0,J496,N(Q496))))</f>
        <v/>
      </c>
      <c r="S496" s="55">
        <f>IF(L496="","",ROUND(L496*(1+N(M496)),2))</f>
        <v/>
      </c>
      <c r="T496" s="55">
        <f>IF(B496="","",SUMIFS('REVENUE'!$C$5:$C$1504,'REVENUE'!$B$5:$B$1504,A496))</f>
        <v/>
      </c>
      <c r="U496" s="55">
        <f>IF(B496="","",IF(O496="Completed",MAX(0,N(S496)-T496),""))</f>
        <v/>
      </c>
      <c r="V496" s="49">
        <f>IF(B496="","",IF(O496&lt;&gt;"Completed",IF(T496&gt;0,"Deposit","—"),IF(U496&lt;=0.005,"Paid",IF(T496&gt;0,"Partial","Unpaid"))))</f>
        <v/>
      </c>
      <c r="W496" s="55">
        <f>IF(B496="","",IFERROR(1/(1/INDEX('STAFF &amp; TASKS'!$C$5:$C$24,MATCH(H496,'STAFF &amp; TASKS'!$A$5:$A$24,0))),PayRate))</f>
        <v/>
      </c>
      <c r="X496" s="55">
        <f>IF(B496="","",IF(OR(O496="Cancelled",O496="No-Show"),"",ROUND(R496*W496*(1+Burden),2)))</f>
        <v/>
      </c>
      <c r="Y496" s="55">
        <f>IF(B496="","",IF(OR(O496="Cancelled",O496="No-Show"),"",IF(N496&lt;&gt;"",N496,ROUND(R496*SupHr*IFERROR(INDEX('PRICING'!$G$7:$G$16,MATCH(F496,'PRICING'!$A$7:$A$16,0)),1),2))))</f>
        <v/>
      </c>
      <c r="Z496" s="98">
        <f>IF(B496="","",SUMIFS('MILEAGE'!$J$5:$J$1504,'MILEAGE'!$B$5:$B$1504,A496))</f>
        <v/>
      </c>
      <c r="AA496" s="55">
        <f>IF(B496="","",ROUND(Z496*MileRate,2))</f>
        <v/>
      </c>
      <c r="AB496" s="55">
        <f>IF(B496="","",SUMIFS('REVENUE'!$J$5:$J$1504,'REVENUE'!$B$5:$B$1504,A496))</f>
        <v/>
      </c>
      <c r="AC496" s="55">
        <f>IF(L496="","",IF(OR(O496="Cancelled",O496="No-Show"),"",L496-N(X496)-N(Y496)-AA496-AB496))</f>
        <v/>
      </c>
      <c r="AD496" s="99">
        <f>IF(OR(AC496="",N(L496)=0),"",AC496/L496)</f>
        <v/>
      </c>
      <c r="AE496" s="55">
        <f>IF(OR(AC496="",N(R496)=0),"",L496/R496)</f>
        <v/>
      </c>
      <c r="AF496" s="100">
        <f>IF(OR(N(K496)=0,N(J496)+N(Q496)=0),"",K496-IF(N(J496)&gt;0,J496,Q496))</f>
        <v/>
      </c>
      <c r="AG496" s="99">
        <f>IF(B496="","",IFERROR(AVERAGEIFS('QUALITY CONTROL'!$M$5:$M$304,'QUALITY CONTROL'!$B$5:$B$304,A496),""))</f>
        <v/>
      </c>
      <c r="AH496" s="51">
        <f>IF(B496="","",DATE(YEAR(B496),MONTH(B496),1))</f>
        <v/>
      </c>
      <c r="AI496" s="49">
        <f>IF(D496="","",IFERROR(INDEX('CUSTOMERS'!$E$5:$E$404,MATCH(D496,'CUSTOMERS'!$B$5:$B$404,0)),""))</f>
        <v/>
      </c>
      <c r="AJ496" s="49">
        <f>IF(B496="","",N(C496))</f>
        <v/>
      </c>
      <c r="AK496" s="49">
        <f>IF(OR(B496="",O496="Cancelled",O496="Rescheduled"),"",B496&amp;"|"&amp;(COUNTIFS('JOBS'!$B$5:$B$1504,B496,'JOBS'!$AJ$5:$AJ$1504,"&lt;"&amp;AJ496,'JOBS'!$O$5:$O$1504,"&lt;&gt;Cancelled",'JOBS'!$O$5:$O$1504,"&lt;&gt;Rescheduled")+COUNTIFS($B$5:B496,B496,$AJ$5:AJ496,AJ496,$O$5:O496,"&lt;&gt;Cancelled",$O$5:O496,"&lt;&gt;Rescheduled")))</f>
        <v/>
      </c>
      <c r="AL496" s="49">
        <f>IF(N(U496)&lt;=0.005,"",COUNTIFS('JOBS'!$U$5:$U$1504,"&gt;0.005",'JOBS'!$B$5:$B$1504,"&lt;"&amp;B496)+COUNTIFS($U$5:U496,"&gt;0.005",$B$5:B496,B496))</f>
        <v/>
      </c>
    </row>
    <row r="497">
      <c r="A497" s="46" t="inlineStr">
        <is>
          <t>J-0493</t>
        </is>
      </c>
      <c r="B497" s="47" t="n"/>
      <c r="C497" s="94" t="n"/>
      <c r="D497" s="38" t="n"/>
      <c r="E497" s="38" t="n"/>
      <c r="F497" s="38" t="n"/>
      <c r="G497" s="38" t="n"/>
      <c r="H497" s="38" t="n"/>
      <c r="I497" s="57" t="n"/>
      <c r="J497" s="95" t="n"/>
      <c r="K497" s="95" t="n"/>
      <c r="L497" s="48" t="n"/>
      <c r="M497" s="96" t="n"/>
      <c r="N497" s="48" t="n"/>
      <c r="O497" s="38" t="n"/>
      <c r="P497" s="38" t="n"/>
      <c r="Q497" s="97">
        <f>IF(OR(F497="",E497=""),"",IFERROR(IF(INDEX('PROPERTIES'!$F$5:$F$404,MATCH(E497,'PROPERTIES'!$B$5:$B$404,0))=0,"",ROUND((INDEX('PROPERTIES'!$F$5:$F$404,MATCH(E497,'PROPERTIES'!$B$5:$B$404,0))/INDEX('PRICING'!$C$7:$C$16,MATCH(F497,'PRICING'!$A$7:$A$16,0))+INDEX('PROPERTIES'!$G$5:$G$404,MATCH(E497,'PROPERTIES'!$B$5:$B$404,0))*INDEX('PRICING'!$D$7:$D$16,MATCH(F497,'PRICING'!$A$7:$A$16,0))/60+INDEX('PROPERTIES'!$H$5:$H$404,MATCH(E497,'PROPERTIES'!$B$5:$B$404,0))*INDEX('PRICING'!$E$7:$E$16,MATCH(F497,'PRICING'!$A$7:$A$16,0))/60+INDEX('PRICING'!$F$7:$F$16,MATCH(F497,'PRICING'!$A$7:$A$16,0))/60),2)),""))</f>
        <v/>
      </c>
      <c r="R497" s="97">
        <f>IF(B497="","",IF(N(K497)&gt;0,K497,IF(N(J497)&gt;0,J497,N(Q497))))</f>
        <v/>
      </c>
      <c r="S497" s="55">
        <f>IF(L497="","",ROUND(L497*(1+N(M497)),2))</f>
        <v/>
      </c>
      <c r="T497" s="55">
        <f>IF(B497="","",SUMIFS('REVENUE'!$C$5:$C$1504,'REVENUE'!$B$5:$B$1504,A497))</f>
        <v/>
      </c>
      <c r="U497" s="55">
        <f>IF(B497="","",IF(O497="Completed",MAX(0,N(S497)-T497),""))</f>
        <v/>
      </c>
      <c r="V497" s="49">
        <f>IF(B497="","",IF(O497&lt;&gt;"Completed",IF(T497&gt;0,"Deposit","—"),IF(U497&lt;=0.005,"Paid",IF(T497&gt;0,"Partial","Unpaid"))))</f>
        <v/>
      </c>
      <c r="W497" s="55">
        <f>IF(B497="","",IFERROR(1/(1/INDEX('STAFF &amp; TASKS'!$C$5:$C$24,MATCH(H497,'STAFF &amp; TASKS'!$A$5:$A$24,0))),PayRate))</f>
        <v/>
      </c>
      <c r="X497" s="55">
        <f>IF(B497="","",IF(OR(O497="Cancelled",O497="No-Show"),"",ROUND(R497*W497*(1+Burden),2)))</f>
        <v/>
      </c>
      <c r="Y497" s="55">
        <f>IF(B497="","",IF(OR(O497="Cancelled",O497="No-Show"),"",IF(N497&lt;&gt;"",N497,ROUND(R497*SupHr*IFERROR(INDEX('PRICING'!$G$7:$G$16,MATCH(F497,'PRICING'!$A$7:$A$16,0)),1),2))))</f>
        <v/>
      </c>
      <c r="Z497" s="98">
        <f>IF(B497="","",SUMIFS('MILEAGE'!$J$5:$J$1504,'MILEAGE'!$B$5:$B$1504,A497))</f>
        <v/>
      </c>
      <c r="AA497" s="55">
        <f>IF(B497="","",ROUND(Z497*MileRate,2))</f>
        <v/>
      </c>
      <c r="AB497" s="55">
        <f>IF(B497="","",SUMIFS('REVENUE'!$J$5:$J$1504,'REVENUE'!$B$5:$B$1504,A497))</f>
        <v/>
      </c>
      <c r="AC497" s="55">
        <f>IF(L497="","",IF(OR(O497="Cancelled",O497="No-Show"),"",L497-N(X497)-N(Y497)-AA497-AB497))</f>
        <v/>
      </c>
      <c r="AD497" s="99">
        <f>IF(OR(AC497="",N(L497)=0),"",AC497/L497)</f>
        <v/>
      </c>
      <c r="AE497" s="55">
        <f>IF(OR(AC497="",N(R497)=0),"",L497/R497)</f>
        <v/>
      </c>
      <c r="AF497" s="100">
        <f>IF(OR(N(K497)=0,N(J497)+N(Q497)=0),"",K497-IF(N(J497)&gt;0,J497,Q497))</f>
        <v/>
      </c>
      <c r="AG497" s="99">
        <f>IF(B497="","",IFERROR(AVERAGEIFS('QUALITY CONTROL'!$M$5:$M$304,'QUALITY CONTROL'!$B$5:$B$304,A497),""))</f>
        <v/>
      </c>
      <c r="AH497" s="51">
        <f>IF(B497="","",DATE(YEAR(B497),MONTH(B497),1))</f>
        <v/>
      </c>
      <c r="AI497" s="49">
        <f>IF(D497="","",IFERROR(INDEX('CUSTOMERS'!$E$5:$E$404,MATCH(D497,'CUSTOMERS'!$B$5:$B$404,0)),""))</f>
        <v/>
      </c>
      <c r="AJ497" s="49">
        <f>IF(B497="","",N(C497))</f>
        <v/>
      </c>
      <c r="AK497" s="49">
        <f>IF(OR(B497="",O497="Cancelled",O497="Rescheduled"),"",B497&amp;"|"&amp;(COUNTIFS('JOBS'!$B$5:$B$1504,B497,'JOBS'!$AJ$5:$AJ$1504,"&lt;"&amp;AJ497,'JOBS'!$O$5:$O$1504,"&lt;&gt;Cancelled",'JOBS'!$O$5:$O$1504,"&lt;&gt;Rescheduled")+COUNTIFS($B$5:B497,B497,$AJ$5:AJ497,AJ497,$O$5:O497,"&lt;&gt;Cancelled",$O$5:O497,"&lt;&gt;Rescheduled")))</f>
        <v/>
      </c>
      <c r="AL497" s="49">
        <f>IF(N(U497)&lt;=0.005,"",COUNTIFS('JOBS'!$U$5:$U$1504,"&gt;0.005",'JOBS'!$B$5:$B$1504,"&lt;"&amp;B497)+COUNTIFS($U$5:U497,"&gt;0.005",$B$5:B497,B497))</f>
        <v/>
      </c>
    </row>
    <row r="498">
      <c r="A498" s="46" t="inlineStr">
        <is>
          <t>J-0494</t>
        </is>
      </c>
      <c r="B498" s="47" t="n"/>
      <c r="C498" s="94" t="n"/>
      <c r="D498" s="38" t="n"/>
      <c r="E498" s="38" t="n"/>
      <c r="F498" s="38" t="n"/>
      <c r="G498" s="38" t="n"/>
      <c r="H498" s="38" t="n"/>
      <c r="I498" s="57" t="n"/>
      <c r="J498" s="95" t="n"/>
      <c r="K498" s="95" t="n"/>
      <c r="L498" s="48" t="n"/>
      <c r="M498" s="96" t="n"/>
      <c r="N498" s="48" t="n"/>
      <c r="O498" s="38" t="n"/>
      <c r="P498" s="38" t="n"/>
      <c r="Q498" s="97">
        <f>IF(OR(F498="",E498=""),"",IFERROR(IF(INDEX('PROPERTIES'!$F$5:$F$404,MATCH(E498,'PROPERTIES'!$B$5:$B$404,0))=0,"",ROUND((INDEX('PROPERTIES'!$F$5:$F$404,MATCH(E498,'PROPERTIES'!$B$5:$B$404,0))/INDEX('PRICING'!$C$7:$C$16,MATCH(F498,'PRICING'!$A$7:$A$16,0))+INDEX('PROPERTIES'!$G$5:$G$404,MATCH(E498,'PROPERTIES'!$B$5:$B$404,0))*INDEX('PRICING'!$D$7:$D$16,MATCH(F498,'PRICING'!$A$7:$A$16,0))/60+INDEX('PROPERTIES'!$H$5:$H$404,MATCH(E498,'PROPERTIES'!$B$5:$B$404,0))*INDEX('PRICING'!$E$7:$E$16,MATCH(F498,'PRICING'!$A$7:$A$16,0))/60+INDEX('PRICING'!$F$7:$F$16,MATCH(F498,'PRICING'!$A$7:$A$16,0))/60),2)),""))</f>
        <v/>
      </c>
      <c r="R498" s="97">
        <f>IF(B498="","",IF(N(K498)&gt;0,K498,IF(N(J498)&gt;0,J498,N(Q498))))</f>
        <v/>
      </c>
      <c r="S498" s="55">
        <f>IF(L498="","",ROUND(L498*(1+N(M498)),2))</f>
        <v/>
      </c>
      <c r="T498" s="55">
        <f>IF(B498="","",SUMIFS('REVENUE'!$C$5:$C$1504,'REVENUE'!$B$5:$B$1504,A498))</f>
        <v/>
      </c>
      <c r="U498" s="55">
        <f>IF(B498="","",IF(O498="Completed",MAX(0,N(S498)-T498),""))</f>
        <v/>
      </c>
      <c r="V498" s="49">
        <f>IF(B498="","",IF(O498&lt;&gt;"Completed",IF(T498&gt;0,"Deposit","—"),IF(U498&lt;=0.005,"Paid",IF(T498&gt;0,"Partial","Unpaid"))))</f>
        <v/>
      </c>
      <c r="W498" s="55">
        <f>IF(B498="","",IFERROR(1/(1/INDEX('STAFF &amp; TASKS'!$C$5:$C$24,MATCH(H498,'STAFF &amp; TASKS'!$A$5:$A$24,0))),PayRate))</f>
        <v/>
      </c>
      <c r="X498" s="55">
        <f>IF(B498="","",IF(OR(O498="Cancelled",O498="No-Show"),"",ROUND(R498*W498*(1+Burden),2)))</f>
        <v/>
      </c>
      <c r="Y498" s="55">
        <f>IF(B498="","",IF(OR(O498="Cancelled",O498="No-Show"),"",IF(N498&lt;&gt;"",N498,ROUND(R498*SupHr*IFERROR(INDEX('PRICING'!$G$7:$G$16,MATCH(F498,'PRICING'!$A$7:$A$16,0)),1),2))))</f>
        <v/>
      </c>
      <c r="Z498" s="98">
        <f>IF(B498="","",SUMIFS('MILEAGE'!$J$5:$J$1504,'MILEAGE'!$B$5:$B$1504,A498))</f>
        <v/>
      </c>
      <c r="AA498" s="55">
        <f>IF(B498="","",ROUND(Z498*MileRate,2))</f>
        <v/>
      </c>
      <c r="AB498" s="55">
        <f>IF(B498="","",SUMIFS('REVENUE'!$J$5:$J$1504,'REVENUE'!$B$5:$B$1504,A498))</f>
        <v/>
      </c>
      <c r="AC498" s="55">
        <f>IF(L498="","",IF(OR(O498="Cancelled",O498="No-Show"),"",L498-N(X498)-N(Y498)-AA498-AB498))</f>
        <v/>
      </c>
      <c r="AD498" s="99">
        <f>IF(OR(AC498="",N(L498)=0),"",AC498/L498)</f>
        <v/>
      </c>
      <c r="AE498" s="55">
        <f>IF(OR(AC498="",N(R498)=0),"",L498/R498)</f>
        <v/>
      </c>
      <c r="AF498" s="100">
        <f>IF(OR(N(K498)=0,N(J498)+N(Q498)=0),"",K498-IF(N(J498)&gt;0,J498,Q498))</f>
        <v/>
      </c>
      <c r="AG498" s="99">
        <f>IF(B498="","",IFERROR(AVERAGEIFS('QUALITY CONTROL'!$M$5:$M$304,'QUALITY CONTROL'!$B$5:$B$304,A498),""))</f>
        <v/>
      </c>
      <c r="AH498" s="51">
        <f>IF(B498="","",DATE(YEAR(B498),MONTH(B498),1))</f>
        <v/>
      </c>
      <c r="AI498" s="49">
        <f>IF(D498="","",IFERROR(INDEX('CUSTOMERS'!$E$5:$E$404,MATCH(D498,'CUSTOMERS'!$B$5:$B$404,0)),""))</f>
        <v/>
      </c>
      <c r="AJ498" s="49">
        <f>IF(B498="","",N(C498))</f>
        <v/>
      </c>
      <c r="AK498" s="49">
        <f>IF(OR(B498="",O498="Cancelled",O498="Rescheduled"),"",B498&amp;"|"&amp;(COUNTIFS('JOBS'!$B$5:$B$1504,B498,'JOBS'!$AJ$5:$AJ$1504,"&lt;"&amp;AJ498,'JOBS'!$O$5:$O$1504,"&lt;&gt;Cancelled",'JOBS'!$O$5:$O$1504,"&lt;&gt;Rescheduled")+COUNTIFS($B$5:B498,B498,$AJ$5:AJ498,AJ498,$O$5:O498,"&lt;&gt;Cancelled",$O$5:O498,"&lt;&gt;Rescheduled")))</f>
        <v/>
      </c>
      <c r="AL498" s="49">
        <f>IF(N(U498)&lt;=0.005,"",COUNTIFS('JOBS'!$U$5:$U$1504,"&gt;0.005",'JOBS'!$B$5:$B$1504,"&lt;"&amp;B498)+COUNTIFS($U$5:U498,"&gt;0.005",$B$5:B498,B498))</f>
        <v/>
      </c>
    </row>
    <row r="499">
      <c r="A499" s="46" t="inlineStr">
        <is>
          <t>J-0495</t>
        </is>
      </c>
      <c r="B499" s="47" t="n"/>
      <c r="C499" s="94" t="n"/>
      <c r="D499" s="38" t="n"/>
      <c r="E499" s="38" t="n"/>
      <c r="F499" s="38" t="n"/>
      <c r="G499" s="38" t="n"/>
      <c r="H499" s="38" t="n"/>
      <c r="I499" s="57" t="n"/>
      <c r="J499" s="95" t="n"/>
      <c r="K499" s="95" t="n"/>
      <c r="L499" s="48" t="n"/>
      <c r="M499" s="96" t="n"/>
      <c r="N499" s="48" t="n"/>
      <c r="O499" s="38" t="n"/>
      <c r="P499" s="38" t="n"/>
      <c r="Q499" s="97">
        <f>IF(OR(F499="",E499=""),"",IFERROR(IF(INDEX('PROPERTIES'!$F$5:$F$404,MATCH(E499,'PROPERTIES'!$B$5:$B$404,0))=0,"",ROUND((INDEX('PROPERTIES'!$F$5:$F$404,MATCH(E499,'PROPERTIES'!$B$5:$B$404,0))/INDEX('PRICING'!$C$7:$C$16,MATCH(F499,'PRICING'!$A$7:$A$16,0))+INDEX('PROPERTIES'!$G$5:$G$404,MATCH(E499,'PROPERTIES'!$B$5:$B$404,0))*INDEX('PRICING'!$D$7:$D$16,MATCH(F499,'PRICING'!$A$7:$A$16,0))/60+INDEX('PROPERTIES'!$H$5:$H$404,MATCH(E499,'PROPERTIES'!$B$5:$B$404,0))*INDEX('PRICING'!$E$7:$E$16,MATCH(F499,'PRICING'!$A$7:$A$16,0))/60+INDEX('PRICING'!$F$7:$F$16,MATCH(F499,'PRICING'!$A$7:$A$16,0))/60),2)),""))</f>
        <v/>
      </c>
      <c r="R499" s="97">
        <f>IF(B499="","",IF(N(K499)&gt;0,K499,IF(N(J499)&gt;0,J499,N(Q499))))</f>
        <v/>
      </c>
      <c r="S499" s="55">
        <f>IF(L499="","",ROUND(L499*(1+N(M499)),2))</f>
        <v/>
      </c>
      <c r="T499" s="55">
        <f>IF(B499="","",SUMIFS('REVENUE'!$C$5:$C$1504,'REVENUE'!$B$5:$B$1504,A499))</f>
        <v/>
      </c>
      <c r="U499" s="55">
        <f>IF(B499="","",IF(O499="Completed",MAX(0,N(S499)-T499),""))</f>
        <v/>
      </c>
      <c r="V499" s="49">
        <f>IF(B499="","",IF(O499&lt;&gt;"Completed",IF(T499&gt;0,"Deposit","—"),IF(U499&lt;=0.005,"Paid",IF(T499&gt;0,"Partial","Unpaid"))))</f>
        <v/>
      </c>
      <c r="W499" s="55">
        <f>IF(B499="","",IFERROR(1/(1/INDEX('STAFF &amp; TASKS'!$C$5:$C$24,MATCH(H499,'STAFF &amp; TASKS'!$A$5:$A$24,0))),PayRate))</f>
        <v/>
      </c>
      <c r="X499" s="55">
        <f>IF(B499="","",IF(OR(O499="Cancelled",O499="No-Show"),"",ROUND(R499*W499*(1+Burden),2)))</f>
        <v/>
      </c>
      <c r="Y499" s="55">
        <f>IF(B499="","",IF(OR(O499="Cancelled",O499="No-Show"),"",IF(N499&lt;&gt;"",N499,ROUND(R499*SupHr*IFERROR(INDEX('PRICING'!$G$7:$G$16,MATCH(F499,'PRICING'!$A$7:$A$16,0)),1),2))))</f>
        <v/>
      </c>
      <c r="Z499" s="98">
        <f>IF(B499="","",SUMIFS('MILEAGE'!$J$5:$J$1504,'MILEAGE'!$B$5:$B$1504,A499))</f>
        <v/>
      </c>
      <c r="AA499" s="55">
        <f>IF(B499="","",ROUND(Z499*MileRate,2))</f>
        <v/>
      </c>
      <c r="AB499" s="55">
        <f>IF(B499="","",SUMIFS('REVENUE'!$J$5:$J$1504,'REVENUE'!$B$5:$B$1504,A499))</f>
        <v/>
      </c>
      <c r="AC499" s="55">
        <f>IF(L499="","",IF(OR(O499="Cancelled",O499="No-Show"),"",L499-N(X499)-N(Y499)-AA499-AB499))</f>
        <v/>
      </c>
      <c r="AD499" s="99">
        <f>IF(OR(AC499="",N(L499)=0),"",AC499/L499)</f>
        <v/>
      </c>
      <c r="AE499" s="55">
        <f>IF(OR(AC499="",N(R499)=0),"",L499/R499)</f>
        <v/>
      </c>
      <c r="AF499" s="100">
        <f>IF(OR(N(K499)=0,N(J499)+N(Q499)=0),"",K499-IF(N(J499)&gt;0,J499,Q499))</f>
        <v/>
      </c>
      <c r="AG499" s="99">
        <f>IF(B499="","",IFERROR(AVERAGEIFS('QUALITY CONTROL'!$M$5:$M$304,'QUALITY CONTROL'!$B$5:$B$304,A499),""))</f>
        <v/>
      </c>
      <c r="AH499" s="51">
        <f>IF(B499="","",DATE(YEAR(B499),MONTH(B499),1))</f>
        <v/>
      </c>
      <c r="AI499" s="49">
        <f>IF(D499="","",IFERROR(INDEX('CUSTOMERS'!$E$5:$E$404,MATCH(D499,'CUSTOMERS'!$B$5:$B$404,0)),""))</f>
        <v/>
      </c>
      <c r="AJ499" s="49">
        <f>IF(B499="","",N(C499))</f>
        <v/>
      </c>
      <c r="AK499" s="49">
        <f>IF(OR(B499="",O499="Cancelled",O499="Rescheduled"),"",B499&amp;"|"&amp;(COUNTIFS('JOBS'!$B$5:$B$1504,B499,'JOBS'!$AJ$5:$AJ$1504,"&lt;"&amp;AJ499,'JOBS'!$O$5:$O$1504,"&lt;&gt;Cancelled",'JOBS'!$O$5:$O$1504,"&lt;&gt;Rescheduled")+COUNTIFS($B$5:B499,B499,$AJ$5:AJ499,AJ499,$O$5:O499,"&lt;&gt;Cancelled",$O$5:O499,"&lt;&gt;Rescheduled")))</f>
        <v/>
      </c>
      <c r="AL499" s="49">
        <f>IF(N(U499)&lt;=0.005,"",COUNTIFS('JOBS'!$U$5:$U$1504,"&gt;0.005",'JOBS'!$B$5:$B$1504,"&lt;"&amp;B499)+COUNTIFS($U$5:U499,"&gt;0.005",$B$5:B499,B499))</f>
        <v/>
      </c>
    </row>
    <row r="500">
      <c r="A500" s="46" t="inlineStr">
        <is>
          <t>J-0496</t>
        </is>
      </c>
      <c r="B500" s="47" t="n"/>
      <c r="C500" s="94" t="n"/>
      <c r="D500" s="38" t="n"/>
      <c r="E500" s="38" t="n"/>
      <c r="F500" s="38" t="n"/>
      <c r="G500" s="38" t="n"/>
      <c r="H500" s="38" t="n"/>
      <c r="I500" s="57" t="n"/>
      <c r="J500" s="95" t="n"/>
      <c r="K500" s="95" t="n"/>
      <c r="L500" s="48" t="n"/>
      <c r="M500" s="96" t="n"/>
      <c r="N500" s="48" t="n"/>
      <c r="O500" s="38" t="n"/>
      <c r="P500" s="38" t="n"/>
      <c r="Q500" s="97">
        <f>IF(OR(F500="",E500=""),"",IFERROR(IF(INDEX('PROPERTIES'!$F$5:$F$404,MATCH(E500,'PROPERTIES'!$B$5:$B$404,0))=0,"",ROUND((INDEX('PROPERTIES'!$F$5:$F$404,MATCH(E500,'PROPERTIES'!$B$5:$B$404,0))/INDEX('PRICING'!$C$7:$C$16,MATCH(F500,'PRICING'!$A$7:$A$16,0))+INDEX('PROPERTIES'!$G$5:$G$404,MATCH(E500,'PROPERTIES'!$B$5:$B$404,0))*INDEX('PRICING'!$D$7:$D$16,MATCH(F500,'PRICING'!$A$7:$A$16,0))/60+INDEX('PROPERTIES'!$H$5:$H$404,MATCH(E500,'PROPERTIES'!$B$5:$B$404,0))*INDEX('PRICING'!$E$7:$E$16,MATCH(F500,'PRICING'!$A$7:$A$16,0))/60+INDEX('PRICING'!$F$7:$F$16,MATCH(F500,'PRICING'!$A$7:$A$16,0))/60),2)),""))</f>
        <v/>
      </c>
      <c r="R500" s="97">
        <f>IF(B500="","",IF(N(K500)&gt;0,K500,IF(N(J500)&gt;0,J500,N(Q500))))</f>
        <v/>
      </c>
      <c r="S500" s="55">
        <f>IF(L500="","",ROUND(L500*(1+N(M500)),2))</f>
        <v/>
      </c>
      <c r="T500" s="55">
        <f>IF(B500="","",SUMIFS('REVENUE'!$C$5:$C$1504,'REVENUE'!$B$5:$B$1504,A500))</f>
        <v/>
      </c>
      <c r="U500" s="55">
        <f>IF(B500="","",IF(O500="Completed",MAX(0,N(S500)-T500),""))</f>
        <v/>
      </c>
      <c r="V500" s="49">
        <f>IF(B500="","",IF(O500&lt;&gt;"Completed",IF(T500&gt;0,"Deposit","—"),IF(U500&lt;=0.005,"Paid",IF(T500&gt;0,"Partial","Unpaid"))))</f>
        <v/>
      </c>
      <c r="W500" s="55">
        <f>IF(B500="","",IFERROR(1/(1/INDEX('STAFF &amp; TASKS'!$C$5:$C$24,MATCH(H500,'STAFF &amp; TASKS'!$A$5:$A$24,0))),PayRate))</f>
        <v/>
      </c>
      <c r="X500" s="55">
        <f>IF(B500="","",IF(OR(O500="Cancelled",O500="No-Show"),"",ROUND(R500*W500*(1+Burden),2)))</f>
        <v/>
      </c>
      <c r="Y500" s="55">
        <f>IF(B500="","",IF(OR(O500="Cancelled",O500="No-Show"),"",IF(N500&lt;&gt;"",N500,ROUND(R500*SupHr*IFERROR(INDEX('PRICING'!$G$7:$G$16,MATCH(F500,'PRICING'!$A$7:$A$16,0)),1),2))))</f>
        <v/>
      </c>
      <c r="Z500" s="98">
        <f>IF(B500="","",SUMIFS('MILEAGE'!$J$5:$J$1504,'MILEAGE'!$B$5:$B$1504,A500))</f>
        <v/>
      </c>
      <c r="AA500" s="55">
        <f>IF(B500="","",ROUND(Z500*MileRate,2))</f>
        <v/>
      </c>
      <c r="AB500" s="55">
        <f>IF(B500="","",SUMIFS('REVENUE'!$J$5:$J$1504,'REVENUE'!$B$5:$B$1504,A500))</f>
        <v/>
      </c>
      <c r="AC500" s="55">
        <f>IF(L500="","",IF(OR(O500="Cancelled",O500="No-Show"),"",L500-N(X500)-N(Y500)-AA500-AB500))</f>
        <v/>
      </c>
      <c r="AD500" s="99">
        <f>IF(OR(AC500="",N(L500)=0),"",AC500/L500)</f>
        <v/>
      </c>
      <c r="AE500" s="55">
        <f>IF(OR(AC500="",N(R500)=0),"",L500/R500)</f>
        <v/>
      </c>
      <c r="AF500" s="100">
        <f>IF(OR(N(K500)=0,N(J500)+N(Q500)=0),"",K500-IF(N(J500)&gt;0,J500,Q500))</f>
        <v/>
      </c>
      <c r="AG500" s="99">
        <f>IF(B500="","",IFERROR(AVERAGEIFS('QUALITY CONTROL'!$M$5:$M$304,'QUALITY CONTROL'!$B$5:$B$304,A500),""))</f>
        <v/>
      </c>
      <c r="AH500" s="51">
        <f>IF(B500="","",DATE(YEAR(B500),MONTH(B500),1))</f>
        <v/>
      </c>
      <c r="AI500" s="49">
        <f>IF(D500="","",IFERROR(INDEX('CUSTOMERS'!$E$5:$E$404,MATCH(D500,'CUSTOMERS'!$B$5:$B$404,0)),""))</f>
        <v/>
      </c>
      <c r="AJ500" s="49">
        <f>IF(B500="","",N(C500))</f>
        <v/>
      </c>
      <c r="AK500" s="49">
        <f>IF(OR(B500="",O500="Cancelled",O500="Rescheduled"),"",B500&amp;"|"&amp;(COUNTIFS('JOBS'!$B$5:$B$1504,B500,'JOBS'!$AJ$5:$AJ$1504,"&lt;"&amp;AJ500,'JOBS'!$O$5:$O$1504,"&lt;&gt;Cancelled",'JOBS'!$O$5:$O$1504,"&lt;&gt;Rescheduled")+COUNTIFS($B$5:B500,B500,$AJ$5:AJ500,AJ500,$O$5:O500,"&lt;&gt;Cancelled",$O$5:O500,"&lt;&gt;Rescheduled")))</f>
        <v/>
      </c>
      <c r="AL500" s="49">
        <f>IF(N(U500)&lt;=0.005,"",COUNTIFS('JOBS'!$U$5:$U$1504,"&gt;0.005",'JOBS'!$B$5:$B$1504,"&lt;"&amp;B500)+COUNTIFS($U$5:U500,"&gt;0.005",$B$5:B500,B500))</f>
        <v/>
      </c>
    </row>
    <row r="501">
      <c r="A501" s="46" t="inlineStr">
        <is>
          <t>J-0497</t>
        </is>
      </c>
      <c r="B501" s="47" t="n"/>
      <c r="C501" s="94" t="n"/>
      <c r="D501" s="38" t="n"/>
      <c r="E501" s="38" t="n"/>
      <c r="F501" s="38" t="n"/>
      <c r="G501" s="38" t="n"/>
      <c r="H501" s="38" t="n"/>
      <c r="I501" s="57" t="n"/>
      <c r="J501" s="95" t="n"/>
      <c r="K501" s="95" t="n"/>
      <c r="L501" s="48" t="n"/>
      <c r="M501" s="96" t="n"/>
      <c r="N501" s="48" t="n"/>
      <c r="O501" s="38" t="n"/>
      <c r="P501" s="38" t="n"/>
      <c r="Q501" s="97">
        <f>IF(OR(F501="",E501=""),"",IFERROR(IF(INDEX('PROPERTIES'!$F$5:$F$404,MATCH(E501,'PROPERTIES'!$B$5:$B$404,0))=0,"",ROUND((INDEX('PROPERTIES'!$F$5:$F$404,MATCH(E501,'PROPERTIES'!$B$5:$B$404,0))/INDEX('PRICING'!$C$7:$C$16,MATCH(F501,'PRICING'!$A$7:$A$16,0))+INDEX('PROPERTIES'!$G$5:$G$404,MATCH(E501,'PROPERTIES'!$B$5:$B$404,0))*INDEX('PRICING'!$D$7:$D$16,MATCH(F501,'PRICING'!$A$7:$A$16,0))/60+INDEX('PROPERTIES'!$H$5:$H$404,MATCH(E501,'PROPERTIES'!$B$5:$B$404,0))*INDEX('PRICING'!$E$7:$E$16,MATCH(F501,'PRICING'!$A$7:$A$16,0))/60+INDEX('PRICING'!$F$7:$F$16,MATCH(F501,'PRICING'!$A$7:$A$16,0))/60),2)),""))</f>
        <v/>
      </c>
      <c r="R501" s="97">
        <f>IF(B501="","",IF(N(K501)&gt;0,K501,IF(N(J501)&gt;0,J501,N(Q501))))</f>
        <v/>
      </c>
      <c r="S501" s="55">
        <f>IF(L501="","",ROUND(L501*(1+N(M501)),2))</f>
        <v/>
      </c>
      <c r="T501" s="55">
        <f>IF(B501="","",SUMIFS('REVENUE'!$C$5:$C$1504,'REVENUE'!$B$5:$B$1504,A501))</f>
        <v/>
      </c>
      <c r="U501" s="55">
        <f>IF(B501="","",IF(O501="Completed",MAX(0,N(S501)-T501),""))</f>
        <v/>
      </c>
      <c r="V501" s="49">
        <f>IF(B501="","",IF(O501&lt;&gt;"Completed",IF(T501&gt;0,"Deposit","—"),IF(U501&lt;=0.005,"Paid",IF(T501&gt;0,"Partial","Unpaid"))))</f>
        <v/>
      </c>
      <c r="W501" s="55">
        <f>IF(B501="","",IFERROR(1/(1/INDEX('STAFF &amp; TASKS'!$C$5:$C$24,MATCH(H501,'STAFF &amp; TASKS'!$A$5:$A$24,0))),PayRate))</f>
        <v/>
      </c>
      <c r="X501" s="55">
        <f>IF(B501="","",IF(OR(O501="Cancelled",O501="No-Show"),"",ROUND(R501*W501*(1+Burden),2)))</f>
        <v/>
      </c>
      <c r="Y501" s="55">
        <f>IF(B501="","",IF(OR(O501="Cancelled",O501="No-Show"),"",IF(N501&lt;&gt;"",N501,ROUND(R501*SupHr*IFERROR(INDEX('PRICING'!$G$7:$G$16,MATCH(F501,'PRICING'!$A$7:$A$16,0)),1),2))))</f>
        <v/>
      </c>
      <c r="Z501" s="98">
        <f>IF(B501="","",SUMIFS('MILEAGE'!$J$5:$J$1504,'MILEAGE'!$B$5:$B$1504,A501))</f>
        <v/>
      </c>
      <c r="AA501" s="55">
        <f>IF(B501="","",ROUND(Z501*MileRate,2))</f>
        <v/>
      </c>
      <c r="AB501" s="55">
        <f>IF(B501="","",SUMIFS('REVENUE'!$J$5:$J$1504,'REVENUE'!$B$5:$B$1504,A501))</f>
        <v/>
      </c>
      <c r="AC501" s="55">
        <f>IF(L501="","",IF(OR(O501="Cancelled",O501="No-Show"),"",L501-N(X501)-N(Y501)-AA501-AB501))</f>
        <v/>
      </c>
      <c r="AD501" s="99">
        <f>IF(OR(AC501="",N(L501)=0),"",AC501/L501)</f>
        <v/>
      </c>
      <c r="AE501" s="55">
        <f>IF(OR(AC501="",N(R501)=0),"",L501/R501)</f>
        <v/>
      </c>
      <c r="AF501" s="100">
        <f>IF(OR(N(K501)=0,N(J501)+N(Q501)=0),"",K501-IF(N(J501)&gt;0,J501,Q501))</f>
        <v/>
      </c>
      <c r="AG501" s="99">
        <f>IF(B501="","",IFERROR(AVERAGEIFS('QUALITY CONTROL'!$M$5:$M$304,'QUALITY CONTROL'!$B$5:$B$304,A501),""))</f>
        <v/>
      </c>
      <c r="AH501" s="51">
        <f>IF(B501="","",DATE(YEAR(B501),MONTH(B501),1))</f>
        <v/>
      </c>
      <c r="AI501" s="49">
        <f>IF(D501="","",IFERROR(INDEX('CUSTOMERS'!$E$5:$E$404,MATCH(D501,'CUSTOMERS'!$B$5:$B$404,0)),""))</f>
        <v/>
      </c>
      <c r="AJ501" s="49">
        <f>IF(B501="","",N(C501))</f>
        <v/>
      </c>
      <c r="AK501" s="49">
        <f>IF(OR(B501="",O501="Cancelled",O501="Rescheduled"),"",B501&amp;"|"&amp;(COUNTIFS('JOBS'!$B$5:$B$1504,B501,'JOBS'!$AJ$5:$AJ$1504,"&lt;"&amp;AJ501,'JOBS'!$O$5:$O$1504,"&lt;&gt;Cancelled",'JOBS'!$O$5:$O$1504,"&lt;&gt;Rescheduled")+COUNTIFS($B$5:B501,B501,$AJ$5:AJ501,AJ501,$O$5:O501,"&lt;&gt;Cancelled",$O$5:O501,"&lt;&gt;Rescheduled")))</f>
        <v/>
      </c>
      <c r="AL501" s="49">
        <f>IF(N(U501)&lt;=0.005,"",COUNTIFS('JOBS'!$U$5:$U$1504,"&gt;0.005",'JOBS'!$B$5:$B$1504,"&lt;"&amp;B501)+COUNTIFS($U$5:U501,"&gt;0.005",$B$5:B501,B501))</f>
        <v/>
      </c>
    </row>
    <row r="502">
      <c r="A502" s="46" t="inlineStr">
        <is>
          <t>J-0498</t>
        </is>
      </c>
      <c r="B502" s="47" t="n"/>
      <c r="C502" s="94" t="n"/>
      <c r="D502" s="38" t="n"/>
      <c r="E502" s="38" t="n"/>
      <c r="F502" s="38" t="n"/>
      <c r="G502" s="38" t="n"/>
      <c r="H502" s="38" t="n"/>
      <c r="I502" s="57" t="n"/>
      <c r="J502" s="95" t="n"/>
      <c r="K502" s="95" t="n"/>
      <c r="L502" s="48" t="n"/>
      <c r="M502" s="96" t="n"/>
      <c r="N502" s="48" t="n"/>
      <c r="O502" s="38" t="n"/>
      <c r="P502" s="38" t="n"/>
      <c r="Q502" s="97">
        <f>IF(OR(F502="",E502=""),"",IFERROR(IF(INDEX('PROPERTIES'!$F$5:$F$404,MATCH(E502,'PROPERTIES'!$B$5:$B$404,0))=0,"",ROUND((INDEX('PROPERTIES'!$F$5:$F$404,MATCH(E502,'PROPERTIES'!$B$5:$B$404,0))/INDEX('PRICING'!$C$7:$C$16,MATCH(F502,'PRICING'!$A$7:$A$16,0))+INDEX('PROPERTIES'!$G$5:$G$404,MATCH(E502,'PROPERTIES'!$B$5:$B$404,0))*INDEX('PRICING'!$D$7:$D$16,MATCH(F502,'PRICING'!$A$7:$A$16,0))/60+INDEX('PROPERTIES'!$H$5:$H$404,MATCH(E502,'PROPERTIES'!$B$5:$B$404,0))*INDEX('PRICING'!$E$7:$E$16,MATCH(F502,'PRICING'!$A$7:$A$16,0))/60+INDEX('PRICING'!$F$7:$F$16,MATCH(F502,'PRICING'!$A$7:$A$16,0))/60),2)),""))</f>
        <v/>
      </c>
      <c r="R502" s="97">
        <f>IF(B502="","",IF(N(K502)&gt;0,K502,IF(N(J502)&gt;0,J502,N(Q502))))</f>
        <v/>
      </c>
      <c r="S502" s="55">
        <f>IF(L502="","",ROUND(L502*(1+N(M502)),2))</f>
        <v/>
      </c>
      <c r="T502" s="55">
        <f>IF(B502="","",SUMIFS('REVENUE'!$C$5:$C$1504,'REVENUE'!$B$5:$B$1504,A502))</f>
        <v/>
      </c>
      <c r="U502" s="55">
        <f>IF(B502="","",IF(O502="Completed",MAX(0,N(S502)-T502),""))</f>
        <v/>
      </c>
      <c r="V502" s="49">
        <f>IF(B502="","",IF(O502&lt;&gt;"Completed",IF(T502&gt;0,"Deposit","—"),IF(U502&lt;=0.005,"Paid",IF(T502&gt;0,"Partial","Unpaid"))))</f>
        <v/>
      </c>
      <c r="W502" s="55">
        <f>IF(B502="","",IFERROR(1/(1/INDEX('STAFF &amp; TASKS'!$C$5:$C$24,MATCH(H502,'STAFF &amp; TASKS'!$A$5:$A$24,0))),PayRate))</f>
        <v/>
      </c>
      <c r="X502" s="55">
        <f>IF(B502="","",IF(OR(O502="Cancelled",O502="No-Show"),"",ROUND(R502*W502*(1+Burden),2)))</f>
        <v/>
      </c>
      <c r="Y502" s="55">
        <f>IF(B502="","",IF(OR(O502="Cancelled",O502="No-Show"),"",IF(N502&lt;&gt;"",N502,ROUND(R502*SupHr*IFERROR(INDEX('PRICING'!$G$7:$G$16,MATCH(F502,'PRICING'!$A$7:$A$16,0)),1),2))))</f>
        <v/>
      </c>
      <c r="Z502" s="98">
        <f>IF(B502="","",SUMIFS('MILEAGE'!$J$5:$J$1504,'MILEAGE'!$B$5:$B$1504,A502))</f>
        <v/>
      </c>
      <c r="AA502" s="55">
        <f>IF(B502="","",ROUND(Z502*MileRate,2))</f>
        <v/>
      </c>
      <c r="AB502" s="55">
        <f>IF(B502="","",SUMIFS('REVENUE'!$J$5:$J$1504,'REVENUE'!$B$5:$B$1504,A502))</f>
        <v/>
      </c>
      <c r="AC502" s="55">
        <f>IF(L502="","",IF(OR(O502="Cancelled",O502="No-Show"),"",L502-N(X502)-N(Y502)-AA502-AB502))</f>
        <v/>
      </c>
      <c r="AD502" s="99">
        <f>IF(OR(AC502="",N(L502)=0),"",AC502/L502)</f>
        <v/>
      </c>
      <c r="AE502" s="55">
        <f>IF(OR(AC502="",N(R502)=0),"",L502/R502)</f>
        <v/>
      </c>
      <c r="AF502" s="100">
        <f>IF(OR(N(K502)=0,N(J502)+N(Q502)=0),"",K502-IF(N(J502)&gt;0,J502,Q502))</f>
        <v/>
      </c>
      <c r="AG502" s="99">
        <f>IF(B502="","",IFERROR(AVERAGEIFS('QUALITY CONTROL'!$M$5:$M$304,'QUALITY CONTROL'!$B$5:$B$304,A502),""))</f>
        <v/>
      </c>
      <c r="AH502" s="51">
        <f>IF(B502="","",DATE(YEAR(B502),MONTH(B502),1))</f>
        <v/>
      </c>
      <c r="AI502" s="49">
        <f>IF(D502="","",IFERROR(INDEX('CUSTOMERS'!$E$5:$E$404,MATCH(D502,'CUSTOMERS'!$B$5:$B$404,0)),""))</f>
        <v/>
      </c>
      <c r="AJ502" s="49">
        <f>IF(B502="","",N(C502))</f>
        <v/>
      </c>
      <c r="AK502" s="49">
        <f>IF(OR(B502="",O502="Cancelled",O502="Rescheduled"),"",B502&amp;"|"&amp;(COUNTIFS('JOBS'!$B$5:$B$1504,B502,'JOBS'!$AJ$5:$AJ$1504,"&lt;"&amp;AJ502,'JOBS'!$O$5:$O$1504,"&lt;&gt;Cancelled",'JOBS'!$O$5:$O$1504,"&lt;&gt;Rescheduled")+COUNTIFS($B$5:B502,B502,$AJ$5:AJ502,AJ502,$O$5:O502,"&lt;&gt;Cancelled",$O$5:O502,"&lt;&gt;Rescheduled")))</f>
        <v/>
      </c>
      <c r="AL502" s="49">
        <f>IF(N(U502)&lt;=0.005,"",COUNTIFS('JOBS'!$U$5:$U$1504,"&gt;0.005",'JOBS'!$B$5:$B$1504,"&lt;"&amp;B502)+COUNTIFS($U$5:U502,"&gt;0.005",$B$5:B502,B502))</f>
        <v/>
      </c>
    </row>
    <row r="503">
      <c r="A503" s="46" t="inlineStr">
        <is>
          <t>J-0499</t>
        </is>
      </c>
      <c r="B503" s="47" t="n"/>
      <c r="C503" s="94" t="n"/>
      <c r="D503" s="38" t="n"/>
      <c r="E503" s="38" t="n"/>
      <c r="F503" s="38" t="n"/>
      <c r="G503" s="38" t="n"/>
      <c r="H503" s="38" t="n"/>
      <c r="I503" s="57" t="n"/>
      <c r="J503" s="95" t="n"/>
      <c r="K503" s="95" t="n"/>
      <c r="L503" s="48" t="n"/>
      <c r="M503" s="96" t="n"/>
      <c r="N503" s="48" t="n"/>
      <c r="O503" s="38" t="n"/>
      <c r="P503" s="38" t="n"/>
      <c r="Q503" s="97">
        <f>IF(OR(F503="",E503=""),"",IFERROR(IF(INDEX('PROPERTIES'!$F$5:$F$404,MATCH(E503,'PROPERTIES'!$B$5:$B$404,0))=0,"",ROUND((INDEX('PROPERTIES'!$F$5:$F$404,MATCH(E503,'PROPERTIES'!$B$5:$B$404,0))/INDEX('PRICING'!$C$7:$C$16,MATCH(F503,'PRICING'!$A$7:$A$16,0))+INDEX('PROPERTIES'!$G$5:$G$404,MATCH(E503,'PROPERTIES'!$B$5:$B$404,0))*INDEX('PRICING'!$D$7:$D$16,MATCH(F503,'PRICING'!$A$7:$A$16,0))/60+INDEX('PROPERTIES'!$H$5:$H$404,MATCH(E503,'PROPERTIES'!$B$5:$B$404,0))*INDEX('PRICING'!$E$7:$E$16,MATCH(F503,'PRICING'!$A$7:$A$16,0))/60+INDEX('PRICING'!$F$7:$F$16,MATCH(F503,'PRICING'!$A$7:$A$16,0))/60),2)),""))</f>
        <v/>
      </c>
      <c r="R503" s="97">
        <f>IF(B503="","",IF(N(K503)&gt;0,K503,IF(N(J503)&gt;0,J503,N(Q503))))</f>
        <v/>
      </c>
      <c r="S503" s="55">
        <f>IF(L503="","",ROUND(L503*(1+N(M503)),2))</f>
        <v/>
      </c>
      <c r="T503" s="55">
        <f>IF(B503="","",SUMIFS('REVENUE'!$C$5:$C$1504,'REVENUE'!$B$5:$B$1504,A503))</f>
        <v/>
      </c>
      <c r="U503" s="55">
        <f>IF(B503="","",IF(O503="Completed",MAX(0,N(S503)-T503),""))</f>
        <v/>
      </c>
      <c r="V503" s="49">
        <f>IF(B503="","",IF(O503&lt;&gt;"Completed",IF(T503&gt;0,"Deposit","—"),IF(U503&lt;=0.005,"Paid",IF(T503&gt;0,"Partial","Unpaid"))))</f>
        <v/>
      </c>
      <c r="W503" s="55">
        <f>IF(B503="","",IFERROR(1/(1/INDEX('STAFF &amp; TASKS'!$C$5:$C$24,MATCH(H503,'STAFF &amp; TASKS'!$A$5:$A$24,0))),PayRate))</f>
        <v/>
      </c>
      <c r="X503" s="55">
        <f>IF(B503="","",IF(OR(O503="Cancelled",O503="No-Show"),"",ROUND(R503*W503*(1+Burden),2)))</f>
        <v/>
      </c>
      <c r="Y503" s="55">
        <f>IF(B503="","",IF(OR(O503="Cancelled",O503="No-Show"),"",IF(N503&lt;&gt;"",N503,ROUND(R503*SupHr*IFERROR(INDEX('PRICING'!$G$7:$G$16,MATCH(F503,'PRICING'!$A$7:$A$16,0)),1),2))))</f>
        <v/>
      </c>
      <c r="Z503" s="98">
        <f>IF(B503="","",SUMIFS('MILEAGE'!$J$5:$J$1504,'MILEAGE'!$B$5:$B$1504,A503))</f>
        <v/>
      </c>
      <c r="AA503" s="55">
        <f>IF(B503="","",ROUND(Z503*MileRate,2))</f>
        <v/>
      </c>
      <c r="AB503" s="55">
        <f>IF(B503="","",SUMIFS('REVENUE'!$J$5:$J$1504,'REVENUE'!$B$5:$B$1504,A503))</f>
        <v/>
      </c>
      <c r="AC503" s="55">
        <f>IF(L503="","",IF(OR(O503="Cancelled",O503="No-Show"),"",L503-N(X503)-N(Y503)-AA503-AB503))</f>
        <v/>
      </c>
      <c r="AD503" s="99">
        <f>IF(OR(AC503="",N(L503)=0),"",AC503/L503)</f>
        <v/>
      </c>
      <c r="AE503" s="55">
        <f>IF(OR(AC503="",N(R503)=0),"",L503/R503)</f>
        <v/>
      </c>
      <c r="AF503" s="100">
        <f>IF(OR(N(K503)=0,N(J503)+N(Q503)=0),"",K503-IF(N(J503)&gt;0,J503,Q503))</f>
        <v/>
      </c>
      <c r="AG503" s="99">
        <f>IF(B503="","",IFERROR(AVERAGEIFS('QUALITY CONTROL'!$M$5:$M$304,'QUALITY CONTROL'!$B$5:$B$304,A503),""))</f>
        <v/>
      </c>
      <c r="AH503" s="51">
        <f>IF(B503="","",DATE(YEAR(B503),MONTH(B503),1))</f>
        <v/>
      </c>
      <c r="AI503" s="49">
        <f>IF(D503="","",IFERROR(INDEX('CUSTOMERS'!$E$5:$E$404,MATCH(D503,'CUSTOMERS'!$B$5:$B$404,0)),""))</f>
        <v/>
      </c>
      <c r="AJ503" s="49">
        <f>IF(B503="","",N(C503))</f>
        <v/>
      </c>
      <c r="AK503" s="49">
        <f>IF(OR(B503="",O503="Cancelled",O503="Rescheduled"),"",B503&amp;"|"&amp;(COUNTIFS('JOBS'!$B$5:$B$1504,B503,'JOBS'!$AJ$5:$AJ$1504,"&lt;"&amp;AJ503,'JOBS'!$O$5:$O$1504,"&lt;&gt;Cancelled",'JOBS'!$O$5:$O$1504,"&lt;&gt;Rescheduled")+COUNTIFS($B$5:B503,B503,$AJ$5:AJ503,AJ503,$O$5:O503,"&lt;&gt;Cancelled",$O$5:O503,"&lt;&gt;Rescheduled")))</f>
        <v/>
      </c>
      <c r="AL503" s="49">
        <f>IF(N(U503)&lt;=0.005,"",COUNTIFS('JOBS'!$U$5:$U$1504,"&gt;0.005",'JOBS'!$B$5:$B$1504,"&lt;"&amp;B503)+COUNTIFS($U$5:U503,"&gt;0.005",$B$5:B503,B503))</f>
        <v/>
      </c>
    </row>
    <row r="504">
      <c r="A504" s="46" t="inlineStr">
        <is>
          <t>J-0500</t>
        </is>
      </c>
      <c r="B504" s="47" t="n"/>
      <c r="C504" s="94" t="n"/>
      <c r="D504" s="38" t="n"/>
      <c r="E504" s="38" t="n"/>
      <c r="F504" s="38" t="n"/>
      <c r="G504" s="38" t="n"/>
      <c r="H504" s="38" t="n"/>
      <c r="I504" s="57" t="n"/>
      <c r="J504" s="95" t="n"/>
      <c r="K504" s="95" t="n"/>
      <c r="L504" s="48" t="n"/>
      <c r="M504" s="96" t="n"/>
      <c r="N504" s="48" t="n"/>
      <c r="O504" s="38" t="n"/>
      <c r="P504" s="38" t="n"/>
      <c r="Q504" s="97">
        <f>IF(OR(F504="",E504=""),"",IFERROR(IF(INDEX('PROPERTIES'!$F$5:$F$404,MATCH(E504,'PROPERTIES'!$B$5:$B$404,0))=0,"",ROUND((INDEX('PROPERTIES'!$F$5:$F$404,MATCH(E504,'PROPERTIES'!$B$5:$B$404,0))/INDEX('PRICING'!$C$7:$C$16,MATCH(F504,'PRICING'!$A$7:$A$16,0))+INDEX('PROPERTIES'!$G$5:$G$404,MATCH(E504,'PROPERTIES'!$B$5:$B$404,0))*INDEX('PRICING'!$D$7:$D$16,MATCH(F504,'PRICING'!$A$7:$A$16,0))/60+INDEX('PROPERTIES'!$H$5:$H$404,MATCH(E504,'PROPERTIES'!$B$5:$B$404,0))*INDEX('PRICING'!$E$7:$E$16,MATCH(F504,'PRICING'!$A$7:$A$16,0))/60+INDEX('PRICING'!$F$7:$F$16,MATCH(F504,'PRICING'!$A$7:$A$16,0))/60),2)),""))</f>
        <v/>
      </c>
      <c r="R504" s="97">
        <f>IF(B504="","",IF(N(K504)&gt;0,K504,IF(N(J504)&gt;0,J504,N(Q504))))</f>
        <v/>
      </c>
      <c r="S504" s="55">
        <f>IF(L504="","",ROUND(L504*(1+N(M504)),2))</f>
        <v/>
      </c>
      <c r="T504" s="55">
        <f>IF(B504="","",SUMIFS('REVENUE'!$C$5:$C$1504,'REVENUE'!$B$5:$B$1504,A504))</f>
        <v/>
      </c>
      <c r="U504" s="55">
        <f>IF(B504="","",IF(O504="Completed",MAX(0,N(S504)-T504),""))</f>
        <v/>
      </c>
      <c r="V504" s="49">
        <f>IF(B504="","",IF(O504&lt;&gt;"Completed",IF(T504&gt;0,"Deposit","—"),IF(U504&lt;=0.005,"Paid",IF(T504&gt;0,"Partial","Unpaid"))))</f>
        <v/>
      </c>
      <c r="W504" s="55">
        <f>IF(B504="","",IFERROR(1/(1/INDEX('STAFF &amp; TASKS'!$C$5:$C$24,MATCH(H504,'STAFF &amp; TASKS'!$A$5:$A$24,0))),PayRate))</f>
        <v/>
      </c>
      <c r="X504" s="55">
        <f>IF(B504="","",IF(OR(O504="Cancelled",O504="No-Show"),"",ROUND(R504*W504*(1+Burden),2)))</f>
        <v/>
      </c>
      <c r="Y504" s="55">
        <f>IF(B504="","",IF(OR(O504="Cancelled",O504="No-Show"),"",IF(N504&lt;&gt;"",N504,ROUND(R504*SupHr*IFERROR(INDEX('PRICING'!$G$7:$G$16,MATCH(F504,'PRICING'!$A$7:$A$16,0)),1),2))))</f>
        <v/>
      </c>
      <c r="Z504" s="98">
        <f>IF(B504="","",SUMIFS('MILEAGE'!$J$5:$J$1504,'MILEAGE'!$B$5:$B$1504,A504))</f>
        <v/>
      </c>
      <c r="AA504" s="55">
        <f>IF(B504="","",ROUND(Z504*MileRate,2))</f>
        <v/>
      </c>
      <c r="AB504" s="55">
        <f>IF(B504="","",SUMIFS('REVENUE'!$J$5:$J$1504,'REVENUE'!$B$5:$B$1504,A504))</f>
        <v/>
      </c>
      <c r="AC504" s="55">
        <f>IF(L504="","",IF(OR(O504="Cancelled",O504="No-Show"),"",L504-N(X504)-N(Y504)-AA504-AB504))</f>
        <v/>
      </c>
      <c r="AD504" s="99">
        <f>IF(OR(AC504="",N(L504)=0),"",AC504/L504)</f>
        <v/>
      </c>
      <c r="AE504" s="55">
        <f>IF(OR(AC504="",N(R504)=0),"",L504/R504)</f>
        <v/>
      </c>
      <c r="AF504" s="100">
        <f>IF(OR(N(K504)=0,N(J504)+N(Q504)=0),"",K504-IF(N(J504)&gt;0,J504,Q504))</f>
        <v/>
      </c>
      <c r="AG504" s="99">
        <f>IF(B504="","",IFERROR(AVERAGEIFS('QUALITY CONTROL'!$M$5:$M$304,'QUALITY CONTROL'!$B$5:$B$304,A504),""))</f>
        <v/>
      </c>
      <c r="AH504" s="51">
        <f>IF(B504="","",DATE(YEAR(B504),MONTH(B504),1))</f>
        <v/>
      </c>
      <c r="AI504" s="49">
        <f>IF(D504="","",IFERROR(INDEX('CUSTOMERS'!$E$5:$E$404,MATCH(D504,'CUSTOMERS'!$B$5:$B$404,0)),""))</f>
        <v/>
      </c>
      <c r="AJ504" s="49">
        <f>IF(B504="","",N(C504))</f>
        <v/>
      </c>
      <c r="AK504" s="49">
        <f>IF(OR(B504="",O504="Cancelled",O504="Rescheduled"),"",B504&amp;"|"&amp;(COUNTIFS('JOBS'!$B$5:$B$1504,B504,'JOBS'!$AJ$5:$AJ$1504,"&lt;"&amp;AJ504,'JOBS'!$O$5:$O$1504,"&lt;&gt;Cancelled",'JOBS'!$O$5:$O$1504,"&lt;&gt;Rescheduled")+COUNTIFS($B$5:B504,B504,$AJ$5:AJ504,AJ504,$O$5:O504,"&lt;&gt;Cancelled",$O$5:O504,"&lt;&gt;Rescheduled")))</f>
        <v/>
      </c>
      <c r="AL504" s="49">
        <f>IF(N(U504)&lt;=0.005,"",COUNTIFS('JOBS'!$U$5:$U$1504,"&gt;0.005",'JOBS'!$B$5:$B$1504,"&lt;"&amp;B504)+COUNTIFS($U$5:U504,"&gt;0.005",$B$5:B504,B504))</f>
        <v/>
      </c>
    </row>
    <row r="505">
      <c r="A505" s="46" t="inlineStr">
        <is>
          <t>J-0501</t>
        </is>
      </c>
      <c r="B505" s="47" t="n"/>
      <c r="C505" s="94" t="n"/>
      <c r="D505" s="38" t="n"/>
      <c r="E505" s="38" t="n"/>
      <c r="F505" s="38" t="n"/>
      <c r="G505" s="38" t="n"/>
      <c r="H505" s="38" t="n"/>
      <c r="I505" s="57" t="n"/>
      <c r="J505" s="95" t="n"/>
      <c r="K505" s="95" t="n"/>
      <c r="L505" s="48" t="n"/>
      <c r="M505" s="96" t="n"/>
      <c r="N505" s="48" t="n"/>
      <c r="O505" s="38" t="n"/>
      <c r="P505" s="38" t="n"/>
      <c r="Q505" s="97">
        <f>IF(OR(F505="",E505=""),"",IFERROR(IF(INDEX('PROPERTIES'!$F$5:$F$404,MATCH(E505,'PROPERTIES'!$B$5:$B$404,0))=0,"",ROUND((INDEX('PROPERTIES'!$F$5:$F$404,MATCH(E505,'PROPERTIES'!$B$5:$B$404,0))/INDEX('PRICING'!$C$7:$C$16,MATCH(F505,'PRICING'!$A$7:$A$16,0))+INDEX('PROPERTIES'!$G$5:$G$404,MATCH(E505,'PROPERTIES'!$B$5:$B$404,0))*INDEX('PRICING'!$D$7:$D$16,MATCH(F505,'PRICING'!$A$7:$A$16,0))/60+INDEX('PROPERTIES'!$H$5:$H$404,MATCH(E505,'PROPERTIES'!$B$5:$B$404,0))*INDEX('PRICING'!$E$7:$E$16,MATCH(F505,'PRICING'!$A$7:$A$16,0))/60+INDEX('PRICING'!$F$7:$F$16,MATCH(F505,'PRICING'!$A$7:$A$16,0))/60),2)),""))</f>
        <v/>
      </c>
      <c r="R505" s="97">
        <f>IF(B505="","",IF(N(K505)&gt;0,K505,IF(N(J505)&gt;0,J505,N(Q505))))</f>
        <v/>
      </c>
      <c r="S505" s="55">
        <f>IF(L505="","",ROUND(L505*(1+N(M505)),2))</f>
        <v/>
      </c>
      <c r="T505" s="55">
        <f>IF(B505="","",SUMIFS('REVENUE'!$C$5:$C$1504,'REVENUE'!$B$5:$B$1504,A505))</f>
        <v/>
      </c>
      <c r="U505" s="55">
        <f>IF(B505="","",IF(O505="Completed",MAX(0,N(S505)-T505),""))</f>
        <v/>
      </c>
      <c r="V505" s="49">
        <f>IF(B505="","",IF(O505&lt;&gt;"Completed",IF(T505&gt;0,"Deposit","—"),IF(U505&lt;=0.005,"Paid",IF(T505&gt;0,"Partial","Unpaid"))))</f>
        <v/>
      </c>
      <c r="W505" s="55">
        <f>IF(B505="","",IFERROR(1/(1/INDEX('STAFF &amp; TASKS'!$C$5:$C$24,MATCH(H505,'STAFF &amp; TASKS'!$A$5:$A$24,0))),PayRate))</f>
        <v/>
      </c>
      <c r="X505" s="55">
        <f>IF(B505="","",IF(OR(O505="Cancelled",O505="No-Show"),"",ROUND(R505*W505*(1+Burden),2)))</f>
        <v/>
      </c>
      <c r="Y505" s="55">
        <f>IF(B505="","",IF(OR(O505="Cancelled",O505="No-Show"),"",IF(N505&lt;&gt;"",N505,ROUND(R505*SupHr*IFERROR(INDEX('PRICING'!$G$7:$G$16,MATCH(F505,'PRICING'!$A$7:$A$16,0)),1),2))))</f>
        <v/>
      </c>
      <c r="Z505" s="98">
        <f>IF(B505="","",SUMIFS('MILEAGE'!$J$5:$J$1504,'MILEAGE'!$B$5:$B$1504,A505))</f>
        <v/>
      </c>
      <c r="AA505" s="55">
        <f>IF(B505="","",ROUND(Z505*MileRate,2))</f>
        <v/>
      </c>
      <c r="AB505" s="55">
        <f>IF(B505="","",SUMIFS('REVENUE'!$J$5:$J$1504,'REVENUE'!$B$5:$B$1504,A505))</f>
        <v/>
      </c>
      <c r="AC505" s="55">
        <f>IF(L505="","",IF(OR(O505="Cancelled",O505="No-Show"),"",L505-N(X505)-N(Y505)-AA505-AB505))</f>
        <v/>
      </c>
      <c r="AD505" s="99">
        <f>IF(OR(AC505="",N(L505)=0),"",AC505/L505)</f>
        <v/>
      </c>
      <c r="AE505" s="55">
        <f>IF(OR(AC505="",N(R505)=0),"",L505/R505)</f>
        <v/>
      </c>
      <c r="AF505" s="100">
        <f>IF(OR(N(K505)=0,N(J505)+N(Q505)=0),"",K505-IF(N(J505)&gt;0,J505,Q505))</f>
        <v/>
      </c>
      <c r="AG505" s="99">
        <f>IF(B505="","",IFERROR(AVERAGEIFS('QUALITY CONTROL'!$M$5:$M$304,'QUALITY CONTROL'!$B$5:$B$304,A505),""))</f>
        <v/>
      </c>
      <c r="AH505" s="51">
        <f>IF(B505="","",DATE(YEAR(B505),MONTH(B505),1))</f>
        <v/>
      </c>
      <c r="AI505" s="49">
        <f>IF(D505="","",IFERROR(INDEX('CUSTOMERS'!$E$5:$E$404,MATCH(D505,'CUSTOMERS'!$B$5:$B$404,0)),""))</f>
        <v/>
      </c>
      <c r="AJ505" s="49">
        <f>IF(B505="","",N(C505))</f>
        <v/>
      </c>
      <c r="AK505" s="49">
        <f>IF(OR(B505="",O505="Cancelled",O505="Rescheduled"),"",B505&amp;"|"&amp;(COUNTIFS('JOBS'!$B$5:$B$1504,B505,'JOBS'!$AJ$5:$AJ$1504,"&lt;"&amp;AJ505,'JOBS'!$O$5:$O$1504,"&lt;&gt;Cancelled",'JOBS'!$O$5:$O$1504,"&lt;&gt;Rescheduled")+COUNTIFS($B$5:B505,B505,$AJ$5:AJ505,AJ505,$O$5:O505,"&lt;&gt;Cancelled",$O$5:O505,"&lt;&gt;Rescheduled")))</f>
        <v/>
      </c>
      <c r="AL505" s="49">
        <f>IF(N(U505)&lt;=0.005,"",COUNTIFS('JOBS'!$U$5:$U$1504,"&gt;0.005",'JOBS'!$B$5:$B$1504,"&lt;"&amp;B505)+COUNTIFS($U$5:U505,"&gt;0.005",$B$5:B505,B505))</f>
        <v/>
      </c>
    </row>
    <row r="506">
      <c r="A506" s="46" t="inlineStr">
        <is>
          <t>J-0502</t>
        </is>
      </c>
      <c r="B506" s="47" t="n"/>
      <c r="C506" s="94" t="n"/>
      <c r="D506" s="38" t="n"/>
      <c r="E506" s="38" t="n"/>
      <c r="F506" s="38" t="n"/>
      <c r="G506" s="38" t="n"/>
      <c r="H506" s="38" t="n"/>
      <c r="I506" s="57" t="n"/>
      <c r="J506" s="95" t="n"/>
      <c r="K506" s="95" t="n"/>
      <c r="L506" s="48" t="n"/>
      <c r="M506" s="96" t="n"/>
      <c r="N506" s="48" t="n"/>
      <c r="O506" s="38" t="n"/>
      <c r="P506" s="38" t="n"/>
      <c r="Q506" s="97">
        <f>IF(OR(F506="",E506=""),"",IFERROR(IF(INDEX('PROPERTIES'!$F$5:$F$404,MATCH(E506,'PROPERTIES'!$B$5:$B$404,0))=0,"",ROUND((INDEX('PROPERTIES'!$F$5:$F$404,MATCH(E506,'PROPERTIES'!$B$5:$B$404,0))/INDEX('PRICING'!$C$7:$C$16,MATCH(F506,'PRICING'!$A$7:$A$16,0))+INDEX('PROPERTIES'!$G$5:$G$404,MATCH(E506,'PROPERTIES'!$B$5:$B$404,0))*INDEX('PRICING'!$D$7:$D$16,MATCH(F506,'PRICING'!$A$7:$A$16,0))/60+INDEX('PROPERTIES'!$H$5:$H$404,MATCH(E506,'PROPERTIES'!$B$5:$B$404,0))*INDEX('PRICING'!$E$7:$E$16,MATCH(F506,'PRICING'!$A$7:$A$16,0))/60+INDEX('PRICING'!$F$7:$F$16,MATCH(F506,'PRICING'!$A$7:$A$16,0))/60),2)),""))</f>
        <v/>
      </c>
      <c r="R506" s="97">
        <f>IF(B506="","",IF(N(K506)&gt;0,K506,IF(N(J506)&gt;0,J506,N(Q506))))</f>
        <v/>
      </c>
      <c r="S506" s="55">
        <f>IF(L506="","",ROUND(L506*(1+N(M506)),2))</f>
        <v/>
      </c>
      <c r="T506" s="55">
        <f>IF(B506="","",SUMIFS('REVENUE'!$C$5:$C$1504,'REVENUE'!$B$5:$B$1504,A506))</f>
        <v/>
      </c>
      <c r="U506" s="55">
        <f>IF(B506="","",IF(O506="Completed",MAX(0,N(S506)-T506),""))</f>
        <v/>
      </c>
      <c r="V506" s="49">
        <f>IF(B506="","",IF(O506&lt;&gt;"Completed",IF(T506&gt;0,"Deposit","—"),IF(U506&lt;=0.005,"Paid",IF(T506&gt;0,"Partial","Unpaid"))))</f>
        <v/>
      </c>
      <c r="W506" s="55">
        <f>IF(B506="","",IFERROR(1/(1/INDEX('STAFF &amp; TASKS'!$C$5:$C$24,MATCH(H506,'STAFF &amp; TASKS'!$A$5:$A$24,0))),PayRate))</f>
        <v/>
      </c>
      <c r="X506" s="55">
        <f>IF(B506="","",IF(OR(O506="Cancelled",O506="No-Show"),"",ROUND(R506*W506*(1+Burden),2)))</f>
        <v/>
      </c>
      <c r="Y506" s="55">
        <f>IF(B506="","",IF(OR(O506="Cancelled",O506="No-Show"),"",IF(N506&lt;&gt;"",N506,ROUND(R506*SupHr*IFERROR(INDEX('PRICING'!$G$7:$G$16,MATCH(F506,'PRICING'!$A$7:$A$16,0)),1),2))))</f>
        <v/>
      </c>
      <c r="Z506" s="98">
        <f>IF(B506="","",SUMIFS('MILEAGE'!$J$5:$J$1504,'MILEAGE'!$B$5:$B$1504,A506))</f>
        <v/>
      </c>
      <c r="AA506" s="55">
        <f>IF(B506="","",ROUND(Z506*MileRate,2))</f>
        <v/>
      </c>
      <c r="AB506" s="55">
        <f>IF(B506="","",SUMIFS('REVENUE'!$J$5:$J$1504,'REVENUE'!$B$5:$B$1504,A506))</f>
        <v/>
      </c>
      <c r="AC506" s="55">
        <f>IF(L506="","",IF(OR(O506="Cancelled",O506="No-Show"),"",L506-N(X506)-N(Y506)-AA506-AB506))</f>
        <v/>
      </c>
      <c r="AD506" s="99">
        <f>IF(OR(AC506="",N(L506)=0),"",AC506/L506)</f>
        <v/>
      </c>
      <c r="AE506" s="55">
        <f>IF(OR(AC506="",N(R506)=0),"",L506/R506)</f>
        <v/>
      </c>
      <c r="AF506" s="100">
        <f>IF(OR(N(K506)=0,N(J506)+N(Q506)=0),"",K506-IF(N(J506)&gt;0,J506,Q506))</f>
        <v/>
      </c>
      <c r="AG506" s="99">
        <f>IF(B506="","",IFERROR(AVERAGEIFS('QUALITY CONTROL'!$M$5:$M$304,'QUALITY CONTROL'!$B$5:$B$304,A506),""))</f>
        <v/>
      </c>
      <c r="AH506" s="51">
        <f>IF(B506="","",DATE(YEAR(B506),MONTH(B506),1))</f>
        <v/>
      </c>
      <c r="AI506" s="49">
        <f>IF(D506="","",IFERROR(INDEX('CUSTOMERS'!$E$5:$E$404,MATCH(D506,'CUSTOMERS'!$B$5:$B$404,0)),""))</f>
        <v/>
      </c>
      <c r="AJ506" s="49">
        <f>IF(B506="","",N(C506))</f>
        <v/>
      </c>
      <c r="AK506" s="49">
        <f>IF(OR(B506="",O506="Cancelled",O506="Rescheduled"),"",B506&amp;"|"&amp;(COUNTIFS('JOBS'!$B$5:$B$1504,B506,'JOBS'!$AJ$5:$AJ$1504,"&lt;"&amp;AJ506,'JOBS'!$O$5:$O$1504,"&lt;&gt;Cancelled",'JOBS'!$O$5:$O$1504,"&lt;&gt;Rescheduled")+COUNTIFS($B$5:B506,B506,$AJ$5:AJ506,AJ506,$O$5:O506,"&lt;&gt;Cancelled",$O$5:O506,"&lt;&gt;Rescheduled")))</f>
        <v/>
      </c>
      <c r="AL506" s="49">
        <f>IF(N(U506)&lt;=0.005,"",COUNTIFS('JOBS'!$U$5:$U$1504,"&gt;0.005",'JOBS'!$B$5:$B$1504,"&lt;"&amp;B506)+COUNTIFS($U$5:U506,"&gt;0.005",$B$5:B506,B506))</f>
        <v/>
      </c>
    </row>
    <row r="507">
      <c r="A507" s="46" t="inlineStr">
        <is>
          <t>J-0503</t>
        </is>
      </c>
      <c r="B507" s="47" t="n"/>
      <c r="C507" s="94" t="n"/>
      <c r="D507" s="38" t="n"/>
      <c r="E507" s="38" t="n"/>
      <c r="F507" s="38" t="n"/>
      <c r="G507" s="38" t="n"/>
      <c r="H507" s="38" t="n"/>
      <c r="I507" s="57" t="n"/>
      <c r="J507" s="95" t="n"/>
      <c r="K507" s="95" t="n"/>
      <c r="L507" s="48" t="n"/>
      <c r="M507" s="96" t="n"/>
      <c r="N507" s="48" t="n"/>
      <c r="O507" s="38" t="n"/>
      <c r="P507" s="38" t="n"/>
      <c r="Q507" s="97">
        <f>IF(OR(F507="",E507=""),"",IFERROR(IF(INDEX('PROPERTIES'!$F$5:$F$404,MATCH(E507,'PROPERTIES'!$B$5:$B$404,0))=0,"",ROUND((INDEX('PROPERTIES'!$F$5:$F$404,MATCH(E507,'PROPERTIES'!$B$5:$B$404,0))/INDEX('PRICING'!$C$7:$C$16,MATCH(F507,'PRICING'!$A$7:$A$16,0))+INDEX('PROPERTIES'!$G$5:$G$404,MATCH(E507,'PROPERTIES'!$B$5:$B$404,0))*INDEX('PRICING'!$D$7:$D$16,MATCH(F507,'PRICING'!$A$7:$A$16,0))/60+INDEX('PROPERTIES'!$H$5:$H$404,MATCH(E507,'PROPERTIES'!$B$5:$B$404,0))*INDEX('PRICING'!$E$7:$E$16,MATCH(F507,'PRICING'!$A$7:$A$16,0))/60+INDEX('PRICING'!$F$7:$F$16,MATCH(F507,'PRICING'!$A$7:$A$16,0))/60),2)),""))</f>
        <v/>
      </c>
      <c r="R507" s="97">
        <f>IF(B507="","",IF(N(K507)&gt;0,K507,IF(N(J507)&gt;0,J507,N(Q507))))</f>
        <v/>
      </c>
      <c r="S507" s="55">
        <f>IF(L507="","",ROUND(L507*(1+N(M507)),2))</f>
        <v/>
      </c>
      <c r="T507" s="55">
        <f>IF(B507="","",SUMIFS('REVENUE'!$C$5:$C$1504,'REVENUE'!$B$5:$B$1504,A507))</f>
        <v/>
      </c>
      <c r="U507" s="55">
        <f>IF(B507="","",IF(O507="Completed",MAX(0,N(S507)-T507),""))</f>
        <v/>
      </c>
      <c r="V507" s="49">
        <f>IF(B507="","",IF(O507&lt;&gt;"Completed",IF(T507&gt;0,"Deposit","—"),IF(U507&lt;=0.005,"Paid",IF(T507&gt;0,"Partial","Unpaid"))))</f>
        <v/>
      </c>
      <c r="W507" s="55">
        <f>IF(B507="","",IFERROR(1/(1/INDEX('STAFF &amp; TASKS'!$C$5:$C$24,MATCH(H507,'STAFF &amp; TASKS'!$A$5:$A$24,0))),PayRate))</f>
        <v/>
      </c>
      <c r="X507" s="55">
        <f>IF(B507="","",IF(OR(O507="Cancelled",O507="No-Show"),"",ROUND(R507*W507*(1+Burden),2)))</f>
        <v/>
      </c>
      <c r="Y507" s="55">
        <f>IF(B507="","",IF(OR(O507="Cancelled",O507="No-Show"),"",IF(N507&lt;&gt;"",N507,ROUND(R507*SupHr*IFERROR(INDEX('PRICING'!$G$7:$G$16,MATCH(F507,'PRICING'!$A$7:$A$16,0)),1),2))))</f>
        <v/>
      </c>
      <c r="Z507" s="98">
        <f>IF(B507="","",SUMIFS('MILEAGE'!$J$5:$J$1504,'MILEAGE'!$B$5:$B$1504,A507))</f>
        <v/>
      </c>
      <c r="AA507" s="55">
        <f>IF(B507="","",ROUND(Z507*MileRate,2))</f>
        <v/>
      </c>
      <c r="AB507" s="55">
        <f>IF(B507="","",SUMIFS('REVENUE'!$J$5:$J$1504,'REVENUE'!$B$5:$B$1504,A507))</f>
        <v/>
      </c>
      <c r="AC507" s="55">
        <f>IF(L507="","",IF(OR(O507="Cancelled",O507="No-Show"),"",L507-N(X507)-N(Y507)-AA507-AB507))</f>
        <v/>
      </c>
      <c r="AD507" s="99">
        <f>IF(OR(AC507="",N(L507)=0),"",AC507/L507)</f>
        <v/>
      </c>
      <c r="AE507" s="55">
        <f>IF(OR(AC507="",N(R507)=0),"",L507/R507)</f>
        <v/>
      </c>
      <c r="AF507" s="100">
        <f>IF(OR(N(K507)=0,N(J507)+N(Q507)=0),"",K507-IF(N(J507)&gt;0,J507,Q507))</f>
        <v/>
      </c>
      <c r="AG507" s="99">
        <f>IF(B507="","",IFERROR(AVERAGEIFS('QUALITY CONTROL'!$M$5:$M$304,'QUALITY CONTROL'!$B$5:$B$304,A507),""))</f>
        <v/>
      </c>
      <c r="AH507" s="51">
        <f>IF(B507="","",DATE(YEAR(B507),MONTH(B507),1))</f>
        <v/>
      </c>
      <c r="AI507" s="49">
        <f>IF(D507="","",IFERROR(INDEX('CUSTOMERS'!$E$5:$E$404,MATCH(D507,'CUSTOMERS'!$B$5:$B$404,0)),""))</f>
        <v/>
      </c>
      <c r="AJ507" s="49">
        <f>IF(B507="","",N(C507))</f>
        <v/>
      </c>
      <c r="AK507" s="49">
        <f>IF(OR(B507="",O507="Cancelled",O507="Rescheduled"),"",B507&amp;"|"&amp;(COUNTIFS('JOBS'!$B$5:$B$1504,B507,'JOBS'!$AJ$5:$AJ$1504,"&lt;"&amp;AJ507,'JOBS'!$O$5:$O$1504,"&lt;&gt;Cancelled",'JOBS'!$O$5:$O$1504,"&lt;&gt;Rescheduled")+COUNTIFS($B$5:B507,B507,$AJ$5:AJ507,AJ507,$O$5:O507,"&lt;&gt;Cancelled",$O$5:O507,"&lt;&gt;Rescheduled")))</f>
        <v/>
      </c>
      <c r="AL507" s="49">
        <f>IF(N(U507)&lt;=0.005,"",COUNTIFS('JOBS'!$U$5:$U$1504,"&gt;0.005",'JOBS'!$B$5:$B$1504,"&lt;"&amp;B507)+COUNTIFS($U$5:U507,"&gt;0.005",$B$5:B507,B507))</f>
        <v/>
      </c>
    </row>
    <row r="508">
      <c r="A508" s="46" t="inlineStr">
        <is>
          <t>J-0504</t>
        </is>
      </c>
      <c r="B508" s="47" t="n"/>
      <c r="C508" s="94" t="n"/>
      <c r="D508" s="38" t="n"/>
      <c r="E508" s="38" t="n"/>
      <c r="F508" s="38" t="n"/>
      <c r="G508" s="38" t="n"/>
      <c r="H508" s="38" t="n"/>
      <c r="I508" s="57" t="n"/>
      <c r="J508" s="95" t="n"/>
      <c r="K508" s="95" t="n"/>
      <c r="L508" s="48" t="n"/>
      <c r="M508" s="96" t="n"/>
      <c r="N508" s="48" t="n"/>
      <c r="O508" s="38" t="n"/>
      <c r="P508" s="38" t="n"/>
      <c r="Q508" s="97">
        <f>IF(OR(F508="",E508=""),"",IFERROR(IF(INDEX('PROPERTIES'!$F$5:$F$404,MATCH(E508,'PROPERTIES'!$B$5:$B$404,0))=0,"",ROUND((INDEX('PROPERTIES'!$F$5:$F$404,MATCH(E508,'PROPERTIES'!$B$5:$B$404,0))/INDEX('PRICING'!$C$7:$C$16,MATCH(F508,'PRICING'!$A$7:$A$16,0))+INDEX('PROPERTIES'!$G$5:$G$404,MATCH(E508,'PROPERTIES'!$B$5:$B$404,0))*INDEX('PRICING'!$D$7:$D$16,MATCH(F508,'PRICING'!$A$7:$A$16,0))/60+INDEX('PROPERTIES'!$H$5:$H$404,MATCH(E508,'PROPERTIES'!$B$5:$B$404,0))*INDEX('PRICING'!$E$7:$E$16,MATCH(F508,'PRICING'!$A$7:$A$16,0))/60+INDEX('PRICING'!$F$7:$F$16,MATCH(F508,'PRICING'!$A$7:$A$16,0))/60),2)),""))</f>
        <v/>
      </c>
      <c r="R508" s="97">
        <f>IF(B508="","",IF(N(K508)&gt;0,K508,IF(N(J508)&gt;0,J508,N(Q508))))</f>
        <v/>
      </c>
      <c r="S508" s="55">
        <f>IF(L508="","",ROUND(L508*(1+N(M508)),2))</f>
        <v/>
      </c>
      <c r="T508" s="55">
        <f>IF(B508="","",SUMIFS('REVENUE'!$C$5:$C$1504,'REVENUE'!$B$5:$B$1504,A508))</f>
        <v/>
      </c>
      <c r="U508" s="55">
        <f>IF(B508="","",IF(O508="Completed",MAX(0,N(S508)-T508),""))</f>
        <v/>
      </c>
      <c r="V508" s="49">
        <f>IF(B508="","",IF(O508&lt;&gt;"Completed",IF(T508&gt;0,"Deposit","—"),IF(U508&lt;=0.005,"Paid",IF(T508&gt;0,"Partial","Unpaid"))))</f>
        <v/>
      </c>
      <c r="W508" s="55">
        <f>IF(B508="","",IFERROR(1/(1/INDEX('STAFF &amp; TASKS'!$C$5:$C$24,MATCH(H508,'STAFF &amp; TASKS'!$A$5:$A$24,0))),PayRate))</f>
        <v/>
      </c>
      <c r="X508" s="55">
        <f>IF(B508="","",IF(OR(O508="Cancelled",O508="No-Show"),"",ROUND(R508*W508*(1+Burden),2)))</f>
        <v/>
      </c>
      <c r="Y508" s="55">
        <f>IF(B508="","",IF(OR(O508="Cancelled",O508="No-Show"),"",IF(N508&lt;&gt;"",N508,ROUND(R508*SupHr*IFERROR(INDEX('PRICING'!$G$7:$G$16,MATCH(F508,'PRICING'!$A$7:$A$16,0)),1),2))))</f>
        <v/>
      </c>
      <c r="Z508" s="98">
        <f>IF(B508="","",SUMIFS('MILEAGE'!$J$5:$J$1504,'MILEAGE'!$B$5:$B$1504,A508))</f>
        <v/>
      </c>
      <c r="AA508" s="55">
        <f>IF(B508="","",ROUND(Z508*MileRate,2))</f>
        <v/>
      </c>
      <c r="AB508" s="55">
        <f>IF(B508="","",SUMIFS('REVENUE'!$J$5:$J$1504,'REVENUE'!$B$5:$B$1504,A508))</f>
        <v/>
      </c>
      <c r="AC508" s="55">
        <f>IF(L508="","",IF(OR(O508="Cancelled",O508="No-Show"),"",L508-N(X508)-N(Y508)-AA508-AB508))</f>
        <v/>
      </c>
      <c r="AD508" s="99">
        <f>IF(OR(AC508="",N(L508)=0),"",AC508/L508)</f>
        <v/>
      </c>
      <c r="AE508" s="55">
        <f>IF(OR(AC508="",N(R508)=0),"",L508/R508)</f>
        <v/>
      </c>
      <c r="AF508" s="100">
        <f>IF(OR(N(K508)=0,N(J508)+N(Q508)=0),"",K508-IF(N(J508)&gt;0,J508,Q508))</f>
        <v/>
      </c>
      <c r="AG508" s="99">
        <f>IF(B508="","",IFERROR(AVERAGEIFS('QUALITY CONTROL'!$M$5:$M$304,'QUALITY CONTROL'!$B$5:$B$304,A508),""))</f>
        <v/>
      </c>
      <c r="AH508" s="51">
        <f>IF(B508="","",DATE(YEAR(B508),MONTH(B508),1))</f>
        <v/>
      </c>
      <c r="AI508" s="49">
        <f>IF(D508="","",IFERROR(INDEX('CUSTOMERS'!$E$5:$E$404,MATCH(D508,'CUSTOMERS'!$B$5:$B$404,0)),""))</f>
        <v/>
      </c>
      <c r="AJ508" s="49">
        <f>IF(B508="","",N(C508))</f>
        <v/>
      </c>
      <c r="AK508" s="49">
        <f>IF(OR(B508="",O508="Cancelled",O508="Rescheduled"),"",B508&amp;"|"&amp;(COUNTIFS('JOBS'!$B$5:$B$1504,B508,'JOBS'!$AJ$5:$AJ$1504,"&lt;"&amp;AJ508,'JOBS'!$O$5:$O$1504,"&lt;&gt;Cancelled",'JOBS'!$O$5:$O$1504,"&lt;&gt;Rescheduled")+COUNTIFS($B$5:B508,B508,$AJ$5:AJ508,AJ508,$O$5:O508,"&lt;&gt;Cancelled",$O$5:O508,"&lt;&gt;Rescheduled")))</f>
        <v/>
      </c>
      <c r="AL508" s="49">
        <f>IF(N(U508)&lt;=0.005,"",COUNTIFS('JOBS'!$U$5:$U$1504,"&gt;0.005",'JOBS'!$B$5:$B$1504,"&lt;"&amp;B508)+COUNTIFS($U$5:U508,"&gt;0.005",$B$5:B508,B508))</f>
        <v/>
      </c>
    </row>
    <row r="509">
      <c r="A509" s="46" t="inlineStr">
        <is>
          <t>J-0505</t>
        </is>
      </c>
      <c r="B509" s="47" t="n"/>
      <c r="C509" s="94" t="n"/>
      <c r="D509" s="38" t="n"/>
      <c r="E509" s="38" t="n"/>
      <c r="F509" s="38" t="n"/>
      <c r="G509" s="38" t="n"/>
      <c r="H509" s="38" t="n"/>
      <c r="I509" s="57" t="n"/>
      <c r="J509" s="95" t="n"/>
      <c r="K509" s="95" t="n"/>
      <c r="L509" s="48" t="n"/>
      <c r="M509" s="96" t="n"/>
      <c r="N509" s="48" t="n"/>
      <c r="O509" s="38" t="n"/>
      <c r="P509" s="38" t="n"/>
      <c r="Q509" s="97">
        <f>IF(OR(F509="",E509=""),"",IFERROR(IF(INDEX('PROPERTIES'!$F$5:$F$404,MATCH(E509,'PROPERTIES'!$B$5:$B$404,0))=0,"",ROUND((INDEX('PROPERTIES'!$F$5:$F$404,MATCH(E509,'PROPERTIES'!$B$5:$B$404,0))/INDEX('PRICING'!$C$7:$C$16,MATCH(F509,'PRICING'!$A$7:$A$16,0))+INDEX('PROPERTIES'!$G$5:$G$404,MATCH(E509,'PROPERTIES'!$B$5:$B$404,0))*INDEX('PRICING'!$D$7:$D$16,MATCH(F509,'PRICING'!$A$7:$A$16,0))/60+INDEX('PROPERTIES'!$H$5:$H$404,MATCH(E509,'PROPERTIES'!$B$5:$B$404,0))*INDEX('PRICING'!$E$7:$E$16,MATCH(F509,'PRICING'!$A$7:$A$16,0))/60+INDEX('PRICING'!$F$7:$F$16,MATCH(F509,'PRICING'!$A$7:$A$16,0))/60),2)),""))</f>
        <v/>
      </c>
      <c r="R509" s="97">
        <f>IF(B509="","",IF(N(K509)&gt;0,K509,IF(N(J509)&gt;0,J509,N(Q509))))</f>
        <v/>
      </c>
      <c r="S509" s="55">
        <f>IF(L509="","",ROUND(L509*(1+N(M509)),2))</f>
        <v/>
      </c>
      <c r="T509" s="55">
        <f>IF(B509="","",SUMIFS('REVENUE'!$C$5:$C$1504,'REVENUE'!$B$5:$B$1504,A509))</f>
        <v/>
      </c>
      <c r="U509" s="55">
        <f>IF(B509="","",IF(O509="Completed",MAX(0,N(S509)-T509),""))</f>
        <v/>
      </c>
      <c r="V509" s="49">
        <f>IF(B509="","",IF(O509&lt;&gt;"Completed",IF(T509&gt;0,"Deposit","—"),IF(U509&lt;=0.005,"Paid",IF(T509&gt;0,"Partial","Unpaid"))))</f>
        <v/>
      </c>
      <c r="W509" s="55">
        <f>IF(B509="","",IFERROR(1/(1/INDEX('STAFF &amp; TASKS'!$C$5:$C$24,MATCH(H509,'STAFF &amp; TASKS'!$A$5:$A$24,0))),PayRate))</f>
        <v/>
      </c>
      <c r="X509" s="55">
        <f>IF(B509="","",IF(OR(O509="Cancelled",O509="No-Show"),"",ROUND(R509*W509*(1+Burden),2)))</f>
        <v/>
      </c>
      <c r="Y509" s="55">
        <f>IF(B509="","",IF(OR(O509="Cancelled",O509="No-Show"),"",IF(N509&lt;&gt;"",N509,ROUND(R509*SupHr*IFERROR(INDEX('PRICING'!$G$7:$G$16,MATCH(F509,'PRICING'!$A$7:$A$16,0)),1),2))))</f>
        <v/>
      </c>
      <c r="Z509" s="98">
        <f>IF(B509="","",SUMIFS('MILEAGE'!$J$5:$J$1504,'MILEAGE'!$B$5:$B$1504,A509))</f>
        <v/>
      </c>
      <c r="AA509" s="55">
        <f>IF(B509="","",ROUND(Z509*MileRate,2))</f>
        <v/>
      </c>
      <c r="AB509" s="55">
        <f>IF(B509="","",SUMIFS('REVENUE'!$J$5:$J$1504,'REVENUE'!$B$5:$B$1504,A509))</f>
        <v/>
      </c>
      <c r="AC509" s="55">
        <f>IF(L509="","",IF(OR(O509="Cancelled",O509="No-Show"),"",L509-N(X509)-N(Y509)-AA509-AB509))</f>
        <v/>
      </c>
      <c r="AD509" s="99">
        <f>IF(OR(AC509="",N(L509)=0),"",AC509/L509)</f>
        <v/>
      </c>
      <c r="AE509" s="55">
        <f>IF(OR(AC509="",N(R509)=0),"",L509/R509)</f>
        <v/>
      </c>
      <c r="AF509" s="100">
        <f>IF(OR(N(K509)=0,N(J509)+N(Q509)=0),"",K509-IF(N(J509)&gt;0,J509,Q509))</f>
        <v/>
      </c>
      <c r="AG509" s="99">
        <f>IF(B509="","",IFERROR(AVERAGEIFS('QUALITY CONTROL'!$M$5:$M$304,'QUALITY CONTROL'!$B$5:$B$304,A509),""))</f>
        <v/>
      </c>
      <c r="AH509" s="51">
        <f>IF(B509="","",DATE(YEAR(B509),MONTH(B509),1))</f>
        <v/>
      </c>
      <c r="AI509" s="49">
        <f>IF(D509="","",IFERROR(INDEX('CUSTOMERS'!$E$5:$E$404,MATCH(D509,'CUSTOMERS'!$B$5:$B$404,0)),""))</f>
        <v/>
      </c>
      <c r="AJ509" s="49">
        <f>IF(B509="","",N(C509))</f>
        <v/>
      </c>
      <c r="AK509" s="49">
        <f>IF(OR(B509="",O509="Cancelled",O509="Rescheduled"),"",B509&amp;"|"&amp;(COUNTIFS('JOBS'!$B$5:$B$1504,B509,'JOBS'!$AJ$5:$AJ$1504,"&lt;"&amp;AJ509,'JOBS'!$O$5:$O$1504,"&lt;&gt;Cancelled",'JOBS'!$O$5:$O$1504,"&lt;&gt;Rescheduled")+COUNTIFS($B$5:B509,B509,$AJ$5:AJ509,AJ509,$O$5:O509,"&lt;&gt;Cancelled",$O$5:O509,"&lt;&gt;Rescheduled")))</f>
        <v/>
      </c>
      <c r="AL509" s="49">
        <f>IF(N(U509)&lt;=0.005,"",COUNTIFS('JOBS'!$U$5:$U$1504,"&gt;0.005",'JOBS'!$B$5:$B$1504,"&lt;"&amp;B509)+COUNTIFS($U$5:U509,"&gt;0.005",$B$5:B509,B509))</f>
        <v/>
      </c>
    </row>
    <row r="510">
      <c r="A510" s="46" t="inlineStr">
        <is>
          <t>J-0506</t>
        </is>
      </c>
      <c r="B510" s="47" t="n"/>
      <c r="C510" s="94" t="n"/>
      <c r="D510" s="38" t="n"/>
      <c r="E510" s="38" t="n"/>
      <c r="F510" s="38" t="n"/>
      <c r="G510" s="38" t="n"/>
      <c r="H510" s="38" t="n"/>
      <c r="I510" s="57" t="n"/>
      <c r="J510" s="95" t="n"/>
      <c r="K510" s="95" t="n"/>
      <c r="L510" s="48" t="n"/>
      <c r="M510" s="96" t="n"/>
      <c r="N510" s="48" t="n"/>
      <c r="O510" s="38" t="n"/>
      <c r="P510" s="38" t="n"/>
      <c r="Q510" s="97">
        <f>IF(OR(F510="",E510=""),"",IFERROR(IF(INDEX('PROPERTIES'!$F$5:$F$404,MATCH(E510,'PROPERTIES'!$B$5:$B$404,0))=0,"",ROUND((INDEX('PROPERTIES'!$F$5:$F$404,MATCH(E510,'PROPERTIES'!$B$5:$B$404,0))/INDEX('PRICING'!$C$7:$C$16,MATCH(F510,'PRICING'!$A$7:$A$16,0))+INDEX('PROPERTIES'!$G$5:$G$404,MATCH(E510,'PROPERTIES'!$B$5:$B$404,0))*INDEX('PRICING'!$D$7:$D$16,MATCH(F510,'PRICING'!$A$7:$A$16,0))/60+INDEX('PROPERTIES'!$H$5:$H$404,MATCH(E510,'PROPERTIES'!$B$5:$B$404,0))*INDEX('PRICING'!$E$7:$E$16,MATCH(F510,'PRICING'!$A$7:$A$16,0))/60+INDEX('PRICING'!$F$7:$F$16,MATCH(F510,'PRICING'!$A$7:$A$16,0))/60),2)),""))</f>
        <v/>
      </c>
      <c r="R510" s="97">
        <f>IF(B510="","",IF(N(K510)&gt;0,K510,IF(N(J510)&gt;0,J510,N(Q510))))</f>
        <v/>
      </c>
      <c r="S510" s="55">
        <f>IF(L510="","",ROUND(L510*(1+N(M510)),2))</f>
        <v/>
      </c>
      <c r="T510" s="55">
        <f>IF(B510="","",SUMIFS('REVENUE'!$C$5:$C$1504,'REVENUE'!$B$5:$B$1504,A510))</f>
        <v/>
      </c>
      <c r="U510" s="55">
        <f>IF(B510="","",IF(O510="Completed",MAX(0,N(S510)-T510),""))</f>
        <v/>
      </c>
      <c r="V510" s="49">
        <f>IF(B510="","",IF(O510&lt;&gt;"Completed",IF(T510&gt;0,"Deposit","—"),IF(U510&lt;=0.005,"Paid",IF(T510&gt;0,"Partial","Unpaid"))))</f>
        <v/>
      </c>
      <c r="W510" s="55">
        <f>IF(B510="","",IFERROR(1/(1/INDEX('STAFF &amp; TASKS'!$C$5:$C$24,MATCH(H510,'STAFF &amp; TASKS'!$A$5:$A$24,0))),PayRate))</f>
        <v/>
      </c>
      <c r="X510" s="55">
        <f>IF(B510="","",IF(OR(O510="Cancelled",O510="No-Show"),"",ROUND(R510*W510*(1+Burden),2)))</f>
        <v/>
      </c>
      <c r="Y510" s="55">
        <f>IF(B510="","",IF(OR(O510="Cancelled",O510="No-Show"),"",IF(N510&lt;&gt;"",N510,ROUND(R510*SupHr*IFERROR(INDEX('PRICING'!$G$7:$G$16,MATCH(F510,'PRICING'!$A$7:$A$16,0)),1),2))))</f>
        <v/>
      </c>
      <c r="Z510" s="98">
        <f>IF(B510="","",SUMIFS('MILEAGE'!$J$5:$J$1504,'MILEAGE'!$B$5:$B$1504,A510))</f>
        <v/>
      </c>
      <c r="AA510" s="55">
        <f>IF(B510="","",ROUND(Z510*MileRate,2))</f>
        <v/>
      </c>
      <c r="AB510" s="55">
        <f>IF(B510="","",SUMIFS('REVENUE'!$J$5:$J$1504,'REVENUE'!$B$5:$B$1504,A510))</f>
        <v/>
      </c>
      <c r="AC510" s="55">
        <f>IF(L510="","",IF(OR(O510="Cancelled",O510="No-Show"),"",L510-N(X510)-N(Y510)-AA510-AB510))</f>
        <v/>
      </c>
      <c r="AD510" s="99">
        <f>IF(OR(AC510="",N(L510)=0),"",AC510/L510)</f>
        <v/>
      </c>
      <c r="AE510" s="55">
        <f>IF(OR(AC510="",N(R510)=0),"",L510/R510)</f>
        <v/>
      </c>
      <c r="AF510" s="100">
        <f>IF(OR(N(K510)=0,N(J510)+N(Q510)=0),"",K510-IF(N(J510)&gt;0,J510,Q510))</f>
        <v/>
      </c>
      <c r="AG510" s="99">
        <f>IF(B510="","",IFERROR(AVERAGEIFS('QUALITY CONTROL'!$M$5:$M$304,'QUALITY CONTROL'!$B$5:$B$304,A510),""))</f>
        <v/>
      </c>
      <c r="AH510" s="51">
        <f>IF(B510="","",DATE(YEAR(B510),MONTH(B510),1))</f>
        <v/>
      </c>
      <c r="AI510" s="49">
        <f>IF(D510="","",IFERROR(INDEX('CUSTOMERS'!$E$5:$E$404,MATCH(D510,'CUSTOMERS'!$B$5:$B$404,0)),""))</f>
        <v/>
      </c>
      <c r="AJ510" s="49">
        <f>IF(B510="","",N(C510))</f>
        <v/>
      </c>
      <c r="AK510" s="49">
        <f>IF(OR(B510="",O510="Cancelled",O510="Rescheduled"),"",B510&amp;"|"&amp;(COUNTIFS('JOBS'!$B$5:$B$1504,B510,'JOBS'!$AJ$5:$AJ$1504,"&lt;"&amp;AJ510,'JOBS'!$O$5:$O$1504,"&lt;&gt;Cancelled",'JOBS'!$O$5:$O$1504,"&lt;&gt;Rescheduled")+COUNTIFS($B$5:B510,B510,$AJ$5:AJ510,AJ510,$O$5:O510,"&lt;&gt;Cancelled",$O$5:O510,"&lt;&gt;Rescheduled")))</f>
        <v/>
      </c>
      <c r="AL510" s="49">
        <f>IF(N(U510)&lt;=0.005,"",COUNTIFS('JOBS'!$U$5:$U$1504,"&gt;0.005",'JOBS'!$B$5:$B$1504,"&lt;"&amp;B510)+COUNTIFS($U$5:U510,"&gt;0.005",$B$5:B510,B510))</f>
        <v/>
      </c>
    </row>
    <row r="511">
      <c r="A511" s="46" t="inlineStr">
        <is>
          <t>J-0507</t>
        </is>
      </c>
      <c r="B511" s="47" t="n"/>
      <c r="C511" s="94" t="n"/>
      <c r="D511" s="38" t="n"/>
      <c r="E511" s="38" t="n"/>
      <c r="F511" s="38" t="n"/>
      <c r="G511" s="38" t="n"/>
      <c r="H511" s="38" t="n"/>
      <c r="I511" s="57" t="n"/>
      <c r="J511" s="95" t="n"/>
      <c r="K511" s="95" t="n"/>
      <c r="L511" s="48" t="n"/>
      <c r="M511" s="96" t="n"/>
      <c r="N511" s="48" t="n"/>
      <c r="O511" s="38" t="n"/>
      <c r="P511" s="38" t="n"/>
      <c r="Q511" s="97">
        <f>IF(OR(F511="",E511=""),"",IFERROR(IF(INDEX('PROPERTIES'!$F$5:$F$404,MATCH(E511,'PROPERTIES'!$B$5:$B$404,0))=0,"",ROUND((INDEX('PROPERTIES'!$F$5:$F$404,MATCH(E511,'PROPERTIES'!$B$5:$B$404,0))/INDEX('PRICING'!$C$7:$C$16,MATCH(F511,'PRICING'!$A$7:$A$16,0))+INDEX('PROPERTIES'!$G$5:$G$404,MATCH(E511,'PROPERTIES'!$B$5:$B$404,0))*INDEX('PRICING'!$D$7:$D$16,MATCH(F511,'PRICING'!$A$7:$A$16,0))/60+INDEX('PROPERTIES'!$H$5:$H$404,MATCH(E511,'PROPERTIES'!$B$5:$B$404,0))*INDEX('PRICING'!$E$7:$E$16,MATCH(F511,'PRICING'!$A$7:$A$16,0))/60+INDEX('PRICING'!$F$7:$F$16,MATCH(F511,'PRICING'!$A$7:$A$16,0))/60),2)),""))</f>
        <v/>
      </c>
      <c r="R511" s="97">
        <f>IF(B511="","",IF(N(K511)&gt;0,K511,IF(N(J511)&gt;0,J511,N(Q511))))</f>
        <v/>
      </c>
      <c r="S511" s="55">
        <f>IF(L511="","",ROUND(L511*(1+N(M511)),2))</f>
        <v/>
      </c>
      <c r="T511" s="55">
        <f>IF(B511="","",SUMIFS('REVENUE'!$C$5:$C$1504,'REVENUE'!$B$5:$B$1504,A511))</f>
        <v/>
      </c>
      <c r="U511" s="55">
        <f>IF(B511="","",IF(O511="Completed",MAX(0,N(S511)-T511),""))</f>
        <v/>
      </c>
      <c r="V511" s="49">
        <f>IF(B511="","",IF(O511&lt;&gt;"Completed",IF(T511&gt;0,"Deposit","—"),IF(U511&lt;=0.005,"Paid",IF(T511&gt;0,"Partial","Unpaid"))))</f>
        <v/>
      </c>
      <c r="W511" s="55">
        <f>IF(B511="","",IFERROR(1/(1/INDEX('STAFF &amp; TASKS'!$C$5:$C$24,MATCH(H511,'STAFF &amp; TASKS'!$A$5:$A$24,0))),PayRate))</f>
        <v/>
      </c>
      <c r="X511" s="55">
        <f>IF(B511="","",IF(OR(O511="Cancelled",O511="No-Show"),"",ROUND(R511*W511*(1+Burden),2)))</f>
        <v/>
      </c>
      <c r="Y511" s="55">
        <f>IF(B511="","",IF(OR(O511="Cancelled",O511="No-Show"),"",IF(N511&lt;&gt;"",N511,ROUND(R511*SupHr*IFERROR(INDEX('PRICING'!$G$7:$G$16,MATCH(F511,'PRICING'!$A$7:$A$16,0)),1),2))))</f>
        <v/>
      </c>
      <c r="Z511" s="98">
        <f>IF(B511="","",SUMIFS('MILEAGE'!$J$5:$J$1504,'MILEAGE'!$B$5:$B$1504,A511))</f>
        <v/>
      </c>
      <c r="AA511" s="55">
        <f>IF(B511="","",ROUND(Z511*MileRate,2))</f>
        <v/>
      </c>
      <c r="AB511" s="55">
        <f>IF(B511="","",SUMIFS('REVENUE'!$J$5:$J$1504,'REVENUE'!$B$5:$B$1504,A511))</f>
        <v/>
      </c>
      <c r="AC511" s="55">
        <f>IF(L511="","",IF(OR(O511="Cancelled",O511="No-Show"),"",L511-N(X511)-N(Y511)-AA511-AB511))</f>
        <v/>
      </c>
      <c r="AD511" s="99">
        <f>IF(OR(AC511="",N(L511)=0),"",AC511/L511)</f>
        <v/>
      </c>
      <c r="AE511" s="55">
        <f>IF(OR(AC511="",N(R511)=0),"",L511/R511)</f>
        <v/>
      </c>
      <c r="AF511" s="100">
        <f>IF(OR(N(K511)=0,N(J511)+N(Q511)=0),"",K511-IF(N(J511)&gt;0,J511,Q511))</f>
        <v/>
      </c>
      <c r="AG511" s="99">
        <f>IF(B511="","",IFERROR(AVERAGEIFS('QUALITY CONTROL'!$M$5:$M$304,'QUALITY CONTROL'!$B$5:$B$304,A511),""))</f>
        <v/>
      </c>
      <c r="AH511" s="51">
        <f>IF(B511="","",DATE(YEAR(B511),MONTH(B511),1))</f>
        <v/>
      </c>
      <c r="AI511" s="49">
        <f>IF(D511="","",IFERROR(INDEX('CUSTOMERS'!$E$5:$E$404,MATCH(D511,'CUSTOMERS'!$B$5:$B$404,0)),""))</f>
        <v/>
      </c>
      <c r="AJ511" s="49">
        <f>IF(B511="","",N(C511))</f>
        <v/>
      </c>
      <c r="AK511" s="49">
        <f>IF(OR(B511="",O511="Cancelled",O511="Rescheduled"),"",B511&amp;"|"&amp;(COUNTIFS('JOBS'!$B$5:$B$1504,B511,'JOBS'!$AJ$5:$AJ$1504,"&lt;"&amp;AJ511,'JOBS'!$O$5:$O$1504,"&lt;&gt;Cancelled",'JOBS'!$O$5:$O$1504,"&lt;&gt;Rescheduled")+COUNTIFS($B$5:B511,B511,$AJ$5:AJ511,AJ511,$O$5:O511,"&lt;&gt;Cancelled",$O$5:O511,"&lt;&gt;Rescheduled")))</f>
        <v/>
      </c>
      <c r="AL511" s="49">
        <f>IF(N(U511)&lt;=0.005,"",COUNTIFS('JOBS'!$U$5:$U$1504,"&gt;0.005",'JOBS'!$B$5:$B$1504,"&lt;"&amp;B511)+COUNTIFS($U$5:U511,"&gt;0.005",$B$5:B511,B511))</f>
        <v/>
      </c>
    </row>
    <row r="512">
      <c r="A512" s="46" t="inlineStr">
        <is>
          <t>J-0508</t>
        </is>
      </c>
      <c r="B512" s="47" t="n"/>
      <c r="C512" s="94" t="n"/>
      <c r="D512" s="38" t="n"/>
      <c r="E512" s="38" t="n"/>
      <c r="F512" s="38" t="n"/>
      <c r="G512" s="38" t="n"/>
      <c r="H512" s="38" t="n"/>
      <c r="I512" s="57" t="n"/>
      <c r="J512" s="95" t="n"/>
      <c r="K512" s="95" t="n"/>
      <c r="L512" s="48" t="n"/>
      <c r="M512" s="96" t="n"/>
      <c r="N512" s="48" t="n"/>
      <c r="O512" s="38" t="n"/>
      <c r="P512" s="38" t="n"/>
      <c r="Q512" s="97">
        <f>IF(OR(F512="",E512=""),"",IFERROR(IF(INDEX('PROPERTIES'!$F$5:$F$404,MATCH(E512,'PROPERTIES'!$B$5:$B$404,0))=0,"",ROUND((INDEX('PROPERTIES'!$F$5:$F$404,MATCH(E512,'PROPERTIES'!$B$5:$B$404,0))/INDEX('PRICING'!$C$7:$C$16,MATCH(F512,'PRICING'!$A$7:$A$16,0))+INDEX('PROPERTIES'!$G$5:$G$404,MATCH(E512,'PROPERTIES'!$B$5:$B$404,0))*INDEX('PRICING'!$D$7:$D$16,MATCH(F512,'PRICING'!$A$7:$A$16,0))/60+INDEX('PROPERTIES'!$H$5:$H$404,MATCH(E512,'PROPERTIES'!$B$5:$B$404,0))*INDEX('PRICING'!$E$7:$E$16,MATCH(F512,'PRICING'!$A$7:$A$16,0))/60+INDEX('PRICING'!$F$7:$F$16,MATCH(F512,'PRICING'!$A$7:$A$16,0))/60),2)),""))</f>
        <v/>
      </c>
      <c r="R512" s="97">
        <f>IF(B512="","",IF(N(K512)&gt;0,K512,IF(N(J512)&gt;0,J512,N(Q512))))</f>
        <v/>
      </c>
      <c r="S512" s="55">
        <f>IF(L512="","",ROUND(L512*(1+N(M512)),2))</f>
        <v/>
      </c>
      <c r="T512" s="55">
        <f>IF(B512="","",SUMIFS('REVENUE'!$C$5:$C$1504,'REVENUE'!$B$5:$B$1504,A512))</f>
        <v/>
      </c>
      <c r="U512" s="55">
        <f>IF(B512="","",IF(O512="Completed",MAX(0,N(S512)-T512),""))</f>
        <v/>
      </c>
      <c r="V512" s="49">
        <f>IF(B512="","",IF(O512&lt;&gt;"Completed",IF(T512&gt;0,"Deposit","—"),IF(U512&lt;=0.005,"Paid",IF(T512&gt;0,"Partial","Unpaid"))))</f>
        <v/>
      </c>
      <c r="W512" s="55">
        <f>IF(B512="","",IFERROR(1/(1/INDEX('STAFF &amp; TASKS'!$C$5:$C$24,MATCH(H512,'STAFF &amp; TASKS'!$A$5:$A$24,0))),PayRate))</f>
        <v/>
      </c>
      <c r="X512" s="55">
        <f>IF(B512="","",IF(OR(O512="Cancelled",O512="No-Show"),"",ROUND(R512*W512*(1+Burden),2)))</f>
        <v/>
      </c>
      <c r="Y512" s="55">
        <f>IF(B512="","",IF(OR(O512="Cancelled",O512="No-Show"),"",IF(N512&lt;&gt;"",N512,ROUND(R512*SupHr*IFERROR(INDEX('PRICING'!$G$7:$G$16,MATCH(F512,'PRICING'!$A$7:$A$16,0)),1),2))))</f>
        <v/>
      </c>
      <c r="Z512" s="98">
        <f>IF(B512="","",SUMIFS('MILEAGE'!$J$5:$J$1504,'MILEAGE'!$B$5:$B$1504,A512))</f>
        <v/>
      </c>
      <c r="AA512" s="55">
        <f>IF(B512="","",ROUND(Z512*MileRate,2))</f>
        <v/>
      </c>
      <c r="AB512" s="55">
        <f>IF(B512="","",SUMIFS('REVENUE'!$J$5:$J$1504,'REVENUE'!$B$5:$B$1504,A512))</f>
        <v/>
      </c>
      <c r="AC512" s="55">
        <f>IF(L512="","",IF(OR(O512="Cancelled",O512="No-Show"),"",L512-N(X512)-N(Y512)-AA512-AB512))</f>
        <v/>
      </c>
      <c r="AD512" s="99">
        <f>IF(OR(AC512="",N(L512)=0),"",AC512/L512)</f>
        <v/>
      </c>
      <c r="AE512" s="55">
        <f>IF(OR(AC512="",N(R512)=0),"",L512/R512)</f>
        <v/>
      </c>
      <c r="AF512" s="100">
        <f>IF(OR(N(K512)=0,N(J512)+N(Q512)=0),"",K512-IF(N(J512)&gt;0,J512,Q512))</f>
        <v/>
      </c>
      <c r="AG512" s="99">
        <f>IF(B512="","",IFERROR(AVERAGEIFS('QUALITY CONTROL'!$M$5:$M$304,'QUALITY CONTROL'!$B$5:$B$304,A512),""))</f>
        <v/>
      </c>
      <c r="AH512" s="51">
        <f>IF(B512="","",DATE(YEAR(B512),MONTH(B512),1))</f>
        <v/>
      </c>
      <c r="AI512" s="49">
        <f>IF(D512="","",IFERROR(INDEX('CUSTOMERS'!$E$5:$E$404,MATCH(D512,'CUSTOMERS'!$B$5:$B$404,0)),""))</f>
        <v/>
      </c>
      <c r="AJ512" s="49">
        <f>IF(B512="","",N(C512))</f>
        <v/>
      </c>
      <c r="AK512" s="49">
        <f>IF(OR(B512="",O512="Cancelled",O512="Rescheduled"),"",B512&amp;"|"&amp;(COUNTIFS('JOBS'!$B$5:$B$1504,B512,'JOBS'!$AJ$5:$AJ$1504,"&lt;"&amp;AJ512,'JOBS'!$O$5:$O$1504,"&lt;&gt;Cancelled",'JOBS'!$O$5:$O$1504,"&lt;&gt;Rescheduled")+COUNTIFS($B$5:B512,B512,$AJ$5:AJ512,AJ512,$O$5:O512,"&lt;&gt;Cancelled",$O$5:O512,"&lt;&gt;Rescheduled")))</f>
        <v/>
      </c>
      <c r="AL512" s="49">
        <f>IF(N(U512)&lt;=0.005,"",COUNTIFS('JOBS'!$U$5:$U$1504,"&gt;0.005",'JOBS'!$B$5:$B$1504,"&lt;"&amp;B512)+COUNTIFS($U$5:U512,"&gt;0.005",$B$5:B512,B512))</f>
        <v/>
      </c>
    </row>
    <row r="513">
      <c r="A513" s="46" t="inlineStr">
        <is>
          <t>J-0509</t>
        </is>
      </c>
      <c r="B513" s="47" t="n"/>
      <c r="C513" s="94" t="n"/>
      <c r="D513" s="38" t="n"/>
      <c r="E513" s="38" t="n"/>
      <c r="F513" s="38" t="n"/>
      <c r="G513" s="38" t="n"/>
      <c r="H513" s="38" t="n"/>
      <c r="I513" s="57" t="n"/>
      <c r="J513" s="95" t="n"/>
      <c r="K513" s="95" t="n"/>
      <c r="L513" s="48" t="n"/>
      <c r="M513" s="96" t="n"/>
      <c r="N513" s="48" t="n"/>
      <c r="O513" s="38" t="n"/>
      <c r="P513" s="38" t="n"/>
      <c r="Q513" s="97">
        <f>IF(OR(F513="",E513=""),"",IFERROR(IF(INDEX('PROPERTIES'!$F$5:$F$404,MATCH(E513,'PROPERTIES'!$B$5:$B$404,0))=0,"",ROUND((INDEX('PROPERTIES'!$F$5:$F$404,MATCH(E513,'PROPERTIES'!$B$5:$B$404,0))/INDEX('PRICING'!$C$7:$C$16,MATCH(F513,'PRICING'!$A$7:$A$16,0))+INDEX('PROPERTIES'!$G$5:$G$404,MATCH(E513,'PROPERTIES'!$B$5:$B$404,0))*INDEX('PRICING'!$D$7:$D$16,MATCH(F513,'PRICING'!$A$7:$A$16,0))/60+INDEX('PROPERTIES'!$H$5:$H$404,MATCH(E513,'PROPERTIES'!$B$5:$B$404,0))*INDEX('PRICING'!$E$7:$E$16,MATCH(F513,'PRICING'!$A$7:$A$16,0))/60+INDEX('PRICING'!$F$7:$F$16,MATCH(F513,'PRICING'!$A$7:$A$16,0))/60),2)),""))</f>
        <v/>
      </c>
      <c r="R513" s="97">
        <f>IF(B513="","",IF(N(K513)&gt;0,K513,IF(N(J513)&gt;0,J513,N(Q513))))</f>
        <v/>
      </c>
      <c r="S513" s="55">
        <f>IF(L513="","",ROUND(L513*(1+N(M513)),2))</f>
        <v/>
      </c>
      <c r="T513" s="55">
        <f>IF(B513="","",SUMIFS('REVENUE'!$C$5:$C$1504,'REVENUE'!$B$5:$B$1504,A513))</f>
        <v/>
      </c>
      <c r="U513" s="55">
        <f>IF(B513="","",IF(O513="Completed",MAX(0,N(S513)-T513),""))</f>
        <v/>
      </c>
      <c r="V513" s="49">
        <f>IF(B513="","",IF(O513&lt;&gt;"Completed",IF(T513&gt;0,"Deposit","—"),IF(U513&lt;=0.005,"Paid",IF(T513&gt;0,"Partial","Unpaid"))))</f>
        <v/>
      </c>
      <c r="W513" s="55">
        <f>IF(B513="","",IFERROR(1/(1/INDEX('STAFF &amp; TASKS'!$C$5:$C$24,MATCH(H513,'STAFF &amp; TASKS'!$A$5:$A$24,0))),PayRate))</f>
        <v/>
      </c>
      <c r="X513" s="55">
        <f>IF(B513="","",IF(OR(O513="Cancelled",O513="No-Show"),"",ROUND(R513*W513*(1+Burden),2)))</f>
        <v/>
      </c>
      <c r="Y513" s="55">
        <f>IF(B513="","",IF(OR(O513="Cancelled",O513="No-Show"),"",IF(N513&lt;&gt;"",N513,ROUND(R513*SupHr*IFERROR(INDEX('PRICING'!$G$7:$G$16,MATCH(F513,'PRICING'!$A$7:$A$16,0)),1),2))))</f>
        <v/>
      </c>
      <c r="Z513" s="98">
        <f>IF(B513="","",SUMIFS('MILEAGE'!$J$5:$J$1504,'MILEAGE'!$B$5:$B$1504,A513))</f>
        <v/>
      </c>
      <c r="AA513" s="55">
        <f>IF(B513="","",ROUND(Z513*MileRate,2))</f>
        <v/>
      </c>
      <c r="AB513" s="55">
        <f>IF(B513="","",SUMIFS('REVENUE'!$J$5:$J$1504,'REVENUE'!$B$5:$B$1504,A513))</f>
        <v/>
      </c>
      <c r="AC513" s="55">
        <f>IF(L513="","",IF(OR(O513="Cancelled",O513="No-Show"),"",L513-N(X513)-N(Y513)-AA513-AB513))</f>
        <v/>
      </c>
      <c r="AD513" s="99">
        <f>IF(OR(AC513="",N(L513)=0),"",AC513/L513)</f>
        <v/>
      </c>
      <c r="AE513" s="55">
        <f>IF(OR(AC513="",N(R513)=0),"",L513/R513)</f>
        <v/>
      </c>
      <c r="AF513" s="100">
        <f>IF(OR(N(K513)=0,N(J513)+N(Q513)=0),"",K513-IF(N(J513)&gt;0,J513,Q513))</f>
        <v/>
      </c>
      <c r="AG513" s="99">
        <f>IF(B513="","",IFERROR(AVERAGEIFS('QUALITY CONTROL'!$M$5:$M$304,'QUALITY CONTROL'!$B$5:$B$304,A513),""))</f>
        <v/>
      </c>
      <c r="AH513" s="51">
        <f>IF(B513="","",DATE(YEAR(B513),MONTH(B513),1))</f>
        <v/>
      </c>
      <c r="AI513" s="49">
        <f>IF(D513="","",IFERROR(INDEX('CUSTOMERS'!$E$5:$E$404,MATCH(D513,'CUSTOMERS'!$B$5:$B$404,0)),""))</f>
        <v/>
      </c>
      <c r="AJ513" s="49">
        <f>IF(B513="","",N(C513))</f>
        <v/>
      </c>
      <c r="AK513" s="49">
        <f>IF(OR(B513="",O513="Cancelled",O513="Rescheduled"),"",B513&amp;"|"&amp;(COUNTIFS('JOBS'!$B$5:$B$1504,B513,'JOBS'!$AJ$5:$AJ$1504,"&lt;"&amp;AJ513,'JOBS'!$O$5:$O$1504,"&lt;&gt;Cancelled",'JOBS'!$O$5:$O$1504,"&lt;&gt;Rescheduled")+COUNTIFS($B$5:B513,B513,$AJ$5:AJ513,AJ513,$O$5:O513,"&lt;&gt;Cancelled",$O$5:O513,"&lt;&gt;Rescheduled")))</f>
        <v/>
      </c>
      <c r="AL513" s="49">
        <f>IF(N(U513)&lt;=0.005,"",COUNTIFS('JOBS'!$U$5:$U$1504,"&gt;0.005",'JOBS'!$B$5:$B$1504,"&lt;"&amp;B513)+COUNTIFS($U$5:U513,"&gt;0.005",$B$5:B513,B513))</f>
        <v/>
      </c>
    </row>
    <row r="514">
      <c r="A514" s="46" t="inlineStr">
        <is>
          <t>J-0510</t>
        </is>
      </c>
      <c r="B514" s="47" t="n"/>
      <c r="C514" s="94" t="n"/>
      <c r="D514" s="38" t="n"/>
      <c r="E514" s="38" t="n"/>
      <c r="F514" s="38" t="n"/>
      <c r="G514" s="38" t="n"/>
      <c r="H514" s="38" t="n"/>
      <c r="I514" s="57" t="n"/>
      <c r="J514" s="95" t="n"/>
      <c r="K514" s="95" t="n"/>
      <c r="L514" s="48" t="n"/>
      <c r="M514" s="96" t="n"/>
      <c r="N514" s="48" t="n"/>
      <c r="O514" s="38" t="n"/>
      <c r="P514" s="38" t="n"/>
      <c r="Q514" s="97">
        <f>IF(OR(F514="",E514=""),"",IFERROR(IF(INDEX('PROPERTIES'!$F$5:$F$404,MATCH(E514,'PROPERTIES'!$B$5:$B$404,0))=0,"",ROUND((INDEX('PROPERTIES'!$F$5:$F$404,MATCH(E514,'PROPERTIES'!$B$5:$B$404,0))/INDEX('PRICING'!$C$7:$C$16,MATCH(F514,'PRICING'!$A$7:$A$16,0))+INDEX('PROPERTIES'!$G$5:$G$404,MATCH(E514,'PROPERTIES'!$B$5:$B$404,0))*INDEX('PRICING'!$D$7:$D$16,MATCH(F514,'PRICING'!$A$7:$A$16,0))/60+INDEX('PROPERTIES'!$H$5:$H$404,MATCH(E514,'PROPERTIES'!$B$5:$B$404,0))*INDEX('PRICING'!$E$7:$E$16,MATCH(F514,'PRICING'!$A$7:$A$16,0))/60+INDEX('PRICING'!$F$7:$F$16,MATCH(F514,'PRICING'!$A$7:$A$16,0))/60),2)),""))</f>
        <v/>
      </c>
      <c r="R514" s="97">
        <f>IF(B514="","",IF(N(K514)&gt;0,K514,IF(N(J514)&gt;0,J514,N(Q514))))</f>
        <v/>
      </c>
      <c r="S514" s="55">
        <f>IF(L514="","",ROUND(L514*(1+N(M514)),2))</f>
        <v/>
      </c>
      <c r="T514" s="55">
        <f>IF(B514="","",SUMIFS('REVENUE'!$C$5:$C$1504,'REVENUE'!$B$5:$B$1504,A514))</f>
        <v/>
      </c>
      <c r="U514" s="55">
        <f>IF(B514="","",IF(O514="Completed",MAX(0,N(S514)-T514),""))</f>
        <v/>
      </c>
      <c r="V514" s="49">
        <f>IF(B514="","",IF(O514&lt;&gt;"Completed",IF(T514&gt;0,"Deposit","—"),IF(U514&lt;=0.005,"Paid",IF(T514&gt;0,"Partial","Unpaid"))))</f>
        <v/>
      </c>
      <c r="W514" s="55">
        <f>IF(B514="","",IFERROR(1/(1/INDEX('STAFF &amp; TASKS'!$C$5:$C$24,MATCH(H514,'STAFF &amp; TASKS'!$A$5:$A$24,0))),PayRate))</f>
        <v/>
      </c>
      <c r="X514" s="55">
        <f>IF(B514="","",IF(OR(O514="Cancelled",O514="No-Show"),"",ROUND(R514*W514*(1+Burden),2)))</f>
        <v/>
      </c>
      <c r="Y514" s="55">
        <f>IF(B514="","",IF(OR(O514="Cancelled",O514="No-Show"),"",IF(N514&lt;&gt;"",N514,ROUND(R514*SupHr*IFERROR(INDEX('PRICING'!$G$7:$G$16,MATCH(F514,'PRICING'!$A$7:$A$16,0)),1),2))))</f>
        <v/>
      </c>
      <c r="Z514" s="98">
        <f>IF(B514="","",SUMIFS('MILEAGE'!$J$5:$J$1504,'MILEAGE'!$B$5:$B$1504,A514))</f>
        <v/>
      </c>
      <c r="AA514" s="55">
        <f>IF(B514="","",ROUND(Z514*MileRate,2))</f>
        <v/>
      </c>
      <c r="AB514" s="55">
        <f>IF(B514="","",SUMIFS('REVENUE'!$J$5:$J$1504,'REVENUE'!$B$5:$B$1504,A514))</f>
        <v/>
      </c>
      <c r="AC514" s="55">
        <f>IF(L514="","",IF(OR(O514="Cancelled",O514="No-Show"),"",L514-N(X514)-N(Y514)-AA514-AB514))</f>
        <v/>
      </c>
      <c r="AD514" s="99">
        <f>IF(OR(AC514="",N(L514)=0),"",AC514/L514)</f>
        <v/>
      </c>
      <c r="AE514" s="55">
        <f>IF(OR(AC514="",N(R514)=0),"",L514/R514)</f>
        <v/>
      </c>
      <c r="AF514" s="100">
        <f>IF(OR(N(K514)=0,N(J514)+N(Q514)=0),"",K514-IF(N(J514)&gt;0,J514,Q514))</f>
        <v/>
      </c>
      <c r="AG514" s="99">
        <f>IF(B514="","",IFERROR(AVERAGEIFS('QUALITY CONTROL'!$M$5:$M$304,'QUALITY CONTROL'!$B$5:$B$304,A514),""))</f>
        <v/>
      </c>
      <c r="AH514" s="51">
        <f>IF(B514="","",DATE(YEAR(B514),MONTH(B514),1))</f>
        <v/>
      </c>
      <c r="AI514" s="49">
        <f>IF(D514="","",IFERROR(INDEX('CUSTOMERS'!$E$5:$E$404,MATCH(D514,'CUSTOMERS'!$B$5:$B$404,0)),""))</f>
        <v/>
      </c>
      <c r="AJ514" s="49">
        <f>IF(B514="","",N(C514))</f>
        <v/>
      </c>
      <c r="AK514" s="49">
        <f>IF(OR(B514="",O514="Cancelled",O514="Rescheduled"),"",B514&amp;"|"&amp;(COUNTIFS('JOBS'!$B$5:$B$1504,B514,'JOBS'!$AJ$5:$AJ$1504,"&lt;"&amp;AJ514,'JOBS'!$O$5:$O$1504,"&lt;&gt;Cancelled",'JOBS'!$O$5:$O$1504,"&lt;&gt;Rescheduled")+COUNTIFS($B$5:B514,B514,$AJ$5:AJ514,AJ514,$O$5:O514,"&lt;&gt;Cancelled",$O$5:O514,"&lt;&gt;Rescheduled")))</f>
        <v/>
      </c>
      <c r="AL514" s="49">
        <f>IF(N(U514)&lt;=0.005,"",COUNTIFS('JOBS'!$U$5:$U$1504,"&gt;0.005",'JOBS'!$B$5:$B$1504,"&lt;"&amp;B514)+COUNTIFS($U$5:U514,"&gt;0.005",$B$5:B514,B514))</f>
        <v/>
      </c>
    </row>
    <row r="515">
      <c r="A515" s="46" t="inlineStr">
        <is>
          <t>J-0511</t>
        </is>
      </c>
      <c r="B515" s="47" t="n"/>
      <c r="C515" s="94" t="n"/>
      <c r="D515" s="38" t="n"/>
      <c r="E515" s="38" t="n"/>
      <c r="F515" s="38" t="n"/>
      <c r="G515" s="38" t="n"/>
      <c r="H515" s="38" t="n"/>
      <c r="I515" s="57" t="n"/>
      <c r="J515" s="95" t="n"/>
      <c r="K515" s="95" t="n"/>
      <c r="L515" s="48" t="n"/>
      <c r="M515" s="96" t="n"/>
      <c r="N515" s="48" t="n"/>
      <c r="O515" s="38" t="n"/>
      <c r="P515" s="38" t="n"/>
      <c r="Q515" s="97">
        <f>IF(OR(F515="",E515=""),"",IFERROR(IF(INDEX('PROPERTIES'!$F$5:$F$404,MATCH(E515,'PROPERTIES'!$B$5:$B$404,0))=0,"",ROUND((INDEX('PROPERTIES'!$F$5:$F$404,MATCH(E515,'PROPERTIES'!$B$5:$B$404,0))/INDEX('PRICING'!$C$7:$C$16,MATCH(F515,'PRICING'!$A$7:$A$16,0))+INDEX('PROPERTIES'!$G$5:$G$404,MATCH(E515,'PROPERTIES'!$B$5:$B$404,0))*INDEX('PRICING'!$D$7:$D$16,MATCH(F515,'PRICING'!$A$7:$A$16,0))/60+INDEX('PROPERTIES'!$H$5:$H$404,MATCH(E515,'PROPERTIES'!$B$5:$B$404,0))*INDEX('PRICING'!$E$7:$E$16,MATCH(F515,'PRICING'!$A$7:$A$16,0))/60+INDEX('PRICING'!$F$7:$F$16,MATCH(F515,'PRICING'!$A$7:$A$16,0))/60),2)),""))</f>
        <v/>
      </c>
      <c r="R515" s="97">
        <f>IF(B515="","",IF(N(K515)&gt;0,K515,IF(N(J515)&gt;0,J515,N(Q515))))</f>
        <v/>
      </c>
      <c r="S515" s="55">
        <f>IF(L515="","",ROUND(L515*(1+N(M515)),2))</f>
        <v/>
      </c>
      <c r="T515" s="55">
        <f>IF(B515="","",SUMIFS('REVENUE'!$C$5:$C$1504,'REVENUE'!$B$5:$B$1504,A515))</f>
        <v/>
      </c>
      <c r="U515" s="55">
        <f>IF(B515="","",IF(O515="Completed",MAX(0,N(S515)-T515),""))</f>
        <v/>
      </c>
      <c r="V515" s="49">
        <f>IF(B515="","",IF(O515&lt;&gt;"Completed",IF(T515&gt;0,"Deposit","—"),IF(U515&lt;=0.005,"Paid",IF(T515&gt;0,"Partial","Unpaid"))))</f>
        <v/>
      </c>
      <c r="W515" s="55">
        <f>IF(B515="","",IFERROR(1/(1/INDEX('STAFF &amp; TASKS'!$C$5:$C$24,MATCH(H515,'STAFF &amp; TASKS'!$A$5:$A$24,0))),PayRate))</f>
        <v/>
      </c>
      <c r="X515" s="55">
        <f>IF(B515="","",IF(OR(O515="Cancelled",O515="No-Show"),"",ROUND(R515*W515*(1+Burden),2)))</f>
        <v/>
      </c>
      <c r="Y515" s="55">
        <f>IF(B515="","",IF(OR(O515="Cancelled",O515="No-Show"),"",IF(N515&lt;&gt;"",N515,ROUND(R515*SupHr*IFERROR(INDEX('PRICING'!$G$7:$G$16,MATCH(F515,'PRICING'!$A$7:$A$16,0)),1),2))))</f>
        <v/>
      </c>
      <c r="Z515" s="98">
        <f>IF(B515="","",SUMIFS('MILEAGE'!$J$5:$J$1504,'MILEAGE'!$B$5:$B$1504,A515))</f>
        <v/>
      </c>
      <c r="AA515" s="55">
        <f>IF(B515="","",ROUND(Z515*MileRate,2))</f>
        <v/>
      </c>
      <c r="AB515" s="55">
        <f>IF(B515="","",SUMIFS('REVENUE'!$J$5:$J$1504,'REVENUE'!$B$5:$B$1504,A515))</f>
        <v/>
      </c>
      <c r="AC515" s="55">
        <f>IF(L515="","",IF(OR(O515="Cancelled",O515="No-Show"),"",L515-N(X515)-N(Y515)-AA515-AB515))</f>
        <v/>
      </c>
      <c r="AD515" s="99">
        <f>IF(OR(AC515="",N(L515)=0),"",AC515/L515)</f>
        <v/>
      </c>
      <c r="AE515" s="55">
        <f>IF(OR(AC515="",N(R515)=0),"",L515/R515)</f>
        <v/>
      </c>
      <c r="AF515" s="100">
        <f>IF(OR(N(K515)=0,N(J515)+N(Q515)=0),"",K515-IF(N(J515)&gt;0,J515,Q515))</f>
        <v/>
      </c>
      <c r="AG515" s="99">
        <f>IF(B515="","",IFERROR(AVERAGEIFS('QUALITY CONTROL'!$M$5:$M$304,'QUALITY CONTROL'!$B$5:$B$304,A515),""))</f>
        <v/>
      </c>
      <c r="AH515" s="51">
        <f>IF(B515="","",DATE(YEAR(B515),MONTH(B515),1))</f>
        <v/>
      </c>
      <c r="AI515" s="49">
        <f>IF(D515="","",IFERROR(INDEX('CUSTOMERS'!$E$5:$E$404,MATCH(D515,'CUSTOMERS'!$B$5:$B$404,0)),""))</f>
        <v/>
      </c>
      <c r="AJ515" s="49">
        <f>IF(B515="","",N(C515))</f>
        <v/>
      </c>
      <c r="AK515" s="49">
        <f>IF(OR(B515="",O515="Cancelled",O515="Rescheduled"),"",B515&amp;"|"&amp;(COUNTIFS('JOBS'!$B$5:$B$1504,B515,'JOBS'!$AJ$5:$AJ$1504,"&lt;"&amp;AJ515,'JOBS'!$O$5:$O$1504,"&lt;&gt;Cancelled",'JOBS'!$O$5:$O$1504,"&lt;&gt;Rescheduled")+COUNTIFS($B$5:B515,B515,$AJ$5:AJ515,AJ515,$O$5:O515,"&lt;&gt;Cancelled",$O$5:O515,"&lt;&gt;Rescheduled")))</f>
        <v/>
      </c>
      <c r="AL515" s="49">
        <f>IF(N(U515)&lt;=0.005,"",COUNTIFS('JOBS'!$U$5:$U$1504,"&gt;0.005",'JOBS'!$B$5:$B$1504,"&lt;"&amp;B515)+COUNTIFS($U$5:U515,"&gt;0.005",$B$5:B515,B515))</f>
        <v/>
      </c>
    </row>
    <row r="516">
      <c r="A516" s="46" t="inlineStr">
        <is>
          <t>J-0512</t>
        </is>
      </c>
      <c r="B516" s="47" t="n"/>
      <c r="C516" s="94" t="n"/>
      <c r="D516" s="38" t="n"/>
      <c r="E516" s="38" t="n"/>
      <c r="F516" s="38" t="n"/>
      <c r="G516" s="38" t="n"/>
      <c r="H516" s="38" t="n"/>
      <c r="I516" s="57" t="n"/>
      <c r="J516" s="95" t="n"/>
      <c r="K516" s="95" t="n"/>
      <c r="L516" s="48" t="n"/>
      <c r="M516" s="96" t="n"/>
      <c r="N516" s="48" t="n"/>
      <c r="O516" s="38" t="n"/>
      <c r="P516" s="38" t="n"/>
      <c r="Q516" s="97">
        <f>IF(OR(F516="",E516=""),"",IFERROR(IF(INDEX('PROPERTIES'!$F$5:$F$404,MATCH(E516,'PROPERTIES'!$B$5:$B$404,0))=0,"",ROUND((INDEX('PROPERTIES'!$F$5:$F$404,MATCH(E516,'PROPERTIES'!$B$5:$B$404,0))/INDEX('PRICING'!$C$7:$C$16,MATCH(F516,'PRICING'!$A$7:$A$16,0))+INDEX('PROPERTIES'!$G$5:$G$404,MATCH(E516,'PROPERTIES'!$B$5:$B$404,0))*INDEX('PRICING'!$D$7:$D$16,MATCH(F516,'PRICING'!$A$7:$A$16,0))/60+INDEX('PROPERTIES'!$H$5:$H$404,MATCH(E516,'PROPERTIES'!$B$5:$B$404,0))*INDEX('PRICING'!$E$7:$E$16,MATCH(F516,'PRICING'!$A$7:$A$16,0))/60+INDEX('PRICING'!$F$7:$F$16,MATCH(F516,'PRICING'!$A$7:$A$16,0))/60),2)),""))</f>
        <v/>
      </c>
      <c r="R516" s="97">
        <f>IF(B516="","",IF(N(K516)&gt;0,K516,IF(N(J516)&gt;0,J516,N(Q516))))</f>
        <v/>
      </c>
      <c r="S516" s="55">
        <f>IF(L516="","",ROUND(L516*(1+N(M516)),2))</f>
        <v/>
      </c>
      <c r="T516" s="55">
        <f>IF(B516="","",SUMIFS('REVENUE'!$C$5:$C$1504,'REVENUE'!$B$5:$B$1504,A516))</f>
        <v/>
      </c>
      <c r="U516" s="55">
        <f>IF(B516="","",IF(O516="Completed",MAX(0,N(S516)-T516),""))</f>
        <v/>
      </c>
      <c r="V516" s="49">
        <f>IF(B516="","",IF(O516&lt;&gt;"Completed",IF(T516&gt;0,"Deposit","—"),IF(U516&lt;=0.005,"Paid",IF(T516&gt;0,"Partial","Unpaid"))))</f>
        <v/>
      </c>
      <c r="W516" s="55">
        <f>IF(B516="","",IFERROR(1/(1/INDEX('STAFF &amp; TASKS'!$C$5:$C$24,MATCH(H516,'STAFF &amp; TASKS'!$A$5:$A$24,0))),PayRate))</f>
        <v/>
      </c>
      <c r="X516" s="55">
        <f>IF(B516="","",IF(OR(O516="Cancelled",O516="No-Show"),"",ROUND(R516*W516*(1+Burden),2)))</f>
        <v/>
      </c>
      <c r="Y516" s="55">
        <f>IF(B516="","",IF(OR(O516="Cancelled",O516="No-Show"),"",IF(N516&lt;&gt;"",N516,ROUND(R516*SupHr*IFERROR(INDEX('PRICING'!$G$7:$G$16,MATCH(F516,'PRICING'!$A$7:$A$16,0)),1),2))))</f>
        <v/>
      </c>
      <c r="Z516" s="98">
        <f>IF(B516="","",SUMIFS('MILEAGE'!$J$5:$J$1504,'MILEAGE'!$B$5:$B$1504,A516))</f>
        <v/>
      </c>
      <c r="AA516" s="55">
        <f>IF(B516="","",ROUND(Z516*MileRate,2))</f>
        <v/>
      </c>
      <c r="AB516" s="55">
        <f>IF(B516="","",SUMIFS('REVENUE'!$J$5:$J$1504,'REVENUE'!$B$5:$B$1504,A516))</f>
        <v/>
      </c>
      <c r="AC516" s="55">
        <f>IF(L516="","",IF(OR(O516="Cancelled",O516="No-Show"),"",L516-N(X516)-N(Y516)-AA516-AB516))</f>
        <v/>
      </c>
      <c r="AD516" s="99">
        <f>IF(OR(AC516="",N(L516)=0),"",AC516/L516)</f>
        <v/>
      </c>
      <c r="AE516" s="55">
        <f>IF(OR(AC516="",N(R516)=0),"",L516/R516)</f>
        <v/>
      </c>
      <c r="AF516" s="100">
        <f>IF(OR(N(K516)=0,N(J516)+N(Q516)=0),"",K516-IF(N(J516)&gt;0,J516,Q516))</f>
        <v/>
      </c>
      <c r="AG516" s="99">
        <f>IF(B516="","",IFERROR(AVERAGEIFS('QUALITY CONTROL'!$M$5:$M$304,'QUALITY CONTROL'!$B$5:$B$304,A516),""))</f>
        <v/>
      </c>
      <c r="AH516" s="51">
        <f>IF(B516="","",DATE(YEAR(B516),MONTH(B516),1))</f>
        <v/>
      </c>
      <c r="AI516" s="49">
        <f>IF(D516="","",IFERROR(INDEX('CUSTOMERS'!$E$5:$E$404,MATCH(D516,'CUSTOMERS'!$B$5:$B$404,0)),""))</f>
        <v/>
      </c>
      <c r="AJ516" s="49">
        <f>IF(B516="","",N(C516))</f>
        <v/>
      </c>
      <c r="AK516" s="49">
        <f>IF(OR(B516="",O516="Cancelled",O516="Rescheduled"),"",B516&amp;"|"&amp;(COUNTIFS('JOBS'!$B$5:$B$1504,B516,'JOBS'!$AJ$5:$AJ$1504,"&lt;"&amp;AJ516,'JOBS'!$O$5:$O$1504,"&lt;&gt;Cancelled",'JOBS'!$O$5:$O$1504,"&lt;&gt;Rescheduled")+COUNTIFS($B$5:B516,B516,$AJ$5:AJ516,AJ516,$O$5:O516,"&lt;&gt;Cancelled",$O$5:O516,"&lt;&gt;Rescheduled")))</f>
        <v/>
      </c>
      <c r="AL516" s="49">
        <f>IF(N(U516)&lt;=0.005,"",COUNTIFS('JOBS'!$U$5:$U$1504,"&gt;0.005",'JOBS'!$B$5:$B$1504,"&lt;"&amp;B516)+COUNTIFS($U$5:U516,"&gt;0.005",$B$5:B516,B516))</f>
        <v/>
      </c>
    </row>
    <row r="517">
      <c r="A517" s="46" t="inlineStr">
        <is>
          <t>J-0513</t>
        </is>
      </c>
      <c r="B517" s="47" t="n"/>
      <c r="C517" s="94" t="n"/>
      <c r="D517" s="38" t="n"/>
      <c r="E517" s="38" t="n"/>
      <c r="F517" s="38" t="n"/>
      <c r="G517" s="38" t="n"/>
      <c r="H517" s="38" t="n"/>
      <c r="I517" s="57" t="n"/>
      <c r="J517" s="95" t="n"/>
      <c r="K517" s="95" t="n"/>
      <c r="L517" s="48" t="n"/>
      <c r="M517" s="96" t="n"/>
      <c r="N517" s="48" t="n"/>
      <c r="O517" s="38" t="n"/>
      <c r="P517" s="38" t="n"/>
      <c r="Q517" s="97">
        <f>IF(OR(F517="",E517=""),"",IFERROR(IF(INDEX('PROPERTIES'!$F$5:$F$404,MATCH(E517,'PROPERTIES'!$B$5:$B$404,0))=0,"",ROUND((INDEX('PROPERTIES'!$F$5:$F$404,MATCH(E517,'PROPERTIES'!$B$5:$B$404,0))/INDEX('PRICING'!$C$7:$C$16,MATCH(F517,'PRICING'!$A$7:$A$16,0))+INDEX('PROPERTIES'!$G$5:$G$404,MATCH(E517,'PROPERTIES'!$B$5:$B$404,0))*INDEX('PRICING'!$D$7:$D$16,MATCH(F517,'PRICING'!$A$7:$A$16,0))/60+INDEX('PROPERTIES'!$H$5:$H$404,MATCH(E517,'PROPERTIES'!$B$5:$B$404,0))*INDEX('PRICING'!$E$7:$E$16,MATCH(F517,'PRICING'!$A$7:$A$16,0))/60+INDEX('PRICING'!$F$7:$F$16,MATCH(F517,'PRICING'!$A$7:$A$16,0))/60),2)),""))</f>
        <v/>
      </c>
      <c r="R517" s="97">
        <f>IF(B517="","",IF(N(K517)&gt;0,K517,IF(N(J517)&gt;0,J517,N(Q517))))</f>
        <v/>
      </c>
      <c r="S517" s="55">
        <f>IF(L517="","",ROUND(L517*(1+N(M517)),2))</f>
        <v/>
      </c>
      <c r="T517" s="55">
        <f>IF(B517="","",SUMIFS('REVENUE'!$C$5:$C$1504,'REVENUE'!$B$5:$B$1504,A517))</f>
        <v/>
      </c>
      <c r="U517" s="55">
        <f>IF(B517="","",IF(O517="Completed",MAX(0,N(S517)-T517),""))</f>
        <v/>
      </c>
      <c r="V517" s="49">
        <f>IF(B517="","",IF(O517&lt;&gt;"Completed",IF(T517&gt;0,"Deposit","—"),IF(U517&lt;=0.005,"Paid",IF(T517&gt;0,"Partial","Unpaid"))))</f>
        <v/>
      </c>
      <c r="W517" s="55">
        <f>IF(B517="","",IFERROR(1/(1/INDEX('STAFF &amp; TASKS'!$C$5:$C$24,MATCH(H517,'STAFF &amp; TASKS'!$A$5:$A$24,0))),PayRate))</f>
        <v/>
      </c>
      <c r="X517" s="55">
        <f>IF(B517="","",IF(OR(O517="Cancelled",O517="No-Show"),"",ROUND(R517*W517*(1+Burden),2)))</f>
        <v/>
      </c>
      <c r="Y517" s="55">
        <f>IF(B517="","",IF(OR(O517="Cancelled",O517="No-Show"),"",IF(N517&lt;&gt;"",N517,ROUND(R517*SupHr*IFERROR(INDEX('PRICING'!$G$7:$G$16,MATCH(F517,'PRICING'!$A$7:$A$16,0)),1),2))))</f>
        <v/>
      </c>
      <c r="Z517" s="98">
        <f>IF(B517="","",SUMIFS('MILEAGE'!$J$5:$J$1504,'MILEAGE'!$B$5:$B$1504,A517))</f>
        <v/>
      </c>
      <c r="AA517" s="55">
        <f>IF(B517="","",ROUND(Z517*MileRate,2))</f>
        <v/>
      </c>
      <c r="AB517" s="55">
        <f>IF(B517="","",SUMIFS('REVENUE'!$J$5:$J$1504,'REVENUE'!$B$5:$B$1504,A517))</f>
        <v/>
      </c>
      <c r="AC517" s="55">
        <f>IF(L517="","",IF(OR(O517="Cancelled",O517="No-Show"),"",L517-N(X517)-N(Y517)-AA517-AB517))</f>
        <v/>
      </c>
      <c r="AD517" s="99">
        <f>IF(OR(AC517="",N(L517)=0),"",AC517/L517)</f>
        <v/>
      </c>
      <c r="AE517" s="55">
        <f>IF(OR(AC517="",N(R517)=0),"",L517/R517)</f>
        <v/>
      </c>
      <c r="AF517" s="100">
        <f>IF(OR(N(K517)=0,N(J517)+N(Q517)=0),"",K517-IF(N(J517)&gt;0,J517,Q517))</f>
        <v/>
      </c>
      <c r="AG517" s="99">
        <f>IF(B517="","",IFERROR(AVERAGEIFS('QUALITY CONTROL'!$M$5:$M$304,'QUALITY CONTROL'!$B$5:$B$304,A517),""))</f>
        <v/>
      </c>
      <c r="AH517" s="51">
        <f>IF(B517="","",DATE(YEAR(B517),MONTH(B517),1))</f>
        <v/>
      </c>
      <c r="AI517" s="49">
        <f>IF(D517="","",IFERROR(INDEX('CUSTOMERS'!$E$5:$E$404,MATCH(D517,'CUSTOMERS'!$B$5:$B$404,0)),""))</f>
        <v/>
      </c>
      <c r="AJ517" s="49">
        <f>IF(B517="","",N(C517))</f>
        <v/>
      </c>
      <c r="AK517" s="49">
        <f>IF(OR(B517="",O517="Cancelled",O517="Rescheduled"),"",B517&amp;"|"&amp;(COUNTIFS('JOBS'!$B$5:$B$1504,B517,'JOBS'!$AJ$5:$AJ$1504,"&lt;"&amp;AJ517,'JOBS'!$O$5:$O$1504,"&lt;&gt;Cancelled",'JOBS'!$O$5:$O$1504,"&lt;&gt;Rescheduled")+COUNTIFS($B$5:B517,B517,$AJ$5:AJ517,AJ517,$O$5:O517,"&lt;&gt;Cancelled",$O$5:O517,"&lt;&gt;Rescheduled")))</f>
        <v/>
      </c>
      <c r="AL517" s="49">
        <f>IF(N(U517)&lt;=0.005,"",COUNTIFS('JOBS'!$U$5:$U$1504,"&gt;0.005",'JOBS'!$B$5:$B$1504,"&lt;"&amp;B517)+COUNTIFS($U$5:U517,"&gt;0.005",$B$5:B517,B517))</f>
        <v/>
      </c>
    </row>
    <row r="518">
      <c r="A518" s="46" t="inlineStr">
        <is>
          <t>J-0514</t>
        </is>
      </c>
      <c r="B518" s="47" t="n"/>
      <c r="C518" s="94" t="n"/>
      <c r="D518" s="38" t="n"/>
      <c r="E518" s="38" t="n"/>
      <c r="F518" s="38" t="n"/>
      <c r="G518" s="38" t="n"/>
      <c r="H518" s="38" t="n"/>
      <c r="I518" s="57" t="n"/>
      <c r="J518" s="95" t="n"/>
      <c r="K518" s="95" t="n"/>
      <c r="L518" s="48" t="n"/>
      <c r="M518" s="96" t="n"/>
      <c r="N518" s="48" t="n"/>
      <c r="O518" s="38" t="n"/>
      <c r="P518" s="38" t="n"/>
      <c r="Q518" s="97">
        <f>IF(OR(F518="",E518=""),"",IFERROR(IF(INDEX('PROPERTIES'!$F$5:$F$404,MATCH(E518,'PROPERTIES'!$B$5:$B$404,0))=0,"",ROUND((INDEX('PROPERTIES'!$F$5:$F$404,MATCH(E518,'PROPERTIES'!$B$5:$B$404,0))/INDEX('PRICING'!$C$7:$C$16,MATCH(F518,'PRICING'!$A$7:$A$16,0))+INDEX('PROPERTIES'!$G$5:$G$404,MATCH(E518,'PROPERTIES'!$B$5:$B$404,0))*INDEX('PRICING'!$D$7:$D$16,MATCH(F518,'PRICING'!$A$7:$A$16,0))/60+INDEX('PROPERTIES'!$H$5:$H$404,MATCH(E518,'PROPERTIES'!$B$5:$B$404,0))*INDEX('PRICING'!$E$7:$E$16,MATCH(F518,'PRICING'!$A$7:$A$16,0))/60+INDEX('PRICING'!$F$7:$F$16,MATCH(F518,'PRICING'!$A$7:$A$16,0))/60),2)),""))</f>
        <v/>
      </c>
      <c r="R518" s="97">
        <f>IF(B518="","",IF(N(K518)&gt;0,K518,IF(N(J518)&gt;0,J518,N(Q518))))</f>
        <v/>
      </c>
      <c r="S518" s="55">
        <f>IF(L518="","",ROUND(L518*(1+N(M518)),2))</f>
        <v/>
      </c>
      <c r="T518" s="55">
        <f>IF(B518="","",SUMIFS('REVENUE'!$C$5:$C$1504,'REVENUE'!$B$5:$B$1504,A518))</f>
        <v/>
      </c>
      <c r="U518" s="55">
        <f>IF(B518="","",IF(O518="Completed",MAX(0,N(S518)-T518),""))</f>
        <v/>
      </c>
      <c r="V518" s="49">
        <f>IF(B518="","",IF(O518&lt;&gt;"Completed",IF(T518&gt;0,"Deposit","—"),IF(U518&lt;=0.005,"Paid",IF(T518&gt;0,"Partial","Unpaid"))))</f>
        <v/>
      </c>
      <c r="W518" s="55">
        <f>IF(B518="","",IFERROR(1/(1/INDEX('STAFF &amp; TASKS'!$C$5:$C$24,MATCH(H518,'STAFF &amp; TASKS'!$A$5:$A$24,0))),PayRate))</f>
        <v/>
      </c>
      <c r="X518" s="55">
        <f>IF(B518="","",IF(OR(O518="Cancelled",O518="No-Show"),"",ROUND(R518*W518*(1+Burden),2)))</f>
        <v/>
      </c>
      <c r="Y518" s="55">
        <f>IF(B518="","",IF(OR(O518="Cancelled",O518="No-Show"),"",IF(N518&lt;&gt;"",N518,ROUND(R518*SupHr*IFERROR(INDEX('PRICING'!$G$7:$G$16,MATCH(F518,'PRICING'!$A$7:$A$16,0)),1),2))))</f>
        <v/>
      </c>
      <c r="Z518" s="98">
        <f>IF(B518="","",SUMIFS('MILEAGE'!$J$5:$J$1504,'MILEAGE'!$B$5:$B$1504,A518))</f>
        <v/>
      </c>
      <c r="AA518" s="55">
        <f>IF(B518="","",ROUND(Z518*MileRate,2))</f>
        <v/>
      </c>
      <c r="AB518" s="55">
        <f>IF(B518="","",SUMIFS('REVENUE'!$J$5:$J$1504,'REVENUE'!$B$5:$B$1504,A518))</f>
        <v/>
      </c>
      <c r="AC518" s="55">
        <f>IF(L518="","",IF(OR(O518="Cancelled",O518="No-Show"),"",L518-N(X518)-N(Y518)-AA518-AB518))</f>
        <v/>
      </c>
      <c r="AD518" s="99">
        <f>IF(OR(AC518="",N(L518)=0),"",AC518/L518)</f>
        <v/>
      </c>
      <c r="AE518" s="55">
        <f>IF(OR(AC518="",N(R518)=0),"",L518/R518)</f>
        <v/>
      </c>
      <c r="AF518" s="100">
        <f>IF(OR(N(K518)=0,N(J518)+N(Q518)=0),"",K518-IF(N(J518)&gt;0,J518,Q518))</f>
        <v/>
      </c>
      <c r="AG518" s="99">
        <f>IF(B518="","",IFERROR(AVERAGEIFS('QUALITY CONTROL'!$M$5:$M$304,'QUALITY CONTROL'!$B$5:$B$304,A518),""))</f>
        <v/>
      </c>
      <c r="AH518" s="51">
        <f>IF(B518="","",DATE(YEAR(B518),MONTH(B518),1))</f>
        <v/>
      </c>
      <c r="AI518" s="49">
        <f>IF(D518="","",IFERROR(INDEX('CUSTOMERS'!$E$5:$E$404,MATCH(D518,'CUSTOMERS'!$B$5:$B$404,0)),""))</f>
        <v/>
      </c>
      <c r="AJ518" s="49">
        <f>IF(B518="","",N(C518))</f>
        <v/>
      </c>
      <c r="AK518" s="49">
        <f>IF(OR(B518="",O518="Cancelled",O518="Rescheduled"),"",B518&amp;"|"&amp;(COUNTIFS('JOBS'!$B$5:$B$1504,B518,'JOBS'!$AJ$5:$AJ$1504,"&lt;"&amp;AJ518,'JOBS'!$O$5:$O$1504,"&lt;&gt;Cancelled",'JOBS'!$O$5:$O$1504,"&lt;&gt;Rescheduled")+COUNTIFS($B$5:B518,B518,$AJ$5:AJ518,AJ518,$O$5:O518,"&lt;&gt;Cancelled",$O$5:O518,"&lt;&gt;Rescheduled")))</f>
        <v/>
      </c>
      <c r="AL518" s="49">
        <f>IF(N(U518)&lt;=0.005,"",COUNTIFS('JOBS'!$U$5:$U$1504,"&gt;0.005",'JOBS'!$B$5:$B$1504,"&lt;"&amp;B518)+COUNTIFS($U$5:U518,"&gt;0.005",$B$5:B518,B518))</f>
        <v/>
      </c>
    </row>
    <row r="519">
      <c r="A519" s="46" t="inlineStr">
        <is>
          <t>J-0515</t>
        </is>
      </c>
      <c r="B519" s="47" t="n"/>
      <c r="C519" s="94" t="n"/>
      <c r="D519" s="38" t="n"/>
      <c r="E519" s="38" t="n"/>
      <c r="F519" s="38" t="n"/>
      <c r="G519" s="38" t="n"/>
      <c r="H519" s="38" t="n"/>
      <c r="I519" s="57" t="n"/>
      <c r="J519" s="95" t="n"/>
      <c r="K519" s="95" t="n"/>
      <c r="L519" s="48" t="n"/>
      <c r="M519" s="96" t="n"/>
      <c r="N519" s="48" t="n"/>
      <c r="O519" s="38" t="n"/>
      <c r="P519" s="38" t="n"/>
      <c r="Q519" s="97">
        <f>IF(OR(F519="",E519=""),"",IFERROR(IF(INDEX('PROPERTIES'!$F$5:$F$404,MATCH(E519,'PROPERTIES'!$B$5:$B$404,0))=0,"",ROUND((INDEX('PROPERTIES'!$F$5:$F$404,MATCH(E519,'PROPERTIES'!$B$5:$B$404,0))/INDEX('PRICING'!$C$7:$C$16,MATCH(F519,'PRICING'!$A$7:$A$16,0))+INDEX('PROPERTIES'!$G$5:$G$404,MATCH(E519,'PROPERTIES'!$B$5:$B$404,0))*INDEX('PRICING'!$D$7:$D$16,MATCH(F519,'PRICING'!$A$7:$A$16,0))/60+INDEX('PROPERTIES'!$H$5:$H$404,MATCH(E519,'PROPERTIES'!$B$5:$B$404,0))*INDEX('PRICING'!$E$7:$E$16,MATCH(F519,'PRICING'!$A$7:$A$16,0))/60+INDEX('PRICING'!$F$7:$F$16,MATCH(F519,'PRICING'!$A$7:$A$16,0))/60),2)),""))</f>
        <v/>
      </c>
      <c r="R519" s="97">
        <f>IF(B519="","",IF(N(K519)&gt;0,K519,IF(N(J519)&gt;0,J519,N(Q519))))</f>
        <v/>
      </c>
      <c r="S519" s="55">
        <f>IF(L519="","",ROUND(L519*(1+N(M519)),2))</f>
        <v/>
      </c>
      <c r="T519" s="55">
        <f>IF(B519="","",SUMIFS('REVENUE'!$C$5:$C$1504,'REVENUE'!$B$5:$B$1504,A519))</f>
        <v/>
      </c>
      <c r="U519" s="55">
        <f>IF(B519="","",IF(O519="Completed",MAX(0,N(S519)-T519),""))</f>
        <v/>
      </c>
      <c r="V519" s="49">
        <f>IF(B519="","",IF(O519&lt;&gt;"Completed",IF(T519&gt;0,"Deposit","—"),IF(U519&lt;=0.005,"Paid",IF(T519&gt;0,"Partial","Unpaid"))))</f>
        <v/>
      </c>
      <c r="W519" s="55">
        <f>IF(B519="","",IFERROR(1/(1/INDEX('STAFF &amp; TASKS'!$C$5:$C$24,MATCH(H519,'STAFF &amp; TASKS'!$A$5:$A$24,0))),PayRate))</f>
        <v/>
      </c>
      <c r="X519" s="55">
        <f>IF(B519="","",IF(OR(O519="Cancelled",O519="No-Show"),"",ROUND(R519*W519*(1+Burden),2)))</f>
        <v/>
      </c>
      <c r="Y519" s="55">
        <f>IF(B519="","",IF(OR(O519="Cancelled",O519="No-Show"),"",IF(N519&lt;&gt;"",N519,ROUND(R519*SupHr*IFERROR(INDEX('PRICING'!$G$7:$G$16,MATCH(F519,'PRICING'!$A$7:$A$16,0)),1),2))))</f>
        <v/>
      </c>
      <c r="Z519" s="98">
        <f>IF(B519="","",SUMIFS('MILEAGE'!$J$5:$J$1504,'MILEAGE'!$B$5:$B$1504,A519))</f>
        <v/>
      </c>
      <c r="AA519" s="55">
        <f>IF(B519="","",ROUND(Z519*MileRate,2))</f>
        <v/>
      </c>
      <c r="AB519" s="55">
        <f>IF(B519="","",SUMIFS('REVENUE'!$J$5:$J$1504,'REVENUE'!$B$5:$B$1504,A519))</f>
        <v/>
      </c>
      <c r="AC519" s="55">
        <f>IF(L519="","",IF(OR(O519="Cancelled",O519="No-Show"),"",L519-N(X519)-N(Y519)-AA519-AB519))</f>
        <v/>
      </c>
      <c r="AD519" s="99">
        <f>IF(OR(AC519="",N(L519)=0),"",AC519/L519)</f>
        <v/>
      </c>
      <c r="AE519" s="55">
        <f>IF(OR(AC519="",N(R519)=0),"",L519/R519)</f>
        <v/>
      </c>
      <c r="AF519" s="100">
        <f>IF(OR(N(K519)=0,N(J519)+N(Q519)=0),"",K519-IF(N(J519)&gt;0,J519,Q519))</f>
        <v/>
      </c>
      <c r="AG519" s="99">
        <f>IF(B519="","",IFERROR(AVERAGEIFS('QUALITY CONTROL'!$M$5:$M$304,'QUALITY CONTROL'!$B$5:$B$304,A519),""))</f>
        <v/>
      </c>
      <c r="AH519" s="51">
        <f>IF(B519="","",DATE(YEAR(B519),MONTH(B519),1))</f>
        <v/>
      </c>
      <c r="AI519" s="49">
        <f>IF(D519="","",IFERROR(INDEX('CUSTOMERS'!$E$5:$E$404,MATCH(D519,'CUSTOMERS'!$B$5:$B$404,0)),""))</f>
        <v/>
      </c>
      <c r="AJ519" s="49">
        <f>IF(B519="","",N(C519))</f>
        <v/>
      </c>
      <c r="AK519" s="49">
        <f>IF(OR(B519="",O519="Cancelled",O519="Rescheduled"),"",B519&amp;"|"&amp;(COUNTIFS('JOBS'!$B$5:$B$1504,B519,'JOBS'!$AJ$5:$AJ$1504,"&lt;"&amp;AJ519,'JOBS'!$O$5:$O$1504,"&lt;&gt;Cancelled",'JOBS'!$O$5:$O$1504,"&lt;&gt;Rescheduled")+COUNTIFS($B$5:B519,B519,$AJ$5:AJ519,AJ519,$O$5:O519,"&lt;&gt;Cancelled",$O$5:O519,"&lt;&gt;Rescheduled")))</f>
        <v/>
      </c>
      <c r="AL519" s="49">
        <f>IF(N(U519)&lt;=0.005,"",COUNTIFS('JOBS'!$U$5:$U$1504,"&gt;0.005",'JOBS'!$B$5:$B$1504,"&lt;"&amp;B519)+COUNTIFS($U$5:U519,"&gt;0.005",$B$5:B519,B519))</f>
        <v/>
      </c>
    </row>
    <row r="520">
      <c r="A520" s="46" t="inlineStr">
        <is>
          <t>J-0516</t>
        </is>
      </c>
      <c r="B520" s="47" t="n"/>
      <c r="C520" s="94" t="n"/>
      <c r="D520" s="38" t="n"/>
      <c r="E520" s="38" t="n"/>
      <c r="F520" s="38" t="n"/>
      <c r="G520" s="38" t="n"/>
      <c r="H520" s="38" t="n"/>
      <c r="I520" s="57" t="n"/>
      <c r="J520" s="95" t="n"/>
      <c r="K520" s="95" t="n"/>
      <c r="L520" s="48" t="n"/>
      <c r="M520" s="96" t="n"/>
      <c r="N520" s="48" t="n"/>
      <c r="O520" s="38" t="n"/>
      <c r="P520" s="38" t="n"/>
      <c r="Q520" s="97">
        <f>IF(OR(F520="",E520=""),"",IFERROR(IF(INDEX('PROPERTIES'!$F$5:$F$404,MATCH(E520,'PROPERTIES'!$B$5:$B$404,0))=0,"",ROUND((INDEX('PROPERTIES'!$F$5:$F$404,MATCH(E520,'PROPERTIES'!$B$5:$B$404,0))/INDEX('PRICING'!$C$7:$C$16,MATCH(F520,'PRICING'!$A$7:$A$16,0))+INDEX('PROPERTIES'!$G$5:$G$404,MATCH(E520,'PROPERTIES'!$B$5:$B$404,0))*INDEX('PRICING'!$D$7:$D$16,MATCH(F520,'PRICING'!$A$7:$A$16,0))/60+INDEX('PROPERTIES'!$H$5:$H$404,MATCH(E520,'PROPERTIES'!$B$5:$B$404,0))*INDEX('PRICING'!$E$7:$E$16,MATCH(F520,'PRICING'!$A$7:$A$16,0))/60+INDEX('PRICING'!$F$7:$F$16,MATCH(F520,'PRICING'!$A$7:$A$16,0))/60),2)),""))</f>
        <v/>
      </c>
      <c r="R520" s="97">
        <f>IF(B520="","",IF(N(K520)&gt;0,K520,IF(N(J520)&gt;0,J520,N(Q520))))</f>
        <v/>
      </c>
      <c r="S520" s="55">
        <f>IF(L520="","",ROUND(L520*(1+N(M520)),2))</f>
        <v/>
      </c>
      <c r="T520" s="55">
        <f>IF(B520="","",SUMIFS('REVENUE'!$C$5:$C$1504,'REVENUE'!$B$5:$B$1504,A520))</f>
        <v/>
      </c>
      <c r="U520" s="55">
        <f>IF(B520="","",IF(O520="Completed",MAX(0,N(S520)-T520),""))</f>
        <v/>
      </c>
      <c r="V520" s="49">
        <f>IF(B520="","",IF(O520&lt;&gt;"Completed",IF(T520&gt;0,"Deposit","—"),IF(U520&lt;=0.005,"Paid",IF(T520&gt;0,"Partial","Unpaid"))))</f>
        <v/>
      </c>
      <c r="W520" s="55">
        <f>IF(B520="","",IFERROR(1/(1/INDEX('STAFF &amp; TASKS'!$C$5:$C$24,MATCH(H520,'STAFF &amp; TASKS'!$A$5:$A$24,0))),PayRate))</f>
        <v/>
      </c>
      <c r="X520" s="55">
        <f>IF(B520="","",IF(OR(O520="Cancelled",O520="No-Show"),"",ROUND(R520*W520*(1+Burden),2)))</f>
        <v/>
      </c>
      <c r="Y520" s="55">
        <f>IF(B520="","",IF(OR(O520="Cancelled",O520="No-Show"),"",IF(N520&lt;&gt;"",N520,ROUND(R520*SupHr*IFERROR(INDEX('PRICING'!$G$7:$G$16,MATCH(F520,'PRICING'!$A$7:$A$16,0)),1),2))))</f>
        <v/>
      </c>
      <c r="Z520" s="98">
        <f>IF(B520="","",SUMIFS('MILEAGE'!$J$5:$J$1504,'MILEAGE'!$B$5:$B$1504,A520))</f>
        <v/>
      </c>
      <c r="AA520" s="55">
        <f>IF(B520="","",ROUND(Z520*MileRate,2))</f>
        <v/>
      </c>
      <c r="AB520" s="55">
        <f>IF(B520="","",SUMIFS('REVENUE'!$J$5:$J$1504,'REVENUE'!$B$5:$B$1504,A520))</f>
        <v/>
      </c>
      <c r="AC520" s="55">
        <f>IF(L520="","",IF(OR(O520="Cancelled",O520="No-Show"),"",L520-N(X520)-N(Y520)-AA520-AB520))</f>
        <v/>
      </c>
      <c r="AD520" s="99">
        <f>IF(OR(AC520="",N(L520)=0),"",AC520/L520)</f>
        <v/>
      </c>
      <c r="AE520" s="55">
        <f>IF(OR(AC520="",N(R520)=0),"",L520/R520)</f>
        <v/>
      </c>
      <c r="AF520" s="100">
        <f>IF(OR(N(K520)=0,N(J520)+N(Q520)=0),"",K520-IF(N(J520)&gt;0,J520,Q520))</f>
        <v/>
      </c>
      <c r="AG520" s="99">
        <f>IF(B520="","",IFERROR(AVERAGEIFS('QUALITY CONTROL'!$M$5:$M$304,'QUALITY CONTROL'!$B$5:$B$304,A520),""))</f>
        <v/>
      </c>
      <c r="AH520" s="51">
        <f>IF(B520="","",DATE(YEAR(B520),MONTH(B520),1))</f>
        <v/>
      </c>
      <c r="AI520" s="49">
        <f>IF(D520="","",IFERROR(INDEX('CUSTOMERS'!$E$5:$E$404,MATCH(D520,'CUSTOMERS'!$B$5:$B$404,0)),""))</f>
        <v/>
      </c>
      <c r="AJ520" s="49">
        <f>IF(B520="","",N(C520))</f>
        <v/>
      </c>
      <c r="AK520" s="49">
        <f>IF(OR(B520="",O520="Cancelled",O520="Rescheduled"),"",B520&amp;"|"&amp;(COUNTIFS('JOBS'!$B$5:$B$1504,B520,'JOBS'!$AJ$5:$AJ$1504,"&lt;"&amp;AJ520,'JOBS'!$O$5:$O$1504,"&lt;&gt;Cancelled",'JOBS'!$O$5:$O$1504,"&lt;&gt;Rescheduled")+COUNTIFS($B$5:B520,B520,$AJ$5:AJ520,AJ520,$O$5:O520,"&lt;&gt;Cancelled",$O$5:O520,"&lt;&gt;Rescheduled")))</f>
        <v/>
      </c>
      <c r="AL520" s="49">
        <f>IF(N(U520)&lt;=0.005,"",COUNTIFS('JOBS'!$U$5:$U$1504,"&gt;0.005",'JOBS'!$B$5:$B$1504,"&lt;"&amp;B520)+COUNTIFS($U$5:U520,"&gt;0.005",$B$5:B520,B520))</f>
        <v/>
      </c>
    </row>
    <row r="521">
      <c r="A521" s="46" t="inlineStr">
        <is>
          <t>J-0517</t>
        </is>
      </c>
      <c r="B521" s="47" t="n"/>
      <c r="C521" s="94" t="n"/>
      <c r="D521" s="38" t="n"/>
      <c r="E521" s="38" t="n"/>
      <c r="F521" s="38" t="n"/>
      <c r="G521" s="38" t="n"/>
      <c r="H521" s="38" t="n"/>
      <c r="I521" s="57" t="n"/>
      <c r="J521" s="95" t="n"/>
      <c r="K521" s="95" t="n"/>
      <c r="L521" s="48" t="n"/>
      <c r="M521" s="96" t="n"/>
      <c r="N521" s="48" t="n"/>
      <c r="O521" s="38" t="n"/>
      <c r="P521" s="38" t="n"/>
      <c r="Q521" s="97">
        <f>IF(OR(F521="",E521=""),"",IFERROR(IF(INDEX('PROPERTIES'!$F$5:$F$404,MATCH(E521,'PROPERTIES'!$B$5:$B$404,0))=0,"",ROUND((INDEX('PROPERTIES'!$F$5:$F$404,MATCH(E521,'PROPERTIES'!$B$5:$B$404,0))/INDEX('PRICING'!$C$7:$C$16,MATCH(F521,'PRICING'!$A$7:$A$16,0))+INDEX('PROPERTIES'!$G$5:$G$404,MATCH(E521,'PROPERTIES'!$B$5:$B$404,0))*INDEX('PRICING'!$D$7:$D$16,MATCH(F521,'PRICING'!$A$7:$A$16,0))/60+INDEX('PROPERTIES'!$H$5:$H$404,MATCH(E521,'PROPERTIES'!$B$5:$B$404,0))*INDEX('PRICING'!$E$7:$E$16,MATCH(F521,'PRICING'!$A$7:$A$16,0))/60+INDEX('PRICING'!$F$7:$F$16,MATCH(F521,'PRICING'!$A$7:$A$16,0))/60),2)),""))</f>
        <v/>
      </c>
      <c r="R521" s="97">
        <f>IF(B521="","",IF(N(K521)&gt;0,K521,IF(N(J521)&gt;0,J521,N(Q521))))</f>
        <v/>
      </c>
      <c r="S521" s="55">
        <f>IF(L521="","",ROUND(L521*(1+N(M521)),2))</f>
        <v/>
      </c>
      <c r="T521" s="55">
        <f>IF(B521="","",SUMIFS('REVENUE'!$C$5:$C$1504,'REVENUE'!$B$5:$B$1504,A521))</f>
        <v/>
      </c>
      <c r="U521" s="55">
        <f>IF(B521="","",IF(O521="Completed",MAX(0,N(S521)-T521),""))</f>
        <v/>
      </c>
      <c r="V521" s="49">
        <f>IF(B521="","",IF(O521&lt;&gt;"Completed",IF(T521&gt;0,"Deposit","—"),IF(U521&lt;=0.005,"Paid",IF(T521&gt;0,"Partial","Unpaid"))))</f>
        <v/>
      </c>
      <c r="W521" s="55">
        <f>IF(B521="","",IFERROR(1/(1/INDEX('STAFF &amp; TASKS'!$C$5:$C$24,MATCH(H521,'STAFF &amp; TASKS'!$A$5:$A$24,0))),PayRate))</f>
        <v/>
      </c>
      <c r="X521" s="55">
        <f>IF(B521="","",IF(OR(O521="Cancelled",O521="No-Show"),"",ROUND(R521*W521*(1+Burden),2)))</f>
        <v/>
      </c>
      <c r="Y521" s="55">
        <f>IF(B521="","",IF(OR(O521="Cancelled",O521="No-Show"),"",IF(N521&lt;&gt;"",N521,ROUND(R521*SupHr*IFERROR(INDEX('PRICING'!$G$7:$G$16,MATCH(F521,'PRICING'!$A$7:$A$16,0)),1),2))))</f>
        <v/>
      </c>
      <c r="Z521" s="98">
        <f>IF(B521="","",SUMIFS('MILEAGE'!$J$5:$J$1504,'MILEAGE'!$B$5:$B$1504,A521))</f>
        <v/>
      </c>
      <c r="AA521" s="55">
        <f>IF(B521="","",ROUND(Z521*MileRate,2))</f>
        <v/>
      </c>
      <c r="AB521" s="55">
        <f>IF(B521="","",SUMIFS('REVENUE'!$J$5:$J$1504,'REVENUE'!$B$5:$B$1504,A521))</f>
        <v/>
      </c>
      <c r="AC521" s="55">
        <f>IF(L521="","",IF(OR(O521="Cancelled",O521="No-Show"),"",L521-N(X521)-N(Y521)-AA521-AB521))</f>
        <v/>
      </c>
      <c r="AD521" s="99">
        <f>IF(OR(AC521="",N(L521)=0),"",AC521/L521)</f>
        <v/>
      </c>
      <c r="AE521" s="55">
        <f>IF(OR(AC521="",N(R521)=0),"",L521/R521)</f>
        <v/>
      </c>
      <c r="AF521" s="100">
        <f>IF(OR(N(K521)=0,N(J521)+N(Q521)=0),"",K521-IF(N(J521)&gt;0,J521,Q521))</f>
        <v/>
      </c>
      <c r="AG521" s="99">
        <f>IF(B521="","",IFERROR(AVERAGEIFS('QUALITY CONTROL'!$M$5:$M$304,'QUALITY CONTROL'!$B$5:$B$304,A521),""))</f>
        <v/>
      </c>
      <c r="AH521" s="51">
        <f>IF(B521="","",DATE(YEAR(B521),MONTH(B521),1))</f>
        <v/>
      </c>
      <c r="AI521" s="49">
        <f>IF(D521="","",IFERROR(INDEX('CUSTOMERS'!$E$5:$E$404,MATCH(D521,'CUSTOMERS'!$B$5:$B$404,0)),""))</f>
        <v/>
      </c>
      <c r="AJ521" s="49">
        <f>IF(B521="","",N(C521))</f>
        <v/>
      </c>
      <c r="AK521" s="49">
        <f>IF(OR(B521="",O521="Cancelled",O521="Rescheduled"),"",B521&amp;"|"&amp;(COUNTIFS('JOBS'!$B$5:$B$1504,B521,'JOBS'!$AJ$5:$AJ$1504,"&lt;"&amp;AJ521,'JOBS'!$O$5:$O$1504,"&lt;&gt;Cancelled",'JOBS'!$O$5:$O$1504,"&lt;&gt;Rescheduled")+COUNTIFS($B$5:B521,B521,$AJ$5:AJ521,AJ521,$O$5:O521,"&lt;&gt;Cancelled",$O$5:O521,"&lt;&gt;Rescheduled")))</f>
        <v/>
      </c>
      <c r="AL521" s="49">
        <f>IF(N(U521)&lt;=0.005,"",COUNTIFS('JOBS'!$U$5:$U$1504,"&gt;0.005",'JOBS'!$B$5:$B$1504,"&lt;"&amp;B521)+COUNTIFS($U$5:U521,"&gt;0.005",$B$5:B521,B521))</f>
        <v/>
      </c>
    </row>
    <row r="522">
      <c r="A522" s="46" t="inlineStr">
        <is>
          <t>J-0518</t>
        </is>
      </c>
      <c r="B522" s="47" t="n"/>
      <c r="C522" s="94" t="n"/>
      <c r="D522" s="38" t="n"/>
      <c r="E522" s="38" t="n"/>
      <c r="F522" s="38" t="n"/>
      <c r="G522" s="38" t="n"/>
      <c r="H522" s="38" t="n"/>
      <c r="I522" s="57" t="n"/>
      <c r="J522" s="95" t="n"/>
      <c r="K522" s="95" t="n"/>
      <c r="L522" s="48" t="n"/>
      <c r="M522" s="96" t="n"/>
      <c r="N522" s="48" t="n"/>
      <c r="O522" s="38" t="n"/>
      <c r="P522" s="38" t="n"/>
      <c r="Q522" s="97">
        <f>IF(OR(F522="",E522=""),"",IFERROR(IF(INDEX('PROPERTIES'!$F$5:$F$404,MATCH(E522,'PROPERTIES'!$B$5:$B$404,0))=0,"",ROUND((INDEX('PROPERTIES'!$F$5:$F$404,MATCH(E522,'PROPERTIES'!$B$5:$B$404,0))/INDEX('PRICING'!$C$7:$C$16,MATCH(F522,'PRICING'!$A$7:$A$16,0))+INDEX('PROPERTIES'!$G$5:$G$404,MATCH(E522,'PROPERTIES'!$B$5:$B$404,0))*INDEX('PRICING'!$D$7:$D$16,MATCH(F522,'PRICING'!$A$7:$A$16,0))/60+INDEX('PROPERTIES'!$H$5:$H$404,MATCH(E522,'PROPERTIES'!$B$5:$B$404,0))*INDEX('PRICING'!$E$7:$E$16,MATCH(F522,'PRICING'!$A$7:$A$16,0))/60+INDEX('PRICING'!$F$7:$F$16,MATCH(F522,'PRICING'!$A$7:$A$16,0))/60),2)),""))</f>
        <v/>
      </c>
      <c r="R522" s="97">
        <f>IF(B522="","",IF(N(K522)&gt;0,K522,IF(N(J522)&gt;0,J522,N(Q522))))</f>
        <v/>
      </c>
      <c r="S522" s="55">
        <f>IF(L522="","",ROUND(L522*(1+N(M522)),2))</f>
        <v/>
      </c>
      <c r="T522" s="55">
        <f>IF(B522="","",SUMIFS('REVENUE'!$C$5:$C$1504,'REVENUE'!$B$5:$B$1504,A522))</f>
        <v/>
      </c>
      <c r="U522" s="55">
        <f>IF(B522="","",IF(O522="Completed",MAX(0,N(S522)-T522),""))</f>
        <v/>
      </c>
      <c r="V522" s="49">
        <f>IF(B522="","",IF(O522&lt;&gt;"Completed",IF(T522&gt;0,"Deposit","—"),IF(U522&lt;=0.005,"Paid",IF(T522&gt;0,"Partial","Unpaid"))))</f>
        <v/>
      </c>
      <c r="W522" s="55">
        <f>IF(B522="","",IFERROR(1/(1/INDEX('STAFF &amp; TASKS'!$C$5:$C$24,MATCH(H522,'STAFF &amp; TASKS'!$A$5:$A$24,0))),PayRate))</f>
        <v/>
      </c>
      <c r="X522" s="55">
        <f>IF(B522="","",IF(OR(O522="Cancelled",O522="No-Show"),"",ROUND(R522*W522*(1+Burden),2)))</f>
        <v/>
      </c>
      <c r="Y522" s="55">
        <f>IF(B522="","",IF(OR(O522="Cancelled",O522="No-Show"),"",IF(N522&lt;&gt;"",N522,ROUND(R522*SupHr*IFERROR(INDEX('PRICING'!$G$7:$G$16,MATCH(F522,'PRICING'!$A$7:$A$16,0)),1),2))))</f>
        <v/>
      </c>
      <c r="Z522" s="98">
        <f>IF(B522="","",SUMIFS('MILEAGE'!$J$5:$J$1504,'MILEAGE'!$B$5:$B$1504,A522))</f>
        <v/>
      </c>
      <c r="AA522" s="55">
        <f>IF(B522="","",ROUND(Z522*MileRate,2))</f>
        <v/>
      </c>
      <c r="AB522" s="55">
        <f>IF(B522="","",SUMIFS('REVENUE'!$J$5:$J$1504,'REVENUE'!$B$5:$B$1504,A522))</f>
        <v/>
      </c>
      <c r="AC522" s="55">
        <f>IF(L522="","",IF(OR(O522="Cancelled",O522="No-Show"),"",L522-N(X522)-N(Y522)-AA522-AB522))</f>
        <v/>
      </c>
      <c r="AD522" s="99">
        <f>IF(OR(AC522="",N(L522)=0),"",AC522/L522)</f>
        <v/>
      </c>
      <c r="AE522" s="55">
        <f>IF(OR(AC522="",N(R522)=0),"",L522/R522)</f>
        <v/>
      </c>
      <c r="AF522" s="100">
        <f>IF(OR(N(K522)=0,N(J522)+N(Q522)=0),"",K522-IF(N(J522)&gt;0,J522,Q522))</f>
        <v/>
      </c>
      <c r="AG522" s="99">
        <f>IF(B522="","",IFERROR(AVERAGEIFS('QUALITY CONTROL'!$M$5:$M$304,'QUALITY CONTROL'!$B$5:$B$304,A522),""))</f>
        <v/>
      </c>
      <c r="AH522" s="51">
        <f>IF(B522="","",DATE(YEAR(B522),MONTH(B522),1))</f>
        <v/>
      </c>
      <c r="AI522" s="49">
        <f>IF(D522="","",IFERROR(INDEX('CUSTOMERS'!$E$5:$E$404,MATCH(D522,'CUSTOMERS'!$B$5:$B$404,0)),""))</f>
        <v/>
      </c>
      <c r="AJ522" s="49">
        <f>IF(B522="","",N(C522))</f>
        <v/>
      </c>
      <c r="AK522" s="49">
        <f>IF(OR(B522="",O522="Cancelled",O522="Rescheduled"),"",B522&amp;"|"&amp;(COUNTIFS('JOBS'!$B$5:$B$1504,B522,'JOBS'!$AJ$5:$AJ$1504,"&lt;"&amp;AJ522,'JOBS'!$O$5:$O$1504,"&lt;&gt;Cancelled",'JOBS'!$O$5:$O$1504,"&lt;&gt;Rescheduled")+COUNTIFS($B$5:B522,B522,$AJ$5:AJ522,AJ522,$O$5:O522,"&lt;&gt;Cancelled",$O$5:O522,"&lt;&gt;Rescheduled")))</f>
        <v/>
      </c>
      <c r="AL522" s="49">
        <f>IF(N(U522)&lt;=0.005,"",COUNTIFS('JOBS'!$U$5:$U$1504,"&gt;0.005",'JOBS'!$B$5:$B$1504,"&lt;"&amp;B522)+COUNTIFS($U$5:U522,"&gt;0.005",$B$5:B522,B522))</f>
        <v/>
      </c>
    </row>
    <row r="523">
      <c r="A523" s="46" t="inlineStr">
        <is>
          <t>J-0519</t>
        </is>
      </c>
      <c r="B523" s="47" t="n"/>
      <c r="C523" s="94" t="n"/>
      <c r="D523" s="38" t="n"/>
      <c r="E523" s="38" t="n"/>
      <c r="F523" s="38" t="n"/>
      <c r="G523" s="38" t="n"/>
      <c r="H523" s="38" t="n"/>
      <c r="I523" s="57" t="n"/>
      <c r="J523" s="95" t="n"/>
      <c r="K523" s="95" t="n"/>
      <c r="L523" s="48" t="n"/>
      <c r="M523" s="96" t="n"/>
      <c r="N523" s="48" t="n"/>
      <c r="O523" s="38" t="n"/>
      <c r="P523" s="38" t="n"/>
      <c r="Q523" s="97">
        <f>IF(OR(F523="",E523=""),"",IFERROR(IF(INDEX('PROPERTIES'!$F$5:$F$404,MATCH(E523,'PROPERTIES'!$B$5:$B$404,0))=0,"",ROUND((INDEX('PROPERTIES'!$F$5:$F$404,MATCH(E523,'PROPERTIES'!$B$5:$B$404,0))/INDEX('PRICING'!$C$7:$C$16,MATCH(F523,'PRICING'!$A$7:$A$16,0))+INDEX('PROPERTIES'!$G$5:$G$404,MATCH(E523,'PROPERTIES'!$B$5:$B$404,0))*INDEX('PRICING'!$D$7:$D$16,MATCH(F523,'PRICING'!$A$7:$A$16,0))/60+INDEX('PROPERTIES'!$H$5:$H$404,MATCH(E523,'PROPERTIES'!$B$5:$B$404,0))*INDEX('PRICING'!$E$7:$E$16,MATCH(F523,'PRICING'!$A$7:$A$16,0))/60+INDEX('PRICING'!$F$7:$F$16,MATCH(F523,'PRICING'!$A$7:$A$16,0))/60),2)),""))</f>
        <v/>
      </c>
      <c r="R523" s="97">
        <f>IF(B523="","",IF(N(K523)&gt;0,K523,IF(N(J523)&gt;0,J523,N(Q523))))</f>
        <v/>
      </c>
      <c r="S523" s="55">
        <f>IF(L523="","",ROUND(L523*(1+N(M523)),2))</f>
        <v/>
      </c>
      <c r="T523" s="55">
        <f>IF(B523="","",SUMIFS('REVENUE'!$C$5:$C$1504,'REVENUE'!$B$5:$B$1504,A523))</f>
        <v/>
      </c>
      <c r="U523" s="55">
        <f>IF(B523="","",IF(O523="Completed",MAX(0,N(S523)-T523),""))</f>
        <v/>
      </c>
      <c r="V523" s="49">
        <f>IF(B523="","",IF(O523&lt;&gt;"Completed",IF(T523&gt;0,"Deposit","—"),IF(U523&lt;=0.005,"Paid",IF(T523&gt;0,"Partial","Unpaid"))))</f>
        <v/>
      </c>
      <c r="W523" s="55">
        <f>IF(B523="","",IFERROR(1/(1/INDEX('STAFF &amp; TASKS'!$C$5:$C$24,MATCH(H523,'STAFF &amp; TASKS'!$A$5:$A$24,0))),PayRate))</f>
        <v/>
      </c>
      <c r="X523" s="55">
        <f>IF(B523="","",IF(OR(O523="Cancelled",O523="No-Show"),"",ROUND(R523*W523*(1+Burden),2)))</f>
        <v/>
      </c>
      <c r="Y523" s="55">
        <f>IF(B523="","",IF(OR(O523="Cancelled",O523="No-Show"),"",IF(N523&lt;&gt;"",N523,ROUND(R523*SupHr*IFERROR(INDEX('PRICING'!$G$7:$G$16,MATCH(F523,'PRICING'!$A$7:$A$16,0)),1),2))))</f>
        <v/>
      </c>
      <c r="Z523" s="98">
        <f>IF(B523="","",SUMIFS('MILEAGE'!$J$5:$J$1504,'MILEAGE'!$B$5:$B$1504,A523))</f>
        <v/>
      </c>
      <c r="AA523" s="55">
        <f>IF(B523="","",ROUND(Z523*MileRate,2))</f>
        <v/>
      </c>
      <c r="AB523" s="55">
        <f>IF(B523="","",SUMIFS('REVENUE'!$J$5:$J$1504,'REVENUE'!$B$5:$B$1504,A523))</f>
        <v/>
      </c>
      <c r="AC523" s="55">
        <f>IF(L523="","",IF(OR(O523="Cancelled",O523="No-Show"),"",L523-N(X523)-N(Y523)-AA523-AB523))</f>
        <v/>
      </c>
      <c r="AD523" s="99">
        <f>IF(OR(AC523="",N(L523)=0),"",AC523/L523)</f>
        <v/>
      </c>
      <c r="AE523" s="55">
        <f>IF(OR(AC523="",N(R523)=0),"",L523/R523)</f>
        <v/>
      </c>
      <c r="AF523" s="100">
        <f>IF(OR(N(K523)=0,N(J523)+N(Q523)=0),"",K523-IF(N(J523)&gt;0,J523,Q523))</f>
        <v/>
      </c>
      <c r="AG523" s="99">
        <f>IF(B523="","",IFERROR(AVERAGEIFS('QUALITY CONTROL'!$M$5:$M$304,'QUALITY CONTROL'!$B$5:$B$304,A523),""))</f>
        <v/>
      </c>
      <c r="AH523" s="51">
        <f>IF(B523="","",DATE(YEAR(B523),MONTH(B523),1))</f>
        <v/>
      </c>
      <c r="AI523" s="49">
        <f>IF(D523="","",IFERROR(INDEX('CUSTOMERS'!$E$5:$E$404,MATCH(D523,'CUSTOMERS'!$B$5:$B$404,0)),""))</f>
        <v/>
      </c>
      <c r="AJ523" s="49">
        <f>IF(B523="","",N(C523))</f>
        <v/>
      </c>
      <c r="AK523" s="49">
        <f>IF(OR(B523="",O523="Cancelled",O523="Rescheduled"),"",B523&amp;"|"&amp;(COUNTIFS('JOBS'!$B$5:$B$1504,B523,'JOBS'!$AJ$5:$AJ$1504,"&lt;"&amp;AJ523,'JOBS'!$O$5:$O$1504,"&lt;&gt;Cancelled",'JOBS'!$O$5:$O$1504,"&lt;&gt;Rescheduled")+COUNTIFS($B$5:B523,B523,$AJ$5:AJ523,AJ523,$O$5:O523,"&lt;&gt;Cancelled",$O$5:O523,"&lt;&gt;Rescheduled")))</f>
        <v/>
      </c>
      <c r="AL523" s="49">
        <f>IF(N(U523)&lt;=0.005,"",COUNTIFS('JOBS'!$U$5:$U$1504,"&gt;0.005",'JOBS'!$B$5:$B$1504,"&lt;"&amp;B523)+COUNTIFS($U$5:U523,"&gt;0.005",$B$5:B523,B523))</f>
        <v/>
      </c>
    </row>
    <row r="524">
      <c r="A524" s="46" t="inlineStr">
        <is>
          <t>J-0520</t>
        </is>
      </c>
      <c r="B524" s="47" t="n"/>
      <c r="C524" s="94" t="n"/>
      <c r="D524" s="38" t="n"/>
      <c r="E524" s="38" t="n"/>
      <c r="F524" s="38" t="n"/>
      <c r="G524" s="38" t="n"/>
      <c r="H524" s="38" t="n"/>
      <c r="I524" s="57" t="n"/>
      <c r="J524" s="95" t="n"/>
      <c r="K524" s="95" t="n"/>
      <c r="L524" s="48" t="n"/>
      <c r="M524" s="96" t="n"/>
      <c r="N524" s="48" t="n"/>
      <c r="O524" s="38" t="n"/>
      <c r="P524" s="38" t="n"/>
      <c r="Q524" s="97">
        <f>IF(OR(F524="",E524=""),"",IFERROR(IF(INDEX('PROPERTIES'!$F$5:$F$404,MATCH(E524,'PROPERTIES'!$B$5:$B$404,0))=0,"",ROUND((INDEX('PROPERTIES'!$F$5:$F$404,MATCH(E524,'PROPERTIES'!$B$5:$B$404,0))/INDEX('PRICING'!$C$7:$C$16,MATCH(F524,'PRICING'!$A$7:$A$16,0))+INDEX('PROPERTIES'!$G$5:$G$404,MATCH(E524,'PROPERTIES'!$B$5:$B$404,0))*INDEX('PRICING'!$D$7:$D$16,MATCH(F524,'PRICING'!$A$7:$A$16,0))/60+INDEX('PROPERTIES'!$H$5:$H$404,MATCH(E524,'PROPERTIES'!$B$5:$B$404,0))*INDEX('PRICING'!$E$7:$E$16,MATCH(F524,'PRICING'!$A$7:$A$16,0))/60+INDEX('PRICING'!$F$7:$F$16,MATCH(F524,'PRICING'!$A$7:$A$16,0))/60),2)),""))</f>
        <v/>
      </c>
      <c r="R524" s="97">
        <f>IF(B524="","",IF(N(K524)&gt;0,K524,IF(N(J524)&gt;0,J524,N(Q524))))</f>
        <v/>
      </c>
      <c r="S524" s="55">
        <f>IF(L524="","",ROUND(L524*(1+N(M524)),2))</f>
        <v/>
      </c>
      <c r="T524" s="55">
        <f>IF(B524="","",SUMIFS('REVENUE'!$C$5:$C$1504,'REVENUE'!$B$5:$B$1504,A524))</f>
        <v/>
      </c>
      <c r="U524" s="55">
        <f>IF(B524="","",IF(O524="Completed",MAX(0,N(S524)-T524),""))</f>
        <v/>
      </c>
      <c r="V524" s="49">
        <f>IF(B524="","",IF(O524&lt;&gt;"Completed",IF(T524&gt;0,"Deposit","—"),IF(U524&lt;=0.005,"Paid",IF(T524&gt;0,"Partial","Unpaid"))))</f>
        <v/>
      </c>
      <c r="W524" s="55">
        <f>IF(B524="","",IFERROR(1/(1/INDEX('STAFF &amp; TASKS'!$C$5:$C$24,MATCH(H524,'STAFF &amp; TASKS'!$A$5:$A$24,0))),PayRate))</f>
        <v/>
      </c>
      <c r="X524" s="55">
        <f>IF(B524="","",IF(OR(O524="Cancelled",O524="No-Show"),"",ROUND(R524*W524*(1+Burden),2)))</f>
        <v/>
      </c>
      <c r="Y524" s="55">
        <f>IF(B524="","",IF(OR(O524="Cancelled",O524="No-Show"),"",IF(N524&lt;&gt;"",N524,ROUND(R524*SupHr*IFERROR(INDEX('PRICING'!$G$7:$G$16,MATCH(F524,'PRICING'!$A$7:$A$16,0)),1),2))))</f>
        <v/>
      </c>
      <c r="Z524" s="98">
        <f>IF(B524="","",SUMIFS('MILEAGE'!$J$5:$J$1504,'MILEAGE'!$B$5:$B$1504,A524))</f>
        <v/>
      </c>
      <c r="AA524" s="55">
        <f>IF(B524="","",ROUND(Z524*MileRate,2))</f>
        <v/>
      </c>
      <c r="AB524" s="55">
        <f>IF(B524="","",SUMIFS('REVENUE'!$J$5:$J$1504,'REVENUE'!$B$5:$B$1504,A524))</f>
        <v/>
      </c>
      <c r="AC524" s="55">
        <f>IF(L524="","",IF(OR(O524="Cancelled",O524="No-Show"),"",L524-N(X524)-N(Y524)-AA524-AB524))</f>
        <v/>
      </c>
      <c r="AD524" s="99">
        <f>IF(OR(AC524="",N(L524)=0),"",AC524/L524)</f>
        <v/>
      </c>
      <c r="AE524" s="55">
        <f>IF(OR(AC524="",N(R524)=0),"",L524/R524)</f>
        <v/>
      </c>
      <c r="AF524" s="100">
        <f>IF(OR(N(K524)=0,N(J524)+N(Q524)=0),"",K524-IF(N(J524)&gt;0,J524,Q524))</f>
        <v/>
      </c>
      <c r="AG524" s="99">
        <f>IF(B524="","",IFERROR(AVERAGEIFS('QUALITY CONTROL'!$M$5:$M$304,'QUALITY CONTROL'!$B$5:$B$304,A524),""))</f>
        <v/>
      </c>
      <c r="AH524" s="51">
        <f>IF(B524="","",DATE(YEAR(B524),MONTH(B524),1))</f>
        <v/>
      </c>
      <c r="AI524" s="49">
        <f>IF(D524="","",IFERROR(INDEX('CUSTOMERS'!$E$5:$E$404,MATCH(D524,'CUSTOMERS'!$B$5:$B$404,0)),""))</f>
        <v/>
      </c>
      <c r="AJ524" s="49">
        <f>IF(B524="","",N(C524))</f>
        <v/>
      </c>
      <c r="AK524" s="49">
        <f>IF(OR(B524="",O524="Cancelled",O524="Rescheduled"),"",B524&amp;"|"&amp;(COUNTIFS('JOBS'!$B$5:$B$1504,B524,'JOBS'!$AJ$5:$AJ$1504,"&lt;"&amp;AJ524,'JOBS'!$O$5:$O$1504,"&lt;&gt;Cancelled",'JOBS'!$O$5:$O$1504,"&lt;&gt;Rescheduled")+COUNTIFS($B$5:B524,B524,$AJ$5:AJ524,AJ524,$O$5:O524,"&lt;&gt;Cancelled",$O$5:O524,"&lt;&gt;Rescheduled")))</f>
        <v/>
      </c>
      <c r="AL524" s="49">
        <f>IF(N(U524)&lt;=0.005,"",COUNTIFS('JOBS'!$U$5:$U$1504,"&gt;0.005",'JOBS'!$B$5:$B$1504,"&lt;"&amp;B524)+COUNTIFS($U$5:U524,"&gt;0.005",$B$5:B524,B524))</f>
        <v/>
      </c>
    </row>
    <row r="525">
      <c r="A525" s="46" t="inlineStr">
        <is>
          <t>J-0521</t>
        </is>
      </c>
      <c r="B525" s="47" t="n"/>
      <c r="C525" s="94" t="n"/>
      <c r="D525" s="38" t="n"/>
      <c r="E525" s="38" t="n"/>
      <c r="F525" s="38" t="n"/>
      <c r="G525" s="38" t="n"/>
      <c r="H525" s="38" t="n"/>
      <c r="I525" s="57" t="n"/>
      <c r="J525" s="95" t="n"/>
      <c r="K525" s="95" t="n"/>
      <c r="L525" s="48" t="n"/>
      <c r="M525" s="96" t="n"/>
      <c r="N525" s="48" t="n"/>
      <c r="O525" s="38" t="n"/>
      <c r="P525" s="38" t="n"/>
      <c r="Q525" s="97">
        <f>IF(OR(F525="",E525=""),"",IFERROR(IF(INDEX('PROPERTIES'!$F$5:$F$404,MATCH(E525,'PROPERTIES'!$B$5:$B$404,0))=0,"",ROUND((INDEX('PROPERTIES'!$F$5:$F$404,MATCH(E525,'PROPERTIES'!$B$5:$B$404,0))/INDEX('PRICING'!$C$7:$C$16,MATCH(F525,'PRICING'!$A$7:$A$16,0))+INDEX('PROPERTIES'!$G$5:$G$404,MATCH(E525,'PROPERTIES'!$B$5:$B$404,0))*INDEX('PRICING'!$D$7:$D$16,MATCH(F525,'PRICING'!$A$7:$A$16,0))/60+INDEX('PROPERTIES'!$H$5:$H$404,MATCH(E525,'PROPERTIES'!$B$5:$B$404,0))*INDEX('PRICING'!$E$7:$E$16,MATCH(F525,'PRICING'!$A$7:$A$16,0))/60+INDEX('PRICING'!$F$7:$F$16,MATCH(F525,'PRICING'!$A$7:$A$16,0))/60),2)),""))</f>
        <v/>
      </c>
      <c r="R525" s="97">
        <f>IF(B525="","",IF(N(K525)&gt;0,K525,IF(N(J525)&gt;0,J525,N(Q525))))</f>
        <v/>
      </c>
      <c r="S525" s="55">
        <f>IF(L525="","",ROUND(L525*(1+N(M525)),2))</f>
        <v/>
      </c>
      <c r="T525" s="55">
        <f>IF(B525="","",SUMIFS('REVENUE'!$C$5:$C$1504,'REVENUE'!$B$5:$B$1504,A525))</f>
        <v/>
      </c>
      <c r="U525" s="55">
        <f>IF(B525="","",IF(O525="Completed",MAX(0,N(S525)-T525),""))</f>
        <v/>
      </c>
      <c r="V525" s="49">
        <f>IF(B525="","",IF(O525&lt;&gt;"Completed",IF(T525&gt;0,"Deposit","—"),IF(U525&lt;=0.005,"Paid",IF(T525&gt;0,"Partial","Unpaid"))))</f>
        <v/>
      </c>
      <c r="W525" s="55">
        <f>IF(B525="","",IFERROR(1/(1/INDEX('STAFF &amp; TASKS'!$C$5:$C$24,MATCH(H525,'STAFF &amp; TASKS'!$A$5:$A$24,0))),PayRate))</f>
        <v/>
      </c>
      <c r="X525" s="55">
        <f>IF(B525="","",IF(OR(O525="Cancelled",O525="No-Show"),"",ROUND(R525*W525*(1+Burden),2)))</f>
        <v/>
      </c>
      <c r="Y525" s="55">
        <f>IF(B525="","",IF(OR(O525="Cancelled",O525="No-Show"),"",IF(N525&lt;&gt;"",N525,ROUND(R525*SupHr*IFERROR(INDEX('PRICING'!$G$7:$G$16,MATCH(F525,'PRICING'!$A$7:$A$16,0)),1),2))))</f>
        <v/>
      </c>
      <c r="Z525" s="98">
        <f>IF(B525="","",SUMIFS('MILEAGE'!$J$5:$J$1504,'MILEAGE'!$B$5:$B$1504,A525))</f>
        <v/>
      </c>
      <c r="AA525" s="55">
        <f>IF(B525="","",ROUND(Z525*MileRate,2))</f>
        <v/>
      </c>
      <c r="AB525" s="55">
        <f>IF(B525="","",SUMIFS('REVENUE'!$J$5:$J$1504,'REVENUE'!$B$5:$B$1504,A525))</f>
        <v/>
      </c>
      <c r="AC525" s="55">
        <f>IF(L525="","",IF(OR(O525="Cancelled",O525="No-Show"),"",L525-N(X525)-N(Y525)-AA525-AB525))</f>
        <v/>
      </c>
      <c r="AD525" s="99">
        <f>IF(OR(AC525="",N(L525)=0),"",AC525/L525)</f>
        <v/>
      </c>
      <c r="AE525" s="55">
        <f>IF(OR(AC525="",N(R525)=0),"",L525/R525)</f>
        <v/>
      </c>
      <c r="AF525" s="100">
        <f>IF(OR(N(K525)=0,N(J525)+N(Q525)=0),"",K525-IF(N(J525)&gt;0,J525,Q525))</f>
        <v/>
      </c>
      <c r="AG525" s="99">
        <f>IF(B525="","",IFERROR(AVERAGEIFS('QUALITY CONTROL'!$M$5:$M$304,'QUALITY CONTROL'!$B$5:$B$304,A525),""))</f>
        <v/>
      </c>
      <c r="AH525" s="51">
        <f>IF(B525="","",DATE(YEAR(B525),MONTH(B525),1))</f>
        <v/>
      </c>
      <c r="AI525" s="49">
        <f>IF(D525="","",IFERROR(INDEX('CUSTOMERS'!$E$5:$E$404,MATCH(D525,'CUSTOMERS'!$B$5:$B$404,0)),""))</f>
        <v/>
      </c>
      <c r="AJ525" s="49">
        <f>IF(B525="","",N(C525))</f>
        <v/>
      </c>
      <c r="AK525" s="49">
        <f>IF(OR(B525="",O525="Cancelled",O525="Rescheduled"),"",B525&amp;"|"&amp;(COUNTIFS('JOBS'!$B$5:$B$1504,B525,'JOBS'!$AJ$5:$AJ$1504,"&lt;"&amp;AJ525,'JOBS'!$O$5:$O$1504,"&lt;&gt;Cancelled",'JOBS'!$O$5:$O$1504,"&lt;&gt;Rescheduled")+COUNTIFS($B$5:B525,B525,$AJ$5:AJ525,AJ525,$O$5:O525,"&lt;&gt;Cancelled",$O$5:O525,"&lt;&gt;Rescheduled")))</f>
        <v/>
      </c>
      <c r="AL525" s="49">
        <f>IF(N(U525)&lt;=0.005,"",COUNTIFS('JOBS'!$U$5:$U$1504,"&gt;0.005",'JOBS'!$B$5:$B$1504,"&lt;"&amp;B525)+COUNTIFS($U$5:U525,"&gt;0.005",$B$5:B525,B525))</f>
        <v/>
      </c>
    </row>
    <row r="526">
      <c r="A526" s="46" t="inlineStr">
        <is>
          <t>J-0522</t>
        </is>
      </c>
      <c r="B526" s="47" t="n"/>
      <c r="C526" s="94" t="n"/>
      <c r="D526" s="38" t="n"/>
      <c r="E526" s="38" t="n"/>
      <c r="F526" s="38" t="n"/>
      <c r="G526" s="38" t="n"/>
      <c r="H526" s="38" t="n"/>
      <c r="I526" s="57" t="n"/>
      <c r="J526" s="95" t="n"/>
      <c r="K526" s="95" t="n"/>
      <c r="L526" s="48" t="n"/>
      <c r="M526" s="96" t="n"/>
      <c r="N526" s="48" t="n"/>
      <c r="O526" s="38" t="n"/>
      <c r="P526" s="38" t="n"/>
      <c r="Q526" s="97">
        <f>IF(OR(F526="",E526=""),"",IFERROR(IF(INDEX('PROPERTIES'!$F$5:$F$404,MATCH(E526,'PROPERTIES'!$B$5:$B$404,0))=0,"",ROUND((INDEX('PROPERTIES'!$F$5:$F$404,MATCH(E526,'PROPERTIES'!$B$5:$B$404,0))/INDEX('PRICING'!$C$7:$C$16,MATCH(F526,'PRICING'!$A$7:$A$16,0))+INDEX('PROPERTIES'!$G$5:$G$404,MATCH(E526,'PROPERTIES'!$B$5:$B$404,0))*INDEX('PRICING'!$D$7:$D$16,MATCH(F526,'PRICING'!$A$7:$A$16,0))/60+INDEX('PROPERTIES'!$H$5:$H$404,MATCH(E526,'PROPERTIES'!$B$5:$B$404,0))*INDEX('PRICING'!$E$7:$E$16,MATCH(F526,'PRICING'!$A$7:$A$16,0))/60+INDEX('PRICING'!$F$7:$F$16,MATCH(F526,'PRICING'!$A$7:$A$16,0))/60),2)),""))</f>
        <v/>
      </c>
      <c r="R526" s="97">
        <f>IF(B526="","",IF(N(K526)&gt;0,K526,IF(N(J526)&gt;0,J526,N(Q526))))</f>
        <v/>
      </c>
      <c r="S526" s="55">
        <f>IF(L526="","",ROUND(L526*(1+N(M526)),2))</f>
        <v/>
      </c>
      <c r="T526" s="55">
        <f>IF(B526="","",SUMIFS('REVENUE'!$C$5:$C$1504,'REVENUE'!$B$5:$B$1504,A526))</f>
        <v/>
      </c>
      <c r="U526" s="55">
        <f>IF(B526="","",IF(O526="Completed",MAX(0,N(S526)-T526),""))</f>
        <v/>
      </c>
      <c r="V526" s="49">
        <f>IF(B526="","",IF(O526&lt;&gt;"Completed",IF(T526&gt;0,"Deposit","—"),IF(U526&lt;=0.005,"Paid",IF(T526&gt;0,"Partial","Unpaid"))))</f>
        <v/>
      </c>
      <c r="W526" s="55">
        <f>IF(B526="","",IFERROR(1/(1/INDEX('STAFF &amp; TASKS'!$C$5:$C$24,MATCH(H526,'STAFF &amp; TASKS'!$A$5:$A$24,0))),PayRate))</f>
        <v/>
      </c>
      <c r="X526" s="55">
        <f>IF(B526="","",IF(OR(O526="Cancelled",O526="No-Show"),"",ROUND(R526*W526*(1+Burden),2)))</f>
        <v/>
      </c>
      <c r="Y526" s="55">
        <f>IF(B526="","",IF(OR(O526="Cancelled",O526="No-Show"),"",IF(N526&lt;&gt;"",N526,ROUND(R526*SupHr*IFERROR(INDEX('PRICING'!$G$7:$G$16,MATCH(F526,'PRICING'!$A$7:$A$16,0)),1),2))))</f>
        <v/>
      </c>
      <c r="Z526" s="98">
        <f>IF(B526="","",SUMIFS('MILEAGE'!$J$5:$J$1504,'MILEAGE'!$B$5:$B$1504,A526))</f>
        <v/>
      </c>
      <c r="AA526" s="55">
        <f>IF(B526="","",ROUND(Z526*MileRate,2))</f>
        <v/>
      </c>
      <c r="AB526" s="55">
        <f>IF(B526="","",SUMIFS('REVENUE'!$J$5:$J$1504,'REVENUE'!$B$5:$B$1504,A526))</f>
        <v/>
      </c>
      <c r="AC526" s="55">
        <f>IF(L526="","",IF(OR(O526="Cancelled",O526="No-Show"),"",L526-N(X526)-N(Y526)-AA526-AB526))</f>
        <v/>
      </c>
      <c r="AD526" s="99">
        <f>IF(OR(AC526="",N(L526)=0),"",AC526/L526)</f>
        <v/>
      </c>
      <c r="AE526" s="55">
        <f>IF(OR(AC526="",N(R526)=0),"",L526/R526)</f>
        <v/>
      </c>
      <c r="AF526" s="100">
        <f>IF(OR(N(K526)=0,N(J526)+N(Q526)=0),"",K526-IF(N(J526)&gt;0,J526,Q526))</f>
        <v/>
      </c>
      <c r="AG526" s="99">
        <f>IF(B526="","",IFERROR(AVERAGEIFS('QUALITY CONTROL'!$M$5:$M$304,'QUALITY CONTROL'!$B$5:$B$304,A526),""))</f>
        <v/>
      </c>
      <c r="AH526" s="51">
        <f>IF(B526="","",DATE(YEAR(B526),MONTH(B526),1))</f>
        <v/>
      </c>
      <c r="AI526" s="49">
        <f>IF(D526="","",IFERROR(INDEX('CUSTOMERS'!$E$5:$E$404,MATCH(D526,'CUSTOMERS'!$B$5:$B$404,0)),""))</f>
        <v/>
      </c>
      <c r="AJ526" s="49">
        <f>IF(B526="","",N(C526))</f>
        <v/>
      </c>
      <c r="AK526" s="49">
        <f>IF(OR(B526="",O526="Cancelled",O526="Rescheduled"),"",B526&amp;"|"&amp;(COUNTIFS('JOBS'!$B$5:$B$1504,B526,'JOBS'!$AJ$5:$AJ$1504,"&lt;"&amp;AJ526,'JOBS'!$O$5:$O$1504,"&lt;&gt;Cancelled",'JOBS'!$O$5:$O$1504,"&lt;&gt;Rescheduled")+COUNTIFS($B$5:B526,B526,$AJ$5:AJ526,AJ526,$O$5:O526,"&lt;&gt;Cancelled",$O$5:O526,"&lt;&gt;Rescheduled")))</f>
        <v/>
      </c>
      <c r="AL526" s="49">
        <f>IF(N(U526)&lt;=0.005,"",COUNTIFS('JOBS'!$U$5:$U$1504,"&gt;0.005",'JOBS'!$B$5:$B$1504,"&lt;"&amp;B526)+COUNTIFS($U$5:U526,"&gt;0.005",$B$5:B526,B526))</f>
        <v/>
      </c>
    </row>
    <row r="527">
      <c r="A527" s="46" t="inlineStr">
        <is>
          <t>J-0523</t>
        </is>
      </c>
      <c r="B527" s="47" t="n"/>
      <c r="C527" s="94" t="n"/>
      <c r="D527" s="38" t="n"/>
      <c r="E527" s="38" t="n"/>
      <c r="F527" s="38" t="n"/>
      <c r="G527" s="38" t="n"/>
      <c r="H527" s="38" t="n"/>
      <c r="I527" s="57" t="n"/>
      <c r="J527" s="95" t="n"/>
      <c r="K527" s="95" t="n"/>
      <c r="L527" s="48" t="n"/>
      <c r="M527" s="96" t="n"/>
      <c r="N527" s="48" t="n"/>
      <c r="O527" s="38" t="n"/>
      <c r="P527" s="38" t="n"/>
      <c r="Q527" s="97">
        <f>IF(OR(F527="",E527=""),"",IFERROR(IF(INDEX('PROPERTIES'!$F$5:$F$404,MATCH(E527,'PROPERTIES'!$B$5:$B$404,0))=0,"",ROUND((INDEX('PROPERTIES'!$F$5:$F$404,MATCH(E527,'PROPERTIES'!$B$5:$B$404,0))/INDEX('PRICING'!$C$7:$C$16,MATCH(F527,'PRICING'!$A$7:$A$16,0))+INDEX('PROPERTIES'!$G$5:$G$404,MATCH(E527,'PROPERTIES'!$B$5:$B$404,0))*INDEX('PRICING'!$D$7:$D$16,MATCH(F527,'PRICING'!$A$7:$A$16,0))/60+INDEX('PROPERTIES'!$H$5:$H$404,MATCH(E527,'PROPERTIES'!$B$5:$B$404,0))*INDEX('PRICING'!$E$7:$E$16,MATCH(F527,'PRICING'!$A$7:$A$16,0))/60+INDEX('PRICING'!$F$7:$F$16,MATCH(F527,'PRICING'!$A$7:$A$16,0))/60),2)),""))</f>
        <v/>
      </c>
      <c r="R527" s="97">
        <f>IF(B527="","",IF(N(K527)&gt;0,K527,IF(N(J527)&gt;0,J527,N(Q527))))</f>
        <v/>
      </c>
      <c r="S527" s="55">
        <f>IF(L527="","",ROUND(L527*(1+N(M527)),2))</f>
        <v/>
      </c>
      <c r="T527" s="55">
        <f>IF(B527="","",SUMIFS('REVENUE'!$C$5:$C$1504,'REVENUE'!$B$5:$B$1504,A527))</f>
        <v/>
      </c>
      <c r="U527" s="55">
        <f>IF(B527="","",IF(O527="Completed",MAX(0,N(S527)-T527),""))</f>
        <v/>
      </c>
      <c r="V527" s="49">
        <f>IF(B527="","",IF(O527&lt;&gt;"Completed",IF(T527&gt;0,"Deposit","—"),IF(U527&lt;=0.005,"Paid",IF(T527&gt;0,"Partial","Unpaid"))))</f>
        <v/>
      </c>
      <c r="W527" s="55">
        <f>IF(B527="","",IFERROR(1/(1/INDEX('STAFF &amp; TASKS'!$C$5:$C$24,MATCH(H527,'STAFF &amp; TASKS'!$A$5:$A$24,0))),PayRate))</f>
        <v/>
      </c>
      <c r="X527" s="55">
        <f>IF(B527="","",IF(OR(O527="Cancelled",O527="No-Show"),"",ROUND(R527*W527*(1+Burden),2)))</f>
        <v/>
      </c>
      <c r="Y527" s="55">
        <f>IF(B527="","",IF(OR(O527="Cancelled",O527="No-Show"),"",IF(N527&lt;&gt;"",N527,ROUND(R527*SupHr*IFERROR(INDEX('PRICING'!$G$7:$G$16,MATCH(F527,'PRICING'!$A$7:$A$16,0)),1),2))))</f>
        <v/>
      </c>
      <c r="Z527" s="98">
        <f>IF(B527="","",SUMIFS('MILEAGE'!$J$5:$J$1504,'MILEAGE'!$B$5:$B$1504,A527))</f>
        <v/>
      </c>
      <c r="AA527" s="55">
        <f>IF(B527="","",ROUND(Z527*MileRate,2))</f>
        <v/>
      </c>
      <c r="AB527" s="55">
        <f>IF(B527="","",SUMIFS('REVENUE'!$J$5:$J$1504,'REVENUE'!$B$5:$B$1504,A527))</f>
        <v/>
      </c>
      <c r="AC527" s="55">
        <f>IF(L527="","",IF(OR(O527="Cancelled",O527="No-Show"),"",L527-N(X527)-N(Y527)-AA527-AB527))</f>
        <v/>
      </c>
      <c r="AD527" s="99">
        <f>IF(OR(AC527="",N(L527)=0),"",AC527/L527)</f>
        <v/>
      </c>
      <c r="AE527" s="55">
        <f>IF(OR(AC527="",N(R527)=0),"",L527/R527)</f>
        <v/>
      </c>
      <c r="AF527" s="100">
        <f>IF(OR(N(K527)=0,N(J527)+N(Q527)=0),"",K527-IF(N(J527)&gt;0,J527,Q527))</f>
        <v/>
      </c>
      <c r="AG527" s="99">
        <f>IF(B527="","",IFERROR(AVERAGEIFS('QUALITY CONTROL'!$M$5:$M$304,'QUALITY CONTROL'!$B$5:$B$304,A527),""))</f>
        <v/>
      </c>
      <c r="AH527" s="51">
        <f>IF(B527="","",DATE(YEAR(B527),MONTH(B527),1))</f>
        <v/>
      </c>
      <c r="AI527" s="49">
        <f>IF(D527="","",IFERROR(INDEX('CUSTOMERS'!$E$5:$E$404,MATCH(D527,'CUSTOMERS'!$B$5:$B$404,0)),""))</f>
        <v/>
      </c>
      <c r="AJ527" s="49">
        <f>IF(B527="","",N(C527))</f>
        <v/>
      </c>
      <c r="AK527" s="49">
        <f>IF(OR(B527="",O527="Cancelled",O527="Rescheduled"),"",B527&amp;"|"&amp;(COUNTIFS('JOBS'!$B$5:$B$1504,B527,'JOBS'!$AJ$5:$AJ$1504,"&lt;"&amp;AJ527,'JOBS'!$O$5:$O$1504,"&lt;&gt;Cancelled",'JOBS'!$O$5:$O$1504,"&lt;&gt;Rescheduled")+COUNTIFS($B$5:B527,B527,$AJ$5:AJ527,AJ527,$O$5:O527,"&lt;&gt;Cancelled",$O$5:O527,"&lt;&gt;Rescheduled")))</f>
        <v/>
      </c>
      <c r="AL527" s="49">
        <f>IF(N(U527)&lt;=0.005,"",COUNTIFS('JOBS'!$U$5:$U$1504,"&gt;0.005",'JOBS'!$B$5:$B$1504,"&lt;"&amp;B527)+COUNTIFS($U$5:U527,"&gt;0.005",$B$5:B527,B527))</f>
        <v/>
      </c>
    </row>
    <row r="528">
      <c r="A528" s="46" t="inlineStr">
        <is>
          <t>J-0524</t>
        </is>
      </c>
      <c r="B528" s="47" t="n"/>
      <c r="C528" s="94" t="n"/>
      <c r="D528" s="38" t="n"/>
      <c r="E528" s="38" t="n"/>
      <c r="F528" s="38" t="n"/>
      <c r="G528" s="38" t="n"/>
      <c r="H528" s="38" t="n"/>
      <c r="I528" s="57" t="n"/>
      <c r="J528" s="95" t="n"/>
      <c r="K528" s="95" t="n"/>
      <c r="L528" s="48" t="n"/>
      <c r="M528" s="96" t="n"/>
      <c r="N528" s="48" t="n"/>
      <c r="O528" s="38" t="n"/>
      <c r="P528" s="38" t="n"/>
      <c r="Q528" s="97">
        <f>IF(OR(F528="",E528=""),"",IFERROR(IF(INDEX('PROPERTIES'!$F$5:$F$404,MATCH(E528,'PROPERTIES'!$B$5:$B$404,0))=0,"",ROUND((INDEX('PROPERTIES'!$F$5:$F$404,MATCH(E528,'PROPERTIES'!$B$5:$B$404,0))/INDEX('PRICING'!$C$7:$C$16,MATCH(F528,'PRICING'!$A$7:$A$16,0))+INDEX('PROPERTIES'!$G$5:$G$404,MATCH(E528,'PROPERTIES'!$B$5:$B$404,0))*INDEX('PRICING'!$D$7:$D$16,MATCH(F528,'PRICING'!$A$7:$A$16,0))/60+INDEX('PROPERTIES'!$H$5:$H$404,MATCH(E528,'PROPERTIES'!$B$5:$B$404,0))*INDEX('PRICING'!$E$7:$E$16,MATCH(F528,'PRICING'!$A$7:$A$16,0))/60+INDEX('PRICING'!$F$7:$F$16,MATCH(F528,'PRICING'!$A$7:$A$16,0))/60),2)),""))</f>
        <v/>
      </c>
      <c r="R528" s="97">
        <f>IF(B528="","",IF(N(K528)&gt;0,K528,IF(N(J528)&gt;0,J528,N(Q528))))</f>
        <v/>
      </c>
      <c r="S528" s="55">
        <f>IF(L528="","",ROUND(L528*(1+N(M528)),2))</f>
        <v/>
      </c>
      <c r="T528" s="55">
        <f>IF(B528="","",SUMIFS('REVENUE'!$C$5:$C$1504,'REVENUE'!$B$5:$B$1504,A528))</f>
        <v/>
      </c>
      <c r="U528" s="55">
        <f>IF(B528="","",IF(O528="Completed",MAX(0,N(S528)-T528),""))</f>
        <v/>
      </c>
      <c r="V528" s="49">
        <f>IF(B528="","",IF(O528&lt;&gt;"Completed",IF(T528&gt;0,"Deposit","—"),IF(U528&lt;=0.005,"Paid",IF(T528&gt;0,"Partial","Unpaid"))))</f>
        <v/>
      </c>
      <c r="W528" s="55">
        <f>IF(B528="","",IFERROR(1/(1/INDEX('STAFF &amp; TASKS'!$C$5:$C$24,MATCH(H528,'STAFF &amp; TASKS'!$A$5:$A$24,0))),PayRate))</f>
        <v/>
      </c>
      <c r="X528" s="55">
        <f>IF(B528="","",IF(OR(O528="Cancelled",O528="No-Show"),"",ROUND(R528*W528*(1+Burden),2)))</f>
        <v/>
      </c>
      <c r="Y528" s="55">
        <f>IF(B528="","",IF(OR(O528="Cancelled",O528="No-Show"),"",IF(N528&lt;&gt;"",N528,ROUND(R528*SupHr*IFERROR(INDEX('PRICING'!$G$7:$G$16,MATCH(F528,'PRICING'!$A$7:$A$16,0)),1),2))))</f>
        <v/>
      </c>
      <c r="Z528" s="98">
        <f>IF(B528="","",SUMIFS('MILEAGE'!$J$5:$J$1504,'MILEAGE'!$B$5:$B$1504,A528))</f>
        <v/>
      </c>
      <c r="AA528" s="55">
        <f>IF(B528="","",ROUND(Z528*MileRate,2))</f>
        <v/>
      </c>
      <c r="AB528" s="55">
        <f>IF(B528="","",SUMIFS('REVENUE'!$J$5:$J$1504,'REVENUE'!$B$5:$B$1504,A528))</f>
        <v/>
      </c>
      <c r="AC528" s="55">
        <f>IF(L528="","",IF(OR(O528="Cancelled",O528="No-Show"),"",L528-N(X528)-N(Y528)-AA528-AB528))</f>
        <v/>
      </c>
      <c r="AD528" s="99">
        <f>IF(OR(AC528="",N(L528)=0),"",AC528/L528)</f>
        <v/>
      </c>
      <c r="AE528" s="55">
        <f>IF(OR(AC528="",N(R528)=0),"",L528/R528)</f>
        <v/>
      </c>
      <c r="AF528" s="100">
        <f>IF(OR(N(K528)=0,N(J528)+N(Q528)=0),"",K528-IF(N(J528)&gt;0,J528,Q528))</f>
        <v/>
      </c>
      <c r="AG528" s="99">
        <f>IF(B528="","",IFERROR(AVERAGEIFS('QUALITY CONTROL'!$M$5:$M$304,'QUALITY CONTROL'!$B$5:$B$304,A528),""))</f>
        <v/>
      </c>
      <c r="AH528" s="51">
        <f>IF(B528="","",DATE(YEAR(B528),MONTH(B528),1))</f>
        <v/>
      </c>
      <c r="AI528" s="49">
        <f>IF(D528="","",IFERROR(INDEX('CUSTOMERS'!$E$5:$E$404,MATCH(D528,'CUSTOMERS'!$B$5:$B$404,0)),""))</f>
        <v/>
      </c>
      <c r="AJ528" s="49">
        <f>IF(B528="","",N(C528))</f>
        <v/>
      </c>
      <c r="AK528" s="49">
        <f>IF(OR(B528="",O528="Cancelled",O528="Rescheduled"),"",B528&amp;"|"&amp;(COUNTIFS('JOBS'!$B$5:$B$1504,B528,'JOBS'!$AJ$5:$AJ$1504,"&lt;"&amp;AJ528,'JOBS'!$O$5:$O$1504,"&lt;&gt;Cancelled",'JOBS'!$O$5:$O$1504,"&lt;&gt;Rescheduled")+COUNTIFS($B$5:B528,B528,$AJ$5:AJ528,AJ528,$O$5:O528,"&lt;&gt;Cancelled",$O$5:O528,"&lt;&gt;Rescheduled")))</f>
        <v/>
      </c>
      <c r="AL528" s="49">
        <f>IF(N(U528)&lt;=0.005,"",COUNTIFS('JOBS'!$U$5:$U$1504,"&gt;0.005",'JOBS'!$B$5:$B$1504,"&lt;"&amp;B528)+COUNTIFS($U$5:U528,"&gt;0.005",$B$5:B528,B528))</f>
        <v/>
      </c>
    </row>
    <row r="529">
      <c r="A529" s="46" t="inlineStr">
        <is>
          <t>J-0525</t>
        </is>
      </c>
      <c r="B529" s="47" t="n"/>
      <c r="C529" s="94" t="n"/>
      <c r="D529" s="38" t="n"/>
      <c r="E529" s="38" t="n"/>
      <c r="F529" s="38" t="n"/>
      <c r="G529" s="38" t="n"/>
      <c r="H529" s="38" t="n"/>
      <c r="I529" s="57" t="n"/>
      <c r="J529" s="95" t="n"/>
      <c r="K529" s="95" t="n"/>
      <c r="L529" s="48" t="n"/>
      <c r="M529" s="96" t="n"/>
      <c r="N529" s="48" t="n"/>
      <c r="O529" s="38" t="n"/>
      <c r="P529" s="38" t="n"/>
      <c r="Q529" s="97">
        <f>IF(OR(F529="",E529=""),"",IFERROR(IF(INDEX('PROPERTIES'!$F$5:$F$404,MATCH(E529,'PROPERTIES'!$B$5:$B$404,0))=0,"",ROUND((INDEX('PROPERTIES'!$F$5:$F$404,MATCH(E529,'PROPERTIES'!$B$5:$B$404,0))/INDEX('PRICING'!$C$7:$C$16,MATCH(F529,'PRICING'!$A$7:$A$16,0))+INDEX('PROPERTIES'!$G$5:$G$404,MATCH(E529,'PROPERTIES'!$B$5:$B$404,0))*INDEX('PRICING'!$D$7:$D$16,MATCH(F529,'PRICING'!$A$7:$A$16,0))/60+INDEX('PROPERTIES'!$H$5:$H$404,MATCH(E529,'PROPERTIES'!$B$5:$B$404,0))*INDEX('PRICING'!$E$7:$E$16,MATCH(F529,'PRICING'!$A$7:$A$16,0))/60+INDEX('PRICING'!$F$7:$F$16,MATCH(F529,'PRICING'!$A$7:$A$16,0))/60),2)),""))</f>
        <v/>
      </c>
      <c r="R529" s="97">
        <f>IF(B529="","",IF(N(K529)&gt;0,K529,IF(N(J529)&gt;0,J529,N(Q529))))</f>
        <v/>
      </c>
      <c r="S529" s="55">
        <f>IF(L529="","",ROUND(L529*(1+N(M529)),2))</f>
        <v/>
      </c>
      <c r="T529" s="55">
        <f>IF(B529="","",SUMIFS('REVENUE'!$C$5:$C$1504,'REVENUE'!$B$5:$B$1504,A529))</f>
        <v/>
      </c>
      <c r="U529" s="55">
        <f>IF(B529="","",IF(O529="Completed",MAX(0,N(S529)-T529),""))</f>
        <v/>
      </c>
      <c r="V529" s="49">
        <f>IF(B529="","",IF(O529&lt;&gt;"Completed",IF(T529&gt;0,"Deposit","—"),IF(U529&lt;=0.005,"Paid",IF(T529&gt;0,"Partial","Unpaid"))))</f>
        <v/>
      </c>
      <c r="W529" s="55">
        <f>IF(B529="","",IFERROR(1/(1/INDEX('STAFF &amp; TASKS'!$C$5:$C$24,MATCH(H529,'STAFF &amp; TASKS'!$A$5:$A$24,0))),PayRate))</f>
        <v/>
      </c>
      <c r="X529" s="55">
        <f>IF(B529="","",IF(OR(O529="Cancelled",O529="No-Show"),"",ROUND(R529*W529*(1+Burden),2)))</f>
        <v/>
      </c>
      <c r="Y529" s="55">
        <f>IF(B529="","",IF(OR(O529="Cancelled",O529="No-Show"),"",IF(N529&lt;&gt;"",N529,ROUND(R529*SupHr*IFERROR(INDEX('PRICING'!$G$7:$G$16,MATCH(F529,'PRICING'!$A$7:$A$16,0)),1),2))))</f>
        <v/>
      </c>
      <c r="Z529" s="98">
        <f>IF(B529="","",SUMIFS('MILEAGE'!$J$5:$J$1504,'MILEAGE'!$B$5:$B$1504,A529))</f>
        <v/>
      </c>
      <c r="AA529" s="55">
        <f>IF(B529="","",ROUND(Z529*MileRate,2))</f>
        <v/>
      </c>
      <c r="AB529" s="55">
        <f>IF(B529="","",SUMIFS('REVENUE'!$J$5:$J$1504,'REVENUE'!$B$5:$B$1504,A529))</f>
        <v/>
      </c>
      <c r="AC529" s="55">
        <f>IF(L529="","",IF(OR(O529="Cancelled",O529="No-Show"),"",L529-N(X529)-N(Y529)-AA529-AB529))</f>
        <v/>
      </c>
      <c r="AD529" s="99">
        <f>IF(OR(AC529="",N(L529)=0),"",AC529/L529)</f>
        <v/>
      </c>
      <c r="AE529" s="55">
        <f>IF(OR(AC529="",N(R529)=0),"",L529/R529)</f>
        <v/>
      </c>
      <c r="AF529" s="100">
        <f>IF(OR(N(K529)=0,N(J529)+N(Q529)=0),"",K529-IF(N(J529)&gt;0,J529,Q529))</f>
        <v/>
      </c>
      <c r="AG529" s="99">
        <f>IF(B529="","",IFERROR(AVERAGEIFS('QUALITY CONTROL'!$M$5:$M$304,'QUALITY CONTROL'!$B$5:$B$304,A529),""))</f>
        <v/>
      </c>
      <c r="AH529" s="51">
        <f>IF(B529="","",DATE(YEAR(B529),MONTH(B529),1))</f>
        <v/>
      </c>
      <c r="AI529" s="49">
        <f>IF(D529="","",IFERROR(INDEX('CUSTOMERS'!$E$5:$E$404,MATCH(D529,'CUSTOMERS'!$B$5:$B$404,0)),""))</f>
        <v/>
      </c>
      <c r="AJ529" s="49">
        <f>IF(B529="","",N(C529))</f>
        <v/>
      </c>
      <c r="AK529" s="49">
        <f>IF(OR(B529="",O529="Cancelled",O529="Rescheduled"),"",B529&amp;"|"&amp;(COUNTIFS('JOBS'!$B$5:$B$1504,B529,'JOBS'!$AJ$5:$AJ$1504,"&lt;"&amp;AJ529,'JOBS'!$O$5:$O$1504,"&lt;&gt;Cancelled",'JOBS'!$O$5:$O$1504,"&lt;&gt;Rescheduled")+COUNTIFS($B$5:B529,B529,$AJ$5:AJ529,AJ529,$O$5:O529,"&lt;&gt;Cancelled",$O$5:O529,"&lt;&gt;Rescheduled")))</f>
        <v/>
      </c>
      <c r="AL529" s="49">
        <f>IF(N(U529)&lt;=0.005,"",COUNTIFS('JOBS'!$U$5:$U$1504,"&gt;0.005",'JOBS'!$B$5:$B$1504,"&lt;"&amp;B529)+COUNTIFS($U$5:U529,"&gt;0.005",$B$5:B529,B529))</f>
        <v/>
      </c>
    </row>
    <row r="530">
      <c r="A530" s="46" t="inlineStr">
        <is>
          <t>J-0526</t>
        </is>
      </c>
      <c r="B530" s="47" t="n"/>
      <c r="C530" s="94" t="n"/>
      <c r="D530" s="38" t="n"/>
      <c r="E530" s="38" t="n"/>
      <c r="F530" s="38" t="n"/>
      <c r="G530" s="38" t="n"/>
      <c r="H530" s="38" t="n"/>
      <c r="I530" s="57" t="n"/>
      <c r="J530" s="95" t="n"/>
      <c r="K530" s="95" t="n"/>
      <c r="L530" s="48" t="n"/>
      <c r="M530" s="96" t="n"/>
      <c r="N530" s="48" t="n"/>
      <c r="O530" s="38" t="n"/>
      <c r="P530" s="38" t="n"/>
      <c r="Q530" s="97">
        <f>IF(OR(F530="",E530=""),"",IFERROR(IF(INDEX('PROPERTIES'!$F$5:$F$404,MATCH(E530,'PROPERTIES'!$B$5:$B$404,0))=0,"",ROUND((INDEX('PROPERTIES'!$F$5:$F$404,MATCH(E530,'PROPERTIES'!$B$5:$B$404,0))/INDEX('PRICING'!$C$7:$C$16,MATCH(F530,'PRICING'!$A$7:$A$16,0))+INDEX('PROPERTIES'!$G$5:$G$404,MATCH(E530,'PROPERTIES'!$B$5:$B$404,0))*INDEX('PRICING'!$D$7:$D$16,MATCH(F530,'PRICING'!$A$7:$A$16,0))/60+INDEX('PROPERTIES'!$H$5:$H$404,MATCH(E530,'PROPERTIES'!$B$5:$B$404,0))*INDEX('PRICING'!$E$7:$E$16,MATCH(F530,'PRICING'!$A$7:$A$16,0))/60+INDEX('PRICING'!$F$7:$F$16,MATCH(F530,'PRICING'!$A$7:$A$16,0))/60),2)),""))</f>
        <v/>
      </c>
      <c r="R530" s="97">
        <f>IF(B530="","",IF(N(K530)&gt;0,K530,IF(N(J530)&gt;0,J530,N(Q530))))</f>
        <v/>
      </c>
      <c r="S530" s="55">
        <f>IF(L530="","",ROUND(L530*(1+N(M530)),2))</f>
        <v/>
      </c>
      <c r="T530" s="55">
        <f>IF(B530="","",SUMIFS('REVENUE'!$C$5:$C$1504,'REVENUE'!$B$5:$B$1504,A530))</f>
        <v/>
      </c>
      <c r="U530" s="55">
        <f>IF(B530="","",IF(O530="Completed",MAX(0,N(S530)-T530),""))</f>
        <v/>
      </c>
      <c r="V530" s="49">
        <f>IF(B530="","",IF(O530&lt;&gt;"Completed",IF(T530&gt;0,"Deposit","—"),IF(U530&lt;=0.005,"Paid",IF(T530&gt;0,"Partial","Unpaid"))))</f>
        <v/>
      </c>
      <c r="W530" s="55">
        <f>IF(B530="","",IFERROR(1/(1/INDEX('STAFF &amp; TASKS'!$C$5:$C$24,MATCH(H530,'STAFF &amp; TASKS'!$A$5:$A$24,0))),PayRate))</f>
        <v/>
      </c>
      <c r="X530" s="55">
        <f>IF(B530="","",IF(OR(O530="Cancelled",O530="No-Show"),"",ROUND(R530*W530*(1+Burden),2)))</f>
        <v/>
      </c>
      <c r="Y530" s="55">
        <f>IF(B530="","",IF(OR(O530="Cancelled",O530="No-Show"),"",IF(N530&lt;&gt;"",N530,ROUND(R530*SupHr*IFERROR(INDEX('PRICING'!$G$7:$G$16,MATCH(F530,'PRICING'!$A$7:$A$16,0)),1),2))))</f>
        <v/>
      </c>
      <c r="Z530" s="98">
        <f>IF(B530="","",SUMIFS('MILEAGE'!$J$5:$J$1504,'MILEAGE'!$B$5:$B$1504,A530))</f>
        <v/>
      </c>
      <c r="AA530" s="55">
        <f>IF(B530="","",ROUND(Z530*MileRate,2))</f>
        <v/>
      </c>
      <c r="AB530" s="55">
        <f>IF(B530="","",SUMIFS('REVENUE'!$J$5:$J$1504,'REVENUE'!$B$5:$B$1504,A530))</f>
        <v/>
      </c>
      <c r="AC530" s="55">
        <f>IF(L530="","",IF(OR(O530="Cancelled",O530="No-Show"),"",L530-N(X530)-N(Y530)-AA530-AB530))</f>
        <v/>
      </c>
      <c r="AD530" s="99">
        <f>IF(OR(AC530="",N(L530)=0),"",AC530/L530)</f>
        <v/>
      </c>
      <c r="AE530" s="55">
        <f>IF(OR(AC530="",N(R530)=0),"",L530/R530)</f>
        <v/>
      </c>
      <c r="AF530" s="100">
        <f>IF(OR(N(K530)=0,N(J530)+N(Q530)=0),"",K530-IF(N(J530)&gt;0,J530,Q530))</f>
        <v/>
      </c>
      <c r="AG530" s="99">
        <f>IF(B530="","",IFERROR(AVERAGEIFS('QUALITY CONTROL'!$M$5:$M$304,'QUALITY CONTROL'!$B$5:$B$304,A530),""))</f>
        <v/>
      </c>
      <c r="AH530" s="51">
        <f>IF(B530="","",DATE(YEAR(B530),MONTH(B530),1))</f>
        <v/>
      </c>
      <c r="AI530" s="49">
        <f>IF(D530="","",IFERROR(INDEX('CUSTOMERS'!$E$5:$E$404,MATCH(D530,'CUSTOMERS'!$B$5:$B$404,0)),""))</f>
        <v/>
      </c>
      <c r="AJ530" s="49">
        <f>IF(B530="","",N(C530))</f>
        <v/>
      </c>
      <c r="AK530" s="49">
        <f>IF(OR(B530="",O530="Cancelled",O530="Rescheduled"),"",B530&amp;"|"&amp;(COUNTIFS('JOBS'!$B$5:$B$1504,B530,'JOBS'!$AJ$5:$AJ$1504,"&lt;"&amp;AJ530,'JOBS'!$O$5:$O$1504,"&lt;&gt;Cancelled",'JOBS'!$O$5:$O$1504,"&lt;&gt;Rescheduled")+COUNTIFS($B$5:B530,B530,$AJ$5:AJ530,AJ530,$O$5:O530,"&lt;&gt;Cancelled",$O$5:O530,"&lt;&gt;Rescheduled")))</f>
        <v/>
      </c>
      <c r="AL530" s="49">
        <f>IF(N(U530)&lt;=0.005,"",COUNTIFS('JOBS'!$U$5:$U$1504,"&gt;0.005",'JOBS'!$B$5:$B$1504,"&lt;"&amp;B530)+COUNTIFS($U$5:U530,"&gt;0.005",$B$5:B530,B530))</f>
        <v/>
      </c>
    </row>
    <row r="531">
      <c r="A531" s="46" t="inlineStr">
        <is>
          <t>J-0527</t>
        </is>
      </c>
      <c r="B531" s="47" t="n"/>
      <c r="C531" s="94" t="n"/>
      <c r="D531" s="38" t="n"/>
      <c r="E531" s="38" t="n"/>
      <c r="F531" s="38" t="n"/>
      <c r="G531" s="38" t="n"/>
      <c r="H531" s="38" t="n"/>
      <c r="I531" s="57" t="n"/>
      <c r="J531" s="95" t="n"/>
      <c r="K531" s="95" t="n"/>
      <c r="L531" s="48" t="n"/>
      <c r="M531" s="96" t="n"/>
      <c r="N531" s="48" t="n"/>
      <c r="O531" s="38" t="n"/>
      <c r="P531" s="38" t="n"/>
      <c r="Q531" s="97">
        <f>IF(OR(F531="",E531=""),"",IFERROR(IF(INDEX('PROPERTIES'!$F$5:$F$404,MATCH(E531,'PROPERTIES'!$B$5:$B$404,0))=0,"",ROUND((INDEX('PROPERTIES'!$F$5:$F$404,MATCH(E531,'PROPERTIES'!$B$5:$B$404,0))/INDEX('PRICING'!$C$7:$C$16,MATCH(F531,'PRICING'!$A$7:$A$16,0))+INDEX('PROPERTIES'!$G$5:$G$404,MATCH(E531,'PROPERTIES'!$B$5:$B$404,0))*INDEX('PRICING'!$D$7:$D$16,MATCH(F531,'PRICING'!$A$7:$A$16,0))/60+INDEX('PROPERTIES'!$H$5:$H$404,MATCH(E531,'PROPERTIES'!$B$5:$B$404,0))*INDEX('PRICING'!$E$7:$E$16,MATCH(F531,'PRICING'!$A$7:$A$16,0))/60+INDEX('PRICING'!$F$7:$F$16,MATCH(F531,'PRICING'!$A$7:$A$16,0))/60),2)),""))</f>
        <v/>
      </c>
      <c r="R531" s="97">
        <f>IF(B531="","",IF(N(K531)&gt;0,K531,IF(N(J531)&gt;0,J531,N(Q531))))</f>
        <v/>
      </c>
      <c r="S531" s="55">
        <f>IF(L531="","",ROUND(L531*(1+N(M531)),2))</f>
        <v/>
      </c>
      <c r="T531" s="55">
        <f>IF(B531="","",SUMIFS('REVENUE'!$C$5:$C$1504,'REVENUE'!$B$5:$B$1504,A531))</f>
        <v/>
      </c>
      <c r="U531" s="55">
        <f>IF(B531="","",IF(O531="Completed",MAX(0,N(S531)-T531),""))</f>
        <v/>
      </c>
      <c r="V531" s="49">
        <f>IF(B531="","",IF(O531&lt;&gt;"Completed",IF(T531&gt;0,"Deposit","—"),IF(U531&lt;=0.005,"Paid",IF(T531&gt;0,"Partial","Unpaid"))))</f>
        <v/>
      </c>
      <c r="W531" s="55">
        <f>IF(B531="","",IFERROR(1/(1/INDEX('STAFF &amp; TASKS'!$C$5:$C$24,MATCH(H531,'STAFF &amp; TASKS'!$A$5:$A$24,0))),PayRate))</f>
        <v/>
      </c>
      <c r="X531" s="55">
        <f>IF(B531="","",IF(OR(O531="Cancelled",O531="No-Show"),"",ROUND(R531*W531*(1+Burden),2)))</f>
        <v/>
      </c>
      <c r="Y531" s="55">
        <f>IF(B531="","",IF(OR(O531="Cancelled",O531="No-Show"),"",IF(N531&lt;&gt;"",N531,ROUND(R531*SupHr*IFERROR(INDEX('PRICING'!$G$7:$G$16,MATCH(F531,'PRICING'!$A$7:$A$16,0)),1),2))))</f>
        <v/>
      </c>
      <c r="Z531" s="98">
        <f>IF(B531="","",SUMIFS('MILEAGE'!$J$5:$J$1504,'MILEAGE'!$B$5:$B$1504,A531))</f>
        <v/>
      </c>
      <c r="AA531" s="55">
        <f>IF(B531="","",ROUND(Z531*MileRate,2))</f>
        <v/>
      </c>
      <c r="AB531" s="55">
        <f>IF(B531="","",SUMIFS('REVENUE'!$J$5:$J$1504,'REVENUE'!$B$5:$B$1504,A531))</f>
        <v/>
      </c>
      <c r="AC531" s="55">
        <f>IF(L531="","",IF(OR(O531="Cancelled",O531="No-Show"),"",L531-N(X531)-N(Y531)-AA531-AB531))</f>
        <v/>
      </c>
      <c r="AD531" s="99">
        <f>IF(OR(AC531="",N(L531)=0),"",AC531/L531)</f>
        <v/>
      </c>
      <c r="AE531" s="55">
        <f>IF(OR(AC531="",N(R531)=0),"",L531/R531)</f>
        <v/>
      </c>
      <c r="AF531" s="100">
        <f>IF(OR(N(K531)=0,N(J531)+N(Q531)=0),"",K531-IF(N(J531)&gt;0,J531,Q531))</f>
        <v/>
      </c>
      <c r="AG531" s="99">
        <f>IF(B531="","",IFERROR(AVERAGEIFS('QUALITY CONTROL'!$M$5:$M$304,'QUALITY CONTROL'!$B$5:$B$304,A531),""))</f>
        <v/>
      </c>
      <c r="AH531" s="51">
        <f>IF(B531="","",DATE(YEAR(B531),MONTH(B531),1))</f>
        <v/>
      </c>
      <c r="AI531" s="49">
        <f>IF(D531="","",IFERROR(INDEX('CUSTOMERS'!$E$5:$E$404,MATCH(D531,'CUSTOMERS'!$B$5:$B$404,0)),""))</f>
        <v/>
      </c>
      <c r="AJ531" s="49">
        <f>IF(B531="","",N(C531))</f>
        <v/>
      </c>
      <c r="AK531" s="49">
        <f>IF(OR(B531="",O531="Cancelled",O531="Rescheduled"),"",B531&amp;"|"&amp;(COUNTIFS('JOBS'!$B$5:$B$1504,B531,'JOBS'!$AJ$5:$AJ$1504,"&lt;"&amp;AJ531,'JOBS'!$O$5:$O$1504,"&lt;&gt;Cancelled",'JOBS'!$O$5:$O$1504,"&lt;&gt;Rescheduled")+COUNTIFS($B$5:B531,B531,$AJ$5:AJ531,AJ531,$O$5:O531,"&lt;&gt;Cancelled",$O$5:O531,"&lt;&gt;Rescheduled")))</f>
        <v/>
      </c>
      <c r="AL531" s="49">
        <f>IF(N(U531)&lt;=0.005,"",COUNTIFS('JOBS'!$U$5:$U$1504,"&gt;0.005",'JOBS'!$B$5:$B$1504,"&lt;"&amp;B531)+COUNTIFS($U$5:U531,"&gt;0.005",$B$5:B531,B531))</f>
        <v/>
      </c>
    </row>
    <row r="532">
      <c r="A532" s="46" t="inlineStr">
        <is>
          <t>J-0528</t>
        </is>
      </c>
      <c r="B532" s="47" t="n"/>
      <c r="C532" s="94" t="n"/>
      <c r="D532" s="38" t="n"/>
      <c r="E532" s="38" t="n"/>
      <c r="F532" s="38" t="n"/>
      <c r="G532" s="38" t="n"/>
      <c r="H532" s="38" t="n"/>
      <c r="I532" s="57" t="n"/>
      <c r="J532" s="95" t="n"/>
      <c r="K532" s="95" t="n"/>
      <c r="L532" s="48" t="n"/>
      <c r="M532" s="96" t="n"/>
      <c r="N532" s="48" t="n"/>
      <c r="O532" s="38" t="n"/>
      <c r="P532" s="38" t="n"/>
      <c r="Q532" s="97">
        <f>IF(OR(F532="",E532=""),"",IFERROR(IF(INDEX('PROPERTIES'!$F$5:$F$404,MATCH(E532,'PROPERTIES'!$B$5:$B$404,0))=0,"",ROUND((INDEX('PROPERTIES'!$F$5:$F$404,MATCH(E532,'PROPERTIES'!$B$5:$B$404,0))/INDEX('PRICING'!$C$7:$C$16,MATCH(F532,'PRICING'!$A$7:$A$16,0))+INDEX('PROPERTIES'!$G$5:$G$404,MATCH(E532,'PROPERTIES'!$B$5:$B$404,0))*INDEX('PRICING'!$D$7:$D$16,MATCH(F532,'PRICING'!$A$7:$A$16,0))/60+INDEX('PROPERTIES'!$H$5:$H$404,MATCH(E532,'PROPERTIES'!$B$5:$B$404,0))*INDEX('PRICING'!$E$7:$E$16,MATCH(F532,'PRICING'!$A$7:$A$16,0))/60+INDEX('PRICING'!$F$7:$F$16,MATCH(F532,'PRICING'!$A$7:$A$16,0))/60),2)),""))</f>
        <v/>
      </c>
      <c r="R532" s="97">
        <f>IF(B532="","",IF(N(K532)&gt;0,K532,IF(N(J532)&gt;0,J532,N(Q532))))</f>
        <v/>
      </c>
      <c r="S532" s="55">
        <f>IF(L532="","",ROUND(L532*(1+N(M532)),2))</f>
        <v/>
      </c>
      <c r="T532" s="55">
        <f>IF(B532="","",SUMIFS('REVENUE'!$C$5:$C$1504,'REVENUE'!$B$5:$B$1504,A532))</f>
        <v/>
      </c>
      <c r="U532" s="55">
        <f>IF(B532="","",IF(O532="Completed",MAX(0,N(S532)-T532),""))</f>
        <v/>
      </c>
      <c r="V532" s="49">
        <f>IF(B532="","",IF(O532&lt;&gt;"Completed",IF(T532&gt;0,"Deposit","—"),IF(U532&lt;=0.005,"Paid",IF(T532&gt;0,"Partial","Unpaid"))))</f>
        <v/>
      </c>
      <c r="W532" s="55">
        <f>IF(B532="","",IFERROR(1/(1/INDEX('STAFF &amp; TASKS'!$C$5:$C$24,MATCH(H532,'STAFF &amp; TASKS'!$A$5:$A$24,0))),PayRate))</f>
        <v/>
      </c>
      <c r="X532" s="55">
        <f>IF(B532="","",IF(OR(O532="Cancelled",O532="No-Show"),"",ROUND(R532*W532*(1+Burden),2)))</f>
        <v/>
      </c>
      <c r="Y532" s="55">
        <f>IF(B532="","",IF(OR(O532="Cancelled",O532="No-Show"),"",IF(N532&lt;&gt;"",N532,ROUND(R532*SupHr*IFERROR(INDEX('PRICING'!$G$7:$G$16,MATCH(F532,'PRICING'!$A$7:$A$16,0)),1),2))))</f>
        <v/>
      </c>
      <c r="Z532" s="98">
        <f>IF(B532="","",SUMIFS('MILEAGE'!$J$5:$J$1504,'MILEAGE'!$B$5:$B$1504,A532))</f>
        <v/>
      </c>
      <c r="AA532" s="55">
        <f>IF(B532="","",ROUND(Z532*MileRate,2))</f>
        <v/>
      </c>
      <c r="AB532" s="55">
        <f>IF(B532="","",SUMIFS('REVENUE'!$J$5:$J$1504,'REVENUE'!$B$5:$B$1504,A532))</f>
        <v/>
      </c>
      <c r="AC532" s="55">
        <f>IF(L532="","",IF(OR(O532="Cancelled",O532="No-Show"),"",L532-N(X532)-N(Y532)-AA532-AB532))</f>
        <v/>
      </c>
      <c r="AD532" s="99">
        <f>IF(OR(AC532="",N(L532)=0),"",AC532/L532)</f>
        <v/>
      </c>
      <c r="AE532" s="55">
        <f>IF(OR(AC532="",N(R532)=0),"",L532/R532)</f>
        <v/>
      </c>
      <c r="AF532" s="100">
        <f>IF(OR(N(K532)=0,N(J532)+N(Q532)=0),"",K532-IF(N(J532)&gt;0,J532,Q532))</f>
        <v/>
      </c>
      <c r="AG532" s="99">
        <f>IF(B532="","",IFERROR(AVERAGEIFS('QUALITY CONTROL'!$M$5:$M$304,'QUALITY CONTROL'!$B$5:$B$304,A532),""))</f>
        <v/>
      </c>
      <c r="AH532" s="51">
        <f>IF(B532="","",DATE(YEAR(B532),MONTH(B532),1))</f>
        <v/>
      </c>
      <c r="AI532" s="49">
        <f>IF(D532="","",IFERROR(INDEX('CUSTOMERS'!$E$5:$E$404,MATCH(D532,'CUSTOMERS'!$B$5:$B$404,0)),""))</f>
        <v/>
      </c>
      <c r="AJ532" s="49">
        <f>IF(B532="","",N(C532))</f>
        <v/>
      </c>
      <c r="AK532" s="49">
        <f>IF(OR(B532="",O532="Cancelled",O532="Rescheduled"),"",B532&amp;"|"&amp;(COUNTIFS('JOBS'!$B$5:$B$1504,B532,'JOBS'!$AJ$5:$AJ$1504,"&lt;"&amp;AJ532,'JOBS'!$O$5:$O$1504,"&lt;&gt;Cancelled",'JOBS'!$O$5:$O$1504,"&lt;&gt;Rescheduled")+COUNTIFS($B$5:B532,B532,$AJ$5:AJ532,AJ532,$O$5:O532,"&lt;&gt;Cancelled",$O$5:O532,"&lt;&gt;Rescheduled")))</f>
        <v/>
      </c>
      <c r="AL532" s="49">
        <f>IF(N(U532)&lt;=0.005,"",COUNTIFS('JOBS'!$U$5:$U$1504,"&gt;0.005",'JOBS'!$B$5:$B$1504,"&lt;"&amp;B532)+COUNTIFS($U$5:U532,"&gt;0.005",$B$5:B532,B532))</f>
        <v/>
      </c>
    </row>
    <row r="533">
      <c r="A533" s="46" t="inlineStr">
        <is>
          <t>J-0529</t>
        </is>
      </c>
      <c r="B533" s="47" t="n"/>
      <c r="C533" s="94" t="n"/>
      <c r="D533" s="38" t="n"/>
      <c r="E533" s="38" t="n"/>
      <c r="F533" s="38" t="n"/>
      <c r="G533" s="38" t="n"/>
      <c r="H533" s="38" t="n"/>
      <c r="I533" s="57" t="n"/>
      <c r="J533" s="95" t="n"/>
      <c r="K533" s="95" t="n"/>
      <c r="L533" s="48" t="n"/>
      <c r="M533" s="96" t="n"/>
      <c r="N533" s="48" t="n"/>
      <c r="O533" s="38" t="n"/>
      <c r="P533" s="38" t="n"/>
      <c r="Q533" s="97">
        <f>IF(OR(F533="",E533=""),"",IFERROR(IF(INDEX('PROPERTIES'!$F$5:$F$404,MATCH(E533,'PROPERTIES'!$B$5:$B$404,0))=0,"",ROUND((INDEX('PROPERTIES'!$F$5:$F$404,MATCH(E533,'PROPERTIES'!$B$5:$B$404,0))/INDEX('PRICING'!$C$7:$C$16,MATCH(F533,'PRICING'!$A$7:$A$16,0))+INDEX('PROPERTIES'!$G$5:$G$404,MATCH(E533,'PROPERTIES'!$B$5:$B$404,0))*INDEX('PRICING'!$D$7:$D$16,MATCH(F533,'PRICING'!$A$7:$A$16,0))/60+INDEX('PROPERTIES'!$H$5:$H$404,MATCH(E533,'PROPERTIES'!$B$5:$B$404,0))*INDEX('PRICING'!$E$7:$E$16,MATCH(F533,'PRICING'!$A$7:$A$16,0))/60+INDEX('PRICING'!$F$7:$F$16,MATCH(F533,'PRICING'!$A$7:$A$16,0))/60),2)),""))</f>
        <v/>
      </c>
      <c r="R533" s="97">
        <f>IF(B533="","",IF(N(K533)&gt;0,K533,IF(N(J533)&gt;0,J533,N(Q533))))</f>
        <v/>
      </c>
      <c r="S533" s="55">
        <f>IF(L533="","",ROUND(L533*(1+N(M533)),2))</f>
        <v/>
      </c>
      <c r="T533" s="55">
        <f>IF(B533="","",SUMIFS('REVENUE'!$C$5:$C$1504,'REVENUE'!$B$5:$B$1504,A533))</f>
        <v/>
      </c>
      <c r="U533" s="55">
        <f>IF(B533="","",IF(O533="Completed",MAX(0,N(S533)-T533),""))</f>
        <v/>
      </c>
      <c r="V533" s="49">
        <f>IF(B533="","",IF(O533&lt;&gt;"Completed",IF(T533&gt;0,"Deposit","—"),IF(U533&lt;=0.005,"Paid",IF(T533&gt;0,"Partial","Unpaid"))))</f>
        <v/>
      </c>
      <c r="W533" s="55">
        <f>IF(B533="","",IFERROR(1/(1/INDEX('STAFF &amp; TASKS'!$C$5:$C$24,MATCH(H533,'STAFF &amp; TASKS'!$A$5:$A$24,0))),PayRate))</f>
        <v/>
      </c>
      <c r="X533" s="55">
        <f>IF(B533="","",IF(OR(O533="Cancelled",O533="No-Show"),"",ROUND(R533*W533*(1+Burden),2)))</f>
        <v/>
      </c>
      <c r="Y533" s="55">
        <f>IF(B533="","",IF(OR(O533="Cancelled",O533="No-Show"),"",IF(N533&lt;&gt;"",N533,ROUND(R533*SupHr*IFERROR(INDEX('PRICING'!$G$7:$G$16,MATCH(F533,'PRICING'!$A$7:$A$16,0)),1),2))))</f>
        <v/>
      </c>
      <c r="Z533" s="98">
        <f>IF(B533="","",SUMIFS('MILEAGE'!$J$5:$J$1504,'MILEAGE'!$B$5:$B$1504,A533))</f>
        <v/>
      </c>
      <c r="AA533" s="55">
        <f>IF(B533="","",ROUND(Z533*MileRate,2))</f>
        <v/>
      </c>
      <c r="AB533" s="55">
        <f>IF(B533="","",SUMIFS('REVENUE'!$J$5:$J$1504,'REVENUE'!$B$5:$B$1504,A533))</f>
        <v/>
      </c>
      <c r="AC533" s="55">
        <f>IF(L533="","",IF(OR(O533="Cancelled",O533="No-Show"),"",L533-N(X533)-N(Y533)-AA533-AB533))</f>
        <v/>
      </c>
      <c r="AD533" s="99">
        <f>IF(OR(AC533="",N(L533)=0),"",AC533/L533)</f>
        <v/>
      </c>
      <c r="AE533" s="55">
        <f>IF(OR(AC533="",N(R533)=0),"",L533/R533)</f>
        <v/>
      </c>
      <c r="AF533" s="100">
        <f>IF(OR(N(K533)=0,N(J533)+N(Q533)=0),"",K533-IF(N(J533)&gt;0,J533,Q533))</f>
        <v/>
      </c>
      <c r="AG533" s="99">
        <f>IF(B533="","",IFERROR(AVERAGEIFS('QUALITY CONTROL'!$M$5:$M$304,'QUALITY CONTROL'!$B$5:$B$304,A533),""))</f>
        <v/>
      </c>
      <c r="AH533" s="51">
        <f>IF(B533="","",DATE(YEAR(B533),MONTH(B533),1))</f>
        <v/>
      </c>
      <c r="AI533" s="49">
        <f>IF(D533="","",IFERROR(INDEX('CUSTOMERS'!$E$5:$E$404,MATCH(D533,'CUSTOMERS'!$B$5:$B$404,0)),""))</f>
        <v/>
      </c>
      <c r="AJ533" s="49">
        <f>IF(B533="","",N(C533))</f>
        <v/>
      </c>
      <c r="AK533" s="49">
        <f>IF(OR(B533="",O533="Cancelled",O533="Rescheduled"),"",B533&amp;"|"&amp;(COUNTIFS('JOBS'!$B$5:$B$1504,B533,'JOBS'!$AJ$5:$AJ$1504,"&lt;"&amp;AJ533,'JOBS'!$O$5:$O$1504,"&lt;&gt;Cancelled",'JOBS'!$O$5:$O$1504,"&lt;&gt;Rescheduled")+COUNTIFS($B$5:B533,B533,$AJ$5:AJ533,AJ533,$O$5:O533,"&lt;&gt;Cancelled",$O$5:O533,"&lt;&gt;Rescheduled")))</f>
        <v/>
      </c>
      <c r="AL533" s="49">
        <f>IF(N(U533)&lt;=0.005,"",COUNTIFS('JOBS'!$U$5:$U$1504,"&gt;0.005",'JOBS'!$B$5:$B$1504,"&lt;"&amp;B533)+COUNTIFS($U$5:U533,"&gt;0.005",$B$5:B533,B533))</f>
        <v/>
      </c>
    </row>
    <row r="534">
      <c r="A534" s="46" t="inlineStr">
        <is>
          <t>J-0530</t>
        </is>
      </c>
      <c r="B534" s="47" t="n"/>
      <c r="C534" s="94" t="n"/>
      <c r="D534" s="38" t="n"/>
      <c r="E534" s="38" t="n"/>
      <c r="F534" s="38" t="n"/>
      <c r="G534" s="38" t="n"/>
      <c r="H534" s="38" t="n"/>
      <c r="I534" s="57" t="n"/>
      <c r="J534" s="95" t="n"/>
      <c r="K534" s="95" t="n"/>
      <c r="L534" s="48" t="n"/>
      <c r="M534" s="96" t="n"/>
      <c r="N534" s="48" t="n"/>
      <c r="O534" s="38" t="n"/>
      <c r="P534" s="38" t="n"/>
      <c r="Q534" s="97">
        <f>IF(OR(F534="",E534=""),"",IFERROR(IF(INDEX('PROPERTIES'!$F$5:$F$404,MATCH(E534,'PROPERTIES'!$B$5:$B$404,0))=0,"",ROUND((INDEX('PROPERTIES'!$F$5:$F$404,MATCH(E534,'PROPERTIES'!$B$5:$B$404,0))/INDEX('PRICING'!$C$7:$C$16,MATCH(F534,'PRICING'!$A$7:$A$16,0))+INDEX('PROPERTIES'!$G$5:$G$404,MATCH(E534,'PROPERTIES'!$B$5:$B$404,0))*INDEX('PRICING'!$D$7:$D$16,MATCH(F534,'PRICING'!$A$7:$A$16,0))/60+INDEX('PROPERTIES'!$H$5:$H$404,MATCH(E534,'PROPERTIES'!$B$5:$B$404,0))*INDEX('PRICING'!$E$7:$E$16,MATCH(F534,'PRICING'!$A$7:$A$16,0))/60+INDEX('PRICING'!$F$7:$F$16,MATCH(F534,'PRICING'!$A$7:$A$16,0))/60),2)),""))</f>
        <v/>
      </c>
      <c r="R534" s="97">
        <f>IF(B534="","",IF(N(K534)&gt;0,K534,IF(N(J534)&gt;0,J534,N(Q534))))</f>
        <v/>
      </c>
      <c r="S534" s="55">
        <f>IF(L534="","",ROUND(L534*(1+N(M534)),2))</f>
        <v/>
      </c>
      <c r="T534" s="55">
        <f>IF(B534="","",SUMIFS('REVENUE'!$C$5:$C$1504,'REVENUE'!$B$5:$B$1504,A534))</f>
        <v/>
      </c>
      <c r="U534" s="55">
        <f>IF(B534="","",IF(O534="Completed",MAX(0,N(S534)-T534),""))</f>
        <v/>
      </c>
      <c r="V534" s="49">
        <f>IF(B534="","",IF(O534&lt;&gt;"Completed",IF(T534&gt;0,"Deposit","—"),IF(U534&lt;=0.005,"Paid",IF(T534&gt;0,"Partial","Unpaid"))))</f>
        <v/>
      </c>
      <c r="W534" s="55">
        <f>IF(B534="","",IFERROR(1/(1/INDEX('STAFF &amp; TASKS'!$C$5:$C$24,MATCH(H534,'STAFF &amp; TASKS'!$A$5:$A$24,0))),PayRate))</f>
        <v/>
      </c>
      <c r="X534" s="55">
        <f>IF(B534="","",IF(OR(O534="Cancelled",O534="No-Show"),"",ROUND(R534*W534*(1+Burden),2)))</f>
        <v/>
      </c>
      <c r="Y534" s="55">
        <f>IF(B534="","",IF(OR(O534="Cancelled",O534="No-Show"),"",IF(N534&lt;&gt;"",N534,ROUND(R534*SupHr*IFERROR(INDEX('PRICING'!$G$7:$G$16,MATCH(F534,'PRICING'!$A$7:$A$16,0)),1),2))))</f>
        <v/>
      </c>
      <c r="Z534" s="98">
        <f>IF(B534="","",SUMIFS('MILEAGE'!$J$5:$J$1504,'MILEAGE'!$B$5:$B$1504,A534))</f>
        <v/>
      </c>
      <c r="AA534" s="55">
        <f>IF(B534="","",ROUND(Z534*MileRate,2))</f>
        <v/>
      </c>
      <c r="AB534" s="55">
        <f>IF(B534="","",SUMIFS('REVENUE'!$J$5:$J$1504,'REVENUE'!$B$5:$B$1504,A534))</f>
        <v/>
      </c>
      <c r="AC534" s="55">
        <f>IF(L534="","",IF(OR(O534="Cancelled",O534="No-Show"),"",L534-N(X534)-N(Y534)-AA534-AB534))</f>
        <v/>
      </c>
      <c r="AD534" s="99">
        <f>IF(OR(AC534="",N(L534)=0),"",AC534/L534)</f>
        <v/>
      </c>
      <c r="AE534" s="55">
        <f>IF(OR(AC534="",N(R534)=0),"",L534/R534)</f>
        <v/>
      </c>
      <c r="AF534" s="100">
        <f>IF(OR(N(K534)=0,N(J534)+N(Q534)=0),"",K534-IF(N(J534)&gt;0,J534,Q534))</f>
        <v/>
      </c>
      <c r="AG534" s="99">
        <f>IF(B534="","",IFERROR(AVERAGEIFS('QUALITY CONTROL'!$M$5:$M$304,'QUALITY CONTROL'!$B$5:$B$304,A534),""))</f>
        <v/>
      </c>
      <c r="AH534" s="51">
        <f>IF(B534="","",DATE(YEAR(B534),MONTH(B534),1))</f>
        <v/>
      </c>
      <c r="AI534" s="49">
        <f>IF(D534="","",IFERROR(INDEX('CUSTOMERS'!$E$5:$E$404,MATCH(D534,'CUSTOMERS'!$B$5:$B$404,0)),""))</f>
        <v/>
      </c>
      <c r="AJ534" s="49">
        <f>IF(B534="","",N(C534))</f>
        <v/>
      </c>
      <c r="AK534" s="49">
        <f>IF(OR(B534="",O534="Cancelled",O534="Rescheduled"),"",B534&amp;"|"&amp;(COUNTIFS('JOBS'!$B$5:$B$1504,B534,'JOBS'!$AJ$5:$AJ$1504,"&lt;"&amp;AJ534,'JOBS'!$O$5:$O$1504,"&lt;&gt;Cancelled",'JOBS'!$O$5:$O$1504,"&lt;&gt;Rescheduled")+COUNTIFS($B$5:B534,B534,$AJ$5:AJ534,AJ534,$O$5:O534,"&lt;&gt;Cancelled",$O$5:O534,"&lt;&gt;Rescheduled")))</f>
        <v/>
      </c>
      <c r="AL534" s="49">
        <f>IF(N(U534)&lt;=0.005,"",COUNTIFS('JOBS'!$U$5:$U$1504,"&gt;0.005",'JOBS'!$B$5:$B$1504,"&lt;"&amp;B534)+COUNTIFS($U$5:U534,"&gt;0.005",$B$5:B534,B534))</f>
        <v/>
      </c>
    </row>
    <row r="535">
      <c r="A535" s="46" t="inlineStr">
        <is>
          <t>J-0531</t>
        </is>
      </c>
      <c r="B535" s="47" t="n"/>
      <c r="C535" s="94" t="n"/>
      <c r="D535" s="38" t="n"/>
      <c r="E535" s="38" t="n"/>
      <c r="F535" s="38" t="n"/>
      <c r="G535" s="38" t="n"/>
      <c r="H535" s="38" t="n"/>
      <c r="I535" s="57" t="n"/>
      <c r="J535" s="95" t="n"/>
      <c r="K535" s="95" t="n"/>
      <c r="L535" s="48" t="n"/>
      <c r="M535" s="96" t="n"/>
      <c r="N535" s="48" t="n"/>
      <c r="O535" s="38" t="n"/>
      <c r="P535" s="38" t="n"/>
      <c r="Q535" s="97">
        <f>IF(OR(F535="",E535=""),"",IFERROR(IF(INDEX('PROPERTIES'!$F$5:$F$404,MATCH(E535,'PROPERTIES'!$B$5:$B$404,0))=0,"",ROUND((INDEX('PROPERTIES'!$F$5:$F$404,MATCH(E535,'PROPERTIES'!$B$5:$B$404,0))/INDEX('PRICING'!$C$7:$C$16,MATCH(F535,'PRICING'!$A$7:$A$16,0))+INDEX('PROPERTIES'!$G$5:$G$404,MATCH(E535,'PROPERTIES'!$B$5:$B$404,0))*INDEX('PRICING'!$D$7:$D$16,MATCH(F535,'PRICING'!$A$7:$A$16,0))/60+INDEX('PROPERTIES'!$H$5:$H$404,MATCH(E535,'PROPERTIES'!$B$5:$B$404,0))*INDEX('PRICING'!$E$7:$E$16,MATCH(F535,'PRICING'!$A$7:$A$16,0))/60+INDEX('PRICING'!$F$7:$F$16,MATCH(F535,'PRICING'!$A$7:$A$16,0))/60),2)),""))</f>
        <v/>
      </c>
      <c r="R535" s="97">
        <f>IF(B535="","",IF(N(K535)&gt;0,K535,IF(N(J535)&gt;0,J535,N(Q535))))</f>
        <v/>
      </c>
      <c r="S535" s="55">
        <f>IF(L535="","",ROUND(L535*(1+N(M535)),2))</f>
        <v/>
      </c>
      <c r="T535" s="55">
        <f>IF(B535="","",SUMIFS('REVENUE'!$C$5:$C$1504,'REVENUE'!$B$5:$B$1504,A535))</f>
        <v/>
      </c>
      <c r="U535" s="55">
        <f>IF(B535="","",IF(O535="Completed",MAX(0,N(S535)-T535),""))</f>
        <v/>
      </c>
      <c r="V535" s="49">
        <f>IF(B535="","",IF(O535&lt;&gt;"Completed",IF(T535&gt;0,"Deposit","—"),IF(U535&lt;=0.005,"Paid",IF(T535&gt;0,"Partial","Unpaid"))))</f>
        <v/>
      </c>
      <c r="W535" s="55">
        <f>IF(B535="","",IFERROR(1/(1/INDEX('STAFF &amp; TASKS'!$C$5:$C$24,MATCH(H535,'STAFF &amp; TASKS'!$A$5:$A$24,0))),PayRate))</f>
        <v/>
      </c>
      <c r="X535" s="55">
        <f>IF(B535="","",IF(OR(O535="Cancelled",O535="No-Show"),"",ROUND(R535*W535*(1+Burden),2)))</f>
        <v/>
      </c>
      <c r="Y535" s="55">
        <f>IF(B535="","",IF(OR(O535="Cancelled",O535="No-Show"),"",IF(N535&lt;&gt;"",N535,ROUND(R535*SupHr*IFERROR(INDEX('PRICING'!$G$7:$G$16,MATCH(F535,'PRICING'!$A$7:$A$16,0)),1),2))))</f>
        <v/>
      </c>
      <c r="Z535" s="98">
        <f>IF(B535="","",SUMIFS('MILEAGE'!$J$5:$J$1504,'MILEAGE'!$B$5:$B$1504,A535))</f>
        <v/>
      </c>
      <c r="AA535" s="55">
        <f>IF(B535="","",ROUND(Z535*MileRate,2))</f>
        <v/>
      </c>
      <c r="AB535" s="55">
        <f>IF(B535="","",SUMIFS('REVENUE'!$J$5:$J$1504,'REVENUE'!$B$5:$B$1504,A535))</f>
        <v/>
      </c>
      <c r="AC535" s="55">
        <f>IF(L535="","",IF(OR(O535="Cancelled",O535="No-Show"),"",L535-N(X535)-N(Y535)-AA535-AB535))</f>
        <v/>
      </c>
      <c r="AD535" s="99">
        <f>IF(OR(AC535="",N(L535)=0),"",AC535/L535)</f>
        <v/>
      </c>
      <c r="AE535" s="55">
        <f>IF(OR(AC535="",N(R535)=0),"",L535/R535)</f>
        <v/>
      </c>
      <c r="AF535" s="100">
        <f>IF(OR(N(K535)=0,N(J535)+N(Q535)=0),"",K535-IF(N(J535)&gt;0,J535,Q535))</f>
        <v/>
      </c>
      <c r="AG535" s="99">
        <f>IF(B535="","",IFERROR(AVERAGEIFS('QUALITY CONTROL'!$M$5:$M$304,'QUALITY CONTROL'!$B$5:$B$304,A535),""))</f>
        <v/>
      </c>
      <c r="AH535" s="51">
        <f>IF(B535="","",DATE(YEAR(B535),MONTH(B535),1))</f>
        <v/>
      </c>
      <c r="AI535" s="49">
        <f>IF(D535="","",IFERROR(INDEX('CUSTOMERS'!$E$5:$E$404,MATCH(D535,'CUSTOMERS'!$B$5:$B$404,0)),""))</f>
        <v/>
      </c>
      <c r="AJ535" s="49">
        <f>IF(B535="","",N(C535))</f>
        <v/>
      </c>
      <c r="AK535" s="49">
        <f>IF(OR(B535="",O535="Cancelled",O535="Rescheduled"),"",B535&amp;"|"&amp;(COUNTIFS('JOBS'!$B$5:$B$1504,B535,'JOBS'!$AJ$5:$AJ$1504,"&lt;"&amp;AJ535,'JOBS'!$O$5:$O$1504,"&lt;&gt;Cancelled",'JOBS'!$O$5:$O$1504,"&lt;&gt;Rescheduled")+COUNTIFS($B$5:B535,B535,$AJ$5:AJ535,AJ535,$O$5:O535,"&lt;&gt;Cancelled",$O$5:O535,"&lt;&gt;Rescheduled")))</f>
        <v/>
      </c>
      <c r="AL535" s="49">
        <f>IF(N(U535)&lt;=0.005,"",COUNTIFS('JOBS'!$U$5:$U$1504,"&gt;0.005",'JOBS'!$B$5:$B$1504,"&lt;"&amp;B535)+COUNTIFS($U$5:U535,"&gt;0.005",$B$5:B535,B535))</f>
        <v/>
      </c>
    </row>
    <row r="536">
      <c r="A536" s="46" t="inlineStr">
        <is>
          <t>J-0532</t>
        </is>
      </c>
      <c r="B536" s="47" t="n"/>
      <c r="C536" s="94" t="n"/>
      <c r="D536" s="38" t="n"/>
      <c r="E536" s="38" t="n"/>
      <c r="F536" s="38" t="n"/>
      <c r="G536" s="38" t="n"/>
      <c r="H536" s="38" t="n"/>
      <c r="I536" s="57" t="n"/>
      <c r="J536" s="95" t="n"/>
      <c r="K536" s="95" t="n"/>
      <c r="L536" s="48" t="n"/>
      <c r="M536" s="96" t="n"/>
      <c r="N536" s="48" t="n"/>
      <c r="O536" s="38" t="n"/>
      <c r="P536" s="38" t="n"/>
      <c r="Q536" s="97">
        <f>IF(OR(F536="",E536=""),"",IFERROR(IF(INDEX('PROPERTIES'!$F$5:$F$404,MATCH(E536,'PROPERTIES'!$B$5:$B$404,0))=0,"",ROUND((INDEX('PROPERTIES'!$F$5:$F$404,MATCH(E536,'PROPERTIES'!$B$5:$B$404,0))/INDEX('PRICING'!$C$7:$C$16,MATCH(F536,'PRICING'!$A$7:$A$16,0))+INDEX('PROPERTIES'!$G$5:$G$404,MATCH(E536,'PROPERTIES'!$B$5:$B$404,0))*INDEX('PRICING'!$D$7:$D$16,MATCH(F536,'PRICING'!$A$7:$A$16,0))/60+INDEX('PROPERTIES'!$H$5:$H$404,MATCH(E536,'PROPERTIES'!$B$5:$B$404,0))*INDEX('PRICING'!$E$7:$E$16,MATCH(F536,'PRICING'!$A$7:$A$16,0))/60+INDEX('PRICING'!$F$7:$F$16,MATCH(F536,'PRICING'!$A$7:$A$16,0))/60),2)),""))</f>
        <v/>
      </c>
      <c r="R536" s="97">
        <f>IF(B536="","",IF(N(K536)&gt;0,K536,IF(N(J536)&gt;0,J536,N(Q536))))</f>
        <v/>
      </c>
      <c r="S536" s="55">
        <f>IF(L536="","",ROUND(L536*(1+N(M536)),2))</f>
        <v/>
      </c>
      <c r="T536" s="55">
        <f>IF(B536="","",SUMIFS('REVENUE'!$C$5:$C$1504,'REVENUE'!$B$5:$B$1504,A536))</f>
        <v/>
      </c>
      <c r="U536" s="55">
        <f>IF(B536="","",IF(O536="Completed",MAX(0,N(S536)-T536),""))</f>
        <v/>
      </c>
      <c r="V536" s="49">
        <f>IF(B536="","",IF(O536&lt;&gt;"Completed",IF(T536&gt;0,"Deposit","—"),IF(U536&lt;=0.005,"Paid",IF(T536&gt;0,"Partial","Unpaid"))))</f>
        <v/>
      </c>
      <c r="W536" s="55">
        <f>IF(B536="","",IFERROR(1/(1/INDEX('STAFF &amp; TASKS'!$C$5:$C$24,MATCH(H536,'STAFF &amp; TASKS'!$A$5:$A$24,0))),PayRate))</f>
        <v/>
      </c>
      <c r="X536" s="55">
        <f>IF(B536="","",IF(OR(O536="Cancelled",O536="No-Show"),"",ROUND(R536*W536*(1+Burden),2)))</f>
        <v/>
      </c>
      <c r="Y536" s="55">
        <f>IF(B536="","",IF(OR(O536="Cancelled",O536="No-Show"),"",IF(N536&lt;&gt;"",N536,ROUND(R536*SupHr*IFERROR(INDEX('PRICING'!$G$7:$G$16,MATCH(F536,'PRICING'!$A$7:$A$16,0)),1),2))))</f>
        <v/>
      </c>
      <c r="Z536" s="98">
        <f>IF(B536="","",SUMIFS('MILEAGE'!$J$5:$J$1504,'MILEAGE'!$B$5:$B$1504,A536))</f>
        <v/>
      </c>
      <c r="AA536" s="55">
        <f>IF(B536="","",ROUND(Z536*MileRate,2))</f>
        <v/>
      </c>
      <c r="AB536" s="55">
        <f>IF(B536="","",SUMIFS('REVENUE'!$J$5:$J$1504,'REVENUE'!$B$5:$B$1504,A536))</f>
        <v/>
      </c>
      <c r="AC536" s="55">
        <f>IF(L536="","",IF(OR(O536="Cancelled",O536="No-Show"),"",L536-N(X536)-N(Y536)-AA536-AB536))</f>
        <v/>
      </c>
      <c r="AD536" s="99">
        <f>IF(OR(AC536="",N(L536)=0),"",AC536/L536)</f>
        <v/>
      </c>
      <c r="AE536" s="55">
        <f>IF(OR(AC536="",N(R536)=0),"",L536/R536)</f>
        <v/>
      </c>
      <c r="AF536" s="100">
        <f>IF(OR(N(K536)=0,N(J536)+N(Q536)=0),"",K536-IF(N(J536)&gt;0,J536,Q536))</f>
        <v/>
      </c>
      <c r="AG536" s="99">
        <f>IF(B536="","",IFERROR(AVERAGEIFS('QUALITY CONTROL'!$M$5:$M$304,'QUALITY CONTROL'!$B$5:$B$304,A536),""))</f>
        <v/>
      </c>
      <c r="AH536" s="51">
        <f>IF(B536="","",DATE(YEAR(B536),MONTH(B536),1))</f>
        <v/>
      </c>
      <c r="AI536" s="49">
        <f>IF(D536="","",IFERROR(INDEX('CUSTOMERS'!$E$5:$E$404,MATCH(D536,'CUSTOMERS'!$B$5:$B$404,0)),""))</f>
        <v/>
      </c>
      <c r="AJ536" s="49">
        <f>IF(B536="","",N(C536))</f>
        <v/>
      </c>
      <c r="AK536" s="49">
        <f>IF(OR(B536="",O536="Cancelled",O536="Rescheduled"),"",B536&amp;"|"&amp;(COUNTIFS('JOBS'!$B$5:$B$1504,B536,'JOBS'!$AJ$5:$AJ$1504,"&lt;"&amp;AJ536,'JOBS'!$O$5:$O$1504,"&lt;&gt;Cancelled",'JOBS'!$O$5:$O$1504,"&lt;&gt;Rescheduled")+COUNTIFS($B$5:B536,B536,$AJ$5:AJ536,AJ536,$O$5:O536,"&lt;&gt;Cancelled",$O$5:O536,"&lt;&gt;Rescheduled")))</f>
        <v/>
      </c>
      <c r="AL536" s="49">
        <f>IF(N(U536)&lt;=0.005,"",COUNTIFS('JOBS'!$U$5:$U$1504,"&gt;0.005",'JOBS'!$B$5:$B$1504,"&lt;"&amp;B536)+COUNTIFS($U$5:U536,"&gt;0.005",$B$5:B536,B536))</f>
        <v/>
      </c>
    </row>
    <row r="537">
      <c r="A537" s="46" t="inlineStr">
        <is>
          <t>J-0533</t>
        </is>
      </c>
      <c r="B537" s="47" t="n"/>
      <c r="C537" s="94" t="n"/>
      <c r="D537" s="38" t="n"/>
      <c r="E537" s="38" t="n"/>
      <c r="F537" s="38" t="n"/>
      <c r="G537" s="38" t="n"/>
      <c r="H537" s="38" t="n"/>
      <c r="I537" s="57" t="n"/>
      <c r="J537" s="95" t="n"/>
      <c r="K537" s="95" t="n"/>
      <c r="L537" s="48" t="n"/>
      <c r="M537" s="96" t="n"/>
      <c r="N537" s="48" t="n"/>
      <c r="O537" s="38" t="n"/>
      <c r="P537" s="38" t="n"/>
      <c r="Q537" s="97">
        <f>IF(OR(F537="",E537=""),"",IFERROR(IF(INDEX('PROPERTIES'!$F$5:$F$404,MATCH(E537,'PROPERTIES'!$B$5:$B$404,0))=0,"",ROUND((INDEX('PROPERTIES'!$F$5:$F$404,MATCH(E537,'PROPERTIES'!$B$5:$B$404,0))/INDEX('PRICING'!$C$7:$C$16,MATCH(F537,'PRICING'!$A$7:$A$16,0))+INDEX('PROPERTIES'!$G$5:$G$404,MATCH(E537,'PROPERTIES'!$B$5:$B$404,0))*INDEX('PRICING'!$D$7:$D$16,MATCH(F537,'PRICING'!$A$7:$A$16,0))/60+INDEX('PROPERTIES'!$H$5:$H$404,MATCH(E537,'PROPERTIES'!$B$5:$B$404,0))*INDEX('PRICING'!$E$7:$E$16,MATCH(F537,'PRICING'!$A$7:$A$16,0))/60+INDEX('PRICING'!$F$7:$F$16,MATCH(F537,'PRICING'!$A$7:$A$16,0))/60),2)),""))</f>
        <v/>
      </c>
      <c r="R537" s="97">
        <f>IF(B537="","",IF(N(K537)&gt;0,K537,IF(N(J537)&gt;0,J537,N(Q537))))</f>
        <v/>
      </c>
      <c r="S537" s="55">
        <f>IF(L537="","",ROUND(L537*(1+N(M537)),2))</f>
        <v/>
      </c>
      <c r="T537" s="55">
        <f>IF(B537="","",SUMIFS('REVENUE'!$C$5:$C$1504,'REVENUE'!$B$5:$B$1504,A537))</f>
        <v/>
      </c>
      <c r="U537" s="55">
        <f>IF(B537="","",IF(O537="Completed",MAX(0,N(S537)-T537),""))</f>
        <v/>
      </c>
      <c r="V537" s="49">
        <f>IF(B537="","",IF(O537&lt;&gt;"Completed",IF(T537&gt;0,"Deposit","—"),IF(U537&lt;=0.005,"Paid",IF(T537&gt;0,"Partial","Unpaid"))))</f>
        <v/>
      </c>
      <c r="W537" s="55">
        <f>IF(B537="","",IFERROR(1/(1/INDEX('STAFF &amp; TASKS'!$C$5:$C$24,MATCH(H537,'STAFF &amp; TASKS'!$A$5:$A$24,0))),PayRate))</f>
        <v/>
      </c>
      <c r="X537" s="55">
        <f>IF(B537="","",IF(OR(O537="Cancelled",O537="No-Show"),"",ROUND(R537*W537*(1+Burden),2)))</f>
        <v/>
      </c>
      <c r="Y537" s="55">
        <f>IF(B537="","",IF(OR(O537="Cancelled",O537="No-Show"),"",IF(N537&lt;&gt;"",N537,ROUND(R537*SupHr*IFERROR(INDEX('PRICING'!$G$7:$G$16,MATCH(F537,'PRICING'!$A$7:$A$16,0)),1),2))))</f>
        <v/>
      </c>
      <c r="Z537" s="98">
        <f>IF(B537="","",SUMIFS('MILEAGE'!$J$5:$J$1504,'MILEAGE'!$B$5:$B$1504,A537))</f>
        <v/>
      </c>
      <c r="AA537" s="55">
        <f>IF(B537="","",ROUND(Z537*MileRate,2))</f>
        <v/>
      </c>
      <c r="AB537" s="55">
        <f>IF(B537="","",SUMIFS('REVENUE'!$J$5:$J$1504,'REVENUE'!$B$5:$B$1504,A537))</f>
        <v/>
      </c>
      <c r="AC537" s="55">
        <f>IF(L537="","",IF(OR(O537="Cancelled",O537="No-Show"),"",L537-N(X537)-N(Y537)-AA537-AB537))</f>
        <v/>
      </c>
      <c r="AD537" s="99">
        <f>IF(OR(AC537="",N(L537)=0),"",AC537/L537)</f>
        <v/>
      </c>
      <c r="AE537" s="55">
        <f>IF(OR(AC537="",N(R537)=0),"",L537/R537)</f>
        <v/>
      </c>
      <c r="AF537" s="100">
        <f>IF(OR(N(K537)=0,N(J537)+N(Q537)=0),"",K537-IF(N(J537)&gt;0,J537,Q537))</f>
        <v/>
      </c>
      <c r="AG537" s="99">
        <f>IF(B537="","",IFERROR(AVERAGEIFS('QUALITY CONTROL'!$M$5:$M$304,'QUALITY CONTROL'!$B$5:$B$304,A537),""))</f>
        <v/>
      </c>
      <c r="AH537" s="51">
        <f>IF(B537="","",DATE(YEAR(B537),MONTH(B537),1))</f>
        <v/>
      </c>
      <c r="AI537" s="49">
        <f>IF(D537="","",IFERROR(INDEX('CUSTOMERS'!$E$5:$E$404,MATCH(D537,'CUSTOMERS'!$B$5:$B$404,0)),""))</f>
        <v/>
      </c>
      <c r="AJ537" s="49">
        <f>IF(B537="","",N(C537))</f>
        <v/>
      </c>
      <c r="AK537" s="49">
        <f>IF(OR(B537="",O537="Cancelled",O537="Rescheduled"),"",B537&amp;"|"&amp;(COUNTIFS('JOBS'!$B$5:$B$1504,B537,'JOBS'!$AJ$5:$AJ$1504,"&lt;"&amp;AJ537,'JOBS'!$O$5:$O$1504,"&lt;&gt;Cancelled",'JOBS'!$O$5:$O$1504,"&lt;&gt;Rescheduled")+COUNTIFS($B$5:B537,B537,$AJ$5:AJ537,AJ537,$O$5:O537,"&lt;&gt;Cancelled",$O$5:O537,"&lt;&gt;Rescheduled")))</f>
        <v/>
      </c>
      <c r="AL537" s="49">
        <f>IF(N(U537)&lt;=0.005,"",COUNTIFS('JOBS'!$U$5:$U$1504,"&gt;0.005",'JOBS'!$B$5:$B$1504,"&lt;"&amp;B537)+COUNTIFS($U$5:U537,"&gt;0.005",$B$5:B537,B537))</f>
        <v/>
      </c>
    </row>
    <row r="538">
      <c r="A538" s="46" t="inlineStr">
        <is>
          <t>J-0534</t>
        </is>
      </c>
      <c r="B538" s="47" t="n"/>
      <c r="C538" s="94" t="n"/>
      <c r="D538" s="38" t="n"/>
      <c r="E538" s="38" t="n"/>
      <c r="F538" s="38" t="n"/>
      <c r="G538" s="38" t="n"/>
      <c r="H538" s="38" t="n"/>
      <c r="I538" s="57" t="n"/>
      <c r="J538" s="95" t="n"/>
      <c r="K538" s="95" t="n"/>
      <c r="L538" s="48" t="n"/>
      <c r="M538" s="96" t="n"/>
      <c r="N538" s="48" t="n"/>
      <c r="O538" s="38" t="n"/>
      <c r="P538" s="38" t="n"/>
      <c r="Q538" s="97">
        <f>IF(OR(F538="",E538=""),"",IFERROR(IF(INDEX('PROPERTIES'!$F$5:$F$404,MATCH(E538,'PROPERTIES'!$B$5:$B$404,0))=0,"",ROUND((INDEX('PROPERTIES'!$F$5:$F$404,MATCH(E538,'PROPERTIES'!$B$5:$B$404,0))/INDEX('PRICING'!$C$7:$C$16,MATCH(F538,'PRICING'!$A$7:$A$16,0))+INDEX('PROPERTIES'!$G$5:$G$404,MATCH(E538,'PROPERTIES'!$B$5:$B$404,0))*INDEX('PRICING'!$D$7:$D$16,MATCH(F538,'PRICING'!$A$7:$A$16,0))/60+INDEX('PROPERTIES'!$H$5:$H$404,MATCH(E538,'PROPERTIES'!$B$5:$B$404,0))*INDEX('PRICING'!$E$7:$E$16,MATCH(F538,'PRICING'!$A$7:$A$16,0))/60+INDEX('PRICING'!$F$7:$F$16,MATCH(F538,'PRICING'!$A$7:$A$16,0))/60),2)),""))</f>
        <v/>
      </c>
      <c r="R538" s="97">
        <f>IF(B538="","",IF(N(K538)&gt;0,K538,IF(N(J538)&gt;0,J538,N(Q538))))</f>
        <v/>
      </c>
      <c r="S538" s="55">
        <f>IF(L538="","",ROUND(L538*(1+N(M538)),2))</f>
        <v/>
      </c>
      <c r="T538" s="55">
        <f>IF(B538="","",SUMIFS('REVENUE'!$C$5:$C$1504,'REVENUE'!$B$5:$B$1504,A538))</f>
        <v/>
      </c>
      <c r="U538" s="55">
        <f>IF(B538="","",IF(O538="Completed",MAX(0,N(S538)-T538),""))</f>
        <v/>
      </c>
      <c r="V538" s="49">
        <f>IF(B538="","",IF(O538&lt;&gt;"Completed",IF(T538&gt;0,"Deposit","—"),IF(U538&lt;=0.005,"Paid",IF(T538&gt;0,"Partial","Unpaid"))))</f>
        <v/>
      </c>
      <c r="W538" s="55">
        <f>IF(B538="","",IFERROR(1/(1/INDEX('STAFF &amp; TASKS'!$C$5:$C$24,MATCH(H538,'STAFF &amp; TASKS'!$A$5:$A$24,0))),PayRate))</f>
        <v/>
      </c>
      <c r="X538" s="55">
        <f>IF(B538="","",IF(OR(O538="Cancelled",O538="No-Show"),"",ROUND(R538*W538*(1+Burden),2)))</f>
        <v/>
      </c>
      <c r="Y538" s="55">
        <f>IF(B538="","",IF(OR(O538="Cancelled",O538="No-Show"),"",IF(N538&lt;&gt;"",N538,ROUND(R538*SupHr*IFERROR(INDEX('PRICING'!$G$7:$G$16,MATCH(F538,'PRICING'!$A$7:$A$16,0)),1),2))))</f>
        <v/>
      </c>
      <c r="Z538" s="98">
        <f>IF(B538="","",SUMIFS('MILEAGE'!$J$5:$J$1504,'MILEAGE'!$B$5:$B$1504,A538))</f>
        <v/>
      </c>
      <c r="AA538" s="55">
        <f>IF(B538="","",ROUND(Z538*MileRate,2))</f>
        <v/>
      </c>
      <c r="AB538" s="55">
        <f>IF(B538="","",SUMIFS('REVENUE'!$J$5:$J$1504,'REVENUE'!$B$5:$B$1504,A538))</f>
        <v/>
      </c>
      <c r="AC538" s="55">
        <f>IF(L538="","",IF(OR(O538="Cancelled",O538="No-Show"),"",L538-N(X538)-N(Y538)-AA538-AB538))</f>
        <v/>
      </c>
      <c r="AD538" s="99">
        <f>IF(OR(AC538="",N(L538)=0),"",AC538/L538)</f>
        <v/>
      </c>
      <c r="AE538" s="55">
        <f>IF(OR(AC538="",N(R538)=0),"",L538/R538)</f>
        <v/>
      </c>
      <c r="AF538" s="100">
        <f>IF(OR(N(K538)=0,N(J538)+N(Q538)=0),"",K538-IF(N(J538)&gt;0,J538,Q538))</f>
        <v/>
      </c>
      <c r="AG538" s="99">
        <f>IF(B538="","",IFERROR(AVERAGEIFS('QUALITY CONTROL'!$M$5:$M$304,'QUALITY CONTROL'!$B$5:$B$304,A538),""))</f>
        <v/>
      </c>
      <c r="AH538" s="51">
        <f>IF(B538="","",DATE(YEAR(B538),MONTH(B538),1))</f>
        <v/>
      </c>
      <c r="AI538" s="49">
        <f>IF(D538="","",IFERROR(INDEX('CUSTOMERS'!$E$5:$E$404,MATCH(D538,'CUSTOMERS'!$B$5:$B$404,0)),""))</f>
        <v/>
      </c>
      <c r="AJ538" s="49">
        <f>IF(B538="","",N(C538))</f>
        <v/>
      </c>
      <c r="AK538" s="49">
        <f>IF(OR(B538="",O538="Cancelled",O538="Rescheduled"),"",B538&amp;"|"&amp;(COUNTIFS('JOBS'!$B$5:$B$1504,B538,'JOBS'!$AJ$5:$AJ$1504,"&lt;"&amp;AJ538,'JOBS'!$O$5:$O$1504,"&lt;&gt;Cancelled",'JOBS'!$O$5:$O$1504,"&lt;&gt;Rescheduled")+COUNTIFS($B$5:B538,B538,$AJ$5:AJ538,AJ538,$O$5:O538,"&lt;&gt;Cancelled",$O$5:O538,"&lt;&gt;Rescheduled")))</f>
        <v/>
      </c>
      <c r="AL538" s="49">
        <f>IF(N(U538)&lt;=0.005,"",COUNTIFS('JOBS'!$U$5:$U$1504,"&gt;0.005",'JOBS'!$B$5:$B$1504,"&lt;"&amp;B538)+COUNTIFS($U$5:U538,"&gt;0.005",$B$5:B538,B538))</f>
        <v/>
      </c>
    </row>
    <row r="539">
      <c r="A539" s="46" t="inlineStr">
        <is>
          <t>J-0535</t>
        </is>
      </c>
      <c r="B539" s="47" t="n"/>
      <c r="C539" s="94" t="n"/>
      <c r="D539" s="38" t="n"/>
      <c r="E539" s="38" t="n"/>
      <c r="F539" s="38" t="n"/>
      <c r="G539" s="38" t="n"/>
      <c r="H539" s="38" t="n"/>
      <c r="I539" s="57" t="n"/>
      <c r="J539" s="95" t="n"/>
      <c r="K539" s="95" t="n"/>
      <c r="L539" s="48" t="n"/>
      <c r="M539" s="96" t="n"/>
      <c r="N539" s="48" t="n"/>
      <c r="O539" s="38" t="n"/>
      <c r="P539" s="38" t="n"/>
      <c r="Q539" s="97">
        <f>IF(OR(F539="",E539=""),"",IFERROR(IF(INDEX('PROPERTIES'!$F$5:$F$404,MATCH(E539,'PROPERTIES'!$B$5:$B$404,0))=0,"",ROUND((INDEX('PROPERTIES'!$F$5:$F$404,MATCH(E539,'PROPERTIES'!$B$5:$B$404,0))/INDEX('PRICING'!$C$7:$C$16,MATCH(F539,'PRICING'!$A$7:$A$16,0))+INDEX('PROPERTIES'!$G$5:$G$404,MATCH(E539,'PROPERTIES'!$B$5:$B$404,0))*INDEX('PRICING'!$D$7:$D$16,MATCH(F539,'PRICING'!$A$7:$A$16,0))/60+INDEX('PROPERTIES'!$H$5:$H$404,MATCH(E539,'PROPERTIES'!$B$5:$B$404,0))*INDEX('PRICING'!$E$7:$E$16,MATCH(F539,'PRICING'!$A$7:$A$16,0))/60+INDEX('PRICING'!$F$7:$F$16,MATCH(F539,'PRICING'!$A$7:$A$16,0))/60),2)),""))</f>
        <v/>
      </c>
      <c r="R539" s="97">
        <f>IF(B539="","",IF(N(K539)&gt;0,K539,IF(N(J539)&gt;0,J539,N(Q539))))</f>
        <v/>
      </c>
      <c r="S539" s="55">
        <f>IF(L539="","",ROUND(L539*(1+N(M539)),2))</f>
        <v/>
      </c>
      <c r="T539" s="55">
        <f>IF(B539="","",SUMIFS('REVENUE'!$C$5:$C$1504,'REVENUE'!$B$5:$B$1504,A539))</f>
        <v/>
      </c>
      <c r="U539" s="55">
        <f>IF(B539="","",IF(O539="Completed",MAX(0,N(S539)-T539),""))</f>
        <v/>
      </c>
      <c r="V539" s="49">
        <f>IF(B539="","",IF(O539&lt;&gt;"Completed",IF(T539&gt;0,"Deposit","—"),IF(U539&lt;=0.005,"Paid",IF(T539&gt;0,"Partial","Unpaid"))))</f>
        <v/>
      </c>
      <c r="W539" s="55">
        <f>IF(B539="","",IFERROR(1/(1/INDEX('STAFF &amp; TASKS'!$C$5:$C$24,MATCH(H539,'STAFF &amp; TASKS'!$A$5:$A$24,0))),PayRate))</f>
        <v/>
      </c>
      <c r="X539" s="55">
        <f>IF(B539="","",IF(OR(O539="Cancelled",O539="No-Show"),"",ROUND(R539*W539*(1+Burden),2)))</f>
        <v/>
      </c>
      <c r="Y539" s="55">
        <f>IF(B539="","",IF(OR(O539="Cancelled",O539="No-Show"),"",IF(N539&lt;&gt;"",N539,ROUND(R539*SupHr*IFERROR(INDEX('PRICING'!$G$7:$G$16,MATCH(F539,'PRICING'!$A$7:$A$16,0)),1),2))))</f>
        <v/>
      </c>
      <c r="Z539" s="98">
        <f>IF(B539="","",SUMIFS('MILEAGE'!$J$5:$J$1504,'MILEAGE'!$B$5:$B$1504,A539))</f>
        <v/>
      </c>
      <c r="AA539" s="55">
        <f>IF(B539="","",ROUND(Z539*MileRate,2))</f>
        <v/>
      </c>
      <c r="AB539" s="55">
        <f>IF(B539="","",SUMIFS('REVENUE'!$J$5:$J$1504,'REVENUE'!$B$5:$B$1504,A539))</f>
        <v/>
      </c>
      <c r="AC539" s="55">
        <f>IF(L539="","",IF(OR(O539="Cancelled",O539="No-Show"),"",L539-N(X539)-N(Y539)-AA539-AB539))</f>
        <v/>
      </c>
      <c r="AD539" s="99">
        <f>IF(OR(AC539="",N(L539)=0),"",AC539/L539)</f>
        <v/>
      </c>
      <c r="AE539" s="55">
        <f>IF(OR(AC539="",N(R539)=0),"",L539/R539)</f>
        <v/>
      </c>
      <c r="AF539" s="100">
        <f>IF(OR(N(K539)=0,N(J539)+N(Q539)=0),"",K539-IF(N(J539)&gt;0,J539,Q539))</f>
        <v/>
      </c>
      <c r="AG539" s="99">
        <f>IF(B539="","",IFERROR(AVERAGEIFS('QUALITY CONTROL'!$M$5:$M$304,'QUALITY CONTROL'!$B$5:$B$304,A539),""))</f>
        <v/>
      </c>
      <c r="AH539" s="51">
        <f>IF(B539="","",DATE(YEAR(B539),MONTH(B539),1))</f>
        <v/>
      </c>
      <c r="AI539" s="49">
        <f>IF(D539="","",IFERROR(INDEX('CUSTOMERS'!$E$5:$E$404,MATCH(D539,'CUSTOMERS'!$B$5:$B$404,0)),""))</f>
        <v/>
      </c>
      <c r="AJ539" s="49">
        <f>IF(B539="","",N(C539))</f>
        <v/>
      </c>
      <c r="AK539" s="49">
        <f>IF(OR(B539="",O539="Cancelled",O539="Rescheduled"),"",B539&amp;"|"&amp;(COUNTIFS('JOBS'!$B$5:$B$1504,B539,'JOBS'!$AJ$5:$AJ$1504,"&lt;"&amp;AJ539,'JOBS'!$O$5:$O$1504,"&lt;&gt;Cancelled",'JOBS'!$O$5:$O$1504,"&lt;&gt;Rescheduled")+COUNTIFS($B$5:B539,B539,$AJ$5:AJ539,AJ539,$O$5:O539,"&lt;&gt;Cancelled",$O$5:O539,"&lt;&gt;Rescheduled")))</f>
        <v/>
      </c>
      <c r="AL539" s="49">
        <f>IF(N(U539)&lt;=0.005,"",COUNTIFS('JOBS'!$U$5:$U$1504,"&gt;0.005",'JOBS'!$B$5:$B$1504,"&lt;"&amp;B539)+COUNTIFS($U$5:U539,"&gt;0.005",$B$5:B539,B539))</f>
        <v/>
      </c>
    </row>
    <row r="540">
      <c r="A540" s="46" t="inlineStr">
        <is>
          <t>J-0536</t>
        </is>
      </c>
      <c r="B540" s="47" t="n"/>
      <c r="C540" s="94" t="n"/>
      <c r="D540" s="38" t="n"/>
      <c r="E540" s="38" t="n"/>
      <c r="F540" s="38" t="n"/>
      <c r="G540" s="38" t="n"/>
      <c r="H540" s="38" t="n"/>
      <c r="I540" s="57" t="n"/>
      <c r="J540" s="95" t="n"/>
      <c r="K540" s="95" t="n"/>
      <c r="L540" s="48" t="n"/>
      <c r="M540" s="96" t="n"/>
      <c r="N540" s="48" t="n"/>
      <c r="O540" s="38" t="n"/>
      <c r="P540" s="38" t="n"/>
      <c r="Q540" s="97">
        <f>IF(OR(F540="",E540=""),"",IFERROR(IF(INDEX('PROPERTIES'!$F$5:$F$404,MATCH(E540,'PROPERTIES'!$B$5:$B$404,0))=0,"",ROUND((INDEX('PROPERTIES'!$F$5:$F$404,MATCH(E540,'PROPERTIES'!$B$5:$B$404,0))/INDEX('PRICING'!$C$7:$C$16,MATCH(F540,'PRICING'!$A$7:$A$16,0))+INDEX('PROPERTIES'!$G$5:$G$404,MATCH(E540,'PROPERTIES'!$B$5:$B$404,0))*INDEX('PRICING'!$D$7:$D$16,MATCH(F540,'PRICING'!$A$7:$A$16,0))/60+INDEX('PROPERTIES'!$H$5:$H$404,MATCH(E540,'PROPERTIES'!$B$5:$B$404,0))*INDEX('PRICING'!$E$7:$E$16,MATCH(F540,'PRICING'!$A$7:$A$16,0))/60+INDEX('PRICING'!$F$7:$F$16,MATCH(F540,'PRICING'!$A$7:$A$16,0))/60),2)),""))</f>
        <v/>
      </c>
      <c r="R540" s="97">
        <f>IF(B540="","",IF(N(K540)&gt;0,K540,IF(N(J540)&gt;0,J540,N(Q540))))</f>
        <v/>
      </c>
      <c r="S540" s="55">
        <f>IF(L540="","",ROUND(L540*(1+N(M540)),2))</f>
        <v/>
      </c>
      <c r="T540" s="55">
        <f>IF(B540="","",SUMIFS('REVENUE'!$C$5:$C$1504,'REVENUE'!$B$5:$B$1504,A540))</f>
        <v/>
      </c>
      <c r="U540" s="55">
        <f>IF(B540="","",IF(O540="Completed",MAX(0,N(S540)-T540),""))</f>
        <v/>
      </c>
      <c r="V540" s="49">
        <f>IF(B540="","",IF(O540&lt;&gt;"Completed",IF(T540&gt;0,"Deposit","—"),IF(U540&lt;=0.005,"Paid",IF(T540&gt;0,"Partial","Unpaid"))))</f>
        <v/>
      </c>
      <c r="W540" s="55">
        <f>IF(B540="","",IFERROR(1/(1/INDEX('STAFF &amp; TASKS'!$C$5:$C$24,MATCH(H540,'STAFF &amp; TASKS'!$A$5:$A$24,0))),PayRate))</f>
        <v/>
      </c>
      <c r="X540" s="55">
        <f>IF(B540="","",IF(OR(O540="Cancelled",O540="No-Show"),"",ROUND(R540*W540*(1+Burden),2)))</f>
        <v/>
      </c>
      <c r="Y540" s="55">
        <f>IF(B540="","",IF(OR(O540="Cancelled",O540="No-Show"),"",IF(N540&lt;&gt;"",N540,ROUND(R540*SupHr*IFERROR(INDEX('PRICING'!$G$7:$G$16,MATCH(F540,'PRICING'!$A$7:$A$16,0)),1),2))))</f>
        <v/>
      </c>
      <c r="Z540" s="98">
        <f>IF(B540="","",SUMIFS('MILEAGE'!$J$5:$J$1504,'MILEAGE'!$B$5:$B$1504,A540))</f>
        <v/>
      </c>
      <c r="AA540" s="55">
        <f>IF(B540="","",ROUND(Z540*MileRate,2))</f>
        <v/>
      </c>
      <c r="AB540" s="55">
        <f>IF(B540="","",SUMIFS('REVENUE'!$J$5:$J$1504,'REVENUE'!$B$5:$B$1504,A540))</f>
        <v/>
      </c>
      <c r="AC540" s="55">
        <f>IF(L540="","",IF(OR(O540="Cancelled",O540="No-Show"),"",L540-N(X540)-N(Y540)-AA540-AB540))</f>
        <v/>
      </c>
      <c r="AD540" s="99">
        <f>IF(OR(AC540="",N(L540)=0),"",AC540/L540)</f>
        <v/>
      </c>
      <c r="AE540" s="55">
        <f>IF(OR(AC540="",N(R540)=0),"",L540/R540)</f>
        <v/>
      </c>
      <c r="AF540" s="100">
        <f>IF(OR(N(K540)=0,N(J540)+N(Q540)=0),"",K540-IF(N(J540)&gt;0,J540,Q540))</f>
        <v/>
      </c>
      <c r="AG540" s="99">
        <f>IF(B540="","",IFERROR(AVERAGEIFS('QUALITY CONTROL'!$M$5:$M$304,'QUALITY CONTROL'!$B$5:$B$304,A540),""))</f>
        <v/>
      </c>
      <c r="AH540" s="51">
        <f>IF(B540="","",DATE(YEAR(B540),MONTH(B540),1))</f>
        <v/>
      </c>
      <c r="AI540" s="49">
        <f>IF(D540="","",IFERROR(INDEX('CUSTOMERS'!$E$5:$E$404,MATCH(D540,'CUSTOMERS'!$B$5:$B$404,0)),""))</f>
        <v/>
      </c>
      <c r="AJ540" s="49">
        <f>IF(B540="","",N(C540))</f>
        <v/>
      </c>
      <c r="AK540" s="49">
        <f>IF(OR(B540="",O540="Cancelled",O540="Rescheduled"),"",B540&amp;"|"&amp;(COUNTIFS('JOBS'!$B$5:$B$1504,B540,'JOBS'!$AJ$5:$AJ$1504,"&lt;"&amp;AJ540,'JOBS'!$O$5:$O$1504,"&lt;&gt;Cancelled",'JOBS'!$O$5:$O$1504,"&lt;&gt;Rescheduled")+COUNTIFS($B$5:B540,B540,$AJ$5:AJ540,AJ540,$O$5:O540,"&lt;&gt;Cancelled",$O$5:O540,"&lt;&gt;Rescheduled")))</f>
        <v/>
      </c>
      <c r="AL540" s="49">
        <f>IF(N(U540)&lt;=0.005,"",COUNTIFS('JOBS'!$U$5:$U$1504,"&gt;0.005",'JOBS'!$B$5:$B$1504,"&lt;"&amp;B540)+COUNTIFS($U$5:U540,"&gt;0.005",$B$5:B540,B540))</f>
        <v/>
      </c>
    </row>
    <row r="541">
      <c r="A541" s="46" t="inlineStr">
        <is>
          <t>J-0537</t>
        </is>
      </c>
      <c r="B541" s="47" t="n"/>
      <c r="C541" s="94" t="n"/>
      <c r="D541" s="38" t="n"/>
      <c r="E541" s="38" t="n"/>
      <c r="F541" s="38" t="n"/>
      <c r="G541" s="38" t="n"/>
      <c r="H541" s="38" t="n"/>
      <c r="I541" s="57" t="n"/>
      <c r="J541" s="95" t="n"/>
      <c r="K541" s="95" t="n"/>
      <c r="L541" s="48" t="n"/>
      <c r="M541" s="96" t="n"/>
      <c r="N541" s="48" t="n"/>
      <c r="O541" s="38" t="n"/>
      <c r="P541" s="38" t="n"/>
      <c r="Q541" s="97">
        <f>IF(OR(F541="",E541=""),"",IFERROR(IF(INDEX('PROPERTIES'!$F$5:$F$404,MATCH(E541,'PROPERTIES'!$B$5:$B$404,0))=0,"",ROUND((INDEX('PROPERTIES'!$F$5:$F$404,MATCH(E541,'PROPERTIES'!$B$5:$B$404,0))/INDEX('PRICING'!$C$7:$C$16,MATCH(F541,'PRICING'!$A$7:$A$16,0))+INDEX('PROPERTIES'!$G$5:$G$404,MATCH(E541,'PROPERTIES'!$B$5:$B$404,0))*INDEX('PRICING'!$D$7:$D$16,MATCH(F541,'PRICING'!$A$7:$A$16,0))/60+INDEX('PROPERTIES'!$H$5:$H$404,MATCH(E541,'PROPERTIES'!$B$5:$B$404,0))*INDEX('PRICING'!$E$7:$E$16,MATCH(F541,'PRICING'!$A$7:$A$16,0))/60+INDEX('PRICING'!$F$7:$F$16,MATCH(F541,'PRICING'!$A$7:$A$16,0))/60),2)),""))</f>
        <v/>
      </c>
      <c r="R541" s="97">
        <f>IF(B541="","",IF(N(K541)&gt;0,K541,IF(N(J541)&gt;0,J541,N(Q541))))</f>
        <v/>
      </c>
      <c r="S541" s="55">
        <f>IF(L541="","",ROUND(L541*(1+N(M541)),2))</f>
        <v/>
      </c>
      <c r="T541" s="55">
        <f>IF(B541="","",SUMIFS('REVENUE'!$C$5:$C$1504,'REVENUE'!$B$5:$B$1504,A541))</f>
        <v/>
      </c>
      <c r="U541" s="55">
        <f>IF(B541="","",IF(O541="Completed",MAX(0,N(S541)-T541),""))</f>
        <v/>
      </c>
      <c r="V541" s="49">
        <f>IF(B541="","",IF(O541&lt;&gt;"Completed",IF(T541&gt;0,"Deposit","—"),IF(U541&lt;=0.005,"Paid",IF(T541&gt;0,"Partial","Unpaid"))))</f>
        <v/>
      </c>
      <c r="W541" s="55">
        <f>IF(B541="","",IFERROR(1/(1/INDEX('STAFF &amp; TASKS'!$C$5:$C$24,MATCH(H541,'STAFF &amp; TASKS'!$A$5:$A$24,0))),PayRate))</f>
        <v/>
      </c>
      <c r="X541" s="55">
        <f>IF(B541="","",IF(OR(O541="Cancelled",O541="No-Show"),"",ROUND(R541*W541*(1+Burden),2)))</f>
        <v/>
      </c>
      <c r="Y541" s="55">
        <f>IF(B541="","",IF(OR(O541="Cancelled",O541="No-Show"),"",IF(N541&lt;&gt;"",N541,ROUND(R541*SupHr*IFERROR(INDEX('PRICING'!$G$7:$G$16,MATCH(F541,'PRICING'!$A$7:$A$16,0)),1),2))))</f>
        <v/>
      </c>
      <c r="Z541" s="98">
        <f>IF(B541="","",SUMIFS('MILEAGE'!$J$5:$J$1504,'MILEAGE'!$B$5:$B$1504,A541))</f>
        <v/>
      </c>
      <c r="AA541" s="55">
        <f>IF(B541="","",ROUND(Z541*MileRate,2))</f>
        <v/>
      </c>
      <c r="AB541" s="55">
        <f>IF(B541="","",SUMIFS('REVENUE'!$J$5:$J$1504,'REVENUE'!$B$5:$B$1504,A541))</f>
        <v/>
      </c>
      <c r="AC541" s="55">
        <f>IF(L541="","",IF(OR(O541="Cancelled",O541="No-Show"),"",L541-N(X541)-N(Y541)-AA541-AB541))</f>
        <v/>
      </c>
      <c r="AD541" s="99">
        <f>IF(OR(AC541="",N(L541)=0),"",AC541/L541)</f>
        <v/>
      </c>
      <c r="AE541" s="55">
        <f>IF(OR(AC541="",N(R541)=0),"",L541/R541)</f>
        <v/>
      </c>
      <c r="AF541" s="100">
        <f>IF(OR(N(K541)=0,N(J541)+N(Q541)=0),"",K541-IF(N(J541)&gt;0,J541,Q541))</f>
        <v/>
      </c>
      <c r="AG541" s="99">
        <f>IF(B541="","",IFERROR(AVERAGEIFS('QUALITY CONTROL'!$M$5:$M$304,'QUALITY CONTROL'!$B$5:$B$304,A541),""))</f>
        <v/>
      </c>
      <c r="AH541" s="51">
        <f>IF(B541="","",DATE(YEAR(B541),MONTH(B541),1))</f>
        <v/>
      </c>
      <c r="AI541" s="49">
        <f>IF(D541="","",IFERROR(INDEX('CUSTOMERS'!$E$5:$E$404,MATCH(D541,'CUSTOMERS'!$B$5:$B$404,0)),""))</f>
        <v/>
      </c>
      <c r="AJ541" s="49">
        <f>IF(B541="","",N(C541))</f>
        <v/>
      </c>
      <c r="AK541" s="49">
        <f>IF(OR(B541="",O541="Cancelled",O541="Rescheduled"),"",B541&amp;"|"&amp;(COUNTIFS('JOBS'!$B$5:$B$1504,B541,'JOBS'!$AJ$5:$AJ$1504,"&lt;"&amp;AJ541,'JOBS'!$O$5:$O$1504,"&lt;&gt;Cancelled",'JOBS'!$O$5:$O$1504,"&lt;&gt;Rescheduled")+COUNTIFS($B$5:B541,B541,$AJ$5:AJ541,AJ541,$O$5:O541,"&lt;&gt;Cancelled",$O$5:O541,"&lt;&gt;Rescheduled")))</f>
        <v/>
      </c>
      <c r="AL541" s="49">
        <f>IF(N(U541)&lt;=0.005,"",COUNTIFS('JOBS'!$U$5:$U$1504,"&gt;0.005",'JOBS'!$B$5:$B$1504,"&lt;"&amp;B541)+COUNTIFS($U$5:U541,"&gt;0.005",$B$5:B541,B541))</f>
        <v/>
      </c>
    </row>
    <row r="542">
      <c r="A542" s="46" t="inlineStr">
        <is>
          <t>J-0538</t>
        </is>
      </c>
      <c r="B542" s="47" t="n"/>
      <c r="C542" s="94" t="n"/>
      <c r="D542" s="38" t="n"/>
      <c r="E542" s="38" t="n"/>
      <c r="F542" s="38" t="n"/>
      <c r="G542" s="38" t="n"/>
      <c r="H542" s="38" t="n"/>
      <c r="I542" s="57" t="n"/>
      <c r="J542" s="95" t="n"/>
      <c r="K542" s="95" t="n"/>
      <c r="L542" s="48" t="n"/>
      <c r="M542" s="96" t="n"/>
      <c r="N542" s="48" t="n"/>
      <c r="O542" s="38" t="n"/>
      <c r="P542" s="38" t="n"/>
      <c r="Q542" s="97">
        <f>IF(OR(F542="",E542=""),"",IFERROR(IF(INDEX('PROPERTIES'!$F$5:$F$404,MATCH(E542,'PROPERTIES'!$B$5:$B$404,0))=0,"",ROUND((INDEX('PROPERTIES'!$F$5:$F$404,MATCH(E542,'PROPERTIES'!$B$5:$B$404,0))/INDEX('PRICING'!$C$7:$C$16,MATCH(F542,'PRICING'!$A$7:$A$16,0))+INDEX('PROPERTIES'!$G$5:$G$404,MATCH(E542,'PROPERTIES'!$B$5:$B$404,0))*INDEX('PRICING'!$D$7:$D$16,MATCH(F542,'PRICING'!$A$7:$A$16,0))/60+INDEX('PROPERTIES'!$H$5:$H$404,MATCH(E542,'PROPERTIES'!$B$5:$B$404,0))*INDEX('PRICING'!$E$7:$E$16,MATCH(F542,'PRICING'!$A$7:$A$16,0))/60+INDEX('PRICING'!$F$7:$F$16,MATCH(F542,'PRICING'!$A$7:$A$16,0))/60),2)),""))</f>
        <v/>
      </c>
      <c r="R542" s="97">
        <f>IF(B542="","",IF(N(K542)&gt;0,K542,IF(N(J542)&gt;0,J542,N(Q542))))</f>
        <v/>
      </c>
      <c r="S542" s="55">
        <f>IF(L542="","",ROUND(L542*(1+N(M542)),2))</f>
        <v/>
      </c>
      <c r="T542" s="55">
        <f>IF(B542="","",SUMIFS('REVENUE'!$C$5:$C$1504,'REVENUE'!$B$5:$B$1504,A542))</f>
        <v/>
      </c>
      <c r="U542" s="55">
        <f>IF(B542="","",IF(O542="Completed",MAX(0,N(S542)-T542),""))</f>
        <v/>
      </c>
      <c r="V542" s="49">
        <f>IF(B542="","",IF(O542&lt;&gt;"Completed",IF(T542&gt;0,"Deposit","—"),IF(U542&lt;=0.005,"Paid",IF(T542&gt;0,"Partial","Unpaid"))))</f>
        <v/>
      </c>
      <c r="W542" s="55">
        <f>IF(B542="","",IFERROR(1/(1/INDEX('STAFF &amp; TASKS'!$C$5:$C$24,MATCH(H542,'STAFF &amp; TASKS'!$A$5:$A$24,0))),PayRate))</f>
        <v/>
      </c>
      <c r="X542" s="55">
        <f>IF(B542="","",IF(OR(O542="Cancelled",O542="No-Show"),"",ROUND(R542*W542*(1+Burden),2)))</f>
        <v/>
      </c>
      <c r="Y542" s="55">
        <f>IF(B542="","",IF(OR(O542="Cancelled",O542="No-Show"),"",IF(N542&lt;&gt;"",N542,ROUND(R542*SupHr*IFERROR(INDEX('PRICING'!$G$7:$G$16,MATCH(F542,'PRICING'!$A$7:$A$16,0)),1),2))))</f>
        <v/>
      </c>
      <c r="Z542" s="98">
        <f>IF(B542="","",SUMIFS('MILEAGE'!$J$5:$J$1504,'MILEAGE'!$B$5:$B$1504,A542))</f>
        <v/>
      </c>
      <c r="AA542" s="55">
        <f>IF(B542="","",ROUND(Z542*MileRate,2))</f>
        <v/>
      </c>
      <c r="AB542" s="55">
        <f>IF(B542="","",SUMIFS('REVENUE'!$J$5:$J$1504,'REVENUE'!$B$5:$B$1504,A542))</f>
        <v/>
      </c>
      <c r="AC542" s="55">
        <f>IF(L542="","",IF(OR(O542="Cancelled",O542="No-Show"),"",L542-N(X542)-N(Y542)-AA542-AB542))</f>
        <v/>
      </c>
      <c r="AD542" s="99">
        <f>IF(OR(AC542="",N(L542)=0),"",AC542/L542)</f>
        <v/>
      </c>
      <c r="AE542" s="55">
        <f>IF(OR(AC542="",N(R542)=0),"",L542/R542)</f>
        <v/>
      </c>
      <c r="AF542" s="100">
        <f>IF(OR(N(K542)=0,N(J542)+N(Q542)=0),"",K542-IF(N(J542)&gt;0,J542,Q542))</f>
        <v/>
      </c>
      <c r="AG542" s="99">
        <f>IF(B542="","",IFERROR(AVERAGEIFS('QUALITY CONTROL'!$M$5:$M$304,'QUALITY CONTROL'!$B$5:$B$304,A542),""))</f>
        <v/>
      </c>
      <c r="AH542" s="51">
        <f>IF(B542="","",DATE(YEAR(B542),MONTH(B542),1))</f>
        <v/>
      </c>
      <c r="AI542" s="49">
        <f>IF(D542="","",IFERROR(INDEX('CUSTOMERS'!$E$5:$E$404,MATCH(D542,'CUSTOMERS'!$B$5:$B$404,0)),""))</f>
        <v/>
      </c>
      <c r="AJ542" s="49">
        <f>IF(B542="","",N(C542))</f>
        <v/>
      </c>
      <c r="AK542" s="49">
        <f>IF(OR(B542="",O542="Cancelled",O542="Rescheduled"),"",B542&amp;"|"&amp;(COUNTIFS('JOBS'!$B$5:$B$1504,B542,'JOBS'!$AJ$5:$AJ$1504,"&lt;"&amp;AJ542,'JOBS'!$O$5:$O$1504,"&lt;&gt;Cancelled",'JOBS'!$O$5:$O$1504,"&lt;&gt;Rescheduled")+COUNTIFS($B$5:B542,B542,$AJ$5:AJ542,AJ542,$O$5:O542,"&lt;&gt;Cancelled",$O$5:O542,"&lt;&gt;Rescheduled")))</f>
        <v/>
      </c>
      <c r="AL542" s="49">
        <f>IF(N(U542)&lt;=0.005,"",COUNTIFS('JOBS'!$U$5:$U$1504,"&gt;0.005",'JOBS'!$B$5:$B$1504,"&lt;"&amp;B542)+COUNTIFS($U$5:U542,"&gt;0.005",$B$5:B542,B542))</f>
        <v/>
      </c>
    </row>
    <row r="543">
      <c r="A543" s="46" t="inlineStr">
        <is>
          <t>J-0539</t>
        </is>
      </c>
      <c r="B543" s="47" t="n"/>
      <c r="C543" s="94" t="n"/>
      <c r="D543" s="38" t="n"/>
      <c r="E543" s="38" t="n"/>
      <c r="F543" s="38" t="n"/>
      <c r="G543" s="38" t="n"/>
      <c r="H543" s="38" t="n"/>
      <c r="I543" s="57" t="n"/>
      <c r="J543" s="95" t="n"/>
      <c r="K543" s="95" t="n"/>
      <c r="L543" s="48" t="n"/>
      <c r="M543" s="96" t="n"/>
      <c r="N543" s="48" t="n"/>
      <c r="O543" s="38" t="n"/>
      <c r="P543" s="38" t="n"/>
      <c r="Q543" s="97">
        <f>IF(OR(F543="",E543=""),"",IFERROR(IF(INDEX('PROPERTIES'!$F$5:$F$404,MATCH(E543,'PROPERTIES'!$B$5:$B$404,0))=0,"",ROUND((INDEX('PROPERTIES'!$F$5:$F$404,MATCH(E543,'PROPERTIES'!$B$5:$B$404,0))/INDEX('PRICING'!$C$7:$C$16,MATCH(F543,'PRICING'!$A$7:$A$16,0))+INDEX('PROPERTIES'!$G$5:$G$404,MATCH(E543,'PROPERTIES'!$B$5:$B$404,0))*INDEX('PRICING'!$D$7:$D$16,MATCH(F543,'PRICING'!$A$7:$A$16,0))/60+INDEX('PROPERTIES'!$H$5:$H$404,MATCH(E543,'PROPERTIES'!$B$5:$B$404,0))*INDEX('PRICING'!$E$7:$E$16,MATCH(F543,'PRICING'!$A$7:$A$16,0))/60+INDEX('PRICING'!$F$7:$F$16,MATCH(F543,'PRICING'!$A$7:$A$16,0))/60),2)),""))</f>
        <v/>
      </c>
      <c r="R543" s="97">
        <f>IF(B543="","",IF(N(K543)&gt;0,K543,IF(N(J543)&gt;0,J543,N(Q543))))</f>
        <v/>
      </c>
      <c r="S543" s="55">
        <f>IF(L543="","",ROUND(L543*(1+N(M543)),2))</f>
        <v/>
      </c>
      <c r="T543" s="55">
        <f>IF(B543="","",SUMIFS('REVENUE'!$C$5:$C$1504,'REVENUE'!$B$5:$B$1504,A543))</f>
        <v/>
      </c>
      <c r="U543" s="55">
        <f>IF(B543="","",IF(O543="Completed",MAX(0,N(S543)-T543),""))</f>
        <v/>
      </c>
      <c r="V543" s="49">
        <f>IF(B543="","",IF(O543&lt;&gt;"Completed",IF(T543&gt;0,"Deposit","—"),IF(U543&lt;=0.005,"Paid",IF(T543&gt;0,"Partial","Unpaid"))))</f>
        <v/>
      </c>
      <c r="W543" s="55">
        <f>IF(B543="","",IFERROR(1/(1/INDEX('STAFF &amp; TASKS'!$C$5:$C$24,MATCH(H543,'STAFF &amp; TASKS'!$A$5:$A$24,0))),PayRate))</f>
        <v/>
      </c>
      <c r="X543" s="55">
        <f>IF(B543="","",IF(OR(O543="Cancelled",O543="No-Show"),"",ROUND(R543*W543*(1+Burden),2)))</f>
        <v/>
      </c>
      <c r="Y543" s="55">
        <f>IF(B543="","",IF(OR(O543="Cancelled",O543="No-Show"),"",IF(N543&lt;&gt;"",N543,ROUND(R543*SupHr*IFERROR(INDEX('PRICING'!$G$7:$G$16,MATCH(F543,'PRICING'!$A$7:$A$16,0)),1),2))))</f>
        <v/>
      </c>
      <c r="Z543" s="98">
        <f>IF(B543="","",SUMIFS('MILEAGE'!$J$5:$J$1504,'MILEAGE'!$B$5:$B$1504,A543))</f>
        <v/>
      </c>
      <c r="AA543" s="55">
        <f>IF(B543="","",ROUND(Z543*MileRate,2))</f>
        <v/>
      </c>
      <c r="AB543" s="55">
        <f>IF(B543="","",SUMIFS('REVENUE'!$J$5:$J$1504,'REVENUE'!$B$5:$B$1504,A543))</f>
        <v/>
      </c>
      <c r="AC543" s="55">
        <f>IF(L543="","",IF(OR(O543="Cancelled",O543="No-Show"),"",L543-N(X543)-N(Y543)-AA543-AB543))</f>
        <v/>
      </c>
      <c r="AD543" s="99">
        <f>IF(OR(AC543="",N(L543)=0),"",AC543/L543)</f>
        <v/>
      </c>
      <c r="AE543" s="55">
        <f>IF(OR(AC543="",N(R543)=0),"",L543/R543)</f>
        <v/>
      </c>
      <c r="AF543" s="100">
        <f>IF(OR(N(K543)=0,N(J543)+N(Q543)=0),"",K543-IF(N(J543)&gt;0,J543,Q543))</f>
        <v/>
      </c>
      <c r="AG543" s="99">
        <f>IF(B543="","",IFERROR(AVERAGEIFS('QUALITY CONTROL'!$M$5:$M$304,'QUALITY CONTROL'!$B$5:$B$304,A543),""))</f>
        <v/>
      </c>
      <c r="AH543" s="51">
        <f>IF(B543="","",DATE(YEAR(B543),MONTH(B543),1))</f>
        <v/>
      </c>
      <c r="AI543" s="49">
        <f>IF(D543="","",IFERROR(INDEX('CUSTOMERS'!$E$5:$E$404,MATCH(D543,'CUSTOMERS'!$B$5:$B$404,0)),""))</f>
        <v/>
      </c>
      <c r="AJ543" s="49">
        <f>IF(B543="","",N(C543))</f>
        <v/>
      </c>
      <c r="AK543" s="49">
        <f>IF(OR(B543="",O543="Cancelled",O543="Rescheduled"),"",B543&amp;"|"&amp;(COUNTIFS('JOBS'!$B$5:$B$1504,B543,'JOBS'!$AJ$5:$AJ$1504,"&lt;"&amp;AJ543,'JOBS'!$O$5:$O$1504,"&lt;&gt;Cancelled",'JOBS'!$O$5:$O$1504,"&lt;&gt;Rescheduled")+COUNTIFS($B$5:B543,B543,$AJ$5:AJ543,AJ543,$O$5:O543,"&lt;&gt;Cancelled",$O$5:O543,"&lt;&gt;Rescheduled")))</f>
        <v/>
      </c>
      <c r="AL543" s="49">
        <f>IF(N(U543)&lt;=0.005,"",COUNTIFS('JOBS'!$U$5:$U$1504,"&gt;0.005",'JOBS'!$B$5:$B$1504,"&lt;"&amp;B543)+COUNTIFS($U$5:U543,"&gt;0.005",$B$5:B543,B543))</f>
        <v/>
      </c>
    </row>
    <row r="544">
      <c r="A544" s="46" t="inlineStr">
        <is>
          <t>J-0540</t>
        </is>
      </c>
      <c r="B544" s="47" t="n"/>
      <c r="C544" s="94" t="n"/>
      <c r="D544" s="38" t="n"/>
      <c r="E544" s="38" t="n"/>
      <c r="F544" s="38" t="n"/>
      <c r="G544" s="38" t="n"/>
      <c r="H544" s="38" t="n"/>
      <c r="I544" s="57" t="n"/>
      <c r="J544" s="95" t="n"/>
      <c r="K544" s="95" t="n"/>
      <c r="L544" s="48" t="n"/>
      <c r="M544" s="96" t="n"/>
      <c r="N544" s="48" t="n"/>
      <c r="O544" s="38" t="n"/>
      <c r="P544" s="38" t="n"/>
      <c r="Q544" s="97">
        <f>IF(OR(F544="",E544=""),"",IFERROR(IF(INDEX('PROPERTIES'!$F$5:$F$404,MATCH(E544,'PROPERTIES'!$B$5:$B$404,0))=0,"",ROUND((INDEX('PROPERTIES'!$F$5:$F$404,MATCH(E544,'PROPERTIES'!$B$5:$B$404,0))/INDEX('PRICING'!$C$7:$C$16,MATCH(F544,'PRICING'!$A$7:$A$16,0))+INDEX('PROPERTIES'!$G$5:$G$404,MATCH(E544,'PROPERTIES'!$B$5:$B$404,0))*INDEX('PRICING'!$D$7:$D$16,MATCH(F544,'PRICING'!$A$7:$A$16,0))/60+INDEX('PROPERTIES'!$H$5:$H$404,MATCH(E544,'PROPERTIES'!$B$5:$B$404,0))*INDEX('PRICING'!$E$7:$E$16,MATCH(F544,'PRICING'!$A$7:$A$16,0))/60+INDEX('PRICING'!$F$7:$F$16,MATCH(F544,'PRICING'!$A$7:$A$16,0))/60),2)),""))</f>
        <v/>
      </c>
      <c r="R544" s="97">
        <f>IF(B544="","",IF(N(K544)&gt;0,K544,IF(N(J544)&gt;0,J544,N(Q544))))</f>
        <v/>
      </c>
      <c r="S544" s="55">
        <f>IF(L544="","",ROUND(L544*(1+N(M544)),2))</f>
        <v/>
      </c>
      <c r="T544" s="55">
        <f>IF(B544="","",SUMIFS('REVENUE'!$C$5:$C$1504,'REVENUE'!$B$5:$B$1504,A544))</f>
        <v/>
      </c>
      <c r="U544" s="55">
        <f>IF(B544="","",IF(O544="Completed",MAX(0,N(S544)-T544),""))</f>
        <v/>
      </c>
      <c r="V544" s="49">
        <f>IF(B544="","",IF(O544&lt;&gt;"Completed",IF(T544&gt;0,"Deposit","—"),IF(U544&lt;=0.005,"Paid",IF(T544&gt;0,"Partial","Unpaid"))))</f>
        <v/>
      </c>
      <c r="W544" s="55">
        <f>IF(B544="","",IFERROR(1/(1/INDEX('STAFF &amp; TASKS'!$C$5:$C$24,MATCH(H544,'STAFF &amp; TASKS'!$A$5:$A$24,0))),PayRate))</f>
        <v/>
      </c>
      <c r="X544" s="55">
        <f>IF(B544="","",IF(OR(O544="Cancelled",O544="No-Show"),"",ROUND(R544*W544*(1+Burden),2)))</f>
        <v/>
      </c>
      <c r="Y544" s="55">
        <f>IF(B544="","",IF(OR(O544="Cancelled",O544="No-Show"),"",IF(N544&lt;&gt;"",N544,ROUND(R544*SupHr*IFERROR(INDEX('PRICING'!$G$7:$G$16,MATCH(F544,'PRICING'!$A$7:$A$16,0)),1),2))))</f>
        <v/>
      </c>
      <c r="Z544" s="98">
        <f>IF(B544="","",SUMIFS('MILEAGE'!$J$5:$J$1504,'MILEAGE'!$B$5:$B$1504,A544))</f>
        <v/>
      </c>
      <c r="AA544" s="55">
        <f>IF(B544="","",ROUND(Z544*MileRate,2))</f>
        <v/>
      </c>
      <c r="AB544" s="55">
        <f>IF(B544="","",SUMIFS('REVENUE'!$J$5:$J$1504,'REVENUE'!$B$5:$B$1504,A544))</f>
        <v/>
      </c>
      <c r="AC544" s="55">
        <f>IF(L544="","",IF(OR(O544="Cancelled",O544="No-Show"),"",L544-N(X544)-N(Y544)-AA544-AB544))</f>
        <v/>
      </c>
      <c r="AD544" s="99">
        <f>IF(OR(AC544="",N(L544)=0),"",AC544/L544)</f>
        <v/>
      </c>
      <c r="AE544" s="55">
        <f>IF(OR(AC544="",N(R544)=0),"",L544/R544)</f>
        <v/>
      </c>
      <c r="AF544" s="100">
        <f>IF(OR(N(K544)=0,N(J544)+N(Q544)=0),"",K544-IF(N(J544)&gt;0,J544,Q544))</f>
        <v/>
      </c>
      <c r="AG544" s="99">
        <f>IF(B544="","",IFERROR(AVERAGEIFS('QUALITY CONTROL'!$M$5:$M$304,'QUALITY CONTROL'!$B$5:$B$304,A544),""))</f>
        <v/>
      </c>
      <c r="AH544" s="51">
        <f>IF(B544="","",DATE(YEAR(B544),MONTH(B544),1))</f>
        <v/>
      </c>
      <c r="AI544" s="49">
        <f>IF(D544="","",IFERROR(INDEX('CUSTOMERS'!$E$5:$E$404,MATCH(D544,'CUSTOMERS'!$B$5:$B$404,0)),""))</f>
        <v/>
      </c>
      <c r="AJ544" s="49">
        <f>IF(B544="","",N(C544))</f>
        <v/>
      </c>
      <c r="AK544" s="49">
        <f>IF(OR(B544="",O544="Cancelled",O544="Rescheduled"),"",B544&amp;"|"&amp;(COUNTIFS('JOBS'!$B$5:$B$1504,B544,'JOBS'!$AJ$5:$AJ$1504,"&lt;"&amp;AJ544,'JOBS'!$O$5:$O$1504,"&lt;&gt;Cancelled",'JOBS'!$O$5:$O$1504,"&lt;&gt;Rescheduled")+COUNTIFS($B$5:B544,B544,$AJ$5:AJ544,AJ544,$O$5:O544,"&lt;&gt;Cancelled",$O$5:O544,"&lt;&gt;Rescheduled")))</f>
        <v/>
      </c>
      <c r="AL544" s="49">
        <f>IF(N(U544)&lt;=0.005,"",COUNTIFS('JOBS'!$U$5:$U$1504,"&gt;0.005",'JOBS'!$B$5:$B$1504,"&lt;"&amp;B544)+COUNTIFS($U$5:U544,"&gt;0.005",$B$5:B544,B544))</f>
        <v/>
      </c>
    </row>
    <row r="545">
      <c r="A545" s="46" t="inlineStr">
        <is>
          <t>J-0541</t>
        </is>
      </c>
      <c r="B545" s="47" t="n"/>
      <c r="C545" s="94" t="n"/>
      <c r="D545" s="38" t="n"/>
      <c r="E545" s="38" t="n"/>
      <c r="F545" s="38" t="n"/>
      <c r="G545" s="38" t="n"/>
      <c r="H545" s="38" t="n"/>
      <c r="I545" s="57" t="n"/>
      <c r="J545" s="95" t="n"/>
      <c r="K545" s="95" t="n"/>
      <c r="L545" s="48" t="n"/>
      <c r="M545" s="96" t="n"/>
      <c r="N545" s="48" t="n"/>
      <c r="O545" s="38" t="n"/>
      <c r="P545" s="38" t="n"/>
      <c r="Q545" s="97">
        <f>IF(OR(F545="",E545=""),"",IFERROR(IF(INDEX('PROPERTIES'!$F$5:$F$404,MATCH(E545,'PROPERTIES'!$B$5:$B$404,0))=0,"",ROUND((INDEX('PROPERTIES'!$F$5:$F$404,MATCH(E545,'PROPERTIES'!$B$5:$B$404,0))/INDEX('PRICING'!$C$7:$C$16,MATCH(F545,'PRICING'!$A$7:$A$16,0))+INDEX('PROPERTIES'!$G$5:$G$404,MATCH(E545,'PROPERTIES'!$B$5:$B$404,0))*INDEX('PRICING'!$D$7:$D$16,MATCH(F545,'PRICING'!$A$7:$A$16,0))/60+INDEX('PROPERTIES'!$H$5:$H$404,MATCH(E545,'PROPERTIES'!$B$5:$B$404,0))*INDEX('PRICING'!$E$7:$E$16,MATCH(F545,'PRICING'!$A$7:$A$16,0))/60+INDEX('PRICING'!$F$7:$F$16,MATCH(F545,'PRICING'!$A$7:$A$16,0))/60),2)),""))</f>
        <v/>
      </c>
      <c r="R545" s="97">
        <f>IF(B545="","",IF(N(K545)&gt;0,K545,IF(N(J545)&gt;0,J545,N(Q545))))</f>
        <v/>
      </c>
      <c r="S545" s="55">
        <f>IF(L545="","",ROUND(L545*(1+N(M545)),2))</f>
        <v/>
      </c>
      <c r="T545" s="55">
        <f>IF(B545="","",SUMIFS('REVENUE'!$C$5:$C$1504,'REVENUE'!$B$5:$B$1504,A545))</f>
        <v/>
      </c>
      <c r="U545" s="55">
        <f>IF(B545="","",IF(O545="Completed",MAX(0,N(S545)-T545),""))</f>
        <v/>
      </c>
      <c r="V545" s="49">
        <f>IF(B545="","",IF(O545&lt;&gt;"Completed",IF(T545&gt;0,"Deposit","—"),IF(U545&lt;=0.005,"Paid",IF(T545&gt;0,"Partial","Unpaid"))))</f>
        <v/>
      </c>
      <c r="W545" s="55">
        <f>IF(B545="","",IFERROR(1/(1/INDEX('STAFF &amp; TASKS'!$C$5:$C$24,MATCH(H545,'STAFF &amp; TASKS'!$A$5:$A$24,0))),PayRate))</f>
        <v/>
      </c>
      <c r="X545" s="55">
        <f>IF(B545="","",IF(OR(O545="Cancelled",O545="No-Show"),"",ROUND(R545*W545*(1+Burden),2)))</f>
        <v/>
      </c>
      <c r="Y545" s="55">
        <f>IF(B545="","",IF(OR(O545="Cancelled",O545="No-Show"),"",IF(N545&lt;&gt;"",N545,ROUND(R545*SupHr*IFERROR(INDEX('PRICING'!$G$7:$G$16,MATCH(F545,'PRICING'!$A$7:$A$16,0)),1),2))))</f>
        <v/>
      </c>
      <c r="Z545" s="98">
        <f>IF(B545="","",SUMIFS('MILEAGE'!$J$5:$J$1504,'MILEAGE'!$B$5:$B$1504,A545))</f>
        <v/>
      </c>
      <c r="AA545" s="55">
        <f>IF(B545="","",ROUND(Z545*MileRate,2))</f>
        <v/>
      </c>
      <c r="AB545" s="55">
        <f>IF(B545="","",SUMIFS('REVENUE'!$J$5:$J$1504,'REVENUE'!$B$5:$B$1504,A545))</f>
        <v/>
      </c>
      <c r="AC545" s="55">
        <f>IF(L545="","",IF(OR(O545="Cancelled",O545="No-Show"),"",L545-N(X545)-N(Y545)-AA545-AB545))</f>
        <v/>
      </c>
      <c r="AD545" s="99">
        <f>IF(OR(AC545="",N(L545)=0),"",AC545/L545)</f>
        <v/>
      </c>
      <c r="AE545" s="55">
        <f>IF(OR(AC545="",N(R545)=0),"",L545/R545)</f>
        <v/>
      </c>
      <c r="AF545" s="100">
        <f>IF(OR(N(K545)=0,N(J545)+N(Q545)=0),"",K545-IF(N(J545)&gt;0,J545,Q545))</f>
        <v/>
      </c>
      <c r="AG545" s="99">
        <f>IF(B545="","",IFERROR(AVERAGEIFS('QUALITY CONTROL'!$M$5:$M$304,'QUALITY CONTROL'!$B$5:$B$304,A545),""))</f>
        <v/>
      </c>
      <c r="AH545" s="51">
        <f>IF(B545="","",DATE(YEAR(B545),MONTH(B545),1))</f>
        <v/>
      </c>
      <c r="AI545" s="49">
        <f>IF(D545="","",IFERROR(INDEX('CUSTOMERS'!$E$5:$E$404,MATCH(D545,'CUSTOMERS'!$B$5:$B$404,0)),""))</f>
        <v/>
      </c>
      <c r="AJ545" s="49">
        <f>IF(B545="","",N(C545))</f>
        <v/>
      </c>
      <c r="AK545" s="49">
        <f>IF(OR(B545="",O545="Cancelled",O545="Rescheduled"),"",B545&amp;"|"&amp;(COUNTIFS('JOBS'!$B$5:$B$1504,B545,'JOBS'!$AJ$5:$AJ$1504,"&lt;"&amp;AJ545,'JOBS'!$O$5:$O$1504,"&lt;&gt;Cancelled",'JOBS'!$O$5:$O$1504,"&lt;&gt;Rescheduled")+COUNTIFS($B$5:B545,B545,$AJ$5:AJ545,AJ545,$O$5:O545,"&lt;&gt;Cancelled",$O$5:O545,"&lt;&gt;Rescheduled")))</f>
        <v/>
      </c>
      <c r="AL545" s="49">
        <f>IF(N(U545)&lt;=0.005,"",COUNTIFS('JOBS'!$U$5:$U$1504,"&gt;0.005",'JOBS'!$B$5:$B$1504,"&lt;"&amp;B545)+COUNTIFS($U$5:U545,"&gt;0.005",$B$5:B545,B545))</f>
        <v/>
      </c>
    </row>
    <row r="546">
      <c r="A546" s="46" t="inlineStr">
        <is>
          <t>J-0542</t>
        </is>
      </c>
      <c r="B546" s="47" t="n"/>
      <c r="C546" s="94" t="n"/>
      <c r="D546" s="38" t="n"/>
      <c r="E546" s="38" t="n"/>
      <c r="F546" s="38" t="n"/>
      <c r="G546" s="38" t="n"/>
      <c r="H546" s="38" t="n"/>
      <c r="I546" s="57" t="n"/>
      <c r="J546" s="95" t="n"/>
      <c r="K546" s="95" t="n"/>
      <c r="L546" s="48" t="n"/>
      <c r="M546" s="96" t="n"/>
      <c r="N546" s="48" t="n"/>
      <c r="O546" s="38" t="n"/>
      <c r="P546" s="38" t="n"/>
      <c r="Q546" s="97">
        <f>IF(OR(F546="",E546=""),"",IFERROR(IF(INDEX('PROPERTIES'!$F$5:$F$404,MATCH(E546,'PROPERTIES'!$B$5:$B$404,0))=0,"",ROUND((INDEX('PROPERTIES'!$F$5:$F$404,MATCH(E546,'PROPERTIES'!$B$5:$B$404,0))/INDEX('PRICING'!$C$7:$C$16,MATCH(F546,'PRICING'!$A$7:$A$16,0))+INDEX('PROPERTIES'!$G$5:$G$404,MATCH(E546,'PROPERTIES'!$B$5:$B$404,0))*INDEX('PRICING'!$D$7:$D$16,MATCH(F546,'PRICING'!$A$7:$A$16,0))/60+INDEX('PROPERTIES'!$H$5:$H$404,MATCH(E546,'PROPERTIES'!$B$5:$B$404,0))*INDEX('PRICING'!$E$7:$E$16,MATCH(F546,'PRICING'!$A$7:$A$16,0))/60+INDEX('PRICING'!$F$7:$F$16,MATCH(F546,'PRICING'!$A$7:$A$16,0))/60),2)),""))</f>
        <v/>
      </c>
      <c r="R546" s="97">
        <f>IF(B546="","",IF(N(K546)&gt;0,K546,IF(N(J546)&gt;0,J546,N(Q546))))</f>
        <v/>
      </c>
      <c r="S546" s="55">
        <f>IF(L546="","",ROUND(L546*(1+N(M546)),2))</f>
        <v/>
      </c>
      <c r="T546" s="55">
        <f>IF(B546="","",SUMIFS('REVENUE'!$C$5:$C$1504,'REVENUE'!$B$5:$B$1504,A546))</f>
        <v/>
      </c>
      <c r="U546" s="55">
        <f>IF(B546="","",IF(O546="Completed",MAX(0,N(S546)-T546),""))</f>
        <v/>
      </c>
      <c r="V546" s="49">
        <f>IF(B546="","",IF(O546&lt;&gt;"Completed",IF(T546&gt;0,"Deposit","—"),IF(U546&lt;=0.005,"Paid",IF(T546&gt;0,"Partial","Unpaid"))))</f>
        <v/>
      </c>
      <c r="W546" s="55">
        <f>IF(B546="","",IFERROR(1/(1/INDEX('STAFF &amp; TASKS'!$C$5:$C$24,MATCH(H546,'STAFF &amp; TASKS'!$A$5:$A$24,0))),PayRate))</f>
        <v/>
      </c>
      <c r="X546" s="55">
        <f>IF(B546="","",IF(OR(O546="Cancelled",O546="No-Show"),"",ROUND(R546*W546*(1+Burden),2)))</f>
        <v/>
      </c>
      <c r="Y546" s="55">
        <f>IF(B546="","",IF(OR(O546="Cancelled",O546="No-Show"),"",IF(N546&lt;&gt;"",N546,ROUND(R546*SupHr*IFERROR(INDEX('PRICING'!$G$7:$G$16,MATCH(F546,'PRICING'!$A$7:$A$16,0)),1),2))))</f>
        <v/>
      </c>
      <c r="Z546" s="98">
        <f>IF(B546="","",SUMIFS('MILEAGE'!$J$5:$J$1504,'MILEAGE'!$B$5:$B$1504,A546))</f>
        <v/>
      </c>
      <c r="AA546" s="55">
        <f>IF(B546="","",ROUND(Z546*MileRate,2))</f>
        <v/>
      </c>
      <c r="AB546" s="55">
        <f>IF(B546="","",SUMIFS('REVENUE'!$J$5:$J$1504,'REVENUE'!$B$5:$B$1504,A546))</f>
        <v/>
      </c>
      <c r="AC546" s="55">
        <f>IF(L546="","",IF(OR(O546="Cancelled",O546="No-Show"),"",L546-N(X546)-N(Y546)-AA546-AB546))</f>
        <v/>
      </c>
      <c r="AD546" s="99">
        <f>IF(OR(AC546="",N(L546)=0),"",AC546/L546)</f>
        <v/>
      </c>
      <c r="AE546" s="55">
        <f>IF(OR(AC546="",N(R546)=0),"",L546/R546)</f>
        <v/>
      </c>
      <c r="AF546" s="100">
        <f>IF(OR(N(K546)=0,N(J546)+N(Q546)=0),"",K546-IF(N(J546)&gt;0,J546,Q546))</f>
        <v/>
      </c>
      <c r="AG546" s="99">
        <f>IF(B546="","",IFERROR(AVERAGEIFS('QUALITY CONTROL'!$M$5:$M$304,'QUALITY CONTROL'!$B$5:$B$304,A546),""))</f>
        <v/>
      </c>
      <c r="AH546" s="51">
        <f>IF(B546="","",DATE(YEAR(B546),MONTH(B546),1))</f>
        <v/>
      </c>
      <c r="AI546" s="49">
        <f>IF(D546="","",IFERROR(INDEX('CUSTOMERS'!$E$5:$E$404,MATCH(D546,'CUSTOMERS'!$B$5:$B$404,0)),""))</f>
        <v/>
      </c>
      <c r="AJ546" s="49">
        <f>IF(B546="","",N(C546))</f>
        <v/>
      </c>
      <c r="AK546" s="49">
        <f>IF(OR(B546="",O546="Cancelled",O546="Rescheduled"),"",B546&amp;"|"&amp;(COUNTIFS('JOBS'!$B$5:$B$1504,B546,'JOBS'!$AJ$5:$AJ$1504,"&lt;"&amp;AJ546,'JOBS'!$O$5:$O$1504,"&lt;&gt;Cancelled",'JOBS'!$O$5:$O$1504,"&lt;&gt;Rescheduled")+COUNTIFS($B$5:B546,B546,$AJ$5:AJ546,AJ546,$O$5:O546,"&lt;&gt;Cancelled",$O$5:O546,"&lt;&gt;Rescheduled")))</f>
        <v/>
      </c>
      <c r="AL546" s="49">
        <f>IF(N(U546)&lt;=0.005,"",COUNTIFS('JOBS'!$U$5:$U$1504,"&gt;0.005",'JOBS'!$B$5:$B$1504,"&lt;"&amp;B546)+COUNTIFS($U$5:U546,"&gt;0.005",$B$5:B546,B546))</f>
        <v/>
      </c>
    </row>
    <row r="547">
      <c r="A547" s="46" t="inlineStr">
        <is>
          <t>J-0543</t>
        </is>
      </c>
      <c r="B547" s="47" t="n"/>
      <c r="C547" s="94" t="n"/>
      <c r="D547" s="38" t="n"/>
      <c r="E547" s="38" t="n"/>
      <c r="F547" s="38" t="n"/>
      <c r="G547" s="38" t="n"/>
      <c r="H547" s="38" t="n"/>
      <c r="I547" s="57" t="n"/>
      <c r="J547" s="95" t="n"/>
      <c r="K547" s="95" t="n"/>
      <c r="L547" s="48" t="n"/>
      <c r="M547" s="96" t="n"/>
      <c r="N547" s="48" t="n"/>
      <c r="O547" s="38" t="n"/>
      <c r="P547" s="38" t="n"/>
      <c r="Q547" s="97">
        <f>IF(OR(F547="",E547=""),"",IFERROR(IF(INDEX('PROPERTIES'!$F$5:$F$404,MATCH(E547,'PROPERTIES'!$B$5:$B$404,0))=0,"",ROUND((INDEX('PROPERTIES'!$F$5:$F$404,MATCH(E547,'PROPERTIES'!$B$5:$B$404,0))/INDEX('PRICING'!$C$7:$C$16,MATCH(F547,'PRICING'!$A$7:$A$16,0))+INDEX('PROPERTIES'!$G$5:$G$404,MATCH(E547,'PROPERTIES'!$B$5:$B$404,0))*INDEX('PRICING'!$D$7:$D$16,MATCH(F547,'PRICING'!$A$7:$A$16,0))/60+INDEX('PROPERTIES'!$H$5:$H$404,MATCH(E547,'PROPERTIES'!$B$5:$B$404,0))*INDEX('PRICING'!$E$7:$E$16,MATCH(F547,'PRICING'!$A$7:$A$16,0))/60+INDEX('PRICING'!$F$7:$F$16,MATCH(F547,'PRICING'!$A$7:$A$16,0))/60),2)),""))</f>
        <v/>
      </c>
      <c r="R547" s="97">
        <f>IF(B547="","",IF(N(K547)&gt;0,K547,IF(N(J547)&gt;0,J547,N(Q547))))</f>
        <v/>
      </c>
      <c r="S547" s="55">
        <f>IF(L547="","",ROUND(L547*(1+N(M547)),2))</f>
        <v/>
      </c>
      <c r="T547" s="55">
        <f>IF(B547="","",SUMIFS('REVENUE'!$C$5:$C$1504,'REVENUE'!$B$5:$B$1504,A547))</f>
        <v/>
      </c>
      <c r="U547" s="55">
        <f>IF(B547="","",IF(O547="Completed",MAX(0,N(S547)-T547),""))</f>
        <v/>
      </c>
      <c r="V547" s="49">
        <f>IF(B547="","",IF(O547&lt;&gt;"Completed",IF(T547&gt;0,"Deposit","—"),IF(U547&lt;=0.005,"Paid",IF(T547&gt;0,"Partial","Unpaid"))))</f>
        <v/>
      </c>
      <c r="W547" s="55">
        <f>IF(B547="","",IFERROR(1/(1/INDEX('STAFF &amp; TASKS'!$C$5:$C$24,MATCH(H547,'STAFF &amp; TASKS'!$A$5:$A$24,0))),PayRate))</f>
        <v/>
      </c>
      <c r="X547" s="55">
        <f>IF(B547="","",IF(OR(O547="Cancelled",O547="No-Show"),"",ROUND(R547*W547*(1+Burden),2)))</f>
        <v/>
      </c>
      <c r="Y547" s="55">
        <f>IF(B547="","",IF(OR(O547="Cancelled",O547="No-Show"),"",IF(N547&lt;&gt;"",N547,ROUND(R547*SupHr*IFERROR(INDEX('PRICING'!$G$7:$G$16,MATCH(F547,'PRICING'!$A$7:$A$16,0)),1),2))))</f>
        <v/>
      </c>
      <c r="Z547" s="98">
        <f>IF(B547="","",SUMIFS('MILEAGE'!$J$5:$J$1504,'MILEAGE'!$B$5:$B$1504,A547))</f>
        <v/>
      </c>
      <c r="AA547" s="55">
        <f>IF(B547="","",ROUND(Z547*MileRate,2))</f>
        <v/>
      </c>
      <c r="AB547" s="55">
        <f>IF(B547="","",SUMIFS('REVENUE'!$J$5:$J$1504,'REVENUE'!$B$5:$B$1504,A547))</f>
        <v/>
      </c>
      <c r="AC547" s="55">
        <f>IF(L547="","",IF(OR(O547="Cancelled",O547="No-Show"),"",L547-N(X547)-N(Y547)-AA547-AB547))</f>
        <v/>
      </c>
      <c r="AD547" s="99">
        <f>IF(OR(AC547="",N(L547)=0),"",AC547/L547)</f>
        <v/>
      </c>
      <c r="AE547" s="55">
        <f>IF(OR(AC547="",N(R547)=0),"",L547/R547)</f>
        <v/>
      </c>
      <c r="AF547" s="100">
        <f>IF(OR(N(K547)=0,N(J547)+N(Q547)=0),"",K547-IF(N(J547)&gt;0,J547,Q547))</f>
        <v/>
      </c>
      <c r="AG547" s="99">
        <f>IF(B547="","",IFERROR(AVERAGEIFS('QUALITY CONTROL'!$M$5:$M$304,'QUALITY CONTROL'!$B$5:$B$304,A547),""))</f>
        <v/>
      </c>
      <c r="AH547" s="51">
        <f>IF(B547="","",DATE(YEAR(B547),MONTH(B547),1))</f>
        <v/>
      </c>
      <c r="AI547" s="49">
        <f>IF(D547="","",IFERROR(INDEX('CUSTOMERS'!$E$5:$E$404,MATCH(D547,'CUSTOMERS'!$B$5:$B$404,0)),""))</f>
        <v/>
      </c>
      <c r="AJ547" s="49">
        <f>IF(B547="","",N(C547))</f>
        <v/>
      </c>
      <c r="AK547" s="49">
        <f>IF(OR(B547="",O547="Cancelled",O547="Rescheduled"),"",B547&amp;"|"&amp;(COUNTIFS('JOBS'!$B$5:$B$1504,B547,'JOBS'!$AJ$5:$AJ$1504,"&lt;"&amp;AJ547,'JOBS'!$O$5:$O$1504,"&lt;&gt;Cancelled",'JOBS'!$O$5:$O$1504,"&lt;&gt;Rescheduled")+COUNTIFS($B$5:B547,B547,$AJ$5:AJ547,AJ547,$O$5:O547,"&lt;&gt;Cancelled",$O$5:O547,"&lt;&gt;Rescheduled")))</f>
        <v/>
      </c>
      <c r="AL547" s="49">
        <f>IF(N(U547)&lt;=0.005,"",COUNTIFS('JOBS'!$U$5:$U$1504,"&gt;0.005",'JOBS'!$B$5:$B$1504,"&lt;"&amp;B547)+COUNTIFS($U$5:U547,"&gt;0.005",$B$5:B547,B547))</f>
        <v/>
      </c>
    </row>
    <row r="548">
      <c r="A548" s="46" t="inlineStr">
        <is>
          <t>J-0544</t>
        </is>
      </c>
      <c r="B548" s="47" t="n"/>
      <c r="C548" s="94" t="n"/>
      <c r="D548" s="38" t="n"/>
      <c r="E548" s="38" t="n"/>
      <c r="F548" s="38" t="n"/>
      <c r="G548" s="38" t="n"/>
      <c r="H548" s="38" t="n"/>
      <c r="I548" s="57" t="n"/>
      <c r="J548" s="95" t="n"/>
      <c r="K548" s="95" t="n"/>
      <c r="L548" s="48" t="n"/>
      <c r="M548" s="96" t="n"/>
      <c r="N548" s="48" t="n"/>
      <c r="O548" s="38" t="n"/>
      <c r="P548" s="38" t="n"/>
      <c r="Q548" s="97">
        <f>IF(OR(F548="",E548=""),"",IFERROR(IF(INDEX('PROPERTIES'!$F$5:$F$404,MATCH(E548,'PROPERTIES'!$B$5:$B$404,0))=0,"",ROUND((INDEX('PROPERTIES'!$F$5:$F$404,MATCH(E548,'PROPERTIES'!$B$5:$B$404,0))/INDEX('PRICING'!$C$7:$C$16,MATCH(F548,'PRICING'!$A$7:$A$16,0))+INDEX('PROPERTIES'!$G$5:$G$404,MATCH(E548,'PROPERTIES'!$B$5:$B$404,0))*INDEX('PRICING'!$D$7:$D$16,MATCH(F548,'PRICING'!$A$7:$A$16,0))/60+INDEX('PROPERTIES'!$H$5:$H$404,MATCH(E548,'PROPERTIES'!$B$5:$B$404,0))*INDEX('PRICING'!$E$7:$E$16,MATCH(F548,'PRICING'!$A$7:$A$16,0))/60+INDEX('PRICING'!$F$7:$F$16,MATCH(F548,'PRICING'!$A$7:$A$16,0))/60),2)),""))</f>
        <v/>
      </c>
      <c r="R548" s="97">
        <f>IF(B548="","",IF(N(K548)&gt;0,K548,IF(N(J548)&gt;0,J548,N(Q548))))</f>
        <v/>
      </c>
      <c r="S548" s="55">
        <f>IF(L548="","",ROUND(L548*(1+N(M548)),2))</f>
        <v/>
      </c>
      <c r="T548" s="55">
        <f>IF(B548="","",SUMIFS('REVENUE'!$C$5:$C$1504,'REVENUE'!$B$5:$B$1504,A548))</f>
        <v/>
      </c>
      <c r="U548" s="55">
        <f>IF(B548="","",IF(O548="Completed",MAX(0,N(S548)-T548),""))</f>
        <v/>
      </c>
      <c r="V548" s="49">
        <f>IF(B548="","",IF(O548&lt;&gt;"Completed",IF(T548&gt;0,"Deposit","—"),IF(U548&lt;=0.005,"Paid",IF(T548&gt;0,"Partial","Unpaid"))))</f>
        <v/>
      </c>
      <c r="W548" s="55">
        <f>IF(B548="","",IFERROR(1/(1/INDEX('STAFF &amp; TASKS'!$C$5:$C$24,MATCH(H548,'STAFF &amp; TASKS'!$A$5:$A$24,0))),PayRate))</f>
        <v/>
      </c>
      <c r="X548" s="55">
        <f>IF(B548="","",IF(OR(O548="Cancelled",O548="No-Show"),"",ROUND(R548*W548*(1+Burden),2)))</f>
        <v/>
      </c>
      <c r="Y548" s="55">
        <f>IF(B548="","",IF(OR(O548="Cancelled",O548="No-Show"),"",IF(N548&lt;&gt;"",N548,ROUND(R548*SupHr*IFERROR(INDEX('PRICING'!$G$7:$G$16,MATCH(F548,'PRICING'!$A$7:$A$16,0)),1),2))))</f>
        <v/>
      </c>
      <c r="Z548" s="98">
        <f>IF(B548="","",SUMIFS('MILEAGE'!$J$5:$J$1504,'MILEAGE'!$B$5:$B$1504,A548))</f>
        <v/>
      </c>
      <c r="AA548" s="55">
        <f>IF(B548="","",ROUND(Z548*MileRate,2))</f>
        <v/>
      </c>
      <c r="AB548" s="55">
        <f>IF(B548="","",SUMIFS('REVENUE'!$J$5:$J$1504,'REVENUE'!$B$5:$B$1504,A548))</f>
        <v/>
      </c>
      <c r="AC548" s="55">
        <f>IF(L548="","",IF(OR(O548="Cancelled",O548="No-Show"),"",L548-N(X548)-N(Y548)-AA548-AB548))</f>
        <v/>
      </c>
      <c r="AD548" s="99">
        <f>IF(OR(AC548="",N(L548)=0),"",AC548/L548)</f>
        <v/>
      </c>
      <c r="AE548" s="55">
        <f>IF(OR(AC548="",N(R548)=0),"",L548/R548)</f>
        <v/>
      </c>
      <c r="AF548" s="100">
        <f>IF(OR(N(K548)=0,N(J548)+N(Q548)=0),"",K548-IF(N(J548)&gt;0,J548,Q548))</f>
        <v/>
      </c>
      <c r="AG548" s="99">
        <f>IF(B548="","",IFERROR(AVERAGEIFS('QUALITY CONTROL'!$M$5:$M$304,'QUALITY CONTROL'!$B$5:$B$304,A548),""))</f>
        <v/>
      </c>
      <c r="AH548" s="51">
        <f>IF(B548="","",DATE(YEAR(B548),MONTH(B548),1))</f>
        <v/>
      </c>
      <c r="AI548" s="49">
        <f>IF(D548="","",IFERROR(INDEX('CUSTOMERS'!$E$5:$E$404,MATCH(D548,'CUSTOMERS'!$B$5:$B$404,0)),""))</f>
        <v/>
      </c>
      <c r="AJ548" s="49">
        <f>IF(B548="","",N(C548))</f>
        <v/>
      </c>
      <c r="AK548" s="49">
        <f>IF(OR(B548="",O548="Cancelled",O548="Rescheduled"),"",B548&amp;"|"&amp;(COUNTIFS('JOBS'!$B$5:$B$1504,B548,'JOBS'!$AJ$5:$AJ$1504,"&lt;"&amp;AJ548,'JOBS'!$O$5:$O$1504,"&lt;&gt;Cancelled",'JOBS'!$O$5:$O$1504,"&lt;&gt;Rescheduled")+COUNTIFS($B$5:B548,B548,$AJ$5:AJ548,AJ548,$O$5:O548,"&lt;&gt;Cancelled",$O$5:O548,"&lt;&gt;Rescheduled")))</f>
        <v/>
      </c>
      <c r="AL548" s="49">
        <f>IF(N(U548)&lt;=0.005,"",COUNTIFS('JOBS'!$U$5:$U$1504,"&gt;0.005",'JOBS'!$B$5:$B$1504,"&lt;"&amp;B548)+COUNTIFS($U$5:U548,"&gt;0.005",$B$5:B548,B548))</f>
        <v/>
      </c>
    </row>
    <row r="549">
      <c r="A549" s="46" t="inlineStr">
        <is>
          <t>J-0545</t>
        </is>
      </c>
      <c r="B549" s="47" t="n"/>
      <c r="C549" s="94" t="n"/>
      <c r="D549" s="38" t="n"/>
      <c r="E549" s="38" t="n"/>
      <c r="F549" s="38" t="n"/>
      <c r="G549" s="38" t="n"/>
      <c r="H549" s="38" t="n"/>
      <c r="I549" s="57" t="n"/>
      <c r="J549" s="95" t="n"/>
      <c r="K549" s="95" t="n"/>
      <c r="L549" s="48" t="n"/>
      <c r="M549" s="96" t="n"/>
      <c r="N549" s="48" t="n"/>
      <c r="O549" s="38" t="n"/>
      <c r="P549" s="38" t="n"/>
      <c r="Q549" s="97">
        <f>IF(OR(F549="",E549=""),"",IFERROR(IF(INDEX('PROPERTIES'!$F$5:$F$404,MATCH(E549,'PROPERTIES'!$B$5:$B$404,0))=0,"",ROUND((INDEX('PROPERTIES'!$F$5:$F$404,MATCH(E549,'PROPERTIES'!$B$5:$B$404,0))/INDEX('PRICING'!$C$7:$C$16,MATCH(F549,'PRICING'!$A$7:$A$16,0))+INDEX('PROPERTIES'!$G$5:$G$404,MATCH(E549,'PROPERTIES'!$B$5:$B$404,0))*INDEX('PRICING'!$D$7:$D$16,MATCH(F549,'PRICING'!$A$7:$A$16,0))/60+INDEX('PROPERTIES'!$H$5:$H$404,MATCH(E549,'PROPERTIES'!$B$5:$B$404,0))*INDEX('PRICING'!$E$7:$E$16,MATCH(F549,'PRICING'!$A$7:$A$16,0))/60+INDEX('PRICING'!$F$7:$F$16,MATCH(F549,'PRICING'!$A$7:$A$16,0))/60),2)),""))</f>
        <v/>
      </c>
      <c r="R549" s="97">
        <f>IF(B549="","",IF(N(K549)&gt;0,K549,IF(N(J549)&gt;0,J549,N(Q549))))</f>
        <v/>
      </c>
      <c r="S549" s="55">
        <f>IF(L549="","",ROUND(L549*(1+N(M549)),2))</f>
        <v/>
      </c>
      <c r="T549" s="55">
        <f>IF(B549="","",SUMIFS('REVENUE'!$C$5:$C$1504,'REVENUE'!$B$5:$B$1504,A549))</f>
        <v/>
      </c>
      <c r="U549" s="55">
        <f>IF(B549="","",IF(O549="Completed",MAX(0,N(S549)-T549),""))</f>
        <v/>
      </c>
      <c r="V549" s="49">
        <f>IF(B549="","",IF(O549&lt;&gt;"Completed",IF(T549&gt;0,"Deposit","—"),IF(U549&lt;=0.005,"Paid",IF(T549&gt;0,"Partial","Unpaid"))))</f>
        <v/>
      </c>
      <c r="W549" s="55">
        <f>IF(B549="","",IFERROR(1/(1/INDEX('STAFF &amp; TASKS'!$C$5:$C$24,MATCH(H549,'STAFF &amp; TASKS'!$A$5:$A$24,0))),PayRate))</f>
        <v/>
      </c>
      <c r="X549" s="55">
        <f>IF(B549="","",IF(OR(O549="Cancelled",O549="No-Show"),"",ROUND(R549*W549*(1+Burden),2)))</f>
        <v/>
      </c>
      <c r="Y549" s="55">
        <f>IF(B549="","",IF(OR(O549="Cancelled",O549="No-Show"),"",IF(N549&lt;&gt;"",N549,ROUND(R549*SupHr*IFERROR(INDEX('PRICING'!$G$7:$G$16,MATCH(F549,'PRICING'!$A$7:$A$16,0)),1),2))))</f>
        <v/>
      </c>
      <c r="Z549" s="98">
        <f>IF(B549="","",SUMIFS('MILEAGE'!$J$5:$J$1504,'MILEAGE'!$B$5:$B$1504,A549))</f>
        <v/>
      </c>
      <c r="AA549" s="55">
        <f>IF(B549="","",ROUND(Z549*MileRate,2))</f>
        <v/>
      </c>
      <c r="AB549" s="55">
        <f>IF(B549="","",SUMIFS('REVENUE'!$J$5:$J$1504,'REVENUE'!$B$5:$B$1504,A549))</f>
        <v/>
      </c>
      <c r="AC549" s="55">
        <f>IF(L549="","",IF(OR(O549="Cancelled",O549="No-Show"),"",L549-N(X549)-N(Y549)-AA549-AB549))</f>
        <v/>
      </c>
      <c r="AD549" s="99">
        <f>IF(OR(AC549="",N(L549)=0),"",AC549/L549)</f>
        <v/>
      </c>
      <c r="AE549" s="55">
        <f>IF(OR(AC549="",N(R549)=0),"",L549/R549)</f>
        <v/>
      </c>
      <c r="AF549" s="100">
        <f>IF(OR(N(K549)=0,N(J549)+N(Q549)=0),"",K549-IF(N(J549)&gt;0,J549,Q549))</f>
        <v/>
      </c>
      <c r="AG549" s="99">
        <f>IF(B549="","",IFERROR(AVERAGEIFS('QUALITY CONTROL'!$M$5:$M$304,'QUALITY CONTROL'!$B$5:$B$304,A549),""))</f>
        <v/>
      </c>
      <c r="AH549" s="51">
        <f>IF(B549="","",DATE(YEAR(B549),MONTH(B549),1))</f>
        <v/>
      </c>
      <c r="AI549" s="49">
        <f>IF(D549="","",IFERROR(INDEX('CUSTOMERS'!$E$5:$E$404,MATCH(D549,'CUSTOMERS'!$B$5:$B$404,0)),""))</f>
        <v/>
      </c>
      <c r="AJ549" s="49">
        <f>IF(B549="","",N(C549))</f>
        <v/>
      </c>
      <c r="AK549" s="49">
        <f>IF(OR(B549="",O549="Cancelled",O549="Rescheduled"),"",B549&amp;"|"&amp;(COUNTIFS('JOBS'!$B$5:$B$1504,B549,'JOBS'!$AJ$5:$AJ$1504,"&lt;"&amp;AJ549,'JOBS'!$O$5:$O$1504,"&lt;&gt;Cancelled",'JOBS'!$O$5:$O$1504,"&lt;&gt;Rescheduled")+COUNTIFS($B$5:B549,B549,$AJ$5:AJ549,AJ549,$O$5:O549,"&lt;&gt;Cancelled",$O$5:O549,"&lt;&gt;Rescheduled")))</f>
        <v/>
      </c>
      <c r="AL549" s="49">
        <f>IF(N(U549)&lt;=0.005,"",COUNTIFS('JOBS'!$U$5:$U$1504,"&gt;0.005",'JOBS'!$B$5:$B$1504,"&lt;"&amp;B549)+COUNTIFS($U$5:U549,"&gt;0.005",$B$5:B549,B549))</f>
        <v/>
      </c>
    </row>
    <row r="550">
      <c r="A550" s="46" t="inlineStr">
        <is>
          <t>J-0546</t>
        </is>
      </c>
      <c r="B550" s="47" t="n"/>
      <c r="C550" s="94" t="n"/>
      <c r="D550" s="38" t="n"/>
      <c r="E550" s="38" t="n"/>
      <c r="F550" s="38" t="n"/>
      <c r="G550" s="38" t="n"/>
      <c r="H550" s="38" t="n"/>
      <c r="I550" s="57" t="n"/>
      <c r="J550" s="95" t="n"/>
      <c r="K550" s="95" t="n"/>
      <c r="L550" s="48" t="n"/>
      <c r="M550" s="96" t="n"/>
      <c r="N550" s="48" t="n"/>
      <c r="O550" s="38" t="n"/>
      <c r="P550" s="38" t="n"/>
      <c r="Q550" s="97">
        <f>IF(OR(F550="",E550=""),"",IFERROR(IF(INDEX('PROPERTIES'!$F$5:$F$404,MATCH(E550,'PROPERTIES'!$B$5:$B$404,0))=0,"",ROUND((INDEX('PROPERTIES'!$F$5:$F$404,MATCH(E550,'PROPERTIES'!$B$5:$B$404,0))/INDEX('PRICING'!$C$7:$C$16,MATCH(F550,'PRICING'!$A$7:$A$16,0))+INDEX('PROPERTIES'!$G$5:$G$404,MATCH(E550,'PROPERTIES'!$B$5:$B$404,0))*INDEX('PRICING'!$D$7:$D$16,MATCH(F550,'PRICING'!$A$7:$A$16,0))/60+INDEX('PROPERTIES'!$H$5:$H$404,MATCH(E550,'PROPERTIES'!$B$5:$B$404,0))*INDEX('PRICING'!$E$7:$E$16,MATCH(F550,'PRICING'!$A$7:$A$16,0))/60+INDEX('PRICING'!$F$7:$F$16,MATCH(F550,'PRICING'!$A$7:$A$16,0))/60),2)),""))</f>
        <v/>
      </c>
      <c r="R550" s="97">
        <f>IF(B550="","",IF(N(K550)&gt;0,K550,IF(N(J550)&gt;0,J550,N(Q550))))</f>
        <v/>
      </c>
      <c r="S550" s="55">
        <f>IF(L550="","",ROUND(L550*(1+N(M550)),2))</f>
        <v/>
      </c>
      <c r="T550" s="55">
        <f>IF(B550="","",SUMIFS('REVENUE'!$C$5:$C$1504,'REVENUE'!$B$5:$B$1504,A550))</f>
        <v/>
      </c>
      <c r="U550" s="55">
        <f>IF(B550="","",IF(O550="Completed",MAX(0,N(S550)-T550),""))</f>
        <v/>
      </c>
      <c r="V550" s="49">
        <f>IF(B550="","",IF(O550&lt;&gt;"Completed",IF(T550&gt;0,"Deposit","—"),IF(U550&lt;=0.005,"Paid",IF(T550&gt;0,"Partial","Unpaid"))))</f>
        <v/>
      </c>
      <c r="W550" s="55">
        <f>IF(B550="","",IFERROR(1/(1/INDEX('STAFF &amp; TASKS'!$C$5:$C$24,MATCH(H550,'STAFF &amp; TASKS'!$A$5:$A$24,0))),PayRate))</f>
        <v/>
      </c>
      <c r="X550" s="55">
        <f>IF(B550="","",IF(OR(O550="Cancelled",O550="No-Show"),"",ROUND(R550*W550*(1+Burden),2)))</f>
        <v/>
      </c>
      <c r="Y550" s="55">
        <f>IF(B550="","",IF(OR(O550="Cancelled",O550="No-Show"),"",IF(N550&lt;&gt;"",N550,ROUND(R550*SupHr*IFERROR(INDEX('PRICING'!$G$7:$G$16,MATCH(F550,'PRICING'!$A$7:$A$16,0)),1),2))))</f>
        <v/>
      </c>
      <c r="Z550" s="98">
        <f>IF(B550="","",SUMIFS('MILEAGE'!$J$5:$J$1504,'MILEAGE'!$B$5:$B$1504,A550))</f>
        <v/>
      </c>
      <c r="AA550" s="55">
        <f>IF(B550="","",ROUND(Z550*MileRate,2))</f>
        <v/>
      </c>
      <c r="AB550" s="55">
        <f>IF(B550="","",SUMIFS('REVENUE'!$J$5:$J$1504,'REVENUE'!$B$5:$B$1504,A550))</f>
        <v/>
      </c>
      <c r="AC550" s="55">
        <f>IF(L550="","",IF(OR(O550="Cancelled",O550="No-Show"),"",L550-N(X550)-N(Y550)-AA550-AB550))</f>
        <v/>
      </c>
      <c r="AD550" s="99">
        <f>IF(OR(AC550="",N(L550)=0),"",AC550/L550)</f>
        <v/>
      </c>
      <c r="AE550" s="55">
        <f>IF(OR(AC550="",N(R550)=0),"",L550/R550)</f>
        <v/>
      </c>
      <c r="AF550" s="100">
        <f>IF(OR(N(K550)=0,N(J550)+N(Q550)=0),"",K550-IF(N(J550)&gt;0,J550,Q550))</f>
        <v/>
      </c>
      <c r="AG550" s="99">
        <f>IF(B550="","",IFERROR(AVERAGEIFS('QUALITY CONTROL'!$M$5:$M$304,'QUALITY CONTROL'!$B$5:$B$304,A550),""))</f>
        <v/>
      </c>
      <c r="AH550" s="51">
        <f>IF(B550="","",DATE(YEAR(B550),MONTH(B550),1))</f>
        <v/>
      </c>
      <c r="AI550" s="49">
        <f>IF(D550="","",IFERROR(INDEX('CUSTOMERS'!$E$5:$E$404,MATCH(D550,'CUSTOMERS'!$B$5:$B$404,0)),""))</f>
        <v/>
      </c>
      <c r="AJ550" s="49">
        <f>IF(B550="","",N(C550))</f>
        <v/>
      </c>
      <c r="AK550" s="49">
        <f>IF(OR(B550="",O550="Cancelled",O550="Rescheduled"),"",B550&amp;"|"&amp;(COUNTIFS('JOBS'!$B$5:$B$1504,B550,'JOBS'!$AJ$5:$AJ$1504,"&lt;"&amp;AJ550,'JOBS'!$O$5:$O$1504,"&lt;&gt;Cancelled",'JOBS'!$O$5:$O$1504,"&lt;&gt;Rescheduled")+COUNTIFS($B$5:B550,B550,$AJ$5:AJ550,AJ550,$O$5:O550,"&lt;&gt;Cancelled",$O$5:O550,"&lt;&gt;Rescheduled")))</f>
        <v/>
      </c>
      <c r="AL550" s="49">
        <f>IF(N(U550)&lt;=0.005,"",COUNTIFS('JOBS'!$U$5:$U$1504,"&gt;0.005",'JOBS'!$B$5:$B$1504,"&lt;"&amp;B550)+COUNTIFS($U$5:U550,"&gt;0.005",$B$5:B550,B550))</f>
        <v/>
      </c>
    </row>
    <row r="551">
      <c r="A551" s="46" t="inlineStr">
        <is>
          <t>J-0547</t>
        </is>
      </c>
      <c r="B551" s="47" t="n"/>
      <c r="C551" s="94" t="n"/>
      <c r="D551" s="38" t="n"/>
      <c r="E551" s="38" t="n"/>
      <c r="F551" s="38" t="n"/>
      <c r="G551" s="38" t="n"/>
      <c r="H551" s="38" t="n"/>
      <c r="I551" s="57" t="n"/>
      <c r="J551" s="95" t="n"/>
      <c r="K551" s="95" t="n"/>
      <c r="L551" s="48" t="n"/>
      <c r="M551" s="96" t="n"/>
      <c r="N551" s="48" t="n"/>
      <c r="O551" s="38" t="n"/>
      <c r="P551" s="38" t="n"/>
      <c r="Q551" s="97">
        <f>IF(OR(F551="",E551=""),"",IFERROR(IF(INDEX('PROPERTIES'!$F$5:$F$404,MATCH(E551,'PROPERTIES'!$B$5:$B$404,0))=0,"",ROUND((INDEX('PROPERTIES'!$F$5:$F$404,MATCH(E551,'PROPERTIES'!$B$5:$B$404,0))/INDEX('PRICING'!$C$7:$C$16,MATCH(F551,'PRICING'!$A$7:$A$16,0))+INDEX('PROPERTIES'!$G$5:$G$404,MATCH(E551,'PROPERTIES'!$B$5:$B$404,0))*INDEX('PRICING'!$D$7:$D$16,MATCH(F551,'PRICING'!$A$7:$A$16,0))/60+INDEX('PROPERTIES'!$H$5:$H$404,MATCH(E551,'PROPERTIES'!$B$5:$B$404,0))*INDEX('PRICING'!$E$7:$E$16,MATCH(F551,'PRICING'!$A$7:$A$16,0))/60+INDEX('PRICING'!$F$7:$F$16,MATCH(F551,'PRICING'!$A$7:$A$16,0))/60),2)),""))</f>
        <v/>
      </c>
      <c r="R551" s="97">
        <f>IF(B551="","",IF(N(K551)&gt;0,K551,IF(N(J551)&gt;0,J551,N(Q551))))</f>
        <v/>
      </c>
      <c r="S551" s="55">
        <f>IF(L551="","",ROUND(L551*(1+N(M551)),2))</f>
        <v/>
      </c>
      <c r="T551" s="55">
        <f>IF(B551="","",SUMIFS('REVENUE'!$C$5:$C$1504,'REVENUE'!$B$5:$B$1504,A551))</f>
        <v/>
      </c>
      <c r="U551" s="55">
        <f>IF(B551="","",IF(O551="Completed",MAX(0,N(S551)-T551),""))</f>
        <v/>
      </c>
      <c r="V551" s="49">
        <f>IF(B551="","",IF(O551&lt;&gt;"Completed",IF(T551&gt;0,"Deposit","—"),IF(U551&lt;=0.005,"Paid",IF(T551&gt;0,"Partial","Unpaid"))))</f>
        <v/>
      </c>
      <c r="W551" s="55">
        <f>IF(B551="","",IFERROR(1/(1/INDEX('STAFF &amp; TASKS'!$C$5:$C$24,MATCH(H551,'STAFF &amp; TASKS'!$A$5:$A$24,0))),PayRate))</f>
        <v/>
      </c>
      <c r="X551" s="55">
        <f>IF(B551="","",IF(OR(O551="Cancelled",O551="No-Show"),"",ROUND(R551*W551*(1+Burden),2)))</f>
        <v/>
      </c>
      <c r="Y551" s="55">
        <f>IF(B551="","",IF(OR(O551="Cancelled",O551="No-Show"),"",IF(N551&lt;&gt;"",N551,ROUND(R551*SupHr*IFERROR(INDEX('PRICING'!$G$7:$G$16,MATCH(F551,'PRICING'!$A$7:$A$16,0)),1),2))))</f>
        <v/>
      </c>
      <c r="Z551" s="98">
        <f>IF(B551="","",SUMIFS('MILEAGE'!$J$5:$J$1504,'MILEAGE'!$B$5:$B$1504,A551))</f>
        <v/>
      </c>
      <c r="AA551" s="55">
        <f>IF(B551="","",ROUND(Z551*MileRate,2))</f>
        <v/>
      </c>
      <c r="AB551" s="55">
        <f>IF(B551="","",SUMIFS('REVENUE'!$J$5:$J$1504,'REVENUE'!$B$5:$B$1504,A551))</f>
        <v/>
      </c>
      <c r="AC551" s="55">
        <f>IF(L551="","",IF(OR(O551="Cancelled",O551="No-Show"),"",L551-N(X551)-N(Y551)-AA551-AB551))</f>
        <v/>
      </c>
      <c r="AD551" s="99">
        <f>IF(OR(AC551="",N(L551)=0),"",AC551/L551)</f>
        <v/>
      </c>
      <c r="AE551" s="55">
        <f>IF(OR(AC551="",N(R551)=0),"",L551/R551)</f>
        <v/>
      </c>
      <c r="AF551" s="100">
        <f>IF(OR(N(K551)=0,N(J551)+N(Q551)=0),"",K551-IF(N(J551)&gt;0,J551,Q551))</f>
        <v/>
      </c>
      <c r="AG551" s="99">
        <f>IF(B551="","",IFERROR(AVERAGEIFS('QUALITY CONTROL'!$M$5:$M$304,'QUALITY CONTROL'!$B$5:$B$304,A551),""))</f>
        <v/>
      </c>
      <c r="AH551" s="51">
        <f>IF(B551="","",DATE(YEAR(B551),MONTH(B551),1))</f>
        <v/>
      </c>
      <c r="AI551" s="49">
        <f>IF(D551="","",IFERROR(INDEX('CUSTOMERS'!$E$5:$E$404,MATCH(D551,'CUSTOMERS'!$B$5:$B$404,0)),""))</f>
        <v/>
      </c>
      <c r="AJ551" s="49">
        <f>IF(B551="","",N(C551))</f>
        <v/>
      </c>
      <c r="AK551" s="49">
        <f>IF(OR(B551="",O551="Cancelled",O551="Rescheduled"),"",B551&amp;"|"&amp;(COUNTIFS('JOBS'!$B$5:$B$1504,B551,'JOBS'!$AJ$5:$AJ$1504,"&lt;"&amp;AJ551,'JOBS'!$O$5:$O$1504,"&lt;&gt;Cancelled",'JOBS'!$O$5:$O$1504,"&lt;&gt;Rescheduled")+COUNTIFS($B$5:B551,B551,$AJ$5:AJ551,AJ551,$O$5:O551,"&lt;&gt;Cancelled",$O$5:O551,"&lt;&gt;Rescheduled")))</f>
        <v/>
      </c>
      <c r="AL551" s="49">
        <f>IF(N(U551)&lt;=0.005,"",COUNTIFS('JOBS'!$U$5:$U$1504,"&gt;0.005",'JOBS'!$B$5:$B$1504,"&lt;"&amp;B551)+COUNTIFS($U$5:U551,"&gt;0.005",$B$5:B551,B551))</f>
        <v/>
      </c>
    </row>
    <row r="552">
      <c r="A552" s="46" t="inlineStr">
        <is>
          <t>J-0548</t>
        </is>
      </c>
      <c r="B552" s="47" t="n"/>
      <c r="C552" s="94" t="n"/>
      <c r="D552" s="38" t="n"/>
      <c r="E552" s="38" t="n"/>
      <c r="F552" s="38" t="n"/>
      <c r="G552" s="38" t="n"/>
      <c r="H552" s="38" t="n"/>
      <c r="I552" s="57" t="n"/>
      <c r="J552" s="95" t="n"/>
      <c r="K552" s="95" t="n"/>
      <c r="L552" s="48" t="n"/>
      <c r="M552" s="96" t="n"/>
      <c r="N552" s="48" t="n"/>
      <c r="O552" s="38" t="n"/>
      <c r="P552" s="38" t="n"/>
      <c r="Q552" s="97">
        <f>IF(OR(F552="",E552=""),"",IFERROR(IF(INDEX('PROPERTIES'!$F$5:$F$404,MATCH(E552,'PROPERTIES'!$B$5:$B$404,0))=0,"",ROUND((INDEX('PROPERTIES'!$F$5:$F$404,MATCH(E552,'PROPERTIES'!$B$5:$B$404,0))/INDEX('PRICING'!$C$7:$C$16,MATCH(F552,'PRICING'!$A$7:$A$16,0))+INDEX('PROPERTIES'!$G$5:$G$404,MATCH(E552,'PROPERTIES'!$B$5:$B$404,0))*INDEX('PRICING'!$D$7:$D$16,MATCH(F552,'PRICING'!$A$7:$A$16,0))/60+INDEX('PROPERTIES'!$H$5:$H$404,MATCH(E552,'PROPERTIES'!$B$5:$B$404,0))*INDEX('PRICING'!$E$7:$E$16,MATCH(F552,'PRICING'!$A$7:$A$16,0))/60+INDEX('PRICING'!$F$7:$F$16,MATCH(F552,'PRICING'!$A$7:$A$16,0))/60),2)),""))</f>
        <v/>
      </c>
      <c r="R552" s="97">
        <f>IF(B552="","",IF(N(K552)&gt;0,K552,IF(N(J552)&gt;0,J552,N(Q552))))</f>
        <v/>
      </c>
      <c r="S552" s="55">
        <f>IF(L552="","",ROUND(L552*(1+N(M552)),2))</f>
        <v/>
      </c>
      <c r="T552" s="55">
        <f>IF(B552="","",SUMIFS('REVENUE'!$C$5:$C$1504,'REVENUE'!$B$5:$B$1504,A552))</f>
        <v/>
      </c>
      <c r="U552" s="55">
        <f>IF(B552="","",IF(O552="Completed",MAX(0,N(S552)-T552),""))</f>
        <v/>
      </c>
      <c r="V552" s="49">
        <f>IF(B552="","",IF(O552&lt;&gt;"Completed",IF(T552&gt;0,"Deposit","—"),IF(U552&lt;=0.005,"Paid",IF(T552&gt;0,"Partial","Unpaid"))))</f>
        <v/>
      </c>
      <c r="W552" s="55">
        <f>IF(B552="","",IFERROR(1/(1/INDEX('STAFF &amp; TASKS'!$C$5:$C$24,MATCH(H552,'STAFF &amp; TASKS'!$A$5:$A$24,0))),PayRate))</f>
        <v/>
      </c>
      <c r="X552" s="55">
        <f>IF(B552="","",IF(OR(O552="Cancelled",O552="No-Show"),"",ROUND(R552*W552*(1+Burden),2)))</f>
        <v/>
      </c>
      <c r="Y552" s="55">
        <f>IF(B552="","",IF(OR(O552="Cancelled",O552="No-Show"),"",IF(N552&lt;&gt;"",N552,ROUND(R552*SupHr*IFERROR(INDEX('PRICING'!$G$7:$G$16,MATCH(F552,'PRICING'!$A$7:$A$16,0)),1),2))))</f>
        <v/>
      </c>
      <c r="Z552" s="98">
        <f>IF(B552="","",SUMIFS('MILEAGE'!$J$5:$J$1504,'MILEAGE'!$B$5:$B$1504,A552))</f>
        <v/>
      </c>
      <c r="AA552" s="55">
        <f>IF(B552="","",ROUND(Z552*MileRate,2))</f>
        <v/>
      </c>
      <c r="AB552" s="55">
        <f>IF(B552="","",SUMIFS('REVENUE'!$J$5:$J$1504,'REVENUE'!$B$5:$B$1504,A552))</f>
        <v/>
      </c>
      <c r="AC552" s="55">
        <f>IF(L552="","",IF(OR(O552="Cancelled",O552="No-Show"),"",L552-N(X552)-N(Y552)-AA552-AB552))</f>
        <v/>
      </c>
      <c r="AD552" s="99">
        <f>IF(OR(AC552="",N(L552)=0),"",AC552/L552)</f>
        <v/>
      </c>
      <c r="AE552" s="55">
        <f>IF(OR(AC552="",N(R552)=0),"",L552/R552)</f>
        <v/>
      </c>
      <c r="AF552" s="100">
        <f>IF(OR(N(K552)=0,N(J552)+N(Q552)=0),"",K552-IF(N(J552)&gt;0,J552,Q552))</f>
        <v/>
      </c>
      <c r="AG552" s="99">
        <f>IF(B552="","",IFERROR(AVERAGEIFS('QUALITY CONTROL'!$M$5:$M$304,'QUALITY CONTROL'!$B$5:$B$304,A552),""))</f>
        <v/>
      </c>
      <c r="AH552" s="51">
        <f>IF(B552="","",DATE(YEAR(B552),MONTH(B552),1))</f>
        <v/>
      </c>
      <c r="AI552" s="49">
        <f>IF(D552="","",IFERROR(INDEX('CUSTOMERS'!$E$5:$E$404,MATCH(D552,'CUSTOMERS'!$B$5:$B$404,0)),""))</f>
        <v/>
      </c>
      <c r="AJ552" s="49">
        <f>IF(B552="","",N(C552))</f>
        <v/>
      </c>
      <c r="AK552" s="49">
        <f>IF(OR(B552="",O552="Cancelled",O552="Rescheduled"),"",B552&amp;"|"&amp;(COUNTIFS('JOBS'!$B$5:$B$1504,B552,'JOBS'!$AJ$5:$AJ$1504,"&lt;"&amp;AJ552,'JOBS'!$O$5:$O$1504,"&lt;&gt;Cancelled",'JOBS'!$O$5:$O$1504,"&lt;&gt;Rescheduled")+COUNTIFS($B$5:B552,B552,$AJ$5:AJ552,AJ552,$O$5:O552,"&lt;&gt;Cancelled",$O$5:O552,"&lt;&gt;Rescheduled")))</f>
        <v/>
      </c>
      <c r="AL552" s="49">
        <f>IF(N(U552)&lt;=0.005,"",COUNTIFS('JOBS'!$U$5:$U$1504,"&gt;0.005",'JOBS'!$B$5:$B$1504,"&lt;"&amp;B552)+COUNTIFS($U$5:U552,"&gt;0.005",$B$5:B552,B552))</f>
        <v/>
      </c>
    </row>
    <row r="553">
      <c r="A553" s="46" t="inlineStr">
        <is>
          <t>J-0549</t>
        </is>
      </c>
      <c r="B553" s="47" t="n"/>
      <c r="C553" s="94" t="n"/>
      <c r="D553" s="38" t="n"/>
      <c r="E553" s="38" t="n"/>
      <c r="F553" s="38" t="n"/>
      <c r="G553" s="38" t="n"/>
      <c r="H553" s="38" t="n"/>
      <c r="I553" s="57" t="n"/>
      <c r="J553" s="95" t="n"/>
      <c r="K553" s="95" t="n"/>
      <c r="L553" s="48" t="n"/>
      <c r="M553" s="96" t="n"/>
      <c r="N553" s="48" t="n"/>
      <c r="O553" s="38" t="n"/>
      <c r="P553" s="38" t="n"/>
      <c r="Q553" s="97">
        <f>IF(OR(F553="",E553=""),"",IFERROR(IF(INDEX('PROPERTIES'!$F$5:$F$404,MATCH(E553,'PROPERTIES'!$B$5:$B$404,0))=0,"",ROUND((INDEX('PROPERTIES'!$F$5:$F$404,MATCH(E553,'PROPERTIES'!$B$5:$B$404,0))/INDEX('PRICING'!$C$7:$C$16,MATCH(F553,'PRICING'!$A$7:$A$16,0))+INDEX('PROPERTIES'!$G$5:$G$404,MATCH(E553,'PROPERTIES'!$B$5:$B$404,0))*INDEX('PRICING'!$D$7:$D$16,MATCH(F553,'PRICING'!$A$7:$A$16,0))/60+INDEX('PROPERTIES'!$H$5:$H$404,MATCH(E553,'PROPERTIES'!$B$5:$B$404,0))*INDEX('PRICING'!$E$7:$E$16,MATCH(F553,'PRICING'!$A$7:$A$16,0))/60+INDEX('PRICING'!$F$7:$F$16,MATCH(F553,'PRICING'!$A$7:$A$16,0))/60),2)),""))</f>
        <v/>
      </c>
      <c r="R553" s="97">
        <f>IF(B553="","",IF(N(K553)&gt;0,K553,IF(N(J553)&gt;0,J553,N(Q553))))</f>
        <v/>
      </c>
      <c r="S553" s="55">
        <f>IF(L553="","",ROUND(L553*(1+N(M553)),2))</f>
        <v/>
      </c>
      <c r="T553" s="55">
        <f>IF(B553="","",SUMIFS('REVENUE'!$C$5:$C$1504,'REVENUE'!$B$5:$B$1504,A553))</f>
        <v/>
      </c>
      <c r="U553" s="55">
        <f>IF(B553="","",IF(O553="Completed",MAX(0,N(S553)-T553),""))</f>
        <v/>
      </c>
      <c r="V553" s="49">
        <f>IF(B553="","",IF(O553&lt;&gt;"Completed",IF(T553&gt;0,"Deposit","—"),IF(U553&lt;=0.005,"Paid",IF(T553&gt;0,"Partial","Unpaid"))))</f>
        <v/>
      </c>
      <c r="W553" s="55">
        <f>IF(B553="","",IFERROR(1/(1/INDEX('STAFF &amp; TASKS'!$C$5:$C$24,MATCH(H553,'STAFF &amp; TASKS'!$A$5:$A$24,0))),PayRate))</f>
        <v/>
      </c>
      <c r="X553" s="55">
        <f>IF(B553="","",IF(OR(O553="Cancelled",O553="No-Show"),"",ROUND(R553*W553*(1+Burden),2)))</f>
        <v/>
      </c>
      <c r="Y553" s="55">
        <f>IF(B553="","",IF(OR(O553="Cancelled",O553="No-Show"),"",IF(N553&lt;&gt;"",N553,ROUND(R553*SupHr*IFERROR(INDEX('PRICING'!$G$7:$G$16,MATCH(F553,'PRICING'!$A$7:$A$16,0)),1),2))))</f>
        <v/>
      </c>
      <c r="Z553" s="98">
        <f>IF(B553="","",SUMIFS('MILEAGE'!$J$5:$J$1504,'MILEAGE'!$B$5:$B$1504,A553))</f>
        <v/>
      </c>
      <c r="AA553" s="55">
        <f>IF(B553="","",ROUND(Z553*MileRate,2))</f>
        <v/>
      </c>
      <c r="AB553" s="55">
        <f>IF(B553="","",SUMIFS('REVENUE'!$J$5:$J$1504,'REVENUE'!$B$5:$B$1504,A553))</f>
        <v/>
      </c>
      <c r="AC553" s="55">
        <f>IF(L553="","",IF(OR(O553="Cancelled",O553="No-Show"),"",L553-N(X553)-N(Y553)-AA553-AB553))</f>
        <v/>
      </c>
      <c r="AD553" s="99">
        <f>IF(OR(AC553="",N(L553)=0),"",AC553/L553)</f>
        <v/>
      </c>
      <c r="AE553" s="55">
        <f>IF(OR(AC553="",N(R553)=0),"",L553/R553)</f>
        <v/>
      </c>
      <c r="AF553" s="100">
        <f>IF(OR(N(K553)=0,N(J553)+N(Q553)=0),"",K553-IF(N(J553)&gt;0,J553,Q553))</f>
        <v/>
      </c>
      <c r="AG553" s="99">
        <f>IF(B553="","",IFERROR(AVERAGEIFS('QUALITY CONTROL'!$M$5:$M$304,'QUALITY CONTROL'!$B$5:$B$304,A553),""))</f>
        <v/>
      </c>
      <c r="AH553" s="51">
        <f>IF(B553="","",DATE(YEAR(B553),MONTH(B553),1))</f>
        <v/>
      </c>
      <c r="AI553" s="49">
        <f>IF(D553="","",IFERROR(INDEX('CUSTOMERS'!$E$5:$E$404,MATCH(D553,'CUSTOMERS'!$B$5:$B$404,0)),""))</f>
        <v/>
      </c>
      <c r="AJ553" s="49">
        <f>IF(B553="","",N(C553))</f>
        <v/>
      </c>
      <c r="AK553" s="49">
        <f>IF(OR(B553="",O553="Cancelled",O553="Rescheduled"),"",B553&amp;"|"&amp;(COUNTIFS('JOBS'!$B$5:$B$1504,B553,'JOBS'!$AJ$5:$AJ$1504,"&lt;"&amp;AJ553,'JOBS'!$O$5:$O$1504,"&lt;&gt;Cancelled",'JOBS'!$O$5:$O$1504,"&lt;&gt;Rescheduled")+COUNTIFS($B$5:B553,B553,$AJ$5:AJ553,AJ553,$O$5:O553,"&lt;&gt;Cancelled",$O$5:O553,"&lt;&gt;Rescheduled")))</f>
        <v/>
      </c>
      <c r="AL553" s="49">
        <f>IF(N(U553)&lt;=0.005,"",COUNTIFS('JOBS'!$U$5:$U$1504,"&gt;0.005",'JOBS'!$B$5:$B$1504,"&lt;"&amp;B553)+COUNTIFS($U$5:U553,"&gt;0.005",$B$5:B553,B553))</f>
        <v/>
      </c>
    </row>
    <row r="554">
      <c r="A554" s="46" t="inlineStr">
        <is>
          <t>J-0550</t>
        </is>
      </c>
      <c r="B554" s="47" t="n"/>
      <c r="C554" s="94" t="n"/>
      <c r="D554" s="38" t="n"/>
      <c r="E554" s="38" t="n"/>
      <c r="F554" s="38" t="n"/>
      <c r="G554" s="38" t="n"/>
      <c r="H554" s="38" t="n"/>
      <c r="I554" s="57" t="n"/>
      <c r="J554" s="95" t="n"/>
      <c r="K554" s="95" t="n"/>
      <c r="L554" s="48" t="n"/>
      <c r="M554" s="96" t="n"/>
      <c r="N554" s="48" t="n"/>
      <c r="O554" s="38" t="n"/>
      <c r="P554" s="38" t="n"/>
      <c r="Q554" s="97">
        <f>IF(OR(F554="",E554=""),"",IFERROR(IF(INDEX('PROPERTIES'!$F$5:$F$404,MATCH(E554,'PROPERTIES'!$B$5:$B$404,0))=0,"",ROUND((INDEX('PROPERTIES'!$F$5:$F$404,MATCH(E554,'PROPERTIES'!$B$5:$B$404,0))/INDEX('PRICING'!$C$7:$C$16,MATCH(F554,'PRICING'!$A$7:$A$16,0))+INDEX('PROPERTIES'!$G$5:$G$404,MATCH(E554,'PROPERTIES'!$B$5:$B$404,0))*INDEX('PRICING'!$D$7:$D$16,MATCH(F554,'PRICING'!$A$7:$A$16,0))/60+INDEX('PROPERTIES'!$H$5:$H$404,MATCH(E554,'PROPERTIES'!$B$5:$B$404,0))*INDEX('PRICING'!$E$7:$E$16,MATCH(F554,'PRICING'!$A$7:$A$16,0))/60+INDEX('PRICING'!$F$7:$F$16,MATCH(F554,'PRICING'!$A$7:$A$16,0))/60),2)),""))</f>
        <v/>
      </c>
      <c r="R554" s="97">
        <f>IF(B554="","",IF(N(K554)&gt;0,K554,IF(N(J554)&gt;0,J554,N(Q554))))</f>
        <v/>
      </c>
      <c r="S554" s="55">
        <f>IF(L554="","",ROUND(L554*(1+N(M554)),2))</f>
        <v/>
      </c>
      <c r="T554" s="55">
        <f>IF(B554="","",SUMIFS('REVENUE'!$C$5:$C$1504,'REVENUE'!$B$5:$B$1504,A554))</f>
        <v/>
      </c>
      <c r="U554" s="55">
        <f>IF(B554="","",IF(O554="Completed",MAX(0,N(S554)-T554),""))</f>
        <v/>
      </c>
      <c r="V554" s="49">
        <f>IF(B554="","",IF(O554&lt;&gt;"Completed",IF(T554&gt;0,"Deposit","—"),IF(U554&lt;=0.005,"Paid",IF(T554&gt;0,"Partial","Unpaid"))))</f>
        <v/>
      </c>
      <c r="W554" s="55">
        <f>IF(B554="","",IFERROR(1/(1/INDEX('STAFF &amp; TASKS'!$C$5:$C$24,MATCH(H554,'STAFF &amp; TASKS'!$A$5:$A$24,0))),PayRate))</f>
        <v/>
      </c>
      <c r="X554" s="55">
        <f>IF(B554="","",IF(OR(O554="Cancelled",O554="No-Show"),"",ROUND(R554*W554*(1+Burden),2)))</f>
        <v/>
      </c>
      <c r="Y554" s="55">
        <f>IF(B554="","",IF(OR(O554="Cancelled",O554="No-Show"),"",IF(N554&lt;&gt;"",N554,ROUND(R554*SupHr*IFERROR(INDEX('PRICING'!$G$7:$G$16,MATCH(F554,'PRICING'!$A$7:$A$16,0)),1),2))))</f>
        <v/>
      </c>
      <c r="Z554" s="98">
        <f>IF(B554="","",SUMIFS('MILEAGE'!$J$5:$J$1504,'MILEAGE'!$B$5:$B$1504,A554))</f>
        <v/>
      </c>
      <c r="AA554" s="55">
        <f>IF(B554="","",ROUND(Z554*MileRate,2))</f>
        <v/>
      </c>
      <c r="AB554" s="55">
        <f>IF(B554="","",SUMIFS('REVENUE'!$J$5:$J$1504,'REVENUE'!$B$5:$B$1504,A554))</f>
        <v/>
      </c>
      <c r="AC554" s="55">
        <f>IF(L554="","",IF(OR(O554="Cancelled",O554="No-Show"),"",L554-N(X554)-N(Y554)-AA554-AB554))</f>
        <v/>
      </c>
      <c r="AD554" s="99">
        <f>IF(OR(AC554="",N(L554)=0),"",AC554/L554)</f>
        <v/>
      </c>
      <c r="AE554" s="55">
        <f>IF(OR(AC554="",N(R554)=0),"",L554/R554)</f>
        <v/>
      </c>
      <c r="AF554" s="100">
        <f>IF(OR(N(K554)=0,N(J554)+N(Q554)=0),"",K554-IF(N(J554)&gt;0,J554,Q554))</f>
        <v/>
      </c>
      <c r="AG554" s="99">
        <f>IF(B554="","",IFERROR(AVERAGEIFS('QUALITY CONTROL'!$M$5:$M$304,'QUALITY CONTROL'!$B$5:$B$304,A554),""))</f>
        <v/>
      </c>
      <c r="AH554" s="51">
        <f>IF(B554="","",DATE(YEAR(B554),MONTH(B554),1))</f>
        <v/>
      </c>
      <c r="AI554" s="49">
        <f>IF(D554="","",IFERROR(INDEX('CUSTOMERS'!$E$5:$E$404,MATCH(D554,'CUSTOMERS'!$B$5:$B$404,0)),""))</f>
        <v/>
      </c>
      <c r="AJ554" s="49">
        <f>IF(B554="","",N(C554))</f>
        <v/>
      </c>
      <c r="AK554" s="49">
        <f>IF(OR(B554="",O554="Cancelled",O554="Rescheduled"),"",B554&amp;"|"&amp;(COUNTIFS('JOBS'!$B$5:$B$1504,B554,'JOBS'!$AJ$5:$AJ$1504,"&lt;"&amp;AJ554,'JOBS'!$O$5:$O$1504,"&lt;&gt;Cancelled",'JOBS'!$O$5:$O$1504,"&lt;&gt;Rescheduled")+COUNTIFS($B$5:B554,B554,$AJ$5:AJ554,AJ554,$O$5:O554,"&lt;&gt;Cancelled",$O$5:O554,"&lt;&gt;Rescheduled")))</f>
        <v/>
      </c>
      <c r="AL554" s="49">
        <f>IF(N(U554)&lt;=0.005,"",COUNTIFS('JOBS'!$U$5:$U$1504,"&gt;0.005",'JOBS'!$B$5:$B$1504,"&lt;"&amp;B554)+COUNTIFS($U$5:U554,"&gt;0.005",$B$5:B554,B554))</f>
        <v/>
      </c>
    </row>
    <row r="555">
      <c r="A555" s="46" t="inlineStr">
        <is>
          <t>J-0551</t>
        </is>
      </c>
      <c r="B555" s="47" t="n"/>
      <c r="C555" s="94" t="n"/>
      <c r="D555" s="38" t="n"/>
      <c r="E555" s="38" t="n"/>
      <c r="F555" s="38" t="n"/>
      <c r="G555" s="38" t="n"/>
      <c r="H555" s="38" t="n"/>
      <c r="I555" s="57" t="n"/>
      <c r="J555" s="95" t="n"/>
      <c r="K555" s="95" t="n"/>
      <c r="L555" s="48" t="n"/>
      <c r="M555" s="96" t="n"/>
      <c r="N555" s="48" t="n"/>
      <c r="O555" s="38" t="n"/>
      <c r="P555" s="38" t="n"/>
      <c r="Q555" s="97">
        <f>IF(OR(F555="",E555=""),"",IFERROR(IF(INDEX('PROPERTIES'!$F$5:$F$404,MATCH(E555,'PROPERTIES'!$B$5:$B$404,0))=0,"",ROUND((INDEX('PROPERTIES'!$F$5:$F$404,MATCH(E555,'PROPERTIES'!$B$5:$B$404,0))/INDEX('PRICING'!$C$7:$C$16,MATCH(F555,'PRICING'!$A$7:$A$16,0))+INDEX('PROPERTIES'!$G$5:$G$404,MATCH(E555,'PROPERTIES'!$B$5:$B$404,0))*INDEX('PRICING'!$D$7:$D$16,MATCH(F555,'PRICING'!$A$7:$A$16,0))/60+INDEX('PROPERTIES'!$H$5:$H$404,MATCH(E555,'PROPERTIES'!$B$5:$B$404,0))*INDEX('PRICING'!$E$7:$E$16,MATCH(F555,'PRICING'!$A$7:$A$16,0))/60+INDEX('PRICING'!$F$7:$F$16,MATCH(F555,'PRICING'!$A$7:$A$16,0))/60),2)),""))</f>
        <v/>
      </c>
      <c r="R555" s="97">
        <f>IF(B555="","",IF(N(K555)&gt;0,K555,IF(N(J555)&gt;0,J555,N(Q555))))</f>
        <v/>
      </c>
      <c r="S555" s="55">
        <f>IF(L555="","",ROUND(L555*(1+N(M555)),2))</f>
        <v/>
      </c>
      <c r="T555" s="55">
        <f>IF(B555="","",SUMIFS('REVENUE'!$C$5:$C$1504,'REVENUE'!$B$5:$B$1504,A555))</f>
        <v/>
      </c>
      <c r="U555" s="55">
        <f>IF(B555="","",IF(O555="Completed",MAX(0,N(S555)-T555),""))</f>
        <v/>
      </c>
      <c r="V555" s="49">
        <f>IF(B555="","",IF(O555&lt;&gt;"Completed",IF(T555&gt;0,"Deposit","—"),IF(U555&lt;=0.005,"Paid",IF(T555&gt;0,"Partial","Unpaid"))))</f>
        <v/>
      </c>
      <c r="W555" s="55">
        <f>IF(B555="","",IFERROR(1/(1/INDEX('STAFF &amp; TASKS'!$C$5:$C$24,MATCH(H555,'STAFF &amp; TASKS'!$A$5:$A$24,0))),PayRate))</f>
        <v/>
      </c>
      <c r="X555" s="55">
        <f>IF(B555="","",IF(OR(O555="Cancelled",O555="No-Show"),"",ROUND(R555*W555*(1+Burden),2)))</f>
        <v/>
      </c>
      <c r="Y555" s="55">
        <f>IF(B555="","",IF(OR(O555="Cancelled",O555="No-Show"),"",IF(N555&lt;&gt;"",N555,ROUND(R555*SupHr*IFERROR(INDEX('PRICING'!$G$7:$G$16,MATCH(F555,'PRICING'!$A$7:$A$16,0)),1),2))))</f>
        <v/>
      </c>
      <c r="Z555" s="98">
        <f>IF(B555="","",SUMIFS('MILEAGE'!$J$5:$J$1504,'MILEAGE'!$B$5:$B$1504,A555))</f>
        <v/>
      </c>
      <c r="AA555" s="55">
        <f>IF(B555="","",ROUND(Z555*MileRate,2))</f>
        <v/>
      </c>
      <c r="AB555" s="55">
        <f>IF(B555="","",SUMIFS('REVENUE'!$J$5:$J$1504,'REVENUE'!$B$5:$B$1504,A555))</f>
        <v/>
      </c>
      <c r="AC555" s="55">
        <f>IF(L555="","",IF(OR(O555="Cancelled",O555="No-Show"),"",L555-N(X555)-N(Y555)-AA555-AB555))</f>
        <v/>
      </c>
      <c r="AD555" s="99">
        <f>IF(OR(AC555="",N(L555)=0),"",AC555/L555)</f>
        <v/>
      </c>
      <c r="AE555" s="55">
        <f>IF(OR(AC555="",N(R555)=0),"",L555/R555)</f>
        <v/>
      </c>
      <c r="AF555" s="100">
        <f>IF(OR(N(K555)=0,N(J555)+N(Q555)=0),"",K555-IF(N(J555)&gt;0,J555,Q555))</f>
        <v/>
      </c>
      <c r="AG555" s="99">
        <f>IF(B555="","",IFERROR(AVERAGEIFS('QUALITY CONTROL'!$M$5:$M$304,'QUALITY CONTROL'!$B$5:$B$304,A555),""))</f>
        <v/>
      </c>
      <c r="AH555" s="51">
        <f>IF(B555="","",DATE(YEAR(B555),MONTH(B555),1))</f>
        <v/>
      </c>
      <c r="AI555" s="49">
        <f>IF(D555="","",IFERROR(INDEX('CUSTOMERS'!$E$5:$E$404,MATCH(D555,'CUSTOMERS'!$B$5:$B$404,0)),""))</f>
        <v/>
      </c>
      <c r="AJ555" s="49">
        <f>IF(B555="","",N(C555))</f>
        <v/>
      </c>
      <c r="AK555" s="49">
        <f>IF(OR(B555="",O555="Cancelled",O555="Rescheduled"),"",B555&amp;"|"&amp;(COUNTIFS('JOBS'!$B$5:$B$1504,B555,'JOBS'!$AJ$5:$AJ$1504,"&lt;"&amp;AJ555,'JOBS'!$O$5:$O$1504,"&lt;&gt;Cancelled",'JOBS'!$O$5:$O$1504,"&lt;&gt;Rescheduled")+COUNTIFS($B$5:B555,B555,$AJ$5:AJ555,AJ555,$O$5:O555,"&lt;&gt;Cancelled",$O$5:O555,"&lt;&gt;Rescheduled")))</f>
        <v/>
      </c>
      <c r="AL555" s="49">
        <f>IF(N(U555)&lt;=0.005,"",COUNTIFS('JOBS'!$U$5:$U$1504,"&gt;0.005",'JOBS'!$B$5:$B$1504,"&lt;"&amp;B555)+COUNTIFS($U$5:U555,"&gt;0.005",$B$5:B555,B555))</f>
        <v/>
      </c>
    </row>
    <row r="556">
      <c r="A556" s="46" t="inlineStr">
        <is>
          <t>J-0552</t>
        </is>
      </c>
      <c r="B556" s="47" t="n"/>
      <c r="C556" s="94" t="n"/>
      <c r="D556" s="38" t="n"/>
      <c r="E556" s="38" t="n"/>
      <c r="F556" s="38" t="n"/>
      <c r="G556" s="38" t="n"/>
      <c r="H556" s="38" t="n"/>
      <c r="I556" s="57" t="n"/>
      <c r="J556" s="95" t="n"/>
      <c r="K556" s="95" t="n"/>
      <c r="L556" s="48" t="n"/>
      <c r="M556" s="96" t="n"/>
      <c r="N556" s="48" t="n"/>
      <c r="O556" s="38" t="n"/>
      <c r="P556" s="38" t="n"/>
      <c r="Q556" s="97">
        <f>IF(OR(F556="",E556=""),"",IFERROR(IF(INDEX('PROPERTIES'!$F$5:$F$404,MATCH(E556,'PROPERTIES'!$B$5:$B$404,0))=0,"",ROUND((INDEX('PROPERTIES'!$F$5:$F$404,MATCH(E556,'PROPERTIES'!$B$5:$B$404,0))/INDEX('PRICING'!$C$7:$C$16,MATCH(F556,'PRICING'!$A$7:$A$16,0))+INDEX('PROPERTIES'!$G$5:$G$404,MATCH(E556,'PROPERTIES'!$B$5:$B$404,0))*INDEX('PRICING'!$D$7:$D$16,MATCH(F556,'PRICING'!$A$7:$A$16,0))/60+INDEX('PROPERTIES'!$H$5:$H$404,MATCH(E556,'PROPERTIES'!$B$5:$B$404,0))*INDEX('PRICING'!$E$7:$E$16,MATCH(F556,'PRICING'!$A$7:$A$16,0))/60+INDEX('PRICING'!$F$7:$F$16,MATCH(F556,'PRICING'!$A$7:$A$16,0))/60),2)),""))</f>
        <v/>
      </c>
      <c r="R556" s="97">
        <f>IF(B556="","",IF(N(K556)&gt;0,K556,IF(N(J556)&gt;0,J556,N(Q556))))</f>
        <v/>
      </c>
      <c r="S556" s="55">
        <f>IF(L556="","",ROUND(L556*(1+N(M556)),2))</f>
        <v/>
      </c>
      <c r="T556" s="55">
        <f>IF(B556="","",SUMIFS('REVENUE'!$C$5:$C$1504,'REVENUE'!$B$5:$B$1504,A556))</f>
        <v/>
      </c>
      <c r="U556" s="55">
        <f>IF(B556="","",IF(O556="Completed",MAX(0,N(S556)-T556),""))</f>
        <v/>
      </c>
      <c r="V556" s="49">
        <f>IF(B556="","",IF(O556&lt;&gt;"Completed",IF(T556&gt;0,"Deposit","—"),IF(U556&lt;=0.005,"Paid",IF(T556&gt;0,"Partial","Unpaid"))))</f>
        <v/>
      </c>
      <c r="W556" s="55">
        <f>IF(B556="","",IFERROR(1/(1/INDEX('STAFF &amp; TASKS'!$C$5:$C$24,MATCH(H556,'STAFF &amp; TASKS'!$A$5:$A$24,0))),PayRate))</f>
        <v/>
      </c>
      <c r="X556" s="55">
        <f>IF(B556="","",IF(OR(O556="Cancelled",O556="No-Show"),"",ROUND(R556*W556*(1+Burden),2)))</f>
        <v/>
      </c>
      <c r="Y556" s="55">
        <f>IF(B556="","",IF(OR(O556="Cancelled",O556="No-Show"),"",IF(N556&lt;&gt;"",N556,ROUND(R556*SupHr*IFERROR(INDEX('PRICING'!$G$7:$G$16,MATCH(F556,'PRICING'!$A$7:$A$16,0)),1),2))))</f>
        <v/>
      </c>
      <c r="Z556" s="98">
        <f>IF(B556="","",SUMIFS('MILEAGE'!$J$5:$J$1504,'MILEAGE'!$B$5:$B$1504,A556))</f>
        <v/>
      </c>
      <c r="AA556" s="55">
        <f>IF(B556="","",ROUND(Z556*MileRate,2))</f>
        <v/>
      </c>
      <c r="AB556" s="55">
        <f>IF(B556="","",SUMIFS('REVENUE'!$J$5:$J$1504,'REVENUE'!$B$5:$B$1504,A556))</f>
        <v/>
      </c>
      <c r="AC556" s="55">
        <f>IF(L556="","",IF(OR(O556="Cancelled",O556="No-Show"),"",L556-N(X556)-N(Y556)-AA556-AB556))</f>
        <v/>
      </c>
      <c r="AD556" s="99">
        <f>IF(OR(AC556="",N(L556)=0),"",AC556/L556)</f>
        <v/>
      </c>
      <c r="AE556" s="55">
        <f>IF(OR(AC556="",N(R556)=0),"",L556/R556)</f>
        <v/>
      </c>
      <c r="AF556" s="100">
        <f>IF(OR(N(K556)=0,N(J556)+N(Q556)=0),"",K556-IF(N(J556)&gt;0,J556,Q556))</f>
        <v/>
      </c>
      <c r="AG556" s="99">
        <f>IF(B556="","",IFERROR(AVERAGEIFS('QUALITY CONTROL'!$M$5:$M$304,'QUALITY CONTROL'!$B$5:$B$304,A556),""))</f>
        <v/>
      </c>
      <c r="AH556" s="51">
        <f>IF(B556="","",DATE(YEAR(B556),MONTH(B556),1))</f>
        <v/>
      </c>
      <c r="AI556" s="49">
        <f>IF(D556="","",IFERROR(INDEX('CUSTOMERS'!$E$5:$E$404,MATCH(D556,'CUSTOMERS'!$B$5:$B$404,0)),""))</f>
        <v/>
      </c>
      <c r="AJ556" s="49">
        <f>IF(B556="","",N(C556))</f>
        <v/>
      </c>
      <c r="AK556" s="49">
        <f>IF(OR(B556="",O556="Cancelled",O556="Rescheduled"),"",B556&amp;"|"&amp;(COUNTIFS('JOBS'!$B$5:$B$1504,B556,'JOBS'!$AJ$5:$AJ$1504,"&lt;"&amp;AJ556,'JOBS'!$O$5:$O$1504,"&lt;&gt;Cancelled",'JOBS'!$O$5:$O$1504,"&lt;&gt;Rescheduled")+COUNTIFS($B$5:B556,B556,$AJ$5:AJ556,AJ556,$O$5:O556,"&lt;&gt;Cancelled",$O$5:O556,"&lt;&gt;Rescheduled")))</f>
        <v/>
      </c>
      <c r="AL556" s="49">
        <f>IF(N(U556)&lt;=0.005,"",COUNTIFS('JOBS'!$U$5:$U$1504,"&gt;0.005",'JOBS'!$B$5:$B$1504,"&lt;"&amp;B556)+COUNTIFS($U$5:U556,"&gt;0.005",$B$5:B556,B556))</f>
        <v/>
      </c>
    </row>
    <row r="557">
      <c r="A557" s="46" t="inlineStr">
        <is>
          <t>J-0553</t>
        </is>
      </c>
      <c r="B557" s="47" t="n"/>
      <c r="C557" s="94" t="n"/>
      <c r="D557" s="38" t="n"/>
      <c r="E557" s="38" t="n"/>
      <c r="F557" s="38" t="n"/>
      <c r="G557" s="38" t="n"/>
      <c r="H557" s="38" t="n"/>
      <c r="I557" s="57" t="n"/>
      <c r="J557" s="95" t="n"/>
      <c r="K557" s="95" t="n"/>
      <c r="L557" s="48" t="n"/>
      <c r="M557" s="96" t="n"/>
      <c r="N557" s="48" t="n"/>
      <c r="O557" s="38" t="n"/>
      <c r="P557" s="38" t="n"/>
      <c r="Q557" s="97">
        <f>IF(OR(F557="",E557=""),"",IFERROR(IF(INDEX('PROPERTIES'!$F$5:$F$404,MATCH(E557,'PROPERTIES'!$B$5:$B$404,0))=0,"",ROUND((INDEX('PROPERTIES'!$F$5:$F$404,MATCH(E557,'PROPERTIES'!$B$5:$B$404,0))/INDEX('PRICING'!$C$7:$C$16,MATCH(F557,'PRICING'!$A$7:$A$16,0))+INDEX('PROPERTIES'!$G$5:$G$404,MATCH(E557,'PROPERTIES'!$B$5:$B$404,0))*INDEX('PRICING'!$D$7:$D$16,MATCH(F557,'PRICING'!$A$7:$A$16,0))/60+INDEX('PROPERTIES'!$H$5:$H$404,MATCH(E557,'PROPERTIES'!$B$5:$B$404,0))*INDEX('PRICING'!$E$7:$E$16,MATCH(F557,'PRICING'!$A$7:$A$16,0))/60+INDEX('PRICING'!$F$7:$F$16,MATCH(F557,'PRICING'!$A$7:$A$16,0))/60),2)),""))</f>
        <v/>
      </c>
      <c r="R557" s="97">
        <f>IF(B557="","",IF(N(K557)&gt;0,K557,IF(N(J557)&gt;0,J557,N(Q557))))</f>
        <v/>
      </c>
      <c r="S557" s="55">
        <f>IF(L557="","",ROUND(L557*(1+N(M557)),2))</f>
        <v/>
      </c>
      <c r="T557" s="55">
        <f>IF(B557="","",SUMIFS('REVENUE'!$C$5:$C$1504,'REVENUE'!$B$5:$B$1504,A557))</f>
        <v/>
      </c>
      <c r="U557" s="55">
        <f>IF(B557="","",IF(O557="Completed",MAX(0,N(S557)-T557),""))</f>
        <v/>
      </c>
      <c r="V557" s="49">
        <f>IF(B557="","",IF(O557&lt;&gt;"Completed",IF(T557&gt;0,"Deposit","—"),IF(U557&lt;=0.005,"Paid",IF(T557&gt;0,"Partial","Unpaid"))))</f>
        <v/>
      </c>
      <c r="W557" s="55">
        <f>IF(B557="","",IFERROR(1/(1/INDEX('STAFF &amp; TASKS'!$C$5:$C$24,MATCH(H557,'STAFF &amp; TASKS'!$A$5:$A$24,0))),PayRate))</f>
        <v/>
      </c>
      <c r="X557" s="55">
        <f>IF(B557="","",IF(OR(O557="Cancelled",O557="No-Show"),"",ROUND(R557*W557*(1+Burden),2)))</f>
        <v/>
      </c>
      <c r="Y557" s="55">
        <f>IF(B557="","",IF(OR(O557="Cancelled",O557="No-Show"),"",IF(N557&lt;&gt;"",N557,ROUND(R557*SupHr*IFERROR(INDEX('PRICING'!$G$7:$G$16,MATCH(F557,'PRICING'!$A$7:$A$16,0)),1),2))))</f>
        <v/>
      </c>
      <c r="Z557" s="98">
        <f>IF(B557="","",SUMIFS('MILEAGE'!$J$5:$J$1504,'MILEAGE'!$B$5:$B$1504,A557))</f>
        <v/>
      </c>
      <c r="AA557" s="55">
        <f>IF(B557="","",ROUND(Z557*MileRate,2))</f>
        <v/>
      </c>
      <c r="AB557" s="55">
        <f>IF(B557="","",SUMIFS('REVENUE'!$J$5:$J$1504,'REVENUE'!$B$5:$B$1504,A557))</f>
        <v/>
      </c>
      <c r="AC557" s="55">
        <f>IF(L557="","",IF(OR(O557="Cancelled",O557="No-Show"),"",L557-N(X557)-N(Y557)-AA557-AB557))</f>
        <v/>
      </c>
      <c r="AD557" s="99">
        <f>IF(OR(AC557="",N(L557)=0),"",AC557/L557)</f>
        <v/>
      </c>
      <c r="AE557" s="55">
        <f>IF(OR(AC557="",N(R557)=0),"",L557/R557)</f>
        <v/>
      </c>
      <c r="AF557" s="100">
        <f>IF(OR(N(K557)=0,N(J557)+N(Q557)=0),"",K557-IF(N(J557)&gt;0,J557,Q557))</f>
        <v/>
      </c>
      <c r="AG557" s="99">
        <f>IF(B557="","",IFERROR(AVERAGEIFS('QUALITY CONTROL'!$M$5:$M$304,'QUALITY CONTROL'!$B$5:$B$304,A557),""))</f>
        <v/>
      </c>
      <c r="AH557" s="51">
        <f>IF(B557="","",DATE(YEAR(B557),MONTH(B557),1))</f>
        <v/>
      </c>
      <c r="AI557" s="49">
        <f>IF(D557="","",IFERROR(INDEX('CUSTOMERS'!$E$5:$E$404,MATCH(D557,'CUSTOMERS'!$B$5:$B$404,0)),""))</f>
        <v/>
      </c>
      <c r="AJ557" s="49">
        <f>IF(B557="","",N(C557))</f>
        <v/>
      </c>
      <c r="AK557" s="49">
        <f>IF(OR(B557="",O557="Cancelled",O557="Rescheduled"),"",B557&amp;"|"&amp;(COUNTIFS('JOBS'!$B$5:$B$1504,B557,'JOBS'!$AJ$5:$AJ$1504,"&lt;"&amp;AJ557,'JOBS'!$O$5:$O$1504,"&lt;&gt;Cancelled",'JOBS'!$O$5:$O$1504,"&lt;&gt;Rescheduled")+COUNTIFS($B$5:B557,B557,$AJ$5:AJ557,AJ557,$O$5:O557,"&lt;&gt;Cancelled",$O$5:O557,"&lt;&gt;Rescheduled")))</f>
        <v/>
      </c>
      <c r="AL557" s="49">
        <f>IF(N(U557)&lt;=0.005,"",COUNTIFS('JOBS'!$U$5:$U$1504,"&gt;0.005",'JOBS'!$B$5:$B$1504,"&lt;"&amp;B557)+COUNTIFS($U$5:U557,"&gt;0.005",$B$5:B557,B557))</f>
        <v/>
      </c>
    </row>
    <row r="558">
      <c r="A558" s="46" t="inlineStr">
        <is>
          <t>J-0554</t>
        </is>
      </c>
      <c r="B558" s="47" t="n"/>
      <c r="C558" s="94" t="n"/>
      <c r="D558" s="38" t="n"/>
      <c r="E558" s="38" t="n"/>
      <c r="F558" s="38" t="n"/>
      <c r="G558" s="38" t="n"/>
      <c r="H558" s="38" t="n"/>
      <c r="I558" s="57" t="n"/>
      <c r="J558" s="95" t="n"/>
      <c r="K558" s="95" t="n"/>
      <c r="L558" s="48" t="n"/>
      <c r="M558" s="96" t="n"/>
      <c r="N558" s="48" t="n"/>
      <c r="O558" s="38" t="n"/>
      <c r="P558" s="38" t="n"/>
      <c r="Q558" s="97">
        <f>IF(OR(F558="",E558=""),"",IFERROR(IF(INDEX('PROPERTIES'!$F$5:$F$404,MATCH(E558,'PROPERTIES'!$B$5:$B$404,0))=0,"",ROUND((INDEX('PROPERTIES'!$F$5:$F$404,MATCH(E558,'PROPERTIES'!$B$5:$B$404,0))/INDEX('PRICING'!$C$7:$C$16,MATCH(F558,'PRICING'!$A$7:$A$16,0))+INDEX('PROPERTIES'!$G$5:$G$404,MATCH(E558,'PROPERTIES'!$B$5:$B$404,0))*INDEX('PRICING'!$D$7:$D$16,MATCH(F558,'PRICING'!$A$7:$A$16,0))/60+INDEX('PROPERTIES'!$H$5:$H$404,MATCH(E558,'PROPERTIES'!$B$5:$B$404,0))*INDEX('PRICING'!$E$7:$E$16,MATCH(F558,'PRICING'!$A$7:$A$16,0))/60+INDEX('PRICING'!$F$7:$F$16,MATCH(F558,'PRICING'!$A$7:$A$16,0))/60),2)),""))</f>
        <v/>
      </c>
      <c r="R558" s="97">
        <f>IF(B558="","",IF(N(K558)&gt;0,K558,IF(N(J558)&gt;0,J558,N(Q558))))</f>
        <v/>
      </c>
      <c r="S558" s="55">
        <f>IF(L558="","",ROUND(L558*(1+N(M558)),2))</f>
        <v/>
      </c>
      <c r="T558" s="55">
        <f>IF(B558="","",SUMIFS('REVENUE'!$C$5:$C$1504,'REVENUE'!$B$5:$B$1504,A558))</f>
        <v/>
      </c>
      <c r="U558" s="55">
        <f>IF(B558="","",IF(O558="Completed",MAX(0,N(S558)-T558),""))</f>
        <v/>
      </c>
      <c r="V558" s="49">
        <f>IF(B558="","",IF(O558&lt;&gt;"Completed",IF(T558&gt;0,"Deposit","—"),IF(U558&lt;=0.005,"Paid",IF(T558&gt;0,"Partial","Unpaid"))))</f>
        <v/>
      </c>
      <c r="W558" s="55">
        <f>IF(B558="","",IFERROR(1/(1/INDEX('STAFF &amp; TASKS'!$C$5:$C$24,MATCH(H558,'STAFF &amp; TASKS'!$A$5:$A$24,0))),PayRate))</f>
        <v/>
      </c>
      <c r="X558" s="55">
        <f>IF(B558="","",IF(OR(O558="Cancelled",O558="No-Show"),"",ROUND(R558*W558*(1+Burden),2)))</f>
        <v/>
      </c>
      <c r="Y558" s="55">
        <f>IF(B558="","",IF(OR(O558="Cancelled",O558="No-Show"),"",IF(N558&lt;&gt;"",N558,ROUND(R558*SupHr*IFERROR(INDEX('PRICING'!$G$7:$G$16,MATCH(F558,'PRICING'!$A$7:$A$16,0)),1),2))))</f>
        <v/>
      </c>
      <c r="Z558" s="98">
        <f>IF(B558="","",SUMIFS('MILEAGE'!$J$5:$J$1504,'MILEAGE'!$B$5:$B$1504,A558))</f>
        <v/>
      </c>
      <c r="AA558" s="55">
        <f>IF(B558="","",ROUND(Z558*MileRate,2))</f>
        <v/>
      </c>
      <c r="AB558" s="55">
        <f>IF(B558="","",SUMIFS('REVENUE'!$J$5:$J$1504,'REVENUE'!$B$5:$B$1504,A558))</f>
        <v/>
      </c>
      <c r="AC558" s="55">
        <f>IF(L558="","",IF(OR(O558="Cancelled",O558="No-Show"),"",L558-N(X558)-N(Y558)-AA558-AB558))</f>
        <v/>
      </c>
      <c r="AD558" s="99">
        <f>IF(OR(AC558="",N(L558)=0),"",AC558/L558)</f>
        <v/>
      </c>
      <c r="AE558" s="55">
        <f>IF(OR(AC558="",N(R558)=0),"",L558/R558)</f>
        <v/>
      </c>
      <c r="AF558" s="100">
        <f>IF(OR(N(K558)=0,N(J558)+N(Q558)=0),"",K558-IF(N(J558)&gt;0,J558,Q558))</f>
        <v/>
      </c>
      <c r="AG558" s="99">
        <f>IF(B558="","",IFERROR(AVERAGEIFS('QUALITY CONTROL'!$M$5:$M$304,'QUALITY CONTROL'!$B$5:$B$304,A558),""))</f>
        <v/>
      </c>
      <c r="AH558" s="51">
        <f>IF(B558="","",DATE(YEAR(B558),MONTH(B558),1))</f>
        <v/>
      </c>
      <c r="AI558" s="49">
        <f>IF(D558="","",IFERROR(INDEX('CUSTOMERS'!$E$5:$E$404,MATCH(D558,'CUSTOMERS'!$B$5:$B$404,0)),""))</f>
        <v/>
      </c>
      <c r="AJ558" s="49">
        <f>IF(B558="","",N(C558))</f>
        <v/>
      </c>
      <c r="AK558" s="49">
        <f>IF(OR(B558="",O558="Cancelled",O558="Rescheduled"),"",B558&amp;"|"&amp;(COUNTIFS('JOBS'!$B$5:$B$1504,B558,'JOBS'!$AJ$5:$AJ$1504,"&lt;"&amp;AJ558,'JOBS'!$O$5:$O$1504,"&lt;&gt;Cancelled",'JOBS'!$O$5:$O$1504,"&lt;&gt;Rescheduled")+COUNTIFS($B$5:B558,B558,$AJ$5:AJ558,AJ558,$O$5:O558,"&lt;&gt;Cancelled",$O$5:O558,"&lt;&gt;Rescheduled")))</f>
        <v/>
      </c>
      <c r="AL558" s="49">
        <f>IF(N(U558)&lt;=0.005,"",COUNTIFS('JOBS'!$U$5:$U$1504,"&gt;0.005",'JOBS'!$B$5:$B$1504,"&lt;"&amp;B558)+COUNTIFS($U$5:U558,"&gt;0.005",$B$5:B558,B558))</f>
        <v/>
      </c>
    </row>
    <row r="559">
      <c r="A559" s="46" t="inlineStr">
        <is>
          <t>J-0555</t>
        </is>
      </c>
      <c r="B559" s="47" t="n"/>
      <c r="C559" s="94" t="n"/>
      <c r="D559" s="38" t="n"/>
      <c r="E559" s="38" t="n"/>
      <c r="F559" s="38" t="n"/>
      <c r="G559" s="38" t="n"/>
      <c r="H559" s="38" t="n"/>
      <c r="I559" s="57" t="n"/>
      <c r="J559" s="95" t="n"/>
      <c r="K559" s="95" t="n"/>
      <c r="L559" s="48" t="n"/>
      <c r="M559" s="96" t="n"/>
      <c r="N559" s="48" t="n"/>
      <c r="O559" s="38" t="n"/>
      <c r="P559" s="38" t="n"/>
      <c r="Q559" s="97">
        <f>IF(OR(F559="",E559=""),"",IFERROR(IF(INDEX('PROPERTIES'!$F$5:$F$404,MATCH(E559,'PROPERTIES'!$B$5:$B$404,0))=0,"",ROUND((INDEX('PROPERTIES'!$F$5:$F$404,MATCH(E559,'PROPERTIES'!$B$5:$B$404,0))/INDEX('PRICING'!$C$7:$C$16,MATCH(F559,'PRICING'!$A$7:$A$16,0))+INDEX('PROPERTIES'!$G$5:$G$404,MATCH(E559,'PROPERTIES'!$B$5:$B$404,0))*INDEX('PRICING'!$D$7:$D$16,MATCH(F559,'PRICING'!$A$7:$A$16,0))/60+INDEX('PROPERTIES'!$H$5:$H$404,MATCH(E559,'PROPERTIES'!$B$5:$B$404,0))*INDEX('PRICING'!$E$7:$E$16,MATCH(F559,'PRICING'!$A$7:$A$16,0))/60+INDEX('PRICING'!$F$7:$F$16,MATCH(F559,'PRICING'!$A$7:$A$16,0))/60),2)),""))</f>
        <v/>
      </c>
      <c r="R559" s="97">
        <f>IF(B559="","",IF(N(K559)&gt;0,K559,IF(N(J559)&gt;0,J559,N(Q559))))</f>
        <v/>
      </c>
      <c r="S559" s="55">
        <f>IF(L559="","",ROUND(L559*(1+N(M559)),2))</f>
        <v/>
      </c>
      <c r="T559" s="55">
        <f>IF(B559="","",SUMIFS('REVENUE'!$C$5:$C$1504,'REVENUE'!$B$5:$B$1504,A559))</f>
        <v/>
      </c>
      <c r="U559" s="55">
        <f>IF(B559="","",IF(O559="Completed",MAX(0,N(S559)-T559),""))</f>
        <v/>
      </c>
      <c r="V559" s="49">
        <f>IF(B559="","",IF(O559&lt;&gt;"Completed",IF(T559&gt;0,"Deposit","—"),IF(U559&lt;=0.005,"Paid",IF(T559&gt;0,"Partial","Unpaid"))))</f>
        <v/>
      </c>
      <c r="W559" s="55">
        <f>IF(B559="","",IFERROR(1/(1/INDEX('STAFF &amp; TASKS'!$C$5:$C$24,MATCH(H559,'STAFF &amp; TASKS'!$A$5:$A$24,0))),PayRate))</f>
        <v/>
      </c>
      <c r="X559" s="55">
        <f>IF(B559="","",IF(OR(O559="Cancelled",O559="No-Show"),"",ROUND(R559*W559*(1+Burden),2)))</f>
        <v/>
      </c>
      <c r="Y559" s="55">
        <f>IF(B559="","",IF(OR(O559="Cancelled",O559="No-Show"),"",IF(N559&lt;&gt;"",N559,ROUND(R559*SupHr*IFERROR(INDEX('PRICING'!$G$7:$G$16,MATCH(F559,'PRICING'!$A$7:$A$16,0)),1),2))))</f>
        <v/>
      </c>
      <c r="Z559" s="98">
        <f>IF(B559="","",SUMIFS('MILEAGE'!$J$5:$J$1504,'MILEAGE'!$B$5:$B$1504,A559))</f>
        <v/>
      </c>
      <c r="AA559" s="55">
        <f>IF(B559="","",ROUND(Z559*MileRate,2))</f>
        <v/>
      </c>
      <c r="AB559" s="55">
        <f>IF(B559="","",SUMIFS('REVENUE'!$J$5:$J$1504,'REVENUE'!$B$5:$B$1504,A559))</f>
        <v/>
      </c>
      <c r="AC559" s="55">
        <f>IF(L559="","",IF(OR(O559="Cancelled",O559="No-Show"),"",L559-N(X559)-N(Y559)-AA559-AB559))</f>
        <v/>
      </c>
      <c r="AD559" s="99">
        <f>IF(OR(AC559="",N(L559)=0),"",AC559/L559)</f>
        <v/>
      </c>
      <c r="AE559" s="55">
        <f>IF(OR(AC559="",N(R559)=0),"",L559/R559)</f>
        <v/>
      </c>
      <c r="AF559" s="100">
        <f>IF(OR(N(K559)=0,N(J559)+N(Q559)=0),"",K559-IF(N(J559)&gt;0,J559,Q559))</f>
        <v/>
      </c>
      <c r="AG559" s="99">
        <f>IF(B559="","",IFERROR(AVERAGEIFS('QUALITY CONTROL'!$M$5:$M$304,'QUALITY CONTROL'!$B$5:$B$304,A559),""))</f>
        <v/>
      </c>
      <c r="AH559" s="51">
        <f>IF(B559="","",DATE(YEAR(B559),MONTH(B559),1))</f>
        <v/>
      </c>
      <c r="AI559" s="49">
        <f>IF(D559="","",IFERROR(INDEX('CUSTOMERS'!$E$5:$E$404,MATCH(D559,'CUSTOMERS'!$B$5:$B$404,0)),""))</f>
        <v/>
      </c>
      <c r="AJ559" s="49">
        <f>IF(B559="","",N(C559))</f>
        <v/>
      </c>
      <c r="AK559" s="49">
        <f>IF(OR(B559="",O559="Cancelled",O559="Rescheduled"),"",B559&amp;"|"&amp;(COUNTIFS('JOBS'!$B$5:$B$1504,B559,'JOBS'!$AJ$5:$AJ$1504,"&lt;"&amp;AJ559,'JOBS'!$O$5:$O$1504,"&lt;&gt;Cancelled",'JOBS'!$O$5:$O$1504,"&lt;&gt;Rescheduled")+COUNTIFS($B$5:B559,B559,$AJ$5:AJ559,AJ559,$O$5:O559,"&lt;&gt;Cancelled",$O$5:O559,"&lt;&gt;Rescheduled")))</f>
        <v/>
      </c>
      <c r="AL559" s="49">
        <f>IF(N(U559)&lt;=0.005,"",COUNTIFS('JOBS'!$U$5:$U$1504,"&gt;0.005",'JOBS'!$B$5:$B$1504,"&lt;"&amp;B559)+COUNTIFS($U$5:U559,"&gt;0.005",$B$5:B559,B559))</f>
        <v/>
      </c>
    </row>
    <row r="560">
      <c r="A560" s="46" t="inlineStr">
        <is>
          <t>J-0556</t>
        </is>
      </c>
      <c r="B560" s="47" t="n"/>
      <c r="C560" s="94" t="n"/>
      <c r="D560" s="38" t="n"/>
      <c r="E560" s="38" t="n"/>
      <c r="F560" s="38" t="n"/>
      <c r="G560" s="38" t="n"/>
      <c r="H560" s="38" t="n"/>
      <c r="I560" s="57" t="n"/>
      <c r="J560" s="95" t="n"/>
      <c r="K560" s="95" t="n"/>
      <c r="L560" s="48" t="n"/>
      <c r="M560" s="96" t="n"/>
      <c r="N560" s="48" t="n"/>
      <c r="O560" s="38" t="n"/>
      <c r="P560" s="38" t="n"/>
      <c r="Q560" s="97">
        <f>IF(OR(F560="",E560=""),"",IFERROR(IF(INDEX('PROPERTIES'!$F$5:$F$404,MATCH(E560,'PROPERTIES'!$B$5:$B$404,0))=0,"",ROUND((INDEX('PROPERTIES'!$F$5:$F$404,MATCH(E560,'PROPERTIES'!$B$5:$B$404,0))/INDEX('PRICING'!$C$7:$C$16,MATCH(F560,'PRICING'!$A$7:$A$16,0))+INDEX('PROPERTIES'!$G$5:$G$404,MATCH(E560,'PROPERTIES'!$B$5:$B$404,0))*INDEX('PRICING'!$D$7:$D$16,MATCH(F560,'PRICING'!$A$7:$A$16,0))/60+INDEX('PROPERTIES'!$H$5:$H$404,MATCH(E560,'PROPERTIES'!$B$5:$B$404,0))*INDEX('PRICING'!$E$7:$E$16,MATCH(F560,'PRICING'!$A$7:$A$16,0))/60+INDEX('PRICING'!$F$7:$F$16,MATCH(F560,'PRICING'!$A$7:$A$16,0))/60),2)),""))</f>
        <v/>
      </c>
      <c r="R560" s="97">
        <f>IF(B560="","",IF(N(K560)&gt;0,K560,IF(N(J560)&gt;0,J560,N(Q560))))</f>
        <v/>
      </c>
      <c r="S560" s="55">
        <f>IF(L560="","",ROUND(L560*(1+N(M560)),2))</f>
        <v/>
      </c>
      <c r="T560" s="55">
        <f>IF(B560="","",SUMIFS('REVENUE'!$C$5:$C$1504,'REVENUE'!$B$5:$B$1504,A560))</f>
        <v/>
      </c>
      <c r="U560" s="55">
        <f>IF(B560="","",IF(O560="Completed",MAX(0,N(S560)-T560),""))</f>
        <v/>
      </c>
      <c r="V560" s="49">
        <f>IF(B560="","",IF(O560&lt;&gt;"Completed",IF(T560&gt;0,"Deposit","—"),IF(U560&lt;=0.005,"Paid",IF(T560&gt;0,"Partial","Unpaid"))))</f>
        <v/>
      </c>
      <c r="W560" s="55">
        <f>IF(B560="","",IFERROR(1/(1/INDEX('STAFF &amp; TASKS'!$C$5:$C$24,MATCH(H560,'STAFF &amp; TASKS'!$A$5:$A$24,0))),PayRate))</f>
        <v/>
      </c>
      <c r="X560" s="55">
        <f>IF(B560="","",IF(OR(O560="Cancelled",O560="No-Show"),"",ROUND(R560*W560*(1+Burden),2)))</f>
        <v/>
      </c>
      <c r="Y560" s="55">
        <f>IF(B560="","",IF(OR(O560="Cancelled",O560="No-Show"),"",IF(N560&lt;&gt;"",N560,ROUND(R560*SupHr*IFERROR(INDEX('PRICING'!$G$7:$G$16,MATCH(F560,'PRICING'!$A$7:$A$16,0)),1),2))))</f>
        <v/>
      </c>
      <c r="Z560" s="98">
        <f>IF(B560="","",SUMIFS('MILEAGE'!$J$5:$J$1504,'MILEAGE'!$B$5:$B$1504,A560))</f>
        <v/>
      </c>
      <c r="AA560" s="55">
        <f>IF(B560="","",ROUND(Z560*MileRate,2))</f>
        <v/>
      </c>
      <c r="AB560" s="55">
        <f>IF(B560="","",SUMIFS('REVENUE'!$J$5:$J$1504,'REVENUE'!$B$5:$B$1504,A560))</f>
        <v/>
      </c>
      <c r="AC560" s="55">
        <f>IF(L560="","",IF(OR(O560="Cancelled",O560="No-Show"),"",L560-N(X560)-N(Y560)-AA560-AB560))</f>
        <v/>
      </c>
      <c r="AD560" s="99">
        <f>IF(OR(AC560="",N(L560)=0),"",AC560/L560)</f>
        <v/>
      </c>
      <c r="AE560" s="55">
        <f>IF(OR(AC560="",N(R560)=0),"",L560/R560)</f>
        <v/>
      </c>
      <c r="AF560" s="100">
        <f>IF(OR(N(K560)=0,N(J560)+N(Q560)=0),"",K560-IF(N(J560)&gt;0,J560,Q560))</f>
        <v/>
      </c>
      <c r="AG560" s="99">
        <f>IF(B560="","",IFERROR(AVERAGEIFS('QUALITY CONTROL'!$M$5:$M$304,'QUALITY CONTROL'!$B$5:$B$304,A560),""))</f>
        <v/>
      </c>
      <c r="AH560" s="51">
        <f>IF(B560="","",DATE(YEAR(B560),MONTH(B560),1))</f>
        <v/>
      </c>
      <c r="AI560" s="49">
        <f>IF(D560="","",IFERROR(INDEX('CUSTOMERS'!$E$5:$E$404,MATCH(D560,'CUSTOMERS'!$B$5:$B$404,0)),""))</f>
        <v/>
      </c>
      <c r="AJ560" s="49">
        <f>IF(B560="","",N(C560))</f>
        <v/>
      </c>
      <c r="AK560" s="49">
        <f>IF(OR(B560="",O560="Cancelled",O560="Rescheduled"),"",B560&amp;"|"&amp;(COUNTIFS('JOBS'!$B$5:$B$1504,B560,'JOBS'!$AJ$5:$AJ$1504,"&lt;"&amp;AJ560,'JOBS'!$O$5:$O$1504,"&lt;&gt;Cancelled",'JOBS'!$O$5:$O$1504,"&lt;&gt;Rescheduled")+COUNTIFS($B$5:B560,B560,$AJ$5:AJ560,AJ560,$O$5:O560,"&lt;&gt;Cancelled",$O$5:O560,"&lt;&gt;Rescheduled")))</f>
        <v/>
      </c>
      <c r="AL560" s="49">
        <f>IF(N(U560)&lt;=0.005,"",COUNTIFS('JOBS'!$U$5:$U$1504,"&gt;0.005",'JOBS'!$B$5:$B$1504,"&lt;"&amp;B560)+COUNTIFS($U$5:U560,"&gt;0.005",$B$5:B560,B560))</f>
        <v/>
      </c>
    </row>
    <row r="561">
      <c r="A561" s="46" t="inlineStr">
        <is>
          <t>J-0557</t>
        </is>
      </c>
      <c r="B561" s="47" t="n"/>
      <c r="C561" s="94" t="n"/>
      <c r="D561" s="38" t="n"/>
      <c r="E561" s="38" t="n"/>
      <c r="F561" s="38" t="n"/>
      <c r="G561" s="38" t="n"/>
      <c r="H561" s="38" t="n"/>
      <c r="I561" s="57" t="n"/>
      <c r="J561" s="95" t="n"/>
      <c r="K561" s="95" t="n"/>
      <c r="L561" s="48" t="n"/>
      <c r="M561" s="96" t="n"/>
      <c r="N561" s="48" t="n"/>
      <c r="O561" s="38" t="n"/>
      <c r="P561" s="38" t="n"/>
      <c r="Q561" s="97">
        <f>IF(OR(F561="",E561=""),"",IFERROR(IF(INDEX('PROPERTIES'!$F$5:$F$404,MATCH(E561,'PROPERTIES'!$B$5:$B$404,0))=0,"",ROUND((INDEX('PROPERTIES'!$F$5:$F$404,MATCH(E561,'PROPERTIES'!$B$5:$B$404,0))/INDEX('PRICING'!$C$7:$C$16,MATCH(F561,'PRICING'!$A$7:$A$16,0))+INDEX('PROPERTIES'!$G$5:$G$404,MATCH(E561,'PROPERTIES'!$B$5:$B$404,0))*INDEX('PRICING'!$D$7:$D$16,MATCH(F561,'PRICING'!$A$7:$A$16,0))/60+INDEX('PROPERTIES'!$H$5:$H$404,MATCH(E561,'PROPERTIES'!$B$5:$B$404,0))*INDEX('PRICING'!$E$7:$E$16,MATCH(F561,'PRICING'!$A$7:$A$16,0))/60+INDEX('PRICING'!$F$7:$F$16,MATCH(F561,'PRICING'!$A$7:$A$16,0))/60),2)),""))</f>
        <v/>
      </c>
      <c r="R561" s="97">
        <f>IF(B561="","",IF(N(K561)&gt;0,K561,IF(N(J561)&gt;0,J561,N(Q561))))</f>
        <v/>
      </c>
      <c r="S561" s="55">
        <f>IF(L561="","",ROUND(L561*(1+N(M561)),2))</f>
        <v/>
      </c>
      <c r="T561" s="55">
        <f>IF(B561="","",SUMIFS('REVENUE'!$C$5:$C$1504,'REVENUE'!$B$5:$B$1504,A561))</f>
        <v/>
      </c>
      <c r="U561" s="55">
        <f>IF(B561="","",IF(O561="Completed",MAX(0,N(S561)-T561),""))</f>
        <v/>
      </c>
      <c r="V561" s="49">
        <f>IF(B561="","",IF(O561&lt;&gt;"Completed",IF(T561&gt;0,"Deposit","—"),IF(U561&lt;=0.005,"Paid",IF(T561&gt;0,"Partial","Unpaid"))))</f>
        <v/>
      </c>
      <c r="W561" s="55">
        <f>IF(B561="","",IFERROR(1/(1/INDEX('STAFF &amp; TASKS'!$C$5:$C$24,MATCH(H561,'STAFF &amp; TASKS'!$A$5:$A$24,0))),PayRate))</f>
        <v/>
      </c>
      <c r="X561" s="55">
        <f>IF(B561="","",IF(OR(O561="Cancelled",O561="No-Show"),"",ROUND(R561*W561*(1+Burden),2)))</f>
        <v/>
      </c>
      <c r="Y561" s="55">
        <f>IF(B561="","",IF(OR(O561="Cancelled",O561="No-Show"),"",IF(N561&lt;&gt;"",N561,ROUND(R561*SupHr*IFERROR(INDEX('PRICING'!$G$7:$G$16,MATCH(F561,'PRICING'!$A$7:$A$16,0)),1),2))))</f>
        <v/>
      </c>
      <c r="Z561" s="98">
        <f>IF(B561="","",SUMIFS('MILEAGE'!$J$5:$J$1504,'MILEAGE'!$B$5:$B$1504,A561))</f>
        <v/>
      </c>
      <c r="AA561" s="55">
        <f>IF(B561="","",ROUND(Z561*MileRate,2))</f>
        <v/>
      </c>
      <c r="AB561" s="55">
        <f>IF(B561="","",SUMIFS('REVENUE'!$J$5:$J$1504,'REVENUE'!$B$5:$B$1504,A561))</f>
        <v/>
      </c>
      <c r="AC561" s="55">
        <f>IF(L561="","",IF(OR(O561="Cancelled",O561="No-Show"),"",L561-N(X561)-N(Y561)-AA561-AB561))</f>
        <v/>
      </c>
      <c r="AD561" s="99">
        <f>IF(OR(AC561="",N(L561)=0),"",AC561/L561)</f>
        <v/>
      </c>
      <c r="AE561" s="55">
        <f>IF(OR(AC561="",N(R561)=0),"",L561/R561)</f>
        <v/>
      </c>
      <c r="AF561" s="100">
        <f>IF(OR(N(K561)=0,N(J561)+N(Q561)=0),"",K561-IF(N(J561)&gt;0,J561,Q561))</f>
        <v/>
      </c>
      <c r="AG561" s="99">
        <f>IF(B561="","",IFERROR(AVERAGEIFS('QUALITY CONTROL'!$M$5:$M$304,'QUALITY CONTROL'!$B$5:$B$304,A561),""))</f>
        <v/>
      </c>
      <c r="AH561" s="51">
        <f>IF(B561="","",DATE(YEAR(B561),MONTH(B561),1))</f>
        <v/>
      </c>
      <c r="AI561" s="49">
        <f>IF(D561="","",IFERROR(INDEX('CUSTOMERS'!$E$5:$E$404,MATCH(D561,'CUSTOMERS'!$B$5:$B$404,0)),""))</f>
        <v/>
      </c>
      <c r="AJ561" s="49">
        <f>IF(B561="","",N(C561))</f>
        <v/>
      </c>
      <c r="AK561" s="49">
        <f>IF(OR(B561="",O561="Cancelled",O561="Rescheduled"),"",B561&amp;"|"&amp;(COUNTIFS('JOBS'!$B$5:$B$1504,B561,'JOBS'!$AJ$5:$AJ$1504,"&lt;"&amp;AJ561,'JOBS'!$O$5:$O$1504,"&lt;&gt;Cancelled",'JOBS'!$O$5:$O$1504,"&lt;&gt;Rescheduled")+COUNTIFS($B$5:B561,B561,$AJ$5:AJ561,AJ561,$O$5:O561,"&lt;&gt;Cancelled",$O$5:O561,"&lt;&gt;Rescheduled")))</f>
        <v/>
      </c>
      <c r="AL561" s="49">
        <f>IF(N(U561)&lt;=0.005,"",COUNTIFS('JOBS'!$U$5:$U$1504,"&gt;0.005",'JOBS'!$B$5:$B$1504,"&lt;"&amp;B561)+COUNTIFS($U$5:U561,"&gt;0.005",$B$5:B561,B561))</f>
        <v/>
      </c>
    </row>
    <row r="562">
      <c r="A562" s="46" t="inlineStr">
        <is>
          <t>J-0558</t>
        </is>
      </c>
      <c r="B562" s="47" t="n"/>
      <c r="C562" s="94" t="n"/>
      <c r="D562" s="38" t="n"/>
      <c r="E562" s="38" t="n"/>
      <c r="F562" s="38" t="n"/>
      <c r="G562" s="38" t="n"/>
      <c r="H562" s="38" t="n"/>
      <c r="I562" s="57" t="n"/>
      <c r="J562" s="95" t="n"/>
      <c r="K562" s="95" t="n"/>
      <c r="L562" s="48" t="n"/>
      <c r="M562" s="96" t="n"/>
      <c r="N562" s="48" t="n"/>
      <c r="O562" s="38" t="n"/>
      <c r="P562" s="38" t="n"/>
      <c r="Q562" s="97">
        <f>IF(OR(F562="",E562=""),"",IFERROR(IF(INDEX('PROPERTIES'!$F$5:$F$404,MATCH(E562,'PROPERTIES'!$B$5:$B$404,0))=0,"",ROUND((INDEX('PROPERTIES'!$F$5:$F$404,MATCH(E562,'PROPERTIES'!$B$5:$B$404,0))/INDEX('PRICING'!$C$7:$C$16,MATCH(F562,'PRICING'!$A$7:$A$16,0))+INDEX('PROPERTIES'!$G$5:$G$404,MATCH(E562,'PROPERTIES'!$B$5:$B$404,0))*INDEX('PRICING'!$D$7:$D$16,MATCH(F562,'PRICING'!$A$7:$A$16,0))/60+INDEX('PROPERTIES'!$H$5:$H$404,MATCH(E562,'PROPERTIES'!$B$5:$B$404,0))*INDEX('PRICING'!$E$7:$E$16,MATCH(F562,'PRICING'!$A$7:$A$16,0))/60+INDEX('PRICING'!$F$7:$F$16,MATCH(F562,'PRICING'!$A$7:$A$16,0))/60),2)),""))</f>
        <v/>
      </c>
      <c r="R562" s="97">
        <f>IF(B562="","",IF(N(K562)&gt;0,K562,IF(N(J562)&gt;0,J562,N(Q562))))</f>
        <v/>
      </c>
      <c r="S562" s="55">
        <f>IF(L562="","",ROUND(L562*(1+N(M562)),2))</f>
        <v/>
      </c>
      <c r="T562" s="55">
        <f>IF(B562="","",SUMIFS('REVENUE'!$C$5:$C$1504,'REVENUE'!$B$5:$B$1504,A562))</f>
        <v/>
      </c>
      <c r="U562" s="55">
        <f>IF(B562="","",IF(O562="Completed",MAX(0,N(S562)-T562),""))</f>
        <v/>
      </c>
      <c r="V562" s="49">
        <f>IF(B562="","",IF(O562&lt;&gt;"Completed",IF(T562&gt;0,"Deposit","—"),IF(U562&lt;=0.005,"Paid",IF(T562&gt;0,"Partial","Unpaid"))))</f>
        <v/>
      </c>
      <c r="W562" s="55">
        <f>IF(B562="","",IFERROR(1/(1/INDEX('STAFF &amp; TASKS'!$C$5:$C$24,MATCH(H562,'STAFF &amp; TASKS'!$A$5:$A$24,0))),PayRate))</f>
        <v/>
      </c>
      <c r="X562" s="55">
        <f>IF(B562="","",IF(OR(O562="Cancelled",O562="No-Show"),"",ROUND(R562*W562*(1+Burden),2)))</f>
        <v/>
      </c>
      <c r="Y562" s="55">
        <f>IF(B562="","",IF(OR(O562="Cancelled",O562="No-Show"),"",IF(N562&lt;&gt;"",N562,ROUND(R562*SupHr*IFERROR(INDEX('PRICING'!$G$7:$G$16,MATCH(F562,'PRICING'!$A$7:$A$16,0)),1),2))))</f>
        <v/>
      </c>
      <c r="Z562" s="98">
        <f>IF(B562="","",SUMIFS('MILEAGE'!$J$5:$J$1504,'MILEAGE'!$B$5:$B$1504,A562))</f>
        <v/>
      </c>
      <c r="AA562" s="55">
        <f>IF(B562="","",ROUND(Z562*MileRate,2))</f>
        <v/>
      </c>
      <c r="AB562" s="55">
        <f>IF(B562="","",SUMIFS('REVENUE'!$J$5:$J$1504,'REVENUE'!$B$5:$B$1504,A562))</f>
        <v/>
      </c>
      <c r="AC562" s="55">
        <f>IF(L562="","",IF(OR(O562="Cancelled",O562="No-Show"),"",L562-N(X562)-N(Y562)-AA562-AB562))</f>
        <v/>
      </c>
      <c r="AD562" s="99">
        <f>IF(OR(AC562="",N(L562)=0),"",AC562/L562)</f>
        <v/>
      </c>
      <c r="AE562" s="55">
        <f>IF(OR(AC562="",N(R562)=0),"",L562/R562)</f>
        <v/>
      </c>
      <c r="AF562" s="100">
        <f>IF(OR(N(K562)=0,N(J562)+N(Q562)=0),"",K562-IF(N(J562)&gt;0,J562,Q562))</f>
        <v/>
      </c>
      <c r="AG562" s="99">
        <f>IF(B562="","",IFERROR(AVERAGEIFS('QUALITY CONTROL'!$M$5:$M$304,'QUALITY CONTROL'!$B$5:$B$304,A562),""))</f>
        <v/>
      </c>
      <c r="AH562" s="51">
        <f>IF(B562="","",DATE(YEAR(B562),MONTH(B562),1))</f>
        <v/>
      </c>
      <c r="AI562" s="49">
        <f>IF(D562="","",IFERROR(INDEX('CUSTOMERS'!$E$5:$E$404,MATCH(D562,'CUSTOMERS'!$B$5:$B$404,0)),""))</f>
        <v/>
      </c>
      <c r="AJ562" s="49">
        <f>IF(B562="","",N(C562))</f>
        <v/>
      </c>
      <c r="AK562" s="49">
        <f>IF(OR(B562="",O562="Cancelled",O562="Rescheduled"),"",B562&amp;"|"&amp;(COUNTIFS('JOBS'!$B$5:$B$1504,B562,'JOBS'!$AJ$5:$AJ$1504,"&lt;"&amp;AJ562,'JOBS'!$O$5:$O$1504,"&lt;&gt;Cancelled",'JOBS'!$O$5:$O$1504,"&lt;&gt;Rescheduled")+COUNTIFS($B$5:B562,B562,$AJ$5:AJ562,AJ562,$O$5:O562,"&lt;&gt;Cancelled",$O$5:O562,"&lt;&gt;Rescheduled")))</f>
        <v/>
      </c>
      <c r="AL562" s="49">
        <f>IF(N(U562)&lt;=0.005,"",COUNTIFS('JOBS'!$U$5:$U$1504,"&gt;0.005",'JOBS'!$B$5:$B$1504,"&lt;"&amp;B562)+COUNTIFS($U$5:U562,"&gt;0.005",$B$5:B562,B562))</f>
        <v/>
      </c>
    </row>
    <row r="563">
      <c r="A563" s="46" t="inlineStr">
        <is>
          <t>J-0559</t>
        </is>
      </c>
      <c r="B563" s="47" t="n"/>
      <c r="C563" s="94" t="n"/>
      <c r="D563" s="38" t="n"/>
      <c r="E563" s="38" t="n"/>
      <c r="F563" s="38" t="n"/>
      <c r="G563" s="38" t="n"/>
      <c r="H563" s="38" t="n"/>
      <c r="I563" s="57" t="n"/>
      <c r="J563" s="95" t="n"/>
      <c r="K563" s="95" t="n"/>
      <c r="L563" s="48" t="n"/>
      <c r="M563" s="96" t="n"/>
      <c r="N563" s="48" t="n"/>
      <c r="O563" s="38" t="n"/>
      <c r="P563" s="38" t="n"/>
      <c r="Q563" s="97">
        <f>IF(OR(F563="",E563=""),"",IFERROR(IF(INDEX('PROPERTIES'!$F$5:$F$404,MATCH(E563,'PROPERTIES'!$B$5:$B$404,0))=0,"",ROUND((INDEX('PROPERTIES'!$F$5:$F$404,MATCH(E563,'PROPERTIES'!$B$5:$B$404,0))/INDEX('PRICING'!$C$7:$C$16,MATCH(F563,'PRICING'!$A$7:$A$16,0))+INDEX('PROPERTIES'!$G$5:$G$404,MATCH(E563,'PROPERTIES'!$B$5:$B$404,0))*INDEX('PRICING'!$D$7:$D$16,MATCH(F563,'PRICING'!$A$7:$A$16,0))/60+INDEX('PROPERTIES'!$H$5:$H$404,MATCH(E563,'PROPERTIES'!$B$5:$B$404,0))*INDEX('PRICING'!$E$7:$E$16,MATCH(F563,'PRICING'!$A$7:$A$16,0))/60+INDEX('PRICING'!$F$7:$F$16,MATCH(F563,'PRICING'!$A$7:$A$16,0))/60),2)),""))</f>
        <v/>
      </c>
      <c r="R563" s="97">
        <f>IF(B563="","",IF(N(K563)&gt;0,K563,IF(N(J563)&gt;0,J563,N(Q563))))</f>
        <v/>
      </c>
      <c r="S563" s="55">
        <f>IF(L563="","",ROUND(L563*(1+N(M563)),2))</f>
        <v/>
      </c>
      <c r="T563" s="55">
        <f>IF(B563="","",SUMIFS('REVENUE'!$C$5:$C$1504,'REVENUE'!$B$5:$B$1504,A563))</f>
        <v/>
      </c>
      <c r="U563" s="55">
        <f>IF(B563="","",IF(O563="Completed",MAX(0,N(S563)-T563),""))</f>
        <v/>
      </c>
      <c r="V563" s="49">
        <f>IF(B563="","",IF(O563&lt;&gt;"Completed",IF(T563&gt;0,"Deposit","—"),IF(U563&lt;=0.005,"Paid",IF(T563&gt;0,"Partial","Unpaid"))))</f>
        <v/>
      </c>
      <c r="W563" s="55">
        <f>IF(B563="","",IFERROR(1/(1/INDEX('STAFF &amp; TASKS'!$C$5:$C$24,MATCH(H563,'STAFF &amp; TASKS'!$A$5:$A$24,0))),PayRate))</f>
        <v/>
      </c>
      <c r="X563" s="55">
        <f>IF(B563="","",IF(OR(O563="Cancelled",O563="No-Show"),"",ROUND(R563*W563*(1+Burden),2)))</f>
        <v/>
      </c>
      <c r="Y563" s="55">
        <f>IF(B563="","",IF(OR(O563="Cancelled",O563="No-Show"),"",IF(N563&lt;&gt;"",N563,ROUND(R563*SupHr*IFERROR(INDEX('PRICING'!$G$7:$G$16,MATCH(F563,'PRICING'!$A$7:$A$16,0)),1),2))))</f>
        <v/>
      </c>
      <c r="Z563" s="98">
        <f>IF(B563="","",SUMIFS('MILEAGE'!$J$5:$J$1504,'MILEAGE'!$B$5:$B$1504,A563))</f>
        <v/>
      </c>
      <c r="AA563" s="55">
        <f>IF(B563="","",ROUND(Z563*MileRate,2))</f>
        <v/>
      </c>
      <c r="AB563" s="55">
        <f>IF(B563="","",SUMIFS('REVENUE'!$J$5:$J$1504,'REVENUE'!$B$5:$B$1504,A563))</f>
        <v/>
      </c>
      <c r="AC563" s="55">
        <f>IF(L563="","",IF(OR(O563="Cancelled",O563="No-Show"),"",L563-N(X563)-N(Y563)-AA563-AB563))</f>
        <v/>
      </c>
      <c r="AD563" s="99">
        <f>IF(OR(AC563="",N(L563)=0),"",AC563/L563)</f>
        <v/>
      </c>
      <c r="AE563" s="55">
        <f>IF(OR(AC563="",N(R563)=0),"",L563/R563)</f>
        <v/>
      </c>
      <c r="AF563" s="100">
        <f>IF(OR(N(K563)=0,N(J563)+N(Q563)=0),"",K563-IF(N(J563)&gt;0,J563,Q563))</f>
        <v/>
      </c>
      <c r="AG563" s="99">
        <f>IF(B563="","",IFERROR(AVERAGEIFS('QUALITY CONTROL'!$M$5:$M$304,'QUALITY CONTROL'!$B$5:$B$304,A563),""))</f>
        <v/>
      </c>
      <c r="AH563" s="51">
        <f>IF(B563="","",DATE(YEAR(B563),MONTH(B563),1))</f>
        <v/>
      </c>
      <c r="AI563" s="49">
        <f>IF(D563="","",IFERROR(INDEX('CUSTOMERS'!$E$5:$E$404,MATCH(D563,'CUSTOMERS'!$B$5:$B$404,0)),""))</f>
        <v/>
      </c>
      <c r="AJ563" s="49">
        <f>IF(B563="","",N(C563))</f>
        <v/>
      </c>
      <c r="AK563" s="49">
        <f>IF(OR(B563="",O563="Cancelled",O563="Rescheduled"),"",B563&amp;"|"&amp;(COUNTIFS('JOBS'!$B$5:$B$1504,B563,'JOBS'!$AJ$5:$AJ$1504,"&lt;"&amp;AJ563,'JOBS'!$O$5:$O$1504,"&lt;&gt;Cancelled",'JOBS'!$O$5:$O$1504,"&lt;&gt;Rescheduled")+COUNTIFS($B$5:B563,B563,$AJ$5:AJ563,AJ563,$O$5:O563,"&lt;&gt;Cancelled",$O$5:O563,"&lt;&gt;Rescheduled")))</f>
        <v/>
      </c>
      <c r="AL563" s="49">
        <f>IF(N(U563)&lt;=0.005,"",COUNTIFS('JOBS'!$U$5:$U$1504,"&gt;0.005",'JOBS'!$B$5:$B$1504,"&lt;"&amp;B563)+COUNTIFS($U$5:U563,"&gt;0.005",$B$5:B563,B563))</f>
        <v/>
      </c>
    </row>
    <row r="564">
      <c r="A564" s="46" t="inlineStr">
        <is>
          <t>J-0560</t>
        </is>
      </c>
      <c r="B564" s="47" t="n"/>
      <c r="C564" s="94" t="n"/>
      <c r="D564" s="38" t="n"/>
      <c r="E564" s="38" t="n"/>
      <c r="F564" s="38" t="n"/>
      <c r="G564" s="38" t="n"/>
      <c r="H564" s="38" t="n"/>
      <c r="I564" s="57" t="n"/>
      <c r="J564" s="95" t="n"/>
      <c r="K564" s="95" t="n"/>
      <c r="L564" s="48" t="n"/>
      <c r="M564" s="96" t="n"/>
      <c r="N564" s="48" t="n"/>
      <c r="O564" s="38" t="n"/>
      <c r="P564" s="38" t="n"/>
      <c r="Q564" s="97">
        <f>IF(OR(F564="",E564=""),"",IFERROR(IF(INDEX('PROPERTIES'!$F$5:$F$404,MATCH(E564,'PROPERTIES'!$B$5:$B$404,0))=0,"",ROUND((INDEX('PROPERTIES'!$F$5:$F$404,MATCH(E564,'PROPERTIES'!$B$5:$B$404,0))/INDEX('PRICING'!$C$7:$C$16,MATCH(F564,'PRICING'!$A$7:$A$16,0))+INDEX('PROPERTIES'!$G$5:$G$404,MATCH(E564,'PROPERTIES'!$B$5:$B$404,0))*INDEX('PRICING'!$D$7:$D$16,MATCH(F564,'PRICING'!$A$7:$A$16,0))/60+INDEX('PROPERTIES'!$H$5:$H$404,MATCH(E564,'PROPERTIES'!$B$5:$B$404,0))*INDEX('PRICING'!$E$7:$E$16,MATCH(F564,'PRICING'!$A$7:$A$16,0))/60+INDEX('PRICING'!$F$7:$F$16,MATCH(F564,'PRICING'!$A$7:$A$16,0))/60),2)),""))</f>
        <v/>
      </c>
      <c r="R564" s="97">
        <f>IF(B564="","",IF(N(K564)&gt;0,K564,IF(N(J564)&gt;0,J564,N(Q564))))</f>
        <v/>
      </c>
      <c r="S564" s="55">
        <f>IF(L564="","",ROUND(L564*(1+N(M564)),2))</f>
        <v/>
      </c>
      <c r="T564" s="55">
        <f>IF(B564="","",SUMIFS('REVENUE'!$C$5:$C$1504,'REVENUE'!$B$5:$B$1504,A564))</f>
        <v/>
      </c>
      <c r="U564" s="55">
        <f>IF(B564="","",IF(O564="Completed",MAX(0,N(S564)-T564),""))</f>
        <v/>
      </c>
      <c r="V564" s="49">
        <f>IF(B564="","",IF(O564&lt;&gt;"Completed",IF(T564&gt;0,"Deposit","—"),IF(U564&lt;=0.005,"Paid",IF(T564&gt;0,"Partial","Unpaid"))))</f>
        <v/>
      </c>
      <c r="W564" s="55">
        <f>IF(B564="","",IFERROR(1/(1/INDEX('STAFF &amp; TASKS'!$C$5:$C$24,MATCH(H564,'STAFF &amp; TASKS'!$A$5:$A$24,0))),PayRate))</f>
        <v/>
      </c>
      <c r="X564" s="55">
        <f>IF(B564="","",IF(OR(O564="Cancelled",O564="No-Show"),"",ROUND(R564*W564*(1+Burden),2)))</f>
        <v/>
      </c>
      <c r="Y564" s="55">
        <f>IF(B564="","",IF(OR(O564="Cancelled",O564="No-Show"),"",IF(N564&lt;&gt;"",N564,ROUND(R564*SupHr*IFERROR(INDEX('PRICING'!$G$7:$G$16,MATCH(F564,'PRICING'!$A$7:$A$16,0)),1),2))))</f>
        <v/>
      </c>
      <c r="Z564" s="98">
        <f>IF(B564="","",SUMIFS('MILEAGE'!$J$5:$J$1504,'MILEAGE'!$B$5:$B$1504,A564))</f>
        <v/>
      </c>
      <c r="AA564" s="55">
        <f>IF(B564="","",ROUND(Z564*MileRate,2))</f>
        <v/>
      </c>
      <c r="AB564" s="55">
        <f>IF(B564="","",SUMIFS('REVENUE'!$J$5:$J$1504,'REVENUE'!$B$5:$B$1504,A564))</f>
        <v/>
      </c>
      <c r="AC564" s="55">
        <f>IF(L564="","",IF(OR(O564="Cancelled",O564="No-Show"),"",L564-N(X564)-N(Y564)-AA564-AB564))</f>
        <v/>
      </c>
      <c r="AD564" s="99">
        <f>IF(OR(AC564="",N(L564)=0),"",AC564/L564)</f>
        <v/>
      </c>
      <c r="AE564" s="55">
        <f>IF(OR(AC564="",N(R564)=0),"",L564/R564)</f>
        <v/>
      </c>
      <c r="AF564" s="100">
        <f>IF(OR(N(K564)=0,N(J564)+N(Q564)=0),"",K564-IF(N(J564)&gt;0,J564,Q564))</f>
        <v/>
      </c>
      <c r="AG564" s="99">
        <f>IF(B564="","",IFERROR(AVERAGEIFS('QUALITY CONTROL'!$M$5:$M$304,'QUALITY CONTROL'!$B$5:$B$304,A564),""))</f>
        <v/>
      </c>
      <c r="AH564" s="51">
        <f>IF(B564="","",DATE(YEAR(B564),MONTH(B564),1))</f>
        <v/>
      </c>
      <c r="AI564" s="49">
        <f>IF(D564="","",IFERROR(INDEX('CUSTOMERS'!$E$5:$E$404,MATCH(D564,'CUSTOMERS'!$B$5:$B$404,0)),""))</f>
        <v/>
      </c>
      <c r="AJ564" s="49">
        <f>IF(B564="","",N(C564))</f>
        <v/>
      </c>
      <c r="AK564" s="49">
        <f>IF(OR(B564="",O564="Cancelled",O564="Rescheduled"),"",B564&amp;"|"&amp;(COUNTIFS('JOBS'!$B$5:$B$1504,B564,'JOBS'!$AJ$5:$AJ$1504,"&lt;"&amp;AJ564,'JOBS'!$O$5:$O$1504,"&lt;&gt;Cancelled",'JOBS'!$O$5:$O$1504,"&lt;&gt;Rescheduled")+COUNTIFS($B$5:B564,B564,$AJ$5:AJ564,AJ564,$O$5:O564,"&lt;&gt;Cancelled",$O$5:O564,"&lt;&gt;Rescheduled")))</f>
        <v/>
      </c>
      <c r="AL564" s="49">
        <f>IF(N(U564)&lt;=0.005,"",COUNTIFS('JOBS'!$U$5:$U$1504,"&gt;0.005",'JOBS'!$B$5:$B$1504,"&lt;"&amp;B564)+COUNTIFS($U$5:U564,"&gt;0.005",$B$5:B564,B564))</f>
        <v/>
      </c>
    </row>
    <row r="565">
      <c r="A565" s="46" t="inlineStr">
        <is>
          <t>J-0561</t>
        </is>
      </c>
      <c r="B565" s="47" t="n"/>
      <c r="C565" s="94" t="n"/>
      <c r="D565" s="38" t="n"/>
      <c r="E565" s="38" t="n"/>
      <c r="F565" s="38" t="n"/>
      <c r="G565" s="38" t="n"/>
      <c r="H565" s="38" t="n"/>
      <c r="I565" s="57" t="n"/>
      <c r="J565" s="95" t="n"/>
      <c r="K565" s="95" t="n"/>
      <c r="L565" s="48" t="n"/>
      <c r="M565" s="96" t="n"/>
      <c r="N565" s="48" t="n"/>
      <c r="O565" s="38" t="n"/>
      <c r="P565" s="38" t="n"/>
      <c r="Q565" s="97">
        <f>IF(OR(F565="",E565=""),"",IFERROR(IF(INDEX('PROPERTIES'!$F$5:$F$404,MATCH(E565,'PROPERTIES'!$B$5:$B$404,0))=0,"",ROUND((INDEX('PROPERTIES'!$F$5:$F$404,MATCH(E565,'PROPERTIES'!$B$5:$B$404,0))/INDEX('PRICING'!$C$7:$C$16,MATCH(F565,'PRICING'!$A$7:$A$16,0))+INDEX('PROPERTIES'!$G$5:$G$404,MATCH(E565,'PROPERTIES'!$B$5:$B$404,0))*INDEX('PRICING'!$D$7:$D$16,MATCH(F565,'PRICING'!$A$7:$A$16,0))/60+INDEX('PROPERTIES'!$H$5:$H$404,MATCH(E565,'PROPERTIES'!$B$5:$B$404,0))*INDEX('PRICING'!$E$7:$E$16,MATCH(F565,'PRICING'!$A$7:$A$16,0))/60+INDEX('PRICING'!$F$7:$F$16,MATCH(F565,'PRICING'!$A$7:$A$16,0))/60),2)),""))</f>
        <v/>
      </c>
      <c r="R565" s="97">
        <f>IF(B565="","",IF(N(K565)&gt;0,K565,IF(N(J565)&gt;0,J565,N(Q565))))</f>
        <v/>
      </c>
      <c r="S565" s="55">
        <f>IF(L565="","",ROUND(L565*(1+N(M565)),2))</f>
        <v/>
      </c>
      <c r="T565" s="55">
        <f>IF(B565="","",SUMIFS('REVENUE'!$C$5:$C$1504,'REVENUE'!$B$5:$B$1504,A565))</f>
        <v/>
      </c>
      <c r="U565" s="55">
        <f>IF(B565="","",IF(O565="Completed",MAX(0,N(S565)-T565),""))</f>
        <v/>
      </c>
      <c r="V565" s="49">
        <f>IF(B565="","",IF(O565&lt;&gt;"Completed",IF(T565&gt;0,"Deposit","—"),IF(U565&lt;=0.005,"Paid",IF(T565&gt;0,"Partial","Unpaid"))))</f>
        <v/>
      </c>
      <c r="W565" s="55">
        <f>IF(B565="","",IFERROR(1/(1/INDEX('STAFF &amp; TASKS'!$C$5:$C$24,MATCH(H565,'STAFF &amp; TASKS'!$A$5:$A$24,0))),PayRate))</f>
        <v/>
      </c>
      <c r="X565" s="55">
        <f>IF(B565="","",IF(OR(O565="Cancelled",O565="No-Show"),"",ROUND(R565*W565*(1+Burden),2)))</f>
        <v/>
      </c>
      <c r="Y565" s="55">
        <f>IF(B565="","",IF(OR(O565="Cancelled",O565="No-Show"),"",IF(N565&lt;&gt;"",N565,ROUND(R565*SupHr*IFERROR(INDEX('PRICING'!$G$7:$G$16,MATCH(F565,'PRICING'!$A$7:$A$16,0)),1),2))))</f>
        <v/>
      </c>
      <c r="Z565" s="98">
        <f>IF(B565="","",SUMIFS('MILEAGE'!$J$5:$J$1504,'MILEAGE'!$B$5:$B$1504,A565))</f>
        <v/>
      </c>
      <c r="AA565" s="55">
        <f>IF(B565="","",ROUND(Z565*MileRate,2))</f>
        <v/>
      </c>
      <c r="AB565" s="55">
        <f>IF(B565="","",SUMIFS('REVENUE'!$J$5:$J$1504,'REVENUE'!$B$5:$B$1504,A565))</f>
        <v/>
      </c>
      <c r="AC565" s="55">
        <f>IF(L565="","",IF(OR(O565="Cancelled",O565="No-Show"),"",L565-N(X565)-N(Y565)-AA565-AB565))</f>
        <v/>
      </c>
      <c r="AD565" s="99">
        <f>IF(OR(AC565="",N(L565)=0),"",AC565/L565)</f>
        <v/>
      </c>
      <c r="AE565" s="55">
        <f>IF(OR(AC565="",N(R565)=0),"",L565/R565)</f>
        <v/>
      </c>
      <c r="AF565" s="100">
        <f>IF(OR(N(K565)=0,N(J565)+N(Q565)=0),"",K565-IF(N(J565)&gt;0,J565,Q565))</f>
        <v/>
      </c>
      <c r="AG565" s="99">
        <f>IF(B565="","",IFERROR(AVERAGEIFS('QUALITY CONTROL'!$M$5:$M$304,'QUALITY CONTROL'!$B$5:$B$304,A565),""))</f>
        <v/>
      </c>
      <c r="AH565" s="51">
        <f>IF(B565="","",DATE(YEAR(B565),MONTH(B565),1))</f>
        <v/>
      </c>
      <c r="AI565" s="49">
        <f>IF(D565="","",IFERROR(INDEX('CUSTOMERS'!$E$5:$E$404,MATCH(D565,'CUSTOMERS'!$B$5:$B$404,0)),""))</f>
        <v/>
      </c>
      <c r="AJ565" s="49">
        <f>IF(B565="","",N(C565))</f>
        <v/>
      </c>
      <c r="AK565" s="49">
        <f>IF(OR(B565="",O565="Cancelled",O565="Rescheduled"),"",B565&amp;"|"&amp;(COUNTIFS('JOBS'!$B$5:$B$1504,B565,'JOBS'!$AJ$5:$AJ$1504,"&lt;"&amp;AJ565,'JOBS'!$O$5:$O$1504,"&lt;&gt;Cancelled",'JOBS'!$O$5:$O$1504,"&lt;&gt;Rescheduled")+COUNTIFS($B$5:B565,B565,$AJ$5:AJ565,AJ565,$O$5:O565,"&lt;&gt;Cancelled",$O$5:O565,"&lt;&gt;Rescheduled")))</f>
        <v/>
      </c>
      <c r="AL565" s="49">
        <f>IF(N(U565)&lt;=0.005,"",COUNTIFS('JOBS'!$U$5:$U$1504,"&gt;0.005",'JOBS'!$B$5:$B$1504,"&lt;"&amp;B565)+COUNTIFS($U$5:U565,"&gt;0.005",$B$5:B565,B565))</f>
        <v/>
      </c>
    </row>
    <row r="566">
      <c r="A566" s="46" t="inlineStr">
        <is>
          <t>J-0562</t>
        </is>
      </c>
      <c r="B566" s="47" t="n"/>
      <c r="C566" s="94" t="n"/>
      <c r="D566" s="38" t="n"/>
      <c r="E566" s="38" t="n"/>
      <c r="F566" s="38" t="n"/>
      <c r="G566" s="38" t="n"/>
      <c r="H566" s="38" t="n"/>
      <c r="I566" s="57" t="n"/>
      <c r="J566" s="95" t="n"/>
      <c r="K566" s="95" t="n"/>
      <c r="L566" s="48" t="n"/>
      <c r="M566" s="96" t="n"/>
      <c r="N566" s="48" t="n"/>
      <c r="O566" s="38" t="n"/>
      <c r="P566" s="38" t="n"/>
      <c r="Q566" s="97">
        <f>IF(OR(F566="",E566=""),"",IFERROR(IF(INDEX('PROPERTIES'!$F$5:$F$404,MATCH(E566,'PROPERTIES'!$B$5:$B$404,0))=0,"",ROUND((INDEX('PROPERTIES'!$F$5:$F$404,MATCH(E566,'PROPERTIES'!$B$5:$B$404,0))/INDEX('PRICING'!$C$7:$C$16,MATCH(F566,'PRICING'!$A$7:$A$16,0))+INDEX('PROPERTIES'!$G$5:$G$404,MATCH(E566,'PROPERTIES'!$B$5:$B$404,0))*INDEX('PRICING'!$D$7:$D$16,MATCH(F566,'PRICING'!$A$7:$A$16,0))/60+INDEX('PROPERTIES'!$H$5:$H$404,MATCH(E566,'PROPERTIES'!$B$5:$B$404,0))*INDEX('PRICING'!$E$7:$E$16,MATCH(F566,'PRICING'!$A$7:$A$16,0))/60+INDEX('PRICING'!$F$7:$F$16,MATCH(F566,'PRICING'!$A$7:$A$16,0))/60),2)),""))</f>
        <v/>
      </c>
      <c r="R566" s="97">
        <f>IF(B566="","",IF(N(K566)&gt;0,K566,IF(N(J566)&gt;0,J566,N(Q566))))</f>
        <v/>
      </c>
      <c r="S566" s="55">
        <f>IF(L566="","",ROUND(L566*(1+N(M566)),2))</f>
        <v/>
      </c>
      <c r="T566" s="55">
        <f>IF(B566="","",SUMIFS('REVENUE'!$C$5:$C$1504,'REVENUE'!$B$5:$B$1504,A566))</f>
        <v/>
      </c>
      <c r="U566" s="55">
        <f>IF(B566="","",IF(O566="Completed",MAX(0,N(S566)-T566),""))</f>
        <v/>
      </c>
      <c r="V566" s="49">
        <f>IF(B566="","",IF(O566&lt;&gt;"Completed",IF(T566&gt;0,"Deposit","—"),IF(U566&lt;=0.005,"Paid",IF(T566&gt;0,"Partial","Unpaid"))))</f>
        <v/>
      </c>
      <c r="W566" s="55">
        <f>IF(B566="","",IFERROR(1/(1/INDEX('STAFF &amp; TASKS'!$C$5:$C$24,MATCH(H566,'STAFF &amp; TASKS'!$A$5:$A$24,0))),PayRate))</f>
        <v/>
      </c>
      <c r="X566" s="55">
        <f>IF(B566="","",IF(OR(O566="Cancelled",O566="No-Show"),"",ROUND(R566*W566*(1+Burden),2)))</f>
        <v/>
      </c>
      <c r="Y566" s="55">
        <f>IF(B566="","",IF(OR(O566="Cancelled",O566="No-Show"),"",IF(N566&lt;&gt;"",N566,ROUND(R566*SupHr*IFERROR(INDEX('PRICING'!$G$7:$G$16,MATCH(F566,'PRICING'!$A$7:$A$16,0)),1),2))))</f>
        <v/>
      </c>
      <c r="Z566" s="98">
        <f>IF(B566="","",SUMIFS('MILEAGE'!$J$5:$J$1504,'MILEAGE'!$B$5:$B$1504,A566))</f>
        <v/>
      </c>
      <c r="AA566" s="55">
        <f>IF(B566="","",ROUND(Z566*MileRate,2))</f>
        <v/>
      </c>
      <c r="AB566" s="55">
        <f>IF(B566="","",SUMIFS('REVENUE'!$J$5:$J$1504,'REVENUE'!$B$5:$B$1504,A566))</f>
        <v/>
      </c>
      <c r="AC566" s="55">
        <f>IF(L566="","",IF(OR(O566="Cancelled",O566="No-Show"),"",L566-N(X566)-N(Y566)-AA566-AB566))</f>
        <v/>
      </c>
      <c r="AD566" s="99">
        <f>IF(OR(AC566="",N(L566)=0),"",AC566/L566)</f>
        <v/>
      </c>
      <c r="AE566" s="55">
        <f>IF(OR(AC566="",N(R566)=0),"",L566/R566)</f>
        <v/>
      </c>
      <c r="AF566" s="100">
        <f>IF(OR(N(K566)=0,N(J566)+N(Q566)=0),"",K566-IF(N(J566)&gt;0,J566,Q566))</f>
        <v/>
      </c>
      <c r="AG566" s="99">
        <f>IF(B566="","",IFERROR(AVERAGEIFS('QUALITY CONTROL'!$M$5:$M$304,'QUALITY CONTROL'!$B$5:$B$304,A566),""))</f>
        <v/>
      </c>
      <c r="AH566" s="51">
        <f>IF(B566="","",DATE(YEAR(B566),MONTH(B566),1))</f>
        <v/>
      </c>
      <c r="AI566" s="49">
        <f>IF(D566="","",IFERROR(INDEX('CUSTOMERS'!$E$5:$E$404,MATCH(D566,'CUSTOMERS'!$B$5:$B$404,0)),""))</f>
        <v/>
      </c>
      <c r="AJ566" s="49">
        <f>IF(B566="","",N(C566))</f>
        <v/>
      </c>
      <c r="AK566" s="49">
        <f>IF(OR(B566="",O566="Cancelled",O566="Rescheduled"),"",B566&amp;"|"&amp;(COUNTIFS('JOBS'!$B$5:$B$1504,B566,'JOBS'!$AJ$5:$AJ$1504,"&lt;"&amp;AJ566,'JOBS'!$O$5:$O$1504,"&lt;&gt;Cancelled",'JOBS'!$O$5:$O$1504,"&lt;&gt;Rescheduled")+COUNTIFS($B$5:B566,B566,$AJ$5:AJ566,AJ566,$O$5:O566,"&lt;&gt;Cancelled",$O$5:O566,"&lt;&gt;Rescheduled")))</f>
        <v/>
      </c>
      <c r="AL566" s="49">
        <f>IF(N(U566)&lt;=0.005,"",COUNTIFS('JOBS'!$U$5:$U$1504,"&gt;0.005",'JOBS'!$B$5:$B$1504,"&lt;"&amp;B566)+COUNTIFS($U$5:U566,"&gt;0.005",$B$5:B566,B566))</f>
        <v/>
      </c>
    </row>
    <row r="567">
      <c r="A567" s="46" t="inlineStr">
        <is>
          <t>J-0563</t>
        </is>
      </c>
      <c r="B567" s="47" t="n"/>
      <c r="C567" s="94" t="n"/>
      <c r="D567" s="38" t="n"/>
      <c r="E567" s="38" t="n"/>
      <c r="F567" s="38" t="n"/>
      <c r="G567" s="38" t="n"/>
      <c r="H567" s="38" t="n"/>
      <c r="I567" s="57" t="n"/>
      <c r="J567" s="95" t="n"/>
      <c r="K567" s="95" t="n"/>
      <c r="L567" s="48" t="n"/>
      <c r="M567" s="96" t="n"/>
      <c r="N567" s="48" t="n"/>
      <c r="O567" s="38" t="n"/>
      <c r="P567" s="38" t="n"/>
      <c r="Q567" s="97">
        <f>IF(OR(F567="",E567=""),"",IFERROR(IF(INDEX('PROPERTIES'!$F$5:$F$404,MATCH(E567,'PROPERTIES'!$B$5:$B$404,0))=0,"",ROUND((INDEX('PROPERTIES'!$F$5:$F$404,MATCH(E567,'PROPERTIES'!$B$5:$B$404,0))/INDEX('PRICING'!$C$7:$C$16,MATCH(F567,'PRICING'!$A$7:$A$16,0))+INDEX('PROPERTIES'!$G$5:$G$404,MATCH(E567,'PROPERTIES'!$B$5:$B$404,0))*INDEX('PRICING'!$D$7:$D$16,MATCH(F567,'PRICING'!$A$7:$A$16,0))/60+INDEX('PROPERTIES'!$H$5:$H$404,MATCH(E567,'PROPERTIES'!$B$5:$B$404,0))*INDEX('PRICING'!$E$7:$E$16,MATCH(F567,'PRICING'!$A$7:$A$16,0))/60+INDEX('PRICING'!$F$7:$F$16,MATCH(F567,'PRICING'!$A$7:$A$16,0))/60),2)),""))</f>
        <v/>
      </c>
      <c r="R567" s="97">
        <f>IF(B567="","",IF(N(K567)&gt;0,K567,IF(N(J567)&gt;0,J567,N(Q567))))</f>
        <v/>
      </c>
      <c r="S567" s="55">
        <f>IF(L567="","",ROUND(L567*(1+N(M567)),2))</f>
        <v/>
      </c>
      <c r="T567" s="55">
        <f>IF(B567="","",SUMIFS('REVENUE'!$C$5:$C$1504,'REVENUE'!$B$5:$B$1504,A567))</f>
        <v/>
      </c>
      <c r="U567" s="55">
        <f>IF(B567="","",IF(O567="Completed",MAX(0,N(S567)-T567),""))</f>
        <v/>
      </c>
      <c r="V567" s="49">
        <f>IF(B567="","",IF(O567&lt;&gt;"Completed",IF(T567&gt;0,"Deposit","—"),IF(U567&lt;=0.005,"Paid",IF(T567&gt;0,"Partial","Unpaid"))))</f>
        <v/>
      </c>
      <c r="W567" s="55">
        <f>IF(B567="","",IFERROR(1/(1/INDEX('STAFF &amp; TASKS'!$C$5:$C$24,MATCH(H567,'STAFF &amp; TASKS'!$A$5:$A$24,0))),PayRate))</f>
        <v/>
      </c>
      <c r="X567" s="55">
        <f>IF(B567="","",IF(OR(O567="Cancelled",O567="No-Show"),"",ROUND(R567*W567*(1+Burden),2)))</f>
        <v/>
      </c>
      <c r="Y567" s="55">
        <f>IF(B567="","",IF(OR(O567="Cancelled",O567="No-Show"),"",IF(N567&lt;&gt;"",N567,ROUND(R567*SupHr*IFERROR(INDEX('PRICING'!$G$7:$G$16,MATCH(F567,'PRICING'!$A$7:$A$16,0)),1),2))))</f>
        <v/>
      </c>
      <c r="Z567" s="98">
        <f>IF(B567="","",SUMIFS('MILEAGE'!$J$5:$J$1504,'MILEAGE'!$B$5:$B$1504,A567))</f>
        <v/>
      </c>
      <c r="AA567" s="55">
        <f>IF(B567="","",ROUND(Z567*MileRate,2))</f>
        <v/>
      </c>
      <c r="AB567" s="55">
        <f>IF(B567="","",SUMIFS('REVENUE'!$J$5:$J$1504,'REVENUE'!$B$5:$B$1504,A567))</f>
        <v/>
      </c>
      <c r="AC567" s="55">
        <f>IF(L567="","",IF(OR(O567="Cancelled",O567="No-Show"),"",L567-N(X567)-N(Y567)-AA567-AB567))</f>
        <v/>
      </c>
      <c r="AD567" s="99">
        <f>IF(OR(AC567="",N(L567)=0),"",AC567/L567)</f>
        <v/>
      </c>
      <c r="AE567" s="55">
        <f>IF(OR(AC567="",N(R567)=0),"",L567/R567)</f>
        <v/>
      </c>
      <c r="AF567" s="100">
        <f>IF(OR(N(K567)=0,N(J567)+N(Q567)=0),"",K567-IF(N(J567)&gt;0,J567,Q567))</f>
        <v/>
      </c>
      <c r="AG567" s="99">
        <f>IF(B567="","",IFERROR(AVERAGEIFS('QUALITY CONTROL'!$M$5:$M$304,'QUALITY CONTROL'!$B$5:$B$304,A567),""))</f>
        <v/>
      </c>
      <c r="AH567" s="51">
        <f>IF(B567="","",DATE(YEAR(B567),MONTH(B567),1))</f>
        <v/>
      </c>
      <c r="AI567" s="49">
        <f>IF(D567="","",IFERROR(INDEX('CUSTOMERS'!$E$5:$E$404,MATCH(D567,'CUSTOMERS'!$B$5:$B$404,0)),""))</f>
        <v/>
      </c>
      <c r="AJ567" s="49">
        <f>IF(B567="","",N(C567))</f>
        <v/>
      </c>
      <c r="AK567" s="49">
        <f>IF(OR(B567="",O567="Cancelled",O567="Rescheduled"),"",B567&amp;"|"&amp;(COUNTIFS('JOBS'!$B$5:$B$1504,B567,'JOBS'!$AJ$5:$AJ$1504,"&lt;"&amp;AJ567,'JOBS'!$O$5:$O$1504,"&lt;&gt;Cancelled",'JOBS'!$O$5:$O$1504,"&lt;&gt;Rescheduled")+COUNTIFS($B$5:B567,B567,$AJ$5:AJ567,AJ567,$O$5:O567,"&lt;&gt;Cancelled",$O$5:O567,"&lt;&gt;Rescheduled")))</f>
        <v/>
      </c>
      <c r="AL567" s="49">
        <f>IF(N(U567)&lt;=0.005,"",COUNTIFS('JOBS'!$U$5:$U$1504,"&gt;0.005",'JOBS'!$B$5:$B$1504,"&lt;"&amp;B567)+COUNTIFS($U$5:U567,"&gt;0.005",$B$5:B567,B567))</f>
        <v/>
      </c>
    </row>
    <row r="568">
      <c r="A568" s="46" t="inlineStr">
        <is>
          <t>J-0564</t>
        </is>
      </c>
      <c r="B568" s="47" t="n"/>
      <c r="C568" s="94" t="n"/>
      <c r="D568" s="38" t="n"/>
      <c r="E568" s="38" t="n"/>
      <c r="F568" s="38" t="n"/>
      <c r="G568" s="38" t="n"/>
      <c r="H568" s="38" t="n"/>
      <c r="I568" s="57" t="n"/>
      <c r="J568" s="95" t="n"/>
      <c r="K568" s="95" t="n"/>
      <c r="L568" s="48" t="n"/>
      <c r="M568" s="96" t="n"/>
      <c r="N568" s="48" t="n"/>
      <c r="O568" s="38" t="n"/>
      <c r="P568" s="38" t="n"/>
      <c r="Q568" s="97">
        <f>IF(OR(F568="",E568=""),"",IFERROR(IF(INDEX('PROPERTIES'!$F$5:$F$404,MATCH(E568,'PROPERTIES'!$B$5:$B$404,0))=0,"",ROUND((INDEX('PROPERTIES'!$F$5:$F$404,MATCH(E568,'PROPERTIES'!$B$5:$B$404,0))/INDEX('PRICING'!$C$7:$C$16,MATCH(F568,'PRICING'!$A$7:$A$16,0))+INDEX('PROPERTIES'!$G$5:$G$404,MATCH(E568,'PROPERTIES'!$B$5:$B$404,0))*INDEX('PRICING'!$D$7:$D$16,MATCH(F568,'PRICING'!$A$7:$A$16,0))/60+INDEX('PROPERTIES'!$H$5:$H$404,MATCH(E568,'PROPERTIES'!$B$5:$B$404,0))*INDEX('PRICING'!$E$7:$E$16,MATCH(F568,'PRICING'!$A$7:$A$16,0))/60+INDEX('PRICING'!$F$7:$F$16,MATCH(F568,'PRICING'!$A$7:$A$16,0))/60),2)),""))</f>
        <v/>
      </c>
      <c r="R568" s="97">
        <f>IF(B568="","",IF(N(K568)&gt;0,K568,IF(N(J568)&gt;0,J568,N(Q568))))</f>
        <v/>
      </c>
      <c r="S568" s="55">
        <f>IF(L568="","",ROUND(L568*(1+N(M568)),2))</f>
        <v/>
      </c>
      <c r="T568" s="55">
        <f>IF(B568="","",SUMIFS('REVENUE'!$C$5:$C$1504,'REVENUE'!$B$5:$B$1504,A568))</f>
        <v/>
      </c>
      <c r="U568" s="55">
        <f>IF(B568="","",IF(O568="Completed",MAX(0,N(S568)-T568),""))</f>
        <v/>
      </c>
      <c r="V568" s="49">
        <f>IF(B568="","",IF(O568&lt;&gt;"Completed",IF(T568&gt;0,"Deposit","—"),IF(U568&lt;=0.005,"Paid",IF(T568&gt;0,"Partial","Unpaid"))))</f>
        <v/>
      </c>
      <c r="W568" s="55">
        <f>IF(B568="","",IFERROR(1/(1/INDEX('STAFF &amp; TASKS'!$C$5:$C$24,MATCH(H568,'STAFF &amp; TASKS'!$A$5:$A$24,0))),PayRate))</f>
        <v/>
      </c>
      <c r="X568" s="55">
        <f>IF(B568="","",IF(OR(O568="Cancelled",O568="No-Show"),"",ROUND(R568*W568*(1+Burden),2)))</f>
        <v/>
      </c>
      <c r="Y568" s="55">
        <f>IF(B568="","",IF(OR(O568="Cancelled",O568="No-Show"),"",IF(N568&lt;&gt;"",N568,ROUND(R568*SupHr*IFERROR(INDEX('PRICING'!$G$7:$G$16,MATCH(F568,'PRICING'!$A$7:$A$16,0)),1),2))))</f>
        <v/>
      </c>
      <c r="Z568" s="98">
        <f>IF(B568="","",SUMIFS('MILEAGE'!$J$5:$J$1504,'MILEAGE'!$B$5:$B$1504,A568))</f>
        <v/>
      </c>
      <c r="AA568" s="55">
        <f>IF(B568="","",ROUND(Z568*MileRate,2))</f>
        <v/>
      </c>
      <c r="AB568" s="55">
        <f>IF(B568="","",SUMIFS('REVENUE'!$J$5:$J$1504,'REVENUE'!$B$5:$B$1504,A568))</f>
        <v/>
      </c>
      <c r="AC568" s="55">
        <f>IF(L568="","",IF(OR(O568="Cancelled",O568="No-Show"),"",L568-N(X568)-N(Y568)-AA568-AB568))</f>
        <v/>
      </c>
      <c r="AD568" s="99">
        <f>IF(OR(AC568="",N(L568)=0),"",AC568/L568)</f>
        <v/>
      </c>
      <c r="AE568" s="55">
        <f>IF(OR(AC568="",N(R568)=0),"",L568/R568)</f>
        <v/>
      </c>
      <c r="AF568" s="100">
        <f>IF(OR(N(K568)=0,N(J568)+N(Q568)=0),"",K568-IF(N(J568)&gt;0,J568,Q568))</f>
        <v/>
      </c>
      <c r="AG568" s="99">
        <f>IF(B568="","",IFERROR(AVERAGEIFS('QUALITY CONTROL'!$M$5:$M$304,'QUALITY CONTROL'!$B$5:$B$304,A568),""))</f>
        <v/>
      </c>
      <c r="AH568" s="51">
        <f>IF(B568="","",DATE(YEAR(B568),MONTH(B568),1))</f>
        <v/>
      </c>
      <c r="AI568" s="49">
        <f>IF(D568="","",IFERROR(INDEX('CUSTOMERS'!$E$5:$E$404,MATCH(D568,'CUSTOMERS'!$B$5:$B$404,0)),""))</f>
        <v/>
      </c>
      <c r="AJ568" s="49">
        <f>IF(B568="","",N(C568))</f>
        <v/>
      </c>
      <c r="AK568" s="49">
        <f>IF(OR(B568="",O568="Cancelled",O568="Rescheduled"),"",B568&amp;"|"&amp;(COUNTIFS('JOBS'!$B$5:$B$1504,B568,'JOBS'!$AJ$5:$AJ$1504,"&lt;"&amp;AJ568,'JOBS'!$O$5:$O$1504,"&lt;&gt;Cancelled",'JOBS'!$O$5:$O$1504,"&lt;&gt;Rescheduled")+COUNTIFS($B$5:B568,B568,$AJ$5:AJ568,AJ568,$O$5:O568,"&lt;&gt;Cancelled",$O$5:O568,"&lt;&gt;Rescheduled")))</f>
        <v/>
      </c>
      <c r="AL568" s="49">
        <f>IF(N(U568)&lt;=0.005,"",COUNTIFS('JOBS'!$U$5:$U$1504,"&gt;0.005",'JOBS'!$B$5:$B$1504,"&lt;"&amp;B568)+COUNTIFS($U$5:U568,"&gt;0.005",$B$5:B568,B568))</f>
        <v/>
      </c>
    </row>
    <row r="569">
      <c r="A569" s="46" t="inlineStr">
        <is>
          <t>J-0565</t>
        </is>
      </c>
      <c r="B569" s="47" t="n"/>
      <c r="C569" s="94" t="n"/>
      <c r="D569" s="38" t="n"/>
      <c r="E569" s="38" t="n"/>
      <c r="F569" s="38" t="n"/>
      <c r="G569" s="38" t="n"/>
      <c r="H569" s="38" t="n"/>
      <c r="I569" s="57" t="n"/>
      <c r="J569" s="95" t="n"/>
      <c r="K569" s="95" t="n"/>
      <c r="L569" s="48" t="n"/>
      <c r="M569" s="96" t="n"/>
      <c r="N569" s="48" t="n"/>
      <c r="O569" s="38" t="n"/>
      <c r="P569" s="38" t="n"/>
      <c r="Q569" s="97">
        <f>IF(OR(F569="",E569=""),"",IFERROR(IF(INDEX('PROPERTIES'!$F$5:$F$404,MATCH(E569,'PROPERTIES'!$B$5:$B$404,0))=0,"",ROUND((INDEX('PROPERTIES'!$F$5:$F$404,MATCH(E569,'PROPERTIES'!$B$5:$B$404,0))/INDEX('PRICING'!$C$7:$C$16,MATCH(F569,'PRICING'!$A$7:$A$16,0))+INDEX('PROPERTIES'!$G$5:$G$404,MATCH(E569,'PROPERTIES'!$B$5:$B$404,0))*INDEX('PRICING'!$D$7:$D$16,MATCH(F569,'PRICING'!$A$7:$A$16,0))/60+INDEX('PROPERTIES'!$H$5:$H$404,MATCH(E569,'PROPERTIES'!$B$5:$B$404,0))*INDEX('PRICING'!$E$7:$E$16,MATCH(F569,'PRICING'!$A$7:$A$16,0))/60+INDEX('PRICING'!$F$7:$F$16,MATCH(F569,'PRICING'!$A$7:$A$16,0))/60),2)),""))</f>
        <v/>
      </c>
      <c r="R569" s="97">
        <f>IF(B569="","",IF(N(K569)&gt;0,K569,IF(N(J569)&gt;0,J569,N(Q569))))</f>
        <v/>
      </c>
      <c r="S569" s="55">
        <f>IF(L569="","",ROUND(L569*(1+N(M569)),2))</f>
        <v/>
      </c>
      <c r="T569" s="55">
        <f>IF(B569="","",SUMIFS('REVENUE'!$C$5:$C$1504,'REVENUE'!$B$5:$B$1504,A569))</f>
        <v/>
      </c>
      <c r="U569" s="55">
        <f>IF(B569="","",IF(O569="Completed",MAX(0,N(S569)-T569),""))</f>
        <v/>
      </c>
      <c r="V569" s="49">
        <f>IF(B569="","",IF(O569&lt;&gt;"Completed",IF(T569&gt;0,"Deposit","—"),IF(U569&lt;=0.005,"Paid",IF(T569&gt;0,"Partial","Unpaid"))))</f>
        <v/>
      </c>
      <c r="W569" s="55">
        <f>IF(B569="","",IFERROR(1/(1/INDEX('STAFF &amp; TASKS'!$C$5:$C$24,MATCH(H569,'STAFF &amp; TASKS'!$A$5:$A$24,0))),PayRate))</f>
        <v/>
      </c>
      <c r="X569" s="55">
        <f>IF(B569="","",IF(OR(O569="Cancelled",O569="No-Show"),"",ROUND(R569*W569*(1+Burden),2)))</f>
        <v/>
      </c>
      <c r="Y569" s="55">
        <f>IF(B569="","",IF(OR(O569="Cancelled",O569="No-Show"),"",IF(N569&lt;&gt;"",N569,ROUND(R569*SupHr*IFERROR(INDEX('PRICING'!$G$7:$G$16,MATCH(F569,'PRICING'!$A$7:$A$16,0)),1),2))))</f>
        <v/>
      </c>
      <c r="Z569" s="98">
        <f>IF(B569="","",SUMIFS('MILEAGE'!$J$5:$J$1504,'MILEAGE'!$B$5:$B$1504,A569))</f>
        <v/>
      </c>
      <c r="AA569" s="55">
        <f>IF(B569="","",ROUND(Z569*MileRate,2))</f>
        <v/>
      </c>
      <c r="AB569" s="55">
        <f>IF(B569="","",SUMIFS('REVENUE'!$J$5:$J$1504,'REVENUE'!$B$5:$B$1504,A569))</f>
        <v/>
      </c>
      <c r="AC569" s="55">
        <f>IF(L569="","",IF(OR(O569="Cancelled",O569="No-Show"),"",L569-N(X569)-N(Y569)-AA569-AB569))</f>
        <v/>
      </c>
      <c r="AD569" s="99">
        <f>IF(OR(AC569="",N(L569)=0),"",AC569/L569)</f>
        <v/>
      </c>
      <c r="AE569" s="55">
        <f>IF(OR(AC569="",N(R569)=0),"",L569/R569)</f>
        <v/>
      </c>
      <c r="AF569" s="100">
        <f>IF(OR(N(K569)=0,N(J569)+N(Q569)=0),"",K569-IF(N(J569)&gt;0,J569,Q569))</f>
        <v/>
      </c>
      <c r="AG569" s="99">
        <f>IF(B569="","",IFERROR(AVERAGEIFS('QUALITY CONTROL'!$M$5:$M$304,'QUALITY CONTROL'!$B$5:$B$304,A569),""))</f>
        <v/>
      </c>
      <c r="AH569" s="51">
        <f>IF(B569="","",DATE(YEAR(B569),MONTH(B569),1))</f>
        <v/>
      </c>
      <c r="AI569" s="49">
        <f>IF(D569="","",IFERROR(INDEX('CUSTOMERS'!$E$5:$E$404,MATCH(D569,'CUSTOMERS'!$B$5:$B$404,0)),""))</f>
        <v/>
      </c>
      <c r="AJ569" s="49">
        <f>IF(B569="","",N(C569))</f>
        <v/>
      </c>
      <c r="AK569" s="49">
        <f>IF(OR(B569="",O569="Cancelled",O569="Rescheduled"),"",B569&amp;"|"&amp;(COUNTIFS('JOBS'!$B$5:$B$1504,B569,'JOBS'!$AJ$5:$AJ$1504,"&lt;"&amp;AJ569,'JOBS'!$O$5:$O$1504,"&lt;&gt;Cancelled",'JOBS'!$O$5:$O$1504,"&lt;&gt;Rescheduled")+COUNTIFS($B$5:B569,B569,$AJ$5:AJ569,AJ569,$O$5:O569,"&lt;&gt;Cancelled",$O$5:O569,"&lt;&gt;Rescheduled")))</f>
        <v/>
      </c>
      <c r="AL569" s="49">
        <f>IF(N(U569)&lt;=0.005,"",COUNTIFS('JOBS'!$U$5:$U$1504,"&gt;0.005",'JOBS'!$B$5:$B$1504,"&lt;"&amp;B569)+COUNTIFS($U$5:U569,"&gt;0.005",$B$5:B569,B569))</f>
        <v/>
      </c>
    </row>
    <row r="570">
      <c r="A570" s="46" t="inlineStr">
        <is>
          <t>J-0566</t>
        </is>
      </c>
      <c r="B570" s="47" t="n"/>
      <c r="C570" s="94" t="n"/>
      <c r="D570" s="38" t="n"/>
      <c r="E570" s="38" t="n"/>
      <c r="F570" s="38" t="n"/>
      <c r="G570" s="38" t="n"/>
      <c r="H570" s="38" t="n"/>
      <c r="I570" s="57" t="n"/>
      <c r="J570" s="95" t="n"/>
      <c r="K570" s="95" t="n"/>
      <c r="L570" s="48" t="n"/>
      <c r="M570" s="96" t="n"/>
      <c r="N570" s="48" t="n"/>
      <c r="O570" s="38" t="n"/>
      <c r="P570" s="38" t="n"/>
      <c r="Q570" s="97">
        <f>IF(OR(F570="",E570=""),"",IFERROR(IF(INDEX('PROPERTIES'!$F$5:$F$404,MATCH(E570,'PROPERTIES'!$B$5:$B$404,0))=0,"",ROUND((INDEX('PROPERTIES'!$F$5:$F$404,MATCH(E570,'PROPERTIES'!$B$5:$B$404,0))/INDEX('PRICING'!$C$7:$C$16,MATCH(F570,'PRICING'!$A$7:$A$16,0))+INDEX('PROPERTIES'!$G$5:$G$404,MATCH(E570,'PROPERTIES'!$B$5:$B$404,0))*INDEX('PRICING'!$D$7:$D$16,MATCH(F570,'PRICING'!$A$7:$A$16,0))/60+INDEX('PROPERTIES'!$H$5:$H$404,MATCH(E570,'PROPERTIES'!$B$5:$B$404,0))*INDEX('PRICING'!$E$7:$E$16,MATCH(F570,'PRICING'!$A$7:$A$16,0))/60+INDEX('PRICING'!$F$7:$F$16,MATCH(F570,'PRICING'!$A$7:$A$16,0))/60),2)),""))</f>
        <v/>
      </c>
      <c r="R570" s="97">
        <f>IF(B570="","",IF(N(K570)&gt;0,K570,IF(N(J570)&gt;0,J570,N(Q570))))</f>
        <v/>
      </c>
      <c r="S570" s="55">
        <f>IF(L570="","",ROUND(L570*(1+N(M570)),2))</f>
        <v/>
      </c>
      <c r="T570" s="55">
        <f>IF(B570="","",SUMIFS('REVENUE'!$C$5:$C$1504,'REVENUE'!$B$5:$B$1504,A570))</f>
        <v/>
      </c>
      <c r="U570" s="55">
        <f>IF(B570="","",IF(O570="Completed",MAX(0,N(S570)-T570),""))</f>
        <v/>
      </c>
      <c r="V570" s="49">
        <f>IF(B570="","",IF(O570&lt;&gt;"Completed",IF(T570&gt;0,"Deposit","—"),IF(U570&lt;=0.005,"Paid",IF(T570&gt;0,"Partial","Unpaid"))))</f>
        <v/>
      </c>
      <c r="W570" s="55">
        <f>IF(B570="","",IFERROR(1/(1/INDEX('STAFF &amp; TASKS'!$C$5:$C$24,MATCH(H570,'STAFF &amp; TASKS'!$A$5:$A$24,0))),PayRate))</f>
        <v/>
      </c>
      <c r="X570" s="55">
        <f>IF(B570="","",IF(OR(O570="Cancelled",O570="No-Show"),"",ROUND(R570*W570*(1+Burden),2)))</f>
        <v/>
      </c>
      <c r="Y570" s="55">
        <f>IF(B570="","",IF(OR(O570="Cancelled",O570="No-Show"),"",IF(N570&lt;&gt;"",N570,ROUND(R570*SupHr*IFERROR(INDEX('PRICING'!$G$7:$G$16,MATCH(F570,'PRICING'!$A$7:$A$16,0)),1),2))))</f>
        <v/>
      </c>
      <c r="Z570" s="98">
        <f>IF(B570="","",SUMIFS('MILEAGE'!$J$5:$J$1504,'MILEAGE'!$B$5:$B$1504,A570))</f>
        <v/>
      </c>
      <c r="AA570" s="55">
        <f>IF(B570="","",ROUND(Z570*MileRate,2))</f>
        <v/>
      </c>
      <c r="AB570" s="55">
        <f>IF(B570="","",SUMIFS('REVENUE'!$J$5:$J$1504,'REVENUE'!$B$5:$B$1504,A570))</f>
        <v/>
      </c>
      <c r="AC570" s="55">
        <f>IF(L570="","",IF(OR(O570="Cancelled",O570="No-Show"),"",L570-N(X570)-N(Y570)-AA570-AB570))</f>
        <v/>
      </c>
      <c r="AD570" s="99">
        <f>IF(OR(AC570="",N(L570)=0),"",AC570/L570)</f>
        <v/>
      </c>
      <c r="AE570" s="55">
        <f>IF(OR(AC570="",N(R570)=0),"",L570/R570)</f>
        <v/>
      </c>
      <c r="AF570" s="100">
        <f>IF(OR(N(K570)=0,N(J570)+N(Q570)=0),"",K570-IF(N(J570)&gt;0,J570,Q570))</f>
        <v/>
      </c>
      <c r="AG570" s="99">
        <f>IF(B570="","",IFERROR(AVERAGEIFS('QUALITY CONTROL'!$M$5:$M$304,'QUALITY CONTROL'!$B$5:$B$304,A570),""))</f>
        <v/>
      </c>
      <c r="AH570" s="51">
        <f>IF(B570="","",DATE(YEAR(B570),MONTH(B570),1))</f>
        <v/>
      </c>
      <c r="AI570" s="49">
        <f>IF(D570="","",IFERROR(INDEX('CUSTOMERS'!$E$5:$E$404,MATCH(D570,'CUSTOMERS'!$B$5:$B$404,0)),""))</f>
        <v/>
      </c>
      <c r="AJ570" s="49">
        <f>IF(B570="","",N(C570))</f>
        <v/>
      </c>
      <c r="AK570" s="49">
        <f>IF(OR(B570="",O570="Cancelled",O570="Rescheduled"),"",B570&amp;"|"&amp;(COUNTIFS('JOBS'!$B$5:$B$1504,B570,'JOBS'!$AJ$5:$AJ$1504,"&lt;"&amp;AJ570,'JOBS'!$O$5:$O$1504,"&lt;&gt;Cancelled",'JOBS'!$O$5:$O$1504,"&lt;&gt;Rescheduled")+COUNTIFS($B$5:B570,B570,$AJ$5:AJ570,AJ570,$O$5:O570,"&lt;&gt;Cancelled",$O$5:O570,"&lt;&gt;Rescheduled")))</f>
        <v/>
      </c>
      <c r="AL570" s="49">
        <f>IF(N(U570)&lt;=0.005,"",COUNTIFS('JOBS'!$U$5:$U$1504,"&gt;0.005",'JOBS'!$B$5:$B$1504,"&lt;"&amp;B570)+COUNTIFS($U$5:U570,"&gt;0.005",$B$5:B570,B570))</f>
        <v/>
      </c>
    </row>
    <row r="571">
      <c r="A571" s="46" t="inlineStr">
        <is>
          <t>J-0567</t>
        </is>
      </c>
      <c r="B571" s="47" t="n"/>
      <c r="C571" s="94" t="n"/>
      <c r="D571" s="38" t="n"/>
      <c r="E571" s="38" t="n"/>
      <c r="F571" s="38" t="n"/>
      <c r="G571" s="38" t="n"/>
      <c r="H571" s="38" t="n"/>
      <c r="I571" s="57" t="n"/>
      <c r="J571" s="95" t="n"/>
      <c r="K571" s="95" t="n"/>
      <c r="L571" s="48" t="n"/>
      <c r="M571" s="96" t="n"/>
      <c r="N571" s="48" t="n"/>
      <c r="O571" s="38" t="n"/>
      <c r="P571" s="38" t="n"/>
      <c r="Q571" s="97">
        <f>IF(OR(F571="",E571=""),"",IFERROR(IF(INDEX('PROPERTIES'!$F$5:$F$404,MATCH(E571,'PROPERTIES'!$B$5:$B$404,0))=0,"",ROUND((INDEX('PROPERTIES'!$F$5:$F$404,MATCH(E571,'PROPERTIES'!$B$5:$B$404,0))/INDEX('PRICING'!$C$7:$C$16,MATCH(F571,'PRICING'!$A$7:$A$16,0))+INDEX('PROPERTIES'!$G$5:$G$404,MATCH(E571,'PROPERTIES'!$B$5:$B$404,0))*INDEX('PRICING'!$D$7:$D$16,MATCH(F571,'PRICING'!$A$7:$A$16,0))/60+INDEX('PROPERTIES'!$H$5:$H$404,MATCH(E571,'PROPERTIES'!$B$5:$B$404,0))*INDEX('PRICING'!$E$7:$E$16,MATCH(F571,'PRICING'!$A$7:$A$16,0))/60+INDEX('PRICING'!$F$7:$F$16,MATCH(F571,'PRICING'!$A$7:$A$16,0))/60),2)),""))</f>
        <v/>
      </c>
      <c r="R571" s="97">
        <f>IF(B571="","",IF(N(K571)&gt;0,K571,IF(N(J571)&gt;0,J571,N(Q571))))</f>
        <v/>
      </c>
      <c r="S571" s="55">
        <f>IF(L571="","",ROUND(L571*(1+N(M571)),2))</f>
        <v/>
      </c>
      <c r="T571" s="55">
        <f>IF(B571="","",SUMIFS('REVENUE'!$C$5:$C$1504,'REVENUE'!$B$5:$B$1504,A571))</f>
        <v/>
      </c>
      <c r="U571" s="55">
        <f>IF(B571="","",IF(O571="Completed",MAX(0,N(S571)-T571),""))</f>
        <v/>
      </c>
      <c r="V571" s="49">
        <f>IF(B571="","",IF(O571&lt;&gt;"Completed",IF(T571&gt;0,"Deposit","—"),IF(U571&lt;=0.005,"Paid",IF(T571&gt;0,"Partial","Unpaid"))))</f>
        <v/>
      </c>
      <c r="W571" s="55">
        <f>IF(B571="","",IFERROR(1/(1/INDEX('STAFF &amp; TASKS'!$C$5:$C$24,MATCH(H571,'STAFF &amp; TASKS'!$A$5:$A$24,0))),PayRate))</f>
        <v/>
      </c>
      <c r="X571" s="55">
        <f>IF(B571="","",IF(OR(O571="Cancelled",O571="No-Show"),"",ROUND(R571*W571*(1+Burden),2)))</f>
        <v/>
      </c>
      <c r="Y571" s="55">
        <f>IF(B571="","",IF(OR(O571="Cancelled",O571="No-Show"),"",IF(N571&lt;&gt;"",N571,ROUND(R571*SupHr*IFERROR(INDEX('PRICING'!$G$7:$G$16,MATCH(F571,'PRICING'!$A$7:$A$16,0)),1),2))))</f>
        <v/>
      </c>
      <c r="Z571" s="98">
        <f>IF(B571="","",SUMIFS('MILEAGE'!$J$5:$J$1504,'MILEAGE'!$B$5:$B$1504,A571))</f>
        <v/>
      </c>
      <c r="AA571" s="55">
        <f>IF(B571="","",ROUND(Z571*MileRate,2))</f>
        <v/>
      </c>
      <c r="AB571" s="55">
        <f>IF(B571="","",SUMIFS('REVENUE'!$J$5:$J$1504,'REVENUE'!$B$5:$B$1504,A571))</f>
        <v/>
      </c>
      <c r="AC571" s="55">
        <f>IF(L571="","",IF(OR(O571="Cancelled",O571="No-Show"),"",L571-N(X571)-N(Y571)-AA571-AB571))</f>
        <v/>
      </c>
      <c r="AD571" s="99">
        <f>IF(OR(AC571="",N(L571)=0),"",AC571/L571)</f>
        <v/>
      </c>
      <c r="AE571" s="55">
        <f>IF(OR(AC571="",N(R571)=0),"",L571/R571)</f>
        <v/>
      </c>
      <c r="AF571" s="100">
        <f>IF(OR(N(K571)=0,N(J571)+N(Q571)=0),"",K571-IF(N(J571)&gt;0,J571,Q571))</f>
        <v/>
      </c>
      <c r="AG571" s="99">
        <f>IF(B571="","",IFERROR(AVERAGEIFS('QUALITY CONTROL'!$M$5:$M$304,'QUALITY CONTROL'!$B$5:$B$304,A571),""))</f>
        <v/>
      </c>
      <c r="AH571" s="51">
        <f>IF(B571="","",DATE(YEAR(B571),MONTH(B571),1))</f>
        <v/>
      </c>
      <c r="AI571" s="49">
        <f>IF(D571="","",IFERROR(INDEX('CUSTOMERS'!$E$5:$E$404,MATCH(D571,'CUSTOMERS'!$B$5:$B$404,0)),""))</f>
        <v/>
      </c>
      <c r="AJ571" s="49">
        <f>IF(B571="","",N(C571))</f>
        <v/>
      </c>
      <c r="AK571" s="49">
        <f>IF(OR(B571="",O571="Cancelled",O571="Rescheduled"),"",B571&amp;"|"&amp;(COUNTIFS('JOBS'!$B$5:$B$1504,B571,'JOBS'!$AJ$5:$AJ$1504,"&lt;"&amp;AJ571,'JOBS'!$O$5:$O$1504,"&lt;&gt;Cancelled",'JOBS'!$O$5:$O$1504,"&lt;&gt;Rescheduled")+COUNTIFS($B$5:B571,B571,$AJ$5:AJ571,AJ571,$O$5:O571,"&lt;&gt;Cancelled",$O$5:O571,"&lt;&gt;Rescheduled")))</f>
        <v/>
      </c>
      <c r="AL571" s="49">
        <f>IF(N(U571)&lt;=0.005,"",COUNTIFS('JOBS'!$U$5:$U$1504,"&gt;0.005",'JOBS'!$B$5:$B$1504,"&lt;"&amp;B571)+COUNTIFS($U$5:U571,"&gt;0.005",$B$5:B571,B571))</f>
        <v/>
      </c>
    </row>
    <row r="572">
      <c r="A572" s="46" t="inlineStr">
        <is>
          <t>J-0568</t>
        </is>
      </c>
      <c r="B572" s="47" t="n"/>
      <c r="C572" s="94" t="n"/>
      <c r="D572" s="38" t="n"/>
      <c r="E572" s="38" t="n"/>
      <c r="F572" s="38" t="n"/>
      <c r="G572" s="38" t="n"/>
      <c r="H572" s="38" t="n"/>
      <c r="I572" s="57" t="n"/>
      <c r="J572" s="95" t="n"/>
      <c r="K572" s="95" t="n"/>
      <c r="L572" s="48" t="n"/>
      <c r="M572" s="96" t="n"/>
      <c r="N572" s="48" t="n"/>
      <c r="O572" s="38" t="n"/>
      <c r="P572" s="38" t="n"/>
      <c r="Q572" s="97">
        <f>IF(OR(F572="",E572=""),"",IFERROR(IF(INDEX('PROPERTIES'!$F$5:$F$404,MATCH(E572,'PROPERTIES'!$B$5:$B$404,0))=0,"",ROUND((INDEX('PROPERTIES'!$F$5:$F$404,MATCH(E572,'PROPERTIES'!$B$5:$B$404,0))/INDEX('PRICING'!$C$7:$C$16,MATCH(F572,'PRICING'!$A$7:$A$16,0))+INDEX('PROPERTIES'!$G$5:$G$404,MATCH(E572,'PROPERTIES'!$B$5:$B$404,0))*INDEX('PRICING'!$D$7:$D$16,MATCH(F572,'PRICING'!$A$7:$A$16,0))/60+INDEX('PROPERTIES'!$H$5:$H$404,MATCH(E572,'PROPERTIES'!$B$5:$B$404,0))*INDEX('PRICING'!$E$7:$E$16,MATCH(F572,'PRICING'!$A$7:$A$16,0))/60+INDEX('PRICING'!$F$7:$F$16,MATCH(F572,'PRICING'!$A$7:$A$16,0))/60),2)),""))</f>
        <v/>
      </c>
      <c r="R572" s="97">
        <f>IF(B572="","",IF(N(K572)&gt;0,K572,IF(N(J572)&gt;0,J572,N(Q572))))</f>
        <v/>
      </c>
      <c r="S572" s="55">
        <f>IF(L572="","",ROUND(L572*(1+N(M572)),2))</f>
        <v/>
      </c>
      <c r="T572" s="55">
        <f>IF(B572="","",SUMIFS('REVENUE'!$C$5:$C$1504,'REVENUE'!$B$5:$B$1504,A572))</f>
        <v/>
      </c>
      <c r="U572" s="55">
        <f>IF(B572="","",IF(O572="Completed",MAX(0,N(S572)-T572),""))</f>
        <v/>
      </c>
      <c r="V572" s="49">
        <f>IF(B572="","",IF(O572&lt;&gt;"Completed",IF(T572&gt;0,"Deposit","—"),IF(U572&lt;=0.005,"Paid",IF(T572&gt;0,"Partial","Unpaid"))))</f>
        <v/>
      </c>
      <c r="W572" s="55">
        <f>IF(B572="","",IFERROR(1/(1/INDEX('STAFF &amp; TASKS'!$C$5:$C$24,MATCH(H572,'STAFF &amp; TASKS'!$A$5:$A$24,0))),PayRate))</f>
        <v/>
      </c>
      <c r="X572" s="55">
        <f>IF(B572="","",IF(OR(O572="Cancelled",O572="No-Show"),"",ROUND(R572*W572*(1+Burden),2)))</f>
        <v/>
      </c>
      <c r="Y572" s="55">
        <f>IF(B572="","",IF(OR(O572="Cancelled",O572="No-Show"),"",IF(N572&lt;&gt;"",N572,ROUND(R572*SupHr*IFERROR(INDEX('PRICING'!$G$7:$G$16,MATCH(F572,'PRICING'!$A$7:$A$16,0)),1),2))))</f>
        <v/>
      </c>
      <c r="Z572" s="98">
        <f>IF(B572="","",SUMIFS('MILEAGE'!$J$5:$J$1504,'MILEAGE'!$B$5:$B$1504,A572))</f>
        <v/>
      </c>
      <c r="AA572" s="55">
        <f>IF(B572="","",ROUND(Z572*MileRate,2))</f>
        <v/>
      </c>
      <c r="AB572" s="55">
        <f>IF(B572="","",SUMIFS('REVENUE'!$J$5:$J$1504,'REVENUE'!$B$5:$B$1504,A572))</f>
        <v/>
      </c>
      <c r="AC572" s="55">
        <f>IF(L572="","",IF(OR(O572="Cancelled",O572="No-Show"),"",L572-N(X572)-N(Y572)-AA572-AB572))</f>
        <v/>
      </c>
      <c r="AD572" s="99">
        <f>IF(OR(AC572="",N(L572)=0),"",AC572/L572)</f>
        <v/>
      </c>
      <c r="AE572" s="55">
        <f>IF(OR(AC572="",N(R572)=0),"",L572/R572)</f>
        <v/>
      </c>
      <c r="AF572" s="100">
        <f>IF(OR(N(K572)=0,N(J572)+N(Q572)=0),"",K572-IF(N(J572)&gt;0,J572,Q572))</f>
        <v/>
      </c>
      <c r="AG572" s="99">
        <f>IF(B572="","",IFERROR(AVERAGEIFS('QUALITY CONTROL'!$M$5:$M$304,'QUALITY CONTROL'!$B$5:$B$304,A572),""))</f>
        <v/>
      </c>
      <c r="AH572" s="51">
        <f>IF(B572="","",DATE(YEAR(B572),MONTH(B572),1))</f>
        <v/>
      </c>
      <c r="AI572" s="49">
        <f>IF(D572="","",IFERROR(INDEX('CUSTOMERS'!$E$5:$E$404,MATCH(D572,'CUSTOMERS'!$B$5:$B$404,0)),""))</f>
        <v/>
      </c>
      <c r="AJ572" s="49">
        <f>IF(B572="","",N(C572))</f>
        <v/>
      </c>
      <c r="AK572" s="49">
        <f>IF(OR(B572="",O572="Cancelled",O572="Rescheduled"),"",B572&amp;"|"&amp;(COUNTIFS('JOBS'!$B$5:$B$1504,B572,'JOBS'!$AJ$5:$AJ$1504,"&lt;"&amp;AJ572,'JOBS'!$O$5:$O$1504,"&lt;&gt;Cancelled",'JOBS'!$O$5:$O$1504,"&lt;&gt;Rescheduled")+COUNTIFS($B$5:B572,B572,$AJ$5:AJ572,AJ572,$O$5:O572,"&lt;&gt;Cancelled",$O$5:O572,"&lt;&gt;Rescheduled")))</f>
        <v/>
      </c>
      <c r="AL572" s="49">
        <f>IF(N(U572)&lt;=0.005,"",COUNTIFS('JOBS'!$U$5:$U$1504,"&gt;0.005",'JOBS'!$B$5:$B$1504,"&lt;"&amp;B572)+COUNTIFS($U$5:U572,"&gt;0.005",$B$5:B572,B572))</f>
        <v/>
      </c>
    </row>
    <row r="573">
      <c r="A573" s="46" t="inlineStr">
        <is>
          <t>J-0569</t>
        </is>
      </c>
      <c r="B573" s="47" t="n"/>
      <c r="C573" s="94" t="n"/>
      <c r="D573" s="38" t="n"/>
      <c r="E573" s="38" t="n"/>
      <c r="F573" s="38" t="n"/>
      <c r="G573" s="38" t="n"/>
      <c r="H573" s="38" t="n"/>
      <c r="I573" s="57" t="n"/>
      <c r="J573" s="95" t="n"/>
      <c r="K573" s="95" t="n"/>
      <c r="L573" s="48" t="n"/>
      <c r="M573" s="96" t="n"/>
      <c r="N573" s="48" t="n"/>
      <c r="O573" s="38" t="n"/>
      <c r="P573" s="38" t="n"/>
      <c r="Q573" s="97">
        <f>IF(OR(F573="",E573=""),"",IFERROR(IF(INDEX('PROPERTIES'!$F$5:$F$404,MATCH(E573,'PROPERTIES'!$B$5:$B$404,0))=0,"",ROUND((INDEX('PROPERTIES'!$F$5:$F$404,MATCH(E573,'PROPERTIES'!$B$5:$B$404,0))/INDEX('PRICING'!$C$7:$C$16,MATCH(F573,'PRICING'!$A$7:$A$16,0))+INDEX('PROPERTIES'!$G$5:$G$404,MATCH(E573,'PROPERTIES'!$B$5:$B$404,0))*INDEX('PRICING'!$D$7:$D$16,MATCH(F573,'PRICING'!$A$7:$A$16,0))/60+INDEX('PROPERTIES'!$H$5:$H$404,MATCH(E573,'PROPERTIES'!$B$5:$B$404,0))*INDEX('PRICING'!$E$7:$E$16,MATCH(F573,'PRICING'!$A$7:$A$16,0))/60+INDEX('PRICING'!$F$7:$F$16,MATCH(F573,'PRICING'!$A$7:$A$16,0))/60),2)),""))</f>
        <v/>
      </c>
      <c r="R573" s="97">
        <f>IF(B573="","",IF(N(K573)&gt;0,K573,IF(N(J573)&gt;0,J573,N(Q573))))</f>
        <v/>
      </c>
      <c r="S573" s="55">
        <f>IF(L573="","",ROUND(L573*(1+N(M573)),2))</f>
        <v/>
      </c>
      <c r="T573" s="55">
        <f>IF(B573="","",SUMIFS('REVENUE'!$C$5:$C$1504,'REVENUE'!$B$5:$B$1504,A573))</f>
        <v/>
      </c>
      <c r="U573" s="55">
        <f>IF(B573="","",IF(O573="Completed",MAX(0,N(S573)-T573),""))</f>
        <v/>
      </c>
      <c r="V573" s="49">
        <f>IF(B573="","",IF(O573&lt;&gt;"Completed",IF(T573&gt;0,"Deposit","—"),IF(U573&lt;=0.005,"Paid",IF(T573&gt;0,"Partial","Unpaid"))))</f>
        <v/>
      </c>
      <c r="W573" s="55">
        <f>IF(B573="","",IFERROR(1/(1/INDEX('STAFF &amp; TASKS'!$C$5:$C$24,MATCH(H573,'STAFF &amp; TASKS'!$A$5:$A$24,0))),PayRate))</f>
        <v/>
      </c>
      <c r="X573" s="55">
        <f>IF(B573="","",IF(OR(O573="Cancelled",O573="No-Show"),"",ROUND(R573*W573*(1+Burden),2)))</f>
        <v/>
      </c>
      <c r="Y573" s="55">
        <f>IF(B573="","",IF(OR(O573="Cancelled",O573="No-Show"),"",IF(N573&lt;&gt;"",N573,ROUND(R573*SupHr*IFERROR(INDEX('PRICING'!$G$7:$G$16,MATCH(F573,'PRICING'!$A$7:$A$16,0)),1),2))))</f>
        <v/>
      </c>
      <c r="Z573" s="98">
        <f>IF(B573="","",SUMIFS('MILEAGE'!$J$5:$J$1504,'MILEAGE'!$B$5:$B$1504,A573))</f>
        <v/>
      </c>
      <c r="AA573" s="55">
        <f>IF(B573="","",ROUND(Z573*MileRate,2))</f>
        <v/>
      </c>
      <c r="AB573" s="55">
        <f>IF(B573="","",SUMIFS('REVENUE'!$J$5:$J$1504,'REVENUE'!$B$5:$B$1504,A573))</f>
        <v/>
      </c>
      <c r="AC573" s="55">
        <f>IF(L573="","",IF(OR(O573="Cancelled",O573="No-Show"),"",L573-N(X573)-N(Y573)-AA573-AB573))</f>
        <v/>
      </c>
      <c r="AD573" s="99">
        <f>IF(OR(AC573="",N(L573)=0),"",AC573/L573)</f>
        <v/>
      </c>
      <c r="AE573" s="55">
        <f>IF(OR(AC573="",N(R573)=0),"",L573/R573)</f>
        <v/>
      </c>
      <c r="AF573" s="100">
        <f>IF(OR(N(K573)=0,N(J573)+N(Q573)=0),"",K573-IF(N(J573)&gt;0,J573,Q573))</f>
        <v/>
      </c>
      <c r="AG573" s="99">
        <f>IF(B573="","",IFERROR(AVERAGEIFS('QUALITY CONTROL'!$M$5:$M$304,'QUALITY CONTROL'!$B$5:$B$304,A573),""))</f>
        <v/>
      </c>
      <c r="AH573" s="51">
        <f>IF(B573="","",DATE(YEAR(B573),MONTH(B573),1))</f>
        <v/>
      </c>
      <c r="AI573" s="49">
        <f>IF(D573="","",IFERROR(INDEX('CUSTOMERS'!$E$5:$E$404,MATCH(D573,'CUSTOMERS'!$B$5:$B$404,0)),""))</f>
        <v/>
      </c>
      <c r="AJ573" s="49">
        <f>IF(B573="","",N(C573))</f>
        <v/>
      </c>
      <c r="AK573" s="49">
        <f>IF(OR(B573="",O573="Cancelled",O573="Rescheduled"),"",B573&amp;"|"&amp;(COUNTIFS('JOBS'!$B$5:$B$1504,B573,'JOBS'!$AJ$5:$AJ$1504,"&lt;"&amp;AJ573,'JOBS'!$O$5:$O$1504,"&lt;&gt;Cancelled",'JOBS'!$O$5:$O$1504,"&lt;&gt;Rescheduled")+COUNTIFS($B$5:B573,B573,$AJ$5:AJ573,AJ573,$O$5:O573,"&lt;&gt;Cancelled",$O$5:O573,"&lt;&gt;Rescheduled")))</f>
        <v/>
      </c>
      <c r="AL573" s="49">
        <f>IF(N(U573)&lt;=0.005,"",COUNTIFS('JOBS'!$U$5:$U$1504,"&gt;0.005",'JOBS'!$B$5:$B$1504,"&lt;"&amp;B573)+COUNTIFS($U$5:U573,"&gt;0.005",$B$5:B573,B573))</f>
        <v/>
      </c>
    </row>
    <row r="574">
      <c r="A574" s="46" t="inlineStr">
        <is>
          <t>J-0570</t>
        </is>
      </c>
      <c r="B574" s="47" t="n"/>
      <c r="C574" s="94" t="n"/>
      <c r="D574" s="38" t="n"/>
      <c r="E574" s="38" t="n"/>
      <c r="F574" s="38" t="n"/>
      <c r="G574" s="38" t="n"/>
      <c r="H574" s="38" t="n"/>
      <c r="I574" s="57" t="n"/>
      <c r="J574" s="95" t="n"/>
      <c r="K574" s="95" t="n"/>
      <c r="L574" s="48" t="n"/>
      <c r="M574" s="96" t="n"/>
      <c r="N574" s="48" t="n"/>
      <c r="O574" s="38" t="n"/>
      <c r="P574" s="38" t="n"/>
      <c r="Q574" s="97">
        <f>IF(OR(F574="",E574=""),"",IFERROR(IF(INDEX('PROPERTIES'!$F$5:$F$404,MATCH(E574,'PROPERTIES'!$B$5:$B$404,0))=0,"",ROUND((INDEX('PROPERTIES'!$F$5:$F$404,MATCH(E574,'PROPERTIES'!$B$5:$B$404,0))/INDEX('PRICING'!$C$7:$C$16,MATCH(F574,'PRICING'!$A$7:$A$16,0))+INDEX('PROPERTIES'!$G$5:$G$404,MATCH(E574,'PROPERTIES'!$B$5:$B$404,0))*INDEX('PRICING'!$D$7:$D$16,MATCH(F574,'PRICING'!$A$7:$A$16,0))/60+INDEX('PROPERTIES'!$H$5:$H$404,MATCH(E574,'PROPERTIES'!$B$5:$B$404,0))*INDEX('PRICING'!$E$7:$E$16,MATCH(F574,'PRICING'!$A$7:$A$16,0))/60+INDEX('PRICING'!$F$7:$F$16,MATCH(F574,'PRICING'!$A$7:$A$16,0))/60),2)),""))</f>
        <v/>
      </c>
      <c r="R574" s="97">
        <f>IF(B574="","",IF(N(K574)&gt;0,K574,IF(N(J574)&gt;0,J574,N(Q574))))</f>
        <v/>
      </c>
      <c r="S574" s="55">
        <f>IF(L574="","",ROUND(L574*(1+N(M574)),2))</f>
        <v/>
      </c>
      <c r="T574" s="55">
        <f>IF(B574="","",SUMIFS('REVENUE'!$C$5:$C$1504,'REVENUE'!$B$5:$B$1504,A574))</f>
        <v/>
      </c>
      <c r="U574" s="55">
        <f>IF(B574="","",IF(O574="Completed",MAX(0,N(S574)-T574),""))</f>
        <v/>
      </c>
      <c r="V574" s="49">
        <f>IF(B574="","",IF(O574&lt;&gt;"Completed",IF(T574&gt;0,"Deposit","—"),IF(U574&lt;=0.005,"Paid",IF(T574&gt;0,"Partial","Unpaid"))))</f>
        <v/>
      </c>
      <c r="W574" s="55">
        <f>IF(B574="","",IFERROR(1/(1/INDEX('STAFF &amp; TASKS'!$C$5:$C$24,MATCH(H574,'STAFF &amp; TASKS'!$A$5:$A$24,0))),PayRate))</f>
        <v/>
      </c>
      <c r="X574" s="55">
        <f>IF(B574="","",IF(OR(O574="Cancelled",O574="No-Show"),"",ROUND(R574*W574*(1+Burden),2)))</f>
        <v/>
      </c>
      <c r="Y574" s="55">
        <f>IF(B574="","",IF(OR(O574="Cancelled",O574="No-Show"),"",IF(N574&lt;&gt;"",N574,ROUND(R574*SupHr*IFERROR(INDEX('PRICING'!$G$7:$G$16,MATCH(F574,'PRICING'!$A$7:$A$16,0)),1),2))))</f>
        <v/>
      </c>
      <c r="Z574" s="98">
        <f>IF(B574="","",SUMIFS('MILEAGE'!$J$5:$J$1504,'MILEAGE'!$B$5:$B$1504,A574))</f>
        <v/>
      </c>
      <c r="AA574" s="55">
        <f>IF(B574="","",ROUND(Z574*MileRate,2))</f>
        <v/>
      </c>
      <c r="AB574" s="55">
        <f>IF(B574="","",SUMIFS('REVENUE'!$J$5:$J$1504,'REVENUE'!$B$5:$B$1504,A574))</f>
        <v/>
      </c>
      <c r="AC574" s="55">
        <f>IF(L574="","",IF(OR(O574="Cancelled",O574="No-Show"),"",L574-N(X574)-N(Y574)-AA574-AB574))</f>
        <v/>
      </c>
      <c r="AD574" s="99">
        <f>IF(OR(AC574="",N(L574)=0),"",AC574/L574)</f>
        <v/>
      </c>
      <c r="AE574" s="55">
        <f>IF(OR(AC574="",N(R574)=0),"",L574/R574)</f>
        <v/>
      </c>
      <c r="AF574" s="100">
        <f>IF(OR(N(K574)=0,N(J574)+N(Q574)=0),"",K574-IF(N(J574)&gt;0,J574,Q574))</f>
        <v/>
      </c>
      <c r="AG574" s="99">
        <f>IF(B574="","",IFERROR(AVERAGEIFS('QUALITY CONTROL'!$M$5:$M$304,'QUALITY CONTROL'!$B$5:$B$304,A574),""))</f>
        <v/>
      </c>
      <c r="AH574" s="51">
        <f>IF(B574="","",DATE(YEAR(B574),MONTH(B574),1))</f>
        <v/>
      </c>
      <c r="AI574" s="49">
        <f>IF(D574="","",IFERROR(INDEX('CUSTOMERS'!$E$5:$E$404,MATCH(D574,'CUSTOMERS'!$B$5:$B$404,0)),""))</f>
        <v/>
      </c>
      <c r="AJ574" s="49">
        <f>IF(B574="","",N(C574))</f>
        <v/>
      </c>
      <c r="AK574" s="49">
        <f>IF(OR(B574="",O574="Cancelled",O574="Rescheduled"),"",B574&amp;"|"&amp;(COUNTIFS('JOBS'!$B$5:$B$1504,B574,'JOBS'!$AJ$5:$AJ$1504,"&lt;"&amp;AJ574,'JOBS'!$O$5:$O$1504,"&lt;&gt;Cancelled",'JOBS'!$O$5:$O$1504,"&lt;&gt;Rescheduled")+COUNTIFS($B$5:B574,B574,$AJ$5:AJ574,AJ574,$O$5:O574,"&lt;&gt;Cancelled",$O$5:O574,"&lt;&gt;Rescheduled")))</f>
        <v/>
      </c>
      <c r="AL574" s="49">
        <f>IF(N(U574)&lt;=0.005,"",COUNTIFS('JOBS'!$U$5:$U$1504,"&gt;0.005",'JOBS'!$B$5:$B$1504,"&lt;"&amp;B574)+COUNTIFS($U$5:U574,"&gt;0.005",$B$5:B574,B574))</f>
        <v/>
      </c>
    </row>
    <row r="575">
      <c r="A575" s="46" t="inlineStr">
        <is>
          <t>J-0571</t>
        </is>
      </c>
      <c r="B575" s="47" t="n"/>
      <c r="C575" s="94" t="n"/>
      <c r="D575" s="38" t="n"/>
      <c r="E575" s="38" t="n"/>
      <c r="F575" s="38" t="n"/>
      <c r="G575" s="38" t="n"/>
      <c r="H575" s="38" t="n"/>
      <c r="I575" s="57" t="n"/>
      <c r="J575" s="95" t="n"/>
      <c r="K575" s="95" t="n"/>
      <c r="L575" s="48" t="n"/>
      <c r="M575" s="96" t="n"/>
      <c r="N575" s="48" t="n"/>
      <c r="O575" s="38" t="n"/>
      <c r="P575" s="38" t="n"/>
      <c r="Q575" s="97">
        <f>IF(OR(F575="",E575=""),"",IFERROR(IF(INDEX('PROPERTIES'!$F$5:$F$404,MATCH(E575,'PROPERTIES'!$B$5:$B$404,0))=0,"",ROUND((INDEX('PROPERTIES'!$F$5:$F$404,MATCH(E575,'PROPERTIES'!$B$5:$B$404,0))/INDEX('PRICING'!$C$7:$C$16,MATCH(F575,'PRICING'!$A$7:$A$16,0))+INDEX('PROPERTIES'!$G$5:$G$404,MATCH(E575,'PROPERTIES'!$B$5:$B$404,0))*INDEX('PRICING'!$D$7:$D$16,MATCH(F575,'PRICING'!$A$7:$A$16,0))/60+INDEX('PROPERTIES'!$H$5:$H$404,MATCH(E575,'PROPERTIES'!$B$5:$B$404,0))*INDEX('PRICING'!$E$7:$E$16,MATCH(F575,'PRICING'!$A$7:$A$16,0))/60+INDEX('PRICING'!$F$7:$F$16,MATCH(F575,'PRICING'!$A$7:$A$16,0))/60),2)),""))</f>
        <v/>
      </c>
      <c r="R575" s="97">
        <f>IF(B575="","",IF(N(K575)&gt;0,K575,IF(N(J575)&gt;0,J575,N(Q575))))</f>
        <v/>
      </c>
      <c r="S575" s="55">
        <f>IF(L575="","",ROUND(L575*(1+N(M575)),2))</f>
        <v/>
      </c>
      <c r="T575" s="55">
        <f>IF(B575="","",SUMIFS('REVENUE'!$C$5:$C$1504,'REVENUE'!$B$5:$B$1504,A575))</f>
        <v/>
      </c>
      <c r="U575" s="55">
        <f>IF(B575="","",IF(O575="Completed",MAX(0,N(S575)-T575),""))</f>
        <v/>
      </c>
      <c r="V575" s="49">
        <f>IF(B575="","",IF(O575&lt;&gt;"Completed",IF(T575&gt;0,"Deposit","—"),IF(U575&lt;=0.005,"Paid",IF(T575&gt;0,"Partial","Unpaid"))))</f>
        <v/>
      </c>
      <c r="W575" s="55">
        <f>IF(B575="","",IFERROR(1/(1/INDEX('STAFF &amp; TASKS'!$C$5:$C$24,MATCH(H575,'STAFF &amp; TASKS'!$A$5:$A$24,0))),PayRate))</f>
        <v/>
      </c>
      <c r="X575" s="55">
        <f>IF(B575="","",IF(OR(O575="Cancelled",O575="No-Show"),"",ROUND(R575*W575*(1+Burden),2)))</f>
        <v/>
      </c>
      <c r="Y575" s="55">
        <f>IF(B575="","",IF(OR(O575="Cancelled",O575="No-Show"),"",IF(N575&lt;&gt;"",N575,ROUND(R575*SupHr*IFERROR(INDEX('PRICING'!$G$7:$G$16,MATCH(F575,'PRICING'!$A$7:$A$16,0)),1),2))))</f>
        <v/>
      </c>
      <c r="Z575" s="98">
        <f>IF(B575="","",SUMIFS('MILEAGE'!$J$5:$J$1504,'MILEAGE'!$B$5:$B$1504,A575))</f>
        <v/>
      </c>
      <c r="AA575" s="55">
        <f>IF(B575="","",ROUND(Z575*MileRate,2))</f>
        <v/>
      </c>
      <c r="AB575" s="55">
        <f>IF(B575="","",SUMIFS('REVENUE'!$J$5:$J$1504,'REVENUE'!$B$5:$B$1504,A575))</f>
        <v/>
      </c>
      <c r="AC575" s="55">
        <f>IF(L575="","",IF(OR(O575="Cancelled",O575="No-Show"),"",L575-N(X575)-N(Y575)-AA575-AB575))</f>
        <v/>
      </c>
      <c r="AD575" s="99">
        <f>IF(OR(AC575="",N(L575)=0),"",AC575/L575)</f>
        <v/>
      </c>
      <c r="AE575" s="55">
        <f>IF(OR(AC575="",N(R575)=0),"",L575/R575)</f>
        <v/>
      </c>
      <c r="AF575" s="100">
        <f>IF(OR(N(K575)=0,N(J575)+N(Q575)=0),"",K575-IF(N(J575)&gt;0,J575,Q575))</f>
        <v/>
      </c>
      <c r="AG575" s="99">
        <f>IF(B575="","",IFERROR(AVERAGEIFS('QUALITY CONTROL'!$M$5:$M$304,'QUALITY CONTROL'!$B$5:$B$304,A575),""))</f>
        <v/>
      </c>
      <c r="AH575" s="51">
        <f>IF(B575="","",DATE(YEAR(B575),MONTH(B575),1))</f>
        <v/>
      </c>
      <c r="AI575" s="49">
        <f>IF(D575="","",IFERROR(INDEX('CUSTOMERS'!$E$5:$E$404,MATCH(D575,'CUSTOMERS'!$B$5:$B$404,0)),""))</f>
        <v/>
      </c>
      <c r="AJ575" s="49">
        <f>IF(B575="","",N(C575))</f>
        <v/>
      </c>
      <c r="AK575" s="49">
        <f>IF(OR(B575="",O575="Cancelled",O575="Rescheduled"),"",B575&amp;"|"&amp;(COUNTIFS('JOBS'!$B$5:$B$1504,B575,'JOBS'!$AJ$5:$AJ$1504,"&lt;"&amp;AJ575,'JOBS'!$O$5:$O$1504,"&lt;&gt;Cancelled",'JOBS'!$O$5:$O$1504,"&lt;&gt;Rescheduled")+COUNTIFS($B$5:B575,B575,$AJ$5:AJ575,AJ575,$O$5:O575,"&lt;&gt;Cancelled",$O$5:O575,"&lt;&gt;Rescheduled")))</f>
        <v/>
      </c>
      <c r="AL575" s="49">
        <f>IF(N(U575)&lt;=0.005,"",COUNTIFS('JOBS'!$U$5:$U$1504,"&gt;0.005",'JOBS'!$B$5:$B$1504,"&lt;"&amp;B575)+COUNTIFS($U$5:U575,"&gt;0.005",$B$5:B575,B575))</f>
        <v/>
      </c>
    </row>
    <row r="576">
      <c r="A576" s="46" t="inlineStr">
        <is>
          <t>J-0572</t>
        </is>
      </c>
      <c r="B576" s="47" t="n"/>
      <c r="C576" s="94" t="n"/>
      <c r="D576" s="38" t="n"/>
      <c r="E576" s="38" t="n"/>
      <c r="F576" s="38" t="n"/>
      <c r="G576" s="38" t="n"/>
      <c r="H576" s="38" t="n"/>
      <c r="I576" s="57" t="n"/>
      <c r="J576" s="95" t="n"/>
      <c r="K576" s="95" t="n"/>
      <c r="L576" s="48" t="n"/>
      <c r="M576" s="96" t="n"/>
      <c r="N576" s="48" t="n"/>
      <c r="O576" s="38" t="n"/>
      <c r="P576" s="38" t="n"/>
      <c r="Q576" s="97">
        <f>IF(OR(F576="",E576=""),"",IFERROR(IF(INDEX('PROPERTIES'!$F$5:$F$404,MATCH(E576,'PROPERTIES'!$B$5:$B$404,0))=0,"",ROUND((INDEX('PROPERTIES'!$F$5:$F$404,MATCH(E576,'PROPERTIES'!$B$5:$B$404,0))/INDEX('PRICING'!$C$7:$C$16,MATCH(F576,'PRICING'!$A$7:$A$16,0))+INDEX('PROPERTIES'!$G$5:$G$404,MATCH(E576,'PROPERTIES'!$B$5:$B$404,0))*INDEX('PRICING'!$D$7:$D$16,MATCH(F576,'PRICING'!$A$7:$A$16,0))/60+INDEX('PROPERTIES'!$H$5:$H$404,MATCH(E576,'PROPERTIES'!$B$5:$B$404,0))*INDEX('PRICING'!$E$7:$E$16,MATCH(F576,'PRICING'!$A$7:$A$16,0))/60+INDEX('PRICING'!$F$7:$F$16,MATCH(F576,'PRICING'!$A$7:$A$16,0))/60),2)),""))</f>
        <v/>
      </c>
      <c r="R576" s="97">
        <f>IF(B576="","",IF(N(K576)&gt;0,K576,IF(N(J576)&gt;0,J576,N(Q576))))</f>
        <v/>
      </c>
      <c r="S576" s="55">
        <f>IF(L576="","",ROUND(L576*(1+N(M576)),2))</f>
        <v/>
      </c>
      <c r="T576" s="55">
        <f>IF(B576="","",SUMIFS('REVENUE'!$C$5:$C$1504,'REVENUE'!$B$5:$B$1504,A576))</f>
        <v/>
      </c>
      <c r="U576" s="55">
        <f>IF(B576="","",IF(O576="Completed",MAX(0,N(S576)-T576),""))</f>
        <v/>
      </c>
      <c r="V576" s="49">
        <f>IF(B576="","",IF(O576&lt;&gt;"Completed",IF(T576&gt;0,"Deposit","—"),IF(U576&lt;=0.005,"Paid",IF(T576&gt;0,"Partial","Unpaid"))))</f>
        <v/>
      </c>
      <c r="W576" s="55">
        <f>IF(B576="","",IFERROR(1/(1/INDEX('STAFF &amp; TASKS'!$C$5:$C$24,MATCH(H576,'STAFF &amp; TASKS'!$A$5:$A$24,0))),PayRate))</f>
        <v/>
      </c>
      <c r="X576" s="55">
        <f>IF(B576="","",IF(OR(O576="Cancelled",O576="No-Show"),"",ROUND(R576*W576*(1+Burden),2)))</f>
        <v/>
      </c>
      <c r="Y576" s="55">
        <f>IF(B576="","",IF(OR(O576="Cancelled",O576="No-Show"),"",IF(N576&lt;&gt;"",N576,ROUND(R576*SupHr*IFERROR(INDEX('PRICING'!$G$7:$G$16,MATCH(F576,'PRICING'!$A$7:$A$16,0)),1),2))))</f>
        <v/>
      </c>
      <c r="Z576" s="98">
        <f>IF(B576="","",SUMIFS('MILEAGE'!$J$5:$J$1504,'MILEAGE'!$B$5:$B$1504,A576))</f>
        <v/>
      </c>
      <c r="AA576" s="55">
        <f>IF(B576="","",ROUND(Z576*MileRate,2))</f>
        <v/>
      </c>
      <c r="AB576" s="55">
        <f>IF(B576="","",SUMIFS('REVENUE'!$J$5:$J$1504,'REVENUE'!$B$5:$B$1504,A576))</f>
        <v/>
      </c>
      <c r="AC576" s="55">
        <f>IF(L576="","",IF(OR(O576="Cancelled",O576="No-Show"),"",L576-N(X576)-N(Y576)-AA576-AB576))</f>
        <v/>
      </c>
      <c r="AD576" s="99">
        <f>IF(OR(AC576="",N(L576)=0),"",AC576/L576)</f>
        <v/>
      </c>
      <c r="AE576" s="55">
        <f>IF(OR(AC576="",N(R576)=0),"",L576/R576)</f>
        <v/>
      </c>
      <c r="AF576" s="100">
        <f>IF(OR(N(K576)=0,N(J576)+N(Q576)=0),"",K576-IF(N(J576)&gt;0,J576,Q576))</f>
        <v/>
      </c>
      <c r="AG576" s="99">
        <f>IF(B576="","",IFERROR(AVERAGEIFS('QUALITY CONTROL'!$M$5:$M$304,'QUALITY CONTROL'!$B$5:$B$304,A576),""))</f>
        <v/>
      </c>
      <c r="AH576" s="51">
        <f>IF(B576="","",DATE(YEAR(B576),MONTH(B576),1))</f>
        <v/>
      </c>
      <c r="AI576" s="49">
        <f>IF(D576="","",IFERROR(INDEX('CUSTOMERS'!$E$5:$E$404,MATCH(D576,'CUSTOMERS'!$B$5:$B$404,0)),""))</f>
        <v/>
      </c>
      <c r="AJ576" s="49">
        <f>IF(B576="","",N(C576))</f>
        <v/>
      </c>
      <c r="AK576" s="49">
        <f>IF(OR(B576="",O576="Cancelled",O576="Rescheduled"),"",B576&amp;"|"&amp;(COUNTIFS('JOBS'!$B$5:$B$1504,B576,'JOBS'!$AJ$5:$AJ$1504,"&lt;"&amp;AJ576,'JOBS'!$O$5:$O$1504,"&lt;&gt;Cancelled",'JOBS'!$O$5:$O$1504,"&lt;&gt;Rescheduled")+COUNTIFS($B$5:B576,B576,$AJ$5:AJ576,AJ576,$O$5:O576,"&lt;&gt;Cancelled",$O$5:O576,"&lt;&gt;Rescheduled")))</f>
        <v/>
      </c>
      <c r="AL576" s="49">
        <f>IF(N(U576)&lt;=0.005,"",COUNTIFS('JOBS'!$U$5:$U$1504,"&gt;0.005",'JOBS'!$B$5:$B$1504,"&lt;"&amp;B576)+COUNTIFS($U$5:U576,"&gt;0.005",$B$5:B576,B576))</f>
        <v/>
      </c>
    </row>
    <row r="577">
      <c r="A577" s="46" t="inlineStr">
        <is>
          <t>J-0573</t>
        </is>
      </c>
      <c r="B577" s="47" t="n"/>
      <c r="C577" s="94" t="n"/>
      <c r="D577" s="38" t="n"/>
      <c r="E577" s="38" t="n"/>
      <c r="F577" s="38" t="n"/>
      <c r="G577" s="38" t="n"/>
      <c r="H577" s="38" t="n"/>
      <c r="I577" s="57" t="n"/>
      <c r="J577" s="95" t="n"/>
      <c r="K577" s="95" t="n"/>
      <c r="L577" s="48" t="n"/>
      <c r="M577" s="96" t="n"/>
      <c r="N577" s="48" t="n"/>
      <c r="O577" s="38" t="n"/>
      <c r="P577" s="38" t="n"/>
      <c r="Q577" s="97">
        <f>IF(OR(F577="",E577=""),"",IFERROR(IF(INDEX('PROPERTIES'!$F$5:$F$404,MATCH(E577,'PROPERTIES'!$B$5:$B$404,0))=0,"",ROUND((INDEX('PROPERTIES'!$F$5:$F$404,MATCH(E577,'PROPERTIES'!$B$5:$B$404,0))/INDEX('PRICING'!$C$7:$C$16,MATCH(F577,'PRICING'!$A$7:$A$16,0))+INDEX('PROPERTIES'!$G$5:$G$404,MATCH(E577,'PROPERTIES'!$B$5:$B$404,0))*INDEX('PRICING'!$D$7:$D$16,MATCH(F577,'PRICING'!$A$7:$A$16,0))/60+INDEX('PROPERTIES'!$H$5:$H$404,MATCH(E577,'PROPERTIES'!$B$5:$B$404,0))*INDEX('PRICING'!$E$7:$E$16,MATCH(F577,'PRICING'!$A$7:$A$16,0))/60+INDEX('PRICING'!$F$7:$F$16,MATCH(F577,'PRICING'!$A$7:$A$16,0))/60),2)),""))</f>
        <v/>
      </c>
      <c r="R577" s="97">
        <f>IF(B577="","",IF(N(K577)&gt;0,K577,IF(N(J577)&gt;0,J577,N(Q577))))</f>
        <v/>
      </c>
      <c r="S577" s="55">
        <f>IF(L577="","",ROUND(L577*(1+N(M577)),2))</f>
        <v/>
      </c>
      <c r="T577" s="55">
        <f>IF(B577="","",SUMIFS('REVENUE'!$C$5:$C$1504,'REVENUE'!$B$5:$B$1504,A577))</f>
        <v/>
      </c>
      <c r="U577" s="55">
        <f>IF(B577="","",IF(O577="Completed",MAX(0,N(S577)-T577),""))</f>
        <v/>
      </c>
      <c r="V577" s="49">
        <f>IF(B577="","",IF(O577&lt;&gt;"Completed",IF(T577&gt;0,"Deposit","—"),IF(U577&lt;=0.005,"Paid",IF(T577&gt;0,"Partial","Unpaid"))))</f>
        <v/>
      </c>
      <c r="W577" s="55">
        <f>IF(B577="","",IFERROR(1/(1/INDEX('STAFF &amp; TASKS'!$C$5:$C$24,MATCH(H577,'STAFF &amp; TASKS'!$A$5:$A$24,0))),PayRate))</f>
        <v/>
      </c>
      <c r="X577" s="55">
        <f>IF(B577="","",IF(OR(O577="Cancelled",O577="No-Show"),"",ROUND(R577*W577*(1+Burden),2)))</f>
        <v/>
      </c>
      <c r="Y577" s="55">
        <f>IF(B577="","",IF(OR(O577="Cancelled",O577="No-Show"),"",IF(N577&lt;&gt;"",N577,ROUND(R577*SupHr*IFERROR(INDEX('PRICING'!$G$7:$G$16,MATCH(F577,'PRICING'!$A$7:$A$16,0)),1),2))))</f>
        <v/>
      </c>
      <c r="Z577" s="98">
        <f>IF(B577="","",SUMIFS('MILEAGE'!$J$5:$J$1504,'MILEAGE'!$B$5:$B$1504,A577))</f>
        <v/>
      </c>
      <c r="AA577" s="55">
        <f>IF(B577="","",ROUND(Z577*MileRate,2))</f>
        <v/>
      </c>
      <c r="AB577" s="55">
        <f>IF(B577="","",SUMIFS('REVENUE'!$J$5:$J$1504,'REVENUE'!$B$5:$B$1504,A577))</f>
        <v/>
      </c>
      <c r="AC577" s="55">
        <f>IF(L577="","",IF(OR(O577="Cancelled",O577="No-Show"),"",L577-N(X577)-N(Y577)-AA577-AB577))</f>
        <v/>
      </c>
      <c r="AD577" s="99">
        <f>IF(OR(AC577="",N(L577)=0),"",AC577/L577)</f>
        <v/>
      </c>
      <c r="AE577" s="55">
        <f>IF(OR(AC577="",N(R577)=0),"",L577/R577)</f>
        <v/>
      </c>
      <c r="AF577" s="100">
        <f>IF(OR(N(K577)=0,N(J577)+N(Q577)=0),"",K577-IF(N(J577)&gt;0,J577,Q577))</f>
        <v/>
      </c>
      <c r="AG577" s="99">
        <f>IF(B577="","",IFERROR(AVERAGEIFS('QUALITY CONTROL'!$M$5:$M$304,'QUALITY CONTROL'!$B$5:$B$304,A577),""))</f>
        <v/>
      </c>
      <c r="AH577" s="51">
        <f>IF(B577="","",DATE(YEAR(B577),MONTH(B577),1))</f>
        <v/>
      </c>
      <c r="AI577" s="49">
        <f>IF(D577="","",IFERROR(INDEX('CUSTOMERS'!$E$5:$E$404,MATCH(D577,'CUSTOMERS'!$B$5:$B$404,0)),""))</f>
        <v/>
      </c>
      <c r="AJ577" s="49">
        <f>IF(B577="","",N(C577))</f>
        <v/>
      </c>
      <c r="AK577" s="49">
        <f>IF(OR(B577="",O577="Cancelled",O577="Rescheduled"),"",B577&amp;"|"&amp;(COUNTIFS('JOBS'!$B$5:$B$1504,B577,'JOBS'!$AJ$5:$AJ$1504,"&lt;"&amp;AJ577,'JOBS'!$O$5:$O$1504,"&lt;&gt;Cancelled",'JOBS'!$O$5:$O$1504,"&lt;&gt;Rescheduled")+COUNTIFS($B$5:B577,B577,$AJ$5:AJ577,AJ577,$O$5:O577,"&lt;&gt;Cancelled",$O$5:O577,"&lt;&gt;Rescheduled")))</f>
        <v/>
      </c>
      <c r="AL577" s="49">
        <f>IF(N(U577)&lt;=0.005,"",COUNTIFS('JOBS'!$U$5:$U$1504,"&gt;0.005",'JOBS'!$B$5:$B$1504,"&lt;"&amp;B577)+COUNTIFS($U$5:U577,"&gt;0.005",$B$5:B577,B577))</f>
        <v/>
      </c>
    </row>
    <row r="578">
      <c r="A578" s="46" t="inlineStr">
        <is>
          <t>J-0574</t>
        </is>
      </c>
      <c r="B578" s="47" t="n"/>
      <c r="C578" s="94" t="n"/>
      <c r="D578" s="38" t="n"/>
      <c r="E578" s="38" t="n"/>
      <c r="F578" s="38" t="n"/>
      <c r="G578" s="38" t="n"/>
      <c r="H578" s="38" t="n"/>
      <c r="I578" s="57" t="n"/>
      <c r="J578" s="95" t="n"/>
      <c r="K578" s="95" t="n"/>
      <c r="L578" s="48" t="n"/>
      <c r="M578" s="96" t="n"/>
      <c r="N578" s="48" t="n"/>
      <c r="O578" s="38" t="n"/>
      <c r="P578" s="38" t="n"/>
      <c r="Q578" s="97">
        <f>IF(OR(F578="",E578=""),"",IFERROR(IF(INDEX('PROPERTIES'!$F$5:$F$404,MATCH(E578,'PROPERTIES'!$B$5:$B$404,0))=0,"",ROUND((INDEX('PROPERTIES'!$F$5:$F$404,MATCH(E578,'PROPERTIES'!$B$5:$B$404,0))/INDEX('PRICING'!$C$7:$C$16,MATCH(F578,'PRICING'!$A$7:$A$16,0))+INDEX('PROPERTIES'!$G$5:$G$404,MATCH(E578,'PROPERTIES'!$B$5:$B$404,0))*INDEX('PRICING'!$D$7:$D$16,MATCH(F578,'PRICING'!$A$7:$A$16,0))/60+INDEX('PROPERTIES'!$H$5:$H$404,MATCH(E578,'PROPERTIES'!$B$5:$B$404,0))*INDEX('PRICING'!$E$7:$E$16,MATCH(F578,'PRICING'!$A$7:$A$16,0))/60+INDEX('PRICING'!$F$7:$F$16,MATCH(F578,'PRICING'!$A$7:$A$16,0))/60),2)),""))</f>
        <v/>
      </c>
      <c r="R578" s="97">
        <f>IF(B578="","",IF(N(K578)&gt;0,K578,IF(N(J578)&gt;0,J578,N(Q578))))</f>
        <v/>
      </c>
      <c r="S578" s="55">
        <f>IF(L578="","",ROUND(L578*(1+N(M578)),2))</f>
        <v/>
      </c>
      <c r="T578" s="55">
        <f>IF(B578="","",SUMIFS('REVENUE'!$C$5:$C$1504,'REVENUE'!$B$5:$B$1504,A578))</f>
        <v/>
      </c>
      <c r="U578" s="55">
        <f>IF(B578="","",IF(O578="Completed",MAX(0,N(S578)-T578),""))</f>
        <v/>
      </c>
      <c r="V578" s="49">
        <f>IF(B578="","",IF(O578&lt;&gt;"Completed",IF(T578&gt;0,"Deposit","—"),IF(U578&lt;=0.005,"Paid",IF(T578&gt;0,"Partial","Unpaid"))))</f>
        <v/>
      </c>
      <c r="W578" s="55">
        <f>IF(B578="","",IFERROR(1/(1/INDEX('STAFF &amp; TASKS'!$C$5:$C$24,MATCH(H578,'STAFF &amp; TASKS'!$A$5:$A$24,0))),PayRate))</f>
        <v/>
      </c>
      <c r="X578" s="55">
        <f>IF(B578="","",IF(OR(O578="Cancelled",O578="No-Show"),"",ROUND(R578*W578*(1+Burden),2)))</f>
        <v/>
      </c>
      <c r="Y578" s="55">
        <f>IF(B578="","",IF(OR(O578="Cancelled",O578="No-Show"),"",IF(N578&lt;&gt;"",N578,ROUND(R578*SupHr*IFERROR(INDEX('PRICING'!$G$7:$G$16,MATCH(F578,'PRICING'!$A$7:$A$16,0)),1),2))))</f>
        <v/>
      </c>
      <c r="Z578" s="98">
        <f>IF(B578="","",SUMIFS('MILEAGE'!$J$5:$J$1504,'MILEAGE'!$B$5:$B$1504,A578))</f>
        <v/>
      </c>
      <c r="AA578" s="55">
        <f>IF(B578="","",ROUND(Z578*MileRate,2))</f>
        <v/>
      </c>
      <c r="AB578" s="55">
        <f>IF(B578="","",SUMIFS('REVENUE'!$J$5:$J$1504,'REVENUE'!$B$5:$B$1504,A578))</f>
        <v/>
      </c>
      <c r="AC578" s="55">
        <f>IF(L578="","",IF(OR(O578="Cancelled",O578="No-Show"),"",L578-N(X578)-N(Y578)-AA578-AB578))</f>
        <v/>
      </c>
      <c r="AD578" s="99">
        <f>IF(OR(AC578="",N(L578)=0),"",AC578/L578)</f>
        <v/>
      </c>
      <c r="AE578" s="55">
        <f>IF(OR(AC578="",N(R578)=0),"",L578/R578)</f>
        <v/>
      </c>
      <c r="AF578" s="100">
        <f>IF(OR(N(K578)=0,N(J578)+N(Q578)=0),"",K578-IF(N(J578)&gt;0,J578,Q578))</f>
        <v/>
      </c>
      <c r="AG578" s="99">
        <f>IF(B578="","",IFERROR(AVERAGEIFS('QUALITY CONTROL'!$M$5:$M$304,'QUALITY CONTROL'!$B$5:$B$304,A578),""))</f>
        <v/>
      </c>
      <c r="AH578" s="51">
        <f>IF(B578="","",DATE(YEAR(B578),MONTH(B578),1))</f>
        <v/>
      </c>
      <c r="AI578" s="49">
        <f>IF(D578="","",IFERROR(INDEX('CUSTOMERS'!$E$5:$E$404,MATCH(D578,'CUSTOMERS'!$B$5:$B$404,0)),""))</f>
        <v/>
      </c>
      <c r="AJ578" s="49">
        <f>IF(B578="","",N(C578))</f>
        <v/>
      </c>
      <c r="AK578" s="49">
        <f>IF(OR(B578="",O578="Cancelled",O578="Rescheduled"),"",B578&amp;"|"&amp;(COUNTIFS('JOBS'!$B$5:$B$1504,B578,'JOBS'!$AJ$5:$AJ$1504,"&lt;"&amp;AJ578,'JOBS'!$O$5:$O$1504,"&lt;&gt;Cancelled",'JOBS'!$O$5:$O$1504,"&lt;&gt;Rescheduled")+COUNTIFS($B$5:B578,B578,$AJ$5:AJ578,AJ578,$O$5:O578,"&lt;&gt;Cancelled",$O$5:O578,"&lt;&gt;Rescheduled")))</f>
        <v/>
      </c>
      <c r="AL578" s="49">
        <f>IF(N(U578)&lt;=0.005,"",COUNTIFS('JOBS'!$U$5:$U$1504,"&gt;0.005",'JOBS'!$B$5:$B$1504,"&lt;"&amp;B578)+COUNTIFS($U$5:U578,"&gt;0.005",$B$5:B578,B578))</f>
        <v/>
      </c>
    </row>
    <row r="579">
      <c r="A579" s="46" t="inlineStr">
        <is>
          <t>J-0575</t>
        </is>
      </c>
      <c r="B579" s="47" t="n"/>
      <c r="C579" s="94" t="n"/>
      <c r="D579" s="38" t="n"/>
      <c r="E579" s="38" t="n"/>
      <c r="F579" s="38" t="n"/>
      <c r="G579" s="38" t="n"/>
      <c r="H579" s="38" t="n"/>
      <c r="I579" s="57" t="n"/>
      <c r="J579" s="95" t="n"/>
      <c r="K579" s="95" t="n"/>
      <c r="L579" s="48" t="n"/>
      <c r="M579" s="96" t="n"/>
      <c r="N579" s="48" t="n"/>
      <c r="O579" s="38" t="n"/>
      <c r="P579" s="38" t="n"/>
      <c r="Q579" s="97">
        <f>IF(OR(F579="",E579=""),"",IFERROR(IF(INDEX('PROPERTIES'!$F$5:$F$404,MATCH(E579,'PROPERTIES'!$B$5:$B$404,0))=0,"",ROUND((INDEX('PROPERTIES'!$F$5:$F$404,MATCH(E579,'PROPERTIES'!$B$5:$B$404,0))/INDEX('PRICING'!$C$7:$C$16,MATCH(F579,'PRICING'!$A$7:$A$16,0))+INDEX('PROPERTIES'!$G$5:$G$404,MATCH(E579,'PROPERTIES'!$B$5:$B$404,0))*INDEX('PRICING'!$D$7:$D$16,MATCH(F579,'PRICING'!$A$7:$A$16,0))/60+INDEX('PROPERTIES'!$H$5:$H$404,MATCH(E579,'PROPERTIES'!$B$5:$B$404,0))*INDEX('PRICING'!$E$7:$E$16,MATCH(F579,'PRICING'!$A$7:$A$16,0))/60+INDEX('PRICING'!$F$7:$F$16,MATCH(F579,'PRICING'!$A$7:$A$16,0))/60),2)),""))</f>
        <v/>
      </c>
      <c r="R579" s="97">
        <f>IF(B579="","",IF(N(K579)&gt;0,K579,IF(N(J579)&gt;0,J579,N(Q579))))</f>
        <v/>
      </c>
      <c r="S579" s="55">
        <f>IF(L579="","",ROUND(L579*(1+N(M579)),2))</f>
        <v/>
      </c>
      <c r="T579" s="55">
        <f>IF(B579="","",SUMIFS('REVENUE'!$C$5:$C$1504,'REVENUE'!$B$5:$B$1504,A579))</f>
        <v/>
      </c>
      <c r="U579" s="55">
        <f>IF(B579="","",IF(O579="Completed",MAX(0,N(S579)-T579),""))</f>
        <v/>
      </c>
      <c r="V579" s="49">
        <f>IF(B579="","",IF(O579&lt;&gt;"Completed",IF(T579&gt;0,"Deposit","—"),IF(U579&lt;=0.005,"Paid",IF(T579&gt;0,"Partial","Unpaid"))))</f>
        <v/>
      </c>
      <c r="W579" s="55">
        <f>IF(B579="","",IFERROR(1/(1/INDEX('STAFF &amp; TASKS'!$C$5:$C$24,MATCH(H579,'STAFF &amp; TASKS'!$A$5:$A$24,0))),PayRate))</f>
        <v/>
      </c>
      <c r="X579" s="55">
        <f>IF(B579="","",IF(OR(O579="Cancelled",O579="No-Show"),"",ROUND(R579*W579*(1+Burden),2)))</f>
        <v/>
      </c>
      <c r="Y579" s="55">
        <f>IF(B579="","",IF(OR(O579="Cancelled",O579="No-Show"),"",IF(N579&lt;&gt;"",N579,ROUND(R579*SupHr*IFERROR(INDEX('PRICING'!$G$7:$G$16,MATCH(F579,'PRICING'!$A$7:$A$16,0)),1),2))))</f>
        <v/>
      </c>
      <c r="Z579" s="98">
        <f>IF(B579="","",SUMIFS('MILEAGE'!$J$5:$J$1504,'MILEAGE'!$B$5:$B$1504,A579))</f>
        <v/>
      </c>
      <c r="AA579" s="55">
        <f>IF(B579="","",ROUND(Z579*MileRate,2))</f>
        <v/>
      </c>
      <c r="AB579" s="55">
        <f>IF(B579="","",SUMIFS('REVENUE'!$J$5:$J$1504,'REVENUE'!$B$5:$B$1504,A579))</f>
        <v/>
      </c>
      <c r="AC579" s="55">
        <f>IF(L579="","",IF(OR(O579="Cancelled",O579="No-Show"),"",L579-N(X579)-N(Y579)-AA579-AB579))</f>
        <v/>
      </c>
      <c r="AD579" s="99">
        <f>IF(OR(AC579="",N(L579)=0),"",AC579/L579)</f>
        <v/>
      </c>
      <c r="AE579" s="55">
        <f>IF(OR(AC579="",N(R579)=0),"",L579/R579)</f>
        <v/>
      </c>
      <c r="AF579" s="100">
        <f>IF(OR(N(K579)=0,N(J579)+N(Q579)=0),"",K579-IF(N(J579)&gt;0,J579,Q579))</f>
        <v/>
      </c>
      <c r="AG579" s="99">
        <f>IF(B579="","",IFERROR(AVERAGEIFS('QUALITY CONTROL'!$M$5:$M$304,'QUALITY CONTROL'!$B$5:$B$304,A579),""))</f>
        <v/>
      </c>
      <c r="AH579" s="51">
        <f>IF(B579="","",DATE(YEAR(B579),MONTH(B579),1))</f>
        <v/>
      </c>
      <c r="AI579" s="49">
        <f>IF(D579="","",IFERROR(INDEX('CUSTOMERS'!$E$5:$E$404,MATCH(D579,'CUSTOMERS'!$B$5:$B$404,0)),""))</f>
        <v/>
      </c>
      <c r="AJ579" s="49">
        <f>IF(B579="","",N(C579))</f>
        <v/>
      </c>
      <c r="AK579" s="49">
        <f>IF(OR(B579="",O579="Cancelled",O579="Rescheduled"),"",B579&amp;"|"&amp;(COUNTIFS('JOBS'!$B$5:$B$1504,B579,'JOBS'!$AJ$5:$AJ$1504,"&lt;"&amp;AJ579,'JOBS'!$O$5:$O$1504,"&lt;&gt;Cancelled",'JOBS'!$O$5:$O$1504,"&lt;&gt;Rescheduled")+COUNTIFS($B$5:B579,B579,$AJ$5:AJ579,AJ579,$O$5:O579,"&lt;&gt;Cancelled",$O$5:O579,"&lt;&gt;Rescheduled")))</f>
        <v/>
      </c>
      <c r="AL579" s="49">
        <f>IF(N(U579)&lt;=0.005,"",COUNTIFS('JOBS'!$U$5:$U$1504,"&gt;0.005",'JOBS'!$B$5:$B$1504,"&lt;"&amp;B579)+COUNTIFS($U$5:U579,"&gt;0.005",$B$5:B579,B579))</f>
        <v/>
      </c>
    </row>
    <row r="580">
      <c r="A580" s="46" t="inlineStr">
        <is>
          <t>J-0576</t>
        </is>
      </c>
      <c r="B580" s="47" t="n"/>
      <c r="C580" s="94" t="n"/>
      <c r="D580" s="38" t="n"/>
      <c r="E580" s="38" t="n"/>
      <c r="F580" s="38" t="n"/>
      <c r="G580" s="38" t="n"/>
      <c r="H580" s="38" t="n"/>
      <c r="I580" s="57" t="n"/>
      <c r="J580" s="95" t="n"/>
      <c r="K580" s="95" t="n"/>
      <c r="L580" s="48" t="n"/>
      <c r="M580" s="96" t="n"/>
      <c r="N580" s="48" t="n"/>
      <c r="O580" s="38" t="n"/>
      <c r="P580" s="38" t="n"/>
      <c r="Q580" s="97">
        <f>IF(OR(F580="",E580=""),"",IFERROR(IF(INDEX('PROPERTIES'!$F$5:$F$404,MATCH(E580,'PROPERTIES'!$B$5:$B$404,0))=0,"",ROUND((INDEX('PROPERTIES'!$F$5:$F$404,MATCH(E580,'PROPERTIES'!$B$5:$B$404,0))/INDEX('PRICING'!$C$7:$C$16,MATCH(F580,'PRICING'!$A$7:$A$16,0))+INDEX('PROPERTIES'!$G$5:$G$404,MATCH(E580,'PROPERTIES'!$B$5:$B$404,0))*INDEX('PRICING'!$D$7:$D$16,MATCH(F580,'PRICING'!$A$7:$A$16,0))/60+INDEX('PROPERTIES'!$H$5:$H$404,MATCH(E580,'PROPERTIES'!$B$5:$B$404,0))*INDEX('PRICING'!$E$7:$E$16,MATCH(F580,'PRICING'!$A$7:$A$16,0))/60+INDEX('PRICING'!$F$7:$F$16,MATCH(F580,'PRICING'!$A$7:$A$16,0))/60),2)),""))</f>
        <v/>
      </c>
      <c r="R580" s="97">
        <f>IF(B580="","",IF(N(K580)&gt;0,K580,IF(N(J580)&gt;0,J580,N(Q580))))</f>
        <v/>
      </c>
      <c r="S580" s="55">
        <f>IF(L580="","",ROUND(L580*(1+N(M580)),2))</f>
        <v/>
      </c>
      <c r="T580" s="55">
        <f>IF(B580="","",SUMIFS('REVENUE'!$C$5:$C$1504,'REVENUE'!$B$5:$B$1504,A580))</f>
        <v/>
      </c>
      <c r="U580" s="55">
        <f>IF(B580="","",IF(O580="Completed",MAX(0,N(S580)-T580),""))</f>
        <v/>
      </c>
      <c r="V580" s="49">
        <f>IF(B580="","",IF(O580&lt;&gt;"Completed",IF(T580&gt;0,"Deposit","—"),IF(U580&lt;=0.005,"Paid",IF(T580&gt;0,"Partial","Unpaid"))))</f>
        <v/>
      </c>
      <c r="W580" s="55">
        <f>IF(B580="","",IFERROR(1/(1/INDEX('STAFF &amp; TASKS'!$C$5:$C$24,MATCH(H580,'STAFF &amp; TASKS'!$A$5:$A$24,0))),PayRate))</f>
        <v/>
      </c>
      <c r="X580" s="55">
        <f>IF(B580="","",IF(OR(O580="Cancelled",O580="No-Show"),"",ROUND(R580*W580*(1+Burden),2)))</f>
        <v/>
      </c>
      <c r="Y580" s="55">
        <f>IF(B580="","",IF(OR(O580="Cancelled",O580="No-Show"),"",IF(N580&lt;&gt;"",N580,ROUND(R580*SupHr*IFERROR(INDEX('PRICING'!$G$7:$G$16,MATCH(F580,'PRICING'!$A$7:$A$16,0)),1),2))))</f>
        <v/>
      </c>
      <c r="Z580" s="98">
        <f>IF(B580="","",SUMIFS('MILEAGE'!$J$5:$J$1504,'MILEAGE'!$B$5:$B$1504,A580))</f>
        <v/>
      </c>
      <c r="AA580" s="55">
        <f>IF(B580="","",ROUND(Z580*MileRate,2))</f>
        <v/>
      </c>
      <c r="AB580" s="55">
        <f>IF(B580="","",SUMIFS('REVENUE'!$J$5:$J$1504,'REVENUE'!$B$5:$B$1504,A580))</f>
        <v/>
      </c>
      <c r="AC580" s="55">
        <f>IF(L580="","",IF(OR(O580="Cancelled",O580="No-Show"),"",L580-N(X580)-N(Y580)-AA580-AB580))</f>
        <v/>
      </c>
      <c r="AD580" s="99">
        <f>IF(OR(AC580="",N(L580)=0),"",AC580/L580)</f>
        <v/>
      </c>
      <c r="AE580" s="55">
        <f>IF(OR(AC580="",N(R580)=0),"",L580/R580)</f>
        <v/>
      </c>
      <c r="AF580" s="100">
        <f>IF(OR(N(K580)=0,N(J580)+N(Q580)=0),"",K580-IF(N(J580)&gt;0,J580,Q580))</f>
        <v/>
      </c>
      <c r="AG580" s="99">
        <f>IF(B580="","",IFERROR(AVERAGEIFS('QUALITY CONTROL'!$M$5:$M$304,'QUALITY CONTROL'!$B$5:$B$304,A580),""))</f>
        <v/>
      </c>
      <c r="AH580" s="51">
        <f>IF(B580="","",DATE(YEAR(B580),MONTH(B580),1))</f>
        <v/>
      </c>
      <c r="AI580" s="49">
        <f>IF(D580="","",IFERROR(INDEX('CUSTOMERS'!$E$5:$E$404,MATCH(D580,'CUSTOMERS'!$B$5:$B$404,0)),""))</f>
        <v/>
      </c>
      <c r="AJ580" s="49">
        <f>IF(B580="","",N(C580))</f>
        <v/>
      </c>
      <c r="AK580" s="49">
        <f>IF(OR(B580="",O580="Cancelled",O580="Rescheduled"),"",B580&amp;"|"&amp;(COUNTIFS('JOBS'!$B$5:$B$1504,B580,'JOBS'!$AJ$5:$AJ$1504,"&lt;"&amp;AJ580,'JOBS'!$O$5:$O$1504,"&lt;&gt;Cancelled",'JOBS'!$O$5:$O$1504,"&lt;&gt;Rescheduled")+COUNTIFS($B$5:B580,B580,$AJ$5:AJ580,AJ580,$O$5:O580,"&lt;&gt;Cancelled",$O$5:O580,"&lt;&gt;Rescheduled")))</f>
        <v/>
      </c>
      <c r="AL580" s="49">
        <f>IF(N(U580)&lt;=0.005,"",COUNTIFS('JOBS'!$U$5:$U$1504,"&gt;0.005",'JOBS'!$B$5:$B$1504,"&lt;"&amp;B580)+COUNTIFS($U$5:U580,"&gt;0.005",$B$5:B580,B580))</f>
        <v/>
      </c>
    </row>
    <row r="581">
      <c r="A581" s="46" t="inlineStr">
        <is>
          <t>J-0577</t>
        </is>
      </c>
      <c r="B581" s="47" t="n"/>
      <c r="C581" s="94" t="n"/>
      <c r="D581" s="38" t="n"/>
      <c r="E581" s="38" t="n"/>
      <c r="F581" s="38" t="n"/>
      <c r="G581" s="38" t="n"/>
      <c r="H581" s="38" t="n"/>
      <c r="I581" s="57" t="n"/>
      <c r="J581" s="95" t="n"/>
      <c r="K581" s="95" t="n"/>
      <c r="L581" s="48" t="n"/>
      <c r="M581" s="96" t="n"/>
      <c r="N581" s="48" t="n"/>
      <c r="O581" s="38" t="n"/>
      <c r="P581" s="38" t="n"/>
      <c r="Q581" s="97">
        <f>IF(OR(F581="",E581=""),"",IFERROR(IF(INDEX('PROPERTIES'!$F$5:$F$404,MATCH(E581,'PROPERTIES'!$B$5:$B$404,0))=0,"",ROUND((INDEX('PROPERTIES'!$F$5:$F$404,MATCH(E581,'PROPERTIES'!$B$5:$B$404,0))/INDEX('PRICING'!$C$7:$C$16,MATCH(F581,'PRICING'!$A$7:$A$16,0))+INDEX('PROPERTIES'!$G$5:$G$404,MATCH(E581,'PROPERTIES'!$B$5:$B$404,0))*INDEX('PRICING'!$D$7:$D$16,MATCH(F581,'PRICING'!$A$7:$A$16,0))/60+INDEX('PROPERTIES'!$H$5:$H$404,MATCH(E581,'PROPERTIES'!$B$5:$B$404,0))*INDEX('PRICING'!$E$7:$E$16,MATCH(F581,'PRICING'!$A$7:$A$16,0))/60+INDEX('PRICING'!$F$7:$F$16,MATCH(F581,'PRICING'!$A$7:$A$16,0))/60),2)),""))</f>
        <v/>
      </c>
      <c r="R581" s="97">
        <f>IF(B581="","",IF(N(K581)&gt;0,K581,IF(N(J581)&gt;0,J581,N(Q581))))</f>
        <v/>
      </c>
      <c r="S581" s="55">
        <f>IF(L581="","",ROUND(L581*(1+N(M581)),2))</f>
        <v/>
      </c>
      <c r="T581" s="55">
        <f>IF(B581="","",SUMIFS('REVENUE'!$C$5:$C$1504,'REVENUE'!$B$5:$B$1504,A581))</f>
        <v/>
      </c>
      <c r="U581" s="55">
        <f>IF(B581="","",IF(O581="Completed",MAX(0,N(S581)-T581),""))</f>
        <v/>
      </c>
      <c r="V581" s="49">
        <f>IF(B581="","",IF(O581&lt;&gt;"Completed",IF(T581&gt;0,"Deposit","—"),IF(U581&lt;=0.005,"Paid",IF(T581&gt;0,"Partial","Unpaid"))))</f>
        <v/>
      </c>
      <c r="W581" s="55">
        <f>IF(B581="","",IFERROR(1/(1/INDEX('STAFF &amp; TASKS'!$C$5:$C$24,MATCH(H581,'STAFF &amp; TASKS'!$A$5:$A$24,0))),PayRate))</f>
        <v/>
      </c>
      <c r="X581" s="55">
        <f>IF(B581="","",IF(OR(O581="Cancelled",O581="No-Show"),"",ROUND(R581*W581*(1+Burden),2)))</f>
        <v/>
      </c>
      <c r="Y581" s="55">
        <f>IF(B581="","",IF(OR(O581="Cancelled",O581="No-Show"),"",IF(N581&lt;&gt;"",N581,ROUND(R581*SupHr*IFERROR(INDEX('PRICING'!$G$7:$G$16,MATCH(F581,'PRICING'!$A$7:$A$16,0)),1),2))))</f>
        <v/>
      </c>
      <c r="Z581" s="98">
        <f>IF(B581="","",SUMIFS('MILEAGE'!$J$5:$J$1504,'MILEAGE'!$B$5:$B$1504,A581))</f>
        <v/>
      </c>
      <c r="AA581" s="55">
        <f>IF(B581="","",ROUND(Z581*MileRate,2))</f>
        <v/>
      </c>
      <c r="AB581" s="55">
        <f>IF(B581="","",SUMIFS('REVENUE'!$J$5:$J$1504,'REVENUE'!$B$5:$B$1504,A581))</f>
        <v/>
      </c>
      <c r="AC581" s="55">
        <f>IF(L581="","",IF(OR(O581="Cancelled",O581="No-Show"),"",L581-N(X581)-N(Y581)-AA581-AB581))</f>
        <v/>
      </c>
      <c r="AD581" s="99">
        <f>IF(OR(AC581="",N(L581)=0),"",AC581/L581)</f>
        <v/>
      </c>
      <c r="AE581" s="55">
        <f>IF(OR(AC581="",N(R581)=0),"",L581/R581)</f>
        <v/>
      </c>
      <c r="AF581" s="100">
        <f>IF(OR(N(K581)=0,N(J581)+N(Q581)=0),"",K581-IF(N(J581)&gt;0,J581,Q581))</f>
        <v/>
      </c>
      <c r="AG581" s="99">
        <f>IF(B581="","",IFERROR(AVERAGEIFS('QUALITY CONTROL'!$M$5:$M$304,'QUALITY CONTROL'!$B$5:$B$304,A581),""))</f>
        <v/>
      </c>
      <c r="AH581" s="51">
        <f>IF(B581="","",DATE(YEAR(B581),MONTH(B581),1))</f>
        <v/>
      </c>
      <c r="AI581" s="49">
        <f>IF(D581="","",IFERROR(INDEX('CUSTOMERS'!$E$5:$E$404,MATCH(D581,'CUSTOMERS'!$B$5:$B$404,0)),""))</f>
        <v/>
      </c>
      <c r="AJ581" s="49">
        <f>IF(B581="","",N(C581))</f>
        <v/>
      </c>
      <c r="AK581" s="49">
        <f>IF(OR(B581="",O581="Cancelled",O581="Rescheduled"),"",B581&amp;"|"&amp;(COUNTIFS('JOBS'!$B$5:$B$1504,B581,'JOBS'!$AJ$5:$AJ$1504,"&lt;"&amp;AJ581,'JOBS'!$O$5:$O$1504,"&lt;&gt;Cancelled",'JOBS'!$O$5:$O$1504,"&lt;&gt;Rescheduled")+COUNTIFS($B$5:B581,B581,$AJ$5:AJ581,AJ581,$O$5:O581,"&lt;&gt;Cancelled",$O$5:O581,"&lt;&gt;Rescheduled")))</f>
        <v/>
      </c>
      <c r="AL581" s="49">
        <f>IF(N(U581)&lt;=0.005,"",COUNTIFS('JOBS'!$U$5:$U$1504,"&gt;0.005",'JOBS'!$B$5:$B$1504,"&lt;"&amp;B581)+COUNTIFS($U$5:U581,"&gt;0.005",$B$5:B581,B581))</f>
        <v/>
      </c>
    </row>
    <row r="582">
      <c r="A582" s="46" t="inlineStr">
        <is>
          <t>J-0578</t>
        </is>
      </c>
      <c r="B582" s="47" t="n"/>
      <c r="C582" s="94" t="n"/>
      <c r="D582" s="38" t="n"/>
      <c r="E582" s="38" t="n"/>
      <c r="F582" s="38" t="n"/>
      <c r="G582" s="38" t="n"/>
      <c r="H582" s="38" t="n"/>
      <c r="I582" s="57" t="n"/>
      <c r="J582" s="95" t="n"/>
      <c r="K582" s="95" t="n"/>
      <c r="L582" s="48" t="n"/>
      <c r="M582" s="96" t="n"/>
      <c r="N582" s="48" t="n"/>
      <c r="O582" s="38" t="n"/>
      <c r="P582" s="38" t="n"/>
      <c r="Q582" s="97">
        <f>IF(OR(F582="",E582=""),"",IFERROR(IF(INDEX('PROPERTIES'!$F$5:$F$404,MATCH(E582,'PROPERTIES'!$B$5:$B$404,0))=0,"",ROUND((INDEX('PROPERTIES'!$F$5:$F$404,MATCH(E582,'PROPERTIES'!$B$5:$B$404,0))/INDEX('PRICING'!$C$7:$C$16,MATCH(F582,'PRICING'!$A$7:$A$16,0))+INDEX('PROPERTIES'!$G$5:$G$404,MATCH(E582,'PROPERTIES'!$B$5:$B$404,0))*INDEX('PRICING'!$D$7:$D$16,MATCH(F582,'PRICING'!$A$7:$A$16,0))/60+INDEX('PROPERTIES'!$H$5:$H$404,MATCH(E582,'PROPERTIES'!$B$5:$B$404,0))*INDEX('PRICING'!$E$7:$E$16,MATCH(F582,'PRICING'!$A$7:$A$16,0))/60+INDEX('PRICING'!$F$7:$F$16,MATCH(F582,'PRICING'!$A$7:$A$16,0))/60),2)),""))</f>
        <v/>
      </c>
      <c r="R582" s="97">
        <f>IF(B582="","",IF(N(K582)&gt;0,K582,IF(N(J582)&gt;0,J582,N(Q582))))</f>
        <v/>
      </c>
      <c r="S582" s="55">
        <f>IF(L582="","",ROUND(L582*(1+N(M582)),2))</f>
        <v/>
      </c>
      <c r="T582" s="55">
        <f>IF(B582="","",SUMIFS('REVENUE'!$C$5:$C$1504,'REVENUE'!$B$5:$B$1504,A582))</f>
        <v/>
      </c>
      <c r="U582" s="55">
        <f>IF(B582="","",IF(O582="Completed",MAX(0,N(S582)-T582),""))</f>
        <v/>
      </c>
      <c r="V582" s="49">
        <f>IF(B582="","",IF(O582&lt;&gt;"Completed",IF(T582&gt;0,"Deposit","—"),IF(U582&lt;=0.005,"Paid",IF(T582&gt;0,"Partial","Unpaid"))))</f>
        <v/>
      </c>
      <c r="W582" s="55">
        <f>IF(B582="","",IFERROR(1/(1/INDEX('STAFF &amp; TASKS'!$C$5:$C$24,MATCH(H582,'STAFF &amp; TASKS'!$A$5:$A$24,0))),PayRate))</f>
        <v/>
      </c>
      <c r="X582" s="55">
        <f>IF(B582="","",IF(OR(O582="Cancelled",O582="No-Show"),"",ROUND(R582*W582*(1+Burden),2)))</f>
        <v/>
      </c>
      <c r="Y582" s="55">
        <f>IF(B582="","",IF(OR(O582="Cancelled",O582="No-Show"),"",IF(N582&lt;&gt;"",N582,ROUND(R582*SupHr*IFERROR(INDEX('PRICING'!$G$7:$G$16,MATCH(F582,'PRICING'!$A$7:$A$16,0)),1),2))))</f>
        <v/>
      </c>
      <c r="Z582" s="98">
        <f>IF(B582="","",SUMIFS('MILEAGE'!$J$5:$J$1504,'MILEAGE'!$B$5:$B$1504,A582))</f>
        <v/>
      </c>
      <c r="AA582" s="55">
        <f>IF(B582="","",ROUND(Z582*MileRate,2))</f>
        <v/>
      </c>
      <c r="AB582" s="55">
        <f>IF(B582="","",SUMIFS('REVENUE'!$J$5:$J$1504,'REVENUE'!$B$5:$B$1504,A582))</f>
        <v/>
      </c>
      <c r="AC582" s="55">
        <f>IF(L582="","",IF(OR(O582="Cancelled",O582="No-Show"),"",L582-N(X582)-N(Y582)-AA582-AB582))</f>
        <v/>
      </c>
      <c r="AD582" s="99">
        <f>IF(OR(AC582="",N(L582)=0),"",AC582/L582)</f>
        <v/>
      </c>
      <c r="AE582" s="55">
        <f>IF(OR(AC582="",N(R582)=0),"",L582/R582)</f>
        <v/>
      </c>
      <c r="AF582" s="100">
        <f>IF(OR(N(K582)=0,N(J582)+N(Q582)=0),"",K582-IF(N(J582)&gt;0,J582,Q582))</f>
        <v/>
      </c>
      <c r="AG582" s="99">
        <f>IF(B582="","",IFERROR(AVERAGEIFS('QUALITY CONTROL'!$M$5:$M$304,'QUALITY CONTROL'!$B$5:$B$304,A582),""))</f>
        <v/>
      </c>
      <c r="AH582" s="51">
        <f>IF(B582="","",DATE(YEAR(B582),MONTH(B582),1))</f>
        <v/>
      </c>
      <c r="AI582" s="49">
        <f>IF(D582="","",IFERROR(INDEX('CUSTOMERS'!$E$5:$E$404,MATCH(D582,'CUSTOMERS'!$B$5:$B$404,0)),""))</f>
        <v/>
      </c>
      <c r="AJ582" s="49">
        <f>IF(B582="","",N(C582))</f>
        <v/>
      </c>
      <c r="AK582" s="49">
        <f>IF(OR(B582="",O582="Cancelled",O582="Rescheduled"),"",B582&amp;"|"&amp;(COUNTIFS('JOBS'!$B$5:$B$1504,B582,'JOBS'!$AJ$5:$AJ$1504,"&lt;"&amp;AJ582,'JOBS'!$O$5:$O$1504,"&lt;&gt;Cancelled",'JOBS'!$O$5:$O$1504,"&lt;&gt;Rescheduled")+COUNTIFS($B$5:B582,B582,$AJ$5:AJ582,AJ582,$O$5:O582,"&lt;&gt;Cancelled",$O$5:O582,"&lt;&gt;Rescheduled")))</f>
        <v/>
      </c>
      <c r="AL582" s="49">
        <f>IF(N(U582)&lt;=0.005,"",COUNTIFS('JOBS'!$U$5:$U$1504,"&gt;0.005",'JOBS'!$B$5:$B$1504,"&lt;"&amp;B582)+COUNTIFS($U$5:U582,"&gt;0.005",$B$5:B582,B582))</f>
        <v/>
      </c>
    </row>
    <row r="583">
      <c r="A583" s="46" t="inlineStr">
        <is>
          <t>J-0579</t>
        </is>
      </c>
      <c r="B583" s="47" t="n"/>
      <c r="C583" s="94" t="n"/>
      <c r="D583" s="38" t="n"/>
      <c r="E583" s="38" t="n"/>
      <c r="F583" s="38" t="n"/>
      <c r="G583" s="38" t="n"/>
      <c r="H583" s="38" t="n"/>
      <c r="I583" s="57" t="n"/>
      <c r="J583" s="95" t="n"/>
      <c r="K583" s="95" t="n"/>
      <c r="L583" s="48" t="n"/>
      <c r="M583" s="96" t="n"/>
      <c r="N583" s="48" t="n"/>
      <c r="O583" s="38" t="n"/>
      <c r="P583" s="38" t="n"/>
      <c r="Q583" s="97">
        <f>IF(OR(F583="",E583=""),"",IFERROR(IF(INDEX('PROPERTIES'!$F$5:$F$404,MATCH(E583,'PROPERTIES'!$B$5:$B$404,0))=0,"",ROUND((INDEX('PROPERTIES'!$F$5:$F$404,MATCH(E583,'PROPERTIES'!$B$5:$B$404,0))/INDEX('PRICING'!$C$7:$C$16,MATCH(F583,'PRICING'!$A$7:$A$16,0))+INDEX('PROPERTIES'!$G$5:$G$404,MATCH(E583,'PROPERTIES'!$B$5:$B$404,0))*INDEX('PRICING'!$D$7:$D$16,MATCH(F583,'PRICING'!$A$7:$A$16,0))/60+INDEX('PROPERTIES'!$H$5:$H$404,MATCH(E583,'PROPERTIES'!$B$5:$B$404,0))*INDEX('PRICING'!$E$7:$E$16,MATCH(F583,'PRICING'!$A$7:$A$16,0))/60+INDEX('PRICING'!$F$7:$F$16,MATCH(F583,'PRICING'!$A$7:$A$16,0))/60),2)),""))</f>
        <v/>
      </c>
      <c r="R583" s="97">
        <f>IF(B583="","",IF(N(K583)&gt;0,K583,IF(N(J583)&gt;0,J583,N(Q583))))</f>
        <v/>
      </c>
      <c r="S583" s="55">
        <f>IF(L583="","",ROUND(L583*(1+N(M583)),2))</f>
        <v/>
      </c>
      <c r="T583" s="55">
        <f>IF(B583="","",SUMIFS('REVENUE'!$C$5:$C$1504,'REVENUE'!$B$5:$B$1504,A583))</f>
        <v/>
      </c>
      <c r="U583" s="55">
        <f>IF(B583="","",IF(O583="Completed",MAX(0,N(S583)-T583),""))</f>
        <v/>
      </c>
      <c r="V583" s="49">
        <f>IF(B583="","",IF(O583&lt;&gt;"Completed",IF(T583&gt;0,"Deposit","—"),IF(U583&lt;=0.005,"Paid",IF(T583&gt;0,"Partial","Unpaid"))))</f>
        <v/>
      </c>
      <c r="W583" s="55">
        <f>IF(B583="","",IFERROR(1/(1/INDEX('STAFF &amp; TASKS'!$C$5:$C$24,MATCH(H583,'STAFF &amp; TASKS'!$A$5:$A$24,0))),PayRate))</f>
        <v/>
      </c>
      <c r="X583" s="55">
        <f>IF(B583="","",IF(OR(O583="Cancelled",O583="No-Show"),"",ROUND(R583*W583*(1+Burden),2)))</f>
        <v/>
      </c>
      <c r="Y583" s="55">
        <f>IF(B583="","",IF(OR(O583="Cancelled",O583="No-Show"),"",IF(N583&lt;&gt;"",N583,ROUND(R583*SupHr*IFERROR(INDEX('PRICING'!$G$7:$G$16,MATCH(F583,'PRICING'!$A$7:$A$16,0)),1),2))))</f>
        <v/>
      </c>
      <c r="Z583" s="98">
        <f>IF(B583="","",SUMIFS('MILEAGE'!$J$5:$J$1504,'MILEAGE'!$B$5:$B$1504,A583))</f>
        <v/>
      </c>
      <c r="AA583" s="55">
        <f>IF(B583="","",ROUND(Z583*MileRate,2))</f>
        <v/>
      </c>
      <c r="AB583" s="55">
        <f>IF(B583="","",SUMIFS('REVENUE'!$J$5:$J$1504,'REVENUE'!$B$5:$B$1504,A583))</f>
        <v/>
      </c>
      <c r="AC583" s="55">
        <f>IF(L583="","",IF(OR(O583="Cancelled",O583="No-Show"),"",L583-N(X583)-N(Y583)-AA583-AB583))</f>
        <v/>
      </c>
      <c r="AD583" s="99">
        <f>IF(OR(AC583="",N(L583)=0),"",AC583/L583)</f>
        <v/>
      </c>
      <c r="AE583" s="55">
        <f>IF(OR(AC583="",N(R583)=0),"",L583/R583)</f>
        <v/>
      </c>
      <c r="AF583" s="100">
        <f>IF(OR(N(K583)=0,N(J583)+N(Q583)=0),"",K583-IF(N(J583)&gt;0,J583,Q583))</f>
        <v/>
      </c>
      <c r="AG583" s="99">
        <f>IF(B583="","",IFERROR(AVERAGEIFS('QUALITY CONTROL'!$M$5:$M$304,'QUALITY CONTROL'!$B$5:$B$304,A583),""))</f>
        <v/>
      </c>
      <c r="AH583" s="51">
        <f>IF(B583="","",DATE(YEAR(B583),MONTH(B583),1))</f>
        <v/>
      </c>
      <c r="AI583" s="49">
        <f>IF(D583="","",IFERROR(INDEX('CUSTOMERS'!$E$5:$E$404,MATCH(D583,'CUSTOMERS'!$B$5:$B$404,0)),""))</f>
        <v/>
      </c>
      <c r="AJ583" s="49">
        <f>IF(B583="","",N(C583))</f>
        <v/>
      </c>
      <c r="AK583" s="49">
        <f>IF(OR(B583="",O583="Cancelled",O583="Rescheduled"),"",B583&amp;"|"&amp;(COUNTIFS('JOBS'!$B$5:$B$1504,B583,'JOBS'!$AJ$5:$AJ$1504,"&lt;"&amp;AJ583,'JOBS'!$O$5:$O$1504,"&lt;&gt;Cancelled",'JOBS'!$O$5:$O$1504,"&lt;&gt;Rescheduled")+COUNTIFS($B$5:B583,B583,$AJ$5:AJ583,AJ583,$O$5:O583,"&lt;&gt;Cancelled",$O$5:O583,"&lt;&gt;Rescheduled")))</f>
        <v/>
      </c>
      <c r="AL583" s="49">
        <f>IF(N(U583)&lt;=0.005,"",COUNTIFS('JOBS'!$U$5:$U$1504,"&gt;0.005",'JOBS'!$B$5:$B$1504,"&lt;"&amp;B583)+COUNTIFS($U$5:U583,"&gt;0.005",$B$5:B583,B583))</f>
        <v/>
      </c>
    </row>
    <row r="584">
      <c r="A584" s="46" t="inlineStr">
        <is>
          <t>J-0580</t>
        </is>
      </c>
      <c r="B584" s="47" t="n"/>
      <c r="C584" s="94" t="n"/>
      <c r="D584" s="38" t="n"/>
      <c r="E584" s="38" t="n"/>
      <c r="F584" s="38" t="n"/>
      <c r="G584" s="38" t="n"/>
      <c r="H584" s="38" t="n"/>
      <c r="I584" s="57" t="n"/>
      <c r="J584" s="95" t="n"/>
      <c r="K584" s="95" t="n"/>
      <c r="L584" s="48" t="n"/>
      <c r="M584" s="96" t="n"/>
      <c r="N584" s="48" t="n"/>
      <c r="O584" s="38" t="n"/>
      <c r="P584" s="38" t="n"/>
      <c r="Q584" s="97">
        <f>IF(OR(F584="",E584=""),"",IFERROR(IF(INDEX('PROPERTIES'!$F$5:$F$404,MATCH(E584,'PROPERTIES'!$B$5:$B$404,0))=0,"",ROUND((INDEX('PROPERTIES'!$F$5:$F$404,MATCH(E584,'PROPERTIES'!$B$5:$B$404,0))/INDEX('PRICING'!$C$7:$C$16,MATCH(F584,'PRICING'!$A$7:$A$16,0))+INDEX('PROPERTIES'!$G$5:$G$404,MATCH(E584,'PROPERTIES'!$B$5:$B$404,0))*INDEX('PRICING'!$D$7:$D$16,MATCH(F584,'PRICING'!$A$7:$A$16,0))/60+INDEX('PROPERTIES'!$H$5:$H$404,MATCH(E584,'PROPERTIES'!$B$5:$B$404,0))*INDEX('PRICING'!$E$7:$E$16,MATCH(F584,'PRICING'!$A$7:$A$16,0))/60+INDEX('PRICING'!$F$7:$F$16,MATCH(F584,'PRICING'!$A$7:$A$16,0))/60),2)),""))</f>
        <v/>
      </c>
      <c r="R584" s="97">
        <f>IF(B584="","",IF(N(K584)&gt;0,K584,IF(N(J584)&gt;0,J584,N(Q584))))</f>
        <v/>
      </c>
      <c r="S584" s="55">
        <f>IF(L584="","",ROUND(L584*(1+N(M584)),2))</f>
        <v/>
      </c>
      <c r="T584" s="55">
        <f>IF(B584="","",SUMIFS('REVENUE'!$C$5:$C$1504,'REVENUE'!$B$5:$B$1504,A584))</f>
        <v/>
      </c>
      <c r="U584" s="55">
        <f>IF(B584="","",IF(O584="Completed",MAX(0,N(S584)-T584),""))</f>
        <v/>
      </c>
      <c r="V584" s="49">
        <f>IF(B584="","",IF(O584&lt;&gt;"Completed",IF(T584&gt;0,"Deposit","—"),IF(U584&lt;=0.005,"Paid",IF(T584&gt;0,"Partial","Unpaid"))))</f>
        <v/>
      </c>
      <c r="W584" s="55">
        <f>IF(B584="","",IFERROR(1/(1/INDEX('STAFF &amp; TASKS'!$C$5:$C$24,MATCH(H584,'STAFF &amp; TASKS'!$A$5:$A$24,0))),PayRate))</f>
        <v/>
      </c>
      <c r="X584" s="55">
        <f>IF(B584="","",IF(OR(O584="Cancelled",O584="No-Show"),"",ROUND(R584*W584*(1+Burden),2)))</f>
        <v/>
      </c>
      <c r="Y584" s="55">
        <f>IF(B584="","",IF(OR(O584="Cancelled",O584="No-Show"),"",IF(N584&lt;&gt;"",N584,ROUND(R584*SupHr*IFERROR(INDEX('PRICING'!$G$7:$G$16,MATCH(F584,'PRICING'!$A$7:$A$16,0)),1),2))))</f>
        <v/>
      </c>
      <c r="Z584" s="98">
        <f>IF(B584="","",SUMIFS('MILEAGE'!$J$5:$J$1504,'MILEAGE'!$B$5:$B$1504,A584))</f>
        <v/>
      </c>
      <c r="AA584" s="55">
        <f>IF(B584="","",ROUND(Z584*MileRate,2))</f>
        <v/>
      </c>
      <c r="AB584" s="55">
        <f>IF(B584="","",SUMIFS('REVENUE'!$J$5:$J$1504,'REVENUE'!$B$5:$B$1504,A584))</f>
        <v/>
      </c>
      <c r="AC584" s="55">
        <f>IF(L584="","",IF(OR(O584="Cancelled",O584="No-Show"),"",L584-N(X584)-N(Y584)-AA584-AB584))</f>
        <v/>
      </c>
      <c r="AD584" s="99">
        <f>IF(OR(AC584="",N(L584)=0),"",AC584/L584)</f>
        <v/>
      </c>
      <c r="AE584" s="55">
        <f>IF(OR(AC584="",N(R584)=0),"",L584/R584)</f>
        <v/>
      </c>
      <c r="AF584" s="100">
        <f>IF(OR(N(K584)=0,N(J584)+N(Q584)=0),"",K584-IF(N(J584)&gt;0,J584,Q584))</f>
        <v/>
      </c>
      <c r="AG584" s="99">
        <f>IF(B584="","",IFERROR(AVERAGEIFS('QUALITY CONTROL'!$M$5:$M$304,'QUALITY CONTROL'!$B$5:$B$304,A584),""))</f>
        <v/>
      </c>
      <c r="AH584" s="51">
        <f>IF(B584="","",DATE(YEAR(B584),MONTH(B584),1))</f>
        <v/>
      </c>
      <c r="AI584" s="49">
        <f>IF(D584="","",IFERROR(INDEX('CUSTOMERS'!$E$5:$E$404,MATCH(D584,'CUSTOMERS'!$B$5:$B$404,0)),""))</f>
        <v/>
      </c>
      <c r="AJ584" s="49">
        <f>IF(B584="","",N(C584))</f>
        <v/>
      </c>
      <c r="AK584" s="49">
        <f>IF(OR(B584="",O584="Cancelled",O584="Rescheduled"),"",B584&amp;"|"&amp;(COUNTIFS('JOBS'!$B$5:$B$1504,B584,'JOBS'!$AJ$5:$AJ$1504,"&lt;"&amp;AJ584,'JOBS'!$O$5:$O$1504,"&lt;&gt;Cancelled",'JOBS'!$O$5:$O$1504,"&lt;&gt;Rescheduled")+COUNTIFS($B$5:B584,B584,$AJ$5:AJ584,AJ584,$O$5:O584,"&lt;&gt;Cancelled",$O$5:O584,"&lt;&gt;Rescheduled")))</f>
        <v/>
      </c>
      <c r="AL584" s="49">
        <f>IF(N(U584)&lt;=0.005,"",COUNTIFS('JOBS'!$U$5:$U$1504,"&gt;0.005",'JOBS'!$B$5:$B$1504,"&lt;"&amp;B584)+COUNTIFS($U$5:U584,"&gt;0.005",$B$5:B584,B584))</f>
        <v/>
      </c>
    </row>
    <row r="585">
      <c r="A585" s="46" t="inlineStr">
        <is>
          <t>J-0581</t>
        </is>
      </c>
      <c r="B585" s="47" t="n"/>
      <c r="C585" s="94" t="n"/>
      <c r="D585" s="38" t="n"/>
      <c r="E585" s="38" t="n"/>
      <c r="F585" s="38" t="n"/>
      <c r="G585" s="38" t="n"/>
      <c r="H585" s="38" t="n"/>
      <c r="I585" s="57" t="n"/>
      <c r="J585" s="95" t="n"/>
      <c r="K585" s="95" t="n"/>
      <c r="L585" s="48" t="n"/>
      <c r="M585" s="96" t="n"/>
      <c r="N585" s="48" t="n"/>
      <c r="O585" s="38" t="n"/>
      <c r="P585" s="38" t="n"/>
      <c r="Q585" s="97">
        <f>IF(OR(F585="",E585=""),"",IFERROR(IF(INDEX('PROPERTIES'!$F$5:$F$404,MATCH(E585,'PROPERTIES'!$B$5:$B$404,0))=0,"",ROUND((INDEX('PROPERTIES'!$F$5:$F$404,MATCH(E585,'PROPERTIES'!$B$5:$B$404,0))/INDEX('PRICING'!$C$7:$C$16,MATCH(F585,'PRICING'!$A$7:$A$16,0))+INDEX('PROPERTIES'!$G$5:$G$404,MATCH(E585,'PROPERTIES'!$B$5:$B$404,0))*INDEX('PRICING'!$D$7:$D$16,MATCH(F585,'PRICING'!$A$7:$A$16,0))/60+INDEX('PROPERTIES'!$H$5:$H$404,MATCH(E585,'PROPERTIES'!$B$5:$B$404,0))*INDEX('PRICING'!$E$7:$E$16,MATCH(F585,'PRICING'!$A$7:$A$16,0))/60+INDEX('PRICING'!$F$7:$F$16,MATCH(F585,'PRICING'!$A$7:$A$16,0))/60),2)),""))</f>
        <v/>
      </c>
      <c r="R585" s="97">
        <f>IF(B585="","",IF(N(K585)&gt;0,K585,IF(N(J585)&gt;0,J585,N(Q585))))</f>
        <v/>
      </c>
      <c r="S585" s="55">
        <f>IF(L585="","",ROUND(L585*(1+N(M585)),2))</f>
        <v/>
      </c>
      <c r="T585" s="55">
        <f>IF(B585="","",SUMIFS('REVENUE'!$C$5:$C$1504,'REVENUE'!$B$5:$B$1504,A585))</f>
        <v/>
      </c>
      <c r="U585" s="55">
        <f>IF(B585="","",IF(O585="Completed",MAX(0,N(S585)-T585),""))</f>
        <v/>
      </c>
      <c r="V585" s="49">
        <f>IF(B585="","",IF(O585&lt;&gt;"Completed",IF(T585&gt;0,"Deposit","—"),IF(U585&lt;=0.005,"Paid",IF(T585&gt;0,"Partial","Unpaid"))))</f>
        <v/>
      </c>
      <c r="W585" s="55">
        <f>IF(B585="","",IFERROR(1/(1/INDEX('STAFF &amp; TASKS'!$C$5:$C$24,MATCH(H585,'STAFF &amp; TASKS'!$A$5:$A$24,0))),PayRate))</f>
        <v/>
      </c>
      <c r="X585" s="55">
        <f>IF(B585="","",IF(OR(O585="Cancelled",O585="No-Show"),"",ROUND(R585*W585*(1+Burden),2)))</f>
        <v/>
      </c>
      <c r="Y585" s="55">
        <f>IF(B585="","",IF(OR(O585="Cancelled",O585="No-Show"),"",IF(N585&lt;&gt;"",N585,ROUND(R585*SupHr*IFERROR(INDEX('PRICING'!$G$7:$G$16,MATCH(F585,'PRICING'!$A$7:$A$16,0)),1),2))))</f>
        <v/>
      </c>
      <c r="Z585" s="98">
        <f>IF(B585="","",SUMIFS('MILEAGE'!$J$5:$J$1504,'MILEAGE'!$B$5:$B$1504,A585))</f>
        <v/>
      </c>
      <c r="AA585" s="55">
        <f>IF(B585="","",ROUND(Z585*MileRate,2))</f>
        <v/>
      </c>
      <c r="AB585" s="55">
        <f>IF(B585="","",SUMIFS('REVENUE'!$J$5:$J$1504,'REVENUE'!$B$5:$B$1504,A585))</f>
        <v/>
      </c>
      <c r="AC585" s="55">
        <f>IF(L585="","",IF(OR(O585="Cancelled",O585="No-Show"),"",L585-N(X585)-N(Y585)-AA585-AB585))</f>
        <v/>
      </c>
      <c r="AD585" s="99">
        <f>IF(OR(AC585="",N(L585)=0),"",AC585/L585)</f>
        <v/>
      </c>
      <c r="AE585" s="55">
        <f>IF(OR(AC585="",N(R585)=0),"",L585/R585)</f>
        <v/>
      </c>
      <c r="AF585" s="100">
        <f>IF(OR(N(K585)=0,N(J585)+N(Q585)=0),"",K585-IF(N(J585)&gt;0,J585,Q585))</f>
        <v/>
      </c>
      <c r="AG585" s="99">
        <f>IF(B585="","",IFERROR(AVERAGEIFS('QUALITY CONTROL'!$M$5:$M$304,'QUALITY CONTROL'!$B$5:$B$304,A585),""))</f>
        <v/>
      </c>
      <c r="AH585" s="51">
        <f>IF(B585="","",DATE(YEAR(B585),MONTH(B585),1))</f>
        <v/>
      </c>
      <c r="AI585" s="49">
        <f>IF(D585="","",IFERROR(INDEX('CUSTOMERS'!$E$5:$E$404,MATCH(D585,'CUSTOMERS'!$B$5:$B$404,0)),""))</f>
        <v/>
      </c>
      <c r="AJ585" s="49">
        <f>IF(B585="","",N(C585))</f>
        <v/>
      </c>
      <c r="AK585" s="49">
        <f>IF(OR(B585="",O585="Cancelled",O585="Rescheduled"),"",B585&amp;"|"&amp;(COUNTIFS('JOBS'!$B$5:$B$1504,B585,'JOBS'!$AJ$5:$AJ$1504,"&lt;"&amp;AJ585,'JOBS'!$O$5:$O$1504,"&lt;&gt;Cancelled",'JOBS'!$O$5:$O$1504,"&lt;&gt;Rescheduled")+COUNTIFS($B$5:B585,B585,$AJ$5:AJ585,AJ585,$O$5:O585,"&lt;&gt;Cancelled",$O$5:O585,"&lt;&gt;Rescheduled")))</f>
        <v/>
      </c>
      <c r="AL585" s="49">
        <f>IF(N(U585)&lt;=0.005,"",COUNTIFS('JOBS'!$U$5:$U$1504,"&gt;0.005",'JOBS'!$B$5:$B$1504,"&lt;"&amp;B585)+COUNTIFS($U$5:U585,"&gt;0.005",$B$5:B585,B585))</f>
        <v/>
      </c>
    </row>
    <row r="586">
      <c r="A586" s="46" t="inlineStr">
        <is>
          <t>J-0582</t>
        </is>
      </c>
      <c r="B586" s="47" t="n"/>
      <c r="C586" s="94" t="n"/>
      <c r="D586" s="38" t="n"/>
      <c r="E586" s="38" t="n"/>
      <c r="F586" s="38" t="n"/>
      <c r="G586" s="38" t="n"/>
      <c r="H586" s="38" t="n"/>
      <c r="I586" s="57" t="n"/>
      <c r="J586" s="95" t="n"/>
      <c r="K586" s="95" t="n"/>
      <c r="L586" s="48" t="n"/>
      <c r="M586" s="96" t="n"/>
      <c r="N586" s="48" t="n"/>
      <c r="O586" s="38" t="n"/>
      <c r="P586" s="38" t="n"/>
      <c r="Q586" s="97">
        <f>IF(OR(F586="",E586=""),"",IFERROR(IF(INDEX('PROPERTIES'!$F$5:$F$404,MATCH(E586,'PROPERTIES'!$B$5:$B$404,0))=0,"",ROUND((INDEX('PROPERTIES'!$F$5:$F$404,MATCH(E586,'PROPERTIES'!$B$5:$B$404,0))/INDEX('PRICING'!$C$7:$C$16,MATCH(F586,'PRICING'!$A$7:$A$16,0))+INDEX('PROPERTIES'!$G$5:$G$404,MATCH(E586,'PROPERTIES'!$B$5:$B$404,0))*INDEX('PRICING'!$D$7:$D$16,MATCH(F586,'PRICING'!$A$7:$A$16,0))/60+INDEX('PROPERTIES'!$H$5:$H$404,MATCH(E586,'PROPERTIES'!$B$5:$B$404,0))*INDEX('PRICING'!$E$7:$E$16,MATCH(F586,'PRICING'!$A$7:$A$16,0))/60+INDEX('PRICING'!$F$7:$F$16,MATCH(F586,'PRICING'!$A$7:$A$16,0))/60),2)),""))</f>
        <v/>
      </c>
      <c r="R586" s="97">
        <f>IF(B586="","",IF(N(K586)&gt;0,K586,IF(N(J586)&gt;0,J586,N(Q586))))</f>
        <v/>
      </c>
      <c r="S586" s="55">
        <f>IF(L586="","",ROUND(L586*(1+N(M586)),2))</f>
        <v/>
      </c>
      <c r="T586" s="55">
        <f>IF(B586="","",SUMIFS('REVENUE'!$C$5:$C$1504,'REVENUE'!$B$5:$B$1504,A586))</f>
        <v/>
      </c>
      <c r="U586" s="55">
        <f>IF(B586="","",IF(O586="Completed",MAX(0,N(S586)-T586),""))</f>
        <v/>
      </c>
      <c r="V586" s="49">
        <f>IF(B586="","",IF(O586&lt;&gt;"Completed",IF(T586&gt;0,"Deposit","—"),IF(U586&lt;=0.005,"Paid",IF(T586&gt;0,"Partial","Unpaid"))))</f>
        <v/>
      </c>
      <c r="W586" s="55">
        <f>IF(B586="","",IFERROR(1/(1/INDEX('STAFF &amp; TASKS'!$C$5:$C$24,MATCH(H586,'STAFF &amp; TASKS'!$A$5:$A$24,0))),PayRate))</f>
        <v/>
      </c>
      <c r="X586" s="55">
        <f>IF(B586="","",IF(OR(O586="Cancelled",O586="No-Show"),"",ROUND(R586*W586*(1+Burden),2)))</f>
        <v/>
      </c>
      <c r="Y586" s="55">
        <f>IF(B586="","",IF(OR(O586="Cancelled",O586="No-Show"),"",IF(N586&lt;&gt;"",N586,ROUND(R586*SupHr*IFERROR(INDEX('PRICING'!$G$7:$G$16,MATCH(F586,'PRICING'!$A$7:$A$16,0)),1),2))))</f>
        <v/>
      </c>
      <c r="Z586" s="98">
        <f>IF(B586="","",SUMIFS('MILEAGE'!$J$5:$J$1504,'MILEAGE'!$B$5:$B$1504,A586))</f>
        <v/>
      </c>
      <c r="AA586" s="55">
        <f>IF(B586="","",ROUND(Z586*MileRate,2))</f>
        <v/>
      </c>
      <c r="AB586" s="55">
        <f>IF(B586="","",SUMIFS('REVENUE'!$J$5:$J$1504,'REVENUE'!$B$5:$B$1504,A586))</f>
        <v/>
      </c>
      <c r="AC586" s="55">
        <f>IF(L586="","",IF(OR(O586="Cancelled",O586="No-Show"),"",L586-N(X586)-N(Y586)-AA586-AB586))</f>
        <v/>
      </c>
      <c r="AD586" s="99">
        <f>IF(OR(AC586="",N(L586)=0),"",AC586/L586)</f>
        <v/>
      </c>
      <c r="AE586" s="55">
        <f>IF(OR(AC586="",N(R586)=0),"",L586/R586)</f>
        <v/>
      </c>
      <c r="AF586" s="100">
        <f>IF(OR(N(K586)=0,N(J586)+N(Q586)=0),"",K586-IF(N(J586)&gt;0,J586,Q586))</f>
        <v/>
      </c>
      <c r="AG586" s="99">
        <f>IF(B586="","",IFERROR(AVERAGEIFS('QUALITY CONTROL'!$M$5:$M$304,'QUALITY CONTROL'!$B$5:$B$304,A586),""))</f>
        <v/>
      </c>
      <c r="AH586" s="51">
        <f>IF(B586="","",DATE(YEAR(B586),MONTH(B586),1))</f>
        <v/>
      </c>
      <c r="AI586" s="49">
        <f>IF(D586="","",IFERROR(INDEX('CUSTOMERS'!$E$5:$E$404,MATCH(D586,'CUSTOMERS'!$B$5:$B$404,0)),""))</f>
        <v/>
      </c>
      <c r="AJ586" s="49">
        <f>IF(B586="","",N(C586))</f>
        <v/>
      </c>
      <c r="AK586" s="49">
        <f>IF(OR(B586="",O586="Cancelled",O586="Rescheduled"),"",B586&amp;"|"&amp;(COUNTIFS('JOBS'!$B$5:$B$1504,B586,'JOBS'!$AJ$5:$AJ$1504,"&lt;"&amp;AJ586,'JOBS'!$O$5:$O$1504,"&lt;&gt;Cancelled",'JOBS'!$O$5:$O$1504,"&lt;&gt;Rescheduled")+COUNTIFS($B$5:B586,B586,$AJ$5:AJ586,AJ586,$O$5:O586,"&lt;&gt;Cancelled",$O$5:O586,"&lt;&gt;Rescheduled")))</f>
        <v/>
      </c>
      <c r="AL586" s="49">
        <f>IF(N(U586)&lt;=0.005,"",COUNTIFS('JOBS'!$U$5:$U$1504,"&gt;0.005",'JOBS'!$B$5:$B$1504,"&lt;"&amp;B586)+COUNTIFS($U$5:U586,"&gt;0.005",$B$5:B586,B586))</f>
        <v/>
      </c>
    </row>
    <row r="587">
      <c r="A587" s="46" t="inlineStr">
        <is>
          <t>J-0583</t>
        </is>
      </c>
      <c r="B587" s="47" t="n"/>
      <c r="C587" s="94" t="n"/>
      <c r="D587" s="38" t="n"/>
      <c r="E587" s="38" t="n"/>
      <c r="F587" s="38" t="n"/>
      <c r="G587" s="38" t="n"/>
      <c r="H587" s="38" t="n"/>
      <c r="I587" s="57" t="n"/>
      <c r="J587" s="95" t="n"/>
      <c r="K587" s="95" t="n"/>
      <c r="L587" s="48" t="n"/>
      <c r="M587" s="96" t="n"/>
      <c r="N587" s="48" t="n"/>
      <c r="O587" s="38" t="n"/>
      <c r="P587" s="38" t="n"/>
      <c r="Q587" s="97">
        <f>IF(OR(F587="",E587=""),"",IFERROR(IF(INDEX('PROPERTIES'!$F$5:$F$404,MATCH(E587,'PROPERTIES'!$B$5:$B$404,0))=0,"",ROUND((INDEX('PROPERTIES'!$F$5:$F$404,MATCH(E587,'PROPERTIES'!$B$5:$B$404,0))/INDEX('PRICING'!$C$7:$C$16,MATCH(F587,'PRICING'!$A$7:$A$16,0))+INDEX('PROPERTIES'!$G$5:$G$404,MATCH(E587,'PROPERTIES'!$B$5:$B$404,0))*INDEX('PRICING'!$D$7:$D$16,MATCH(F587,'PRICING'!$A$7:$A$16,0))/60+INDEX('PROPERTIES'!$H$5:$H$404,MATCH(E587,'PROPERTIES'!$B$5:$B$404,0))*INDEX('PRICING'!$E$7:$E$16,MATCH(F587,'PRICING'!$A$7:$A$16,0))/60+INDEX('PRICING'!$F$7:$F$16,MATCH(F587,'PRICING'!$A$7:$A$16,0))/60),2)),""))</f>
        <v/>
      </c>
      <c r="R587" s="97">
        <f>IF(B587="","",IF(N(K587)&gt;0,K587,IF(N(J587)&gt;0,J587,N(Q587))))</f>
        <v/>
      </c>
      <c r="S587" s="55">
        <f>IF(L587="","",ROUND(L587*(1+N(M587)),2))</f>
        <v/>
      </c>
      <c r="T587" s="55">
        <f>IF(B587="","",SUMIFS('REVENUE'!$C$5:$C$1504,'REVENUE'!$B$5:$B$1504,A587))</f>
        <v/>
      </c>
      <c r="U587" s="55">
        <f>IF(B587="","",IF(O587="Completed",MAX(0,N(S587)-T587),""))</f>
        <v/>
      </c>
      <c r="V587" s="49">
        <f>IF(B587="","",IF(O587&lt;&gt;"Completed",IF(T587&gt;0,"Deposit","—"),IF(U587&lt;=0.005,"Paid",IF(T587&gt;0,"Partial","Unpaid"))))</f>
        <v/>
      </c>
      <c r="W587" s="55">
        <f>IF(B587="","",IFERROR(1/(1/INDEX('STAFF &amp; TASKS'!$C$5:$C$24,MATCH(H587,'STAFF &amp; TASKS'!$A$5:$A$24,0))),PayRate))</f>
        <v/>
      </c>
      <c r="X587" s="55">
        <f>IF(B587="","",IF(OR(O587="Cancelled",O587="No-Show"),"",ROUND(R587*W587*(1+Burden),2)))</f>
        <v/>
      </c>
      <c r="Y587" s="55">
        <f>IF(B587="","",IF(OR(O587="Cancelled",O587="No-Show"),"",IF(N587&lt;&gt;"",N587,ROUND(R587*SupHr*IFERROR(INDEX('PRICING'!$G$7:$G$16,MATCH(F587,'PRICING'!$A$7:$A$16,0)),1),2))))</f>
        <v/>
      </c>
      <c r="Z587" s="98">
        <f>IF(B587="","",SUMIFS('MILEAGE'!$J$5:$J$1504,'MILEAGE'!$B$5:$B$1504,A587))</f>
        <v/>
      </c>
      <c r="AA587" s="55">
        <f>IF(B587="","",ROUND(Z587*MileRate,2))</f>
        <v/>
      </c>
      <c r="AB587" s="55">
        <f>IF(B587="","",SUMIFS('REVENUE'!$J$5:$J$1504,'REVENUE'!$B$5:$B$1504,A587))</f>
        <v/>
      </c>
      <c r="AC587" s="55">
        <f>IF(L587="","",IF(OR(O587="Cancelled",O587="No-Show"),"",L587-N(X587)-N(Y587)-AA587-AB587))</f>
        <v/>
      </c>
      <c r="AD587" s="99">
        <f>IF(OR(AC587="",N(L587)=0),"",AC587/L587)</f>
        <v/>
      </c>
      <c r="AE587" s="55">
        <f>IF(OR(AC587="",N(R587)=0),"",L587/R587)</f>
        <v/>
      </c>
      <c r="AF587" s="100">
        <f>IF(OR(N(K587)=0,N(J587)+N(Q587)=0),"",K587-IF(N(J587)&gt;0,J587,Q587))</f>
        <v/>
      </c>
      <c r="AG587" s="99">
        <f>IF(B587="","",IFERROR(AVERAGEIFS('QUALITY CONTROL'!$M$5:$M$304,'QUALITY CONTROL'!$B$5:$B$304,A587),""))</f>
        <v/>
      </c>
      <c r="AH587" s="51">
        <f>IF(B587="","",DATE(YEAR(B587),MONTH(B587),1))</f>
        <v/>
      </c>
      <c r="AI587" s="49">
        <f>IF(D587="","",IFERROR(INDEX('CUSTOMERS'!$E$5:$E$404,MATCH(D587,'CUSTOMERS'!$B$5:$B$404,0)),""))</f>
        <v/>
      </c>
      <c r="AJ587" s="49">
        <f>IF(B587="","",N(C587))</f>
        <v/>
      </c>
      <c r="AK587" s="49">
        <f>IF(OR(B587="",O587="Cancelled",O587="Rescheduled"),"",B587&amp;"|"&amp;(COUNTIFS('JOBS'!$B$5:$B$1504,B587,'JOBS'!$AJ$5:$AJ$1504,"&lt;"&amp;AJ587,'JOBS'!$O$5:$O$1504,"&lt;&gt;Cancelled",'JOBS'!$O$5:$O$1504,"&lt;&gt;Rescheduled")+COUNTIFS($B$5:B587,B587,$AJ$5:AJ587,AJ587,$O$5:O587,"&lt;&gt;Cancelled",$O$5:O587,"&lt;&gt;Rescheduled")))</f>
        <v/>
      </c>
      <c r="AL587" s="49">
        <f>IF(N(U587)&lt;=0.005,"",COUNTIFS('JOBS'!$U$5:$U$1504,"&gt;0.005",'JOBS'!$B$5:$B$1504,"&lt;"&amp;B587)+COUNTIFS($U$5:U587,"&gt;0.005",$B$5:B587,B587))</f>
        <v/>
      </c>
    </row>
    <row r="588">
      <c r="A588" s="46" t="inlineStr">
        <is>
          <t>J-0584</t>
        </is>
      </c>
      <c r="B588" s="47" t="n"/>
      <c r="C588" s="94" t="n"/>
      <c r="D588" s="38" t="n"/>
      <c r="E588" s="38" t="n"/>
      <c r="F588" s="38" t="n"/>
      <c r="G588" s="38" t="n"/>
      <c r="H588" s="38" t="n"/>
      <c r="I588" s="57" t="n"/>
      <c r="J588" s="95" t="n"/>
      <c r="K588" s="95" t="n"/>
      <c r="L588" s="48" t="n"/>
      <c r="M588" s="96" t="n"/>
      <c r="N588" s="48" t="n"/>
      <c r="O588" s="38" t="n"/>
      <c r="P588" s="38" t="n"/>
      <c r="Q588" s="97">
        <f>IF(OR(F588="",E588=""),"",IFERROR(IF(INDEX('PROPERTIES'!$F$5:$F$404,MATCH(E588,'PROPERTIES'!$B$5:$B$404,0))=0,"",ROUND((INDEX('PROPERTIES'!$F$5:$F$404,MATCH(E588,'PROPERTIES'!$B$5:$B$404,0))/INDEX('PRICING'!$C$7:$C$16,MATCH(F588,'PRICING'!$A$7:$A$16,0))+INDEX('PROPERTIES'!$G$5:$G$404,MATCH(E588,'PROPERTIES'!$B$5:$B$404,0))*INDEX('PRICING'!$D$7:$D$16,MATCH(F588,'PRICING'!$A$7:$A$16,0))/60+INDEX('PROPERTIES'!$H$5:$H$404,MATCH(E588,'PROPERTIES'!$B$5:$B$404,0))*INDEX('PRICING'!$E$7:$E$16,MATCH(F588,'PRICING'!$A$7:$A$16,0))/60+INDEX('PRICING'!$F$7:$F$16,MATCH(F588,'PRICING'!$A$7:$A$16,0))/60),2)),""))</f>
        <v/>
      </c>
      <c r="R588" s="97">
        <f>IF(B588="","",IF(N(K588)&gt;0,K588,IF(N(J588)&gt;0,J588,N(Q588))))</f>
        <v/>
      </c>
      <c r="S588" s="55">
        <f>IF(L588="","",ROUND(L588*(1+N(M588)),2))</f>
        <v/>
      </c>
      <c r="T588" s="55">
        <f>IF(B588="","",SUMIFS('REVENUE'!$C$5:$C$1504,'REVENUE'!$B$5:$B$1504,A588))</f>
        <v/>
      </c>
      <c r="U588" s="55">
        <f>IF(B588="","",IF(O588="Completed",MAX(0,N(S588)-T588),""))</f>
        <v/>
      </c>
      <c r="V588" s="49">
        <f>IF(B588="","",IF(O588&lt;&gt;"Completed",IF(T588&gt;0,"Deposit","—"),IF(U588&lt;=0.005,"Paid",IF(T588&gt;0,"Partial","Unpaid"))))</f>
        <v/>
      </c>
      <c r="W588" s="55">
        <f>IF(B588="","",IFERROR(1/(1/INDEX('STAFF &amp; TASKS'!$C$5:$C$24,MATCH(H588,'STAFF &amp; TASKS'!$A$5:$A$24,0))),PayRate))</f>
        <v/>
      </c>
      <c r="X588" s="55">
        <f>IF(B588="","",IF(OR(O588="Cancelled",O588="No-Show"),"",ROUND(R588*W588*(1+Burden),2)))</f>
        <v/>
      </c>
      <c r="Y588" s="55">
        <f>IF(B588="","",IF(OR(O588="Cancelled",O588="No-Show"),"",IF(N588&lt;&gt;"",N588,ROUND(R588*SupHr*IFERROR(INDEX('PRICING'!$G$7:$G$16,MATCH(F588,'PRICING'!$A$7:$A$16,0)),1),2))))</f>
        <v/>
      </c>
      <c r="Z588" s="98">
        <f>IF(B588="","",SUMIFS('MILEAGE'!$J$5:$J$1504,'MILEAGE'!$B$5:$B$1504,A588))</f>
        <v/>
      </c>
      <c r="AA588" s="55">
        <f>IF(B588="","",ROUND(Z588*MileRate,2))</f>
        <v/>
      </c>
      <c r="AB588" s="55">
        <f>IF(B588="","",SUMIFS('REVENUE'!$J$5:$J$1504,'REVENUE'!$B$5:$B$1504,A588))</f>
        <v/>
      </c>
      <c r="AC588" s="55">
        <f>IF(L588="","",IF(OR(O588="Cancelled",O588="No-Show"),"",L588-N(X588)-N(Y588)-AA588-AB588))</f>
        <v/>
      </c>
      <c r="AD588" s="99">
        <f>IF(OR(AC588="",N(L588)=0),"",AC588/L588)</f>
        <v/>
      </c>
      <c r="AE588" s="55">
        <f>IF(OR(AC588="",N(R588)=0),"",L588/R588)</f>
        <v/>
      </c>
      <c r="AF588" s="100">
        <f>IF(OR(N(K588)=0,N(J588)+N(Q588)=0),"",K588-IF(N(J588)&gt;0,J588,Q588))</f>
        <v/>
      </c>
      <c r="AG588" s="99">
        <f>IF(B588="","",IFERROR(AVERAGEIFS('QUALITY CONTROL'!$M$5:$M$304,'QUALITY CONTROL'!$B$5:$B$304,A588),""))</f>
        <v/>
      </c>
      <c r="AH588" s="51">
        <f>IF(B588="","",DATE(YEAR(B588),MONTH(B588),1))</f>
        <v/>
      </c>
      <c r="AI588" s="49">
        <f>IF(D588="","",IFERROR(INDEX('CUSTOMERS'!$E$5:$E$404,MATCH(D588,'CUSTOMERS'!$B$5:$B$404,0)),""))</f>
        <v/>
      </c>
      <c r="AJ588" s="49">
        <f>IF(B588="","",N(C588))</f>
        <v/>
      </c>
      <c r="AK588" s="49">
        <f>IF(OR(B588="",O588="Cancelled",O588="Rescheduled"),"",B588&amp;"|"&amp;(COUNTIFS('JOBS'!$B$5:$B$1504,B588,'JOBS'!$AJ$5:$AJ$1504,"&lt;"&amp;AJ588,'JOBS'!$O$5:$O$1504,"&lt;&gt;Cancelled",'JOBS'!$O$5:$O$1504,"&lt;&gt;Rescheduled")+COUNTIFS($B$5:B588,B588,$AJ$5:AJ588,AJ588,$O$5:O588,"&lt;&gt;Cancelled",$O$5:O588,"&lt;&gt;Rescheduled")))</f>
        <v/>
      </c>
      <c r="AL588" s="49">
        <f>IF(N(U588)&lt;=0.005,"",COUNTIFS('JOBS'!$U$5:$U$1504,"&gt;0.005",'JOBS'!$B$5:$B$1504,"&lt;"&amp;B588)+COUNTIFS($U$5:U588,"&gt;0.005",$B$5:B588,B588))</f>
        <v/>
      </c>
    </row>
    <row r="589">
      <c r="A589" s="46" t="inlineStr">
        <is>
          <t>J-0585</t>
        </is>
      </c>
      <c r="B589" s="47" t="n"/>
      <c r="C589" s="94" t="n"/>
      <c r="D589" s="38" t="n"/>
      <c r="E589" s="38" t="n"/>
      <c r="F589" s="38" t="n"/>
      <c r="G589" s="38" t="n"/>
      <c r="H589" s="38" t="n"/>
      <c r="I589" s="57" t="n"/>
      <c r="J589" s="95" t="n"/>
      <c r="K589" s="95" t="n"/>
      <c r="L589" s="48" t="n"/>
      <c r="M589" s="96" t="n"/>
      <c r="N589" s="48" t="n"/>
      <c r="O589" s="38" t="n"/>
      <c r="P589" s="38" t="n"/>
      <c r="Q589" s="97">
        <f>IF(OR(F589="",E589=""),"",IFERROR(IF(INDEX('PROPERTIES'!$F$5:$F$404,MATCH(E589,'PROPERTIES'!$B$5:$B$404,0))=0,"",ROUND((INDEX('PROPERTIES'!$F$5:$F$404,MATCH(E589,'PROPERTIES'!$B$5:$B$404,0))/INDEX('PRICING'!$C$7:$C$16,MATCH(F589,'PRICING'!$A$7:$A$16,0))+INDEX('PROPERTIES'!$G$5:$G$404,MATCH(E589,'PROPERTIES'!$B$5:$B$404,0))*INDEX('PRICING'!$D$7:$D$16,MATCH(F589,'PRICING'!$A$7:$A$16,0))/60+INDEX('PROPERTIES'!$H$5:$H$404,MATCH(E589,'PROPERTIES'!$B$5:$B$404,0))*INDEX('PRICING'!$E$7:$E$16,MATCH(F589,'PRICING'!$A$7:$A$16,0))/60+INDEX('PRICING'!$F$7:$F$16,MATCH(F589,'PRICING'!$A$7:$A$16,0))/60),2)),""))</f>
        <v/>
      </c>
      <c r="R589" s="97">
        <f>IF(B589="","",IF(N(K589)&gt;0,K589,IF(N(J589)&gt;0,J589,N(Q589))))</f>
        <v/>
      </c>
      <c r="S589" s="55">
        <f>IF(L589="","",ROUND(L589*(1+N(M589)),2))</f>
        <v/>
      </c>
      <c r="T589" s="55">
        <f>IF(B589="","",SUMIFS('REVENUE'!$C$5:$C$1504,'REVENUE'!$B$5:$B$1504,A589))</f>
        <v/>
      </c>
      <c r="U589" s="55">
        <f>IF(B589="","",IF(O589="Completed",MAX(0,N(S589)-T589),""))</f>
        <v/>
      </c>
      <c r="V589" s="49">
        <f>IF(B589="","",IF(O589&lt;&gt;"Completed",IF(T589&gt;0,"Deposit","—"),IF(U589&lt;=0.005,"Paid",IF(T589&gt;0,"Partial","Unpaid"))))</f>
        <v/>
      </c>
      <c r="W589" s="55">
        <f>IF(B589="","",IFERROR(1/(1/INDEX('STAFF &amp; TASKS'!$C$5:$C$24,MATCH(H589,'STAFF &amp; TASKS'!$A$5:$A$24,0))),PayRate))</f>
        <v/>
      </c>
      <c r="X589" s="55">
        <f>IF(B589="","",IF(OR(O589="Cancelled",O589="No-Show"),"",ROUND(R589*W589*(1+Burden),2)))</f>
        <v/>
      </c>
      <c r="Y589" s="55">
        <f>IF(B589="","",IF(OR(O589="Cancelled",O589="No-Show"),"",IF(N589&lt;&gt;"",N589,ROUND(R589*SupHr*IFERROR(INDEX('PRICING'!$G$7:$G$16,MATCH(F589,'PRICING'!$A$7:$A$16,0)),1),2))))</f>
        <v/>
      </c>
      <c r="Z589" s="98">
        <f>IF(B589="","",SUMIFS('MILEAGE'!$J$5:$J$1504,'MILEAGE'!$B$5:$B$1504,A589))</f>
        <v/>
      </c>
      <c r="AA589" s="55">
        <f>IF(B589="","",ROUND(Z589*MileRate,2))</f>
        <v/>
      </c>
      <c r="AB589" s="55">
        <f>IF(B589="","",SUMIFS('REVENUE'!$J$5:$J$1504,'REVENUE'!$B$5:$B$1504,A589))</f>
        <v/>
      </c>
      <c r="AC589" s="55">
        <f>IF(L589="","",IF(OR(O589="Cancelled",O589="No-Show"),"",L589-N(X589)-N(Y589)-AA589-AB589))</f>
        <v/>
      </c>
      <c r="AD589" s="99">
        <f>IF(OR(AC589="",N(L589)=0),"",AC589/L589)</f>
        <v/>
      </c>
      <c r="AE589" s="55">
        <f>IF(OR(AC589="",N(R589)=0),"",L589/R589)</f>
        <v/>
      </c>
      <c r="AF589" s="100">
        <f>IF(OR(N(K589)=0,N(J589)+N(Q589)=0),"",K589-IF(N(J589)&gt;0,J589,Q589))</f>
        <v/>
      </c>
      <c r="AG589" s="99">
        <f>IF(B589="","",IFERROR(AVERAGEIFS('QUALITY CONTROL'!$M$5:$M$304,'QUALITY CONTROL'!$B$5:$B$304,A589),""))</f>
        <v/>
      </c>
      <c r="AH589" s="51">
        <f>IF(B589="","",DATE(YEAR(B589),MONTH(B589),1))</f>
        <v/>
      </c>
      <c r="AI589" s="49">
        <f>IF(D589="","",IFERROR(INDEX('CUSTOMERS'!$E$5:$E$404,MATCH(D589,'CUSTOMERS'!$B$5:$B$404,0)),""))</f>
        <v/>
      </c>
      <c r="AJ589" s="49">
        <f>IF(B589="","",N(C589))</f>
        <v/>
      </c>
      <c r="AK589" s="49">
        <f>IF(OR(B589="",O589="Cancelled",O589="Rescheduled"),"",B589&amp;"|"&amp;(COUNTIFS('JOBS'!$B$5:$B$1504,B589,'JOBS'!$AJ$5:$AJ$1504,"&lt;"&amp;AJ589,'JOBS'!$O$5:$O$1504,"&lt;&gt;Cancelled",'JOBS'!$O$5:$O$1504,"&lt;&gt;Rescheduled")+COUNTIFS($B$5:B589,B589,$AJ$5:AJ589,AJ589,$O$5:O589,"&lt;&gt;Cancelled",$O$5:O589,"&lt;&gt;Rescheduled")))</f>
        <v/>
      </c>
      <c r="AL589" s="49">
        <f>IF(N(U589)&lt;=0.005,"",COUNTIFS('JOBS'!$U$5:$U$1504,"&gt;0.005",'JOBS'!$B$5:$B$1504,"&lt;"&amp;B589)+COUNTIFS($U$5:U589,"&gt;0.005",$B$5:B589,B589))</f>
        <v/>
      </c>
    </row>
    <row r="590">
      <c r="A590" s="46" t="inlineStr">
        <is>
          <t>J-0586</t>
        </is>
      </c>
      <c r="B590" s="47" t="n"/>
      <c r="C590" s="94" t="n"/>
      <c r="D590" s="38" t="n"/>
      <c r="E590" s="38" t="n"/>
      <c r="F590" s="38" t="n"/>
      <c r="G590" s="38" t="n"/>
      <c r="H590" s="38" t="n"/>
      <c r="I590" s="57" t="n"/>
      <c r="J590" s="95" t="n"/>
      <c r="K590" s="95" t="n"/>
      <c r="L590" s="48" t="n"/>
      <c r="M590" s="96" t="n"/>
      <c r="N590" s="48" t="n"/>
      <c r="O590" s="38" t="n"/>
      <c r="P590" s="38" t="n"/>
      <c r="Q590" s="97">
        <f>IF(OR(F590="",E590=""),"",IFERROR(IF(INDEX('PROPERTIES'!$F$5:$F$404,MATCH(E590,'PROPERTIES'!$B$5:$B$404,0))=0,"",ROUND((INDEX('PROPERTIES'!$F$5:$F$404,MATCH(E590,'PROPERTIES'!$B$5:$B$404,0))/INDEX('PRICING'!$C$7:$C$16,MATCH(F590,'PRICING'!$A$7:$A$16,0))+INDEX('PROPERTIES'!$G$5:$G$404,MATCH(E590,'PROPERTIES'!$B$5:$B$404,0))*INDEX('PRICING'!$D$7:$D$16,MATCH(F590,'PRICING'!$A$7:$A$16,0))/60+INDEX('PROPERTIES'!$H$5:$H$404,MATCH(E590,'PROPERTIES'!$B$5:$B$404,0))*INDEX('PRICING'!$E$7:$E$16,MATCH(F590,'PRICING'!$A$7:$A$16,0))/60+INDEX('PRICING'!$F$7:$F$16,MATCH(F590,'PRICING'!$A$7:$A$16,0))/60),2)),""))</f>
        <v/>
      </c>
      <c r="R590" s="97">
        <f>IF(B590="","",IF(N(K590)&gt;0,K590,IF(N(J590)&gt;0,J590,N(Q590))))</f>
        <v/>
      </c>
      <c r="S590" s="55">
        <f>IF(L590="","",ROUND(L590*(1+N(M590)),2))</f>
        <v/>
      </c>
      <c r="T590" s="55">
        <f>IF(B590="","",SUMIFS('REVENUE'!$C$5:$C$1504,'REVENUE'!$B$5:$B$1504,A590))</f>
        <v/>
      </c>
      <c r="U590" s="55">
        <f>IF(B590="","",IF(O590="Completed",MAX(0,N(S590)-T590),""))</f>
        <v/>
      </c>
      <c r="V590" s="49">
        <f>IF(B590="","",IF(O590&lt;&gt;"Completed",IF(T590&gt;0,"Deposit","—"),IF(U590&lt;=0.005,"Paid",IF(T590&gt;0,"Partial","Unpaid"))))</f>
        <v/>
      </c>
      <c r="W590" s="55">
        <f>IF(B590="","",IFERROR(1/(1/INDEX('STAFF &amp; TASKS'!$C$5:$C$24,MATCH(H590,'STAFF &amp; TASKS'!$A$5:$A$24,0))),PayRate))</f>
        <v/>
      </c>
      <c r="X590" s="55">
        <f>IF(B590="","",IF(OR(O590="Cancelled",O590="No-Show"),"",ROUND(R590*W590*(1+Burden),2)))</f>
        <v/>
      </c>
      <c r="Y590" s="55">
        <f>IF(B590="","",IF(OR(O590="Cancelled",O590="No-Show"),"",IF(N590&lt;&gt;"",N590,ROUND(R590*SupHr*IFERROR(INDEX('PRICING'!$G$7:$G$16,MATCH(F590,'PRICING'!$A$7:$A$16,0)),1),2))))</f>
        <v/>
      </c>
      <c r="Z590" s="98">
        <f>IF(B590="","",SUMIFS('MILEAGE'!$J$5:$J$1504,'MILEAGE'!$B$5:$B$1504,A590))</f>
        <v/>
      </c>
      <c r="AA590" s="55">
        <f>IF(B590="","",ROUND(Z590*MileRate,2))</f>
        <v/>
      </c>
      <c r="AB590" s="55">
        <f>IF(B590="","",SUMIFS('REVENUE'!$J$5:$J$1504,'REVENUE'!$B$5:$B$1504,A590))</f>
        <v/>
      </c>
      <c r="AC590" s="55">
        <f>IF(L590="","",IF(OR(O590="Cancelled",O590="No-Show"),"",L590-N(X590)-N(Y590)-AA590-AB590))</f>
        <v/>
      </c>
      <c r="AD590" s="99">
        <f>IF(OR(AC590="",N(L590)=0),"",AC590/L590)</f>
        <v/>
      </c>
      <c r="AE590" s="55">
        <f>IF(OR(AC590="",N(R590)=0),"",L590/R590)</f>
        <v/>
      </c>
      <c r="AF590" s="100">
        <f>IF(OR(N(K590)=0,N(J590)+N(Q590)=0),"",K590-IF(N(J590)&gt;0,J590,Q590))</f>
        <v/>
      </c>
      <c r="AG590" s="99">
        <f>IF(B590="","",IFERROR(AVERAGEIFS('QUALITY CONTROL'!$M$5:$M$304,'QUALITY CONTROL'!$B$5:$B$304,A590),""))</f>
        <v/>
      </c>
      <c r="AH590" s="51">
        <f>IF(B590="","",DATE(YEAR(B590),MONTH(B590),1))</f>
        <v/>
      </c>
      <c r="AI590" s="49">
        <f>IF(D590="","",IFERROR(INDEX('CUSTOMERS'!$E$5:$E$404,MATCH(D590,'CUSTOMERS'!$B$5:$B$404,0)),""))</f>
        <v/>
      </c>
      <c r="AJ590" s="49">
        <f>IF(B590="","",N(C590))</f>
        <v/>
      </c>
      <c r="AK590" s="49">
        <f>IF(OR(B590="",O590="Cancelled",O590="Rescheduled"),"",B590&amp;"|"&amp;(COUNTIFS('JOBS'!$B$5:$B$1504,B590,'JOBS'!$AJ$5:$AJ$1504,"&lt;"&amp;AJ590,'JOBS'!$O$5:$O$1504,"&lt;&gt;Cancelled",'JOBS'!$O$5:$O$1504,"&lt;&gt;Rescheduled")+COUNTIFS($B$5:B590,B590,$AJ$5:AJ590,AJ590,$O$5:O590,"&lt;&gt;Cancelled",$O$5:O590,"&lt;&gt;Rescheduled")))</f>
        <v/>
      </c>
      <c r="AL590" s="49">
        <f>IF(N(U590)&lt;=0.005,"",COUNTIFS('JOBS'!$U$5:$U$1504,"&gt;0.005",'JOBS'!$B$5:$B$1504,"&lt;"&amp;B590)+COUNTIFS($U$5:U590,"&gt;0.005",$B$5:B590,B590))</f>
        <v/>
      </c>
    </row>
    <row r="591">
      <c r="A591" s="46" t="inlineStr">
        <is>
          <t>J-0587</t>
        </is>
      </c>
      <c r="B591" s="47" t="n"/>
      <c r="C591" s="94" t="n"/>
      <c r="D591" s="38" t="n"/>
      <c r="E591" s="38" t="n"/>
      <c r="F591" s="38" t="n"/>
      <c r="G591" s="38" t="n"/>
      <c r="H591" s="38" t="n"/>
      <c r="I591" s="57" t="n"/>
      <c r="J591" s="95" t="n"/>
      <c r="K591" s="95" t="n"/>
      <c r="L591" s="48" t="n"/>
      <c r="M591" s="96" t="n"/>
      <c r="N591" s="48" t="n"/>
      <c r="O591" s="38" t="n"/>
      <c r="P591" s="38" t="n"/>
      <c r="Q591" s="97">
        <f>IF(OR(F591="",E591=""),"",IFERROR(IF(INDEX('PROPERTIES'!$F$5:$F$404,MATCH(E591,'PROPERTIES'!$B$5:$B$404,0))=0,"",ROUND((INDEX('PROPERTIES'!$F$5:$F$404,MATCH(E591,'PROPERTIES'!$B$5:$B$404,0))/INDEX('PRICING'!$C$7:$C$16,MATCH(F591,'PRICING'!$A$7:$A$16,0))+INDEX('PROPERTIES'!$G$5:$G$404,MATCH(E591,'PROPERTIES'!$B$5:$B$404,0))*INDEX('PRICING'!$D$7:$D$16,MATCH(F591,'PRICING'!$A$7:$A$16,0))/60+INDEX('PROPERTIES'!$H$5:$H$404,MATCH(E591,'PROPERTIES'!$B$5:$B$404,0))*INDEX('PRICING'!$E$7:$E$16,MATCH(F591,'PRICING'!$A$7:$A$16,0))/60+INDEX('PRICING'!$F$7:$F$16,MATCH(F591,'PRICING'!$A$7:$A$16,0))/60),2)),""))</f>
        <v/>
      </c>
      <c r="R591" s="97">
        <f>IF(B591="","",IF(N(K591)&gt;0,K591,IF(N(J591)&gt;0,J591,N(Q591))))</f>
        <v/>
      </c>
      <c r="S591" s="55">
        <f>IF(L591="","",ROUND(L591*(1+N(M591)),2))</f>
        <v/>
      </c>
      <c r="T591" s="55">
        <f>IF(B591="","",SUMIFS('REVENUE'!$C$5:$C$1504,'REVENUE'!$B$5:$B$1504,A591))</f>
        <v/>
      </c>
      <c r="U591" s="55">
        <f>IF(B591="","",IF(O591="Completed",MAX(0,N(S591)-T591),""))</f>
        <v/>
      </c>
      <c r="V591" s="49">
        <f>IF(B591="","",IF(O591&lt;&gt;"Completed",IF(T591&gt;0,"Deposit","—"),IF(U591&lt;=0.005,"Paid",IF(T591&gt;0,"Partial","Unpaid"))))</f>
        <v/>
      </c>
      <c r="W591" s="55">
        <f>IF(B591="","",IFERROR(1/(1/INDEX('STAFF &amp; TASKS'!$C$5:$C$24,MATCH(H591,'STAFF &amp; TASKS'!$A$5:$A$24,0))),PayRate))</f>
        <v/>
      </c>
      <c r="X591" s="55">
        <f>IF(B591="","",IF(OR(O591="Cancelled",O591="No-Show"),"",ROUND(R591*W591*(1+Burden),2)))</f>
        <v/>
      </c>
      <c r="Y591" s="55">
        <f>IF(B591="","",IF(OR(O591="Cancelled",O591="No-Show"),"",IF(N591&lt;&gt;"",N591,ROUND(R591*SupHr*IFERROR(INDEX('PRICING'!$G$7:$G$16,MATCH(F591,'PRICING'!$A$7:$A$16,0)),1),2))))</f>
        <v/>
      </c>
      <c r="Z591" s="98">
        <f>IF(B591="","",SUMIFS('MILEAGE'!$J$5:$J$1504,'MILEAGE'!$B$5:$B$1504,A591))</f>
        <v/>
      </c>
      <c r="AA591" s="55">
        <f>IF(B591="","",ROUND(Z591*MileRate,2))</f>
        <v/>
      </c>
      <c r="AB591" s="55">
        <f>IF(B591="","",SUMIFS('REVENUE'!$J$5:$J$1504,'REVENUE'!$B$5:$B$1504,A591))</f>
        <v/>
      </c>
      <c r="AC591" s="55">
        <f>IF(L591="","",IF(OR(O591="Cancelled",O591="No-Show"),"",L591-N(X591)-N(Y591)-AA591-AB591))</f>
        <v/>
      </c>
      <c r="AD591" s="99">
        <f>IF(OR(AC591="",N(L591)=0),"",AC591/L591)</f>
        <v/>
      </c>
      <c r="AE591" s="55">
        <f>IF(OR(AC591="",N(R591)=0),"",L591/R591)</f>
        <v/>
      </c>
      <c r="AF591" s="100">
        <f>IF(OR(N(K591)=0,N(J591)+N(Q591)=0),"",K591-IF(N(J591)&gt;0,J591,Q591))</f>
        <v/>
      </c>
      <c r="AG591" s="99">
        <f>IF(B591="","",IFERROR(AVERAGEIFS('QUALITY CONTROL'!$M$5:$M$304,'QUALITY CONTROL'!$B$5:$B$304,A591),""))</f>
        <v/>
      </c>
      <c r="AH591" s="51">
        <f>IF(B591="","",DATE(YEAR(B591),MONTH(B591),1))</f>
        <v/>
      </c>
      <c r="AI591" s="49">
        <f>IF(D591="","",IFERROR(INDEX('CUSTOMERS'!$E$5:$E$404,MATCH(D591,'CUSTOMERS'!$B$5:$B$404,0)),""))</f>
        <v/>
      </c>
      <c r="AJ591" s="49">
        <f>IF(B591="","",N(C591))</f>
        <v/>
      </c>
      <c r="AK591" s="49">
        <f>IF(OR(B591="",O591="Cancelled",O591="Rescheduled"),"",B591&amp;"|"&amp;(COUNTIFS('JOBS'!$B$5:$B$1504,B591,'JOBS'!$AJ$5:$AJ$1504,"&lt;"&amp;AJ591,'JOBS'!$O$5:$O$1504,"&lt;&gt;Cancelled",'JOBS'!$O$5:$O$1504,"&lt;&gt;Rescheduled")+COUNTIFS($B$5:B591,B591,$AJ$5:AJ591,AJ591,$O$5:O591,"&lt;&gt;Cancelled",$O$5:O591,"&lt;&gt;Rescheduled")))</f>
        <v/>
      </c>
      <c r="AL591" s="49">
        <f>IF(N(U591)&lt;=0.005,"",COUNTIFS('JOBS'!$U$5:$U$1504,"&gt;0.005",'JOBS'!$B$5:$B$1504,"&lt;"&amp;B591)+COUNTIFS($U$5:U591,"&gt;0.005",$B$5:B591,B591))</f>
        <v/>
      </c>
    </row>
    <row r="592">
      <c r="A592" s="46" t="inlineStr">
        <is>
          <t>J-0588</t>
        </is>
      </c>
      <c r="B592" s="47" t="n"/>
      <c r="C592" s="94" t="n"/>
      <c r="D592" s="38" t="n"/>
      <c r="E592" s="38" t="n"/>
      <c r="F592" s="38" t="n"/>
      <c r="G592" s="38" t="n"/>
      <c r="H592" s="38" t="n"/>
      <c r="I592" s="57" t="n"/>
      <c r="J592" s="95" t="n"/>
      <c r="K592" s="95" t="n"/>
      <c r="L592" s="48" t="n"/>
      <c r="M592" s="96" t="n"/>
      <c r="N592" s="48" t="n"/>
      <c r="O592" s="38" t="n"/>
      <c r="P592" s="38" t="n"/>
      <c r="Q592" s="97">
        <f>IF(OR(F592="",E592=""),"",IFERROR(IF(INDEX('PROPERTIES'!$F$5:$F$404,MATCH(E592,'PROPERTIES'!$B$5:$B$404,0))=0,"",ROUND((INDEX('PROPERTIES'!$F$5:$F$404,MATCH(E592,'PROPERTIES'!$B$5:$B$404,0))/INDEX('PRICING'!$C$7:$C$16,MATCH(F592,'PRICING'!$A$7:$A$16,0))+INDEX('PROPERTIES'!$G$5:$G$404,MATCH(E592,'PROPERTIES'!$B$5:$B$404,0))*INDEX('PRICING'!$D$7:$D$16,MATCH(F592,'PRICING'!$A$7:$A$16,0))/60+INDEX('PROPERTIES'!$H$5:$H$404,MATCH(E592,'PROPERTIES'!$B$5:$B$404,0))*INDEX('PRICING'!$E$7:$E$16,MATCH(F592,'PRICING'!$A$7:$A$16,0))/60+INDEX('PRICING'!$F$7:$F$16,MATCH(F592,'PRICING'!$A$7:$A$16,0))/60),2)),""))</f>
        <v/>
      </c>
      <c r="R592" s="97">
        <f>IF(B592="","",IF(N(K592)&gt;0,K592,IF(N(J592)&gt;0,J592,N(Q592))))</f>
        <v/>
      </c>
      <c r="S592" s="55">
        <f>IF(L592="","",ROUND(L592*(1+N(M592)),2))</f>
        <v/>
      </c>
      <c r="T592" s="55">
        <f>IF(B592="","",SUMIFS('REVENUE'!$C$5:$C$1504,'REVENUE'!$B$5:$B$1504,A592))</f>
        <v/>
      </c>
      <c r="U592" s="55">
        <f>IF(B592="","",IF(O592="Completed",MAX(0,N(S592)-T592),""))</f>
        <v/>
      </c>
      <c r="V592" s="49">
        <f>IF(B592="","",IF(O592&lt;&gt;"Completed",IF(T592&gt;0,"Deposit","—"),IF(U592&lt;=0.005,"Paid",IF(T592&gt;0,"Partial","Unpaid"))))</f>
        <v/>
      </c>
      <c r="W592" s="55">
        <f>IF(B592="","",IFERROR(1/(1/INDEX('STAFF &amp; TASKS'!$C$5:$C$24,MATCH(H592,'STAFF &amp; TASKS'!$A$5:$A$24,0))),PayRate))</f>
        <v/>
      </c>
      <c r="X592" s="55">
        <f>IF(B592="","",IF(OR(O592="Cancelled",O592="No-Show"),"",ROUND(R592*W592*(1+Burden),2)))</f>
        <v/>
      </c>
      <c r="Y592" s="55">
        <f>IF(B592="","",IF(OR(O592="Cancelled",O592="No-Show"),"",IF(N592&lt;&gt;"",N592,ROUND(R592*SupHr*IFERROR(INDEX('PRICING'!$G$7:$G$16,MATCH(F592,'PRICING'!$A$7:$A$16,0)),1),2))))</f>
        <v/>
      </c>
      <c r="Z592" s="98">
        <f>IF(B592="","",SUMIFS('MILEAGE'!$J$5:$J$1504,'MILEAGE'!$B$5:$B$1504,A592))</f>
        <v/>
      </c>
      <c r="AA592" s="55">
        <f>IF(B592="","",ROUND(Z592*MileRate,2))</f>
        <v/>
      </c>
      <c r="AB592" s="55">
        <f>IF(B592="","",SUMIFS('REVENUE'!$J$5:$J$1504,'REVENUE'!$B$5:$B$1504,A592))</f>
        <v/>
      </c>
      <c r="AC592" s="55">
        <f>IF(L592="","",IF(OR(O592="Cancelled",O592="No-Show"),"",L592-N(X592)-N(Y592)-AA592-AB592))</f>
        <v/>
      </c>
      <c r="AD592" s="99">
        <f>IF(OR(AC592="",N(L592)=0),"",AC592/L592)</f>
        <v/>
      </c>
      <c r="AE592" s="55">
        <f>IF(OR(AC592="",N(R592)=0),"",L592/R592)</f>
        <v/>
      </c>
      <c r="AF592" s="100">
        <f>IF(OR(N(K592)=0,N(J592)+N(Q592)=0),"",K592-IF(N(J592)&gt;0,J592,Q592))</f>
        <v/>
      </c>
      <c r="AG592" s="99">
        <f>IF(B592="","",IFERROR(AVERAGEIFS('QUALITY CONTROL'!$M$5:$M$304,'QUALITY CONTROL'!$B$5:$B$304,A592),""))</f>
        <v/>
      </c>
      <c r="AH592" s="51">
        <f>IF(B592="","",DATE(YEAR(B592),MONTH(B592),1))</f>
        <v/>
      </c>
      <c r="AI592" s="49">
        <f>IF(D592="","",IFERROR(INDEX('CUSTOMERS'!$E$5:$E$404,MATCH(D592,'CUSTOMERS'!$B$5:$B$404,0)),""))</f>
        <v/>
      </c>
      <c r="AJ592" s="49">
        <f>IF(B592="","",N(C592))</f>
        <v/>
      </c>
      <c r="AK592" s="49">
        <f>IF(OR(B592="",O592="Cancelled",O592="Rescheduled"),"",B592&amp;"|"&amp;(COUNTIFS('JOBS'!$B$5:$B$1504,B592,'JOBS'!$AJ$5:$AJ$1504,"&lt;"&amp;AJ592,'JOBS'!$O$5:$O$1504,"&lt;&gt;Cancelled",'JOBS'!$O$5:$O$1504,"&lt;&gt;Rescheduled")+COUNTIFS($B$5:B592,B592,$AJ$5:AJ592,AJ592,$O$5:O592,"&lt;&gt;Cancelled",$O$5:O592,"&lt;&gt;Rescheduled")))</f>
        <v/>
      </c>
      <c r="AL592" s="49">
        <f>IF(N(U592)&lt;=0.005,"",COUNTIFS('JOBS'!$U$5:$U$1504,"&gt;0.005",'JOBS'!$B$5:$B$1504,"&lt;"&amp;B592)+COUNTIFS($U$5:U592,"&gt;0.005",$B$5:B592,B592))</f>
        <v/>
      </c>
    </row>
    <row r="593">
      <c r="A593" s="46" t="inlineStr">
        <is>
          <t>J-0589</t>
        </is>
      </c>
      <c r="B593" s="47" t="n"/>
      <c r="C593" s="94" t="n"/>
      <c r="D593" s="38" t="n"/>
      <c r="E593" s="38" t="n"/>
      <c r="F593" s="38" t="n"/>
      <c r="G593" s="38" t="n"/>
      <c r="H593" s="38" t="n"/>
      <c r="I593" s="57" t="n"/>
      <c r="J593" s="95" t="n"/>
      <c r="K593" s="95" t="n"/>
      <c r="L593" s="48" t="n"/>
      <c r="M593" s="96" t="n"/>
      <c r="N593" s="48" t="n"/>
      <c r="O593" s="38" t="n"/>
      <c r="P593" s="38" t="n"/>
      <c r="Q593" s="97">
        <f>IF(OR(F593="",E593=""),"",IFERROR(IF(INDEX('PROPERTIES'!$F$5:$F$404,MATCH(E593,'PROPERTIES'!$B$5:$B$404,0))=0,"",ROUND((INDEX('PROPERTIES'!$F$5:$F$404,MATCH(E593,'PROPERTIES'!$B$5:$B$404,0))/INDEX('PRICING'!$C$7:$C$16,MATCH(F593,'PRICING'!$A$7:$A$16,0))+INDEX('PROPERTIES'!$G$5:$G$404,MATCH(E593,'PROPERTIES'!$B$5:$B$404,0))*INDEX('PRICING'!$D$7:$D$16,MATCH(F593,'PRICING'!$A$7:$A$16,0))/60+INDEX('PROPERTIES'!$H$5:$H$404,MATCH(E593,'PROPERTIES'!$B$5:$B$404,0))*INDEX('PRICING'!$E$7:$E$16,MATCH(F593,'PRICING'!$A$7:$A$16,0))/60+INDEX('PRICING'!$F$7:$F$16,MATCH(F593,'PRICING'!$A$7:$A$16,0))/60),2)),""))</f>
        <v/>
      </c>
      <c r="R593" s="97">
        <f>IF(B593="","",IF(N(K593)&gt;0,K593,IF(N(J593)&gt;0,J593,N(Q593))))</f>
        <v/>
      </c>
      <c r="S593" s="55">
        <f>IF(L593="","",ROUND(L593*(1+N(M593)),2))</f>
        <v/>
      </c>
      <c r="T593" s="55">
        <f>IF(B593="","",SUMIFS('REVENUE'!$C$5:$C$1504,'REVENUE'!$B$5:$B$1504,A593))</f>
        <v/>
      </c>
      <c r="U593" s="55">
        <f>IF(B593="","",IF(O593="Completed",MAX(0,N(S593)-T593),""))</f>
        <v/>
      </c>
      <c r="V593" s="49">
        <f>IF(B593="","",IF(O593&lt;&gt;"Completed",IF(T593&gt;0,"Deposit","—"),IF(U593&lt;=0.005,"Paid",IF(T593&gt;0,"Partial","Unpaid"))))</f>
        <v/>
      </c>
      <c r="W593" s="55">
        <f>IF(B593="","",IFERROR(1/(1/INDEX('STAFF &amp; TASKS'!$C$5:$C$24,MATCH(H593,'STAFF &amp; TASKS'!$A$5:$A$24,0))),PayRate))</f>
        <v/>
      </c>
      <c r="X593" s="55">
        <f>IF(B593="","",IF(OR(O593="Cancelled",O593="No-Show"),"",ROUND(R593*W593*(1+Burden),2)))</f>
        <v/>
      </c>
      <c r="Y593" s="55">
        <f>IF(B593="","",IF(OR(O593="Cancelled",O593="No-Show"),"",IF(N593&lt;&gt;"",N593,ROUND(R593*SupHr*IFERROR(INDEX('PRICING'!$G$7:$G$16,MATCH(F593,'PRICING'!$A$7:$A$16,0)),1),2))))</f>
        <v/>
      </c>
      <c r="Z593" s="98">
        <f>IF(B593="","",SUMIFS('MILEAGE'!$J$5:$J$1504,'MILEAGE'!$B$5:$B$1504,A593))</f>
        <v/>
      </c>
      <c r="AA593" s="55">
        <f>IF(B593="","",ROUND(Z593*MileRate,2))</f>
        <v/>
      </c>
      <c r="AB593" s="55">
        <f>IF(B593="","",SUMIFS('REVENUE'!$J$5:$J$1504,'REVENUE'!$B$5:$B$1504,A593))</f>
        <v/>
      </c>
      <c r="AC593" s="55">
        <f>IF(L593="","",IF(OR(O593="Cancelled",O593="No-Show"),"",L593-N(X593)-N(Y593)-AA593-AB593))</f>
        <v/>
      </c>
      <c r="AD593" s="99">
        <f>IF(OR(AC593="",N(L593)=0),"",AC593/L593)</f>
        <v/>
      </c>
      <c r="AE593" s="55">
        <f>IF(OR(AC593="",N(R593)=0),"",L593/R593)</f>
        <v/>
      </c>
      <c r="AF593" s="100">
        <f>IF(OR(N(K593)=0,N(J593)+N(Q593)=0),"",K593-IF(N(J593)&gt;0,J593,Q593))</f>
        <v/>
      </c>
      <c r="AG593" s="99">
        <f>IF(B593="","",IFERROR(AVERAGEIFS('QUALITY CONTROL'!$M$5:$M$304,'QUALITY CONTROL'!$B$5:$B$304,A593),""))</f>
        <v/>
      </c>
      <c r="AH593" s="51">
        <f>IF(B593="","",DATE(YEAR(B593),MONTH(B593),1))</f>
        <v/>
      </c>
      <c r="AI593" s="49">
        <f>IF(D593="","",IFERROR(INDEX('CUSTOMERS'!$E$5:$E$404,MATCH(D593,'CUSTOMERS'!$B$5:$B$404,0)),""))</f>
        <v/>
      </c>
      <c r="AJ593" s="49">
        <f>IF(B593="","",N(C593))</f>
        <v/>
      </c>
      <c r="AK593" s="49">
        <f>IF(OR(B593="",O593="Cancelled",O593="Rescheduled"),"",B593&amp;"|"&amp;(COUNTIFS('JOBS'!$B$5:$B$1504,B593,'JOBS'!$AJ$5:$AJ$1504,"&lt;"&amp;AJ593,'JOBS'!$O$5:$O$1504,"&lt;&gt;Cancelled",'JOBS'!$O$5:$O$1504,"&lt;&gt;Rescheduled")+COUNTIFS($B$5:B593,B593,$AJ$5:AJ593,AJ593,$O$5:O593,"&lt;&gt;Cancelled",$O$5:O593,"&lt;&gt;Rescheduled")))</f>
        <v/>
      </c>
      <c r="AL593" s="49">
        <f>IF(N(U593)&lt;=0.005,"",COUNTIFS('JOBS'!$U$5:$U$1504,"&gt;0.005",'JOBS'!$B$5:$B$1504,"&lt;"&amp;B593)+COUNTIFS($U$5:U593,"&gt;0.005",$B$5:B593,B593))</f>
        <v/>
      </c>
    </row>
    <row r="594">
      <c r="A594" s="46" t="inlineStr">
        <is>
          <t>J-0590</t>
        </is>
      </c>
      <c r="B594" s="47" t="n"/>
      <c r="C594" s="94" t="n"/>
      <c r="D594" s="38" t="n"/>
      <c r="E594" s="38" t="n"/>
      <c r="F594" s="38" t="n"/>
      <c r="G594" s="38" t="n"/>
      <c r="H594" s="38" t="n"/>
      <c r="I594" s="57" t="n"/>
      <c r="J594" s="95" t="n"/>
      <c r="K594" s="95" t="n"/>
      <c r="L594" s="48" t="n"/>
      <c r="M594" s="96" t="n"/>
      <c r="N594" s="48" t="n"/>
      <c r="O594" s="38" t="n"/>
      <c r="P594" s="38" t="n"/>
      <c r="Q594" s="97">
        <f>IF(OR(F594="",E594=""),"",IFERROR(IF(INDEX('PROPERTIES'!$F$5:$F$404,MATCH(E594,'PROPERTIES'!$B$5:$B$404,0))=0,"",ROUND((INDEX('PROPERTIES'!$F$5:$F$404,MATCH(E594,'PROPERTIES'!$B$5:$B$404,0))/INDEX('PRICING'!$C$7:$C$16,MATCH(F594,'PRICING'!$A$7:$A$16,0))+INDEX('PROPERTIES'!$G$5:$G$404,MATCH(E594,'PROPERTIES'!$B$5:$B$404,0))*INDEX('PRICING'!$D$7:$D$16,MATCH(F594,'PRICING'!$A$7:$A$16,0))/60+INDEX('PROPERTIES'!$H$5:$H$404,MATCH(E594,'PROPERTIES'!$B$5:$B$404,0))*INDEX('PRICING'!$E$7:$E$16,MATCH(F594,'PRICING'!$A$7:$A$16,0))/60+INDEX('PRICING'!$F$7:$F$16,MATCH(F594,'PRICING'!$A$7:$A$16,0))/60),2)),""))</f>
        <v/>
      </c>
      <c r="R594" s="97">
        <f>IF(B594="","",IF(N(K594)&gt;0,K594,IF(N(J594)&gt;0,J594,N(Q594))))</f>
        <v/>
      </c>
      <c r="S594" s="55">
        <f>IF(L594="","",ROUND(L594*(1+N(M594)),2))</f>
        <v/>
      </c>
      <c r="T594" s="55">
        <f>IF(B594="","",SUMIFS('REVENUE'!$C$5:$C$1504,'REVENUE'!$B$5:$B$1504,A594))</f>
        <v/>
      </c>
      <c r="U594" s="55">
        <f>IF(B594="","",IF(O594="Completed",MAX(0,N(S594)-T594),""))</f>
        <v/>
      </c>
      <c r="V594" s="49">
        <f>IF(B594="","",IF(O594&lt;&gt;"Completed",IF(T594&gt;0,"Deposit","—"),IF(U594&lt;=0.005,"Paid",IF(T594&gt;0,"Partial","Unpaid"))))</f>
        <v/>
      </c>
      <c r="W594" s="55">
        <f>IF(B594="","",IFERROR(1/(1/INDEX('STAFF &amp; TASKS'!$C$5:$C$24,MATCH(H594,'STAFF &amp; TASKS'!$A$5:$A$24,0))),PayRate))</f>
        <v/>
      </c>
      <c r="X594" s="55">
        <f>IF(B594="","",IF(OR(O594="Cancelled",O594="No-Show"),"",ROUND(R594*W594*(1+Burden),2)))</f>
        <v/>
      </c>
      <c r="Y594" s="55">
        <f>IF(B594="","",IF(OR(O594="Cancelled",O594="No-Show"),"",IF(N594&lt;&gt;"",N594,ROUND(R594*SupHr*IFERROR(INDEX('PRICING'!$G$7:$G$16,MATCH(F594,'PRICING'!$A$7:$A$16,0)),1),2))))</f>
        <v/>
      </c>
      <c r="Z594" s="98">
        <f>IF(B594="","",SUMIFS('MILEAGE'!$J$5:$J$1504,'MILEAGE'!$B$5:$B$1504,A594))</f>
        <v/>
      </c>
      <c r="AA594" s="55">
        <f>IF(B594="","",ROUND(Z594*MileRate,2))</f>
        <v/>
      </c>
      <c r="AB594" s="55">
        <f>IF(B594="","",SUMIFS('REVENUE'!$J$5:$J$1504,'REVENUE'!$B$5:$B$1504,A594))</f>
        <v/>
      </c>
      <c r="AC594" s="55">
        <f>IF(L594="","",IF(OR(O594="Cancelled",O594="No-Show"),"",L594-N(X594)-N(Y594)-AA594-AB594))</f>
        <v/>
      </c>
      <c r="AD594" s="99">
        <f>IF(OR(AC594="",N(L594)=0),"",AC594/L594)</f>
        <v/>
      </c>
      <c r="AE594" s="55">
        <f>IF(OR(AC594="",N(R594)=0),"",L594/R594)</f>
        <v/>
      </c>
      <c r="AF594" s="100">
        <f>IF(OR(N(K594)=0,N(J594)+N(Q594)=0),"",K594-IF(N(J594)&gt;0,J594,Q594))</f>
        <v/>
      </c>
      <c r="AG594" s="99">
        <f>IF(B594="","",IFERROR(AVERAGEIFS('QUALITY CONTROL'!$M$5:$M$304,'QUALITY CONTROL'!$B$5:$B$304,A594),""))</f>
        <v/>
      </c>
      <c r="AH594" s="51">
        <f>IF(B594="","",DATE(YEAR(B594),MONTH(B594),1))</f>
        <v/>
      </c>
      <c r="AI594" s="49">
        <f>IF(D594="","",IFERROR(INDEX('CUSTOMERS'!$E$5:$E$404,MATCH(D594,'CUSTOMERS'!$B$5:$B$404,0)),""))</f>
        <v/>
      </c>
      <c r="AJ594" s="49">
        <f>IF(B594="","",N(C594))</f>
        <v/>
      </c>
      <c r="AK594" s="49">
        <f>IF(OR(B594="",O594="Cancelled",O594="Rescheduled"),"",B594&amp;"|"&amp;(COUNTIFS('JOBS'!$B$5:$B$1504,B594,'JOBS'!$AJ$5:$AJ$1504,"&lt;"&amp;AJ594,'JOBS'!$O$5:$O$1504,"&lt;&gt;Cancelled",'JOBS'!$O$5:$O$1504,"&lt;&gt;Rescheduled")+COUNTIFS($B$5:B594,B594,$AJ$5:AJ594,AJ594,$O$5:O594,"&lt;&gt;Cancelled",$O$5:O594,"&lt;&gt;Rescheduled")))</f>
        <v/>
      </c>
      <c r="AL594" s="49">
        <f>IF(N(U594)&lt;=0.005,"",COUNTIFS('JOBS'!$U$5:$U$1504,"&gt;0.005",'JOBS'!$B$5:$B$1504,"&lt;"&amp;B594)+COUNTIFS($U$5:U594,"&gt;0.005",$B$5:B594,B594))</f>
        <v/>
      </c>
    </row>
    <row r="595">
      <c r="A595" s="46" t="inlineStr">
        <is>
          <t>J-0591</t>
        </is>
      </c>
      <c r="B595" s="47" t="n"/>
      <c r="C595" s="94" t="n"/>
      <c r="D595" s="38" t="n"/>
      <c r="E595" s="38" t="n"/>
      <c r="F595" s="38" t="n"/>
      <c r="G595" s="38" t="n"/>
      <c r="H595" s="38" t="n"/>
      <c r="I595" s="57" t="n"/>
      <c r="J595" s="95" t="n"/>
      <c r="K595" s="95" t="n"/>
      <c r="L595" s="48" t="n"/>
      <c r="M595" s="96" t="n"/>
      <c r="N595" s="48" t="n"/>
      <c r="O595" s="38" t="n"/>
      <c r="P595" s="38" t="n"/>
      <c r="Q595" s="97">
        <f>IF(OR(F595="",E595=""),"",IFERROR(IF(INDEX('PROPERTIES'!$F$5:$F$404,MATCH(E595,'PROPERTIES'!$B$5:$B$404,0))=0,"",ROUND((INDEX('PROPERTIES'!$F$5:$F$404,MATCH(E595,'PROPERTIES'!$B$5:$B$404,0))/INDEX('PRICING'!$C$7:$C$16,MATCH(F595,'PRICING'!$A$7:$A$16,0))+INDEX('PROPERTIES'!$G$5:$G$404,MATCH(E595,'PROPERTIES'!$B$5:$B$404,0))*INDEX('PRICING'!$D$7:$D$16,MATCH(F595,'PRICING'!$A$7:$A$16,0))/60+INDEX('PROPERTIES'!$H$5:$H$404,MATCH(E595,'PROPERTIES'!$B$5:$B$404,0))*INDEX('PRICING'!$E$7:$E$16,MATCH(F595,'PRICING'!$A$7:$A$16,0))/60+INDEX('PRICING'!$F$7:$F$16,MATCH(F595,'PRICING'!$A$7:$A$16,0))/60),2)),""))</f>
        <v/>
      </c>
      <c r="R595" s="97">
        <f>IF(B595="","",IF(N(K595)&gt;0,K595,IF(N(J595)&gt;0,J595,N(Q595))))</f>
        <v/>
      </c>
      <c r="S595" s="55">
        <f>IF(L595="","",ROUND(L595*(1+N(M595)),2))</f>
        <v/>
      </c>
      <c r="T595" s="55">
        <f>IF(B595="","",SUMIFS('REVENUE'!$C$5:$C$1504,'REVENUE'!$B$5:$B$1504,A595))</f>
        <v/>
      </c>
      <c r="U595" s="55">
        <f>IF(B595="","",IF(O595="Completed",MAX(0,N(S595)-T595),""))</f>
        <v/>
      </c>
      <c r="V595" s="49">
        <f>IF(B595="","",IF(O595&lt;&gt;"Completed",IF(T595&gt;0,"Deposit","—"),IF(U595&lt;=0.005,"Paid",IF(T595&gt;0,"Partial","Unpaid"))))</f>
        <v/>
      </c>
      <c r="W595" s="55">
        <f>IF(B595="","",IFERROR(1/(1/INDEX('STAFF &amp; TASKS'!$C$5:$C$24,MATCH(H595,'STAFF &amp; TASKS'!$A$5:$A$24,0))),PayRate))</f>
        <v/>
      </c>
      <c r="X595" s="55">
        <f>IF(B595="","",IF(OR(O595="Cancelled",O595="No-Show"),"",ROUND(R595*W595*(1+Burden),2)))</f>
        <v/>
      </c>
      <c r="Y595" s="55">
        <f>IF(B595="","",IF(OR(O595="Cancelled",O595="No-Show"),"",IF(N595&lt;&gt;"",N595,ROUND(R595*SupHr*IFERROR(INDEX('PRICING'!$G$7:$G$16,MATCH(F595,'PRICING'!$A$7:$A$16,0)),1),2))))</f>
        <v/>
      </c>
      <c r="Z595" s="98">
        <f>IF(B595="","",SUMIFS('MILEAGE'!$J$5:$J$1504,'MILEAGE'!$B$5:$B$1504,A595))</f>
        <v/>
      </c>
      <c r="AA595" s="55">
        <f>IF(B595="","",ROUND(Z595*MileRate,2))</f>
        <v/>
      </c>
      <c r="AB595" s="55">
        <f>IF(B595="","",SUMIFS('REVENUE'!$J$5:$J$1504,'REVENUE'!$B$5:$B$1504,A595))</f>
        <v/>
      </c>
      <c r="AC595" s="55">
        <f>IF(L595="","",IF(OR(O595="Cancelled",O595="No-Show"),"",L595-N(X595)-N(Y595)-AA595-AB595))</f>
        <v/>
      </c>
      <c r="AD595" s="99">
        <f>IF(OR(AC595="",N(L595)=0),"",AC595/L595)</f>
        <v/>
      </c>
      <c r="AE595" s="55">
        <f>IF(OR(AC595="",N(R595)=0),"",L595/R595)</f>
        <v/>
      </c>
      <c r="AF595" s="100">
        <f>IF(OR(N(K595)=0,N(J595)+N(Q595)=0),"",K595-IF(N(J595)&gt;0,J595,Q595))</f>
        <v/>
      </c>
      <c r="AG595" s="99">
        <f>IF(B595="","",IFERROR(AVERAGEIFS('QUALITY CONTROL'!$M$5:$M$304,'QUALITY CONTROL'!$B$5:$B$304,A595),""))</f>
        <v/>
      </c>
      <c r="AH595" s="51">
        <f>IF(B595="","",DATE(YEAR(B595),MONTH(B595),1))</f>
        <v/>
      </c>
      <c r="AI595" s="49">
        <f>IF(D595="","",IFERROR(INDEX('CUSTOMERS'!$E$5:$E$404,MATCH(D595,'CUSTOMERS'!$B$5:$B$404,0)),""))</f>
        <v/>
      </c>
      <c r="AJ595" s="49">
        <f>IF(B595="","",N(C595))</f>
        <v/>
      </c>
      <c r="AK595" s="49">
        <f>IF(OR(B595="",O595="Cancelled",O595="Rescheduled"),"",B595&amp;"|"&amp;(COUNTIFS('JOBS'!$B$5:$B$1504,B595,'JOBS'!$AJ$5:$AJ$1504,"&lt;"&amp;AJ595,'JOBS'!$O$5:$O$1504,"&lt;&gt;Cancelled",'JOBS'!$O$5:$O$1504,"&lt;&gt;Rescheduled")+COUNTIFS($B$5:B595,B595,$AJ$5:AJ595,AJ595,$O$5:O595,"&lt;&gt;Cancelled",$O$5:O595,"&lt;&gt;Rescheduled")))</f>
        <v/>
      </c>
      <c r="AL595" s="49">
        <f>IF(N(U595)&lt;=0.005,"",COUNTIFS('JOBS'!$U$5:$U$1504,"&gt;0.005",'JOBS'!$B$5:$B$1504,"&lt;"&amp;B595)+COUNTIFS($U$5:U595,"&gt;0.005",$B$5:B595,B595))</f>
        <v/>
      </c>
    </row>
    <row r="596">
      <c r="A596" s="46" t="inlineStr">
        <is>
          <t>J-0592</t>
        </is>
      </c>
      <c r="B596" s="47" t="n"/>
      <c r="C596" s="94" t="n"/>
      <c r="D596" s="38" t="n"/>
      <c r="E596" s="38" t="n"/>
      <c r="F596" s="38" t="n"/>
      <c r="G596" s="38" t="n"/>
      <c r="H596" s="38" t="n"/>
      <c r="I596" s="57" t="n"/>
      <c r="J596" s="95" t="n"/>
      <c r="K596" s="95" t="n"/>
      <c r="L596" s="48" t="n"/>
      <c r="M596" s="96" t="n"/>
      <c r="N596" s="48" t="n"/>
      <c r="O596" s="38" t="n"/>
      <c r="P596" s="38" t="n"/>
      <c r="Q596" s="97">
        <f>IF(OR(F596="",E596=""),"",IFERROR(IF(INDEX('PROPERTIES'!$F$5:$F$404,MATCH(E596,'PROPERTIES'!$B$5:$B$404,0))=0,"",ROUND((INDEX('PROPERTIES'!$F$5:$F$404,MATCH(E596,'PROPERTIES'!$B$5:$B$404,0))/INDEX('PRICING'!$C$7:$C$16,MATCH(F596,'PRICING'!$A$7:$A$16,0))+INDEX('PROPERTIES'!$G$5:$G$404,MATCH(E596,'PROPERTIES'!$B$5:$B$404,0))*INDEX('PRICING'!$D$7:$D$16,MATCH(F596,'PRICING'!$A$7:$A$16,0))/60+INDEX('PROPERTIES'!$H$5:$H$404,MATCH(E596,'PROPERTIES'!$B$5:$B$404,0))*INDEX('PRICING'!$E$7:$E$16,MATCH(F596,'PRICING'!$A$7:$A$16,0))/60+INDEX('PRICING'!$F$7:$F$16,MATCH(F596,'PRICING'!$A$7:$A$16,0))/60),2)),""))</f>
        <v/>
      </c>
      <c r="R596" s="97">
        <f>IF(B596="","",IF(N(K596)&gt;0,K596,IF(N(J596)&gt;0,J596,N(Q596))))</f>
        <v/>
      </c>
      <c r="S596" s="55">
        <f>IF(L596="","",ROUND(L596*(1+N(M596)),2))</f>
        <v/>
      </c>
      <c r="T596" s="55">
        <f>IF(B596="","",SUMIFS('REVENUE'!$C$5:$C$1504,'REVENUE'!$B$5:$B$1504,A596))</f>
        <v/>
      </c>
      <c r="U596" s="55">
        <f>IF(B596="","",IF(O596="Completed",MAX(0,N(S596)-T596),""))</f>
        <v/>
      </c>
      <c r="V596" s="49">
        <f>IF(B596="","",IF(O596&lt;&gt;"Completed",IF(T596&gt;0,"Deposit","—"),IF(U596&lt;=0.005,"Paid",IF(T596&gt;0,"Partial","Unpaid"))))</f>
        <v/>
      </c>
      <c r="W596" s="55">
        <f>IF(B596="","",IFERROR(1/(1/INDEX('STAFF &amp; TASKS'!$C$5:$C$24,MATCH(H596,'STAFF &amp; TASKS'!$A$5:$A$24,0))),PayRate))</f>
        <v/>
      </c>
      <c r="X596" s="55">
        <f>IF(B596="","",IF(OR(O596="Cancelled",O596="No-Show"),"",ROUND(R596*W596*(1+Burden),2)))</f>
        <v/>
      </c>
      <c r="Y596" s="55">
        <f>IF(B596="","",IF(OR(O596="Cancelled",O596="No-Show"),"",IF(N596&lt;&gt;"",N596,ROUND(R596*SupHr*IFERROR(INDEX('PRICING'!$G$7:$G$16,MATCH(F596,'PRICING'!$A$7:$A$16,0)),1),2))))</f>
        <v/>
      </c>
      <c r="Z596" s="98">
        <f>IF(B596="","",SUMIFS('MILEAGE'!$J$5:$J$1504,'MILEAGE'!$B$5:$B$1504,A596))</f>
        <v/>
      </c>
      <c r="AA596" s="55">
        <f>IF(B596="","",ROUND(Z596*MileRate,2))</f>
        <v/>
      </c>
      <c r="AB596" s="55">
        <f>IF(B596="","",SUMIFS('REVENUE'!$J$5:$J$1504,'REVENUE'!$B$5:$B$1504,A596))</f>
        <v/>
      </c>
      <c r="AC596" s="55">
        <f>IF(L596="","",IF(OR(O596="Cancelled",O596="No-Show"),"",L596-N(X596)-N(Y596)-AA596-AB596))</f>
        <v/>
      </c>
      <c r="AD596" s="99">
        <f>IF(OR(AC596="",N(L596)=0),"",AC596/L596)</f>
        <v/>
      </c>
      <c r="AE596" s="55">
        <f>IF(OR(AC596="",N(R596)=0),"",L596/R596)</f>
        <v/>
      </c>
      <c r="AF596" s="100">
        <f>IF(OR(N(K596)=0,N(J596)+N(Q596)=0),"",K596-IF(N(J596)&gt;0,J596,Q596))</f>
        <v/>
      </c>
      <c r="AG596" s="99">
        <f>IF(B596="","",IFERROR(AVERAGEIFS('QUALITY CONTROL'!$M$5:$M$304,'QUALITY CONTROL'!$B$5:$B$304,A596),""))</f>
        <v/>
      </c>
      <c r="AH596" s="51">
        <f>IF(B596="","",DATE(YEAR(B596),MONTH(B596),1))</f>
        <v/>
      </c>
      <c r="AI596" s="49">
        <f>IF(D596="","",IFERROR(INDEX('CUSTOMERS'!$E$5:$E$404,MATCH(D596,'CUSTOMERS'!$B$5:$B$404,0)),""))</f>
        <v/>
      </c>
      <c r="AJ596" s="49">
        <f>IF(B596="","",N(C596))</f>
        <v/>
      </c>
      <c r="AK596" s="49">
        <f>IF(OR(B596="",O596="Cancelled",O596="Rescheduled"),"",B596&amp;"|"&amp;(COUNTIFS('JOBS'!$B$5:$B$1504,B596,'JOBS'!$AJ$5:$AJ$1504,"&lt;"&amp;AJ596,'JOBS'!$O$5:$O$1504,"&lt;&gt;Cancelled",'JOBS'!$O$5:$O$1504,"&lt;&gt;Rescheduled")+COUNTIFS($B$5:B596,B596,$AJ$5:AJ596,AJ596,$O$5:O596,"&lt;&gt;Cancelled",$O$5:O596,"&lt;&gt;Rescheduled")))</f>
        <v/>
      </c>
      <c r="AL596" s="49">
        <f>IF(N(U596)&lt;=0.005,"",COUNTIFS('JOBS'!$U$5:$U$1504,"&gt;0.005",'JOBS'!$B$5:$B$1504,"&lt;"&amp;B596)+COUNTIFS($U$5:U596,"&gt;0.005",$B$5:B596,B596))</f>
        <v/>
      </c>
    </row>
    <row r="597">
      <c r="A597" s="46" t="inlineStr">
        <is>
          <t>J-0593</t>
        </is>
      </c>
      <c r="B597" s="47" t="n"/>
      <c r="C597" s="94" t="n"/>
      <c r="D597" s="38" t="n"/>
      <c r="E597" s="38" t="n"/>
      <c r="F597" s="38" t="n"/>
      <c r="G597" s="38" t="n"/>
      <c r="H597" s="38" t="n"/>
      <c r="I597" s="57" t="n"/>
      <c r="J597" s="95" t="n"/>
      <c r="K597" s="95" t="n"/>
      <c r="L597" s="48" t="n"/>
      <c r="M597" s="96" t="n"/>
      <c r="N597" s="48" t="n"/>
      <c r="O597" s="38" t="n"/>
      <c r="P597" s="38" t="n"/>
      <c r="Q597" s="97">
        <f>IF(OR(F597="",E597=""),"",IFERROR(IF(INDEX('PROPERTIES'!$F$5:$F$404,MATCH(E597,'PROPERTIES'!$B$5:$B$404,0))=0,"",ROUND((INDEX('PROPERTIES'!$F$5:$F$404,MATCH(E597,'PROPERTIES'!$B$5:$B$404,0))/INDEX('PRICING'!$C$7:$C$16,MATCH(F597,'PRICING'!$A$7:$A$16,0))+INDEX('PROPERTIES'!$G$5:$G$404,MATCH(E597,'PROPERTIES'!$B$5:$B$404,0))*INDEX('PRICING'!$D$7:$D$16,MATCH(F597,'PRICING'!$A$7:$A$16,0))/60+INDEX('PROPERTIES'!$H$5:$H$404,MATCH(E597,'PROPERTIES'!$B$5:$B$404,0))*INDEX('PRICING'!$E$7:$E$16,MATCH(F597,'PRICING'!$A$7:$A$16,0))/60+INDEX('PRICING'!$F$7:$F$16,MATCH(F597,'PRICING'!$A$7:$A$16,0))/60),2)),""))</f>
        <v/>
      </c>
      <c r="R597" s="97">
        <f>IF(B597="","",IF(N(K597)&gt;0,K597,IF(N(J597)&gt;0,J597,N(Q597))))</f>
        <v/>
      </c>
      <c r="S597" s="55">
        <f>IF(L597="","",ROUND(L597*(1+N(M597)),2))</f>
        <v/>
      </c>
      <c r="T597" s="55">
        <f>IF(B597="","",SUMIFS('REVENUE'!$C$5:$C$1504,'REVENUE'!$B$5:$B$1504,A597))</f>
        <v/>
      </c>
      <c r="U597" s="55">
        <f>IF(B597="","",IF(O597="Completed",MAX(0,N(S597)-T597),""))</f>
        <v/>
      </c>
      <c r="V597" s="49">
        <f>IF(B597="","",IF(O597&lt;&gt;"Completed",IF(T597&gt;0,"Deposit","—"),IF(U597&lt;=0.005,"Paid",IF(T597&gt;0,"Partial","Unpaid"))))</f>
        <v/>
      </c>
      <c r="W597" s="55">
        <f>IF(B597="","",IFERROR(1/(1/INDEX('STAFF &amp; TASKS'!$C$5:$C$24,MATCH(H597,'STAFF &amp; TASKS'!$A$5:$A$24,0))),PayRate))</f>
        <v/>
      </c>
      <c r="X597" s="55">
        <f>IF(B597="","",IF(OR(O597="Cancelled",O597="No-Show"),"",ROUND(R597*W597*(1+Burden),2)))</f>
        <v/>
      </c>
      <c r="Y597" s="55">
        <f>IF(B597="","",IF(OR(O597="Cancelled",O597="No-Show"),"",IF(N597&lt;&gt;"",N597,ROUND(R597*SupHr*IFERROR(INDEX('PRICING'!$G$7:$G$16,MATCH(F597,'PRICING'!$A$7:$A$16,0)),1),2))))</f>
        <v/>
      </c>
      <c r="Z597" s="98">
        <f>IF(B597="","",SUMIFS('MILEAGE'!$J$5:$J$1504,'MILEAGE'!$B$5:$B$1504,A597))</f>
        <v/>
      </c>
      <c r="AA597" s="55">
        <f>IF(B597="","",ROUND(Z597*MileRate,2))</f>
        <v/>
      </c>
      <c r="AB597" s="55">
        <f>IF(B597="","",SUMIFS('REVENUE'!$J$5:$J$1504,'REVENUE'!$B$5:$B$1504,A597))</f>
        <v/>
      </c>
      <c r="AC597" s="55">
        <f>IF(L597="","",IF(OR(O597="Cancelled",O597="No-Show"),"",L597-N(X597)-N(Y597)-AA597-AB597))</f>
        <v/>
      </c>
      <c r="AD597" s="99">
        <f>IF(OR(AC597="",N(L597)=0),"",AC597/L597)</f>
        <v/>
      </c>
      <c r="AE597" s="55">
        <f>IF(OR(AC597="",N(R597)=0),"",L597/R597)</f>
        <v/>
      </c>
      <c r="AF597" s="100">
        <f>IF(OR(N(K597)=0,N(J597)+N(Q597)=0),"",K597-IF(N(J597)&gt;0,J597,Q597))</f>
        <v/>
      </c>
      <c r="AG597" s="99">
        <f>IF(B597="","",IFERROR(AVERAGEIFS('QUALITY CONTROL'!$M$5:$M$304,'QUALITY CONTROL'!$B$5:$B$304,A597),""))</f>
        <v/>
      </c>
      <c r="AH597" s="51">
        <f>IF(B597="","",DATE(YEAR(B597),MONTH(B597),1))</f>
        <v/>
      </c>
      <c r="AI597" s="49">
        <f>IF(D597="","",IFERROR(INDEX('CUSTOMERS'!$E$5:$E$404,MATCH(D597,'CUSTOMERS'!$B$5:$B$404,0)),""))</f>
        <v/>
      </c>
      <c r="AJ597" s="49">
        <f>IF(B597="","",N(C597))</f>
        <v/>
      </c>
      <c r="AK597" s="49">
        <f>IF(OR(B597="",O597="Cancelled",O597="Rescheduled"),"",B597&amp;"|"&amp;(COUNTIFS('JOBS'!$B$5:$B$1504,B597,'JOBS'!$AJ$5:$AJ$1504,"&lt;"&amp;AJ597,'JOBS'!$O$5:$O$1504,"&lt;&gt;Cancelled",'JOBS'!$O$5:$O$1504,"&lt;&gt;Rescheduled")+COUNTIFS($B$5:B597,B597,$AJ$5:AJ597,AJ597,$O$5:O597,"&lt;&gt;Cancelled",$O$5:O597,"&lt;&gt;Rescheduled")))</f>
        <v/>
      </c>
      <c r="AL597" s="49">
        <f>IF(N(U597)&lt;=0.005,"",COUNTIFS('JOBS'!$U$5:$U$1504,"&gt;0.005",'JOBS'!$B$5:$B$1504,"&lt;"&amp;B597)+COUNTIFS($U$5:U597,"&gt;0.005",$B$5:B597,B597))</f>
        <v/>
      </c>
    </row>
    <row r="598">
      <c r="A598" s="46" t="inlineStr">
        <is>
          <t>J-0594</t>
        </is>
      </c>
      <c r="B598" s="47" t="n"/>
      <c r="C598" s="94" t="n"/>
      <c r="D598" s="38" t="n"/>
      <c r="E598" s="38" t="n"/>
      <c r="F598" s="38" t="n"/>
      <c r="G598" s="38" t="n"/>
      <c r="H598" s="38" t="n"/>
      <c r="I598" s="57" t="n"/>
      <c r="J598" s="95" t="n"/>
      <c r="K598" s="95" t="n"/>
      <c r="L598" s="48" t="n"/>
      <c r="M598" s="96" t="n"/>
      <c r="N598" s="48" t="n"/>
      <c r="O598" s="38" t="n"/>
      <c r="P598" s="38" t="n"/>
      <c r="Q598" s="97">
        <f>IF(OR(F598="",E598=""),"",IFERROR(IF(INDEX('PROPERTIES'!$F$5:$F$404,MATCH(E598,'PROPERTIES'!$B$5:$B$404,0))=0,"",ROUND((INDEX('PROPERTIES'!$F$5:$F$404,MATCH(E598,'PROPERTIES'!$B$5:$B$404,0))/INDEX('PRICING'!$C$7:$C$16,MATCH(F598,'PRICING'!$A$7:$A$16,0))+INDEX('PROPERTIES'!$G$5:$G$404,MATCH(E598,'PROPERTIES'!$B$5:$B$404,0))*INDEX('PRICING'!$D$7:$D$16,MATCH(F598,'PRICING'!$A$7:$A$16,0))/60+INDEX('PROPERTIES'!$H$5:$H$404,MATCH(E598,'PROPERTIES'!$B$5:$B$404,0))*INDEX('PRICING'!$E$7:$E$16,MATCH(F598,'PRICING'!$A$7:$A$16,0))/60+INDEX('PRICING'!$F$7:$F$16,MATCH(F598,'PRICING'!$A$7:$A$16,0))/60),2)),""))</f>
        <v/>
      </c>
      <c r="R598" s="97">
        <f>IF(B598="","",IF(N(K598)&gt;0,K598,IF(N(J598)&gt;0,J598,N(Q598))))</f>
        <v/>
      </c>
      <c r="S598" s="55">
        <f>IF(L598="","",ROUND(L598*(1+N(M598)),2))</f>
        <v/>
      </c>
      <c r="T598" s="55">
        <f>IF(B598="","",SUMIFS('REVENUE'!$C$5:$C$1504,'REVENUE'!$B$5:$B$1504,A598))</f>
        <v/>
      </c>
      <c r="U598" s="55">
        <f>IF(B598="","",IF(O598="Completed",MAX(0,N(S598)-T598),""))</f>
        <v/>
      </c>
      <c r="V598" s="49">
        <f>IF(B598="","",IF(O598&lt;&gt;"Completed",IF(T598&gt;0,"Deposit","—"),IF(U598&lt;=0.005,"Paid",IF(T598&gt;0,"Partial","Unpaid"))))</f>
        <v/>
      </c>
      <c r="W598" s="55">
        <f>IF(B598="","",IFERROR(1/(1/INDEX('STAFF &amp; TASKS'!$C$5:$C$24,MATCH(H598,'STAFF &amp; TASKS'!$A$5:$A$24,0))),PayRate))</f>
        <v/>
      </c>
      <c r="X598" s="55">
        <f>IF(B598="","",IF(OR(O598="Cancelled",O598="No-Show"),"",ROUND(R598*W598*(1+Burden),2)))</f>
        <v/>
      </c>
      <c r="Y598" s="55">
        <f>IF(B598="","",IF(OR(O598="Cancelled",O598="No-Show"),"",IF(N598&lt;&gt;"",N598,ROUND(R598*SupHr*IFERROR(INDEX('PRICING'!$G$7:$G$16,MATCH(F598,'PRICING'!$A$7:$A$16,0)),1),2))))</f>
        <v/>
      </c>
      <c r="Z598" s="98">
        <f>IF(B598="","",SUMIFS('MILEAGE'!$J$5:$J$1504,'MILEAGE'!$B$5:$B$1504,A598))</f>
        <v/>
      </c>
      <c r="AA598" s="55">
        <f>IF(B598="","",ROUND(Z598*MileRate,2))</f>
        <v/>
      </c>
      <c r="AB598" s="55">
        <f>IF(B598="","",SUMIFS('REVENUE'!$J$5:$J$1504,'REVENUE'!$B$5:$B$1504,A598))</f>
        <v/>
      </c>
      <c r="AC598" s="55">
        <f>IF(L598="","",IF(OR(O598="Cancelled",O598="No-Show"),"",L598-N(X598)-N(Y598)-AA598-AB598))</f>
        <v/>
      </c>
      <c r="AD598" s="99">
        <f>IF(OR(AC598="",N(L598)=0),"",AC598/L598)</f>
        <v/>
      </c>
      <c r="AE598" s="55">
        <f>IF(OR(AC598="",N(R598)=0),"",L598/R598)</f>
        <v/>
      </c>
      <c r="AF598" s="100">
        <f>IF(OR(N(K598)=0,N(J598)+N(Q598)=0),"",K598-IF(N(J598)&gt;0,J598,Q598))</f>
        <v/>
      </c>
      <c r="AG598" s="99">
        <f>IF(B598="","",IFERROR(AVERAGEIFS('QUALITY CONTROL'!$M$5:$M$304,'QUALITY CONTROL'!$B$5:$B$304,A598),""))</f>
        <v/>
      </c>
      <c r="AH598" s="51">
        <f>IF(B598="","",DATE(YEAR(B598),MONTH(B598),1))</f>
        <v/>
      </c>
      <c r="AI598" s="49">
        <f>IF(D598="","",IFERROR(INDEX('CUSTOMERS'!$E$5:$E$404,MATCH(D598,'CUSTOMERS'!$B$5:$B$404,0)),""))</f>
        <v/>
      </c>
      <c r="AJ598" s="49">
        <f>IF(B598="","",N(C598))</f>
        <v/>
      </c>
      <c r="AK598" s="49">
        <f>IF(OR(B598="",O598="Cancelled",O598="Rescheduled"),"",B598&amp;"|"&amp;(COUNTIFS('JOBS'!$B$5:$B$1504,B598,'JOBS'!$AJ$5:$AJ$1504,"&lt;"&amp;AJ598,'JOBS'!$O$5:$O$1504,"&lt;&gt;Cancelled",'JOBS'!$O$5:$O$1504,"&lt;&gt;Rescheduled")+COUNTIFS($B$5:B598,B598,$AJ$5:AJ598,AJ598,$O$5:O598,"&lt;&gt;Cancelled",$O$5:O598,"&lt;&gt;Rescheduled")))</f>
        <v/>
      </c>
      <c r="AL598" s="49">
        <f>IF(N(U598)&lt;=0.005,"",COUNTIFS('JOBS'!$U$5:$U$1504,"&gt;0.005",'JOBS'!$B$5:$B$1504,"&lt;"&amp;B598)+COUNTIFS($U$5:U598,"&gt;0.005",$B$5:B598,B598))</f>
        <v/>
      </c>
    </row>
    <row r="599">
      <c r="A599" s="46" t="inlineStr">
        <is>
          <t>J-0595</t>
        </is>
      </c>
      <c r="B599" s="47" t="n"/>
      <c r="C599" s="94" t="n"/>
      <c r="D599" s="38" t="n"/>
      <c r="E599" s="38" t="n"/>
      <c r="F599" s="38" t="n"/>
      <c r="G599" s="38" t="n"/>
      <c r="H599" s="38" t="n"/>
      <c r="I599" s="57" t="n"/>
      <c r="J599" s="95" t="n"/>
      <c r="K599" s="95" t="n"/>
      <c r="L599" s="48" t="n"/>
      <c r="M599" s="96" t="n"/>
      <c r="N599" s="48" t="n"/>
      <c r="O599" s="38" t="n"/>
      <c r="P599" s="38" t="n"/>
      <c r="Q599" s="97">
        <f>IF(OR(F599="",E599=""),"",IFERROR(IF(INDEX('PROPERTIES'!$F$5:$F$404,MATCH(E599,'PROPERTIES'!$B$5:$B$404,0))=0,"",ROUND((INDEX('PROPERTIES'!$F$5:$F$404,MATCH(E599,'PROPERTIES'!$B$5:$B$404,0))/INDEX('PRICING'!$C$7:$C$16,MATCH(F599,'PRICING'!$A$7:$A$16,0))+INDEX('PROPERTIES'!$G$5:$G$404,MATCH(E599,'PROPERTIES'!$B$5:$B$404,0))*INDEX('PRICING'!$D$7:$D$16,MATCH(F599,'PRICING'!$A$7:$A$16,0))/60+INDEX('PROPERTIES'!$H$5:$H$404,MATCH(E599,'PROPERTIES'!$B$5:$B$404,0))*INDEX('PRICING'!$E$7:$E$16,MATCH(F599,'PRICING'!$A$7:$A$16,0))/60+INDEX('PRICING'!$F$7:$F$16,MATCH(F599,'PRICING'!$A$7:$A$16,0))/60),2)),""))</f>
        <v/>
      </c>
      <c r="R599" s="97">
        <f>IF(B599="","",IF(N(K599)&gt;0,K599,IF(N(J599)&gt;0,J599,N(Q599))))</f>
        <v/>
      </c>
      <c r="S599" s="55">
        <f>IF(L599="","",ROUND(L599*(1+N(M599)),2))</f>
        <v/>
      </c>
      <c r="T599" s="55">
        <f>IF(B599="","",SUMIFS('REVENUE'!$C$5:$C$1504,'REVENUE'!$B$5:$B$1504,A599))</f>
        <v/>
      </c>
      <c r="U599" s="55">
        <f>IF(B599="","",IF(O599="Completed",MAX(0,N(S599)-T599),""))</f>
        <v/>
      </c>
      <c r="V599" s="49">
        <f>IF(B599="","",IF(O599&lt;&gt;"Completed",IF(T599&gt;0,"Deposit","—"),IF(U599&lt;=0.005,"Paid",IF(T599&gt;0,"Partial","Unpaid"))))</f>
        <v/>
      </c>
      <c r="W599" s="55">
        <f>IF(B599="","",IFERROR(1/(1/INDEX('STAFF &amp; TASKS'!$C$5:$C$24,MATCH(H599,'STAFF &amp; TASKS'!$A$5:$A$24,0))),PayRate))</f>
        <v/>
      </c>
      <c r="X599" s="55">
        <f>IF(B599="","",IF(OR(O599="Cancelled",O599="No-Show"),"",ROUND(R599*W599*(1+Burden),2)))</f>
        <v/>
      </c>
      <c r="Y599" s="55">
        <f>IF(B599="","",IF(OR(O599="Cancelled",O599="No-Show"),"",IF(N599&lt;&gt;"",N599,ROUND(R599*SupHr*IFERROR(INDEX('PRICING'!$G$7:$G$16,MATCH(F599,'PRICING'!$A$7:$A$16,0)),1),2))))</f>
        <v/>
      </c>
      <c r="Z599" s="98">
        <f>IF(B599="","",SUMIFS('MILEAGE'!$J$5:$J$1504,'MILEAGE'!$B$5:$B$1504,A599))</f>
        <v/>
      </c>
      <c r="AA599" s="55">
        <f>IF(B599="","",ROUND(Z599*MileRate,2))</f>
        <v/>
      </c>
      <c r="AB599" s="55">
        <f>IF(B599="","",SUMIFS('REVENUE'!$J$5:$J$1504,'REVENUE'!$B$5:$B$1504,A599))</f>
        <v/>
      </c>
      <c r="AC599" s="55">
        <f>IF(L599="","",IF(OR(O599="Cancelled",O599="No-Show"),"",L599-N(X599)-N(Y599)-AA599-AB599))</f>
        <v/>
      </c>
      <c r="AD599" s="99">
        <f>IF(OR(AC599="",N(L599)=0),"",AC599/L599)</f>
        <v/>
      </c>
      <c r="AE599" s="55">
        <f>IF(OR(AC599="",N(R599)=0),"",L599/R599)</f>
        <v/>
      </c>
      <c r="AF599" s="100">
        <f>IF(OR(N(K599)=0,N(J599)+N(Q599)=0),"",K599-IF(N(J599)&gt;0,J599,Q599))</f>
        <v/>
      </c>
      <c r="AG599" s="99">
        <f>IF(B599="","",IFERROR(AVERAGEIFS('QUALITY CONTROL'!$M$5:$M$304,'QUALITY CONTROL'!$B$5:$B$304,A599),""))</f>
        <v/>
      </c>
      <c r="AH599" s="51">
        <f>IF(B599="","",DATE(YEAR(B599),MONTH(B599),1))</f>
        <v/>
      </c>
      <c r="AI599" s="49">
        <f>IF(D599="","",IFERROR(INDEX('CUSTOMERS'!$E$5:$E$404,MATCH(D599,'CUSTOMERS'!$B$5:$B$404,0)),""))</f>
        <v/>
      </c>
      <c r="AJ599" s="49">
        <f>IF(B599="","",N(C599))</f>
        <v/>
      </c>
      <c r="AK599" s="49">
        <f>IF(OR(B599="",O599="Cancelled",O599="Rescheduled"),"",B599&amp;"|"&amp;(COUNTIFS('JOBS'!$B$5:$B$1504,B599,'JOBS'!$AJ$5:$AJ$1504,"&lt;"&amp;AJ599,'JOBS'!$O$5:$O$1504,"&lt;&gt;Cancelled",'JOBS'!$O$5:$O$1504,"&lt;&gt;Rescheduled")+COUNTIFS($B$5:B599,B599,$AJ$5:AJ599,AJ599,$O$5:O599,"&lt;&gt;Cancelled",$O$5:O599,"&lt;&gt;Rescheduled")))</f>
        <v/>
      </c>
      <c r="AL599" s="49">
        <f>IF(N(U599)&lt;=0.005,"",COUNTIFS('JOBS'!$U$5:$U$1504,"&gt;0.005",'JOBS'!$B$5:$B$1504,"&lt;"&amp;B599)+COUNTIFS($U$5:U599,"&gt;0.005",$B$5:B599,B599))</f>
        <v/>
      </c>
    </row>
    <row r="600">
      <c r="A600" s="46" t="inlineStr">
        <is>
          <t>J-0596</t>
        </is>
      </c>
      <c r="B600" s="47" t="n"/>
      <c r="C600" s="94" t="n"/>
      <c r="D600" s="38" t="n"/>
      <c r="E600" s="38" t="n"/>
      <c r="F600" s="38" t="n"/>
      <c r="G600" s="38" t="n"/>
      <c r="H600" s="38" t="n"/>
      <c r="I600" s="57" t="n"/>
      <c r="J600" s="95" t="n"/>
      <c r="K600" s="95" t="n"/>
      <c r="L600" s="48" t="n"/>
      <c r="M600" s="96" t="n"/>
      <c r="N600" s="48" t="n"/>
      <c r="O600" s="38" t="n"/>
      <c r="P600" s="38" t="n"/>
      <c r="Q600" s="97">
        <f>IF(OR(F600="",E600=""),"",IFERROR(IF(INDEX('PROPERTIES'!$F$5:$F$404,MATCH(E600,'PROPERTIES'!$B$5:$B$404,0))=0,"",ROUND((INDEX('PROPERTIES'!$F$5:$F$404,MATCH(E600,'PROPERTIES'!$B$5:$B$404,0))/INDEX('PRICING'!$C$7:$C$16,MATCH(F600,'PRICING'!$A$7:$A$16,0))+INDEX('PROPERTIES'!$G$5:$G$404,MATCH(E600,'PROPERTIES'!$B$5:$B$404,0))*INDEX('PRICING'!$D$7:$D$16,MATCH(F600,'PRICING'!$A$7:$A$16,0))/60+INDEX('PROPERTIES'!$H$5:$H$404,MATCH(E600,'PROPERTIES'!$B$5:$B$404,0))*INDEX('PRICING'!$E$7:$E$16,MATCH(F600,'PRICING'!$A$7:$A$16,0))/60+INDEX('PRICING'!$F$7:$F$16,MATCH(F600,'PRICING'!$A$7:$A$16,0))/60),2)),""))</f>
        <v/>
      </c>
      <c r="R600" s="97">
        <f>IF(B600="","",IF(N(K600)&gt;0,K600,IF(N(J600)&gt;0,J600,N(Q600))))</f>
        <v/>
      </c>
      <c r="S600" s="55">
        <f>IF(L600="","",ROUND(L600*(1+N(M600)),2))</f>
        <v/>
      </c>
      <c r="T600" s="55">
        <f>IF(B600="","",SUMIFS('REVENUE'!$C$5:$C$1504,'REVENUE'!$B$5:$B$1504,A600))</f>
        <v/>
      </c>
      <c r="U600" s="55">
        <f>IF(B600="","",IF(O600="Completed",MAX(0,N(S600)-T600),""))</f>
        <v/>
      </c>
      <c r="V600" s="49">
        <f>IF(B600="","",IF(O600&lt;&gt;"Completed",IF(T600&gt;0,"Deposit","—"),IF(U600&lt;=0.005,"Paid",IF(T600&gt;0,"Partial","Unpaid"))))</f>
        <v/>
      </c>
      <c r="W600" s="55">
        <f>IF(B600="","",IFERROR(1/(1/INDEX('STAFF &amp; TASKS'!$C$5:$C$24,MATCH(H600,'STAFF &amp; TASKS'!$A$5:$A$24,0))),PayRate))</f>
        <v/>
      </c>
      <c r="X600" s="55">
        <f>IF(B600="","",IF(OR(O600="Cancelled",O600="No-Show"),"",ROUND(R600*W600*(1+Burden),2)))</f>
        <v/>
      </c>
      <c r="Y600" s="55">
        <f>IF(B600="","",IF(OR(O600="Cancelled",O600="No-Show"),"",IF(N600&lt;&gt;"",N600,ROUND(R600*SupHr*IFERROR(INDEX('PRICING'!$G$7:$G$16,MATCH(F600,'PRICING'!$A$7:$A$16,0)),1),2))))</f>
        <v/>
      </c>
      <c r="Z600" s="98">
        <f>IF(B600="","",SUMIFS('MILEAGE'!$J$5:$J$1504,'MILEAGE'!$B$5:$B$1504,A600))</f>
        <v/>
      </c>
      <c r="AA600" s="55">
        <f>IF(B600="","",ROUND(Z600*MileRate,2))</f>
        <v/>
      </c>
      <c r="AB600" s="55">
        <f>IF(B600="","",SUMIFS('REVENUE'!$J$5:$J$1504,'REVENUE'!$B$5:$B$1504,A600))</f>
        <v/>
      </c>
      <c r="AC600" s="55">
        <f>IF(L600="","",IF(OR(O600="Cancelled",O600="No-Show"),"",L600-N(X600)-N(Y600)-AA600-AB600))</f>
        <v/>
      </c>
      <c r="AD600" s="99">
        <f>IF(OR(AC600="",N(L600)=0),"",AC600/L600)</f>
        <v/>
      </c>
      <c r="AE600" s="55">
        <f>IF(OR(AC600="",N(R600)=0),"",L600/R600)</f>
        <v/>
      </c>
      <c r="AF600" s="100">
        <f>IF(OR(N(K600)=0,N(J600)+N(Q600)=0),"",K600-IF(N(J600)&gt;0,J600,Q600))</f>
        <v/>
      </c>
      <c r="AG600" s="99">
        <f>IF(B600="","",IFERROR(AVERAGEIFS('QUALITY CONTROL'!$M$5:$M$304,'QUALITY CONTROL'!$B$5:$B$304,A600),""))</f>
        <v/>
      </c>
      <c r="AH600" s="51">
        <f>IF(B600="","",DATE(YEAR(B600),MONTH(B600),1))</f>
        <v/>
      </c>
      <c r="AI600" s="49">
        <f>IF(D600="","",IFERROR(INDEX('CUSTOMERS'!$E$5:$E$404,MATCH(D600,'CUSTOMERS'!$B$5:$B$404,0)),""))</f>
        <v/>
      </c>
      <c r="AJ600" s="49">
        <f>IF(B600="","",N(C600))</f>
        <v/>
      </c>
      <c r="AK600" s="49">
        <f>IF(OR(B600="",O600="Cancelled",O600="Rescheduled"),"",B600&amp;"|"&amp;(COUNTIFS('JOBS'!$B$5:$B$1504,B600,'JOBS'!$AJ$5:$AJ$1504,"&lt;"&amp;AJ600,'JOBS'!$O$5:$O$1504,"&lt;&gt;Cancelled",'JOBS'!$O$5:$O$1504,"&lt;&gt;Rescheduled")+COUNTIFS($B$5:B600,B600,$AJ$5:AJ600,AJ600,$O$5:O600,"&lt;&gt;Cancelled",$O$5:O600,"&lt;&gt;Rescheduled")))</f>
        <v/>
      </c>
      <c r="AL600" s="49">
        <f>IF(N(U600)&lt;=0.005,"",COUNTIFS('JOBS'!$U$5:$U$1504,"&gt;0.005",'JOBS'!$B$5:$B$1504,"&lt;"&amp;B600)+COUNTIFS($U$5:U600,"&gt;0.005",$B$5:B600,B600))</f>
        <v/>
      </c>
    </row>
    <row r="601">
      <c r="A601" s="46" t="inlineStr">
        <is>
          <t>J-0597</t>
        </is>
      </c>
      <c r="B601" s="47" t="n"/>
      <c r="C601" s="94" t="n"/>
      <c r="D601" s="38" t="n"/>
      <c r="E601" s="38" t="n"/>
      <c r="F601" s="38" t="n"/>
      <c r="G601" s="38" t="n"/>
      <c r="H601" s="38" t="n"/>
      <c r="I601" s="57" t="n"/>
      <c r="J601" s="95" t="n"/>
      <c r="K601" s="95" t="n"/>
      <c r="L601" s="48" t="n"/>
      <c r="M601" s="96" t="n"/>
      <c r="N601" s="48" t="n"/>
      <c r="O601" s="38" t="n"/>
      <c r="P601" s="38" t="n"/>
      <c r="Q601" s="97">
        <f>IF(OR(F601="",E601=""),"",IFERROR(IF(INDEX('PROPERTIES'!$F$5:$F$404,MATCH(E601,'PROPERTIES'!$B$5:$B$404,0))=0,"",ROUND((INDEX('PROPERTIES'!$F$5:$F$404,MATCH(E601,'PROPERTIES'!$B$5:$B$404,0))/INDEX('PRICING'!$C$7:$C$16,MATCH(F601,'PRICING'!$A$7:$A$16,0))+INDEX('PROPERTIES'!$G$5:$G$404,MATCH(E601,'PROPERTIES'!$B$5:$B$404,0))*INDEX('PRICING'!$D$7:$D$16,MATCH(F601,'PRICING'!$A$7:$A$16,0))/60+INDEX('PROPERTIES'!$H$5:$H$404,MATCH(E601,'PROPERTIES'!$B$5:$B$404,0))*INDEX('PRICING'!$E$7:$E$16,MATCH(F601,'PRICING'!$A$7:$A$16,0))/60+INDEX('PRICING'!$F$7:$F$16,MATCH(F601,'PRICING'!$A$7:$A$16,0))/60),2)),""))</f>
        <v/>
      </c>
      <c r="R601" s="97">
        <f>IF(B601="","",IF(N(K601)&gt;0,K601,IF(N(J601)&gt;0,J601,N(Q601))))</f>
        <v/>
      </c>
      <c r="S601" s="55">
        <f>IF(L601="","",ROUND(L601*(1+N(M601)),2))</f>
        <v/>
      </c>
      <c r="T601" s="55">
        <f>IF(B601="","",SUMIFS('REVENUE'!$C$5:$C$1504,'REVENUE'!$B$5:$B$1504,A601))</f>
        <v/>
      </c>
      <c r="U601" s="55">
        <f>IF(B601="","",IF(O601="Completed",MAX(0,N(S601)-T601),""))</f>
        <v/>
      </c>
      <c r="V601" s="49">
        <f>IF(B601="","",IF(O601&lt;&gt;"Completed",IF(T601&gt;0,"Deposit","—"),IF(U601&lt;=0.005,"Paid",IF(T601&gt;0,"Partial","Unpaid"))))</f>
        <v/>
      </c>
      <c r="W601" s="55">
        <f>IF(B601="","",IFERROR(1/(1/INDEX('STAFF &amp; TASKS'!$C$5:$C$24,MATCH(H601,'STAFF &amp; TASKS'!$A$5:$A$24,0))),PayRate))</f>
        <v/>
      </c>
      <c r="X601" s="55">
        <f>IF(B601="","",IF(OR(O601="Cancelled",O601="No-Show"),"",ROUND(R601*W601*(1+Burden),2)))</f>
        <v/>
      </c>
      <c r="Y601" s="55">
        <f>IF(B601="","",IF(OR(O601="Cancelled",O601="No-Show"),"",IF(N601&lt;&gt;"",N601,ROUND(R601*SupHr*IFERROR(INDEX('PRICING'!$G$7:$G$16,MATCH(F601,'PRICING'!$A$7:$A$16,0)),1),2))))</f>
        <v/>
      </c>
      <c r="Z601" s="98">
        <f>IF(B601="","",SUMIFS('MILEAGE'!$J$5:$J$1504,'MILEAGE'!$B$5:$B$1504,A601))</f>
        <v/>
      </c>
      <c r="AA601" s="55">
        <f>IF(B601="","",ROUND(Z601*MileRate,2))</f>
        <v/>
      </c>
      <c r="AB601" s="55">
        <f>IF(B601="","",SUMIFS('REVENUE'!$J$5:$J$1504,'REVENUE'!$B$5:$B$1504,A601))</f>
        <v/>
      </c>
      <c r="AC601" s="55">
        <f>IF(L601="","",IF(OR(O601="Cancelled",O601="No-Show"),"",L601-N(X601)-N(Y601)-AA601-AB601))</f>
        <v/>
      </c>
      <c r="AD601" s="99">
        <f>IF(OR(AC601="",N(L601)=0),"",AC601/L601)</f>
        <v/>
      </c>
      <c r="AE601" s="55">
        <f>IF(OR(AC601="",N(R601)=0),"",L601/R601)</f>
        <v/>
      </c>
      <c r="AF601" s="100">
        <f>IF(OR(N(K601)=0,N(J601)+N(Q601)=0),"",K601-IF(N(J601)&gt;0,J601,Q601))</f>
        <v/>
      </c>
      <c r="AG601" s="99">
        <f>IF(B601="","",IFERROR(AVERAGEIFS('QUALITY CONTROL'!$M$5:$M$304,'QUALITY CONTROL'!$B$5:$B$304,A601),""))</f>
        <v/>
      </c>
      <c r="AH601" s="51">
        <f>IF(B601="","",DATE(YEAR(B601),MONTH(B601),1))</f>
        <v/>
      </c>
      <c r="AI601" s="49">
        <f>IF(D601="","",IFERROR(INDEX('CUSTOMERS'!$E$5:$E$404,MATCH(D601,'CUSTOMERS'!$B$5:$B$404,0)),""))</f>
        <v/>
      </c>
      <c r="AJ601" s="49">
        <f>IF(B601="","",N(C601))</f>
        <v/>
      </c>
      <c r="AK601" s="49">
        <f>IF(OR(B601="",O601="Cancelled",O601="Rescheduled"),"",B601&amp;"|"&amp;(COUNTIFS('JOBS'!$B$5:$B$1504,B601,'JOBS'!$AJ$5:$AJ$1504,"&lt;"&amp;AJ601,'JOBS'!$O$5:$O$1504,"&lt;&gt;Cancelled",'JOBS'!$O$5:$O$1504,"&lt;&gt;Rescheduled")+COUNTIFS($B$5:B601,B601,$AJ$5:AJ601,AJ601,$O$5:O601,"&lt;&gt;Cancelled",$O$5:O601,"&lt;&gt;Rescheduled")))</f>
        <v/>
      </c>
      <c r="AL601" s="49">
        <f>IF(N(U601)&lt;=0.005,"",COUNTIFS('JOBS'!$U$5:$U$1504,"&gt;0.005",'JOBS'!$B$5:$B$1504,"&lt;"&amp;B601)+COUNTIFS($U$5:U601,"&gt;0.005",$B$5:B601,B601))</f>
        <v/>
      </c>
    </row>
    <row r="602">
      <c r="A602" s="46" t="inlineStr">
        <is>
          <t>J-0598</t>
        </is>
      </c>
      <c r="B602" s="47" t="n"/>
      <c r="C602" s="94" t="n"/>
      <c r="D602" s="38" t="n"/>
      <c r="E602" s="38" t="n"/>
      <c r="F602" s="38" t="n"/>
      <c r="G602" s="38" t="n"/>
      <c r="H602" s="38" t="n"/>
      <c r="I602" s="57" t="n"/>
      <c r="J602" s="95" t="n"/>
      <c r="K602" s="95" t="n"/>
      <c r="L602" s="48" t="n"/>
      <c r="M602" s="96" t="n"/>
      <c r="N602" s="48" t="n"/>
      <c r="O602" s="38" t="n"/>
      <c r="P602" s="38" t="n"/>
      <c r="Q602" s="97">
        <f>IF(OR(F602="",E602=""),"",IFERROR(IF(INDEX('PROPERTIES'!$F$5:$F$404,MATCH(E602,'PROPERTIES'!$B$5:$B$404,0))=0,"",ROUND((INDEX('PROPERTIES'!$F$5:$F$404,MATCH(E602,'PROPERTIES'!$B$5:$B$404,0))/INDEX('PRICING'!$C$7:$C$16,MATCH(F602,'PRICING'!$A$7:$A$16,0))+INDEX('PROPERTIES'!$G$5:$G$404,MATCH(E602,'PROPERTIES'!$B$5:$B$404,0))*INDEX('PRICING'!$D$7:$D$16,MATCH(F602,'PRICING'!$A$7:$A$16,0))/60+INDEX('PROPERTIES'!$H$5:$H$404,MATCH(E602,'PROPERTIES'!$B$5:$B$404,0))*INDEX('PRICING'!$E$7:$E$16,MATCH(F602,'PRICING'!$A$7:$A$16,0))/60+INDEX('PRICING'!$F$7:$F$16,MATCH(F602,'PRICING'!$A$7:$A$16,0))/60),2)),""))</f>
        <v/>
      </c>
      <c r="R602" s="97">
        <f>IF(B602="","",IF(N(K602)&gt;0,K602,IF(N(J602)&gt;0,J602,N(Q602))))</f>
        <v/>
      </c>
      <c r="S602" s="55">
        <f>IF(L602="","",ROUND(L602*(1+N(M602)),2))</f>
        <v/>
      </c>
      <c r="T602" s="55">
        <f>IF(B602="","",SUMIFS('REVENUE'!$C$5:$C$1504,'REVENUE'!$B$5:$B$1504,A602))</f>
        <v/>
      </c>
      <c r="U602" s="55">
        <f>IF(B602="","",IF(O602="Completed",MAX(0,N(S602)-T602),""))</f>
        <v/>
      </c>
      <c r="V602" s="49">
        <f>IF(B602="","",IF(O602&lt;&gt;"Completed",IF(T602&gt;0,"Deposit","—"),IF(U602&lt;=0.005,"Paid",IF(T602&gt;0,"Partial","Unpaid"))))</f>
        <v/>
      </c>
      <c r="W602" s="55">
        <f>IF(B602="","",IFERROR(1/(1/INDEX('STAFF &amp; TASKS'!$C$5:$C$24,MATCH(H602,'STAFF &amp; TASKS'!$A$5:$A$24,0))),PayRate))</f>
        <v/>
      </c>
      <c r="X602" s="55">
        <f>IF(B602="","",IF(OR(O602="Cancelled",O602="No-Show"),"",ROUND(R602*W602*(1+Burden),2)))</f>
        <v/>
      </c>
      <c r="Y602" s="55">
        <f>IF(B602="","",IF(OR(O602="Cancelled",O602="No-Show"),"",IF(N602&lt;&gt;"",N602,ROUND(R602*SupHr*IFERROR(INDEX('PRICING'!$G$7:$G$16,MATCH(F602,'PRICING'!$A$7:$A$16,0)),1),2))))</f>
        <v/>
      </c>
      <c r="Z602" s="98">
        <f>IF(B602="","",SUMIFS('MILEAGE'!$J$5:$J$1504,'MILEAGE'!$B$5:$B$1504,A602))</f>
        <v/>
      </c>
      <c r="AA602" s="55">
        <f>IF(B602="","",ROUND(Z602*MileRate,2))</f>
        <v/>
      </c>
      <c r="AB602" s="55">
        <f>IF(B602="","",SUMIFS('REVENUE'!$J$5:$J$1504,'REVENUE'!$B$5:$B$1504,A602))</f>
        <v/>
      </c>
      <c r="AC602" s="55">
        <f>IF(L602="","",IF(OR(O602="Cancelled",O602="No-Show"),"",L602-N(X602)-N(Y602)-AA602-AB602))</f>
        <v/>
      </c>
      <c r="AD602" s="99">
        <f>IF(OR(AC602="",N(L602)=0),"",AC602/L602)</f>
        <v/>
      </c>
      <c r="AE602" s="55">
        <f>IF(OR(AC602="",N(R602)=0),"",L602/R602)</f>
        <v/>
      </c>
      <c r="AF602" s="100">
        <f>IF(OR(N(K602)=0,N(J602)+N(Q602)=0),"",K602-IF(N(J602)&gt;0,J602,Q602))</f>
        <v/>
      </c>
      <c r="AG602" s="99">
        <f>IF(B602="","",IFERROR(AVERAGEIFS('QUALITY CONTROL'!$M$5:$M$304,'QUALITY CONTROL'!$B$5:$B$304,A602),""))</f>
        <v/>
      </c>
      <c r="AH602" s="51">
        <f>IF(B602="","",DATE(YEAR(B602),MONTH(B602),1))</f>
        <v/>
      </c>
      <c r="AI602" s="49">
        <f>IF(D602="","",IFERROR(INDEX('CUSTOMERS'!$E$5:$E$404,MATCH(D602,'CUSTOMERS'!$B$5:$B$404,0)),""))</f>
        <v/>
      </c>
      <c r="AJ602" s="49">
        <f>IF(B602="","",N(C602))</f>
        <v/>
      </c>
      <c r="AK602" s="49">
        <f>IF(OR(B602="",O602="Cancelled",O602="Rescheduled"),"",B602&amp;"|"&amp;(COUNTIFS('JOBS'!$B$5:$B$1504,B602,'JOBS'!$AJ$5:$AJ$1504,"&lt;"&amp;AJ602,'JOBS'!$O$5:$O$1504,"&lt;&gt;Cancelled",'JOBS'!$O$5:$O$1504,"&lt;&gt;Rescheduled")+COUNTIFS($B$5:B602,B602,$AJ$5:AJ602,AJ602,$O$5:O602,"&lt;&gt;Cancelled",$O$5:O602,"&lt;&gt;Rescheduled")))</f>
        <v/>
      </c>
      <c r="AL602" s="49">
        <f>IF(N(U602)&lt;=0.005,"",COUNTIFS('JOBS'!$U$5:$U$1504,"&gt;0.005",'JOBS'!$B$5:$B$1504,"&lt;"&amp;B602)+COUNTIFS($U$5:U602,"&gt;0.005",$B$5:B602,B602))</f>
        <v/>
      </c>
    </row>
    <row r="603">
      <c r="A603" s="46" t="inlineStr">
        <is>
          <t>J-0599</t>
        </is>
      </c>
      <c r="B603" s="47" t="n"/>
      <c r="C603" s="94" t="n"/>
      <c r="D603" s="38" t="n"/>
      <c r="E603" s="38" t="n"/>
      <c r="F603" s="38" t="n"/>
      <c r="G603" s="38" t="n"/>
      <c r="H603" s="38" t="n"/>
      <c r="I603" s="57" t="n"/>
      <c r="J603" s="95" t="n"/>
      <c r="K603" s="95" t="n"/>
      <c r="L603" s="48" t="n"/>
      <c r="M603" s="96" t="n"/>
      <c r="N603" s="48" t="n"/>
      <c r="O603" s="38" t="n"/>
      <c r="P603" s="38" t="n"/>
      <c r="Q603" s="97">
        <f>IF(OR(F603="",E603=""),"",IFERROR(IF(INDEX('PROPERTIES'!$F$5:$F$404,MATCH(E603,'PROPERTIES'!$B$5:$B$404,0))=0,"",ROUND((INDEX('PROPERTIES'!$F$5:$F$404,MATCH(E603,'PROPERTIES'!$B$5:$B$404,0))/INDEX('PRICING'!$C$7:$C$16,MATCH(F603,'PRICING'!$A$7:$A$16,0))+INDEX('PROPERTIES'!$G$5:$G$404,MATCH(E603,'PROPERTIES'!$B$5:$B$404,0))*INDEX('PRICING'!$D$7:$D$16,MATCH(F603,'PRICING'!$A$7:$A$16,0))/60+INDEX('PROPERTIES'!$H$5:$H$404,MATCH(E603,'PROPERTIES'!$B$5:$B$404,0))*INDEX('PRICING'!$E$7:$E$16,MATCH(F603,'PRICING'!$A$7:$A$16,0))/60+INDEX('PRICING'!$F$7:$F$16,MATCH(F603,'PRICING'!$A$7:$A$16,0))/60),2)),""))</f>
        <v/>
      </c>
      <c r="R603" s="97">
        <f>IF(B603="","",IF(N(K603)&gt;0,K603,IF(N(J603)&gt;0,J603,N(Q603))))</f>
        <v/>
      </c>
      <c r="S603" s="55">
        <f>IF(L603="","",ROUND(L603*(1+N(M603)),2))</f>
        <v/>
      </c>
      <c r="T603" s="55">
        <f>IF(B603="","",SUMIFS('REVENUE'!$C$5:$C$1504,'REVENUE'!$B$5:$B$1504,A603))</f>
        <v/>
      </c>
      <c r="U603" s="55">
        <f>IF(B603="","",IF(O603="Completed",MAX(0,N(S603)-T603),""))</f>
        <v/>
      </c>
      <c r="V603" s="49">
        <f>IF(B603="","",IF(O603&lt;&gt;"Completed",IF(T603&gt;0,"Deposit","—"),IF(U603&lt;=0.005,"Paid",IF(T603&gt;0,"Partial","Unpaid"))))</f>
        <v/>
      </c>
      <c r="W603" s="55">
        <f>IF(B603="","",IFERROR(1/(1/INDEX('STAFF &amp; TASKS'!$C$5:$C$24,MATCH(H603,'STAFF &amp; TASKS'!$A$5:$A$24,0))),PayRate))</f>
        <v/>
      </c>
      <c r="X603" s="55">
        <f>IF(B603="","",IF(OR(O603="Cancelled",O603="No-Show"),"",ROUND(R603*W603*(1+Burden),2)))</f>
        <v/>
      </c>
      <c r="Y603" s="55">
        <f>IF(B603="","",IF(OR(O603="Cancelled",O603="No-Show"),"",IF(N603&lt;&gt;"",N603,ROUND(R603*SupHr*IFERROR(INDEX('PRICING'!$G$7:$G$16,MATCH(F603,'PRICING'!$A$7:$A$16,0)),1),2))))</f>
        <v/>
      </c>
      <c r="Z603" s="98">
        <f>IF(B603="","",SUMIFS('MILEAGE'!$J$5:$J$1504,'MILEAGE'!$B$5:$B$1504,A603))</f>
        <v/>
      </c>
      <c r="AA603" s="55">
        <f>IF(B603="","",ROUND(Z603*MileRate,2))</f>
        <v/>
      </c>
      <c r="AB603" s="55">
        <f>IF(B603="","",SUMIFS('REVENUE'!$J$5:$J$1504,'REVENUE'!$B$5:$B$1504,A603))</f>
        <v/>
      </c>
      <c r="AC603" s="55">
        <f>IF(L603="","",IF(OR(O603="Cancelled",O603="No-Show"),"",L603-N(X603)-N(Y603)-AA603-AB603))</f>
        <v/>
      </c>
      <c r="AD603" s="99">
        <f>IF(OR(AC603="",N(L603)=0),"",AC603/L603)</f>
        <v/>
      </c>
      <c r="AE603" s="55">
        <f>IF(OR(AC603="",N(R603)=0),"",L603/R603)</f>
        <v/>
      </c>
      <c r="AF603" s="100">
        <f>IF(OR(N(K603)=0,N(J603)+N(Q603)=0),"",K603-IF(N(J603)&gt;0,J603,Q603))</f>
        <v/>
      </c>
      <c r="AG603" s="99">
        <f>IF(B603="","",IFERROR(AVERAGEIFS('QUALITY CONTROL'!$M$5:$M$304,'QUALITY CONTROL'!$B$5:$B$304,A603),""))</f>
        <v/>
      </c>
      <c r="AH603" s="51">
        <f>IF(B603="","",DATE(YEAR(B603),MONTH(B603),1))</f>
        <v/>
      </c>
      <c r="AI603" s="49">
        <f>IF(D603="","",IFERROR(INDEX('CUSTOMERS'!$E$5:$E$404,MATCH(D603,'CUSTOMERS'!$B$5:$B$404,0)),""))</f>
        <v/>
      </c>
      <c r="AJ603" s="49">
        <f>IF(B603="","",N(C603))</f>
        <v/>
      </c>
      <c r="AK603" s="49">
        <f>IF(OR(B603="",O603="Cancelled",O603="Rescheduled"),"",B603&amp;"|"&amp;(COUNTIFS('JOBS'!$B$5:$B$1504,B603,'JOBS'!$AJ$5:$AJ$1504,"&lt;"&amp;AJ603,'JOBS'!$O$5:$O$1504,"&lt;&gt;Cancelled",'JOBS'!$O$5:$O$1504,"&lt;&gt;Rescheduled")+COUNTIFS($B$5:B603,B603,$AJ$5:AJ603,AJ603,$O$5:O603,"&lt;&gt;Cancelled",$O$5:O603,"&lt;&gt;Rescheduled")))</f>
        <v/>
      </c>
      <c r="AL603" s="49">
        <f>IF(N(U603)&lt;=0.005,"",COUNTIFS('JOBS'!$U$5:$U$1504,"&gt;0.005",'JOBS'!$B$5:$B$1504,"&lt;"&amp;B603)+COUNTIFS($U$5:U603,"&gt;0.005",$B$5:B603,B603))</f>
        <v/>
      </c>
    </row>
    <row r="604">
      <c r="A604" s="46" t="inlineStr">
        <is>
          <t>J-0600</t>
        </is>
      </c>
      <c r="B604" s="47" t="n"/>
      <c r="C604" s="94" t="n"/>
      <c r="D604" s="38" t="n"/>
      <c r="E604" s="38" t="n"/>
      <c r="F604" s="38" t="n"/>
      <c r="G604" s="38" t="n"/>
      <c r="H604" s="38" t="n"/>
      <c r="I604" s="57" t="n"/>
      <c r="J604" s="95" t="n"/>
      <c r="K604" s="95" t="n"/>
      <c r="L604" s="48" t="n"/>
      <c r="M604" s="96" t="n"/>
      <c r="N604" s="48" t="n"/>
      <c r="O604" s="38" t="n"/>
      <c r="P604" s="38" t="n"/>
      <c r="Q604" s="97">
        <f>IF(OR(F604="",E604=""),"",IFERROR(IF(INDEX('PROPERTIES'!$F$5:$F$404,MATCH(E604,'PROPERTIES'!$B$5:$B$404,0))=0,"",ROUND((INDEX('PROPERTIES'!$F$5:$F$404,MATCH(E604,'PROPERTIES'!$B$5:$B$404,0))/INDEX('PRICING'!$C$7:$C$16,MATCH(F604,'PRICING'!$A$7:$A$16,0))+INDEX('PROPERTIES'!$G$5:$G$404,MATCH(E604,'PROPERTIES'!$B$5:$B$404,0))*INDEX('PRICING'!$D$7:$D$16,MATCH(F604,'PRICING'!$A$7:$A$16,0))/60+INDEX('PROPERTIES'!$H$5:$H$404,MATCH(E604,'PROPERTIES'!$B$5:$B$404,0))*INDEX('PRICING'!$E$7:$E$16,MATCH(F604,'PRICING'!$A$7:$A$16,0))/60+INDEX('PRICING'!$F$7:$F$16,MATCH(F604,'PRICING'!$A$7:$A$16,0))/60),2)),""))</f>
        <v/>
      </c>
      <c r="R604" s="97">
        <f>IF(B604="","",IF(N(K604)&gt;0,K604,IF(N(J604)&gt;0,J604,N(Q604))))</f>
        <v/>
      </c>
      <c r="S604" s="55">
        <f>IF(L604="","",ROUND(L604*(1+N(M604)),2))</f>
        <v/>
      </c>
      <c r="T604" s="55">
        <f>IF(B604="","",SUMIFS('REVENUE'!$C$5:$C$1504,'REVENUE'!$B$5:$B$1504,A604))</f>
        <v/>
      </c>
      <c r="U604" s="55">
        <f>IF(B604="","",IF(O604="Completed",MAX(0,N(S604)-T604),""))</f>
        <v/>
      </c>
      <c r="V604" s="49">
        <f>IF(B604="","",IF(O604&lt;&gt;"Completed",IF(T604&gt;0,"Deposit","—"),IF(U604&lt;=0.005,"Paid",IF(T604&gt;0,"Partial","Unpaid"))))</f>
        <v/>
      </c>
      <c r="W604" s="55">
        <f>IF(B604="","",IFERROR(1/(1/INDEX('STAFF &amp; TASKS'!$C$5:$C$24,MATCH(H604,'STAFF &amp; TASKS'!$A$5:$A$24,0))),PayRate))</f>
        <v/>
      </c>
      <c r="X604" s="55">
        <f>IF(B604="","",IF(OR(O604="Cancelled",O604="No-Show"),"",ROUND(R604*W604*(1+Burden),2)))</f>
        <v/>
      </c>
      <c r="Y604" s="55">
        <f>IF(B604="","",IF(OR(O604="Cancelled",O604="No-Show"),"",IF(N604&lt;&gt;"",N604,ROUND(R604*SupHr*IFERROR(INDEX('PRICING'!$G$7:$G$16,MATCH(F604,'PRICING'!$A$7:$A$16,0)),1),2))))</f>
        <v/>
      </c>
      <c r="Z604" s="98">
        <f>IF(B604="","",SUMIFS('MILEAGE'!$J$5:$J$1504,'MILEAGE'!$B$5:$B$1504,A604))</f>
        <v/>
      </c>
      <c r="AA604" s="55">
        <f>IF(B604="","",ROUND(Z604*MileRate,2))</f>
        <v/>
      </c>
      <c r="AB604" s="55">
        <f>IF(B604="","",SUMIFS('REVENUE'!$J$5:$J$1504,'REVENUE'!$B$5:$B$1504,A604))</f>
        <v/>
      </c>
      <c r="AC604" s="55">
        <f>IF(L604="","",IF(OR(O604="Cancelled",O604="No-Show"),"",L604-N(X604)-N(Y604)-AA604-AB604))</f>
        <v/>
      </c>
      <c r="AD604" s="99">
        <f>IF(OR(AC604="",N(L604)=0),"",AC604/L604)</f>
        <v/>
      </c>
      <c r="AE604" s="55">
        <f>IF(OR(AC604="",N(R604)=0),"",L604/R604)</f>
        <v/>
      </c>
      <c r="AF604" s="100">
        <f>IF(OR(N(K604)=0,N(J604)+N(Q604)=0),"",K604-IF(N(J604)&gt;0,J604,Q604))</f>
        <v/>
      </c>
      <c r="AG604" s="99">
        <f>IF(B604="","",IFERROR(AVERAGEIFS('QUALITY CONTROL'!$M$5:$M$304,'QUALITY CONTROL'!$B$5:$B$304,A604),""))</f>
        <v/>
      </c>
      <c r="AH604" s="51">
        <f>IF(B604="","",DATE(YEAR(B604),MONTH(B604),1))</f>
        <v/>
      </c>
      <c r="AI604" s="49">
        <f>IF(D604="","",IFERROR(INDEX('CUSTOMERS'!$E$5:$E$404,MATCH(D604,'CUSTOMERS'!$B$5:$B$404,0)),""))</f>
        <v/>
      </c>
      <c r="AJ604" s="49">
        <f>IF(B604="","",N(C604))</f>
        <v/>
      </c>
      <c r="AK604" s="49">
        <f>IF(OR(B604="",O604="Cancelled",O604="Rescheduled"),"",B604&amp;"|"&amp;(COUNTIFS('JOBS'!$B$5:$B$1504,B604,'JOBS'!$AJ$5:$AJ$1504,"&lt;"&amp;AJ604,'JOBS'!$O$5:$O$1504,"&lt;&gt;Cancelled",'JOBS'!$O$5:$O$1504,"&lt;&gt;Rescheduled")+COUNTIFS($B$5:B604,B604,$AJ$5:AJ604,AJ604,$O$5:O604,"&lt;&gt;Cancelled",$O$5:O604,"&lt;&gt;Rescheduled")))</f>
        <v/>
      </c>
      <c r="AL604" s="49">
        <f>IF(N(U604)&lt;=0.005,"",COUNTIFS('JOBS'!$U$5:$U$1504,"&gt;0.005",'JOBS'!$B$5:$B$1504,"&lt;"&amp;B604)+COUNTIFS($U$5:U604,"&gt;0.005",$B$5:B604,B604))</f>
        <v/>
      </c>
    </row>
    <row r="605">
      <c r="A605" s="46" t="inlineStr">
        <is>
          <t>J-0601</t>
        </is>
      </c>
      <c r="B605" s="47" t="n"/>
      <c r="C605" s="94" t="n"/>
      <c r="D605" s="38" t="n"/>
      <c r="E605" s="38" t="n"/>
      <c r="F605" s="38" t="n"/>
      <c r="G605" s="38" t="n"/>
      <c r="H605" s="38" t="n"/>
      <c r="I605" s="57" t="n"/>
      <c r="J605" s="95" t="n"/>
      <c r="K605" s="95" t="n"/>
      <c r="L605" s="48" t="n"/>
      <c r="M605" s="96" t="n"/>
      <c r="N605" s="48" t="n"/>
      <c r="O605" s="38" t="n"/>
      <c r="P605" s="38" t="n"/>
      <c r="Q605" s="97">
        <f>IF(OR(F605="",E605=""),"",IFERROR(IF(INDEX('PROPERTIES'!$F$5:$F$404,MATCH(E605,'PROPERTIES'!$B$5:$B$404,0))=0,"",ROUND((INDEX('PROPERTIES'!$F$5:$F$404,MATCH(E605,'PROPERTIES'!$B$5:$B$404,0))/INDEX('PRICING'!$C$7:$C$16,MATCH(F605,'PRICING'!$A$7:$A$16,0))+INDEX('PROPERTIES'!$G$5:$G$404,MATCH(E605,'PROPERTIES'!$B$5:$B$404,0))*INDEX('PRICING'!$D$7:$D$16,MATCH(F605,'PRICING'!$A$7:$A$16,0))/60+INDEX('PROPERTIES'!$H$5:$H$404,MATCH(E605,'PROPERTIES'!$B$5:$B$404,0))*INDEX('PRICING'!$E$7:$E$16,MATCH(F605,'PRICING'!$A$7:$A$16,0))/60+INDEX('PRICING'!$F$7:$F$16,MATCH(F605,'PRICING'!$A$7:$A$16,0))/60),2)),""))</f>
        <v/>
      </c>
      <c r="R605" s="97">
        <f>IF(B605="","",IF(N(K605)&gt;0,K605,IF(N(J605)&gt;0,J605,N(Q605))))</f>
        <v/>
      </c>
      <c r="S605" s="55">
        <f>IF(L605="","",ROUND(L605*(1+N(M605)),2))</f>
        <v/>
      </c>
      <c r="T605" s="55">
        <f>IF(B605="","",SUMIFS('REVENUE'!$C$5:$C$1504,'REVENUE'!$B$5:$B$1504,A605))</f>
        <v/>
      </c>
      <c r="U605" s="55">
        <f>IF(B605="","",IF(O605="Completed",MAX(0,N(S605)-T605),""))</f>
        <v/>
      </c>
      <c r="V605" s="49">
        <f>IF(B605="","",IF(O605&lt;&gt;"Completed",IF(T605&gt;0,"Deposit","—"),IF(U605&lt;=0.005,"Paid",IF(T605&gt;0,"Partial","Unpaid"))))</f>
        <v/>
      </c>
      <c r="W605" s="55">
        <f>IF(B605="","",IFERROR(1/(1/INDEX('STAFF &amp; TASKS'!$C$5:$C$24,MATCH(H605,'STAFF &amp; TASKS'!$A$5:$A$24,0))),PayRate))</f>
        <v/>
      </c>
      <c r="X605" s="55">
        <f>IF(B605="","",IF(OR(O605="Cancelled",O605="No-Show"),"",ROUND(R605*W605*(1+Burden),2)))</f>
        <v/>
      </c>
      <c r="Y605" s="55">
        <f>IF(B605="","",IF(OR(O605="Cancelled",O605="No-Show"),"",IF(N605&lt;&gt;"",N605,ROUND(R605*SupHr*IFERROR(INDEX('PRICING'!$G$7:$G$16,MATCH(F605,'PRICING'!$A$7:$A$16,0)),1),2))))</f>
        <v/>
      </c>
      <c r="Z605" s="98">
        <f>IF(B605="","",SUMIFS('MILEAGE'!$J$5:$J$1504,'MILEAGE'!$B$5:$B$1504,A605))</f>
        <v/>
      </c>
      <c r="AA605" s="55">
        <f>IF(B605="","",ROUND(Z605*MileRate,2))</f>
        <v/>
      </c>
      <c r="AB605" s="55">
        <f>IF(B605="","",SUMIFS('REVENUE'!$J$5:$J$1504,'REVENUE'!$B$5:$B$1504,A605))</f>
        <v/>
      </c>
      <c r="AC605" s="55">
        <f>IF(L605="","",IF(OR(O605="Cancelled",O605="No-Show"),"",L605-N(X605)-N(Y605)-AA605-AB605))</f>
        <v/>
      </c>
      <c r="AD605" s="99">
        <f>IF(OR(AC605="",N(L605)=0),"",AC605/L605)</f>
        <v/>
      </c>
      <c r="AE605" s="55">
        <f>IF(OR(AC605="",N(R605)=0),"",L605/R605)</f>
        <v/>
      </c>
      <c r="AF605" s="100">
        <f>IF(OR(N(K605)=0,N(J605)+N(Q605)=0),"",K605-IF(N(J605)&gt;0,J605,Q605))</f>
        <v/>
      </c>
      <c r="AG605" s="99">
        <f>IF(B605="","",IFERROR(AVERAGEIFS('QUALITY CONTROL'!$M$5:$M$304,'QUALITY CONTROL'!$B$5:$B$304,A605),""))</f>
        <v/>
      </c>
      <c r="AH605" s="51">
        <f>IF(B605="","",DATE(YEAR(B605),MONTH(B605),1))</f>
        <v/>
      </c>
      <c r="AI605" s="49">
        <f>IF(D605="","",IFERROR(INDEX('CUSTOMERS'!$E$5:$E$404,MATCH(D605,'CUSTOMERS'!$B$5:$B$404,0)),""))</f>
        <v/>
      </c>
      <c r="AJ605" s="49">
        <f>IF(B605="","",N(C605))</f>
        <v/>
      </c>
      <c r="AK605" s="49">
        <f>IF(OR(B605="",O605="Cancelled",O605="Rescheduled"),"",B605&amp;"|"&amp;(COUNTIFS('JOBS'!$B$5:$B$1504,B605,'JOBS'!$AJ$5:$AJ$1504,"&lt;"&amp;AJ605,'JOBS'!$O$5:$O$1504,"&lt;&gt;Cancelled",'JOBS'!$O$5:$O$1504,"&lt;&gt;Rescheduled")+COUNTIFS($B$5:B605,B605,$AJ$5:AJ605,AJ605,$O$5:O605,"&lt;&gt;Cancelled",$O$5:O605,"&lt;&gt;Rescheduled")))</f>
        <v/>
      </c>
      <c r="AL605" s="49">
        <f>IF(N(U605)&lt;=0.005,"",COUNTIFS('JOBS'!$U$5:$U$1504,"&gt;0.005",'JOBS'!$B$5:$B$1504,"&lt;"&amp;B605)+COUNTIFS($U$5:U605,"&gt;0.005",$B$5:B605,B605))</f>
        <v/>
      </c>
    </row>
    <row r="606">
      <c r="A606" s="46" t="inlineStr">
        <is>
          <t>J-0602</t>
        </is>
      </c>
      <c r="B606" s="47" t="n"/>
      <c r="C606" s="94" t="n"/>
      <c r="D606" s="38" t="n"/>
      <c r="E606" s="38" t="n"/>
      <c r="F606" s="38" t="n"/>
      <c r="G606" s="38" t="n"/>
      <c r="H606" s="38" t="n"/>
      <c r="I606" s="57" t="n"/>
      <c r="J606" s="95" t="n"/>
      <c r="K606" s="95" t="n"/>
      <c r="L606" s="48" t="n"/>
      <c r="M606" s="96" t="n"/>
      <c r="N606" s="48" t="n"/>
      <c r="O606" s="38" t="n"/>
      <c r="P606" s="38" t="n"/>
      <c r="Q606" s="97">
        <f>IF(OR(F606="",E606=""),"",IFERROR(IF(INDEX('PROPERTIES'!$F$5:$F$404,MATCH(E606,'PROPERTIES'!$B$5:$B$404,0))=0,"",ROUND((INDEX('PROPERTIES'!$F$5:$F$404,MATCH(E606,'PROPERTIES'!$B$5:$B$404,0))/INDEX('PRICING'!$C$7:$C$16,MATCH(F606,'PRICING'!$A$7:$A$16,0))+INDEX('PROPERTIES'!$G$5:$G$404,MATCH(E606,'PROPERTIES'!$B$5:$B$404,0))*INDEX('PRICING'!$D$7:$D$16,MATCH(F606,'PRICING'!$A$7:$A$16,0))/60+INDEX('PROPERTIES'!$H$5:$H$404,MATCH(E606,'PROPERTIES'!$B$5:$B$404,0))*INDEX('PRICING'!$E$7:$E$16,MATCH(F606,'PRICING'!$A$7:$A$16,0))/60+INDEX('PRICING'!$F$7:$F$16,MATCH(F606,'PRICING'!$A$7:$A$16,0))/60),2)),""))</f>
        <v/>
      </c>
      <c r="R606" s="97">
        <f>IF(B606="","",IF(N(K606)&gt;0,K606,IF(N(J606)&gt;0,J606,N(Q606))))</f>
        <v/>
      </c>
      <c r="S606" s="55">
        <f>IF(L606="","",ROUND(L606*(1+N(M606)),2))</f>
        <v/>
      </c>
      <c r="T606" s="55">
        <f>IF(B606="","",SUMIFS('REVENUE'!$C$5:$C$1504,'REVENUE'!$B$5:$B$1504,A606))</f>
        <v/>
      </c>
      <c r="U606" s="55">
        <f>IF(B606="","",IF(O606="Completed",MAX(0,N(S606)-T606),""))</f>
        <v/>
      </c>
      <c r="V606" s="49">
        <f>IF(B606="","",IF(O606&lt;&gt;"Completed",IF(T606&gt;0,"Deposit","—"),IF(U606&lt;=0.005,"Paid",IF(T606&gt;0,"Partial","Unpaid"))))</f>
        <v/>
      </c>
      <c r="W606" s="55">
        <f>IF(B606="","",IFERROR(1/(1/INDEX('STAFF &amp; TASKS'!$C$5:$C$24,MATCH(H606,'STAFF &amp; TASKS'!$A$5:$A$24,0))),PayRate))</f>
        <v/>
      </c>
      <c r="X606" s="55">
        <f>IF(B606="","",IF(OR(O606="Cancelled",O606="No-Show"),"",ROUND(R606*W606*(1+Burden),2)))</f>
        <v/>
      </c>
      <c r="Y606" s="55">
        <f>IF(B606="","",IF(OR(O606="Cancelled",O606="No-Show"),"",IF(N606&lt;&gt;"",N606,ROUND(R606*SupHr*IFERROR(INDEX('PRICING'!$G$7:$G$16,MATCH(F606,'PRICING'!$A$7:$A$16,0)),1),2))))</f>
        <v/>
      </c>
      <c r="Z606" s="98">
        <f>IF(B606="","",SUMIFS('MILEAGE'!$J$5:$J$1504,'MILEAGE'!$B$5:$B$1504,A606))</f>
        <v/>
      </c>
      <c r="AA606" s="55">
        <f>IF(B606="","",ROUND(Z606*MileRate,2))</f>
        <v/>
      </c>
      <c r="AB606" s="55">
        <f>IF(B606="","",SUMIFS('REVENUE'!$J$5:$J$1504,'REVENUE'!$B$5:$B$1504,A606))</f>
        <v/>
      </c>
      <c r="AC606" s="55">
        <f>IF(L606="","",IF(OR(O606="Cancelled",O606="No-Show"),"",L606-N(X606)-N(Y606)-AA606-AB606))</f>
        <v/>
      </c>
      <c r="AD606" s="99">
        <f>IF(OR(AC606="",N(L606)=0),"",AC606/L606)</f>
        <v/>
      </c>
      <c r="AE606" s="55">
        <f>IF(OR(AC606="",N(R606)=0),"",L606/R606)</f>
        <v/>
      </c>
      <c r="AF606" s="100">
        <f>IF(OR(N(K606)=0,N(J606)+N(Q606)=0),"",K606-IF(N(J606)&gt;0,J606,Q606))</f>
        <v/>
      </c>
      <c r="AG606" s="99">
        <f>IF(B606="","",IFERROR(AVERAGEIFS('QUALITY CONTROL'!$M$5:$M$304,'QUALITY CONTROL'!$B$5:$B$304,A606),""))</f>
        <v/>
      </c>
      <c r="AH606" s="51">
        <f>IF(B606="","",DATE(YEAR(B606),MONTH(B606),1))</f>
        <v/>
      </c>
      <c r="AI606" s="49">
        <f>IF(D606="","",IFERROR(INDEX('CUSTOMERS'!$E$5:$E$404,MATCH(D606,'CUSTOMERS'!$B$5:$B$404,0)),""))</f>
        <v/>
      </c>
      <c r="AJ606" s="49">
        <f>IF(B606="","",N(C606))</f>
        <v/>
      </c>
      <c r="AK606" s="49">
        <f>IF(OR(B606="",O606="Cancelled",O606="Rescheduled"),"",B606&amp;"|"&amp;(COUNTIFS('JOBS'!$B$5:$B$1504,B606,'JOBS'!$AJ$5:$AJ$1504,"&lt;"&amp;AJ606,'JOBS'!$O$5:$O$1504,"&lt;&gt;Cancelled",'JOBS'!$O$5:$O$1504,"&lt;&gt;Rescheduled")+COUNTIFS($B$5:B606,B606,$AJ$5:AJ606,AJ606,$O$5:O606,"&lt;&gt;Cancelled",$O$5:O606,"&lt;&gt;Rescheduled")))</f>
        <v/>
      </c>
      <c r="AL606" s="49">
        <f>IF(N(U606)&lt;=0.005,"",COUNTIFS('JOBS'!$U$5:$U$1504,"&gt;0.005",'JOBS'!$B$5:$B$1504,"&lt;"&amp;B606)+COUNTIFS($U$5:U606,"&gt;0.005",$B$5:B606,B606))</f>
        <v/>
      </c>
    </row>
    <row r="607">
      <c r="A607" s="46" t="inlineStr">
        <is>
          <t>J-0603</t>
        </is>
      </c>
      <c r="B607" s="47" t="n"/>
      <c r="C607" s="94" t="n"/>
      <c r="D607" s="38" t="n"/>
      <c r="E607" s="38" t="n"/>
      <c r="F607" s="38" t="n"/>
      <c r="G607" s="38" t="n"/>
      <c r="H607" s="38" t="n"/>
      <c r="I607" s="57" t="n"/>
      <c r="J607" s="95" t="n"/>
      <c r="K607" s="95" t="n"/>
      <c r="L607" s="48" t="n"/>
      <c r="M607" s="96" t="n"/>
      <c r="N607" s="48" t="n"/>
      <c r="O607" s="38" t="n"/>
      <c r="P607" s="38" t="n"/>
      <c r="Q607" s="97">
        <f>IF(OR(F607="",E607=""),"",IFERROR(IF(INDEX('PROPERTIES'!$F$5:$F$404,MATCH(E607,'PROPERTIES'!$B$5:$B$404,0))=0,"",ROUND((INDEX('PROPERTIES'!$F$5:$F$404,MATCH(E607,'PROPERTIES'!$B$5:$B$404,0))/INDEX('PRICING'!$C$7:$C$16,MATCH(F607,'PRICING'!$A$7:$A$16,0))+INDEX('PROPERTIES'!$G$5:$G$404,MATCH(E607,'PROPERTIES'!$B$5:$B$404,0))*INDEX('PRICING'!$D$7:$D$16,MATCH(F607,'PRICING'!$A$7:$A$16,0))/60+INDEX('PROPERTIES'!$H$5:$H$404,MATCH(E607,'PROPERTIES'!$B$5:$B$404,0))*INDEX('PRICING'!$E$7:$E$16,MATCH(F607,'PRICING'!$A$7:$A$16,0))/60+INDEX('PRICING'!$F$7:$F$16,MATCH(F607,'PRICING'!$A$7:$A$16,0))/60),2)),""))</f>
        <v/>
      </c>
      <c r="R607" s="97">
        <f>IF(B607="","",IF(N(K607)&gt;0,K607,IF(N(J607)&gt;0,J607,N(Q607))))</f>
        <v/>
      </c>
      <c r="S607" s="55">
        <f>IF(L607="","",ROUND(L607*(1+N(M607)),2))</f>
        <v/>
      </c>
      <c r="T607" s="55">
        <f>IF(B607="","",SUMIFS('REVENUE'!$C$5:$C$1504,'REVENUE'!$B$5:$B$1504,A607))</f>
        <v/>
      </c>
      <c r="U607" s="55">
        <f>IF(B607="","",IF(O607="Completed",MAX(0,N(S607)-T607),""))</f>
        <v/>
      </c>
      <c r="V607" s="49">
        <f>IF(B607="","",IF(O607&lt;&gt;"Completed",IF(T607&gt;0,"Deposit","—"),IF(U607&lt;=0.005,"Paid",IF(T607&gt;0,"Partial","Unpaid"))))</f>
        <v/>
      </c>
      <c r="W607" s="55">
        <f>IF(B607="","",IFERROR(1/(1/INDEX('STAFF &amp; TASKS'!$C$5:$C$24,MATCH(H607,'STAFF &amp; TASKS'!$A$5:$A$24,0))),PayRate))</f>
        <v/>
      </c>
      <c r="X607" s="55">
        <f>IF(B607="","",IF(OR(O607="Cancelled",O607="No-Show"),"",ROUND(R607*W607*(1+Burden),2)))</f>
        <v/>
      </c>
      <c r="Y607" s="55">
        <f>IF(B607="","",IF(OR(O607="Cancelled",O607="No-Show"),"",IF(N607&lt;&gt;"",N607,ROUND(R607*SupHr*IFERROR(INDEX('PRICING'!$G$7:$G$16,MATCH(F607,'PRICING'!$A$7:$A$16,0)),1),2))))</f>
        <v/>
      </c>
      <c r="Z607" s="98">
        <f>IF(B607="","",SUMIFS('MILEAGE'!$J$5:$J$1504,'MILEAGE'!$B$5:$B$1504,A607))</f>
        <v/>
      </c>
      <c r="AA607" s="55">
        <f>IF(B607="","",ROUND(Z607*MileRate,2))</f>
        <v/>
      </c>
      <c r="AB607" s="55">
        <f>IF(B607="","",SUMIFS('REVENUE'!$J$5:$J$1504,'REVENUE'!$B$5:$B$1504,A607))</f>
        <v/>
      </c>
      <c r="AC607" s="55">
        <f>IF(L607="","",IF(OR(O607="Cancelled",O607="No-Show"),"",L607-N(X607)-N(Y607)-AA607-AB607))</f>
        <v/>
      </c>
      <c r="AD607" s="99">
        <f>IF(OR(AC607="",N(L607)=0),"",AC607/L607)</f>
        <v/>
      </c>
      <c r="AE607" s="55">
        <f>IF(OR(AC607="",N(R607)=0),"",L607/R607)</f>
        <v/>
      </c>
      <c r="AF607" s="100">
        <f>IF(OR(N(K607)=0,N(J607)+N(Q607)=0),"",K607-IF(N(J607)&gt;0,J607,Q607))</f>
        <v/>
      </c>
      <c r="AG607" s="99">
        <f>IF(B607="","",IFERROR(AVERAGEIFS('QUALITY CONTROL'!$M$5:$M$304,'QUALITY CONTROL'!$B$5:$B$304,A607),""))</f>
        <v/>
      </c>
      <c r="AH607" s="51">
        <f>IF(B607="","",DATE(YEAR(B607),MONTH(B607),1))</f>
        <v/>
      </c>
      <c r="AI607" s="49">
        <f>IF(D607="","",IFERROR(INDEX('CUSTOMERS'!$E$5:$E$404,MATCH(D607,'CUSTOMERS'!$B$5:$B$404,0)),""))</f>
        <v/>
      </c>
      <c r="AJ607" s="49">
        <f>IF(B607="","",N(C607))</f>
        <v/>
      </c>
      <c r="AK607" s="49">
        <f>IF(OR(B607="",O607="Cancelled",O607="Rescheduled"),"",B607&amp;"|"&amp;(COUNTIFS('JOBS'!$B$5:$B$1504,B607,'JOBS'!$AJ$5:$AJ$1504,"&lt;"&amp;AJ607,'JOBS'!$O$5:$O$1504,"&lt;&gt;Cancelled",'JOBS'!$O$5:$O$1504,"&lt;&gt;Rescheduled")+COUNTIFS($B$5:B607,B607,$AJ$5:AJ607,AJ607,$O$5:O607,"&lt;&gt;Cancelled",$O$5:O607,"&lt;&gt;Rescheduled")))</f>
        <v/>
      </c>
      <c r="AL607" s="49">
        <f>IF(N(U607)&lt;=0.005,"",COUNTIFS('JOBS'!$U$5:$U$1504,"&gt;0.005",'JOBS'!$B$5:$B$1504,"&lt;"&amp;B607)+COUNTIFS($U$5:U607,"&gt;0.005",$B$5:B607,B607))</f>
        <v/>
      </c>
    </row>
    <row r="608">
      <c r="A608" s="46" t="inlineStr">
        <is>
          <t>J-0604</t>
        </is>
      </c>
      <c r="B608" s="47" t="n"/>
      <c r="C608" s="94" t="n"/>
      <c r="D608" s="38" t="n"/>
      <c r="E608" s="38" t="n"/>
      <c r="F608" s="38" t="n"/>
      <c r="G608" s="38" t="n"/>
      <c r="H608" s="38" t="n"/>
      <c r="I608" s="57" t="n"/>
      <c r="J608" s="95" t="n"/>
      <c r="K608" s="95" t="n"/>
      <c r="L608" s="48" t="n"/>
      <c r="M608" s="96" t="n"/>
      <c r="N608" s="48" t="n"/>
      <c r="O608" s="38" t="n"/>
      <c r="P608" s="38" t="n"/>
      <c r="Q608" s="97">
        <f>IF(OR(F608="",E608=""),"",IFERROR(IF(INDEX('PROPERTIES'!$F$5:$F$404,MATCH(E608,'PROPERTIES'!$B$5:$B$404,0))=0,"",ROUND((INDEX('PROPERTIES'!$F$5:$F$404,MATCH(E608,'PROPERTIES'!$B$5:$B$404,0))/INDEX('PRICING'!$C$7:$C$16,MATCH(F608,'PRICING'!$A$7:$A$16,0))+INDEX('PROPERTIES'!$G$5:$G$404,MATCH(E608,'PROPERTIES'!$B$5:$B$404,0))*INDEX('PRICING'!$D$7:$D$16,MATCH(F608,'PRICING'!$A$7:$A$16,0))/60+INDEX('PROPERTIES'!$H$5:$H$404,MATCH(E608,'PROPERTIES'!$B$5:$B$404,0))*INDEX('PRICING'!$E$7:$E$16,MATCH(F608,'PRICING'!$A$7:$A$16,0))/60+INDEX('PRICING'!$F$7:$F$16,MATCH(F608,'PRICING'!$A$7:$A$16,0))/60),2)),""))</f>
        <v/>
      </c>
      <c r="R608" s="97">
        <f>IF(B608="","",IF(N(K608)&gt;0,K608,IF(N(J608)&gt;0,J608,N(Q608))))</f>
        <v/>
      </c>
      <c r="S608" s="55">
        <f>IF(L608="","",ROUND(L608*(1+N(M608)),2))</f>
        <v/>
      </c>
      <c r="T608" s="55">
        <f>IF(B608="","",SUMIFS('REVENUE'!$C$5:$C$1504,'REVENUE'!$B$5:$B$1504,A608))</f>
        <v/>
      </c>
      <c r="U608" s="55">
        <f>IF(B608="","",IF(O608="Completed",MAX(0,N(S608)-T608),""))</f>
        <v/>
      </c>
      <c r="V608" s="49">
        <f>IF(B608="","",IF(O608&lt;&gt;"Completed",IF(T608&gt;0,"Deposit","—"),IF(U608&lt;=0.005,"Paid",IF(T608&gt;0,"Partial","Unpaid"))))</f>
        <v/>
      </c>
      <c r="W608" s="55">
        <f>IF(B608="","",IFERROR(1/(1/INDEX('STAFF &amp; TASKS'!$C$5:$C$24,MATCH(H608,'STAFF &amp; TASKS'!$A$5:$A$24,0))),PayRate))</f>
        <v/>
      </c>
      <c r="X608" s="55">
        <f>IF(B608="","",IF(OR(O608="Cancelled",O608="No-Show"),"",ROUND(R608*W608*(1+Burden),2)))</f>
        <v/>
      </c>
      <c r="Y608" s="55">
        <f>IF(B608="","",IF(OR(O608="Cancelled",O608="No-Show"),"",IF(N608&lt;&gt;"",N608,ROUND(R608*SupHr*IFERROR(INDEX('PRICING'!$G$7:$G$16,MATCH(F608,'PRICING'!$A$7:$A$16,0)),1),2))))</f>
        <v/>
      </c>
      <c r="Z608" s="98">
        <f>IF(B608="","",SUMIFS('MILEAGE'!$J$5:$J$1504,'MILEAGE'!$B$5:$B$1504,A608))</f>
        <v/>
      </c>
      <c r="AA608" s="55">
        <f>IF(B608="","",ROUND(Z608*MileRate,2))</f>
        <v/>
      </c>
      <c r="AB608" s="55">
        <f>IF(B608="","",SUMIFS('REVENUE'!$J$5:$J$1504,'REVENUE'!$B$5:$B$1504,A608))</f>
        <v/>
      </c>
      <c r="AC608" s="55">
        <f>IF(L608="","",IF(OR(O608="Cancelled",O608="No-Show"),"",L608-N(X608)-N(Y608)-AA608-AB608))</f>
        <v/>
      </c>
      <c r="AD608" s="99">
        <f>IF(OR(AC608="",N(L608)=0),"",AC608/L608)</f>
        <v/>
      </c>
      <c r="AE608" s="55">
        <f>IF(OR(AC608="",N(R608)=0),"",L608/R608)</f>
        <v/>
      </c>
      <c r="AF608" s="100">
        <f>IF(OR(N(K608)=0,N(J608)+N(Q608)=0),"",K608-IF(N(J608)&gt;0,J608,Q608))</f>
        <v/>
      </c>
      <c r="AG608" s="99">
        <f>IF(B608="","",IFERROR(AVERAGEIFS('QUALITY CONTROL'!$M$5:$M$304,'QUALITY CONTROL'!$B$5:$B$304,A608),""))</f>
        <v/>
      </c>
      <c r="AH608" s="51">
        <f>IF(B608="","",DATE(YEAR(B608),MONTH(B608),1))</f>
        <v/>
      </c>
      <c r="AI608" s="49">
        <f>IF(D608="","",IFERROR(INDEX('CUSTOMERS'!$E$5:$E$404,MATCH(D608,'CUSTOMERS'!$B$5:$B$404,0)),""))</f>
        <v/>
      </c>
      <c r="AJ608" s="49">
        <f>IF(B608="","",N(C608))</f>
        <v/>
      </c>
      <c r="AK608" s="49">
        <f>IF(OR(B608="",O608="Cancelled",O608="Rescheduled"),"",B608&amp;"|"&amp;(COUNTIFS('JOBS'!$B$5:$B$1504,B608,'JOBS'!$AJ$5:$AJ$1504,"&lt;"&amp;AJ608,'JOBS'!$O$5:$O$1504,"&lt;&gt;Cancelled",'JOBS'!$O$5:$O$1504,"&lt;&gt;Rescheduled")+COUNTIFS($B$5:B608,B608,$AJ$5:AJ608,AJ608,$O$5:O608,"&lt;&gt;Cancelled",$O$5:O608,"&lt;&gt;Rescheduled")))</f>
        <v/>
      </c>
      <c r="AL608" s="49">
        <f>IF(N(U608)&lt;=0.005,"",COUNTIFS('JOBS'!$U$5:$U$1504,"&gt;0.005",'JOBS'!$B$5:$B$1504,"&lt;"&amp;B608)+COUNTIFS($U$5:U608,"&gt;0.005",$B$5:B608,B608))</f>
        <v/>
      </c>
    </row>
    <row r="609">
      <c r="A609" s="46" t="inlineStr">
        <is>
          <t>J-0605</t>
        </is>
      </c>
      <c r="B609" s="47" t="n"/>
      <c r="C609" s="94" t="n"/>
      <c r="D609" s="38" t="n"/>
      <c r="E609" s="38" t="n"/>
      <c r="F609" s="38" t="n"/>
      <c r="G609" s="38" t="n"/>
      <c r="H609" s="38" t="n"/>
      <c r="I609" s="57" t="n"/>
      <c r="J609" s="95" t="n"/>
      <c r="K609" s="95" t="n"/>
      <c r="L609" s="48" t="n"/>
      <c r="M609" s="96" t="n"/>
      <c r="N609" s="48" t="n"/>
      <c r="O609" s="38" t="n"/>
      <c r="P609" s="38" t="n"/>
      <c r="Q609" s="97">
        <f>IF(OR(F609="",E609=""),"",IFERROR(IF(INDEX('PROPERTIES'!$F$5:$F$404,MATCH(E609,'PROPERTIES'!$B$5:$B$404,0))=0,"",ROUND((INDEX('PROPERTIES'!$F$5:$F$404,MATCH(E609,'PROPERTIES'!$B$5:$B$404,0))/INDEX('PRICING'!$C$7:$C$16,MATCH(F609,'PRICING'!$A$7:$A$16,0))+INDEX('PROPERTIES'!$G$5:$G$404,MATCH(E609,'PROPERTIES'!$B$5:$B$404,0))*INDEX('PRICING'!$D$7:$D$16,MATCH(F609,'PRICING'!$A$7:$A$16,0))/60+INDEX('PROPERTIES'!$H$5:$H$404,MATCH(E609,'PROPERTIES'!$B$5:$B$404,0))*INDEX('PRICING'!$E$7:$E$16,MATCH(F609,'PRICING'!$A$7:$A$16,0))/60+INDEX('PRICING'!$F$7:$F$16,MATCH(F609,'PRICING'!$A$7:$A$16,0))/60),2)),""))</f>
        <v/>
      </c>
      <c r="R609" s="97">
        <f>IF(B609="","",IF(N(K609)&gt;0,K609,IF(N(J609)&gt;0,J609,N(Q609))))</f>
        <v/>
      </c>
      <c r="S609" s="55">
        <f>IF(L609="","",ROUND(L609*(1+N(M609)),2))</f>
        <v/>
      </c>
      <c r="T609" s="55">
        <f>IF(B609="","",SUMIFS('REVENUE'!$C$5:$C$1504,'REVENUE'!$B$5:$B$1504,A609))</f>
        <v/>
      </c>
      <c r="U609" s="55">
        <f>IF(B609="","",IF(O609="Completed",MAX(0,N(S609)-T609),""))</f>
        <v/>
      </c>
      <c r="V609" s="49">
        <f>IF(B609="","",IF(O609&lt;&gt;"Completed",IF(T609&gt;0,"Deposit","—"),IF(U609&lt;=0.005,"Paid",IF(T609&gt;0,"Partial","Unpaid"))))</f>
        <v/>
      </c>
      <c r="W609" s="55">
        <f>IF(B609="","",IFERROR(1/(1/INDEX('STAFF &amp; TASKS'!$C$5:$C$24,MATCH(H609,'STAFF &amp; TASKS'!$A$5:$A$24,0))),PayRate))</f>
        <v/>
      </c>
      <c r="X609" s="55">
        <f>IF(B609="","",IF(OR(O609="Cancelled",O609="No-Show"),"",ROUND(R609*W609*(1+Burden),2)))</f>
        <v/>
      </c>
      <c r="Y609" s="55">
        <f>IF(B609="","",IF(OR(O609="Cancelled",O609="No-Show"),"",IF(N609&lt;&gt;"",N609,ROUND(R609*SupHr*IFERROR(INDEX('PRICING'!$G$7:$G$16,MATCH(F609,'PRICING'!$A$7:$A$16,0)),1),2))))</f>
        <v/>
      </c>
      <c r="Z609" s="98">
        <f>IF(B609="","",SUMIFS('MILEAGE'!$J$5:$J$1504,'MILEAGE'!$B$5:$B$1504,A609))</f>
        <v/>
      </c>
      <c r="AA609" s="55">
        <f>IF(B609="","",ROUND(Z609*MileRate,2))</f>
        <v/>
      </c>
      <c r="AB609" s="55">
        <f>IF(B609="","",SUMIFS('REVENUE'!$J$5:$J$1504,'REVENUE'!$B$5:$B$1504,A609))</f>
        <v/>
      </c>
      <c r="AC609" s="55">
        <f>IF(L609="","",IF(OR(O609="Cancelled",O609="No-Show"),"",L609-N(X609)-N(Y609)-AA609-AB609))</f>
        <v/>
      </c>
      <c r="AD609" s="99">
        <f>IF(OR(AC609="",N(L609)=0),"",AC609/L609)</f>
        <v/>
      </c>
      <c r="AE609" s="55">
        <f>IF(OR(AC609="",N(R609)=0),"",L609/R609)</f>
        <v/>
      </c>
      <c r="AF609" s="100">
        <f>IF(OR(N(K609)=0,N(J609)+N(Q609)=0),"",K609-IF(N(J609)&gt;0,J609,Q609))</f>
        <v/>
      </c>
      <c r="AG609" s="99">
        <f>IF(B609="","",IFERROR(AVERAGEIFS('QUALITY CONTROL'!$M$5:$M$304,'QUALITY CONTROL'!$B$5:$B$304,A609),""))</f>
        <v/>
      </c>
      <c r="AH609" s="51">
        <f>IF(B609="","",DATE(YEAR(B609),MONTH(B609),1))</f>
        <v/>
      </c>
      <c r="AI609" s="49">
        <f>IF(D609="","",IFERROR(INDEX('CUSTOMERS'!$E$5:$E$404,MATCH(D609,'CUSTOMERS'!$B$5:$B$404,0)),""))</f>
        <v/>
      </c>
      <c r="AJ609" s="49">
        <f>IF(B609="","",N(C609))</f>
        <v/>
      </c>
      <c r="AK609" s="49">
        <f>IF(OR(B609="",O609="Cancelled",O609="Rescheduled"),"",B609&amp;"|"&amp;(COUNTIFS('JOBS'!$B$5:$B$1504,B609,'JOBS'!$AJ$5:$AJ$1504,"&lt;"&amp;AJ609,'JOBS'!$O$5:$O$1504,"&lt;&gt;Cancelled",'JOBS'!$O$5:$O$1504,"&lt;&gt;Rescheduled")+COUNTIFS($B$5:B609,B609,$AJ$5:AJ609,AJ609,$O$5:O609,"&lt;&gt;Cancelled",$O$5:O609,"&lt;&gt;Rescheduled")))</f>
        <v/>
      </c>
      <c r="AL609" s="49">
        <f>IF(N(U609)&lt;=0.005,"",COUNTIFS('JOBS'!$U$5:$U$1504,"&gt;0.005",'JOBS'!$B$5:$B$1504,"&lt;"&amp;B609)+COUNTIFS($U$5:U609,"&gt;0.005",$B$5:B609,B609))</f>
        <v/>
      </c>
    </row>
    <row r="610">
      <c r="A610" s="46" t="inlineStr">
        <is>
          <t>J-0606</t>
        </is>
      </c>
      <c r="B610" s="47" t="n"/>
      <c r="C610" s="94" t="n"/>
      <c r="D610" s="38" t="n"/>
      <c r="E610" s="38" t="n"/>
      <c r="F610" s="38" t="n"/>
      <c r="G610" s="38" t="n"/>
      <c r="H610" s="38" t="n"/>
      <c r="I610" s="57" t="n"/>
      <c r="J610" s="95" t="n"/>
      <c r="K610" s="95" t="n"/>
      <c r="L610" s="48" t="n"/>
      <c r="M610" s="96" t="n"/>
      <c r="N610" s="48" t="n"/>
      <c r="O610" s="38" t="n"/>
      <c r="P610" s="38" t="n"/>
      <c r="Q610" s="97">
        <f>IF(OR(F610="",E610=""),"",IFERROR(IF(INDEX('PROPERTIES'!$F$5:$F$404,MATCH(E610,'PROPERTIES'!$B$5:$B$404,0))=0,"",ROUND((INDEX('PROPERTIES'!$F$5:$F$404,MATCH(E610,'PROPERTIES'!$B$5:$B$404,0))/INDEX('PRICING'!$C$7:$C$16,MATCH(F610,'PRICING'!$A$7:$A$16,0))+INDEX('PROPERTIES'!$G$5:$G$404,MATCH(E610,'PROPERTIES'!$B$5:$B$404,0))*INDEX('PRICING'!$D$7:$D$16,MATCH(F610,'PRICING'!$A$7:$A$16,0))/60+INDEX('PROPERTIES'!$H$5:$H$404,MATCH(E610,'PROPERTIES'!$B$5:$B$404,0))*INDEX('PRICING'!$E$7:$E$16,MATCH(F610,'PRICING'!$A$7:$A$16,0))/60+INDEX('PRICING'!$F$7:$F$16,MATCH(F610,'PRICING'!$A$7:$A$16,0))/60),2)),""))</f>
        <v/>
      </c>
      <c r="R610" s="97">
        <f>IF(B610="","",IF(N(K610)&gt;0,K610,IF(N(J610)&gt;0,J610,N(Q610))))</f>
        <v/>
      </c>
      <c r="S610" s="55">
        <f>IF(L610="","",ROUND(L610*(1+N(M610)),2))</f>
        <v/>
      </c>
      <c r="T610" s="55">
        <f>IF(B610="","",SUMIFS('REVENUE'!$C$5:$C$1504,'REVENUE'!$B$5:$B$1504,A610))</f>
        <v/>
      </c>
      <c r="U610" s="55">
        <f>IF(B610="","",IF(O610="Completed",MAX(0,N(S610)-T610),""))</f>
        <v/>
      </c>
      <c r="V610" s="49">
        <f>IF(B610="","",IF(O610&lt;&gt;"Completed",IF(T610&gt;0,"Deposit","—"),IF(U610&lt;=0.005,"Paid",IF(T610&gt;0,"Partial","Unpaid"))))</f>
        <v/>
      </c>
      <c r="W610" s="55">
        <f>IF(B610="","",IFERROR(1/(1/INDEX('STAFF &amp; TASKS'!$C$5:$C$24,MATCH(H610,'STAFF &amp; TASKS'!$A$5:$A$24,0))),PayRate))</f>
        <v/>
      </c>
      <c r="X610" s="55">
        <f>IF(B610="","",IF(OR(O610="Cancelled",O610="No-Show"),"",ROUND(R610*W610*(1+Burden),2)))</f>
        <v/>
      </c>
      <c r="Y610" s="55">
        <f>IF(B610="","",IF(OR(O610="Cancelled",O610="No-Show"),"",IF(N610&lt;&gt;"",N610,ROUND(R610*SupHr*IFERROR(INDEX('PRICING'!$G$7:$G$16,MATCH(F610,'PRICING'!$A$7:$A$16,0)),1),2))))</f>
        <v/>
      </c>
      <c r="Z610" s="98">
        <f>IF(B610="","",SUMIFS('MILEAGE'!$J$5:$J$1504,'MILEAGE'!$B$5:$B$1504,A610))</f>
        <v/>
      </c>
      <c r="AA610" s="55">
        <f>IF(B610="","",ROUND(Z610*MileRate,2))</f>
        <v/>
      </c>
      <c r="AB610" s="55">
        <f>IF(B610="","",SUMIFS('REVENUE'!$J$5:$J$1504,'REVENUE'!$B$5:$B$1504,A610))</f>
        <v/>
      </c>
      <c r="AC610" s="55">
        <f>IF(L610="","",IF(OR(O610="Cancelled",O610="No-Show"),"",L610-N(X610)-N(Y610)-AA610-AB610))</f>
        <v/>
      </c>
      <c r="AD610" s="99">
        <f>IF(OR(AC610="",N(L610)=0),"",AC610/L610)</f>
        <v/>
      </c>
      <c r="AE610" s="55">
        <f>IF(OR(AC610="",N(R610)=0),"",L610/R610)</f>
        <v/>
      </c>
      <c r="AF610" s="100">
        <f>IF(OR(N(K610)=0,N(J610)+N(Q610)=0),"",K610-IF(N(J610)&gt;0,J610,Q610))</f>
        <v/>
      </c>
      <c r="AG610" s="99">
        <f>IF(B610="","",IFERROR(AVERAGEIFS('QUALITY CONTROL'!$M$5:$M$304,'QUALITY CONTROL'!$B$5:$B$304,A610),""))</f>
        <v/>
      </c>
      <c r="AH610" s="51">
        <f>IF(B610="","",DATE(YEAR(B610),MONTH(B610),1))</f>
        <v/>
      </c>
      <c r="AI610" s="49">
        <f>IF(D610="","",IFERROR(INDEX('CUSTOMERS'!$E$5:$E$404,MATCH(D610,'CUSTOMERS'!$B$5:$B$404,0)),""))</f>
        <v/>
      </c>
      <c r="AJ610" s="49">
        <f>IF(B610="","",N(C610))</f>
        <v/>
      </c>
      <c r="AK610" s="49">
        <f>IF(OR(B610="",O610="Cancelled",O610="Rescheduled"),"",B610&amp;"|"&amp;(COUNTIFS('JOBS'!$B$5:$B$1504,B610,'JOBS'!$AJ$5:$AJ$1504,"&lt;"&amp;AJ610,'JOBS'!$O$5:$O$1504,"&lt;&gt;Cancelled",'JOBS'!$O$5:$O$1504,"&lt;&gt;Rescheduled")+COUNTIFS($B$5:B610,B610,$AJ$5:AJ610,AJ610,$O$5:O610,"&lt;&gt;Cancelled",$O$5:O610,"&lt;&gt;Rescheduled")))</f>
        <v/>
      </c>
      <c r="AL610" s="49">
        <f>IF(N(U610)&lt;=0.005,"",COUNTIFS('JOBS'!$U$5:$U$1504,"&gt;0.005",'JOBS'!$B$5:$B$1504,"&lt;"&amp;B610)+COUNTIFS($U$5:U610,"&gt;0.005",$B$5:B610,B610))</f>
        <v/>
      </c>
    </row>
    <row r="611">
      <c r="A611" s="46" t="inlineStr">
        <is>
          <t>J-0607</t>
        </is>
      </c>
      <c r="B611" s="47" t="n"/>
      <c r="C611" s="94" t="n"/>
      <c r="D611" s="38" t="n"/>
      <c r="E611" s="38" t="n"/>
      <c r="F611" s="38" t="n"/>
      <c r="G611" s="38" t="n"/>
      <c r="H611" s="38" t="n"/>
      <c r="I611" s="57" t="n"/>
      <c r="J611" s="95" t="n"/>
      <c r="K611" s="95" t="n"/>
      <c r="L611" s="48" t="n"/>
      <c r="M611" s="96" t="n"/>
      <c r="N611" s="48" t="n"/>
      <c r="O611" s="38" t="n"/>
      <c r="P611" s="38" t="n"/>
      <c r="Q611" s="97">
        <f>IF(OR(F611="",E611=""),"",IFERROR(IF(INDEX('PROPERTIES'!$F$5:$F$404,MATCH(E611,'PROPERTIES'!$B$5:$B$404,0))=0,"",ROUND((INDEX('PROPERTIES'!$F$5:$F$404,MATCH(E611,'PROPERTIES'!$B$5:$B$404,0))/INDEX('PRICING'!$C$7:$C$16,MATCH(F611,'PRICING'!$A$7:$A$16,0))+INDEX('PROPERTIES'!$G$5:$G$404,MATCH(E611,'PROPERTIES'!$B$5:$B$404,0))*INDEX('PRICING'!$D$7:$D$16,MATCH(F611,'PRICING'!$A$7:$A$16,0))/60+INDEX('PROPERTIES'!$H$5:$H$404,MATCH(E611,'PROPERTIES'!$B$5:$B$404,0))*INDEX('PRICING'!$E$7:$E$16,MATCH(F611,'PRICING'!$A$7:$A$16,0))/60+INDEX('PRICING'!$F$7:$F$16,MATCH(F611,'PRICING'!$A$7:$A$16,0))/60),2)),""))</f>
        <v/>
      </c>
      <c r="R611" s="97">
        <f>IF(B611="","",IF(N(K611)&gt;0,K611,IF(N(J611)&gt;0,J611,N(Q611))))</f>
        <v/>
      </c>
      <c r="S611" s="55">
        <f>IF(L611="","",ROUND(L611*(1+N(M611)),2))</f>
        <v/>
      </c>
      <c r="T611" s="55">
        <f>IF(B611="","",SUMIFS('REVENUE'!$C$5:$C$1504,'REVENUE'!$B$5:$B$1504,A611))</f>
        <v/>
      </c>
      <c r="U611" s="55">
        <f>IF(B611="","",IF(O611="Completed",MAX(0,N(S611)-T611),""))</f>
        <v/>
      </c>
      <c r="V611" s="49">
        <f>IF(B611="","",IF(O611&lt;&gt;"Completed",IF(T611&gt;0,"Deposit","—"),IF(U611&lt;=0.005,"Paid",IF(T611&gt;0,"Partial","Unpaid"))))</f>
        <v/>
      </c>
      <c r="W611" s="55">
        <f>IF(B611="","",IFERROR(1/(1/INDEX('STAFF &amp; TASKS'!$C$5:$C$24,MATCH(H611,'STAFF &amp; TASKS'!$A$5:$A$24,0))),PayRate))</f>
        <v/>
      </c>
      <c r="X611" s="55">
        <f>IF(B611="","",IF(OR(O611="Cancelled",O611="No-Show"),"",ROUND(R611*W611*(1+Burden),2)))</f>
        <v/>
      </c>
      <c r="Y611" s="55">
        <f>IF(B611="","",IF(OR(O611="Cancelled",O611="No-Show"),"",IF(N611&lt;&gt;"",N611,ROUND(R611*SupHr*IFERROR(INDEX('PRICING'!$G$7:$G$16,MATCH(F611,'PRICING'!$A$7:$A$16,0)),1),2))))</f>
        <v/>
      </c>
      <c r="Z611" s="98">
        <f>IF(B611="","",SUMIFS('MILEAGE'!$J$5:$J$1504,'MILEAGE'!$B$5:$B$1504,A611))</f>
        <v/>
      </c>
      <c r="AA611" s="55">
        <f>IF(B611="","",ROUND(Z611*MileRate,2))</f>
        <v/>
      </c>
      <c r="AB611" s="55">
        <f>IF(B611="","",SUMIFS('REVENUE'!$J$5:$J$1504,'REVENUE'!$B$5:$B$1504,A611))</f>
        <v/>
      </c>
      <c r="AC611" s="55">
        <f>IF(L611="","",IF(OR(O611="Cancelled",O611="No-Show"),"",L611-N(X611)-N(Y611)-AA611-AB611))</f>
        <v/>
      </c>
      <c r="AD611" s="99">
        <f>IF(OR(AC611="",N(L611)=0),"",AC611/L611)</f>
        <v/>
      </c>
      <c r="AE611" s="55">
        <f>IF(OR(AC611="",N(R611)=0),"",L611/R611)</f>
        <v/>
      </c>
      <c r="AF611" s="100">
        <f>IF(OR(N(K611)=0,N(J611)+N(Q611)=0),"",K611-IF(N(J611)&gt;0,J611,Q611))</f>
        <v/>
      </c>
      <c r="AG611" s="99">
        <f>IF(B611="","",IFERROR(AVERAGEIFS('QUALITY CONTROL'!$M$5:$M$304,'QUALITY CONTROL'!$B$5:$B$304,A611),""))</f>
        <v/>
      </c>
      <c r="AH611" s="51">
        <f>IF(B611="","",DATE(YEAR(B611),MONTH(B611),1))</f>
        <v/>
      </c>
      <c r="AI611" s="49">
        <f>IF(D611="","",IFERROR(INDEX('CUSTOMERS'!$E$5:$E$404,MATCH(D611,'CUSTOMERS'!$B$5:$B$404,0)),""))</f>
        <v/>
      </c>
      <c r="AJ611" s="49">
        <f>IF(B611="","",N(C611))</f>
        <v/>
      </c>
      <c r="AK611" s="49">
        <f>IF(OR(B611="",O611="Cancelled",O611="Rescheduled"),"",B611&amp;"|"&amp;(COUNTIFS('JOBS'!$B$5:$B$1504,B611,'JOBS'!$AJ$5:$AJ$1504,"&lt;"&amp;AJ611,'JOBS'!$O$5:$O$1504,"&lt;&gt;Cancelled",'JOBS'!$O$5:$O$1504,"&lt;&gt;Rescheduled")+COUNTIFS($B$5:B611,B611,$AJ$5:AJ611,AJ611,$O$5:O611,"&lt;&gt;Cancelled",$O$5:O611,"&lt;&gt;Rescheduled")))</f>
        <v/>
      </c>
      <c r="AL611" s="49">
        <f>IF(N(U611)&lt;=0.005,"",COUNTIFS('JOBS'!$U$5:$U$1504,"&gt;0.005",'JOBS'!$B$5:$B$1504,"&lt;"&amp;B611)+COUNTIFS($U$5:U611,"&gt;0.005",$B$5:B611,B611))</f>
        <v/>
      </c>
    </row>
    <row r="612">
      <c r="A612" s="46" t="inlineStr">
        <is>
          <t>J-0608</t>
        </is>
      </c>
      <c r="B612" s="47" t="n"/>
      <c r="C612" s="94" t="n"/>
      <c r="D612" s="38" t="n"/>
      <c r="E612" s="38" t="n"/>
      <c r="F612" s="38" t="n"/>
      <c r="G612" s="38" t="n"/>
      <c r="H612" s="38" t="n"/>
      <c r="I612" s="57" t="n"/>
      <c r="J612" s="95" t="n"/>
      <c r="K612" s="95" t="n"/>
      <c r="L612" s="48" t="n"/>
      <c r="M612" s="96" t="n"/>
      <c r="N612" s="48" t="n"/>
      <c r="O612" s="38" t="n"/>
      <c r="P612" s="38" t="n"/>
      <c r="Q612" s="97">
        <f>IF(OR(F612="",E612=""),"",IFERROR(IF(INDEX('PROPERTIES'!$F$5:$F$404,MATCH(E612,'PROPERTIES'!$B$5:$B$404,0))=0,"",ROUND((INDEX('PROPERTIES'!$F$5:$F$404,MATCH(E612,'PROPERTIES'!$B$5:$B$404,0))/INDEX('PRICING'!$C$7:$C$16,MATCH(F612,'PRICING'!$A$7:$A$16,0))+INDEX('PROPERTIES'!$G$5:$G$404,MATCH(E612,'PROPERTIES'!$B$5:$B$404,0))*INDEX('PRICING'!$D$7:$D$16,MATCH(F612,'PRICING'!$A$7:$A$16,0))/60+INDEX('PROPERTIES'!$H$5:$H$404,MATCH(E612,'PROPERTIES'!$B$5:$B$404,0))*INDEX('PRICING'!$E$7:$E$16,MATCH(F612,'PRICING'!$A$7:$A$16,0))/60+INDEX('PRICING'!$F$7:$F$16,MATCH(F612,'PRICING'!$A$7:$A$16,0))/60),2)),""))</f>
        <v/>
      </c>
      <c r="R612" s="97">
        <f>IF(B612="","",IF(N(K612)&gt;0,K612,IF(N(J612)&gt;0,J612,N(Q612))))</f>
        <v/>
      </c>
      <c r="S612" s="55">
        <f>IF(L612="","",ROUND(L612*(1+N(M612)),2))</f>
        <v/>
      </c>
      <c r="T612" s="55">
        <f>IF(B612="","",SUMIFS('REVENUE'!$C$5:$C$1504,'REVENUE'!$B$5:$B$1504,A612))</f>
        <v/>
      </c>
      <c r="U612" s="55">
        <f>IF(B612="","",IF(O612="Completed",MAX(0,N(S612)-T612),""))</f>
        <v/>
      </c>
      <c r="V612" s="49">
        <f>IF(B612="","",IF(O612&lt;&gt;"Completed",IF(T612&gt;0,"Deposit","—"),IF(U612&lt;=0.005,"Paid",IF(T612&gt;0,"Partial","Unpaid"))))</f>
        <v/>
      </c>
      <c r="W612" s="55">
        <f>IF(B612="","",IFERROR(1/(1/INDEX('STAFF &amp; TASKS'!$C$5:$C$24,MATCH(H612,'STAFF &amp; TASKS'!$A$5:$A$24,0))),PayRate))</f>
        <v/>
      </c>
      <c r="X612" s="55">
        <f>IF(B612="","",IF(OR(O612="Cancelled",O612="No-Show"),"",ROUND(R612*W612*(1+Burden),2)))</f>
        <v/>
      </c>
      <c r="Y612" s="55">
        <f>IF(B612="","",IF(OR(O612="Cancelled",O612="No-Show"),"",IF(N612&lt;&gt;"",N612,ROUND(R612*SupHr*IFERROR(INDEX('PRICING'!$G$7:$G$16,MATCH(F612,'PRICING'!$A$7:$A$16,0)),1),2))))</f>
        <v/>
      </c>
      <c r="Z612" s="98">
        <f>IF(B612="","",SUMIFS('MILEAGE'!$J$5:$J$1504,'MILEAGE'!$B$5:$B$1504,A612))</f>
        <v/>
      </c>
      <c r="AA612" s="55">
        <f>IF(B612="","",ROUND(Z612*MileRate,2))</f>
        <v/>
      </c>
      <c r="AB612" s="55">
        <f>IF(B612="","",SUMIFS('REVENUE'!$J$5:$J$1504,'REVENUE'!$B$5:$B$1504,A612))</f>
        <v/>
      </c>
      <c r="AC612" s="55">
        <f>IF(L612="","",IF(OR(O612="Cancelled",O612="No-Show"),"",L612-N(X612)-N(Y612)-AA612-AB612))</f>
        <v/>
      </c>
      <c r="AD612" s="99">
        <f>IF(OR(AC612="",N(L612)=0),"",AC612/L612)</f>
        <v/>
      </c>
      <c r="AE612" s="55">
        <f>IF(OR(AC612="",N(R612)=0),"",L612/R612)</f>
        <v/>
      </c>
      <c r="AF612" s="100">
        <f>IF(OR(N(K612)=0,N(J612)+N(Q612)=0),"",K612-IF(N(J612)&gt;0,J612,Q612))</f>
        <v/>
      </c>
      <c r="AG612" s="99">
        <f>IF(B612="","",IFERROR(AVERAGEIFS('QUALITY CONTROL'!$M$5:$M$304,'QUALITY CONTROL'!$B$5:$B$304,A612),""))</f>
        <v/>
      </c>
      <c r="AH612" s="51">
        <f>IF(B612="","",DATE(YEAR(B612),MONTH(B612),1))</f>
        <v/>
      </c>
      <c r="AI612" s="49">
        <f>IF(D612="","",IFERROR(INDEX('CUSTOMERS'!$E$5:$E$404,MATCH(D612,'CUSTOMERS'!$B$5:$B$404,0)),""))</f>
        <v/>
      </c>
      <c r="AJ612" s="49">
        <f>IF(B612="","",N(C612))</f>
        <v/>
      </c>
      <c r="AK612" s="49">
        <f>IF(OR(B612="",O612="Cancelled",O612="Rescheduled"),"",B612&amp;"|"&amp;(COUNTIFS('JOBS'!$B$5:$B$1504,B612,'JOBS'!$AJ$5:$AJ$1504,"&lt;"&amp;AJ612,'JOBS'!$O$5:$O$1504,"&lt;&gt;Cancelled",'JOBS'!$O$5:$O$1504,"&lt;&gt;Rescheduled")+COUNTIFS($B$5:B612,B612,$AJ$5:AJ612,AJ612,$O$5:O612,"&lt;&gt;Cancelled",$O$5:O612,"&lt;&gt;Rescheduled")))</f>
        <v/>
      </c>
      <c r="AL612" s="49">
        <f>IF(N(U612)&lt;=0.005,"",COUNTIFS('JOBS'!$U$5:$U$1504,"&gt;0.005",'JOBS'!$B$5:$B$1504,"&lt;"&amp;B612)+COUNTIFS($U$5:U612,"&gt;0.005",$B$5:B612,B612))</f>
        <v/>
      </c>
    </row>
    <row r="613">
      <c r="A613" s="46" t="inlineStr">
        <is>
          <t>J-0609</t>
        </is>
      </c>
      <c r="B613" s="47" t="n"/>
      <c r="C613" s="94" t="n"/>
      <c r="D613" s="38" t="n"/>
      <c r="E613" s="38" t="n"/>
      <c r="F613" s="38" t="n"/>
      <c r="G613" s="38" t="n"/>
      <c r="H613" s="38" t="n"/>
      <c r="I613" s="57" t="n"/>
      <c r="J613" s="95" t="n"/>
      <c r="K613" s="95" t="n"/>
      <c r="L613" s="48" t="n"/>
      <c r="M613" s="96" t="n"/>
      <c r="N613" s="48" t="n"/>
      <c r="O613" s="38" t="n"/>
      <c r="P613" s="38" t="n"/>
      <c r="Q613" s="97">
        <f>IF(OR(F613="",E613=""),"",IFERROR(IF(INDEX('PROPERTIES'!$F$5:$F$404,MATCH(E613,'PROPERTIES'!$B$5:$B$404,0))=0,"",ROUND((INDEX('PROPERTIES'!$F$5:$F$404,MATCH(E613,'PROPERTIES'!$B$5:$B$404,0))/INDEX('PRICING'!$C$7:$C$16,MATCH(F613,'PRICING'!$A$7:$A$16,0))+INDEX('PROPERTIES'!$G$5:$G$404,MATCH(E613,'PROPERTIES'!$B$5:$B$404,0))*INDEX('PRICING'!$D$7:$D$16,MATCH(F613,'PRICING'!$A$7:$A$16,0))/60+INDEX('PROPERTIES'!$H$5:$H$404,MATCH(E613,'PROPERTIES'!$B$5:$B$404,0))*INDEX('PRICING'!$E$7:$E$16,MATCH(F613,'PRICING'!$A$7:$A$16,0))/60+INDEX('PRICING'!$F$7:$F$16,MATCH(F613,'PRICING'!$A$7:$A$16,0))/60),2)),""))</f>
        <v/>
      </c>
      <c r="R613" s="97">
        <f>IF(B613="","",IF(N(K613)&gt;0,K613,IF(N(J613)&gt;0,J613,N(Q613))))</f>
        <v/>
      </c>
      <c r="S613" s="55">
        <f>IF(L613="","",ROUND(L613*(1+N(M613)),2))</f>
        <v/>
      </c>
      <c r="T613" s="55">
        <f>IF(B613="","",SUMIFS('REVENUE'!$C$5:$C$1504,'REVENUE'!$B$5:$B$1504,A613))</f>
        <v/>
      </c>
      <c r="U613" s="55">
        <f>IF(B613="","",IF(O613="Completed",MAX(0,N(S613)-T613),""))</f>
        <v/>
      </c>
      <c r="V613" s="49">
        <f>IF(B613="","",IF(O613&lt;&gt;"Completed",IF(T613&gt;0,"Deposit","—"),IF(U613&lt;=0.005,"Paid",IF(T613&gt;0,"Partial","Unpaid"))))</f>
        <v/>
      </c>
      <c r="W613" s="55">
        <f>IF(B613="","",IFERROR(1/(1/INDEX('STAFF &amp; TASKS'!$C$5:$C$24,MATCH(H613,'STAFF &amp; TASKS'!$A$5:$A$24,0))),PayRate))</f>
        <v/>
      </c>
      <c r="X613" s="55">
        <f>IF(B613="","",IF(OR(O613="Cancelled",O613="No-Show"),"",ROUND(R613*W613*(1+Burden),2)))</f>
        <v/>
      </c>
      <c r="Y613" s="55">
        <f>IF(B613="","",IF(OR(O613="Cancelled",O613="No-Show"),"",IF(N613&lt;&gt;"",N613,ROUND(R613*SupHr*IFERROR(INDEX('PRICING'!$G$7:$G$16,MATCH(F613,'PRICING'!$A$7:$A$16,0)),1),2))))</f>
        <v/>
      </c>
      <c r="Z613" s="98">
        <f>IF(B613="","",SUMIFS('MILEAGE'!$J$5:$J$1504,'MILEAGE'!$B$5:$B$1504,A613))</f>
        <v/>
      </c>
      <c r="AA613" s="55">
        <f>IF(B613="","",ROUND(Z613*MileRate,2))</f>
        <v/>
      </c>
      <c r="AB613" s="55">
        <f>IF(B613="","",SUMIFS('REVENUE'!$J$5:$J$1504,'REVENUE'!$B$5:$B$1504,A613))</f>
        <v/>
      </c>
      <c r="AC613" s="55">
        <f>IF(L613="","",IF(OR(O613="Cancelled",O613="No-Show"),"",L613-N(X613)-N(Y613)-AA613-AB613))</f>
        <v/>
      </c>
      <c r="AD613" s="99">
        <f>IF(OR(AC613="",N(L613)=0),"",AC613/L613)</f>
        <v/>
      </c>
      <c r="AE613" s="55">
        <f>IF(OR(AC613="",N(R613)=0),"",L613/R613)</f>
        <v/>
      </c>
      <c r="AF613" s="100">
        <f>IF(OR(N(K613)=0,N(J613)+N(Q613)=0),"",K613-IF(N(J613)&gt;0,J613,Q613))</f>
        <v/>
      </c>
      <c r="AG613" s="99">
        <f>IF(B613="","",IFERROR(AVERAGEIFS('QUALITY CONTROL'!$M$5:$M$304,'QUALITY CONTROL'!$B$5:$B$304,A613),""))</f>
        <v/>
      </c>
      <c r="AH613" s="51">
        <f>IF(B613="","",DATE(YEAR(B613),MONTH(B613),1))</f>
        <v/>
      </c>
      <c r="AI613" s="49">
        <f>IF(D613="","",IFERROR(INDEX('CUSTOMERS'!$E$5:$E$404,MATCH(D613,'CUSTOMERS'!$B$5:$B$404,0)),""))</f>
        <v/>
      </c>
      <c r="AJ613" s="49">
        <f>IF(B613="","",N(C613))</f>
        <v/>
      </c>
      <c r="AK613" s="49">
        <f>IF(OR(B613="",O613="Cancelled",O613="Rescheduled"),"",B613&amp;"|"&amp;(COUNTIFS('JOBS'!$B$5:$B$1504,B613,'JOBS'!$AJ$5:$AJ$1504,"&lt;"&amp;AJ613,'JOBS'!$O$5:$O$1504,"&lt;&gt;Cancelled",'JOBS'!$O$5:$O$1504,"&lt;&gt;Rescheduled")+COUNTIFS($B$5:B613,B613,$AJ$5:AJ613,AJ613,$O$5:O613,"&lt;&gt;Cancelled",$O$5:O613,"&lt;&gt;Rescheduled")))</f>
        <v/>
      </c>
      <c r="AL613" s="49">
        <f>IF(N(U613)&lt;=0.005,"",COUNTIFS('JOBS'!$U$5:$U$1504,"&gt;0.005",'JOBS'!$B$5:$B$1504,"&lt;"&amp;B613)+COUNTIFS($U$5:U613,"&gt;0.005",$B$5:B613,B613))</f>
        <v/>
      </c>
    </row>
    <row r="614">
      <c r="A614" s="46" t="inlineStr">
        <is>
          <t>J-0610</t>
        </is>
      </c>
      <c r="B614" s="47" t="n"/>
      <c r="C614" s="94" t="n"/>
      <c r="D614" s="38" t="n"/>
      <c r="E614" s="38" t="n"/>
      <c r="F614" s="38" t="n"/>
      <c r="G614" s="38" t="n"/>
      <c r="H614" s="38" t="n"/>
      <c r="I614" s="57" t="n"/>
      <c r="J614" s="95" t="n"/>
      <c r="K614" s="95" t="n"/>
      <c r="L614" s="48" t="n"/>
      <c r="M614" s="96" t="n"/>
      <c r="N614" s="48" t="n"/>
      <c r="O614" s="38" t="n"/>
      <c r="P614" s="38" t="n"/>
      <c r="Q614" s="97">
        <f>IF(OR(F614="",E614=""),"",IFERROR(IF(INDEX('PROPERTIES'!$F$5:$F$404,MATCH(E614,'PROPERTIES'!$B$5:$B$404,0))=0,"",ROUND((INDEX('PROPERTIES'!$F$5:$F$404,MATCH(E614,'PROPERTIES'!$B$5:$B$404,0))/INDEX('PRICING'!$C$7:$C$16,MATCH(F614,'PRICING'!$A$7:$A$16,0))+INDEX('PROPERTIES'!$G$5:$G$404,MATCH(E614,'PROPERTIES'!$B$5:$B$404,0))*INDEX('PRICING'!$D$7:$D$16,MATCH(F614,'PRICING'!$A$7:$A$16,0))/60+INDEX('PROPERTIES'!$H$5:$H$404,MATCH(E614,'PROPERTIES'!$B$5:$B$404,0))*INDEX('PRICING'!$E$7:$E$16,MATCH(F614,'PRICING'!$A$7:$A$16,0))/60+INDEX('PRICING'!$F$7:$F$16,MATCH(F614,'PRICING'!$A$7:$A$16,0))/60),2)),""))</f>
        <v/>
      </c>
      <c r="R614" s="97">
        <f>IF(B614="","",IF(N(K614)&gt;0,K614,IF(N(J614)&gt;0,J614,N(Q614))))</f>
        <v/>
      </c>
      <c r="S614" s="55">
        <f>IF(L614="","",ROUND(L614*(1+N(M614)),2))</f>
        <v/>
      </c>
      <c r="T614" s="55">
        <f>IF(B614="","",SUMIFS('REVENUE'!$C$5:$C$1504,'REVENUE'!$B$5:$B$1504,A614))</f>
        <v/>
      </c>
      <c r="U614" s="55">
        <f>IF(B614="","",IF(O614="Completed",MAX(0,N(S614)-T614),""))</f>
        <v/>
      </c>
      <c r="V614" s="49">
        <f>IF(B614="","",IF(O614&lt;&gt;"Completed",IF(T614&gt;0,"Deposit","—"),IF(U614&lt;=0.005,"Paid",IF(T614&gt;0,"Partial","Unpaid"))))</f>
        <v/>
      </c>
      <c r="W614" s="55">
        <f>IF(B614="","",IFERROR(1/(1/INDEX('STAFF &amp; TASKS'!$C$5:$C$24,MATCH(H614,'STAFF &amp; TASKS'!$A$5:$A$24,0))),PayRate))</f>
        <v/>
      </c>
      <c r="X614" s="55">
        <f>IF(B614="","",IF(OR(O614="Cancelled",O614="No-Show"),"",ROUND(R614*W614*(1+Burden),2)))</f>
        <v/>
      </c>
      <c r="Y614" s="55">
        <f>IF(B614="","",IF(OR(O614="Cancelled",O614="No-Show"),"",IF(N614&lt;&gt;"",N614,ROUND(R614*SupHr*IFERROR(INDEX('PRICING'!$G$7:$G$16,MATCH(F614,'PRICING'!$A$7:$A$16,0)),1),2))))</f>
        <v/>
      </c>
      <c r="Z614" s="98">
        <f>IF(B614="","",SUMIFS('MILEAGE'!$J$5:$J$1504,'MILEAGE'!$B$5:$B$1504,A614))</f>
        <v/>
      </c>
      <c r="AA614" s="55">
        <f>IF(B614="","",ROUND(Z614*MileRate,2))</f>
        <v/>
      </c>
      <c r="AB614" s="55">
        <f>IF(B614="","",SUMIFS('REVENUE'!$J$5:$J$1504,'REVENUE'!$B$5:$B$1504,A614))</f>
        <v/>
      </c>
      <c r="AC614" s="55">
        <f>IF(L614="","",IF(OR(O614="Cancelled",O614="No-Show"),"",L614-N(X614)-N(Y614)-AA614-AB614))</f>
        <v/>
      </c>
      <c r="AD614" s="99">
        <f>IF(OR(AC614="",N(L614)=0),"",AC614/L614)</f>
        <v/>
      </c>
      <c r="AE614" s="55">
        <f>IF(OR(AC614="",N(R614)=0),"",L614/R614)</f>
        <v/>
      </c>
      <c r="AF614" s="100">
        <f>IF(OR(N(K614)=0,N(J614)+N(Q614)=0),"",K614-IF(N(J614)&gt;0,J614,Q614))</f>
        <v/>
      </c>
      <c r="AG614" s="99">
        <f>IF(B614="","",IFERROR(AVERAGEIFS('QUALITY CONTROL'!$M$5:$M$304,'QUALITY CONTROL'!$B$5:$B$304,A614),""))</f>
        <v/>
      </c>
      <c r="AH614" s="51">
        <f>IF(B614="","",DATE(YEAR(B614),MONTH(B614),1))</f>
        <v/>
      </c>
      <c r="AI614" s="49">
        <f>IF(D614="","",IFERROR(INDEX('CUSTOMERS'!$E$5:$E$404,MATCH(D614,'CUSTOMERS'!$B$5:$B$404,0)),""))</f>
        <v/>
      </c>
      <c r="AJ614" s="49">
        <f>IF(B614="","",N(C614))</f>
        <v/>
      </c>
      <c r="AK614" s="49">
        <f>IF(OR(B614="",O614="Cancelled",O614="Rescheduled"),"",B614&amp;"|"&amp;(COUNTIFS('JOBS'!$B$5:$B$1504,B614,'JOBS'!$AJ$5:$AJ$1504,"&lt;"&amp;AJ614,'JOBS'!$O$5:$O$1504,"&lt;&gt;Cancelled",'JOBS'!$O$5:$O$1504,"&lt;&gt;Rescheduled")+COUNTIFS($B$5:B614,B614,$AJ$5:AJ614,AJ614,$O$5:O614,"&lt;&gt;Cancelled",$O$5:O614,"&lt;&gt;Rescheduled")))</f>
        <v/>
      </c>
      <c r="AL614" s="49">
        <f>IF(N(U614)&lt;=0.005,"",COUNTIFS('JOBS'!$U$5:$U$1504,"&gt;0.005",'JOBS'!$B$5:$B$1504,"&lt;"&amp;B614)+COUNTIFS($U$5:U614,"&gt;0.005",$B$5:B614,B614))</f>
        <v/>
      </c>
    </row>
    <row r="615">
      <c r="A615" s="46" t="inlineStr">
        <is>
          <t>J-0611</t>
        </is>
      </c>
      <c r="B615" s="47" t="n"/>
      <c r="C615" s="94" t="n"/>
      <c r="D615" s="38" t="n"/>
      <c r="E615" s="38" t="n"/>
      <c r="F615" s="38" t="n"/>
      <c r="G615" s="38" t="n"/>
      <c r="H615" s="38" t="n"/>
      <c r="I615" s="57" t="n"/>
      <c r="J615" s="95" t="n"/>
      <c r="K615" s="95" t="n"/>
      <c r="L615" s="48" t="n"/>
      <c r="M615" s="96" t="n"/>
      <c r="N615" s="48" t="n"/>
      <c r="O615" s="38" t="n"/>
      <c r="P615" s="38" t="n"/>
      <c r="Q615" s="97">
        <f>IF(OR(F615="",E615=""),"",IFERROR(IF(INDEX('PROPERTIES'!$F$5:$F$404,MATCH(E615,'PROPERTIES'!$B$5:$B$404,0))=0,"",ROUND((INDEX('PROPERTIES'!$F$5:$F$404,MATCH(E615,'PROPERTIES'!$B$5:$B$404,0))/INDEX('PRICING'!$C$7:$C$16,MATCH(F615,'PRICING'!$A$7:$A$16,0))+INDEX('PROPERTIES'!$G$5:$G$404,MATCH(E615,'PROPERTIES'!$B$5:$B$404,0))*INDEX('PRICING'!$D$7:$D$16,MATCH(F615,'PRICING'!$A$7:$A$16,0))/60+INDEX('PROPERTIES'!$H$5:$H$404,MATCH(E615,'PROPERTIES'!$B$5:$B$404,0))*INDEX('PRICING'!$E$7:$E$16,MATCH(F615,'PRICING'!$A$7:$A$16,0))/60+INDEX('PRICING'!$F$7:$F$16,MATCH(F615,'PRICING'!$A$7:$A$16,0))/60),2)),""))</f>
        <v/>
      </c>
      <c r="R615" s="97">
        <f>IF(B615="","",IF(N(K615)&gt;0,K615,IF(N(J615)&gt;0,J615,N(Q615))))</f>
        <v/>
      </c>
      <c r="S615" s="55">
        <f>IF(L615="","",ROUND(L615*(1+N(M615)),2))</f>
        <v/>
      </c>
      <c r="T615" s="55">
        <f>IF(B615="","",SUMIFS('REVENUE'!$C$5:$C$1504,'REVENUE'!$B$5:$B$1504,A615))</f>
        <v/>
      </c>
      <c r="U615" s="55">
        <f>IF(B615="","",IF(O615="Completed",MAX(0,N(S615)-T615),""))</f>
        <v/>
      </c>
      <c r="V615" s="49">
        <f>IF(B615="","",IF(O615&lt;&gt;"Completed",IF(T615&gt;0,"Deposit","—"),IF(U615&lt;=0.005,"Paid",IF(T615&gt;0,"Partial","Unpaid"))))</f>
        <v/>
      </c>
      <c r="W615" s="55">
        <f>IF(B615="","",IFERROR(1/(1/INDEX('STAFF &amp; TASKS'!$C$5:$C$24,MATCH(H615,'STAFF &amp; TASKS'!$A$5:$A$24,0))),PayRate))</f>
        <v/>
      </c>
      <c r="X615" s="55">
        <f>IF(B615="","",IF(OR(O615="Cancelled",O615="No-Show"),"",ROUND(R615*W615*(1+Burden),2)))</f>
        <v/>
      </c>
      <c r="Y615" s="55">
        <f>IF(B615="","",IF(OR(O615="Cancelled",O615="No-Show"),"",IF(N615&lt;&gt;"",N615,ROUND(R615*SupHr*IFERROR(INDEX('PRICING'!$G$7:$G$16,MATCH(F615,'PRICING'!$A$7:$A$16,0)),1),2))))</f>
        <v/>
      </c>
      <c r="Z615" s="98">
        <f>IF(B615="","",SUMIFS('MILEAGE'!$J$5:$J$1504,'MILEAGE'!$B$5:$B$1504,A615))</f>
        <v/>
      </c>
      <c r="AA615" s="55">
        <f>IF(B615="","",ROUND(Z615*MileRate,2))</f>
        <v/>
      </c>
      <c r="AB615" s="55">
        <f>IF(B615="","",SUMIFS('REVENUE'!$J$5:$J$1504,'REVENUE'!$B$5:$B$1504,A615))</f>
        <v/>
      </c>
      <c r="AC615" s="55">
        <f>IF(L615="","",IF(OR(O615="Cancelled",O615="No-Show"),"",L615-N(X615)-N(Y615)-AA615-AB615))</f>
        <v/>
      </c>
      <c r="AD615" s="99">
        <f>IF(OR(AC615="",N(L615)=0),"",AC615/L615)</f>
        <v/>
      </c>
      <c r="AE615" s="55">
        <f>IF(OR(AC615="",N(R615)=0),"",L615/R615)</f>
        <v/>
      </c>
      <c r="AF615" s="100">
        <f>IF(OR(N(K615)=0,N(J615)+N(Q615)=0),"",K615-IF(N(J615)&gt;0,J615,Q615))</f>
        <v/>
      </c>
      <c r="AG615" s="99">
        <f>IF(B615="","",IFERROR(AVERAGEIFS('QUALITY CONTROL'!$M$5:$M$304,'QUALITY CONTROL'!$B$5:$B$304,A615),""))</f>
        <v/>
      </c>
      <c r="AH615" s="51">
        <f>IF(B615="","",DATE(YEAR(B615),MONTH(B615),1))</f>
        <v/>
      </c>
      <c r="AI615" s="49">
        <f>IF(D615="","",IFERROR(INDEX('CUSTOMERS'!$E$5:$E$404,MATCH(D615,'CUSTOMERS'!$B$5:$B$404,0)),""))</f>
        <v/>
      </c>
      <c r="AJ615" s="49">
        <f>IF(B615="","",N(C615))</f>
        <v/>
      </c>
      <c r="AK615" s="49">
        <f>IF(OR(B615="",O615="Cancelled",O615="Rescheduled"),"",B615&amp;"|"&amp;(COUNTIFS('JOBS'!$B$5:$B$1504,B615,'JOBS'!$AJ$5:$AJ$1504,"&lt;"&amp;AJ615,'JOBS'!$O$5:$O$1504,"&lt;&gt;Cancelled",'JOBS'!$O$5:$O$1504,"&lt;&gt;Rescheduled")+COUNTIFS($B$5:B615,B615,$AJ$5:AJ615,AJ615,$O$5:O615,"&lt;&gt;Cancelled",$O$5:O615,"&lt;&gt;Rescheduled")))</f>
        <v/>
      </c>
      <c r="AL615" s="49">
        <f>IF(N(U615)&lt;=0.005,"",COUNTIFS('JOBS'!$U$5:$U$1504,"&gt;0.005",'JOBS'!$B$5:$B$1504,"&lt;"&amp;B615)+COUNTIFS($U$5:U615,"&gt;0.005",$B$5:B615,B615))</f>
        <v/>
      </c>
    </row>
    <row r="616">
      <c r="A616" s="46" t="inlineStr">
        <is>
          <t>J-0612</t>
        </is>
      </c>
      <c r="B616" s="47" t="n"/>
      <c r="C616" s="94" t="n"/>
      <c r="D616" s="38" t="n"/>
      <c r="E616" s="38" t="n"/>
      <c r="F616" s="38" t="n"/>
      <c r="G616" s="38" t="n"/>
      <c r="H616" s="38" t="n"/>
      <c r="I616" s="57" t="n"/>
      <c r="J616" s="95" t="n"/>
      <c r="K616" s="95" t="n"/>
      <c r="L616" s="48" t="n"/>
      <c r="M616" s="96" t="n"/>
      <c r="N616" s="48" t="n"/>
      <c r="O616" s="38" t="n"/>
      <c r="P616" s="38" t="n"/>
      <c r="Q616" s="97">
        <f>IF(OR(F616="",E616=""),"",IFERROR(IF(INDEX('PROPERTIES'!$F$5:$F$404,MATCH(E616,'PROPERTIES'!$B$5:$B$404,0))=0,"",ROUND((INDEX('PROPERTIES'!$F$5:$F$404,MATCH(E616,'PROPERTIES'!$B$5:$B$404,0))/INDEX('PRICING'!$C$7:$C$16,MATCH(F616,'PRICING'!$A$7:$A$16,0))+INDEX('PROPERTIES'!$G$5:$G$404,MATCH(E616,'PROPERTIES'!$B$5:$B$404,0))*INDEX('PRICING'!$D$7:$D$16,MATCH(F616,'PRICING'!$A$7:$A$16,0))/60+INDEX('PROPERTIES'!$H$5:$H$404,MATCH(E616,'PROPERTIES'!$B$5:$B$404,0))*INDEX('PRICING'!$E$7:$E$16,MATCH(F616,'PRICING'!$A$7:$A$16,0))/60+INDEX('PRICING'!$F$7:$F$16,MATCH(F616,'PRICING'!$A$7:$A$16,0))/60),2)),""))</f>
        <v/>
      </c>
      <c r="R616" s="97">
        <f>IF(B616="","",IF(N(K616)&gt;0,K616,IF(N(J616)&gt;0,J616,N(Q616))))</f>
        <v/>
      </c>
      <c r="S616" s="55">
        <f>IF(L616="","",ROUND(L616*(1+N(M616)),2))</f>
        <v/>
      </c>
      <c r="T616" s="55">
        <f>IF(B616="","",SUMIFS('REVENUE'!$C$5:$C$1504,'REVENUE'!$B$5:$B$1504,A616))</f>
        <v/>
      </c>
      <c r="U616" s="55">
        <f>IF(B616="","",IF(O616="Completed",MAX(0,N(S616)-T616),""))</f>
        <v/>
      </c>
      <c r="V616" s="49">
        <f>IF(B616="","",IF(O616&lt;&gt;"Completed",IF(T616&gt;0,"Deposit","—"),IF(U616&lt;=0.005,"Paid",IF(T616&gt;0,"Partial","Unpaid"))))</f>
        <v/>
      </c>
      <c r="W616" s="55">
        <f>IF(B616="","",IFERROR(1/(1/INDEX('STAFF &amp; TASKS'!$C$5:$C$24,MATCH(H616,'STAFF &amp; TASKS'!$A$5:$A$24,0))),PayRate))</f>
        <v/>
      </c>
      <c r="X616" s="55">
        <f>IF(B616="","",IF(OR(O616="Cancelled",O616="No-Show"),"",ROUND(R616*W616*(1+Burden),2)))</f>
        <v/>
      </c>
      <c r="Y616" s="55">
        <f>IF(B616="","",IF(OR(O616="Cancelled",O616="No-Show"),"",IF(N616&lt;&gt;"",N616,ROUND(R616*SupHr*IFERROR(INDEX('PRICING'!$G$7:$G$16,MATCH(F616,'PRICING'!$A$7:$A$16,0)),1),2))))</f>
        <v/>
      </c>
      <c r="Z616" s="98">
        <f>IF(B616="","",SUMIFS('MILEAGE'!$J$5:$J$1504,'MILEAGE'!$B$5:$B$1504,A616))</f>
        <v/>
      </c>
      <c r="AA616" s="55">
        <f>IF(B616="","",ROUND(Z616*MileRate,2))</f>
        <v/>
      </c>
      <c r="AB616" s="55">
        <f>IF(B616="","",SUMIFS('REVENUE'!$J$5:$J$1504,'REVENUE'!$B$5:$B$1504,A616))</f>
        <v/>
      </c>
      <c r="AC616" s="55">
        <f>IF(L616="","",IF(OR(O616="Cancelled",O616="No-Show"),"",L616-N(X616)-N(Y616)-AA616-AB616))</f>
        <v/>
      </c>
      <c r="AD616" s="99">
        <f>IF(OR(AC616="",N(L616)=0),"",AC616/L616)</f>
        <v/>
      </c>
      <c r="AE616" s="55">
        <f>IF(OR(AC616="",N(R616)=0),"",L616/R616)</f>
        <v/>
      </c>
      <c r="AF616" s="100">
        <f>IF(OR(N(K616)=0,N(J616)+N(Q616)=0),"",K616-IF(N(J616)&gt;0,J616,Q616))</f>
        <v/>
      </c>
      <c r="AG616" s="99">
        <f>IF(B616="","",IFERROR(AVERAGEIFS('QUALITY CONTROL'!$M$5:$M$304,'QUALITY CONTROL'!$B$5:$B$304,A616),""))</f>
        <v/>
      </c>
      <c r="AH616" s="51">
        <f>IF(B616="","",DATE(YEAR(B616),MONTH(B616),1))</f>
        <v/>
      </c>
      <c r="AI616" s="49">
        <f>IF(D616="","",IFERROR(INDEX('CUSTOMERS'!$E$5:$E$404,MATCH(D616,'CUSTOMERS'!$B$5:$B$404,0)),""))</f>
        <v/>
      </c>
      <c r="AJ616" s="49">
        <f>IF(B616="","",N(C616))</f>
        <v/>
      </c>
      <c r="AK616" s="49">
        <f>IF(OR(B616="",O616="Cancelled",O616="Rescheduled"),"",B616&amp;"|"&amp;(COUNTIFS('JOBS'!$B$5:$B$1504,B616,'JOBS'!$AJ$5:$AJ$1504,"&lt;"&amp;AJ616,'JOBS'!$O$5:$O$1504,"&lt;&gt;Cancelled",'JOBS'!$O$5:$O$1504,"&lt;&gt;Rescheduled")+COUNTIFS($B$5:B616,B616,$AJ$5:AJ616,AJ616,$O$5:O616,"&lt;&gt;Cancelled",$O$5:O616,"&lt;&gt;Rescheduled")))</f>
        <v/>
      </c>
      <c r="AL616" s="49">
        <f>IF(N(U616)&lt;=0.005,"",COUNTIFS('JOBS'!$U$5:$U$1504,"&gt;0.005",'JOBS'!$B$5:$B$1504,"&lt;"&amp;B616)+COUNTIFS($U$5:U616,"&gt;0.005",$B$5:B616,B616))</f>
        <v/>
      </c>
    </row>
    <row r="617">
      <c r="A617" s="46" t="inlineStr">
        <is>
          <t>J-0613</t>
        </is>
      </c>
      <c r="B617" s="47" t="n"/>
      <c r="C617" s="94" t="n"/>
      <c r="D617" s="38" t="n"/>
      <c r="E617" s="38" t="n"/>
      <c r="F617" s="38" t="n"/>
      <c r="G617" s="38" t="n"/>
      <c r="H617" s="38" t="n"/>
      <c r="I617" s="57" t="n"/>
      <c r="J617" s="95" t="n"/>
      <c r="K617" s="95" t="n"/>
      <c r="L617" s="48" t="n"/>
      <c r="M617" s="96" t="n"/>
      <c r="N617" s="48" t="n"/>
      <c r="O617" s="38" t="n"/>
      <c r="P617" s="38" t="n"/>
      <c r="Q617" s="97">
        <f>IF(OR(F617="",E617=""),"",IFERROR(IF(INDEX('PROPERTIES'!$F$5:$F$404,MATCH(E617,'PROPERTIES'!$B$5:$B$404,0))=0,"",ROUND((INDEX('PROPERTIES'!$F$5:$F$404,MATCH(E617,'PROPERTIES'!$B$5:$B$404,0))/INDEX('PRICING'!$C$7:$C$16,MATCH(F617,'PRICING'!$A$7:$A$16,0))+INDEX('PROPERTIES'!$G$5:$G$404,MATCH(E617,'PROPERTIES'!$B$5:$B$404,0))*INDEX('PRICING'!$D$7:$D$16,MATCH(F617,'PRICING'!$A$7:$A$16,0))/60+INDEX('PROPERTIES'!$H$5:$H$404,MATCH(E617,'PROPERTIES'!$B$5:$B$404,0))*INDEX('PRICING'!$E$7:$E$16,MATCH(F617,'PRICING'!$A$7:$A$16,0))/60+INDEX('PRICING'!$F$7:$F$16,MATCH(F617,'PRICING'!$A$7:$A$16,0))/60),2)),""))</f>
        <v/>
      </c>
      <c r="R617" s="97">
        <f>IF(B617="","",IF(N(K617)&gt;0,K617,IF(N(J617)&gt;0,J617,N(Q617))))</f>
        <v/>
      </c>
      <c r="S617" s="55">
        <f>IF(L617="","",ROUND(L617*(1+N(M617)),2))</f>
        <v/>
      </c>
      <c r="T617" s="55">
        <f>IF(B617="","",SUMIFS('REVENUE'!$C$5:$C$1504,'REVENUE'!$B$5:$B$1504,A617))</f>
        <v/>
      </c>
      <c r="U617" s="55">
        <f>IF(B617="","",IF(O617="Completed",MAX(0,N(S617)-T617),""))</f>
        <v/>
      </c>
      <c r="V617" s="49">
        <f>IF(B617="","",IF(O617&lt;&gt;"Completed",IF(T617&gt;0,"Deposit","—"),IF(U617&lt;=0.005,"Paid",IF(T617&gt;0,"Partial","Unpaid"))))</f>
        <v/>
      </c>
      <c r="W617" s="55">
        <f>IF(B617="","",IFERROR(1/(1/INDEX('STAFF &amp; TASKS'!$C$5:$C$24,MATCH(H617,'STAFF &amp; TASKS'!$A$5:$A$24,0))),PayRate))</f>
        <v/>
      </c>
      <c r="X617" s="55">
        <f>IF(B617="","",IF(OR(O617="Cancelled",O617="No-Show"),"",ROUND(R617*W617*(1+Burden),2)))</f>
        <v/>
      </c>
      <c r="Y617" s="55">
        <f>IF(B617="","",IF(OR(O617="Cancelled",O617="No-Show"),"",IF(N617&lt;&gt;"",N617,ROUND(R617*SupHr*IFERROR(INDEX('PRICING'!$G$7:$G$16,MATCH(F617,'PRICING'!$A$7:$A$16,0)),1),2))))</f>
        <v/>
      </c>
      <c r="Z617" s="98">
        <f>IF(B617="","",SUMIFS('MILEAGE'!$J$5:$J$1504,'MILEAGE'!$B$5:$B$1504,A617))</f>
        <v/>
      </c>
      <c r="AA617" s="55">
        <f>IF(B617="","",ROUND(Z617*MileRate,2))</f>
        <v/>
      </c>
      <c r="AB617" s="55">
        <f>IF(B617="","",SUMIFS('REVENUE'!$J$5:$J$1504,'REVENUE'!$B$5:$B$1504,A617))</f>
        <v/>
      </c>
      <c r="AC617" s="55">
        <f>IF(L617="","",IF(OR(O617="Cancelled",O617="No-Show"),"",L617-N(X617)-N(Y617)-AA617-AB617))</f>
        <v/>
      </c>
      <c r="AD617" s="99">
        <f>IF(OR(AC617="",N(L617)=0),"",AC617/L617)</f>
        <v/>
      </c>
      <c r="AE617" s="55">
        <f>IF(OR(AC617="",N(R617)=0),"",L617/R617)</f>
        <v/>
      </c>
      <c r="AF617" s="100">
        <f>IF(OR(N(K617)=0,N(J617)+N(Q617)=0),"",K617-IF(N(J617)&gt;0,J617,Q617))</f>
        <v/>
      </c>
      <c r="AG617" s="99">
        <f>IF(B617="","",IFERROR(AVERAGEIFS('QUALITY CONTROL'!$M$5:$M$304,'QUALITY CONTROL'!$B$5:$B$304,A617),""))</f>
        <v/>
      </c>
      <c r="AH617" s="51">
        <f>IF(B617="","",DATE(YEAR(B617),MONTH(B617),1))</f>
        <v/>
      </c>
      <c r="AI617" s="49">
        <f>IF(D617="","",IFERROR(INDEX('CUSTOMERS'!$E$5:$E$404,MATCH(D617,'CUSTOMERS'!$B$5:$B$404,0)),""))</f>
        <v/>
      </c>
      <c r="AJ617" s="49">
        <f>IF(B617="","",N(C617))</f>
        <v/>
      </c>
      <c r="AK617" s="49">
        <f>IF(OR(B617="",O617="Cancelled",O617="Rescheduled"),"",B617&amp;"|"&amp;(COUNTIFS('JOBS'!$B$5:$B$1504,B617,'JOBS'!$AJ$5:$AJ$1504,"&lt;"&amp;AJ617,'JOBS'!$O$5:$O$1504,"&lt;&gt;Cancelled",'JOBS'!$O$5:$O$1504,"&lt;&gt;Rescheduled")+COUNTIFS($B$5:B617,B617,$AJ$5:AJ617,AJ617,$O$5:O617,"&lt;&gt;Cancelled",$O$5:O617,"&lt;&gt;Rescheduled")))</f>
        <v/>
      </c>
      <c r="AL617" s="49">
        <f>IF(N(U617)&lt;=0.005,"",COUNTIFS('JOBS'!$U$5:$U$1504,"&gt;0.005",'JOBS'!$B$5:$B$1504,"&lt;"&amp;B617)+COUNTIFS($U$5:U617,"&gt;0.005",$B$5:B617,B617))</f>
        <v/>
      </c>
    </row>
    <row r="618">
      <c r="A618" s="46" t="inlineStr">
        <is>
          <t>J-0614</t>
        </is>
      </c>
      <c r="B618" s="47" t="n"/>
      <c r="C618" s="94" t="n"/>
      <c r="D618" s="38" t="n"/>
      <c r="E618" s="38" t="n"/>
      <c r="F618" s="38" t="n"/>
      <c r="G618" s="38" t="n"/>
      <c r="H618" s="38" t="n"/>
      <c r="I618" s="57" t="n"/>
      <c r="J618" s="95" t="n"/>
      <c r="K618" s="95" t="n"/>
      <c r="L618" s="48" t="n"/>
      <c r="M618" s="96" t="n"/>
      <c r="N618" s="48" t="n"/>
      <c r="O618" s="38" t="n"/>
      <c r="P618" s="38" t="n"/>
      <c r="Q618" s="97">
        <f>IF(OR(F618="",E618=""),"",IFERROR(IF(INDEX('PROPERTIES'!$F$5:$F$404,MATCH(E618,'PROPERTIES'!$B$5:$B$404,0))=0,"",ROUND((INDEX('PROPERTIES'!$F$5:$F$404,MATCH(E618,'PROPERTIES'!$B$5:$B$404,0))/INDEX('PRICING'!$C$7:$C$16,MATCH(F618,'PRICING'!$A$7:$A$16,0))+INDEX('PROPERTIES'!$G$5:$G$404,MATCH(E618,'PROPERTIES'!$B$5:$B$404,0))*INDEX('PRICING'!$D$7:$D$16,MATCH(F618,'PRICING'!$A$7:$A$16,0))/60+INDEX('PROPERTIES'!$H$5:$H$404,MATCH(E618,'PROPERTIES'!$B$5:$B$404,0))*INDEX('PRICING'!$E$7:$E$16,MATCH(F618,'PRICING'!$A$7:$A$16,0))/60+INDEX('PRICING'!$F$7:$F$16,MATCH(F618,'PRICING'!$A$7:$A$16,0))/60),2)),""))</f>
        <v/>
      </c>
      <c r="R618" s="97">
        <f>IF(B618="","",IF(N(K618)&gt;0,K618,IF(N(J618)&gt;0,J618,N(Q618))))</f>
        <v/>
      </c>
      <c r="S618" s="55">
        <f>IF(L618="","",ROUND(L618*(1+N(M618)),2))</f>
        <v/>
      </c>
      <c r="T618" s="55">
        <f>IF(B618="","",SUMIFS('REVENUE'!$C$5:$C$1504,'REVENUE'!$B$5:$B$1504,A618))</f>
        <v/>
      </c>
      <c r="U618" s="55">
        <f>IF(B618="","",IF(O618="Completed",MAX(0,N(S618)-T618),""))</f>
        <v/>
      </c>
      <c r="V618" s="49">
        <f>IF(B618="","",IF(O618&lt;&gt;"Completed",IF(T618&gt;0,"Deposit","—"),IF(U618&lt;=0.005,"Paid",IF(T618&gt;0,"Partial","Unpaid"))))</f>
        <v/>
      </c>
      <c r="W618" s="55">
        <f>IF(B618="","",IFERROR(1/(1/INDEX('STAFF &amp; TASKS'!$C$5:$C$24,MATCH(H618,'STAFF &amp; TASKS'!$A$5:$A$24,0))),PayRate))</f>
        <v/>
      </c>
      <c r="X618" s="55">
        <f>IF(B618="","",IF(OR(O618="Cancelled",O618="No-Show"),"",ROUND(R618*W618*(1+Burden),2)))</f>
        <v/>
      </c>
      <c r="Y618" s="55">
        <f>IF(B618="","",IF(OR(O618="Cancelled",O618="No-Show"),"",IF(N618&lt;&gt;"",N618,ROUND(R618*SupHr*IFERROR(INDEX('PRICING'!$G$7:$G$16,MATCH(F618,'PRICING'!$A$7:$A$16,0)),1),2))))</f>
        <v/>
      </c>
      <c r="Z618" s="98">
        <f>IF(B618="","",SUMIFS('MILEAGE'!$J$5:$J$1504,'MILEAGE'!$B$5:$B$1504,A618))</f>
        <v/>
      </c>
      <c r="AA618" s="55">
        <f>IF(B618="","",ROUND(Z618*MileRate,2))</f>
        <v/>
      </c>
      <c r="AB618" s="55">
        <f>IF(B618="","",SUMIFS('REVENUE'!$J$5:$J$1504,'REVENUE'!$B$5:$B$1504,A618))</f>
        <v/>
      </c>
      <c r="AC618" s="55">
        <f>IF(L618="","",IF(OR(O618="Cancelled",O618="No-Show"),"",L618-N(X618)-N(Y618)-AA618-AB618))</f>
        <v/>
      </c>
      <c r="AD618" s="99">
        <f>IF(OR(AC618="",N(L618)=0),"",AC618/L618)</f>
        <v/>
      </c>
      <c r="AE618" s="55">
        <f>IF(OR(AC618="",N(R618)=0),"",L618/R618)</f>
        <v/>
      </c>
      <c r="AF618" s="100">
        <f>IF(OR(N(K618)=0,N(J618)+N(Q618)=0),"",K618-IF(N(J618)&gt;0,J618,Q618))</f>
        <v/>
      </c>
      <c r="AG618" s="99">
        <f>IF(B618="","",IFERROR(AVERAGEIFS('QUALITY CONTROL'!$M$5:$M$304,'QUALITY CONTROL'!$B$5:$B$304,A618),""))</f>
        <v/>
      </c>
      <c r="AH618" s="51">
        <f>IF(B618="","",DATE(YEAR(B618),MONTH(B618),1))</f>
        <v/>
      </c>
      <c r="AI618" s="49">
        <f>IF(D618="","",IFERROR(INDEX('CUSTOMERS'!$E$5:$E$404,MATCH(D618,'CUSTOMERS'!$B$5:$B$404,0)),""))</f>
        <v/>
      </c>
      <c r="AJ618" s="49">
        <f>IF(B618="","",N(C618))</f>
        <v/>
      </c>
      <c r="AK618" s="49">
        <f>IF(OR(B618="",O618="Cancelled",O618="Rescheduled"),"",B618&amp;"|"&amp;(COUNTIFS('JOBS'!$B$5:$B$1504,B618,'JOBS'!$AJ$5:$AJ$1504,"&lt;"&amp;AJ618,'JOBS'!$O$5:$O$1504,"&lt;&gt;Cancelled",'JOBS'!$O$5:$O$1504,"&lt;&gt;Rescheduled")+COUNTIFS($B$5:B618,B618,$AJ$5:AJ618,AJ618,$O$5:O618,"&lt;&gt;Cancelled",$O$5:O618,"&lt;&gt;Rescheduled")))</f>
        <v/>
      </c>
      <c r="AL618" s="49">
        <f>IF(N(U618)&lt;=0.005,"",COUNTIFS('JOBS'!$U$5:$U$1504,"&gt;0.005",'JOBS'!$B$5:$B$1504,"&lt;"&amp;B618)+COUNTIFS($U$5:U618,"&gt;0.005",$B$5:B618,B618))</f>
        <v/>
      </c>
    </row>
    <row r="619">
      <c r="A619" s="46" t="inlineStr">
        <is>
          <t>J-0615</t>
        </is>
      </c>
      <c r="B619" s="47" t="n"/>
      <c r="C619" s="94" t="n"/>
      <c r="D619" s="38" t="n"/>
      <c r="E619" s="38" t="n"/>
      <c r="F619" s="38" t="n"/>
      <c r="G619" s="38" t="n"/>
      <c r="H619" s="38" t="n"/>
      <c r="I619" s="57" t="n"/>
      <c r="J619" s="95" t="n"/>
      <c r="K619" s="95" t="n"/>
      <c r="L619" s="48" t="n"/>
      <c r="M619" s="96" t="n"/>
      <c r="N619" s="48" t="n"/>
      <c r="O619" s="38" t="n"/>
      <c r="P619" s="38" t="n"/>
      <c r="Q619" s="97">
        <f>IF(OR(F619="",E619=""),"",IFERROR(IF(INDEX('PROPERTIES'!$F$5:$F$404,MATCH(E619,'PROPERTIES'!$B$5:$B$404,0))=0,"",ROUND((INDEX('PROPERTIES'!$F$5:$F$404,MATCH(E619,'PROPERTIES'!$B$5:$B$404,0))/INDEX('PRICING'!$C$7:$C$16,MATCH(F619,'PRICING'!$A$7:$A$16,0))+INDEX('PROPERTIES'!$G$5:$G$404,MATCH(E619,'PROPERTIES'!$B$5:$B$404,0))*INDEX('PRICING'!$D$7:$D$16,MATCH(F619,'PRICING'!$A$7:$A$16,0))/60+INDEX('PROPERTIES'!$H$5:$H$404,MATCH(E619,'PROPERTIES'!$B$5:$B$404,0))*INDEX('PRICING'!$E$7:$E$16,MATCH(F619,'PRICING'!$A$7:$A$16,0))/60+INDEX('PRICING'!$F$7:$F$16,MATCH(F619,'PRICING'!$A$7:$A$16,0))/60),2)),""))</f>
        <v/>
      </c>
      <c r="R619" s="97">
        <f>IF(B619="","",IF(N(K619)&gt;0,K619,IF(N(J619)&gt;0,J619,N(Q619))))</f>
        <v/>
      </c>
      <c r="S619" s="55">
        <f>IF(L619="","",ROUND(L619*(1+N(M619)),2))</f>
        <v/>
      </c>
      <c r="T619" s="55">
        <f>IF(B619="","",SUMIFS('REVENUE'!$C$5:$C$1504,'REVENUE'!$B$5:$B$1504,A619))</f>
        <v/>
      </c>
      <c r="U619" s="55">
        <f>IF(B619="","",IF(O619="Completed",MAX(0,N(S619)-T619),""))</f>
        <v/>
      </c>
      <c r="V619" s="49">
        <f>IF(B619="","",IF(O619&lt;&gt;"Completed",IF(T619&gt;0,"Deposit","—"),IF(U619&lt;=0.005,"Paid",IF(T619&gt;0,"Partial","Unpaid"))))</f>
        <v/>
      </c>
      <c r="W619" s="55">
        <f>IF(B619="","",IFERROR(1/(1/INDEX('STAFF &amp; TASKS'!$C$5:$C$24,MATCH(H619,'STAFF &amp; TASKS'!$A$5:$A$24,0))),PayRate))</f>
        <v/>
      </c>
      <c r="X619" s="55">
        <f>IF(B619="","",IF(OR(O619="Cancelled",O619="No-Show"),"",ROUND(R619*W619*(1+Burden),2)))</f>
        <v/>
      </c>
      <c r="Y619" s="55">
        <f>IF(B619="","",IF(OR(O619="Cancelled",O619="No-Show"),"",IF(N619&lt;&gt;"",N619,ROUND(R619*SupHr*IFERROR(INDEX('PRICING'!$G$7:$G$16,MATCH(F619,'PRICING'!$A$7:$A$16,0)),1),2))))</f>
        <v/>
      </c>
      <c r="Z619" s="98">
        <f>IF(B619="","",SUMIFS('MILEAGE'!$J$5:$J$1504,'MILEAGE'!$B$5:$B$1504,A619))</f>
        <v/>
      </c>
      <c r="AA619" s="55">
        <f>IF(B619="","",ROUND(Z619*MileRate,2))</f>
        <v/>
      </c>
      <c r="AB619" s="55">
        <f>IF(B619="","",SUMIFS('REVENUE'!$J$5:$J$1504,'REVENUE'!$B$5:$B$1504,A619))</f>
        <v/>
      </c>
      <c r="AC619" s="55">
        <f>IF(L619="","",IF(OR(O619="Cancelled",O619="No-Show"),"",L619-N(X619)-N(Y619)-AA619-AB619))</f>
        <v/>
      </c>
      <c r="AD619" s="99">
        <f>IF(OR(AC619="",N(L619)=0),"",AC619/L619)</f>
        <v/>
      </c>
      <c r="AE619" s="55">
        <f>IF(OR(AC619="",N(R619)=0),"",L619/R619)</f>
        <v/>
      </c>
      <c r="AF619" s="100">
        <f>IF(OR(N(K619)=0,N(J619)+N(Q619)=0),"",K619-IF(N(J619)&gt;0,J619,Q619))</f>
        <v/>
      </c>
      <c r="AG619" s="99">
        <f>IF(B619="","",IFERROR(AVERAGEIFS('QUALITY CONTROL'!$M$5:$M$304,'QUALITY CONTROL'!$B$5:$B$304,A619),""))</f>
        <v/>
      </c>
      <c r="AH619" s="51">
        <f>IF(B619="","",DATE(YEAR(B619),MONTH(B619),1))</f>
        <v/>
      </c>
      <c r="AI619" s="49">
        <f>IF(D619="","",IFERROR(INDEX('CUSTOMERS'!$E$5:$E$404,MATCH(D619,'CUSTOMERS'!$B$5:$B$404,0)),""))</f>
        <v/>
      </c>
      <c r="AJ619" s="49">
        <f>IF(B619="","",N(C619))</f>
        <v/>
      </c>
      <c r="AK619" s="49">
        <f>IF(OR(B619="",O619="Cancelled",O619="Rescheduled"),"",B619&amp;"|"&amp;(COUNTIFS('JOBS'!$B$5:$B$1504,B619,'JOBS'!$AJ$5:$AJ$1504,"&lt;"&amp;AJ619,'JOBS'!$O$5:$O$1504,"&lt;&gt;Cancelled",'JOBS'!$O$5:$O$1504,"&lt;&gt;Rescheduled")+COUNTIFS($B$5:B619,B619,$AJ$5:AJ619,AJ619,$O$5:O619,"&lt;&gt;Cancelled",$O$5:O619,"&lt;&gt;Rescheduled")))</f>
        <v/>
      </c>
      <c r="AL619" s="49">
        <f>IF(N(U619)&lt;=0.005,"",COUNTIFS('JOBS'!$U$5:$U$1504,"&gt;0.005",'JOBS'!$B$5:$B$1504,"&lt;"&amp;B619)+COUNTIFS($U$5:U619,"&gt;0.005",$B$5:B619,B619))</f>
        <v/>
      </c>
    </row>
    <row r="620">
      <c r="A620" s="46" t="inlineStr">
        <is>
          <t>J-0616</t>
        </is>
      </c>
      <c r="B620" s="47" t="n"/>
      <c r="C620" s="94" t="n"/>
      <c r="D620" s="38" t="n"/>
      <c r="E620" s="38" t="n"/>
      <c r="F620" s="38" t="n"/>
      <c r="G620" s="38" t="n"/>
      <c r="H620" s="38" t="n"/>
      <c r="I620" s="57" t="n"/>
      <c r="J620" s="95" t="n"/>
      <c r="K620" s="95" t="n"/>
      <c r="L620" s="48" t="n"/>
      <c r="M620" s="96" t="n"/>
      <c r="N620" s="48" t="n"/>
      <c r="O620" s="38" t="n"/>
      <c r="P620" s="38" t="n"/>
      <c r="Q620" s="97">
        <f>IF(OR(F620="",E620=""),"",IFERROR(IF(INDEX('PROPERTIES'!$F$5:$F$404,MATCH(E620,'PROPERTIES'!$B$5:$B$404,0))=0,"",ROUND((INDEX('PROPERTIES'!$F$5:$F$404,MATCH(E620,'PROPERTIES'!$B$5:$B$404,0))/INDEX('PRICING'!$C$7:$C$16,MATCH(F620,'PRICING'!$A$7:$A$16,0))+INDEX('PROPERTIES'!$G$5:$G$404,MATCH(E620,'PROPERTIES'!$B$5:$B$404,0))*INDEX('PRICING'!$D$7:$D$16,MATCH(F620,'PRICING'!$A$7:$A$16,0))/60+INDEX('PROPERTIES'!$H$5:$H$404,MATCH(E620,'PROPERTIES'!$B$5:$B$404,0))*INDEX('PRICING'!$E$7:$E$16,MATCH(F620,'PRICING'!$A$7:$A$16,0))/60+INDEX('PRICING'!$F$7:$F$16,MATCH(F620,'PRICING'!$A$7:$A$16,0))/60),2)),""))</f>
        <v/>
      </c>
      <c r="R620" s="97">
        <f>IF(B620="","",IF(N(K620)&gt;0,K620,IF(N(J620)&gt;0,J620,N(Q620))))</f>
        <v/>
      </c>
      <c r="S620" s="55">
        <f>IF(L620="","",ROUND(L620*(1+N(M620)),2))</f>
        <v/>
      </c>
      <c r="T620" s="55">
        <f>IF(B620="","",SUMIFS('REVENUE'!$C$5:$C$1504,'REVENUE'!$B$5:$B$1504,A620))</f>
        <v/>
      </c>
      <c r="U620" s="55">
        <f>IF(B620="","",IF(O620="Completed",MAX(0,N(S620)-T620),""))</f>
        <v/>
      </c>
      <c r="V620" s="49">
        <f>IF(B620="","",IF(O620&lt;&gt;"Completed",IF(T620&gt;0,"Deposit","—"),IF(U620&lt;=0.005,"Paid",IF(T620&gt;0,"Partial","Unpaid"))))</f>
        <v/>
      </c>
      <c r="W620" s="55">
        <f>IF(B620="","",IFERROR(1/(1/INDEX('STAFF &amp; TASKS'!$C$5:$C$24,MATCH(H620,'STAFF &amp; TASKS'!$A$5:$A$24,0))),PayRate))</f>
        <v/>
      </c>
      <c r="X620" s="55">
        <f>IF(B620="","",IF(OR(O620="Cancelled",O620="No-Show"),"",ROUND(R620*W620*(1+Burden),2)))</f>
        <v/>
      </c>
      <c r="Y620" s="55">
        <f>IF(B620="","",IF(OR(O620="Cancelled",O620="No-Show"),"",IF(N620&lt;&gt;"",N620,ROUND(R620*SupHr*IFERROR(INDEX('PRICING'!$G$7:$G$16,MATCH(F620,'PRICING'!$A$7:$A$16,0)),1),2))))</f>
        <v/>
      </c>
      <c r="Z620" s="98">
        <f>IF(B620="","",SUMIFS('MILEAGE'!$J$5:$J$1504,'MILEAGE'!$B$5:$B$1504,A620))</f>
        <v/>
      </c>
      <c r="AA620" s="55">
        <f>IF(B620="","",ROUND(Z620*MileRate,2))</f>
        <v/>
      </c>
      <c r="AB620" s="55">
        <f>IF(B620="","",SUMIFS('REVENUE'!$J$5:$J$1504,'REVENUE'!$B$5:$B$1504,A620))</f>
        <v/>
      </c>
      <c r="AC620" s="55">
        <f>IF(L620="","",IF(OR(O620="Cancelled",O620="No-Show"),"",L620-N(X620)-N(Y620)-AA620-AB620))</f>
        <v/>
      </c>
      <c r="AD620" s="99">
        <f>IF(OR(AC620="",N(L620)=0),"",AC620/L620)</f>
        <v/>
      </c>
      <c r="AE620" s="55">
        <f>IF(OR(AC620="",N(R620)=0),"",L620/R620)</f>
        <v/>
      </c>
      <c r="AF620" s="100">
        <f>IF(OR(N(K620)=0,N(J620)+N(Q620)=0),"",K620-IF(N(J620)&gt;0,J620,Q620))</f>
        <v/>
      </c>
      <c r="AG620" s="99">
        <f>IF(B620="","",IFERROR(AVERAGEIFS('QUALITY CONTROL'!$M$5:$M$304,'QUALITY CONTROL'!$B$5:$B$304,A620),""))</f>
        <v/>
      </c>
      <c r="AH620" s="51">
        <f>IF(B620="","",DATE(YEAR(B620),MONTH(B620),1))</f>
        <v/>
      </c>
      <c r="AI620" s="49">
        <f>IF(D620="","",IFERROR(INDEX('CUSTOMERS'!$E$5:$E$404,MATCH(D620,'CUSTOMERS'!$B$5:$B$404,0)),""))</f>
        <v/>
      </c>
      <c r="AJ620" s="49">
        <f>IF(B620="","",N(C620))</f>
        <v/>
      </c>
      <c r="AK620" s="49">
        <f>IF(OR(B620="",O620="Cancelled",O620="Rescheduled"),"",B620&amp;"|"&amp;(COUNTIFS('JOBS'!$B$5:$B$1504,B620,'JOBS'!$AJ$5:$AJ$1504,"&lt;"&amp;AJ620,'JOBS'!$O$5:$O$1504,"&lt;&gt;Cancelled",'JOBS'!$O$5:$O$1504,"&lt;&gt;Rescheduled")+COUNTIFS($B$5:B620,B620,$AJ$5:AJ620,AJ620,$O$5:O620,"&lt;&gt;Cancelled",$O$5:O620,"&lt;&gt;Rescheduled")))</f>
        <v/>
      </c>
      <c r="AL620" s="49">
        <f>IF(N(U620)&lt;=0.005,"",COUNTIFS('JOBS'!$U$5:$U$1504,"&gt;0.005",'JOBS'!$B$5:$B$1504,"&lt;"&amp;B620)+COUNTIFS($U$5:U620,"&gt;0.005",$B$5:B620,B620))</f>
        <v/>
      </c>
    </row>
    <row r="621">
      <c r="A621" s="46" t="inlineStr">
        <is>
          <t>J-0617</t>
        </is>
      </c>
      <c r="B621" s="47" t="n"/>
      <c r="C621" s="94" t="n"/>
      <c r="D621" s="38" t="n"/>
      <c r="E621" s="38" t="n"/>
      <c r="F621" s="38" t="n"/>
      <c r="G621" s="38" t="n"/>
      <c r="H621" s="38" t="n"/>
      <c r="I621" s="57" t="n"/>
      <c r="J621" s="95" t="n"/>
      <c r="K621" s="95" t="n"/>
      <c r="L621" s="48" t="n"/>
      <c r="M621" s="96" t="n"/>
      <c r="N621" s="48" t="n"/>
      <c r="O621" s="38" t="n"/>
      <c r="P621" s="38" t="n"/>
      <c r="Q621" s="97">
        <f>IF(OR(F621="",E621=""),"",IFERROR(IF(INDEX('PROPERTIES'!$F$5:$F$404,MATCH(E621,'PROPERTIES'!$B$5:$B$404,0))=0,"",ROUND((INDEX('PROPERTIES'!$F$5:$F$404,MATCH(E621,'PROPERTIES'!$B$5:$B$404,0))/INDEX('PRICING'!$C$7:$C$16,MATCH(F621,'PRICING'!$A$7:$A$16,0))+INDEX('PROPERTIES'!$G$5:$G$404,MATCH(E621,'PROPERTIES'!$B$5:$B$404,0))*INDEX('PRICING'!$D$7:$D$16,MATCH(F621,'PRICING'!$A$7:$A$16,0))/60+INDEX('PROPERTIES'!$H$5:$H$404,MATCH(E621,'PROPERTIES'!$B$5:$B$404,0))*INDEX('PRICING'!$E$7:$E$16,MATCH(F621,'PRICING'!$A$7:$A$16,0))/60+INDEX('PRICING'!$F$7:$F$16,MATCH(F621,'PRICING'!$A$7:$A$16,0))/60),2)),""))</f>
        <v/>
      </c>
      <c r="R621" s="97">
        <f>IF(B621="","",IF(N(K621)&gt;0,K621,IF(N(J621)&gt;0,J621,N(Q621))))</f>
        <v/>
      </c>
      <c r="S621" s="55">
        <f>IF(L621="","",ROUND(L621*(1+N(M621)),2))</f>
        <v/>
      </c>
      <c r="T621" s="55">
        <f>IF(B621="","",SUMIFS('REVENUE'!$C$5:$C$1504,'REVENUE'!$B$5:$B$1504,A621))</f>
        <v/>
      </c>
      <c r="U621" s="55">
        <f>IF(B621="","",IF(O621="Completed",MAX(0,N(S621)-T621),""))</f>
        <v/>
      </c>
      <c r="V621" s="49">
        <f>IF(B621="","",IF(O621&lt;&gt;"Completed",IF(T621&gt;0,"Deposit","—"),IF(U621&lt;=0.005,"Paid",IF(T621&gt;0,"Partial","Unpaid"))))</f>
        <v/>
      </c>
      <c r="W621" s="55">
        <f>IF(B621="","",IFERROR(1/(1/INDEX('STAFF &amp; TASKS'!$C$5:$C$24,MATCH(H621,'STAFF &amp; TASKS'!$A$5:$A$24,0))),PayRate))</f>
        <v/>
      </c>
      <c r="X621" s="55">
        <f>IF(B621="","",IF(OR(O621="Cancelled",O621="No-Show"),"",ROUND(R621*W621*(1+Burden),2)))</f>
        <v/>
      </c>
      <c r="Y621" s="55">
        <f>IF(B621="","",IF(OR(O621="Cancelled",O621="No-Show"),"",IF(N621&lt;&gt;"",N621,ROUND(R621*SupHr*IFERROR(INDEX('PRICING'!$G$7:$G$16,MATCH(F621,'PRICING'!$A$7:$A$16,0)),1),2))))</f>
        <v/>
      </c>
      <c r="Z621" s="98">
        <f>IF(B621="","",SUMIFS('MILEAGE'!$J$5:$J$1504,'MILEAGE'!$B$5:$B$1504,A621))</f>
        <v/>
      </c>
      <c r="AA621" s="55">
        <f>IF(B621="","",ROUND(Z621*MileRate,2))</f>
        <v/>
      </c>
      <c r="AB621" s="55">
        <f>IF(B621="","",SUMIFS('REVENUE'!$J$5:$J$1504,'REVENUE'!$B$5:$B$1504,A621))</f>
        <v/>
      </c>
      <c r="AC621" s="55">
        <f>IF(L621="","",IF(OR(O621="Cancelled",O621="No-Show"),"",L621-N(X621)-N(Y621)-AA621-AB621))</f>
        <v/>
      </c>
      <c r="AD621" s="99">
        <f>IF(OR(AC621="",N(L621)=0),"",AC621/L621)</f>
        <v/>
      </c>
      <c r="AE621" s="55">
        <f>IF(OR(AC621="",N(R621)=0),"",L621/R621)</f>
        <v/>
      </c>
      <c r="AF621" s="100">
        <f>IF(OR(N(K621)=0,N(J621)+N(Q621)=0),"",K621-IF(N(J621)&gt;0,J621,Q621))</f>
        <v/>
      </c>
      <c r="AG621" s="99">
        <f>IF(B621="","",IFERROR(AVERAGEIFS('QUALITY CONTROL'!$M$5:$M$304,'QUALITY CONTROL'!$B$5:$B$304,A621),""))</f>
        <v/>
      </c>
      <c r="AH621" s="51">
        <f>IF(B621="","",DATE(YEAR(B621),MONTH(B621),1))</f>
        <v/>
      </c>
      <c r="AI621" s="49">
        <f>IF(D621="","",IFERROR(INDEX('CUSTOMERS'!$E$5:$E$404,MATCH(D621,'CUSTOMERS'!$B$5:$B$404,0)),""))</f>
        <v/>
      </c>
      <c r="AJ621" s="49">
        <f>IF(B621="","",N(C621))</f>
        <v/>
      </c>
      <c r="AK621" s="49">
        <f>IF(OR(B621="",O621="Cancelled",O621="Rescheduled"),"",B621&amp;"|"&amp;(COUNTIFS('JOBS'!$B$5:$B$1504,B621,'JOBS'!$AJ$5:$AJ$1504,"&lt;"&amp;AJ621,'JOBS'!$O$5:$O$1504,"&lt;&gt;Cancelled",'JOBS'!$O$5:$O$1504,"&lt;&gt;Rescheduled")+COUNTIFS($B$5:B621,B621,$AJ$5:AJ621,AJ621,$O$5:O621,"&lt;&gt;Cancelled",$O$5:O621,"&lt;&gt;Rescheduled")))</f>
        <v/>
      </c>
      <c r="AL621" s="49">
        <f>IF(N(U621)&lt;=0.005,"",COUNTIFS('JOBS'!$U$5:$U$1504,"&gt;0.005",'JOBS'!$B$5:$B$1504,"&lt;"&amp;B621)+COUNTIFS($U$5:U621,"&gt;0.005",$B$5:B621,B621))</f>
        <v/>
      </c>
    </row>
    <row r="622">
      <c r="A622" s="46" t="inlineStr">
        <is>
          <t>J-0618</t>
        </is>
      </c>
      <c r="B622" s="47" t="n"/>
      <c r="C622" s="94" t="n"/>
      <c r="D622" s="38" t="n"/>
      <c r="E622" s="38" t="n"/>
      <c r="F622" s="38" t="n"/>
      <c r="G622" s="38" t="n"/>
      <c r="H622" s="38" t="n"/>
      <c r="I622" s="57" t="n"/>
      <c r="J622" s="95" t="n"/>
      <c r="K622" s="95" t="n"/>
      <c r="L622" s="48" t="n"/>
      <c r="M622" s="96" t="n"/>
      <c r="N622" s="48" t="n"/>
      <c r="O622" s="38" t="n"/>
      <c r="P622" s="38" t="n"/>
      <c r="Q622" s="97">
        <f>IF(OR(F622="",E622=""),"",IFERROR(IF(INDEX('PROPERTIES'!$F$5:$F$404,MATCH(E622,'PROPERTIES'!$B$5:$B$404,0))=0,"",ROUND((INDEX('PROPERTIES'!$F$5:$F$404,MATCH(E622,'PROPERTIES'!$B$5:$B$404,0))/INDEX('PRICING'!$C$7:$C$16,MATCH(F622,'PRICING'!$A$7:$A$16,0))+INDEX('PROPERTIES'!$G$5:$G$404,MATCH(E622,'PROPERTIES'!$B$5:$B$404,0))*INDEX('PRICING'!$D$7:$D$16,MATCH(F622,'PRICING'!$A$7:$A$16,0))/60+INDEX('PROPERTIES'!$H$5:$H$404,MATCH(E622,'PROPERTIES'!$B$5:$B$404,0))*INDEX('PRICING'!$E$7:$E$16,MATCH(F622,'PRICING'!$A$7:$A$16,0))/60+INDEX('PRICING'!$F$7:$F$16,MATCH(F622,'PRICING'!$A$7:$A$16,0))/60),2)),""))</f>
        <v/>
      </c>
      <c r="R622" s="97">
        <f>IF(B622="","",IF(N(K622)&gt;0,K622,IF(N(J622)&gt;0,J622,N(Q622))))</f>
        <v/>
      </c>
      <c r="S622" s="55">
        <f>IF(L622="","",ROUND(L622*(1+N(M622)),2))</f>
        <v/>
      </c>
      <c r="T622" s="55">
        <f>IF(B622="","",SUMIFS('REVENUE'!$C$5:$C$1504,'REVENUE'!$B$5:$B$1504,A622))</f>
        <v/>
      </c>
      <c r="U622" s="55">
        <f>IF(B622="","",IF(O622="Completed",MAX(0,N(S622)-T622),""))</f>
        <v/>
      </c>
      <c r="V622" s="49">
        <f>IF(B622="","",IF(O622&lt;&gt;"Completed",IF(T622&gt;0,"Deposit","—"),IF(U622&lt;=0.005,"Paid",IF(T622&gt;0,"Partial","Unpaid"))))</f>
        <v/>
      </c>
      <c r="W622" s="55">
        <f>IF(B622="","",IFERROR(1/(1/INDEX('STAFF &amp; TASKS'!$C$5:$C$24,MATCH(H622,'STAFF &amp; TASKS'!$A$5:$A$24,0))),PayRate))</f>
        <v/>
      </c>
      <c r="X622" s="55">
        <f>IF(B622="","",IF(OR(O622="Cancelled",O622="No-Show"),"",ROUND(R622*W622*(1+Burden),2)))</f>
        <v/>
      </c>
      <c r="Y622" s="55">
        <f>IF(B622="","",IF(OR(O622="Cancelled",O622="No-Show"),"",IF(N622&lt;&gt;"",N622,ROUND(R622*SupHr*IFERROR(INDEX('PRICING'!$G$7:$G$16,MATCH(F622,'PRICING'!$A$7:$A$16,0)),1),2))))</f>
        <v/>
      </c>
      <c r="Z622" s="98">
        <f>IF(B622="","",SUMIFS('MILEAGE'!$J$5:$J$1504,'MILEAGE'!$B$5:$B$1504,A622))</f>
        <v/>
      </c>
      <c r="AA622" s="55">
        <f>IF(B622="","",ROUND(Z622*MileRate,2))</f>
        <v/>
      </c>
      <c r="AB622" s="55">
        <f>IF(B622="","",SUMIFS('REVENUE'!$J$5:$J$1504,'REVENUE'!$B$5:$B$1504,A622))</f>
        <v/>
      </c>
      <c r="AC622" s="55">
        <f>IF(L622="","",IF(OR(O622="Cancelled",O622="No-Show"),"",L622-N(X622)-N(Y622)-AA622-AB622))</f>
        <v/>
      </c>
      <c r="AD622" s="99">
        <f>IF(OR(AC622="",N(L622)=0),"",AC622/L622)</f>
        <v/>
      </c>
      <c r="AE622" s="55">
        <f>IF(OR(AC622="",N(R622)=0),"",L622/R622)</f>
        <v/>
      </c>
      <c r="AF622" s="100">
        <f>IF(OR(N(K622)=0,N(J622)+N(Q622)=0),"",K622-IF(N(J622)&gt;0,J622,Q622))</f>
        <v/>
      </c>
      <c r="AG622" s="99">
        <f>IF(B622="","",IFERROR(AVERAGEIFS('QUALITY CONTROL'!$M$5:$M$304,'QUALITY CONTROL'!$B$5:$B$304,A622),""))</f>
        <v/>
      </c>
      <c r="AH622" s="51">
        <f>IF(B622="","",DATE(YEAR(B622),MONTH(B622),1))</f>
        <v/>
      </c>
      <c r="AI622" s="49">
        <f>IF(D622="","",IFERROR(INDEX('CUSTOMERS'!$E$5:$E$404,MATCH(D622,'CUSTOMERS'!$B$5:$B$404,0)),""))</f>
        <v/>
      </c>
      <c r="AJ622" s="49">
        <f>IF(B622="","",N(C622))</f>
        <v/>
      </c>
      <c r="AK622" s="49">
        <f>IF(OR(B622="",O622="Cancelled",O622="Rescheduled"),"",B622&amp;"|"&amp;(COUNTIFS('JOBS'!$B$5:$B$1504,B622,'JOBS'!$AJ$5:$AJ$1504,"&lt;"&amp;AJ622,'JOBS'!$O$5:$O$1504,"&lt;&gt;Cancelled",'JOBS'!$O$5:$O$1504,"&lt;&gt;Rescheduled")+COUNTIFS($B$5:B622,B622,$AJ$5:AJ622,AJ622,$O$5:O622,"&lt;&gt;Cancelled",$O$5:O622,"&lt;&gt;Rescheduled")))</f>
        <v/>
      </c>
      <c r="AL622" s="49">
        <f>IF(N(U622)&lt;=0.005,"",COUNTIFS('JOBS'!$U$5:$U$1504,"&gt;0.005",'JOBS'!$B$5:$B$1504,"&lt;"&amp;B622)+COUNTIFS($U$5:U622,"&gt;0.005",$B$5:B622,B622))</f>
        <v/>
      </c>
    </row>
    <row r="623">
      <c r="A623" s="46" t="inlineStr">
        <is>
          <t>J-0619</t>
        </is>
      </c>
      <c r="B623" s="47" t="n"/>
      <c r="C623" s="94" t="n"/>
      <c r="D623" s="38" t="n"/>
      <c r="E623" s="38" t="n"/>
      <c r="F623" s="38" t="n"/>
      <c r="G623" s="38" t="n"/>
      <c r="H623" s="38" t="n"/>
      <c r="I623" s="57" t="n"/>
      <c r="J623" s="95" t="n"/>
      <c r="K623" s="95" t="n"/>
      <c r="L623" s="48" t="n"/>
      <c r="M623" s="96" t="n"/>
      <c r="N623" s="48" t="n"/>
      <c r="O623" s="38" t="n"/>
      <c r="P623" s="38" t="n"/>
      <c r="Q623" s="97">
        <f>IF(OR(F623="",E623=""),"",IFERROR(IF(INDEX('PROPERTIES'!$F$5:$F$404,MATCH(E623,'PROPERTIES'!$B$5:$B$404,0))=0,"",ROUND((INDEX('PROPERTIES'!$F$5:$F$404,MATCH(E623,'PROPERTIES'!$B$5:$B$404,0))/INDEX('PRICING'!$C$7:$C$16,MATCH(F623,'PRICING'!$A$7:$A$16,0))+INDEX('PROPERTIES'!$G$5:$G$404,MATCH(E623,'PROPERTIES'!$B$5:$B$404,0))*INDEX('PRICING'!$D$7:$D$16,MATCH(F623,'PRICING'!$A$7:$A$16,0))/60+INDEX('PROPERTIES'!$H$5:$H$404,MATCH(E623,'PROPERTIES'!$B$5:$B$404,0))*INDEX('PRICING'!$E$7:$E$16,MATCH(F623,'PRICING'!$A$7:$A$16,0))/60+INDEX('PRICING'!$F$7:$F$16,MATCH(F623,'PRICING'!$A$7:$A$16,0))/60),2)),""))</f>
        <v/>
      </c>
      <c r="R623" s="97">
        <f>IF(B623="","",IF(N(K623)&gt;0,K623,IF(N(J623)&gt;0,J623,N(Q623))))</f>
        <v/>
      </c>
      <c r="S623" s="55">
        <f>IF(L623="","",ROUND(L623*(1+N(M623)),2))</f>
        <v/>
      </c>
      <c r="T623" s="55">
        <f>IF(B623="","",SUMIFS('REVENUE'!$C$5:$C$1504,'REVENUE'!$B$5:$B$1504,A623))</f>
        <v/>
      </c>
      <c r="U623" s="55">
        <f>IF(B623="","",IF(O623="Completed",MAX(0,N(S623)-T623),""))</f>
        <v/>
      </c>
      <c r="V623" s="49">
        <f>IF(B623="","",IF(O623&lt;&gt;"Completed",IF(T623&gt;0,"Deposit","—"),IF(U623&lt;=0.005,"Paid",IF(T623&gt;0,"Partial","Unpaid"))))</f>
        <v/>
      </c>
      <c r="W623" s="55">
        <f>IF(B623="","",IFERROR(1/(1/INDEX('STAFF &amp; TASKS'!$C$5:$C$24,MATCH(H623,'STAFF &amp; TASKS'!$A$5:$A$24,0))),PayRate))</f>
        <v/>
      </c>
      <c r="X623" s="55">
        <f>IF(B623="","",IF(OR(O623="Cancelled",O623="No-Show"),"",ROUND(R623*W623*(1+Burden),2)))</f>
        <v/>
      </c>
      <c r="Y623" s="55">
        <f>IF(B623="","",IF(OR(O623="Cancelled",O623="No-Show"),"",IF(N623&lt;&gt;"",N623,ROUND(R623*SupHr*IFERROR(INDEX('PRICING'!$G$7:$G$16,MATCH(F623,'PRICING'!$A$7:$A$16,0)),1),2))))</f>
        <v/>
      </c>
      <c r="Z623" s="98">
        <f>IF(B623="","",SUMIFS('MILEAGE'!$J$5:$J$1504,'MILEAGE'!$B$5:$B$1504,A623))</f>
        <v/>
      </c>
      <c r="AA623" s="55">
        <f>IF(B623="","",ROUND(Z623*MileRate,2))</f>
        <v/>
      </c>
      <c r="AB623" s="55">
        <f>IF(B623="","",SUMIFS('REVENUE'!$J$5:$J$1504,'REVENUE'!$B$5:$B$1504,A623))</f>
        <v/>
      </c>
      <c r="AC623" s="55">
        <f>IF(L623="","",IF(OR(O623="Cancelled",O623="No-Show"),"",L623-N(X623)-N(Y623)-AA623-AB623))</f>
        <v/>
      </c>
      <c r="AD623" s="99">
        <f>IF(OR(AC623="",N(L623)=0),"",AC623/L623)</f>
        <v/>
      </c>
      <c r="AE623" s="55">
        <f>IF(OR(AC623="",N(R623)=0),"",L623/R623)</f>
        <v/>
      </c>
      <c r="AF623" s="100">
        <f>IF(OR(N(K623)=0,N(J623)+N(Q623)=0),"",K623-IF(N(J623)&gt;0,J623,Q623))</f>
        <v/>
      </c>
      <c r="AG623" s="99">
        <f>IF(B623="","",IFERROR(AVERAGEIFS('QUALITY CONTROL'!$M$5:$M$304,'QUALITY CONTROL'!$B$5:$B$304,A623),""))</f>
        <v/>
      </c>
      <c r="AH623" s="51">
        <f>IF(B623="","",DATE(YEAR(B623),MONTH(B623),1))</f>
        <v/>
      </c>
      <c r="AI623" s="49">
        <f>IF(D623="","",IFERROR(INDEX('CUSTOMERS'!$E$5:$E$404,MATCH(D623,'CUSTOMERS'!$B$5:$B$404,0)),""))</f>
        <v/>
      </c>
      <c r="AJ623" s="49">
        <f>IF(B623="","",N(C623))</f>
        <v/>
      </c>
      <c r="AK623" s="49">
        <f>IF(OR(B623="",O623="Cancelled",O623="Rescheduled"),"",B623&amp;"|"&amp;(COUNTIFS('JOBS'!$B$5:$B$1504,B623,'JOBS'!$AJ$5:$AJ$1504,"&lt;"&amp;AJ623,'JOBS'!$O$5:$O$1504,"&lt;&gt;Cancelled",'JOBS'!$O$5:$O$1504,"&lt;&gt;Rescheduled")+COUNTIFS($B$5:B623,B623,$AJ$5:AJ623,AJ623,$O$5:O623,"&lt;&gt;Cancelled",$O$5:O623,"&lt;&gt;Rescheduled")))</f>
        <v/>
      </c>
      <c r="AL623" s="49">
        <f>IF(N(U623)&lt;=0.005,"",COUNTIFS('JOBS'!$U$5:$U$1504,"&gt;0.005",'JOBS'!$B$5:$B$1504,"&lt;"&amp;B623)+COUNTIFS($U$5:U623,"&gt;0.005",$B$5:B623,B623))</f>
        <v/>
      </c>
    </row>
    <row r="624">
      <c r="A624" s="46" t="inlineStr">
        <is>
          <t>J-0620</t>
        </is>
      </c>
      <c r="B624" s="47" t="n"/>
      <c r="C624" s="94" t="n"/>
      <c r="D624" s="38" t="n"/>
      <c r="E624" s="38" t="n"/>
      <c r="F624" s="38" t="n"/>
      <c r="G624" s="38" t="n"/>
      <c r="H624" s="38" t="n"/>
      <c r="I624" s="57" t="n"/>
      <c r="J624" s="95" t="n"/>
      <c r="K624" s="95" t="n"/>
      <c r="L624" s="48" t="n"/>
      <c r="M624" s="96" t="n"/>
      <c r="N624" s="48" t="n"/>
      <c r="O624" s="38" t="n"/>
      <c r="P624" s="38" t="n"/>
      <c r="Q624" s="97">
        <f>IF(OR(F624="",E624=""),"",IFERROR(IF(INDEX('PROPERTIES'!$F$5:$F$404,MATCH(E624,'PROPERTIES'!$B$5:$B$404,0))=0,"",ROUND((INDEX('PROPERTIES'!$F$5:$F$404,MATCH(E624,'PROPERTIES'!$B$5:$B$404,0))/INDEX('PRICING'!$C$7:$C$16,MATCH(F624,'PRICING'!$A$7:$A$16,0))+INDEX('PROPERTIES'!$G$5:$G$404,MATCH(E624,'PROPERTIES'!$B$5:$B$404,0))*INDEX('PRICING'!$D$7:$D$16,MATCH(F624,'PRICING'!$A$7:$A$16,0))/60+INDEX('PROPERTIES'!$H$5:$H$404,MATCH(E624,'PROPERTIES'!$B$5:$B$404,0))*INDEX('PRICING'!$E$7:$E$16,MATCH(F624,'PRICING'!$A$7:$A$16,0))/60+INDEX('PRICING'!$F$7:$F$16,MATCH(F624,'PRICING'!$A$7:$A$16,0))/60),2)),""))</f>
        <v/>
      </c>
      <c r="R624" s="97">
        <f>IF(B624="","",IF(N(K624)&gt;0,K624,IF(N(J624)&gt;0,J624,N(Q624))))</f>
        <v/>
      </c>
      <c r="S624" s="55">
        <f>IF(L624="","",ROUND(L624*(1+N(M624)),2))</f>
        <v/>
      </c>
      <c r="T624" s="55">
        <f>IF(B624="","",SUMIFS('REVENUE'!$C$5:$C$1504,'REVENUE'!$B$5:$B$1504,A624))</f>
        <v/>
      </c>
      <c r="U624" s="55">
        <f>IF(B624="","",IF(O624="Completed",MAX(0,N(S624)-T624),""))</f>
        <v/>
      </c>
      <c r="V624" s="49">
        <f>IF(B624="","",IF(O624&lt;&gt;"Completed",IF(T624&gt;0,"Deposit","—"),IF(U624&lt;=0.005,"Paid",IF(T624&gt;0,"Partial","Unpaid"))))</f>
        <v/>
      </c>
      <c r="W624" s="55">
        <f>IF(B624="","",IFERROR(1/(1/INDEX('STAFF &amp; TASKS'!$C$5:$C$24,MATCH(H624,'STAFF &amp; TASKS'!$A$5:$A$24,0))),PayRate))</f>
        <v/>
      </c>
      <c r="X624" s="55">
        <f>IF(B624="","",IF(OR(O624="Cancelled",O624="No-Show"),"",ROUND(R624*W624*(1+Burden),2)))</f>
        <v/>
      </c>
      <c r="Y624" s="55">
        <f>IF(B624="","",IF(OR(O624="Cancelled",O624="No-Show"),"",IF(N624&lt;&gt;"",N624,ROUND(R624*SupHr*IFERROR(INDEX('PRICING'!$G$7:$G$16,MATCH(F624,'PRICING'!$A$7:$A$16,0)),1),2))))</f>
        <v/>
      </c>
      <c r="Z624" s="98">
        <f>IF(B624="","",SUMIFS('MILEAGE'!$J$5:$J$1504,'MILEAGE'!$B$5:$B$1504,A624))</f>
        <v/>
      </c>
      <c r="AA624" s="55">
        <f>IF(B624="","",ROUND(Z624*MileRate,2))</f>
        <v/>
      </c>
      <c r="AB624" s="55">
        <f>IF(B624="","",SUMIFS('REVENUE'!$J$5:$J$1504,'REVENUE'!$B$5:$B$1504,A624))</f>
        <v/>
      </c>
      <c r="AC624" s="55">
        <f>IF(L624="","",IF(OR(O624="Cancelled",O624="No-Show"),"",L624-N(X624)-N(Y624)-AA624-AB624))</f>
        <v/>
      </c>
      <c r="AD624" s="99">
        <f>IF(OR(AC624="",N(L624)=0),"",AC624/L624)</f>
        <v/>
      </c>
      <c r="AE624" s="55">
        <f>IF(OR(AC624="",N(R624)=0),"",L624/R624)</f>
        <v/>
      </c>
      <c r="AF624" s="100">
        <f>IF(OR(N(K624)=0,N(J624)+N(Q624)=0),"",K624-IF(N(J624)&gt;0,J624,Q624))</f>
        <v/>
      </c>
      <c r="AG624" s="99">
        <f>IF(B624="","",IFERROR(AVERAGEIFS('QUALITY CONTROL'!$M$5:$M$304,'QUALITY CONTROL'!$B$5:$B$304,A624),""))</f>
        <v/>
      </c>
      <c r="AH624" s="51">
        <f>IF(B624="","",DATE(YEAR(B624),MONTH(B624),1))</f>
        <v/>
      </c>
      <c r="AI624" s="49">
        <f>IF(D624="","",IFERROR(INDEX('CUSTOMERS'!$E$5:$E$404,MATCH(D624,'CUSTOMERS'!$B$5:$B$404,0)),""))</f>
        <v/>
      </c>
      <c r="AJ624" s="49">
        <f>IF(B624="","",N(C624))</f>
        <v/>
      </c>
      <c r="AK624" s="49">
        <f>IF(OR(B624="",O624="Cancelled",O624="Rescheduled"),"",B624&amp;"|"&amp;(COUNTIFS('JOBS'!$B$5:$B$1504,B624,'JOBS'!$AJ$5:$AJ$1504,"&lt;"&amp;AJ624,'JOBS'!$O$5:$O$1504,"&lt;&gt;Cancelled",'JOBS'!$O$5:$O$1504,"&lt;&gt;Rescheduled")+COUNTIFS($B$5:B624,B624,$AJ$5:AJ624,AJ624,$O$5:O624,"&lt;&gt;Cancelled",$O$5:O624,"&lt;&gt;Rescheduled")))</f>
        <v/>
      </c>
      <c r="AL624" s="49">
        <f>IF(N(U624)&lt;=0.005,"",COUNTIFS('JOBS'!$U$5:$U$1504,"&gt;0.005",'JOBS'!$B$5:$B$1504,"&lt;"&amp;B624)+COUNTIFS($U$5:U624,"&gt;0.005",$B$5:B624,B624))</f>
        <v/>
      </c>
    </row>
    <row r="625">
      <c r="A625" s="46" t="inlineStr">
        <is>
          <t>J-0621</t>
        </is>
      </c>
      <c r="B625" s="47" t="n"/>
      <c r="C625" s="94" t="n"/>
      <c r="D625" s="38" t="n"/>
      <c r="E625" s="38" t="n"/>
      <c r="F625" s="38" t="n"/>
      <c r="G625" s="38" t="n"/>
      <c r="H625" s="38" t="n"/>
      <c r="I625" s="57" t="n"/>
      <c r="J625" s="95" t="n"/>
      <c r="K625" s="95" t="n"/>
      <c r="L625" s="48" t="n"/>
      <c r="M625" s="96" t="n"/>
      <c r="N625" s="48" t="n"/>
      <c r="O625" s="38" t="n"/>
      <c r="P625" s="38" t="n"/>
      <c r="Q625" s="97">
        <f>IF(OR(F625="",E625=""),"",IFERROR(IF(INDEX('PROPERTIES'!$F$5:$F$404,MATCH(E625,'PROPERTIES'!$B$5:$B$404,0))=0,"",ROUND((INDEX('PROPERTIES'!$F$5:$F$404,MATCH(E625,'PROPERTIES'!$B$5:$B$404,0))/INDEX('PRICING'!$C$7:$C$16,MATCH(F625,'PRICING'!$A$7:$A$16,0))+INDEX('PROPERTIES'!$G$5:$G$404,MATCH(E625,'PROPERTIES'!$B$5:$B$404,0))*INDEX('PRICING'!$D$7:$D$16,MATCH(F625,'PRICING'!$A$7:$A$16,0))/60+INDEX('PROPERTIES'!$H$5:$H$404,MATCH(E625,'PROPERTIES'!$B$5:$B$404,0))*INDEX('PRICING'!$E$7:$E$16,MATCH(F625,'PRICING'!$A$7:$A$16,0))/60+INDEX('PRICING'!$F$7:$F$16,MATCH(F625,'PRICING'!$A$7:$A$16,0))/60),2)),""))</f>
        <v/>
      </c>
      <c r="R625" s="97">
        <f>IF(B625="","",IF(N(K625)&gt;0,K625,IF(N(J625)&gt;0,J625,N(Q625))))</f>
        <v/>
      </c>
      <c r="S625" s="55">
        <f>IF(L625="","",ROUND(L625*(1+N(M625)),2))</f>
        <v/>
      </c>
      <c r="T625" s="55">
        <f>IF(B625="","",SUMIFS('REVENUE'!$C$5:$C$1504,'REVENUE'!$B$5:$B$1504,A625))</f>
        <v/>
      </c>
      <c r="U625" s="55">
        <f>IF(B625="","",IF(O625="Completed",MAX(0,N(S625)-T625),""))</f>
        <v/>
      </c>
      <c r="V625" s="49">
        <f>IF(B625="","",IF(O625&lt;&gt;"Completed",IF(T625&gt;0,"Deposit","—"),IF(U625&lt;=0.005,"Paid",IF(T625&gt;0,"Partial","Unpaid"))))</f>
        <v/>
      </c>
      <c r="W625" s="55">
        <f>IF(B625="","",IFERROR(1/(1/INDEX('STAFF &amp; TASKS'!$C$5:$C$24,MATCH(H625,'STAFF &amp; TASKS'!$A$5:$A$24,0))),PayRate))</f>
        <v/>
      </c>
      <c r="X625" s="55">
        <f>IF(B625="","",IF(OR(O625="Cancelled",O625="No-Show"),"",ROUND(R625*W625*(1+Burden),2)))</f>
        <v/>
      </c>
      <c r="Y625" s="55">
        <f>IF(B625="","",IF(OR(O625="Cancelled",O625="No-Show"),"",IF(N625&lt;&gt;"",N625,ROUND(R625*SupHr*IFERROR(INDEX('PRICING'!$G$7:$G$16,MATCH(F625,'PRICING'!$A$7:$A$16,0)),1),2))))</f>
        <v/>
      </c>
      <c r="Z625" s="98">
        <f>IF(B625="","",SUMIFS('MILEAGE'!$J$5:$J$1504,'MILEAGE'!$B$5:$B$1504,A625))</f>
        <v/>
      </c>
      <c r="AA625" s="55">
        <f>IF(B625="","",ROUND(Z625*MileRate,2))</f>
        <v/>
      </c>
      <c r="AB625" s="55">
        <f>IF(B625="","",SUMIFS('REVENUE'!$J$5:$J$1504,'REVENUE'!$B$5:$B$1504,A625))</f>
        <v/>
      </c>
      <c r="AC625" s="55">
        <f>IF(L625="","",IF(OR(O625="Cancelled",O625="No-Show"),"",L625-N(X625)-N(Y625)-AA625-AB625))</f>
        <v/>
      </c>
      <c r="AD625" s="99">
        <f>IF(OR(AC625="",N(L625)=0),"",AC625/L625)</f>
        <v/>
      </c>
      <c r="AE625" s="55">
        <f>IF(OR(AC625="",N(R625)=0),"",L625/R625)</f>
        <v/>
      </c>
      <c r="AF625" s="100">
        <f>IF(OR(N(K625)=0,N(J625)+N(Q625)=0),"",K625-IF(N(J625)&gt;0,J625,Q625))</f>
        <v/>
      </c>
      <c r="AG625" s="99">
        <f>IF(B625="","",IFERROR(AVERAGEIFS('QUALITY CONTROL'!$M$5:$M$304,'QUALITY CONTROL'!$B$5:$B$304,A625),""))</f>
        <v/>
      </c>
      <c r="AH625" s="51">
        <f>IF(B625="","",DATE(YEAR(B625),MONTH(B625),1))</f>
        <v/>
      </c>
      <c r="AI625" s="49">
        <f>IF(D625="","",IFERROR(INDEX('CUSTOMERS'!$E$5:$E$404,MATCH(D625,'CUSTOMERS'!$B$5:$B$404,0)),""))</f>
        <v/>
      </c>
      <c r="AJ625" s="49">
        <f>IF(B625="","",N(C625))</f>
        <v/>
      </c>
      <c r="AK625" s="49">
        <f>IF(OR(B625="",O625="Cancelled",O625="Rescheduled"),"",B625&amp;"|"&amp;(COUNTIFS('JOBS'!$B$5:$B$1504,B625,'JOBS'!$AJ$5:$AJ$1504,"&lt;"&amp;AJ625,'JOBS'!$O$5:$O$1504,"&lt;&gt;Cancelled",'JOBS'!$O$5:$O$1504,"&lt;&gt;Rescheduled")+COUNTIFS($B$5:B625,B625,$AJ$5:AJ625,AJ625,$O$5:O625,"&lt;&gt;Cancelled",$O$5:O625,"&lt;&gt;Rescheduled")))</f>
        <v/>
      </c>
      <c r="AL625" s="49">
        <f>IF(N(U625)&lt;=0.005,"",COUNTIFS('JOBS'!$U$5:$U$1504,"&gt;0.005",'JOBS'!$B$5:$B$1504,"&lt;"&amp;B625)+COUNTIFS($U$5:U625,"&gt;0.005",$B$5:B625,B625))</f>
        <v/>
      </c>
    </row>
    <row r="626">
      <c r="A626" s="46" t="inlineStr">
        <is>
          <t>J-0622</t>
        </is>
      </c>
      <c r="B626" s="47" t="n"/>
      <c r="C626" s="94" t="n"/>
      <c r="D626" s="38" t="n"/>
      <c r="E626" s="38" t="n"/>
      <c r="F626" s="38" t="n"/>
      <c r="G626" s="38" t="n"/>
      <c r="H626" s="38" t="n"/>
      <c r="I626" s="57" t="n"/>
      <c r="J626" s="95" t="n"/>
      <c r="K626" s="95" t="n"/>
      <c r="L626" s="48" t="n"/>
      <c r="M626" s="96" t="n"/>
      <c r="N626" s="48" t="n"/>
      <c r="O626" s="38" t="n"/>
      <c r="P626" s="38" t="n"/>
      <c r="Q626" s="97">
        <f>IF(OR(F626="",E626=""),"",IFERROR(IF(INDEX('PROPERTIES'!$F$5:$F$404,MATCH(E626,'PROPERTIES'!$B$5:$B$404,0))=0,"",ROUND((INDEX('PROPERTIES'!$F$5:$F$404,MATCH(E626,'PROPERTIES'!$B$5:$B$404,0))/INDEX('PRICING'!$C$7:$C$16,MATCH(F626,'PRICING'!$A$7:$A$16,0))+INDEX('PROPERTIES'!$G$5:$G$404,MATCH(E626,'PROPERTIES'!$B$5:$B$404,0))*INDEX('PRICING'!$D$7:$D$16,MATCH(F626,'PRICING'!$A$7:$A$16,0))/60+INDEX('PROPERTIES'!$H$5:$H$404,MATCH(E626,'PROPERTIES'!$B$5:$B$404,0))*INDEX('PRICING'!$E$7:$E$16,MATCH(F626,'PRICING'!$A$7:$A$16,0))/60+INDEX('PRICING'!$F$7:$F$16,MATCH(F626,'PRICING'!$A$7:$A$16,0))/60),2)),""))</f>
        <v/>
      </c>
      <c r="R626" s="97">
        <f>IF(B626="","",IF(N(K626)&gt;0,K626,IF(N(J626)&gt;0,J626,N(Q626))))</f>
        <v/>
      </c>
      <c r="S626" s="55">
        <f>IF(L626="","",ROUND(L626*(1+N(M626)),2))</f>
        <v/>
      </c>
      <c r="T626" s="55">
        <f>IF(B626="","",SUMIFS('REVENUE'!$C$5:$C$1504,'REVENUE'!$B$5:$B$1504,A626))</f>
        <v/>
      </c>
      <c r="U626" s="55">
        <f>IF(B626="","",IF(O626="Completed",MAX(0,N(S626)-T626),""))</f>
        <v/>
      </c>
      <c r="V626" s="49">
        <f>IF(B626="","",IF(O626&lt;&gt;"Completed",IF(T626&gt;0,"Deposit","—"),IF(U626&lt;=0.005,"Paid",IF(T626&gt;0,"Partial","Unpaid"))))</f>
        <v/>
      </c>
      <c r="W626" s="55">
        <f>IF(B626="","",IFERROR(1/(1/INDEX('STAFF &amp; TASKS'!$C$5:$C$24,MATCH(H626,'STAFF &amp; TASKS'!$A$5:$A$24,0))),PayRate))</f>
        <v/>
      </c>
      <c r="X626" s="55">
        <f>IF(B626="","",IF(OR(O626="Cancelled",O626="No-Show"),"",ROUND(R626*W626*(1+Burden),2)))</f>
        <v/>
      </c>
      <c r="Y626" s="55">
        <f>IF(B626="","",IF(OR(O626="Cancelled",O626="No-Show"),"",IF(N626&lt;&gt;"",N626,ROUND(R626*SupHr*IFERROR(INDEX('PRICING'!$G$7:$G$16,MATCH(F626,'PRICING'!$A$7:$A$16,0)),1),2))))</f>
        <v/>
      </c>
      <c r="Z626" s="98">
        <f>IF(B626="","",SUMIFS('MILEAGE'!$J$5:$J$1504,'MILEAGE'!$B$5:$B$1504,A626))</f>
        <v/>
      </c>
      <c r="AA626" s="55">
        <f>IF(B626="","",ROUND(Z626*MileRate,2))</f>
        <v/>
      </c>
      <c r="AB626" s="55">
        <f>IF(B626="","",SUMIFS('REVENUE'!$J$5:$J$1504,'REVENUE'!$B$5:$B$1504,A626))</f>
        <v/>
      </c>
      <c r="AC626" s="55">
        <f>IF(L626="","",IF(OR(O626="Cancelled",O626="No-Show"),"",L626-N(X626)-N(Y626)-AA626-AB626))</f>
        <v/>
      </c>
      <c r="AD626" s="99">
        <f>IF(OR(AC626="",N(L626)=0),"",AC626/L626)</f>
        <v/>
      </c>
      <c r="AE626" s="55">
        <f>IF(OR(AC626="",N(R626)=0),"",L626/R626)</f>
        <v/>
      </c>
      <c r="AF626" s="100">
        <f>IF(OR(N(K626)=0,N(J626)+N(Q626)=0),"",K626-IF(N(J626)&gt;0,J626,Q626))</f>
        <v/>
      </c>
      <c r="AG626" s="99">
        <f>IF(B626="","",IFERROR(AVERAGEIFS('QUALITY CONTROL'!$M$5:$M$304,'QUALITY CONTROL'!$B$5:$B$304,A626),""))</f>
        <v/>
      </c>
      <c r="AH626" s="51">
        <f>IF(B626="","",DATE(YEAR(B626),MONTH(B626),1))</f>
        <v/>
      </c>
      <c r="AI626" s="49">
        <f>IF(D626="","",IFERROR(INDEX('CUSTOMERS'!$E$5:$E$404,MATCH(D626,'CUSTOMERS'!$B$5:$B$404,0)),""))</f>
        <v/>
      </c>
      <c r="AJ626" s="49">
        <f>IF(B626="","",N(C626))</f>
        <v/>
      </c>
      <c r="AK626" s="49">
        <f>IF(OR(B626="",O626="Cancelled",O626="Rescheduled"),"",B626&amp;"|"&amp;(COUNTIFS('JOBS'!$B$5:$B$1504,B626,'JOBS'!$AJ$5:$AJ$1504,"&lt;"&amp;AJ626,'JOBS'!$O$5:$O$1504,"&lt;&gt;Cancelled",'JOBS'!$O$5:$O$1504,"&lt;&gt;Rescheduled")+COUNTIFS($B$5:B626,B626,$AJ$5:AJ626,AJ626,$O$5:O626,"&lt;&gt;Cancelled",$O$5:O626,"&lt;&gt;Rescheduled")))</f>
        <v/>
      </c>
      <c r="AL626" s="49">
        <f>IF(N(U626)&lt;=0.005,"",COUNTIFS('JOBS'!$U$5:$U$1504,"&gt;0.005",'JOBS'!$B$5:$B$1504,"&lt;"&amp;B626)+COUNTIFS($U$5:U626,"&gt;0.005",$B$5:B626,B626))</f>
        <v/>
      </c>
    </row>
    <row r="627">
      <c r="A627" s="46" t="inlineStr">
        <is>
          <t>J-0623</t>
        </is>
      </c>
      <c r="B627" s="47" t="n"/>
      <c r="C627" s="94" t="n"/>
      <c r="D627" s="38" t="n"/>
      <c r="E627" s="38" t="n"/>
      <c r="F627" s="38" t="n"/>
      <c r="G627" s="38" t="n"/>
      <c r="H627" s="38" t="n"/>
      <c r="I627" s="57" t="n"/>
      <c r="J627" s="95" t="n"/>
      <c r="K627" s="95" t="n"/>
      <c r="L627" s="48" t="n"/>
      <c r="M627" s="96" t="n"/>
      <c r="N627" s="48" t="n"/>
      <c r="O627" s="38" t="n"/>
      <c r="P627" s="38" t="n"/>
      <c r="Q627" s="97">
        <f>IF(OR(F627="",E627=""),"",IFERROR(IF(INDEX('PROPERTIES'!$F$5:$F$404,MATCH(E627,'PROPERTIES'!$B$5:$B$404,0))=0,"",ROUND((INDEX('PROPERTIES'!$F$5:$F$404,MATCH(E627,'PROPERTIES'!$B$5:$B$404,0))/INDEX('PRICING'!$C$7:$C$16,MATCH(F627,'PRICING'!$A$7:$A$16,0))+INDEX('PROPERTIES'!$G$5:$G$404,MATCH(E627,'PROPERTIES'!$B$5:$B$404,0))*INDEX('PRICING'!$D$7:$D$16,MATCH(F627,'PRICING'!$A$7:$A$16,0))/60+INDEX('PROPERTIES'!$H$5:$H$404,MATCH(E627,'PROPERTIES'!$B$5:$B$404,0))*INDEX('PRICING'!$E$7:$E$16,MATCH(F627,'PRICING'!$A$7:$A$16,0))/60+INDEX('PRICING'!$F$7:$F$16,MATCH(F627,'PRICING'!$A$7:$A$16,0))/60),2)),""))</f>
        <v/>
      </c>
      <c r="R627" s="97">
        <f>IF(B627="","",IF(N(K627)&gt;0,K627,IF(N(J627)&gt;0,J627,N(Q627))))</f>
        <v/>
      </c>
      <c r="S627" s="55">
        <f>IF(L627="","",ROUND(L627*(1+N(M627)),2))</f>
        <v/>
      </c>
      <c r="T627" s="55">
        <f>IF(B627="","",SUMIFS('REVENUE'!$C$5:$C$1504,'REVENUE'!$B$5:$B$1504,A627))</f>
        <v/>
      </c>
      <c r="U627" s="55">
        <f>IF(B627="","",IF(O627="Completed",MAX(0,N(S627)-T627),""))</f>
        <v/>
      </c>
      <c r="V627" s="49">
        <f>IF(B627="","",IF(O627&lt;&gt;"Completed",IF(T627&gt;0,"Deposit","—"),IF(U627&lt;=0.005,"Paid",IF(T627&gt;0,"Partial","Unpaid"))))</f>
        <v/>
      </c>
      <c r="W627" s="55">
        <f>IF(B627="","",IFERROR(1/(1/INDEX('STAFF &amp; TASKS'!$C$5:$C$24,MATCH(H627,'STAFF &amp; TASKS'!$A$5:$A$24,0))),PayRate))</f>
        <v/>
      </c>
      <c r="X627" s="55">
        <f>IF(B627="","",IF(OR(O627="Cancelled",O627="No-Show"),"",ROUND(R627*W627*(1+Burden),2)))</f>
        <v/>
      </c>
      <c r="Y627" s="55">
        <f>IF(B627="","",IF(OR(O627="Cancelled",O627="No-Show"),"",IF(N627&lt;&gt;"",N627,ROUND(R627*SupHr*IFERROR(INDEX('PRICING'!$G$7:$G$16,MATCH(F627,'PRICING'!$A$7:$A$16,0)),1),2))))</f>
        <v/>
      </c>
      <c r="Z627" s="98">
        <f>IF(B627="","",SUMIFS('MILEAGE'!$J$5:$J$1504,'MILEAGE'!$B$5:$B$1504,A627))</f>
        <v/>
      </c>
      <c r="AA627" s="55">
        <f>IF(B627="","",ROUND(Z627*MileRate,2))</f>
        <v/>
      </c>
      <c r="AB627" s="55">
        <f>IF(B627="","",SUMIFS('REVENUE'!$J$5:$J$1504,'REVENUE'!$B$5:$B$1504,A627))</f>
        <v/>
      </c>
      <c r="AC627" s="55">
        <f>IF(L627="","",IF(OR(O627="Cancelled",O627="No-Show"),"",L627-N(X627)-N(Y627)-AA627-AB627))</f>
        <v/>
      </c>
      <c r="AD627" s="99">
        <f>IF(OR(AC627="",N(L627)=0),"",AC627/L627)</f>
        <v/>
      </c>
      <c r="AE627" s="55">
        <f>IF(OR(AC627="",N(R627)=0),"",L627/R627)</f>
        <v/>
      </c>
      <c r="AF627" s="100">
        <f>IF(OR(N(K627)=0,N(J627)+N(Q627)=0),"",K627-IF(N(J627)&gt;0,J627,Q627))</f>
        <v/>
      </c>
      <c r="AG627" s="99">
        <f>IF(B627="","",IFERROR(AVERAGEIFS('QUALITY CONTROL'!$M$5:$M$304,'QUALITY CONTROL'!$B$5:$B$304,A627),""))</f>
        <v/>
      </c>
      <c r="AH627" s="51">
        <f>IF(B627="","",DATE(YEAR(B627),MONTH(B627),1))</f>
        <v/>
      </c>
      <c r="AI627" s="49">
        <f>IF(D627="","",IFERROR(INDEX('CUSTOMERS'!$E$5:$E$404,MATCH(D627,'CUSTOMERS'!$B$5:$B$404,0)),""))</f>
        <v/>
      </c>
      <c r="AJ627" s="49">
        <f>IF(B627="","",N(C627))</f>
        <v/>
      </c>
      <c r="AK627" s="49">
        <f>IF(OR(B627="",O627="Cancelled",O627="Rescheduled"),"",B627&amp;"|"&amp;(COUNTIFS('JOBS'!$B$5:$B$1504,B627,'JOBS'!$AJ$5:$AJ$1504,"&lt;"&amp;AJ627,'JOBS'!$O$5:$O$1504,"&lt;&gt;Cancelled",'JOBS'!$O$5:$O$1504,"&lt;&gt;Rescheduled")+COUNTIFS($B$5:B627,B627,$AJ$5:AJ627,AJ627,$O$5:O627,"&lt;&gt;Cancelled",$O$5:O627,"&lt;&gt;Rescheduled")))</f>
        <v/>
      </c>
      <c r="AL627" s="49">
        <f>IF(N(U627)&lt;=0.005,"",COUNTIFS('JOBS'!$U$5:$U$1504,"&gt;0.005",'JOBS'!$B$5:$B$1504,"&lt;"&amp;B627)+COUNTIFS($U$5:U627,"&gt;0.005",$B$5:B627,B627))</f>
        <v/>
      </c>
    </row>
    <row r="628">
      <c r="A628" s="46" t="inlineStr">
        <is>
          <t>J-0624</t>
        </is>
      </c>
      <c r="B628" s="47" t="n"/>
      <c r="C628" s="94" t="n"/>
      <c r="D628" s="38" t="n"/>
      <c r="E628" s="38" t="n"/>
      <c r="F628" s="38" t="n"/>
      <c r="G628" s="38" t="n"/>
      <c r="H628" s="38" t="n"/>
      <c r="I628" s="57" t="n"/>
      <c r="J628" s="95" t="n"/>
      <c r="K628" s="95" t="n"/>
      <c r="L628" s="48" t="n"/>
      <c r="M628" s="96" t="n"/>
      <c r="N628" s="48" t="n"/>
      <c r="O628" s="38" t="n"/>
      <c r="P628" s="38" t="n"/>
      <c r="Q628" s="97">
        <f>IF(OR(F628="",E628=""),"",IFERROR(IF(INDEX('PROPERTIES'!$F$5:$F$404,MATCH(E628,'PROPERTIES'!$B$5:$B$404,0))=0,"",ROUND((INDEX('PROPERTIES'!$F$5:$F$404,MATCH(E628,'PROPERTIES'!$B$5:$B$404,0))/INDEX('PRICING'!$C$7:$C$16,MATCH(F628,'PRICING'!$A$7:$A$16,0))+INDEX('PROPERTIES'!$G$5:$G$404,MATCH(E628,'PROPERTIES'!$B$5:$B$404,0))*INDEX('PRICING'!$D$7:$D$16,MATCH(F628,'PRICING'!$A$7:$A$16,0))/60+INDEX('PROPERTIES'!$H$5:$H$404,MATCH(E628,'PROPERTIES'!$B$5:$B$404,0))*INDEX('PRICING'!$E$7:$E$16,MATCH(F628,'PRICING'!$A$7:$A$16,0))/60+INDEX('PRICING'!$F$7:$F$16,MATCH(F628,'PRICING'!$A$7:$A$16,0))/60),2)),""))</f>
        <v/>
      </c>
      <c r="R628" s="97">
        <f>IF(B628="","",IF(N(K628)&gt;0,K628,IF(N(J628)&gt;0,J628,N(Q628))))</f>
        <v/>
      </c>
      <c r="S628" s="55">
        <f>IF(L628="","",ROUND(L628*(1+N(M628)),2))</f>
        <v/>
      </c>
      <c r="T628" s="55">
        <f>IF(B628="","",SUMIFS('REVENUE'!$C$5:$C$1504,'REVENUE'!$B$5:$B$1504,A628))</f>
        <v/>
      </c>
      <c r="U628" s="55">
        <f>IF(B628="","",IF(O628="Completed",MAX(0,N(S628)-T628),""))</f>
        <v/>
      </c>
      <c r="V628" s="49">
        <f>IF(B628="","",IF(O628&lt;&gt;"Completed",IF(T628&gt;0,"Deposit","—"),IF(U628&lt;=0.005,"Paid",IF(T628&gt;0,"Partial","Unpaid"))))</f>
        <v/>
      </c>
      <c r="W628" s="55">
        <f>IF(B628="","",IFERROR(1/(1/INDEX('STAFF &amp; TASKS'!$C$5:$C$24,MATCH(H628,'STAFF &amp; TASKS'!$A$5:$A$24,0))),PayRate))</f>
        <v/>
      </c>
      <c r="X628" s="55">
        <f>IF(B628="","",IF(OR(O628="Cancelled",O628="No-Show"),"",ROUND(R628*W628*(1+Burden),2)))</f>
        <v/>
      </c>
      <c r="Y628" s="55">
        <f>IF(B628="","",IF(OR(O628="Cancelled",O628="No-Show"),"",IF(N628&lt;&gt;"",N628,ROUND(R628*SupHr*IFERROR(INDEX('PRICING'!$G$7:$G$16,MATCH(F628,'PRICING'!$A$7:$A$16,0)),1),2))))</f>
        <v/>
      </c>
      <c r="Z628" s="98">
        <f>IF(B628="","",SUMIFS('MILEAGE'!$J$5:$J$1504,'MILEAGE'!$B$5:$B$1504,A628))</f>
        <v/>
      </c>
      <c r="AA628" s="55">
        <f>IF(B628="","",ROUND(Z628*MileRate,2))</f>
        <v/>
      </c>
      <c r="AB628" s="55">
        <f>IF(B628="","",SUMIFS('REVENUE'!$J$5:$J$1504,'REVENUE'!$B$5:$B$1504,A628))</f>
        <v/>
      </c>
      <c r="AC628" s="55">
        <f>IF(L628="","",IF(OR(O628="Cancelled",O628="No-Show"),"",L628-N(X628)-N(Y628)-AA628-AB628))</f>
        <v/>
      </c>
      <c r="AD628" s="99">
        <f>IF(OR(AC628="",N(L628)=0),"",AC628/L628)</f>
        <v/>
      </c>
      <c r="AE628" s="55">
        <f>IF(OR(AC628="",N(R628)=0),"",L628/R628)</f>
        <v/>
      </c>
      <c r="AF628" s="100">
        <f>IF(OR(N(K628)=0,N(J628)+N(Q628)=0),"",K628-IF(N(J628)&gt;0,J628,Q628))</f>
        <v/>
      </c>
      <c r="AG628" s="99">
        <f>IF(B628="","",IFERROR(AVERAGEIFS('QUALITY CONTROL'!$M$5:$M$304,'QUALITY CONTROL'!$B$5:$B$304,A628),""))</f>
        <v/>
      </c>
      <c r="AH628" s="51">
        <f>IF(B628="","",DATE(YEAR(B628),MONTH(B628),1))</f>
        <v/>
      </c>
      <c r="AI628" s="49">
        <f>IF(D628="","",IFERROR(INDEX('CUSTOMERS'!$E$5:$E$404,MATCH(D628,'CUSTOMERS'!$B$5:$B$404,0)),""))</f>
        <v/>
      </c>
      <c r="AJ628" s="49">
        <f>IF(B628="","",N(C628))</f>
        <v/>
      </c>
      <c r="AK628" s="49">
        <f>IF(OR(B628="",O628="Cancelled",O628="Rescheduled"),"",B628&amp;"|"&amp;(COUNTIFS('JOBS'!$B$5:$B$1504,B628,'JOBS'!$AJ$5:$AJ$1504,"&lt;"&amp;AJ628,'JOBS'!$O$5:$O$1504,"&lt;&gt;Cancelled",'JOBS'!$O$5:$O$1504,"&lt;&gt;Rescheduled")+COUNTIFS($B$5:B628,B628,$AJ$5:AJ628,AJ628,$O$5:O628,"&lt;&gt;Cancelled",$O$5:O628,"&lt;&gt;Rescheduled")))</f>
        <v/>
      </c>
      <c r="AL628" s="49">
        <f>IF(N(U628)&lt;=0.005,"",COUNTIFS('JOBS'!$U$5:$U$1504,"&gt;0.005",'JOBS'!$B$5:$B$1504,"&lt;"&amp;B628)+COUNTIFS($U$5:U628,"&gt;0.005",$B$5:B628,B628))</f>
        <v/>
      </c>
    </row>
    <row r="629">
      <c r="A629" s="46" t="inlineStr">
        <is>
          <t>J-0625</t>
        </is>
      </c>
      <c r="B629" s="47" t="n"/>
      <c r="C629" s="94" t="n"/>
      <c r="D629" s="38" t="n"/>
      <c r="E629" s="38" t="n"/>
      <c r="F629" s="38" t="n"/>
      <c r="G629" s="38" t="n"/>
      <c r="H629" s="38" t="n"/>
      <c r="I629" s="57" t="n"/>
      <c r="J629" s="95" t="n"/>
      <c r="K629" s="95" t="n"/>
      <c r="L629" s="48" t="n"/>
      <c r="M629" s="96" t="n"/>
      <c r="N629" s="48" t="n"/>
      <c r="O629" s="38" t="n"/>
      <c r="P629" s="38" t="n"/>
      <c r="Q629" s="97">
        <f>IF(OR(F629="",E629=""),"",IFERROR(IF(INDEX('PROPERTIES'!$F$5:$F$404,MATCH(E629,'PROPERTIES'!$B$5:$B$404,0))=0,"",ROUND((INDEX('PROPERTIES'!$F$5:$F$404,MATCH(E629,'PROPERTIES'!$B$5:$B$404,0))/INDEX('PRICING'!$C$7:$C$16,MATCH(F629,'PRICING'!$A$7:$A$16,0))+INDEX('PROPERTIES'!$G$5:$G$404,MATCH(E629,'PROPERTIES'!$B$5:$B$404,0))*INDEX('PRICING'!$D$7:$D$16,MATCH(F629,'PRICING'!$A$7:$A$16,0))/60+INDEX('PROPERTIES'!$H$5:$H$404,MATCH(E629,'PROPERTIES'!$B$5:$B$404,0))*INDEX('PRICING'!$E$7:$E$16,MATCH(F629,'PRICING'!$A$7:$A$16,0))/60+INDEX('PRICING'!$F$7:$F$16,MATCH(F629,'PRICING'!$A$7:$A$16,0))/60),2)),""))</f>
        <v/>
      </c>
      <c r="R629" s="97">
        <f>IF(B629="","",IF(N(K629)&gt;0,K629,IF(N(J629)&gt;0,J629,N(Q629))))</f>
        <v/>
      </c>
      <c r="S629" s="55">
        <f>IF(L629="","",ROUND(L629*(1+N(M629)),2))</f>
        <v/>
      </c>
      <c r="T629" s="55">
        <f>IF(B629="","",SUMIFS('REVENUE'!$C$5:$C$1504,'REVENUE'!$B$5:$B$1504,A629))</f>
        <v/>
      </c>
      <c r="U629" s="55">
        <f>IF(B629="","",IF(O629="Completed",MAX(0,N(S629)-T629),""))</f>
        <v/>
      </c>
      <c r="V629" s="49">
        <f>IF(B629="","",IF(O629&lt;&gt;"Completed",IF(T629&gt;0,"Deposit","—"),IF(U629&lt;=0.005,"Paid",IF(T629&gt;0,"Partial","Unpaid"))))</f>
        <v/>
      </c>
      <c r="W629" s="55">
        <f>IF(B629="","",IFERROR(1/(1/INDEX('STAFF &amp; TASKS'!$C$5:$C$24,MATCH(H629,'STAFF &amp; TASKS'!$A$5:$A$24,0))),PayRate))</f>
        <v/>
      </c>
      <c r="X629" s="55">
        <f>IF(B629="","",IF(OR(O629="Cancelled",O629="No-Show"),"",ROUND(R629*W629*(1+Burden),2)))</f>
        <v/>
      </c>
      <c r="Y629" s="55">
        <f>IF(B629="","",IF(OR(O629="Cancelled",O629="No-Show"),"",IF(N629&lt;&gt;"",N629,ROUND(R629*SupHr*IFERROR(INDEX('PRICING'!$G$7:$G$16,MATCH(F629,'PRICING'!$A$7:$A$16,0)),1),2))))</f>
        <v/>
      </c>
      <c r="Z629" s="98">
        <f>IF(B629="","",SUMIFS('MILEAGE'!$J$5:$J$1504,'MILEAGE'!$B$5:$B$1504,A629))</f>
        <v/>
      </c>
      <c r="AA629" s="55">
        <f>IF(B629="","",ROUND(Z629*MileRate,2))</f>
        <v/>
      </c>
      <c r="AB629" s="55">
        <f>IF(B629="","",SUMIFS('REVENUE'!$J$5:$J$1504,'REVENUE'!$B$5:$B$1504,A629))</f>
        <v/>
      </c>
      <c r="AC629" s="55">
        <f>IF(L629="","",IF(OR(O629="Cancelled",O629="No-Show"),"",L629-N(X629)-N(Y629)-AA629-AB629))</f>
        <v/>
      </c>
      <c r="AD629" s="99">
        <f>IF(OR(AC629="",N(L629)=0),"",AC629/L629)</f>
        <v/>
      </c>
      <c r="AE629" s="55">
        <f>IF(OR(AC629="",N(R629)=0),"",L629/R629)</f>
        <v/>
      </c>
      <c r="AF629" s="100">
        <f>IF(OR(N(K629)=0,N(J629)+N(Q629)=0),"",K629-IF(N(J629)&gt;0,J629,Q629))</f>
        <v/>
      </c>
      <c r="AG629" s="99">
        <f>IF(B629="","",IFERROR(AVERAGEIFS('QUALITY CONTROL'!$M$5:$M$304,'QUALITY CONTROL'!$B$5:$B$304,A629),""))</f>
        <v/>
      </c>
      <c r="AH629" s="51">
        <f>IF(B629="","",DATE(YEAR(B629),MONTH(B629),1))</f>
        <v/>
      </c>
      <c r="AI629" s="49">
        <f>IF(D629="","",IFERROR(INDEX('CUSTOMERS'!$E$5:$E$404,MATCH(D629,'CUSTOMERS'!$B$5:$B$404,0)),""))</f>
        <v/>
      </c>
      <c r="AJ629" s="49">
        <f>IF(B629="","",N(C629))</f>
        <v/>
      </c>
      <c r="AK629" s="49">
        <f>IF(OR(B629="",O629="Cancelled",O629="Rescheduled"),"",B629&amp;"|"&amp;(COUNTIFS('JOBS'!$B$5:$B$1504,B629,'JOBS'!$AJ$5:$AJ$1504,"&lt;"&amp;AJ629,'JOBS'!$O$5:$O$1504,"&lt;&gt;Cancelled",'JOBS'!$O$5:$O$1504,"&lt;&gt;Rescheduled")+COUNTIFS($B$5:B629,B629,$AJ$5:AJ629,AJ629,$O$5:O629,"&lt;&gt;Cancelled",$O$5:O629,"&lt;&gt;Rescheduled")))</f>
        <v/>
      </c>
      <c r="AL629" s="49">
        <f>IF(N(U629)&lt;=0.005,"",COUNTIFS('JOBS'!$U$5:$U$1504,"&gt;0.005",'JOBS'!$B$5:$B$1504,"&lt;"&amp;B629)+COUNTIFS($U$5:U629,"&gt;0.005",$B$5:B629,B629))</f>
        <v/>
      </c>
    </row>
    <row r="630">
      <c r="A630" s="46" t="inlineStr">
        <is>
          <t>J-0626</t>
        </is>
      </c>
      <c r="B630" s="47" t="n"/>
      <c r="C630" s="94" t="n"/>
      <c r="D630" s="38" t="n"/>
      <c r="E630" s="38" t="n"/>
      <c r="F630" s="38" t="n"/>
      <c r="G630" s="38" t="n"/>
      <c r="H630" s="38" t="n"/>
      <c r="I630" s="57" t="n"/>
      <c r="J630" s="95" t="n"/>
      <c r="K630" s="95" t="n"/>
      <c r="L630" s="48" t="n"/>
      <c r="M630" s="96" t="n"/>
      <c r="N630" s="48" t="n"/>
      <c r="O630" s="38" t="n"/>
      <c r="P630" s="38" t="n"/>
      <c r="Q630" s="97">
        <f>IF(OR(F630="",E630=""),"",IFERROR(IF(INDEX('PROPERTIES'!$F$5:$F$404,MATCH(E630,'PROPERTIES'!$B$5:$B$404,0))=0,"",ROUND((INDEX('PROPERTIES'!$F$5:$F$404,MATCH(E630,'PROPERTIES'!$B$5:$B$404,0))/INDEX('PRICING'!$C$7:$C$16,MATCH(F630,'PRICING'!$A$7:$A$16,0))+INDEX('PROPERTIES'!$G$5:$G$404,MATCH(E630,'PROPERTIES'!$B$5:$B$404,0))*INDEX('PRICING'!$D$7:$D$16,MATCH(F630,'PRICING'!$A$7:$A$16,0))/60+INDEX('PROPERTIES'!$H$5:$H$404,MATCH(E630,'PROPERTIES'!$B$5:$B$404,0))*INDEX('PRICING'!$E$7:$E$16,MATCH(F630,'PRICING'!$A$7:$A$16,0))/60+INDEX('PRICING'!$F$7:$F$16,MATCH(F630,'PRICING'!$A$7:$A$16,0))/60),2)),""))</f>
        <v/>
      </c>
      <c r="R630" s="97">
        <f>IF(B630="","",IF(N(K630)&gt;0,K630,IF(N(J630)&gt;0,J630,N(Q630))))</f>
        <v/>
      </c>
      <c r="S630" s="55">
        <f>IF(L630="","",ROUND(L630*(1+N(M630)),2))</f>
        <v/>
      </c>
      <c r="T630" s="55">
        <f>IF(B630="","",SUMIFS('REVENUE'!$C$5:$C$1504,'REVENUE'!$B$5:$B$1504,A630))</f>
        <v/>
      </c>
      <c r="U630" s="55">
        <f>IF(B630="","",IF(O630="Completed",MAX(0,N(S630)-T630),""))</f>
        <v/>
      </c>
      <c r="V630" s="49">
        <f>IF(B630="","",IF(O630&lt;&gt;"Completed",IF(T630&gt;0,"Deposit","—"),IF(U630&lt;=0.005,"Paid",IF(T630&gt;0,"Partial","Unpaid"))))</f>
        <v/>
      </c>
      <c r="W630" s="55">
        <f>IF(B630="","",IFERROR(1/(1/INDEX('STAFF &amp; TASKS'!$C$5:$C$24,MATCH(H630,'STAFF &amp; TASKS'!$A$5:$A$24,0))),PayRate))</f>
        <v/>
      </c>
      <c r="X630" s="55">
        <f>IF(B630="","",IF(OR(O630="Cancelled",O630="No-Show"),"",ROUND(R630*W630*(1+Burden),2)))</f>
        <v/>
      </c>
      <c r="Y630" s="55">
        <f>IF(B630="","",IF(OR(O630="Cancelled",O630="No-Show"),"",IF(N630&lt;&gt;"",N630,ROUND(R630*SupHr*IFERROR(INDEX('PRICING'!$G$7:$G$16,MATCH(F630,'PRICING'!$A$7:$A$16,0)),1),2))))</f>
        <v/>
      </c>
      <c r="Z630" s="98">
        <f>IF(B630="","",SUMIFS('MILEAGE'!$J$5:$J$1504,'MILEAGE'!$B$5:$B$1504,A630))</f>
        <v/>
      </c>
      <c r="AA630" s="55">
        <f>IF(B630="","",ROUND(Z630*MileRate,2))</f>
        <v/>
      </c>
      <c r="AB630" s="55">
        <f>IF(B630="","",SUMIFS('REVENUE'!$J$5:$J$1504,'REVENUE'!$B$5:$B$1504,A630))</f>
        <v/>
      </c>
      <c r="AC630" s="55">
        <f>IF(L630="","",IF(OR(O630="Cancelled",O630="No-Show"),"",L630-N(X630)-N(Y630)-AA630-AB630))</f>
        <v/>
      </c>
      <c r="AD630" s="99">
        <f>IF(OR(AC630="",N(L630)=0),"",AC630/L630)</f>
        <v/>
      </c>
      <c r="AE630" s="55">
        <f>IF(OR(AC630="",N(R630)=0),"",L630/R630)</f>
        <v/>
      </c>
      <c r="AF630" s="100">
        <f>IF(OR(N(K630)=0,N(J630)+N(Q630)=0),"",K630-IF(N(J630)&gt;0,J630,Q630))</f>
        <v/>
      </c>
      <c r="AG630" s="99">
        <f>IF(B630="","",IFERROR(AVERAGEIFS('QUALITY CONTROL'!$M$5:$M$304,'QUALITY CONTROL'!$B$5:$B$304,A630),""))</f>
        <v/>
      </c>
      <c r="AH630" s="51">
        <f>IF(B630="","",DATE(YEAR(B630),MONTH(B630),1))</f>
        <v/>
      </c>
      <c r="AI630" s="49">
        <f>IF(D630="","",IFERROR(INDEX('CUSTOMERS'!$E$5:$E$404,MATCH(D630,'CUSTOMERS'!$B$5:$B$404,0)),""))</f>
        <v/>
      </c>
      <c r="AJ630" s="49">
        <f>IF(B630="","",N(C630))</f>
        <v/>
      </c>
      <c r="AK630" s="49">
        <f>IF(OR(B630="",O630="Cancelled",O630="Rescheduled"),"",B630&amp;"|"&amp;(COUNTIFS('JOBS'!$B$5:$B$1504,B630,'JOBS'!$AJ$5:$AJ$1504,"&lt;"&amp;AJ630,'JOBS'!$O$5:$O$1504,"&lt;&gt;Cancelled",'JOBS'!$O$5:$O$1504,"&lt;&gt;Rescheduled")+COUNTIFS($B$5:B630,B630,$AJ$5:AJ630,AJ630,$O$5:O630,"&lt;&gt;Cancelled",$O$5:O630,"&lt;&gt;Rescheduled")))</f>
        <v/>
      </c>
      <c r="AL630" s="49">
        <f>IF(N(U630)&lt;=0.005,"",COUNTIFS('JOBS'!$U$5:$U$1504,"&gt;0.005",'JOBS'!$B$5:$B$1504,"&lt;"&amp;B630)+COUNTIFS($U$5:U630,"&gt;0.005",$B$5:B630,B630))</f>
        <v/>
      </c>
    </row>
    <row r="631">
      <c r="A631" s="46" t="inlineStr">
        <is>
          <t>J-0627</t>
        </is>
      </c>
      <c r="B631" s="47" t="n"/>
      <c r="C631" s="94" t="n"/>
      <c r="D631" s="38" t="n"/>
      <c r="E631" s="38" t="n"/>
      <c r="F631" s="38" t="n"/>
      <c r="G631" s="38" t="n"/>
      <c r="H631" s="38" t="n"/>
      <c r="I631" s="57" t="n"/>
      <c r="J631" s="95" t="n"/>
      <c r="K631" s="95" t="n"/>
      <c r="L631" s="48" t="n"/>
      <c r="M631" s="96" t="n"/>
      <c r="N631" s="48" t="n"/>
      <c r="O631" s="38" t="n"/>
      <c r="P631" s="38" t="n"/>
      <c r="Q631" s="97">
        <f>IF(OR(F631="",E631=""),"",IFERROR(IF(INDEX('PROPERTIES'!$F$5:$F$404,MATCH(E631,'PROPERTIES'!$B$5:$B$404,0))=0,"",ROUND((INDEX('PROPERTIES'!$F$5:$F$404,MATCH(E631,'PROPERTIES'!$B$5:$B$404,0))/INDEX('PRICING'!$C$7:$C$16,MATCH(F631,'PRICING'!$A$7:$A$16,0))+INDEX('PROPERTIES'!$G$5:$G$404,MATCH(E631,'PROPERTIES'!$B$5:$B$404,0))*INDEX('PRICING'!$D$7:$D$16,MATCH(F631,'PRICING'!$A$7:$A$16,0))/60+INDEX('PROPERTIES'!$H$5:$H$404,MATCH(E631,'PROPERTIES'!$B$5:$B$404,0))*INDEX('PRICING'!$E$7:$E$16,MATCH(F631,'PRICING'!$A$7:$A$16,0))/60+INDEX('PRICING'!$F$7:$F$16,MATCH(F631,'PRICING'!$A$7:$A$16,0))/60),2)),""))</f>
        <v/>
      </c>
      <c r="R631" s="97">
        <f>IF(B631="","",IF(N(K631)&gt;0,K631,IF(N(J631)&gt;0,J631,N(Q631))))</f>
        <v/>
      </c>
      <c r="S631" s="55">
        <f>IF(L631="","",ROUND(L631*(1+N(M631)),2))</f>
        <v/>
      </c>
      <c r="T631" s="55">
        <f>IF(B631="","",SUMIFS('REVENUE'!$C$5:$C$1504,'REVENUE'!$B$5:$B$1504,A631))</f>
        <v/>
      </c>
      <c r="U631" s="55">
        <f>IF(B631="","",IF(O631="Completed",MAX(0,N(S631)-T631),""))</f>
        <v/>
      </c>
      <c r="V631" s="49">
        <f>IF(B631="","",IF(O631&lt;&gt;"Completed",IF(T631&gt;0,"Deposit","—"),IF(U631&lt;=0.005,"Paid",IF(T631&gt;0,"Partial","Unpaid"))))</f>
        <v/>
      </c>
      <c r="W631" s="55">
        <f>IF(B631="","",IFERROR(1/(1/INDEX('STAFF &amp; TASKS'!$C$5:$C$24,MATCH(H631,'STAFF &amp; TASKS'!$A$5:$A$24,0))),PayRate))</f>
        <v/>
      </c>
      <c r="X631" s="55">
        <f>IF(B631="","",IF(OR(O631="Cancelled",O631="No-Show"),"",ROUND(R631*W631*(1+Burden),2)))</f>
        <v/>
      </c>
      <c r="Y631" s="55">
        <f>IF(B631="","",IF(OR(O631="Cancelled",O631="No-Show"),"",IF(N631&lt;&gt;"",N631,ROUND(R631*SupHr*IFERROR(INDEX('PRICING'!$G$7:$G$16,MATCH(F631,'PRICING'!$A$7:$A$16,0)),1),2))))</f>
        <v/>
      </c>
      <c r="Z631" s="98">
        <f>IF(B631="","",SUMIFS('MILEAGE'!$J$5:$J$1504,'MILEAGE'!$B$5:$B$1504,A631))</f>
        <v/>
      </c>
      <c r="AA631" s="55">
        <f>IF(B631="","",ROUND(Z631*MileRate,2))</f>
        <v/>
      </c>
      <c r="AB631" s="55">
        <f>IF(B631="","",SUMIFS('REVENUE'!$J$5:$J$1504,'REVENUE'!$B$5:$B$1504,A631))</f>
        <v/>
      </c>
      <c r="AC631" s="55">
        <f>IF(L631="","",IF(OR(O631="Cancelled",O631="No-Show"),"",L631-N(X631)-N(Y631)-AA631-AB631))</f>
        <v/>
      </c>
      <c r="AD631" s="99">
        <f>IF(OR(AC631="",N(L631)=0),"",AC631/L631)</f>
        <v/>
      </c>
      <c r="AE631" s="55">
        <f>IF(OR(AC631="",N(R631)=0),"",L631/R631)</f>
        <v/>
      </c>
      <c r="AF631" s="100">
        <f>IF(OR(N(K631)=0,N(J631)+N(Q631)=0),"",K631-IF(N(J631)&gt;0,J631,Q631))</f>
        <v/>
      </c>
      <c r="AG631" s="99">
        <f>IF(B631="","",IFERROR(AVERAGEIFS('QUALITY CONTROL'!$M$5:$M$304,'QUALITY CONTROL'!$B$5:$B$304,A631),""))</f>
        <v/>
      </c>
      <c r="AH631" s="51">
        <f>IF(B631="","",DATE(YEAR(B631),MONTH(B631),1))</f>
        <v/>
      </c>
      <c r="AI631" s="49">
        <f>IF(D631="","",IFERROR(INDEX('CUSTOMERS'!$E$5:$E$404,MATCH(D631,'CUSTOMERS'!$B$5:$B$404,0)),""))</f>
        <v/>
      </c>
      <c r="AJ631" s="49">
        <f>IF(B631="","",N(C631))</f>
        <v/>
      </c>
      <c r="AK631" s="49">
        <f>IF(OR(B631="",O631="Cancelled",O631="Rescheduled"),"",B631&amp;"|"&amp;(COUNTIFS('JOBS'!$B$5:$B$1504,B631,'JOBS'!$AJ$5:$AJ$1504,"&lt;"&amp;AJ631,'JOBS'!$O$5:$O$1504,"&lt;&gt;Cancelled",'JOBS'!$O$5:$O$1504,"&lt;&gt;Rescheduled")+COUNTIFS($B$5:B631,B631,$AJ$5:AJ631,AJ631,$O$5:O631,"&lt;&gt;Cancelled",$O$5:O631,"&lt;&gt;Rescheduled")))</f>
        <v/>
      </c>
      <c r="AL631" s="49">
        <f>IF(N(U631)&lt;=0.005,"",COUNTIFS('JOBS'!$U$5:$U$1504,"&gt;0.005",'JOBS'!$B$5:$B$1504,"&lt;"&amp;B631)+COUNTIFS($U$5:U631,"&gt;0.005",$B$5:B631,B631))</f>
        <v/>
      </c>
    </row>
    <row r="632">
      <c r="A632" s="46" t="inlineStr">
        <is>
          <t>J-0628</t>
        </is>
      </c>
      <c r="B632" s="47" t="n"/>
      <c r="C632" s="94" t="n"/>
      <c r="D632" s="38" t="n"/>
      <c r="E632" s="38" t="n"/>
      <c r="F632" s="38" t="n"/>
      <c r="G632" s="38" t="n"/>
      <c r="H632" s="38" t="n"/>
      <c r="I632" s="57" t="n"/>
      <c r="J632" s="95" t="n"/>
      <c r="K632" s="95" t="n"/>
      <c r="L632" s="48" t="n"/>
      <c r="M632" s="96" t="n"/>
      <c r="N632" s="48" t="n"/>
      <c r="O632" s="38" t="n"/>
      <c r="P632" s="38" t="n"/>
      <c r="Q632" s="97">
        <f>IF(OR(F632="",E632=""),"",IFERROR(IF(INDEX('PROPERTIES'!$F$5:$F$404,MATCH(E632,'PROPERTIES'!$B$5:$B$404,0))=0,"",ROUND((INDEX('PROPERTIES'!$F$5:$F$404,MATCH(E632,'PROPERTIES'!$B$5:$B$404,0))/INDEX('PRICING'!$C$7:$C$16,MATCH(F632,'PRICING'!$A$7:$A$16,0))+INDEX('PROPERTIES'!$G$5:$G$404,MATCH(E632,'PROPERTIES'!$B$5:$B$404,0))*INDEX('PRICING'!$D$7:$D$16,MATCH(F632,'PRICING'!$A$7:$A$16,0))/60+INDEX('PROPERTIES'!$H$5:$H$404,MATCH(E632,'PROPERTIES'!$B$5:$B$404,0))*INDEX('PRICING'!$E$7:$E$16,MATCH(F632,'PRICING'!$A$7:$A$16,0))/60+INDEX('PRICING'!$F$7:$F$16,MATCH(F632,'PRICING'!$A$7:$A$16,0))/60),2)),""))</f>
        <v/>
      </c>
      <c r="R632" s="97">
        <f>IF(B632="","",IF(N(K632)&gt;0,K632,IF(N(J632)&gt;0,J632,N(Q632))))</f>
        <v/>
      </c>
      <c r="S632" s="55">
        <f>IF(L632="","",ROUND(L632*(1+N(M632)),2))</f>
        <v/>
      </c>
      <c r="T632" s="55">
        <f>IF(B632="","",SUMIFS('REVENUE'!$C$5:$C$1504,'REVENUE'!$B$5:$B$1504,A632))</f>
        <v/>
      </c>
      <c r="U632" s="55">
        <f>IF(B632="","",IF(O632="Completed",MAX(0,N(S632)-T632),""))</f>
        <v/>
      </c>
      <c r="V632" s="49">
        <f>IF(B632="","",IF(O632&lt;&gt;"Completed",IF(T632&gt;0,"Deposit","—"),IF(U632&lt;=0.005,"Paid",IF(T632&gt;0,"Partial","Unpaid"))))</f>
        <v/>
      </c>
      <c r="W632" s="55">
        <f>IF(B632="","",IFERROR(1/(1/INDEX('STAFF &amp; TASKS'!$C$5:$C$24,MATCH(H632,'STAFF &amp; TASKS'!$A$5:$A$24,0))),PayRate))</f>
        <v/>
      </c>
      <c r="X632" s="55">
        <f>IF(B632="","",IF(OR(O632="Cancelled",O632="No-Show"),"",ROUND(R632*W632*(1+Burden),2)))</f>
        <v/>
      </c>
      <c r="Y632" s="55">
        <f>IF(B632="","",IF(OR(O632="Cancelled",O632="No-Show"),"",IF(N632&lt;&gt;"",N632,ROUND(R632*SupHr*IFERROR(INDEX('PRICING'!$G$7:$G$16,MATCH(F632,'PRICING'!$A$7:$A$16,0)),1),2))))</f>
        <v/>
      </c>
      <c r="Z632" s="98">
        <f>IF(B632="","",SUMIFS('MILEAGE'!$J$5:$J$1504,'MILEAGE'!$B$5:$B$1504,A632))</f>
        <v/>
      </c>
      <c r="AA632" s="55">
        <f>IF(B632="","",ROUND(Z632*MileRate,2))</f>
        <v/>
      </c>
      <c r="AB632" s="55">
        <f>IF(B632="","",SUMIFS('REVENUE'!$J$5:$J$1504,'REVENUE'!$B$5:$B$1504,A632))</f>
        <v/>
      </c>
      <c r="AC632" s="55">
        <f>IF(L632="","",IF(OR(O632="Cancelled",O632="No-Show"),"",L632-N(X632)-N(Y632)-AA632-AB632))</f>
        <v/>
      </c>
      <c r="AD632" s="99">
        <f>IF(OR(AC632="",N(L632)=0),"",AC632/L632)</f>
        <v/>
      </c>
      <c r="AE632" s="55">
        <f>IF(OR(AC632="",N(R632)=0),"",L632/R632)</f>
        <v/>
      </c>
      <c r="AF632" s="100">
        <f>IF(OR(N(K632)=0,N(J632)+N(Q632)=0),"",K632-IF(N(J632)&gt;0,J632,Q632))</f>
        <v/>
      </c>
      <c r="AG632" s="99">
        <f>IF(B632="","",IFERROR(AVERAGEIFS('QUALITY CONTROL'!$M$5:$M$304,'QUALITY CONTROL'!$B$5:$B$304,A632),""))</f>
        <v/>
      </c>
      <c r="AH632" s="51">
        <f>IF(B632="","",DATE(YEAR(B632),MONTH(B632),1))</f>
        <v/>
      </c>
      <c r="AI632" s="49">
        <f>IF(D632="","",IFERROR(INDEX('CUSTOMERS'!$E$5:$E$404,MATCH(D632,'CUSTOMERS'!$B$5:$B$404,0)),""))</f>
        <v/>
      </c>
      <c r="AJ632" s="49">
        <f>IF(B632="","",N(C632))</f>
        <v/>
      </c>
      <c r="AK632" s="49">
        <f>IF(OR(B632="",O632="Cancelled",O632="Rescheduled"),"",B632&amp;"|"&amp;(COUNTIFS('JOBS'!$B$5:$B$1504,B632,'JOBS'!$AJ$5:$AJ$1504,"&lt;"&amp;AJ632,'JOBS'!$O$5:$O$1504,"&lt;&gt;Cancelled",'JOBS'!$O$5:$O$1504,"&lt;&gt;Rescheduled")+COUNTIFS($B$5:B632,B632,$AJ$5:AJ632,AJ632,$O$5:O632,"&lt;&gt;Cancelled",$O$5:O632,"&lt;&gt;Rescheduled")))</f>
        <v/>
      </c>
      <c r="AL632" s="49">
        <f>IF(N(U632)&lt;=0.005,"",COUNTIFS('JOBS'!$U$5:$U$1504,"&gt;0.005",'JOBS'!$B$5:$B$1504,"&lt;"&amp;B632)+COUNTIFS($U$5:U632,"&gt;0.005",$B$5:B632,B632))</f>
        <v/>
      </c>
    </row>
    <row r="633">
      <c r="A633" s="46" t="inlineStr">
        <is>
          <t>J-0629</t>
        </is>
      </c>
      <c r="B633" s="47" t="n"/>
      <c r="C633" s="94" t="n"/>
      <c r="D633" s="38" t="n"/>
      <c r="E633" s="38" t="n"/>
      <c r="F633" s="38" t="n"/>
      <c r="G633" s="38" t="n"/>
      <c r="H633" s="38" t="n"/>
      <c r="I633" s="57" t="n"/>
      <c r="J633" s="95" t="n"/>
      <c r="K633" s="95" t="n"/>
      <c r="L633" s="48" t="n"/>
      <c r="M633" s="96" t="n"/>
      <c r="N633" s="48" t="n"/>
      <c r="O633" s="38" t="n"/>
      <c r="P633" s="38" t="n"/>
      <c r="Q633" s="97">
        <f>IF(OR(F633="",E633=""),"",IFERROR(IF(INDEX('PROPERTIES'!$F$5:$F$404,MATCH(E633,'PROPERTIES'!$B$5:$B$404,0))=0,"",ROUND((INDEX('PROPERTIES'!$F$5:$F$404,MATCH(E633,'PROPERTIES'!$B$5:$B$404,0))/INDEX('PRICING'!$C$7:$C$16,MATCH(F633,'PRICING'!$A$7:$A$16,0))+INDEX('PROPERTIES'!$G$5:$G$404,MATCH(E633,'PROPERTIES'!$B$5:$B$404,0))*INDEX('PRICING'!$D$7:$D$16,MATCH(F633,'PRICING'!$A$7:$A$16,0))/60+INDEX('PROPERTIES'!$H$5:$H$404,MATCH(E633,'PROPERTIES'!$B$5:$B$404,0))*INDEX('PRICING'!$E$7:$E$16,MATCH(F633,'PRICING'!$A$7:$A$16,0))/60+INDEX('PRICING'!$F$7:$F$16,MATCH(F633,'PRICING'!$A$7:$A$16,0))/60),2)),""))</f>
        <v/>
      </c>
      <c r="R633" s="97">
        <f>IF(B633="","",IF(N(K633)&gt;0,K633,IF(N(J633)&gt;0,J633,N(Q633))))</f>
        <v/>
      </c>
      <c r="S633" s="55">
        <f>IF(L633="","",ROUND(L633*(1+N(M633)),2))</f>
        <v/>
      </c>
      <c r="T633" s="55">
        <f>IF(B633="","",SUMIFS('REVENUE'!$C$5:$C$1504,'REVENUE'!$B$5:$B$1504,A633))</f>
        <v/>
      </c>
      <c r="U633" s="55">
        <f>IF(B633="","",IF(O633="Completed",MAX(0,N(S633)-T633),""))</f>
        <v/>
      </c>
      <c r="V633" s="49">
        <f>IF(B633="","",IF(O633&lt;&gt;"Completed",IF(T633&gt;0,"Deposit","—"),IF(U633&lt;=0.005,"Paid",IF(T633&gt;0,"Partial","Unpaid"))))</f>
        <v/>
      </c>
      <c r="W633" s="55">
        <f>IF(B633="","",IFERROR(1/(1/INDEX('STAFF &amp; TASKS'!$C$5:$C$24,MATCH(H633,'STAFF &amp; TASKS'!$A$5:$A$24,0))),PayRate))</f>
        <v/>
      </c>
      <c r="X633" s="55">
        <f>IF(B633="","",IF(OR(O633="Cancelled",O633="No-Show"),"",ROUND(R633*W633*(1+Burden),2)))</f>
        <v/>
      </c>
      <c r="Y633" s="55">
        <f>IF(B633="","",IF(OR(O633="Cancelled",O633="No-Show"),"",IF(N633&lt;&gt;"",N633,ROUND(R633*SupHr*IFERROR(INDEX('PRICING'!$G$7:$G$16,MATCH(F633,'PRICING'!$A$7:$A$16,0)),1),2))))</f>
        <v/>
      </c>
      <c r="Z633" s="98">
        <f>IF(B633="","",SUMIFS('MILEAGE'!$J$5:$J$1504,'MILEAGE'!$B$5:$B$1504,A633))</f>
        <v/>
      </c>
      <c r="AA633" s="55">
        <f>IF(B633="","",ROUND(Z633*MileRate,2))</f>
        <v/>
      </c>
      <c r="AB633" s="55">
        <f>IF(B633="","",SUMIFS('REVENUE'!$J$5:$J$1504,'REVENUE'!$B$5:$B$1504,A633))</f>
        <v/>
      </c>
      <c r="AC633" s="55">
        <f>IF(L633="","",IF(OR(O633="Cancelled",O633="No-Show"),"",L633-N(X633)-N(Y633)-AA633-AB633))</f>
        <v/>
      </c>
      <c r="AD633" s="99">
        <f>IF(OR(AC633="",N(L633)=0),"",AC633/L633)</f>
        <v/>
      </c>
      <c r="AE633" s="55">
        <f>IF(OR(AC633="",N(R633)=0),"",L633/R633)</f>
        <v/>
      </c>
      <c r="AF633" s="100">
        <f>IF(OR(N(K633)=0,N(J633)+N(Q633)=0),"",K633-IF(N(J633)&gt;0,J633,Q633))</f>
        <v/>
      </c>
      <c r="AG633" s="99">
        <f>IF(B633="","",IFERROR(AVERAGEIFS('QUALITY CONTROL'!$M$5:$M$304,'QUALITY CONTROL'!$B$5:$B$304,A633),""))</f>
        <v/>
      </c>
      <c r="AH633" s="51">
        <f>IF(B633="","",DATE(YEAR(B633),MONTH(B633),1))</f>
        <v/>
      </c>
      <c r="AI633" s="49">
        <f>IF(D633="","",IFERROR(INDEX('CUSTOMERS'!$E$5:$E$404,MATCH(D633,'CUSTOMERS'!$B$5:$B$404,0)),""))</f>
        <v/>
      </c>
      <c r="AJ633" s="49">
        <f>IF(B633="","",N(C633))</f>
        <v/>
      </c>
      <c r="AK633" s="49">
        <f>IF(OR(B633="",O633="Cancelled",O633="Rescheduled"),"",B633&amp;"|"&amp;(COUNTIFS('JOBS'!$B$5:$B$1504,B633,'JOBS'!$AJ$5:$AJ$1504,"&lt;"&amp;AJ633,'JOBS'!$O$5:$O$1504,"&lt;&gt;Cancelled",'JOBS'!$O$5:$O$1504,"&lt;&gt;Rescheduled")+COUNTIFS($B$5:B633,B633,$AJ$5:AJ633,AJ633,$O$5:O633,"&lt;&gt;Cancelled",$O$5:O633,"&lt;&gt;Rescheduled")))</f>
        <v/>
      </c>
      <c r="AL633" s="49">
        <f>IF(N(U633)&lt;=0.005,"",COUNTIFS('JOBS'!$U$5:$U$1504,"&gt;0.005",'JOBS'!$B$5:$B$1504,"&lt;"&amp;B633)+COUNTIFS($U$5:U633,"&gt;0.005",$B$5:B633,B633))</f>
        <v/>
      </c>
    </row>
    <row r="634">
      <c r="A634" s="46" t="inlineStr">
        <is>
          <t>J-0630</t>
        </is>
      </c>
      <c r="B634" s="47" t="n"/>
      <c r="C634" s="94" t="n"/>
      <c r="D634" s="38" t="n"/>
      <c r="E634" s="38" t="n"/>
      <c r="F634" s="38" t="n"/>
      <c r="G634" s="38" t="n"/>
      <c r="H634" s="38" t="n"/>
      <c r="I634" s="57" t="n"/>
      <c r="J634" s="95" t="n"/>
      <c r="K634" s="95" t="n"/>
      <c r="L634" s="48" t="n"/>
      <c r="M634" s="96" t="n"/>
      <c r="N634" s="48" t="n"/>
      <c r="O634" s="38" t="n"/>
      <c r="P634" s="38" t="n"/>
      <c r="Q634" s="97">
        <f>IF(OR(F634="",E634=""),"",IFERROR(IF(INDEX('PROPERTIES'!$F$5:$F$404,MATCH(E634,'PROPERTIES'!$B$5:$B$404,0))=0,"",ROUND((INDEX('PROPERTIES'!$F$5:$F$404,MATCH(E634,'PROPERTIES'!$B$5:$B$404,0))/INDEX('PRICING'!$C$7:$C$16,MATCH(F634,'PRICING'!$A$7:$A$16,0))+INDEX('PROPERTIES'!$G$5:$G$404,MATCH(E634,'PROPERTIES'!$B$5:$B$404,0))*INDEX('PRICING'!$D$7:$D$16,MATCH(F634,'PRICING'!$A$7:$A$16,0))/60+INDEX('PROPERTIES'!$H$5:$H$404,MATCH(E634,'PROPERTIES'!$B$5:$B$404,0))*INDEX('PRICING'!$E$7:$E$16,MATCH(F634,'PRICING'!$A$7:$A$16,0))/60+INDEX('PRICING'!$F$7:$F$16,MATCH(F634,'PRICING'!$A$7:$A$16,0))/60),2)),""))</f>
        <v/>
      </c>
      <c r="R634" s="97">
        <f>IF(B634="","",IF(N(K634)&gt;0,K634,IF(N(J634)&gt;0,J634,N(Q634))))</f>
        <v/>
      </c>
      <c r="S634" s="55">
        <f>IF(L634="","",ROUND(L634*(1+N(M634)),2))</f>
        <v/>
      </c>
      <c r="T634" s="55">
        <f>IF(B634="","",SUMIFS('REVENUE'!$C$5:$C$1504,'REVENUE'!$B$5:$B$1504,A634))</f>
        <v/>
      </c>
      <c r="U634" s="55">
        <f>IF(B634="","",IF(O634="Completed",MAX(0,N(S634)-T634),""))</f>
        <v/>
      </c>
      <c r="V634" s="49">
        <f>IF(B634="","",IF(O634&lt;&gt;"Completed",IF(T634&gt;0,"Deposit","—"),IF(U634&lt;=0.005,"Paid",IF(T634&gt;0,"Partial","Unpaid"))))</f>
        <v/>
      </c>
      <c r="W634" s="55">
        <f>IF(B634="","",IFERROR(1/(1/INDEX('STAFF &amp; TASKS'!$C$5:$C$24,MATCH(H634,'STAFF &amp; TASKS'!$A$5:$A$24,0))),PayRate))</f>
        <v/>
      </c>
      <c r="X634" s="55">
        <f>IF(B634="","",IF(OR(O634="Cancelled",O634="No-Show"),"",ROUND(R634*W634*(1+Burden),2)))</f>
        <v/>
      </c>
      <c r="Y634" s="55">
        <f>IF(B634="","",IF(OR(O634="Cancelled",O634="No-Show"),"",IF(N634&lt;&gt;"",N634,ROUND(R634*SupHr*IFERROR(INDEX('PRICING'!$G$7:$G$16,MATCH(F634,'PRICING'!$A$7:$A$16,0)),1),2))))</f>
        <v/>
      </c>
      <c r="Z634" s="98">
        <f>IF(B634="","",SUMIFS('MILEAGE'!$J$5:$J$1504,'MILEAGE'!$B$5:$B$1504,A634))</f>
        <v/>
      </c>
      <c r="AA634" s="55">
        <f>IF(B634="","",ROUND(Z634*MileRate,2))</f>
        <v/>
      </c>
      <c r="AB634" s="55">
        <f>IF(B634="","",SUMIFS('REVENUE'!$J$5:$J$1504,'REVENUE'!$B$5:$B$1504,A634))</f>
        <v/>
      </c>
      <c r="AC634" s="55">
        <f>IF(L634="","",IF(OR(O634="Cancelled",O634="No-Show"),"",L634-N(X634)-N(Y634)-AA634-AB634))</f>
        <v/>
      </c>
      <c r="AD634" s="99">
        <f>IF(OR(AC634="",N(L634)=0),"",AC634/L634)</f>
        <v/>
      </c>
      <c r="AE634" s="55">
        <f>IF(OR(AC634="",N(R634)=0),"",L634/R634)</f>
        <v/>
      </c>
      <c r="AF634" s="100">
        <f>IF(OR(N(K634)=0,N(J634)+N(Q634)=0),"",K634-IF(N(J634)&gt;0,J634,Q634))</f>
        <v/>
      </c>
      <c r="AG634" s="99">
        <f>IF(B634="","",IFERROR(AVERAGEIFS('QUALITY CONTROL'!$M$5:$M$304,'QUALITY CONTROL'!$B$5:$B$304,A634),""))</f>
        <v/>
      </c>
      <c r="AH634" s="51">
        <f>IF(B634="","",DATE(YEAR(B634),MONTH(B634),1))</f>
        <v/>
      </c>
      <c r="AI634" s="49">
        <f>IF(D634="","",IFERROR(INDEX('CUSTOMERS'!$E$5:$E$404,MATCH(D634,'CUSTOMERS'!$B$5:$B$404,0)),""))</f>
        <v/>
      </c>
      <c r="AJ634" s="49">
        <f>IF(B634="","",N(C634))</f>
        <v/>
      </c>
      <c r="AK634" s="49">
        <f>IF(OR(B634="",O634="Cancelled",O634="Rescheduled"),"",B634&amp;"|"&amp;(COUNTIFS('JOBS'!$B$5:$B$1504,B634,'JOBS'!$AJ$5:$AJ$1504,"&lt;"&amp;AJ634,'JOBS'!$O$5:$O$1504,"&lt;&gt;Cancelled",'JOBS'!$O$5:$O$1504,"&lt;&gt;Rescheduled")+COUNTIFS($B$5:B634,B634,$AJ$5:AJ634,AJ634,$O$5:O634,"&lt;&gt;Cancelled",$O$5:O634,"&lt;&gt;Rescheduled")))</f>
        <v/>
      </c>
      <c r="AL634" s="49">
        <f>IF(N(U634)&lt;=0.005,"",COUNTIFS('JOBS'!$U$5:$U$1504,"&gt;0.005",'JOBS'!$B$5:$B$1504,"&lt;"&amp;B634)+COUNTIFS($U$5:U634,"&gt;0.005",$B$5:B634,B634))</f>
        <v/>
      </c>
    </row>
    <row r="635">
      <c r="A635" s="46" t="inlineStr">
        <is>
          <t>J-0631</t>
        </is>
      </c>
      <c r="B635" s="47" t="n"/>
      <c r="C635" s="94" t="n"/>
      <c r="D635" s="38" t="n"/>
      <c r="E635" s="38" t="n"/>
      <c r="F635" s="38" t="n"/>
      <c r="G635" s="38" t="n"/>
      <c r="H635" s="38" t="n"/>
      <c r="I635" s="57" t="n"/>
      <c r="J635" s="95" t="n"/>
      <c r="K635" s="95" t="n"/>
      <c r="L635" s="48" t="n"/>
      <c r="M635" s="96" t="n"/>
      <c r="N635" s="48" t="n"/>
      <c r="O635" s="38" t="n"/>
      <c r="P635" s="38" t="n"/>
      <c r="Q635" s="97">
        <f>IF(OR(F635="",E635=""),"",IFERROR(IF(INDEX('PROPERTIES'!$F$5:$F$404,MATCH(E635,'PROPERTIES'!$B$5:$B$404,0))=0,"",ROUND((INDEX('PROPERTIES'!$F$5:$F$404,MATCH(E635,'PROPERTIES'!$B$5:$B$404,0))/INDEX('PRICING'!$C$7:$C$16,MATCH(F635,'PRICING'!$A$7:$A$16,0))+INDEX('PROPERTIES'!$G$5:$G$404,MATCH(E635,'PROPERTIES'!$B$5:$B$404,0))*INDEX('PRICING'!$D$7:$D$16,MATCH(F635,'PRICING'!$A$7:$A$16,0))/60+INDEX('PROPERTIES'!$H$5:$H$404,MATCH(E635,'PROPERTIES'!$B$5:$B$404,0))*INDEX('PRICING'!$E$7:$E$16,MATCH(F635,'PRICING'!$A$7:$A$16,0))/60+INDEX('PRICING'!$F$7:$F$16,MATCH(F635,'PRICING'!$A$7:$A$16,0))/60),2)),""))</f>
        <v/>
      </c>
      <c r="R635" s="97">
        <f>IF(B635="","",IF(N(K635)&gt;0,K635,IF(N(J635)&gt;0,J635,N(Q635))))</f>
        <v/>
      </c>
      <c r="S635" s="55">
        <f>IF(L635="","",ROUND(L635*(1+N(M635)),2))</f>
        <v/>
      </c>
      <c r="T635" s="55">
        <f>IF(B635="","",SUMIFS('REVENUE'!$C$5:$C$1504,'REVENUE'!$B$5:$B$1504,A635))</f>
        <v/>
      </c>
      <c r="U635" s="55">
        <f>IF(B635="","",IF(O635="Completed",MAX(0,N(S635)-T635),""))</f>
        <v/>
      </c>
      <c r="V635" s="49">
        <f>IF(B635="","",IF(O635&lt;&gt;"Completed",IF(T635&gt;0,"Deposit","—"),IF(U635&lt;=0.005,"Paid",IF(T635&gt;0,"Partial","Unpaid"))))</f>
        <v/>
      </c>
      <c r="W635" s="55">
        <f>IF(B635="","",IFERROR(1/(1/INDEX('STAFF &amp; TASKS'!$C$5:$C$24,MATCH(H635,'STAFF &amp; TASKS'!$A$5:$A$24,0))),PayRate))</f>
        <v/>
      </c>
      <c r="X635" s="55">
        <f>IF(B635="","",IF(OR(O635="Cancelled",O635="No-Show"),"",ROUND(R635*W635*(1+Burden),2)))</f>
        <v/>
      </c>
      <c r="Y635" s="55">
        <f>IF(B635="","",IF(OR(O635="Cancelled",O635="No-Show"),"",IF(N635&lt;&gt;"",N635,ROUND(R635*SupHr*IFERROR(INDEX('PRICING'!$G$7:$G$16,MATCH(F635,'PRICING'!$A$7:$A$16,0)),1),2))))</f>
        <v/>
      </c>
      <c r="Z635" s="98">
        <f>IF(B635="","",SUMIFS('MILEAGE'!$J$5:$J$1504,'MILEAGE'!$B$5:$B$1504,A635))</f>
        <v/>
      </c>
      <c r="AA635" s="55">
        <f>IF(B635="","",ROUND(Z635*MileRate,2))</f>
        <v/>
      </c>
      <c r="AB635" s="55">
        <f>IF(B635="","",SUMIFS('REVENUE'!$J$5:$J$1504,'REVENUE'!$B$5:$B$1504,A635))</f>
        <v/>
      </c>
      <c r="AC635" s="55">
        <f>IF(L635="","",IF(OR(O635="Cancelled",O635="No-Show"),"",L635-N(X635)-N(Y635)-AA635-AB635))</f>
        <v/>
      </c>
      <c r="AD635" s="99">
        <f>IF(OR(AC635="",N(L635)=0),"",AC635/L635)</f>
        <v/>
      </c>
      <c r="AE635" s="55">
        <f>IF(OR(AC635="",N(R635)=0),"",L635/R635)</f>
        <v/>
      </c>
      <c r="AF635" s="100">
        <f>IF(OR(N(K635)=0,N(J635)+N(Q635)=0),"",K635-IF(N(J635)&gt;0,J635,Q635))</f>
        <v/>
      </c>
      <c r="AG635" s="99">
        <f>IF(B635="","",IFERROR(AVERAGEIFS('QUALITY CONTROL'!$M$5:$M$304,'QUALITY CONTROL'!$B$5:$B$304,A635),""))</f>
        <v/>
      </c>
      <c r="AH635" s="51">
        <f>IF(B635="","",DATE(YEAR(B635),MONTH(B635),1))</f>
        <v/>
      </c>
      <c r="AI635" s="49">
        <f>IF(D635="","",IFERROR(INDEX('CUSTOMERS'!$E$5:$E$404,MATCH(D635,'CUSTOMERS'!$B$5:$B$404,0)),""))</f>
        <v/>
      </c>
      <c r="AJ635" s="49">
        <f>IF(B635="","",N(C635))</f>
        <v/>
      </c>
      <c r="AK635" s="49">
        <f>IF(OR(B635="",O635="Cancelled",O635="Rescheduled"),"",B635&amp;"|"&amp;(COUNTIFS('JOBS'!$B$5:$B$1504,B635,'JOBS'!$AJ$5:$AJ$1504,"&lt;"&amp;AJ635,'JOBS'!$O$5:$O$1504,"&lt;&gt;Cancelled",'JOBS'!$O$5:$O$1504,"&lt;&gt;Rescheduled")+COUNTIFS($B$5:B635,B635,$AJ$5:AJ635,AJ635,$O$5:O635,"&lt;&gt;Cancelled",$O$5:O635,"&lt;&gt;Rescheduled")))</f>
        <v/>
      </c>
      <c r="AL635" s="49">
        <f>IF(N(U635)&lt;=0.005,"",COUNTIFS('JOBS'!$U$5:$U$1504,"&gt;0.005",'JOBS'!$B$5:$B$1504,"&lt;"&amp;B635)+COUNTIFS($U$5:U635,"&gt;0.005",$B$5:B635,B635))</f>
        <v/>
      </c>
    </row>
    <row r="636">
      <c r="A636" s="46" t="inlineStr">
        <is>
          <t>J-0632</t>
        </is>
      </c>
      <c r="B636" s="47" t="n"/>
      <c r="C636" s="94" t="n"/>
      <c r="D636" s="38" t="n"/>
      <c r="E636" s="38" t="n"/>
      <c r="F636" s="38" t="n"/>
      <c r="G636" s="38" t="n"/>
      <c r="H636" s="38" t="n"/>
      <c r="I636" s="57" t="n"/>
      <c r="J636" s="95" t="n"/>
      <c r="K636" s="95" t="n"/>
      <c r="L636" s="48" t="n"/>
      <c r="M636" s="96" t="n"/>
      <c r="N636" s="48" t="n"/>
      <c r="O636" s="38" t="n"/>
      <c r="P636" s="38" t="n"/>
      <c r="Q636" s="97">
        <f>IF(OR(F636="",E636=""),"",IFERROR(IF(INDEX('PROPERTIES'!$F$5:$F$404,MATCH(E636,'PROPERTIES'!$B$5:$B$404,0))=0,"",ROUND((INDEX('PROPERTIES'!$F$5:$F$404,MATCH(E636,'PROPERTIES'!$B$5:$B$404,0))/INDEX('PRICING'!$C$7:$C$16,MATCH(F636,'PRICING'!$A$7:$A$16,0))+INDEX('PROPERTIES'!$G$5:$G$404,MATCH(E636,'PROPERTIES'!$B$5:$B$404,0))*INDEX('PRICING'!$D$7:$D$16,MATCH(F636,'PRICING'!$A$7:$A$16,0))/60+INDEX('PROPERTIES'!$H$5:$H$404,MATCH(E636,'PROPERTIES'!$B$5:$B$404,0))*INDEX('PRICING'!$E$7:$E$16,MATCH(F636,'PRICING'!$A$7:$A$16,0))/60+INDEX('PRICING'!$F$7:$F$16,MATCH(F636,'PRICING'!$A$7:$A$16,0))/60),2)),""))</f>
        <v/>
      </c>
      <c r="R636" s="97">
        <f>IF(B636="","",IF(N(K636)&gt;0,K636,IF(N(J636)&gt;0,J636,N(Q636))))</f>
        <v/>
      </c>
      <c r="S636" s="55">
        <f>IF(L636="","",ROUND(L636*(1+N(M636)),2))</f>
        <v/>
      </c>
      <c r="T636" s="55">
        <f>IF(B636="","",SUMIFS('REVENUE'!$C$5:$C$1504,'REVENUE'!$B$5:$B$1504,A636))</f>
        <v/>
      </c>
      <c r="U636" s="55">
        <f>IF(B636="","",IF(O636="Completed",MAX(0,N(S636)-T636),""))</f>
        <v/>
      </c>
      <c r="V636" s="49">
        <f>IF(B636="","",IF(O636&lt;&gt;"Completed",IF(T636&gt;0,"Deposit","—"),IF(U636&lt;=0.005,"Paid",IF(T636&gt;0,"Partial","Unpaid"))))</f>
        <v/>
      </c>
      <c r="W636" s="55">
        <f>IF(B636="","",IFERROR(1/(1/INDEX('STAFF &amp; TASKS'!$C$5:$C$24,MATCH(H636,'STAFF &amp; TASKS'!$A$5:$A$24,0))),PayRate))</f>
        <v/>
      </c>
      <c r="X636" s="55">
        <f>IF(B636="","",IF(OR(O636="Cancelled",O636="No-Show"),"",ROUND(R636*W636*(1+Burden),2)))</f>
        <v/>
      </c>
      <c r="Y636" s="55">
        <f>IF(B636="","",IF(OR(O636="Cancelled",O636="No-Show"),"",IF(N636&lt;&gt;"",N636,ROUND(R636*SupHr*IFERROR(INDEX('PRICING'!$G$7:$G$16,MATCH(F636,'PRICING'!$A$7:$A$16,0)),1),2))))</f>
        <v/>
      </c>
      <c r="Z636" s="98">
        <f>IF(B636="","",SUMIFS('MILEAGE'!$J$5:$J$1504,'MILEAGE'!$B$5:$B$1504,A636))</f>
        <v/>
      </c>
      <c r="AA636" s="55">
        <f>IF(B636="","",ROUND(Z636*MileRate,2))</f>
        <v/>
      </c>
      <c r="AB636" s="55">
        <f>IF(B636="","",SUMIFS('REVENUE'!$J$5:$J$1504,'REVENUE'!$B$5:$B$1504,A636))</f>
        <v/>
      </c>
      <c r="AC636" s="55">
        <f>IF(L636="","",IF(OR(O636="Cancelled",O636="No-Show"),"",L636-N(X636)-N(Y636)-AA636-AB636))</f>
        <v/>
      </c>
      <c r="AD636" s="99">
        <f>IF(OR(AC636="",N(L636)=0),"",AC636/L636)</f>
        <v/>
      </c>
      <c r="AE636" s="55">
        <f>IF(OR(AC636="",N(R636)=0),"",L636/R636)</f>
        <v/>
      </c>
      <c r="AF636" s="100">
        <f>IF(OR(N(K636)=0,N(J636)+N(Q636)=0),"",K636-IF(N(J636)&gt;0,J636,Q636))</f>
        <v/>
      </c>
      <c r="AG636" s="99">
        <f>IF(B636="","",IFERROR(AVERAGEIFS('QUALITY CONTROL'!$M$5:$M$304,'QUALITY CONTROL'!$B$5:$B$304,A636),""))</f>
        <v/>
      </c>
      <c r="AH636" s="51">
        <f>IF(B636="","",DATE(YEAR(B636),MONTH(B636),1))</f>
        <v/>
      </c>
      <c r="AI636" s="49">
        <f>IF(D636="","",IFERROR(INDEX('CUSTOMERS'!$E$5:$E$404,MATCH(D636,'CUSTOMERS'!$B$5:$B$404,0)),""))</f>
        <v/>
      </c>
      <c r="AJ636" s="49">
        <f>IF(B636="","",N(C636))</f>
        <v/>
      </c>
      <c r="AK636" s="49">
        <f>IF(OR(B636="",O636="Cancelled",O636="Rescheduled"),"",B636&amp;"|"&amp;(COUNTIFS('JOBS'!$B$5:$B$1504,B636,'JOBS'!$AJ$5:$AJ$1504,"&lt;"&amp;AJ636,'JOBS'!$O$5:$O$1504,"&lt;&gt;Cancelled",'JOBS'!$O$5:$O$1504,"&lt;&gt;Rescheduled")+COUNTIFS($B$5:B636,B636,$AJ$5:AJ636,AJ636,$O$5:O636,"&lt;&gt;Cancelled",$O$5:O636,"&lt;&gt;Rescheduled")))</f>
        <v/>
      </c>
      <c r="AL636" s="49">
        <f>IF(N(U636)&lt;=0.005,"",COUNTIFS('JOBS'!$U$5:$U$1504,"&gt;0.005",'JOBS'!$B$5:$B$1504,"&lt;"&amp;B636)+COUNTIFS($U$5:U636,"&gt;0.005",$B$5:B636,B636))</f>
        <v/>
      </c>
    </row>
    <row r="637">
      <c r="A637" s="46" t="inlineStr">
        <is>
          <t>J-0633</t>
        </is>
      </c>
      <c r="B637" s="47" t="n"/>
      <c r="C637" s="94" t="n"/>
      <c r="D637" s="38" t="n"/>
      <c r="E637" s="38" t="n"/>
      <c r="F637" s="38" t="n"/>
      <c r="G637" s="38" t="n"/>
      <c r="H637" s="38" t="n"/>
      <c r="I637" s="57" t="n"/>
      <c r="J637" s="95" t="n"/>
      <c r="K637" s="95" t="n"/>
      <c r="L637" s="48" t="n"/>
      <c r="M637" s="96" t="n"/>
      <c r="N637" s="48" t="n"/>
      <c r="O637" s="38" t="n"/>
      <c r="P637" s="38" t="n"/>
      <c r="Q637" s="97">
        <f>IF(OR(F637="",E637=""),"",IFERROR(IF(INDEX('PROPERTIES'!$F$5:$F$404,MATCH(E637,'PROPERTIES'!$B$5:$B$404,0))=0,"",ROUND((INDEX('PROPERTIES'!$F$5:$F$404,MATCH(E637,'PROPERTIES'!$B$5:$B$404,0))/INDEX('PRICING'!$C$7:$C$16,MATCH(F637,'PRICING'!$A$7:$A$16,0))+INDEX('PROPERTIES'!$G$5:$G$404,MATCH(E637,'PROPERTIES'!$B$5:$B$404,0))*INDEX('PRICING'!$D$7:$D$16,MATCH(F637,'PRICING'!$A$7:$A$16,0))/60+INDEX('PROPERTIES'!$H$5:$H$404,MATCH(E637,'PROPERTIES'!$B$5:$B$404,0))*INDEX('PRICING'!$E$7:$E$16,MATCH(F637,'PRICING'!$A$7:$A$16,0))/60+INDEX('PRICING'!$F$7:$F$16,MATCH(F637,'PRICING'!$A$7:$A$16,0))/60),2)),""))</f>
        <v/>
      </c>
      <c r="R637" s="97">
        <f>IF(B637="","",IF(N(K637)&gt;0,K637,IF(N(J637)&gt;0,J637,N(Q637))))</f>
        <v/>
      </c>
      <c r="S637" s="55">
        <f>IF(L637="","",ROUND(L637*(1+N(M637)),2))</f>
        <v/>
      </c>
      <c r="T637" s="55">
        <f>IF(B637="","",SUMIFS('REVENUE'!$C$5:$C$1504,'REVENUE'!$B$5:$B$1504,A637))</f>
        <v/>
      </c>
      <c r="U637" s="55">
        <f>IF(B637="","",IF(O637="Completed",MAX(0,N(S637)-T637),""))</f>
        <v/>
      </c>
      <c r="V637" s="49">
        <f>IF(B637="","",IF(O637&lt;&gt;"Completed",IF(T637&gt;0,"Deposit","—"),IF(U637&lt;=0.005,"Paid",IF(T637&gt;0,"Partial","Unpaid"))))</f>
        <v/>
      </c>
      <c r="W637" s="55">
        <f>IF(B637="","",IFERROR(1/(1/INDEX('STAFF &amp; TASKS'!$C$5:$C$24,MATCH(H637,'STAFF &amp; TASKS'!$A$5:$A$24,0))),PayRate))</f>
        <v/>
      </c>
      <c r="X637" s="55">
        <f>IF(B637="","",IF(OR(O637="Cancelled",O637="No-Show"),"",ROUND(R637*W637*(1+Burden),2)))</f>
        <v/>
      </c>
      <c r="Y637" s="55">
        <f>IF(B637="","",IF(OR(O637="Cancelled",O637="No-Show"),"",IF(N637&lt;&gt;"",N637,ROUND(R637*SupHr*IFERROR(INDEX('PRICING'!$G$7:$G$16,MATCH(F637,'PRICING'!$A$7:$A$16,0)),1),2))))</f>
        <v/>
      </c>
      <c r="Z637" s="98">
        <f>IF(B637="","",SUMIFS('MILEAGE'!$J$5:$J$1504,'MILEAGE'!$B$5:$B$1504,A637))</f>
        <v/>
      </c>
      <c r="AA637" s="55">
        <f>IF(B637="","",ROUND(Z637*MileRate,2))</f>
        <v/>
      </c>
      <c r="AB637" s="55">
        <f>IF(B637="","",SUMIFS('REVENUE'!$J$5:$J$1504,'REVENUE'!$B$5:$B$1504,A637))</f>
        <v/>
      </c>
      <c r="AC637" s="55">
        <f>IF(L637="","",IF(OR(O637="Cancelled",O637="No-Show"),"",L637-N(X637)-N(Y637)-AA637-AB637))</f>
        <v/>
      </c>
      <c r="AD637" s="99">
        <f>IF(OR(AC637="",N(L637)=0),"",AC637/L637)</f>
        <v/>
      </c>
      <c r="AE637" s="55">
        <f>IF(OR(AC637="",N(R637)=0),"",L637/R637)</f>
        <v/>
      </c>
      <c r="AF637" s="100">
        <f>IF(OR(N(K637)=0,N(J637)+N(Q637)=0),"",K637-IF(N(J637)&gt;0,J637,Q637))</f>
        <v/>
      </c>
      <c r="AG637" s="99">
        <f>IF(B637="","",IFERROR(AVERAGEIFS('QUALITY CONTROL'!$M$5:$M$304,'QUALITY CONTROL'!$B$5:$B$304,A637),""))</f>
        <v/>
      </c>
      <c r="AH637" s="51">
        <f>IF(B637="","",DATE(YEAR(B637),MONTH(B637),1))</f>
        <v/>
      </c>
      <c r="AI637" s="49">
        <f>IF(D637="","",IFERROR(INDEX('CUSTOMERS'!$E$5:$E$404,MATCH(D637,'CUSTOMERS'!$B$5:$B$404,0)),""))</f>
        <v/>
      </c>
      <c r="AJ637" s="49">
        <f>IF(B637="","",N(C637))</f>
        <v/>
      </c>
      <c r="AK637" s="49">
        <f>IF(OR(B637="",O637="Cancelled",O637="Rescheduled"),"",B637&amp;"|"&amp;(COUNTIFS('JOBS'!$B$5:$B$1504,B637,'JOBS'!$AJ$5:$AJ$1504,"&lt;"&amp;AJ637,'JOBS'!$O$5:$O$1504,"&lt;&gt;Cancelled",'JOBS'!$O$5:$O$1504,"&lt;&gt;Rescheduled")+COUNTIFS($B$5:B637,B637,$AJ$5:AJ637,AJ637,$O$5:O637,"&lt;&gt;Cancelled",$O$5:O637,"&lt;&gt;Rescheduled")))</f>
        <v/>
      </c>
      <c r="AL637" s="49">
        <f>IF(N(U637)&lt;=0.005,"",COUNTIFS('JOBS'!$U$5:$U$1504,"&gt;0.005",'JOBS'!$B$5:$B$1504,"&lt;"&amp;B637)+COUNTIFS($U$5:U637,"&gt;0.005",$B$5:B637,B637))</f>
        <v/>
      </c>
    </row>
    <row r="638">
      <c r="A638" s="46" t="inlineStr">
        <is>
          <t>J-0634</t>
        </is>
      </c>
      <c r="B638" s="47" t="n"/>
      <c r="C638" s="94" t="n"/>
      <c r="D638" s="38" t="n"/>
      <c r="E638" s="38" t="n"/>
      <c r="F638" s="38" t="n"/>
      <c r="G638" s="38" t="n"/>
      <c r="H638" s="38" t="n"/>
      <c r="I638" s="57" t="n"/>
      <c r="J638" s="95" t="n"/>
      <c r="K638" s="95" t="n"/>
      <c r="L638" s="48" t="n"/>
      <c r="M638" s="96" t="n"/>
      <c r="N638" s="48" t="n"/>
      <c r="O638" s="38" t="n"/>
      <c r="P638" s="38" t="n"/>
      <c r="Q638" s="97">
        <f>IF(OR(F638="",E638=""),"",IFERROR(IF(INDEX('PROPERTIES'!$F$5:$F$404,MATCH(E638,'PROPERTIES'!$B$5:$B$404,0))=0,"",ROUND((INDEX('PROPERTIES'!$F$5:$F$404,MATCH(E638,'PROPERTIES'!$B$5:$B$404,0))/INDEX('PRICING'!$C$7:$C$16,MATCH(F638,'PRICING'!$A$7:$A$16,0))+INDEX('PROPERTIES'!$G$5:$G$404,MATCH(E638,'PROPERTIES'!$B$5:$B$404,0))*INDEX('PRICING'!$D$7:$D$16,MATCH(F638,'PRICING'!$A$7:$A$16,0))/60+INDEX('PROPERTIES'!$H$5:$H$404,MATCH(E638,'PROPERTIES'!$B$5:$B$404,0))*INDEX('PRICING'!$E$7:$E$16,MATCH(F638,'PRICING'!$A$7:$A$16,0))/60+INDEX('PRICING'!$F$7:$F$16,MATCH(F638,'PRICING'!$A$7:$A$16,0))/60),2)),""))</f>
        <v/>
      </c>
      <c r="R638" s="97">
        <f>IF(B638="","",IF(N(K638)&gt;0,K638,IF(N(J638)&gt;0,J638,N(Q638))))</f>
        <v/>
      </c>
      <c r="S638" s="55">
        <f>IF(L638="","",ROUND(L638*(1+N(M638)),2))</f>
        <v/>
      </c>
      <c r="T638" s="55">
        <f>IF(B638="","",SUMIFS('REVENUE'!$C$5:$C$1504,'REVENUE'!$B$5:$B$1504,A638))</f>
        <v/>
      </c>
      <c r="U638" s="55">
        <f>IF(B638="","",IF(O638="Completed",MAX(0,N(S638)-T638),""))</f>
        <v/>
      </c>
      <c r="V638" s="49">
        <f>IF(B638="","",IF(O638&lt;&gt;"Completed",IF(T638&gt;0,"Deposit","—"),IF(U638&lt;=0.005,"Paid",IF(T638&gt;0,"Partial","Unpaid"))))</f>
        <v/>
      </c>
      <c r="W638" s="55">
        <f>IF(B638="","",IFERROR(1/(1/INDEX('STAFF &amp; TASKS'!$C$5:$C$24,MATCH(H638,'STAFF &amp; TASKS'!$A$5:$A$24,0))),PayRate))</f>
        <v/>
      </c>
      <c r="X638" s="55">
        <f>IF(B638="","",IF(OR(O638="Cancelled",O638="No-Show"),"",ROUND(R638*W638*(1+Burden),2)))</f>
        <v/>
      </c>
      <c r="Y638" s="55">
        <f>IF(B638="","",IF(OR(O638="Cancelled",O638="No-Show"),"",IF(N638&lt;&gt;"",N638,ROUND(R638*SupHr*IFERROR(INDEX('PRICING'!$G$7:$G$16,MATCH(F638,'PRICING'!$A$7:$A$16,0)),1),2))))</f>
        <v/>
      </c>
      <c r="Z638" s="98">
        <f>IF(B638="","",SUMIFS('MILEAGE'!$J$5:$J$1504,'MILEAGE'!$B$5:$B$1504,A638))</f>
        <v/>
      </c>
      <c r="AA638" s="55">
        <f>IF(B638="","",ROUND(Z638*MileRate,2))</f>
        <v/>
      </c>
      <c r="AB638" s="55">
        <f>IF(B638="","",SUMIFS('REVENUE'!$J$5:$J$1504,'REVENUE'!$B$5:$B$1504,A638))</f>
        <v/>
      </c>
      <c r="AC638" s="55">
        <f>IF(L638="","",IF(OR(O638="Cancelled",O638="No-Show"),"",L638-N(X638)-N(Y638)-AA638-AB638))</f>
        <v/>
      </c>
      <c r="AD638" s="99">
        <f>IF(OR(AC638="",N(L638)=0),"",AC638/L638)</f>
        <v/>
      </c>
      <c r="AE638" s="55">
        <f>IF(OR(AC638="",N(R638)=0),"",L638/R638)</f>
        <v/>
      </c>
      <c r="AF638" s="100">
        <f>IF(OR(N(K638)=0,N(J638)+N(Q638)=0),"",K638-IF(N(J638)&gt;0,J638,Q638))</f>
        <v/>
      </c>
      <c r="AG638" s="99">
        <f>IF(B638="","",IFERROR(AVERAGEIFS('QUALITY CONTROL'!$M$5:$M$304,'QUALITY CONTROL'!$B$5:$B$304,A638),""))</f>
        <v/>
      </c>
      <c r="AH638" s="51">
        <f>IF(B638="","",DATE(YEAR(B638),MONTH(B638),1))</f>
        <v/>
      </c>
      <c r="AI638" s="49">
        <f>IF(D638="","",IFERROR(INDEX('CUSTOMERS'!$E$5:$E$404,MATCH(D638,'CUSTOMERS'!$B$5:$B$404,0)),""))</f>
        <v/>
      </c>
      <c r="AJ638" s="49">
        <f>IF(B638="","",N(C638))</f>
        <v/>
      </c>
      <c r="AK638" s="49">
        <f>IF(OR(B638="",O638="Cancelled",O638="Rescheduled"),"",B638&amp;"|"&amp;(COUNTIFS('JOBS'!$B$5:$B$1504,B638,'JOBS'!$AJ$5:$AJ$1504,"&lt;"&amp;AJ638,'JOBS'!$O$5:$O$1504,"&lt;&gt;Cancelled",'JOBS'!$O$5:$O$1504,"&lt;&gt;Rescheduled")+COUNTIFS($B$5:B638,B638,$AJ$5:AJ638,AJ638,$O$5:O638,"&lt;&gt;Cancelled",$O$5:O638,"&lt;&gt;Rescheduled")))</f>
        <v/>
      </c>
      <c r="AL638" s="49">
        <f>IF(N(U638)&lt;=0.005,"",COUNTIFS('JOBS'!$U$5:$U$1504,"&gt;0.005",'JOBS'!$B$5:$B$1504,"&lt;"&amp;B638)+COUNTIFS($U$5:U638,"&gt;0.005",$B$5:B638,B638))</f>
        <v/>
      </c>
    </row>
    <row r="639">
      <c r="A639" s="46" t="inlineStr">
        <is>
          <t>J-0635</t>
        </is>
      </c>
      <c r="B639" s="47" t="n"/>
      <c r="C639" s="94" t="n"/>
      <c r="D639" s="38" t="n"/>
      <c r="E639" s="38" t="n"/>
      <c r="F639" s="38" t="n"/>
      <c r="G639" s="38" t="n"/>
      <c r="H639" s="38" t="n"/>
      <c r="I639" s="57" t="n"/>
      <c r="J639" s="95" t="n"/>
      <c r="K639" s="95" t="n"/>
      <c r="L639" s="48" t="n"/>
      <c r="M639" s="96" t="n"/>
      <c r="N639" s="48" t="n"/>
      <c r="O639" s="38" t="n"/>
      <c r="P639" s="38" t="n"/>
      <c r="Q639" s="97">
        <f>IF(OR(F639="",E639=""),"",IFERROR(IF(INDEX('PROPERTIES'!$F$5:$F$404,MATCH(E639,'PROPERTIES'!$B$5:$B$404,0))=0,"",ROUND((INDEX('PROPERTIES'!$F$5:$F$404,MATCH(E639,'PROPERTIES'!$B$5:$B$404,0))/INDEX('PRICING'!$C$7:$C$16,MATCH(F639,'PRICING'!$A$7:$A$16,0))+INDEX('PROPERTIES'!$G$5:$G$404,MATCH(E639,'PROPERTIES'!$B$5:$B$404,0))*INDEX('PRICING'!$D$7:$D$16,MATCH(F639,'PRICING'!$A$7:$A$16,0))/60+INDEX('PROPERTIES'!$H$5:$H$404,MATCH(E639,'PROPERTIES'!$B$5:$B$404,0))*INDEX('PRICING'!$E$7:$E$16,MATCH(F639,'PRICING'!$A$7:$A$16,0))/60+INDEX('PRICING'!$F$7:$F$16,MATCH(F639,'PRICING'!$A$7:$A$16,0))/60),2)),""))</f>
        <v/>
      </c>
      <c r="R639" s="97">
        <f>IF(B639="","",IF(N(K639)&gt;0,K639,IF(N(J639)&gt;0,J639,N(Q639))))</f>
        <v/>
      </c>
      <c r="S639" s="55">
        <f>IF(L639="","",ROUND(L639*(1+N(M639)),2))</f>
        <v/>
      </c>
      <c r="T639" s="55">
        <f>IF(B639="","",SUMIFS('REVENUE'!$C$5:$C$1504,'REVENUE'!$B$5:$B$1504,A639))</f>
        <v/>
      </c>
      <c r="U639" s="55">
        <f>IF(B639="","",IF(O639="Completed",MAX(0,N(S639)-T639),""))</f>
        <v/>
      </c>
      <c r="V639" s="49">
        <f>IF(B639="","",IF(O639&lt;&gt;"Completed",IF(T639&gt;0,"Deposit","—"),IF(U639&lt;=0.005,"Paid",IF(T639&gt;0,"Partial","Unpaid"))))</f>
        <v/>
      </c>
      <c r="W639" s="55">
        <f>IF(B639="","",IFERROR(1/(1/INDEX('STAFF &amp; TASKS'!$C$5:$C$24,MATCH(H639,'STAFF &amp; TASKS'!$A$5:$A$24,0))),PayRate))</f>
        <v/>
      </c>
      <c r="X639" s="55">
        <f>IF(B639="","",IF(OR(O639="Cancelled",O639="No-Show"),"",ROUND(R639*W639*(1+Burden),2)))</f>
        <v/>
      </c>
      <c r="Y639" s="55">
        <f>IF(B639="","",IF(OR(O639="Cancelled",O639="No-Show"),"",IF(N639&lt;&gt;"",N639,ROUND(R639*SupHr*IFERROR(INDEX('PRICING'!$G$7:$G$16,MATCH(F639,'PRICING'!$A$7:$A$16,0)),1),2))))</f>
        <v/>
      </c>
      <c r="Z639" s="98">
        <f>IF(B639="","",SUMIFS('MILEAGE'!$J$5:$J$1504,'MILEAGE'!$B$5:$B$1504,A639))</f>
        <v/>
      </c>
      <c r="AA639" s="55">
        <f>IF(B639="","",ROUND(Z639*MileRate,2))</f>
        <v/>
      </c>
      <c r="AB639" s="55">
        <f>IF(B639="","",SUMIFS('REVENUE'!$J$5:$J$1504,'REVENUE'!$B$5:$B$1504,A639))</f>
        <v/>
      </c>
      <c r="AC639" s="55">
        <f>IF(L639="","",IF(OR(O639="Cancelled",O639="No-Show"),"",L639-N(X639)-N(Y639)-AA639-AB639))</f>
        <v/>
      </c>
      <c r="AD639" s="99">
        <f>IF(OR(AC639="",N(L639)=0),"",AC639/L639)</f>
        <v/>
      </c>
      <c r="AE639" s="55">
        <f>IF(OR(AC639="",N(R639)=0),"",L639/R639)</f>
        <v/>
      </c>
      <c r="AF639" s="100">
        <f>IF(OR(N(K639)=0,N(J639)+N(Q639)=0),"",K639-IF(N(J639)&gt;0,J639,Q639))</f>
        <v/>
      </c>
      <c r="AG639" s="99">
        <f>IF(B639="","",IFERROR(AVERAGEIFS('QUALITY CONTROL'!$M$5:$M$304,'QUALITY CONTROL'!$B$5:$B$304,A639),""))</f>
        <v/>
      </c>
      <c r="AH639" s="51">
        <f>IF(B639="","",DATE(YEAR(B639),MONTH(B639),1))</f>
        <v/>
      </c>
      <c r="AI639" s="49">
        <f>IF(D639="","",IFERROR(INDEX('CUSTOMERS'!$E$5:$E$404,MATCH(D639,'CUSTOMERS'!$B$5:$B$404,0)),""))</f>
        <v/>
      </c>
      <c r="AJ639" s="49">
        <f>IF(B639="","",N(C639))</f>
        <v/>
      </c>
      <c r="AK639" s="49">
        <f>IF(OR(B639="",O639="Cancelled",O639="Rescheduled"),"",B639&amp;"|"&amp;(COUNTIFS('JOBS'!$B$5:$B$1504,B639,'JOBS'!$AJ$5:$AJ$1504,"&lt;"&amp;AJ639,'JOBS'!$O$5:$O$1504,"&lt;&gt;Cancelled",'JOBS'!$O$5:$O$1504,"&lt;&gt;Rescheduled")+COUNTIFS($B$5:B639,B639,$AJ$5:AJ639,AJ639,$O$5:O639,"&lt;&gt;Cancelled",$O$5:O639,"&lt;&gt;Rescheduled")))</f>
        <v/>
      </c>
      <c r="AL639" s="49">
        <f>IF(N(U639)&lt;=0.005,"",COUNTIFS('JOBS'!$U$5:$U$1504,"&gt;0.005",'JOBS'!$B$5:$B$1504,"&lt;"&amp;B639)+COUNTIFS($U$5:U639,"&gt;0.005",$B$5:B639,B639))</f>
        <v/>
      </c>
    </row>
    <row r="640">
      <c r="A640" s="46" t="inlineStr">
        <is>
          <t>J-0636</t>
        </is>
      </c>
      <c r="B640" s="47" t="n"/>
      <c r="C640" s="94" t="n"/>
      <c r="D640" s="38" t="n"/>
      <c r="E640" s="38" t="n"/>
      <c r="F640" s="38" t="n"/>
      <c r="G640" s="38" t="n"/>
      <c r="H640" s="38" t="n"/>
      <c r="I640" s="57" t="n"/>
      <c r="J640" s="95" t="n"/>
      <c r="K640" s="95" t="n"/>
      <c r="L640" s="48" t="n"/>
      <c r="M640" s="96" t="n"/>
      <c r="N640" s="48" t="n"/>
      <c r="O640" s="38" t="n"/>
      <c r="P640" s="38" t="n"/>
      <c r="Q640" s="97">
        <f>IF(OR(F640="",E640=""),"",IFERROR(IF(INDEX('PROPERTIES'!$F$5:$F$404,MATCH(E640,'PROPERTIES'!$B$5:$B$404,0))=0,"",ROUND((INDEX('PROPERTIES'!$F$5:$F$404,MATCH(E640,'PROPERTIES'!$B$5:$B$404,0))/INDEX('PRICING'!$C$7:$C$16,MATCH(F640,'PRICING'!$A$7:$A$16,0))+INDEX('PROPERTIES'!$G$5:$G$404,MATCH(E640,'PROPERTIES'!$B$5:$B$404,0))*INDEX('PRICING'!$D$7:$D$16,MATCH(F640,'PRICING'!$A$7:$A$16,0))/60+INDEX('PROPERTIES'!$H$5:$H$404,MATCH(E640,'PROPERTIES'!$B$5:$B$404,0))*INDEX('PRICING'!$E$7:$E$16,MATCH(F640,'PRICING'!$A$7:$A$16,0))/60+INDEX('PRICING'!$F$7:$F$16,MATCH(F640,'PRICING'!$A$7:$A$16,0))/60),2)),""))</f>
        <v/>
      </c>
      <c r="R640" s="97">
        <f>IF(B640="","",IF(N(K640)&gt;0,K640,IF(N(J640)&gt;0,J640,N(Q640))))</f>
        <v/>
      </c>
      <c r="S640" s="55">
        <f>IF(L640="","",ROUND(L640*(1+N(M640)),2))</f>
        <v/>
      </c>
      <c r="T640" s="55">
        <f>IF(B640="","",SUMIFS('REVENUE'!$C$5:$C$1504,'REVENUE'!$B$5:$B$1504,A640))</f>
        <v/>
      </c>
      <c r="U640" s="55">
        <f>IF(B640="","",IF(O640="Completed",MAX(0,N(S640)-T640),""))</f>
        <v/>
      </c>
      <c r="V640" s="49">
        <f>IF(B640="","",IF(O640&lt;&gt;"Completed",IF(T640&gt;0,"Deposit","—"),IF(U640&lt;=0.005,"Paid",IF(T640&gt;0,"Partial","Unpaid"))))</f>
        <v/>
      </c>
      <c r="W640" s="55">
        <f>IF(B640="","",IFERROR(1/(1/INDEX('STAFF &amp; TASKS'!$C$5:$C$24,MATCH(H640,'STAFF &amp; TASKS'!$A$5:$A$24,0))),PayRate))</f>
        <v/>
      </c>
      <c r="X640" s="55">
        <f>IF(B640="","",IF(OR(O640="Cancelled",O640="No-Show"),"",ROUND(R640*W640*(1+Burden),2)))</f>
        <v/>
      </c>
      <c r="Y640" s="55">
        <f>IF(B640="","",IF(OR(O640="Cancelled",O640="No-Show"),"",IF(N640&lt;&gt;"",N640,ROUND(R640*SupHr*IFERROR(INDEX('PRICING'!$G$7:$G$16,MATCH(F640,'PRICING'!$A$7:$A$16,0)),1),2))))</f>
        <v/>
      </c>
      <c r="Z640" s="98">
        <f>IF(B640="","",SUMIFS('MILEAGE'!$J$5:$J$1504,'MILEAGE'!$B$5:$B$1504,A640))</f>
        <v/>
      </c>
      <c r="AA640" s="55">
        <f>IF(B640="","",ROUND(Z640*MileRate,2))</f>
        <v/>
      </c>
      <c r="AB640" s="55">
        <f>IF(B640="","",SUMIFS('REVENUE'!$J$5:$J$1504,'REVENUE'!$B$5:$B$1504,A640))</f>
        <v/>
      </c>
      <c r="AC640" s="55">
        <f>IF(L640="","",IF(OR(O640="Cancelled",O640="No-Show"),"",L640-N(X640)-N(Y640)-AA640-AB640))</f>
        <v/>
      </c>
      <c r="AD640" s="99">
        <f>IF(OR(AC640="",N(L640)=0),"",AC640/L640)</f>
        <v/>
      </c>
      <c r="AE640" s="55">
        <f>IF(OR(AC640="",N(R640)=0),"",L640/R640)</f>
        <v/>
      </c>
      <c r="AF640" s="100">
        <f>IF(OR(N(K640)=0,N(J640)+N(Q640)=0),"",K640-IF(N(J640)&gt;0,J640,Q640))</f>
        <v/>
      </c>
      <c r="AG640" s="99">
        <f>IF(B640="","",IFERROR(AVERAGEIFS('QUALITY CONTROL'!$M$5:$M$304,'QUALITY CONTROL'!$B$5:$B$304,A640),""))</f>
        <v/>
      </c>
      <c r="AH640" s="51">
        <f>IF(B640="","",DATE(YEAR(B640),MONTH(B640),1))</f>
        <v/>
      </c>
      <c r="AI640" s="49">
        <f>IF(D640="","",IFERROR(INDEX('CUSTOMERS'!$E$5:$E$404,MATCH(D640,'CUSTOMERS'!$B$5:$B$404,0)),""))</f>
        <v/>
      </c>
      <c r="AJ640" s="49">
        <f>IF(B640="","",N(C640))</f>
        <v/>
      </c>
      <c r="AK640" s="49">
        <f>IF(OR(B640="",O640="Cancelled",O640="Rescheduled"),"",B640&amp;"|"&amp;(COUNTIFS('JOBS'!$B$5:$B$1504,B640,'JOBS'!$AJ$5:$AJ$1504,"&lt;"&amp;AJ640,'JOBS'!$O$5:$O$1504,"&lt;&gt;Cancelled",'JOBS'!$O$5:$O$1504,"&lt;&gt;Rescheduled")+COUNTIFS($B$5:B640,B640,$AJ$5:AJ640,AJ640,$O$5:O640,"&lt;&gt;Cancelled",$O$5:O640,"&lt;&gt;Rescheduled")))</f>
        <v/>
      </c>
      <c r="AL640" s="49">
        <f>IF(N(U640)&lt;=0.005,"",COUNTIFS('JOBS'!$U$5:$U$1504,"&gt;0.005",'JOBS'!$B$5:$B$1504,"&lt;"&amp;B640)+COUNTIFS($U$5:U640,"&gt;0.005",$B$5:B640,B640))</f>
        <v/>
      </c>
    </row>
    <row r="641">
      <c r="A641" s="46" t="inlineStr">
        <is>
          <t>J-0637</t>
        </is>
      </c>
      <c r="B641" s="47" t="n"/>
      <c r="C641" s="94" t="n"/>
      <c r="D641" s="38" t="n"/>
      <c r="E641" s="38" t="n"/>
      <c r="F641" s="38" t="n"/>
      <c r="G641" s="38" t="n"/>
      <c r="H641" s="38" t="n"/>
      <c r="I641" s="57" t="n"/>
      <c r="J641" s="95" t="n"/>
      <c r="K641" s="95" t="n"/>
      <c r="L641" s="48" t="n"/>
      <c r="M641" s="96" t="n"/>
      <c r="N641" s="48" t="n"/>
      <c r="O641" s="38" t="n"/>
      <c r="P641" s="38" t="n"/>
      <c r="Q641" s="97">
        <f>IF(OR(F641="",E641=""),"",IFERROR(IF(INDEX('PROPERTIES'!$F$5:$F$404,MATCH(E641,'PROPERTIES'!$B$5:$B$404,0))=0,"",ROUND((INDEX('PROPERTIES'!$F$5:$F$404,MATCH(E641,'PROPERTIES'!$B$5:$B$404,0))/INDEX('PRICING'!$C$7:$C$16,MATCH(F641,'PRICING'!$A$7:$A$16,0))+INDEX('PROPERTIES'!$G$5:$G$404,MATCH(E641,'PROPERTIES'!$B$5:$B$404,0))*INDEX('PRICING'!$D$7:$D$16,MATCH(F641,'PRICING'!$A$7:$A$16,0))/60+INDEX('PROPERTIES'!$H$5:$H$404,MATCH(E641,'PROPERTIES'!$B$5:$B$404,0))*INDEX('PRICING'!$E$7:$E$16,MATCH(F641,'PRICING'!$A$7:$A$16,0))/60+INDEX('PRICING'!$F$7:$F$16,MATCH(F641,'PRICING'!$A$7:$A$16,0))/60),2)),""))</f>
        <v/>
      </c>
      <c r="R641" s="97">
        <f>IF(B641="","",IF(N(K641)&gt;0,K641,IF(N(J641)&gt;0,J641,N(Q641))))</f>
        <v/>
      </c>
      <c r="S641" s="55">
        <f>IF(L641="","",ROUND(L641*(1+N(M641)),2))</f>
        <v/>
      </c>
      <c r="T641" s="55">
        <f>IF(B641="","",SUMIFS('REVENUE'!$C$5:$C$1504,'REVENUE'!$B$5:$B$1504,A641))</f>
        <v/>
      </c>
      <c r="U641" s="55">
        <f>IF(B641="","",IF(O641="Completed",MAX(0,N(S641)-T641),""))</f>
        <v/>
      </c>
      <c r="V641" s="49">
        <f>IF(B641="","",IF(O641&lt;&gt;"Completed",IF(T641&gt;0,"Deposit","—"),IF(U641&lt;=0.005,"Paid",IF(T641&gt;0,"Partial","Unpaid"))))</f>
        <v/>
      </c>
      <c r="W641" s="55">
        <f>IF(B641="","",IFERROR(1/(1/INDEX('STAFF &amp; TASKS'!$C$5:$C$24,MATCH(H641,'STAFF &amp; TASKS'!$A$5:$A$24,0))),PayRate))</f>
        <v/>
      </c>
      <c r="X641" s="55">
        <f>IF(B641="","",IF(OR(O641="Cancelled",O641="No-Show"),"",ROUND(R641*W641*(1+Burden),2)))</f>
        <v/>
      </c>
      <c r="Y641" s="55">
        <f>IF(B641="","",IF(OR(O641="Cancelled",O641="No-Show"),"",IF(N641&lt;&gt;"",N641,ROUND(R641*SupHr*IFERROR(INDEX('PRICING'!$G$7:$G$16,MATCH(F641,'PRICING'!$A$7:$A$16,0)),1),2))))</f>
        <v/>
      </c>
      <c r="Z641" s="98">
        <f>IF(B641="","",SUMIFS('MILEAGE'!$J$5:$J$1504,'MILEAGE'!$B$5:$B$1504,A641))</f>
        <v/>
      </c>
      <c r="AA641" s="55">
        <f>IF(B641="","",ROUND(Z641*MileRate,2))</f>
        <v/>
      </c>
      <c r="AB641" s="55">
        <f>IF(B641="","",SUMIFS('REVENUE'!$J$5:$J$1504,'REVENUE'!$B$5:$B$1504,A641))</f>
        <v/>
      </c>
      <c r="AC641" s="55">
        <f>IF(L641="","",IF(OR(O641="Cancelled",O641="No-Show"),"",L641-N(X641)-N(Y641)-AA641-AB641))</f>
        <v/>
      </c>
      <c r="AD641" s="99">
        <f>IF(OR(AC641="",N(L641)=0),"",AC641/L641)</f>
        <v/>
      </c>
      <c r="AE641" s="55">
        <f>IF(OR(AC641="",N(R641)=0),"",L641/R641)</f>
        <v/>
      </c>
      <c r="AF641" s="100">
        <f>IF(OR(N(K641)=0,N(J641)+N(Q641)=0),"",K641-IF(N(J641)&gt;0,J641,Q641))</f>
        <v/>
      </c>
      <c r="AG641" s="99">
        <f>IF(B641="","",IFERROR(AVERAGEIFS('QUALITY CONTROL'!$M$5:$M$304,'QUALITY CONTROL'!$B$5:$B$304,A641),""))</f>
        <v/>
      </c>
      <c r="AH641" s="51">
        <f>IF(B641="","",DATE(YEAR(B641),MONTH(B641),1))</f>
        <v/>
      </c>
      <c r="AI641" s="49">
        <f>IF(D641="","",IFERROR(INDEX('CUSTOMERS'!$E$5:$E$404,MATCH(D641,'CUSTOMERS'!$B$5:$B$404,0)),""))</f>
        <v/>
      </c>
      <c r="AJ641" s="49">
        <f>IF(B641="","",N(C641))</f>
        <v/>
      </c>
      <c r="AK641" s="49">
        <f>IF(OR(B641="",O641="Cancelled",O641="Rescheduled"),"",B641&amp;"|"&amp;(COUNTIFS('JOBS'!$B$5:$B$1504,B641,'JOBS'!$AJ$5:$AJ$1504,"&lt;"&amp;AJ641,'JOBS'!$O$5:$O$1504,"&lt;&gt;Cancelled",'JOBS'!$O$5:$O$1504,"&lt;&gt;Rescheduled")+COUNTIFS($B$5:B641,B641,$AJ$5:AJ641,AJ641,$O$5:O641,"&lt;&gt;Cancelled",$O$5:O641,"&lt;&gt;Rescheduled")))</f>
        <v/>
      </c>
      <c r="AL641" s="49">
        <f>IF(N(U641)&lt;=0.005,"",COUNTIFS('JOBS'!$U$5:$U$1504,"&gt;0.005",'JOBS'!$B$5:$B$1504,"&lt;"&amp;B641)+COUNTIFS($U$5:U641,"&gt;0.005",$B$5:B641,B641))</f>
        <v/>
      </c>
    </row>
    <row r="642">
      <c r="A642" s="46" t="inlineStr">
        <is>
          <t>J-0638</t>
        </is>
      </c>
      <c r="B642" s="47" t="n"/>
      <c r="C642" s="94" t="n"/>
      <c r="D642" s="38" t="n"/>
      <c r="E642" s="38" t="n"/>
      <c r="F642" s="38" t="n"/>
      <c r="G642" s="38" t="n"/>
      <c r="H642" s="38" t="n"/>
      <c r="I642" s="57" t="n"/>
      <c r="J642" s="95" t="n"/>
      <c r="K642" s="95" t="n"/>
      <c r="L642" s="48" t="n"/>
      <c r="M642" s="96" t="n"/>
      <c r="N642" s="48" t="n"/>
      <c r="O642" s="38" t="n"/>
      <c r="P642" s="38" t="n"/>
      <c r="Q642" s="97">
        <f>IF(OR(F642="",E642=""),"",IFERROR(IF(INDEX('PROPERTIES'!$F$5:$F$404,MATCH(E642,'PROPERTIES'!$B$5:$B$404,0))=0,"",ROUND((INDEX('PROPERTIES'!$F$5:$F$404,MATCH(E642,'PROPERTIES'!$B$5:$B$404,0))/INDEX('PRICING'!$C$7:$C$16,MATCH(F642,'PRICING'!$A$7:$A$16,0))+INDEX('PROPERTIES'!$G$5:$G$404,MATCH(E642,'PROPERTIES'!$B$5:$B$404,0))*INDEX('PRICING'!$D$7:$D$16,MATCH(F642,'PRICING'!$A$7:$A$16,0))/60+INDEX('PROPERTIES'!$H$5:$H$404,MATCH(E642,'PROPERTIES'!$B$5:$B$404,0))*INDEX('PRICING'!$E$7:$E$16,MATCH(F642,'PRICING'!$A$7:$A$16,0))/60+INDEX('PRICING'!$F$7:$F$16,MATCH(F642,'PRICING'!$A$7:$A$16,0))/60),2)),""))</f>
        <v/>
      </c>
      <c r="R642" s="97">
        <f>IF(B642="","",IF(N(K642)&gt;0,K642,IF(N(J642)&gt;0,J642,N(Q642))))</f>
        <v/>
      </c>
      <c r="S642" s="55">
        <f>IF(L642="","",ROUND(L642*(1+N(M642)),2))</f>
        <v/>
      </c>
      <c r="T642" s="55">
        <f>IF(B642="","",SUMIFS('REVENUE'!$C$5:$C$1504,'REVENUE'!$B$5:$B$1504,A642))</f>
        <v/>
      </c>
      <c r="U642" s="55">
        <f>IF(B642="","",IF(O642="Completed",MAX(0,N(S642)-T642),""))</f>
        <v/>
      </c>
      <c r="V642" s="49">
        <f>IF(B642="","",IF(O642&lt;&gt;"Completed",IF(T642&gt;0,"Deposit","—"),IF(U642&lt;=0.005,"Paid",IF(T642&gt;0,"Partial","Unpaid"))))</f>
        <v/>
      </c>
      <c r="W642" s="55">
        <f>IF(B642="","",IFERROR(1/(1/INDEX('STAFF &amp; TASKS'!$C$5:$C$24,MATCH(H642,'STAFF &amp; TASKS'!$A$5:$A$24,0))),PayRate))</f>
        <v/>
      </c>
      <c r="X642" s="55">
        <f>IF(B642="","",IF(OR(O642="Cancelled",O642="No-Show"),"",ROUND(R642*W642*(1+Burden),2)))</f>
        <v/>
      </c>
      <c r="Y642" s="55">
        <f>IF(B642="","",IF(OR(O642="Cancelled",O642="No-Show"),"",IF(N642&lt;&gt;"",N642,ROUND(R642*SupHr*IFERROR(INDEX('PRICING'!$G$7:$G$16,MATCH(F642,'PRICING'!$A$7:$A$16,0)),1),2))))</f>
        <v/>
      </c>
      <c r="Z642" s="98">
        <f>IF(B642="","",SUMIFS('MILEAGE'!$J$5:$J$1504,'MILEAGE'!$B$5:$B$1504,A642))</f>
        <v/>
      </c>
      <c r="AA642" s="55">
        <f>IF(B642="","",ROUND(Z642*MileRate,2))</f>
        <v/>
      </c>
      <c r="AB642" s="55">
        <f>IF(B642="","",SUMIFS('REVENUE'!$J$5:$J$1504,'REVENUE'!$B$5:$B$1504,A642))</f>
        <v/>
      </c>
      <c r="AC642" s="55">
        <f>IF(L642="","",IF(OR(O642="Cancelled",O642="No-Show"),"",L642-N(X642)-N(Y642)-AA642-AB642))</f>
        <v/>
      </c>
      <c r="AD642" s="99">
        <f>IF(OR(AC642="",N(L642)=0),"",AC642/L642)</f>
        <v/>
      </c>
      <c r="AE642" s="55">
        <f>IF(OR(AC642="",N(R642)=0),"",L642/R642)</f>
        <v/>
      </c>
      <c r="AF642" s="100">
        <f>IF(OR(N(K642)=0,N(J642)+N(Q642)=0),"",K642-IF(N(J642)&gt;0,J642,Q642))</f>
        <v/>
      </c>
      <c r="AG642" s="99">
        <f>IF(B642="","",IFERROR(AVERAGEIFS('QUALITY CONTROL'!$M$5:$M$304,'QUALITY CONTROL'!$B$5:$B$304,A642),""))</f>
        <v/>
      </c>
      <c r="AH642" s="51">
        <f>IF(B642="","",DATE(YEAR(B642),MONTH(B642),1))</f>
        <v/>
      </c>
      <c r="AI642" s="49">
        <f>IF(D642="","",IFERROR(INDEX('CUSTOMERS'!$E$5:$E$404,MATCH(D642,'CUSTOMERS'!$B$5:$B$404,0)),""))</f>
        <v/>
      </c>
      <c r="AJ642" s="49">
        <f>IF(B642="","",N(C642))</f>
        <v/>
      </c>
      <c r="AK642" s="49">
        <f>IF(OR(B642="",O642="Cancelled",O642="Rescheduled"),"",B642&amp;"|"&amp;(COUNTIFS('JOBS'!$B$5:$B$1504,B642,'JOBS'!$AJ$5:$AJ$1504,"&lt;"&amp;AJ642,'JOBS'!$O$5:$O$1504,"&lt;&gt;Cancelled",'JOBS'!$O$5:$O$1504,"&lt;&gt;Rescheduled")+COUNTIFS($B$5:B642,B642,$AJ$5:AJ642,AJ642,$O$5:O642,"&lt;&gt;Cancelled",$O$5:O642,"&lt;&gt;Rescheduled")))</f>
        <v/>
      </c>
      <c r="AL642" s="49">
        <f>IF(N(U642)&lt;=0.005,"",COUNTIFS('JOBS'!$U$5:$U$1504,"&gt;0.005",'JOBS'!$B$5:$B$1504,"&lt;"&amp;B642)+COUNTIFS($U$5:U642,"&gt;0.005",$B$5:B642,B642))</f>
        <v/>
      </c>
    </row>
    <row r="643">
      <c r="A643" s="46" t="inlineStr">
        <is>
          <t>J-0639</t>
        </is>
      </c>
      <c r="B643" s="47" t="n"/>
      <c r="C643" s="94" t="n"/>
      <c r="D643" s="38" t="n"/>
      <c r="E643" s="38" t="n"/>
      <c r="F643" s="38" t="n"/>
      <c r="G643" s="38" t="n"/>
      <c r="H643" s="38" t="n"/>
      <c r="I643" s="57" t="n"/>
      <c r="J643" s="95" t="n"/>
      <c r="K643" s="95" t="n"/>
      <c r="L643" s="48" t="n"/>
      <c r="M643" s="96" t="n"/>
      <c r="N643" s="48" t="n"/>
      <c r="O643" s="38" t="n"/>
      <c r="P643" s="38" t="n"/>
      <c r="Q643" s="97">
        <f>IF(OR(F643="",E643=""),"",IFERROR(IF(INDEX('PROPERTIES'!$F$5:$F$404,MATCH(E643,'PROPERTIES'!$B$5:$B$404,0))=0,"",ROUND((INDEX('PROPERTIES'!$F$5:$F$404,MATCH(E643,'PROPERTIES'!$B$5:$B$404,0))/INDEX('PRICING'!$C$7:$C$16,MATCH(F643,'PRICING'!$A$7:$A$16,0))+INDEX('PROPERTIES'!$G$5:$G$404,MATCH(E643,'PROPERTIES'!$B$5:$B$404,0))*INDEX('PRICING'!$D$7:$D$16,MATCH(F643,'PRICING'!$A$7:$A$16,0))/60+INDEX('PROPERTIES'!$H$5:$H$404,MATCH(E643,'PROPERTIES'!$B$5:$B$404,0))*INDEX('PRICING'!$E$7:$E$16,MATCH(F643,'PRICING'!$A$7:$A$16,0))/60+INDEX('PRICING'!$F$7:$F$16,MATCH(F643,'PRICING'!$A$7:$A$16,0))/60),2)),""))</f>
        <v/>
      </c>
      <c r="R643" s="97">
        <f>IF(B643="","",IF(N(K643)&gt;0,K643,IF(N(J643)&gt;0,J643,N(Q643))))</f>
        <v/>
      </c>
      <c r="S643" s="55">
        <f>IF(L643="","",ROUND(L643*(1+N(M643)),2))</f>
        <v/>
      </c>
      <c r="T643" s="55">
        <f>IF(B643="","",SUMIFS('REVENUE'!$C$5:$C$1504,'REVENUE'!$B$5:$B$1504,A643))</f>
        <v/>
      </c>
      <c r="U643" s="55">
        <f>IF(B643="","",IF(O643="Completed",MAX(0,N(S643)-T643),""))</f>
        <v/>
      </c>
      <c r="V643" s="49">
        <f>IF(B643="","",IF(O643&lt;&gt;"Completed",IF(T643&gt;0,"Deposit","—"),IF(U643&lt;=0.005,"Paid",IF(T643&gt;0,"Partial","Unpaid"))))</f>
        <v/>
      </c>
      <c r="W643" s="55">
        <f>IF(B643="","",IFERROR(1/(1/INDEX('STAFF &amp; TASKS'!$C$5:$C$24,MATCH(H643,'STAFF &amp; TASKS'!$A$5:$A$24,0))),PayRate))</f>
        <v/>
      </c>
      <c r="X643" s="55">
        <f>IF(B643="","",IF(OR(O643="Cancelled",O643="No-Show"),"",ROUND(R643*W643*(1+Burden),2)))</f>
        <v/>
      </c>
      <c r="Y643" s="55">
        <f>IF(B643="","",IF(OR(O643="Cancelled",O643="No-Show"),"",IF(N643&lt;&gt;"",N643,ROUND(R643*SupHr*IFERROR(INDEX('PRICING'!$G$7:$G$16,MATCH(F643,'PRICING'!$A$7:$A$16,0)),1),2))))</f>
        <v/>
      </c>
      <c r="Z643" s="98">
        <f>IF(B643="","",SUMIFS('MILEAGE'!$J$5:$J$1504,'MILEAGE'!$B$5:$B$1504,A643))</f>
        <v/>
      </c>
      <c r="AA643" s="55">
        <f>IF(B643="","",ROUND(Z643*MileRate,2))</f>
        <v/>
      </c>
      <c r="AB643" s="55">
        <f>IF(B643="","",SUMIFS('REVENUE'!$J$5:$J$1504,'REVENUE'!$B$5:$B$1504,A643))</f>
        <v/>
      </c>
      <c r="AC643" s="55">
        <f>IF(L643="","",IF(OR(O643="Cancelled",O643="No-Show"),"",L643-N(X643)-N(Y643)-AA643-AB643))</f>
        <v/>
      </c>
      <c r="AD643" s="99">
        <f>IF(OR(AC643="",N(L643)=0),"",AC643/L643)</f>
        <v/>
      </c>
      <c r="AE643" s="55">
        <f>IF(OR(AC643="",N(R643)=0),"",L643/R643)</f>
        <v/>
      </c>
      <c r="AF643" s="100">
        <f>IF(OR(N(K643)=0,N(J643)+N(Q643)=0),"",K643-IF(N(J643)&gt;0,J643,Q643))</f>
        <v/>
      </c>
      <c r="AG643" s="99">
        <f>IF(B643="","",IFERROR(AVERAGEIFS('QUALITY CONTROL'!$M$5:$M$304,'QUALITY CONTROL'!$B$5:$B$304,A643),""))</f>
        <v/>
      </c>
      <c r="AH643" s="51">
        <f>IF(B643="","",DATE(YEAR(B643),MONTH(B643),1))</f>
        <v/>
      </c>
      <c r="AI643" s="49">
        <f>IF(D643="","",IFERROR(INDEX('CUSTOMERS'!$E$5:$E$404,MATCH(D643,'CUSTOMERS'!$B$5:$B$404,0)),""))</f>
        <v/>
      </c>
      <c r="AJ643" s="49">
        <f>IF(B643="","",N(C643))</f>
        <v/>
      </c>
      <c r="AK643" s="49">
        <f>IF(OR(B643="",O643="Cancelled",O643="Rescheduled"),"",B643&amp;"|"&amp;(COUNTIFS('JOBS'!$B$5:$B$1504,B643,'JOBS'!$AJ$5:$AJ$1504,"&lt;"&amp;AJ643,'JOBS'!$O$5:$O$1504,"&lt;&gt;Cancelled",'JOBS'!$O$5:$O$1504,"&lt;&gt;Rescheduled")+COUNTIFS($B$5:B643,B643,$AJ$5:AJ643,AJ643,$O$5:O643,"&lt;&gt;Cancelled",$O$5:O643,"&lt;&gt;Rescheduled")))</f>
        <v/>
      </c>
      <c r="AL643" s="49">
        <f>IF(N(U643)&lt;=0.005,"",COUNTIFS('JOBS'!$U$5:$U$1504,"&gt;0.005",'JOBS'!$B$5:$B$1504,"&lt;"&amp;B643)+COUNTIFS($U$5:U643,"&gt;0.005",$B$5:B643,B643))</f>
        <v/>
      </c>
    </row>
    <row r="644">
      <c r="A644" s="46" t="inlineStr">
        <is>
          <t>J-0640</t>
        </is>
      </c>
      <c r="B644" s="47" t="n"/>
      <c r="C644" s="94" t="n"/>
      <c r="D644" s="38" t="n"/>
      <c r="E644" s="38" t="n"/>
      <c r="F644" s="38" t="n"/>
      <c r="G644" s="38" t="n"/>
      <c r="H644" s="38" t="n"/>
      <c r="I644" s="57" t="n"/>
      <c r="J644" s="95" t="n"/>
      <c r="K644" s="95" t="n"/>
      <c r="L644" s="48" t="n"/>
      <c r="M644" s="96" t="n"/>
      <c r="N644" s="48" t="n"/>
      <c r="O644" s="38" t="n"/>
      <c r="P644" s="38" t="n"/>
      <c r="Q644" s="97">
        <f>IF(OR(F644="",E644=""),"",IFERROR(IF(INDEX('PROPERTIES'!$F$5:$F$404,MATCH(E644,'PROPERTIES'!$B$5:$B$404,0))=0,"",ROUND((INDEX('PROPERTIES'!$F$5:$F$404,MATCH(E644,'PROPERTIES'!$B$5:$B$404,0))/INDEX('PRICING'!$C$7:$C$16,MATCH(F644,'PRICING'!$A$7:$A$16,0))+INDEX('PROPERTIES'!$G$5:$G$404,MATCH(E644,'PROPERTIES'!$B$5:$B$404,0))*INDEX('PRICING'!$D$7:$D$16,MATCH(F644,'PRICING'!$A$7:$A$16,0))/60+INDEX('PROPERTIES'!$H$5:$H$404,MATCH(E644,'PROPERTIES'!$B$5:$B$404,0))*INDEX('PRICING'!$E$7:$E$16,MATCH(F644,'PRICING'!$A$7:$A$16,0))/60+INDEX('PRICING'!$F$7:$F$16,MATCH(F644,'PRICING'!$A$7:$A$16,0))/60),2)),""))</f>
        <v/>
      </c>
      <c r="R644" s="97">
        <f>IF(B644="","",IF(N(K644)&gt;0,K644,IF(N(J644)&gt;0,J644,N(Q644))))</f>
        <v/>
      </c>
      <c r="S644" s="55">
        <f>IF(L644="","",ROUND(L644*(1+N(M644)),2))</f>
        <v/>
      </c>
      <c r="T644" s="55">
        <f>IF(B644="","",SUMIFS('REVENUE'!$C$5:$C$1504,'REVENUE'!$B$5:$B$1504,A644))</f>
        <v/>
      </c>
      <c r="U644" s="55">
        <f>IF(B644="","",IF(O644="Completed",MAX(0,N(S644)-T644),""))</f>
        <v/>
      </c>
      <c r="V644" s="49">
        <f>IF(B644="","",IF(O644&lt;&gt;"Completed",IF(T644&gt;0,"Deposit","—"),IF(U644&lt;=0.005,"Paid",IF(T644&gt;0,"Partial","Unpaid"))))</f>
        <v/>
      </c>
      <c r="W644" s="55">
        <f>IF(B644="","",IFERROR(1/(1/INDEX('STAFF &amp; TASKS'!$C$5:$C$24,MATCH(H644,'STAFF &amp; TASKS'!$A$5:$A$24,0))),PayRate))</f>
        <v/>
      </c>
      <c r="X644" s="55">
        <f>IF(B644="","",IF(OR(O644="Cancelled",O644="No-Show"),"",ROUND(R644*W644*(1+Burden),2)))</f>
        <v/>
      </c>
      <c r="Y644" s="55">
        <f>IF(B644="","",IF(OR(O644="Cancelled",O644="No-Show"),"",IF(N644&lt;&gt;"",N644,ROUND(R644*SupHr*IFERROR(INDEX('PRICING'!$G$7:$G$16,MATCH(F644,'PRICING'!$A$7:$A$16,0)),1),2))))</f>
        <v/>
      </c>
      <c r="Z644" s="98">
        <f>IF(B644="","",SUMIFS('MILEAGE'!$J$5:$J$1504,'MILEAGE'!$B$5:$B$1504,A644))</f>
        <v/>
      </c>
      <c r="AA644" s="55">
        <f>IF(B644="","",ROUND(Z644*MileRate,2))</f>
        <v/>
      </c>
      <c r="AB644" s="55">
        <f>IF(B644="","",SUMIFS('REVENUE'!$J$5:$J$1504,'REVENUE'!$B$5:$B$1504,A644))</f>
        <v/>
      </c>
      <c r="AC644" s="55">
        <f>IF(L644="","",IF(OR(O644="Cancelled",O644="No-Show"),"",L644-N(X644)-N(Y644)-AA644-AB644))</f>
        <v/>
      </c>
      <c r="AD644" s="99">
        <f>IF(OR(AC644="",N(L644)=0),"",AC644/L644)</f>
        <v/>
      </c>
      <c r="AE644" s="55">
        <f>IF(OR(AC644="",N(R644)=0),"",L644/R644)</f>
        <v/>
      </c>
      <c r="AF644" s="100">
        <f>IF(OR(N(K644)=0,N(J644)+N(Q644)=0),"",K644-IF(N(J644)&gt;0,J644,Q644))</f>
        <v/>
      </c>
      <c r="AG644" s="99">
        <f>IF(B644="","",IFERROR(AVERAGEIFS('QUALITY CONTROL'!$M$5:$M$304,'QUALITY CONTROL'!$B$5:$B$304,A644),""))</f>
        <v/>
      </c>
      <c r="AH644" s="51">
        <f>IF(B644="","",DATE(YEAR(B644),MONTH(B644),1))</f>
        <v/>
      </c>
      <c r="AI644" s="49">
        <f>IF(D644="","",IFERROR(INDEX('CUSTOMERS'!$E$5:$E$404,MATCH(D644,'CUSTOMERS'!$B$5:$B$404,0)),""))</f>
        <v/>
      </c>
      <c r="AJ644" s="49">
        <f>IF(B644="","",N(C644))</f>
        <v/>
      </c>
      <c r="AK644" s="49">
        <f>IF(OR(B644="",O644="Cancelled",O644="Rescheduled"),"",B644&amp;"|"&amp;(COUNTIFS('JOBS'!$B$5:$B$1504,B644,'JOBS'!$AJ$5:$AJ$1504,"&lt;"&amp;AJ644,'JOBS'!$O$5:$O$1504,"&lt;&gt;Cancelled",'JOBS'!$O$5:$O$1504,"&lt;&gt;Rescheduled")+COUNTIFS($B$5:B644,B644,$AJ$5:AJ644,AJ644,$O$5:O644,"&lt;&gt;Cancelled",$O$5:O644,"&lt;&gt;Rescheduled")))</f>
        <v/>
      </c>
      <c r="AL644" s="49">
        <f>IF(N(U644)&lt;=0.005,"",COUNTIFS('JOBS'!$U$5:$U$1504,"&gt;0.005",'JOBS'!$B$5:$B$1504,"&lt;"&amp;B644)+COUNTIFS($U$5:U644,"&gt;0.005",$B$5:B644,B644))</f>
        <v/>
      </c>
    </row>
    <row r="645">
      <c r="A645" s="46" t="inlineStr">
        <is>
          <t>J-0641</t>
        </is>
      </c>
      <c r="B645" s="47" t="n"/>
      <c r="C645" s="94" t="n"/>
      <c r="D645" s="38" t="n"/>
      <c r="E645" s="38" t="n"/>
      <c r="F645" s="38" t="n"/>
      <c r="G645" s="38" t="n"/>
      <c r="H645" s="38" t="n"/>
      <c r="I645" s="57" t="n"/>
      <c r="J645" s="95" t="n"/>
      <c r="K645" s="95" t="n"/>
      <c r="L645" s="48" t="n"/>
      <c r="M645" s="96" t="n"/>
      <c r="N645" s="48" t="n"/>
      <c r="O645" s="38" t="n"/>
      <c r="P645" s="38" t="n"/>
      <c r="Q645" s="97">
        <f>IF(OR(F645="",E645=""),"",IFERROR(IF(INDEX('PROPERTIES'!$F$5:$F$404,MATCH(E645,'PROPERTIES'!$B$5:$B$404,0))=0,"",ROUND((INDEX('PROPERTIES'!$F$5:$F$404,MATCH(E645,'PROPERTIES'!$B$5:$B$404,0))/INDEX('PRICING'!$C$7:$C$16,MATCH(F645,'PRICING'!$A$7:$A$16,0))+INDEX('PROPERTIES'!$G$5:$G$404,MATCH(E645,'PROPERTIES'!$B$5:$B$404,0))*INDEX('PRICING'!$D$7:$D$16,MATCH(F645,'PRICING'!$A$7:$A$16,0))/60+INDEX('PROPERTIES'!$H$5:$H$404,MATCH(E645,'PROPERTIES'!$B$5:$B$404,0))*INDEX('PRICING'!$E$7:$E$16,MATCH(F645,'PRICING'!$A$7:$A$16,0))/60+INDEX('PRICING'!$F$7:$F$16,MATCH(F645,'PRICING'!$A$7:$A$16,0))/60),2)),""))</f>
        <v/>
      </c>
      <c r="R645" s="97">
        <f>IF(B645="","",IF(N(K645)&gt;0,K645,IF(N(J645)&gt;0,J645,N(Q645))))</f>
        <v/>
      </c>
      <c r="S645" s="55">
        <f>IF(L645="","",ROUND(L645*(1+N(M645)),2))</f>
        <v/>
      </c>
      <c r="T645" s="55">
        <f>IF(B645="","",SUMIFS('REVENUE'!$C$5:$C$1504,'REVENUE'!$B$5:$B$1504,A645))</f>
        <v/>
      </c>
      <c r="U645" s="55">
        <f>IF(B645="","",IF(O645="Completed",MAX(0,N(S645)-T645),""))</f>
        <v/>
      </c>
      <c r="V645" s="49">
        <f>IF(B645="","",IF(O645&lt;&gt;"Completed",IF(T645&gt;0,"Deposit","—"),IF(U645&lt;=0.005,"Paid",IF(T645&gt;0,"Partial","Unpaid"))))</f>
        <v/>
      </c>
      <c r="W645" s="55">
        <f>IF(B645="","",IFERROR(1/(1/INDEX('STAFF &amp; TASKS'!$C$5:$C$24,MATCH(H645,'STAFF &amp; TASKS'!$A$5:$A$24,0))),PayRate))</f>
        <v/>
      </c>
      <c r="X645" s="55">
        <f>IF(B645="","",IF(OR(O645="Cancelled",O645="No-Show"),"",ROUND(R645*W645*(1+Burden),2)))</f>
        <v/>
      </c>
      <c r="Y645" s="55">
        <f>IF(B645="","",IF(OR(O645="Cancelled",O645="No-Show"),"",IF(N645&lt;&gt;"",N645,ROUND(R645*SupHr*IFERROR(INDEX('PRICING'!$G$7:$G$16,MATCH(F645,'PRICING'!$A$7:$A$16,0)),1),2))))</f>
        <v/>
      </c>
      <c r="Z645" s="98">
        <f>IF(B645="","",SUMIFS('MILEAGE'!$J$5:$J$1504,'MILEAGE'!$B$5:$B$1504,A645))</f>
        <v/>
      </c>
      <c r="AA645" s="55">
        <f>IF(B645="","",ROUND(Z645*MileRate,2))</f>
        <v/>
      </c>
      <c r="AB645" s="55">
        <f>IF(B645="","",SUMIFS('REVENUE'!$J$5:$J$1504,'REVENUE'!$B$5:$B$1504,A645))</f>
        <v/>
      </c>
      <c r="AC645" s="55">
        <f>IF(L645="","",IF(OR(O645="Cancelled",O645="No-Show"),"",L645-N(X645)-N(Y645)-AA645-AB645))</f>
        <v/>
      </c>
      <c r="AD645" s="99">
        <f>IF(OR(AC645="",N(L645)=0),"",AC645/L645)</f>
        <v/>
      </c>
      <c r="AE645" s="55">
        <f>IF(OR(AC645="",N(R645)=0),"",L645/R645)</f>
        <v/>
      </c>
      <c r="AF645" s="100">
        <f>IF(OR(N(K645)=0,N(J645)+N(Q645)=0),"",K645-IF(N(J645)&gt;0,J645,Q645))</f>
        <v/>
      </c>
      <c r="AG645" s="99">
        <f>IF(B645="","",IFERROR(AVERAGEIFS('QUALITY CONTROL'!$M$5:$M$304,'QUALITY CONTROL'!$B$5:$B$304,A645),""))</f>
        <v/>
      </c>
      <c r="AH645" s="51">
        <f>IF(B645="","",DATE(YEAR(B645),MONTH(B645),1))</f>
        <v/>
      </c>
      <c r="AI645" s="49">
        <f>IF(D645="","",IFERROR(INDEX('CUSTOMERS'!$E$5:$E$404,MATCH(D645,'CUSTOMERS'!$B$5:$B$404,0)),""))</f>
        <v/>
      </c>
      <c r="AJ645" s="49">
        <f>IF(B645="","",N(C645))</f>
        <v/>
      </c>
      <c r="AK645" s="49">
        <f>IF(OR(B645="",O645="Cancelled",O645="Rescheduled"),"",B645&amp;"|"&amp;(COUNTIFS('JOBS'!$B$5:$B$1504,B645,'JOBS'!$AJ$5:$AJ$1504,"&lt;"&amp;AJ645,'JOBS'!$O$5:$O$1504,"&lt;&gt;Cancelled",'JOBS'!$O$5:$O$1504,"&lt;&gt;Rescheduled")+COUNTIFS($B$5:B645,B645,$AJ$5:AJ645,AJ645,$O$5:O645,"&lt;&gt;Cancelled",$O$5:O645,"&lt;&gt;Rescheduled")))</f>
        <v/>
      </c>
      <c r="AL645" s="49">
        <f>IF(N(U645)&lt;=0.005,"",COUNTIFS('JOBS'!$U$5:$U$1504,"&gt;0.005",'JOBS'!$B$5:$B$1504,"&lt;"&amp;B645)+COUNTIFS($U$5:U645,"&gt;0.005",$B$5:B645,B645))</f>
        <v/>
      </c>
    </row>
    <row r="646">
      <c r="A646" s="46" t="inlineStr">
        <is>
          <t>J-0642</t>
        </is>
      </c>
      <c r="B646" s="47" t="n"/>
      <c r="C646" s="94" t="n"/>
      <c r="D646" s="38" t="n"/>
      <c r="E646" s="38" t="n"/>
      <c r="F646" s="38" t="n"/>
      <c r="G646" s="38" t="n"/>
      <c r="H646" s="38" t="n"/>
      <c r="I646" s="57" t="n"/>
      <c r="J646" s="95" t="n"/>
      <c r="K646" s="95" t="n"/>
      <c r="L646" s="48" t="n"/>
      <c r="M646" s="96" t="n"/>
      <c r="N646" s="48" t="n"/>
      <c r="O646" s="38" t="n"/>
      <c r="P646" s="38" t="n"/>
      <c r="Q646" s="97">
        <f>IF(OR(F646="",E646=""),"",IFERROR(IF(INDEX('PROPERTIES'!$F$5:$F$404,MATCH(E646,'PROPERTIES'!$B$5:$B$404,0))=0,"",ROUND((INDEX('PROPERTIES'!$F$5:$F$404,MATCH(E646,'PROPERTIES'!$B$5:$B$404,0))/INDEX('PRICING'!$C$7:$C$16,MATCH(F646,'PRICING'!$A$7:$A$16,0))+INDEX('PROPERTIES'!$G$5:$G$404,MATCH(E646,'PROPERTIES'!$B$5:$B$404,0))*INDEX('PRICING'!$D$7:$D$16,MATCH(F646,'PRICING'!$A$7:$A$16,0))/60+INDEX('PROPERTIES'!$H$5:$H$404,MATCH(E646,'PROPERTIES'!$B$5:$B$404,0))*INDEX('PRICING'!$E$7:$E$16,MATCH(F646,'PRICING'!$A$7:$A$16,0))/60+INDEX('PRICING'!$F$7:$F$16,MATCH(F646,'PRICING'!$A$7:$A$16,0))/60),2)),""))</f>
        <v/>
      </c>
      <c r="R646" s="97">
        <f>IF(B646="","",IF(N(K646)&gt;0,K646,IF(N(J646)&gt;0,J646,N(Q646))))</f>
        <v/>
      </c>
      <c r="S646" s="55">
        <f>IF(L646="","",ROUND(L646*(1+N(M646)),2))</f>
        <v/>
      </c>
      <c r="T646" s="55">
        <f>IF(B646="","",SUMIFS('REVENUE'!$C$5:$C$1504,'REVENUE'!$B$5:$B$1504,A646))</f>
        <v/>
      </c>
      <c r="U646" s="55">
        <f>IF(B646="","",IF(O646="Completed",MAX(0,N(S646)-T646),""))</f>
        <v/>
      </c>
      <c r="V646" s="49">
        <f>IF(B646="","",IF(O646&lt;&gt;"Completed",IF(T646&gt;0,"Deposit","—"),IF(U646&lt;=0.005,"Paid",IF(T646&gt;0,"Partial","Unpaid"))))</f>
        <v/>
      </c>
      <c r="W646" s="55">
        <f>IF(B646="","",IFERROR(1/(1/INDEX('STAFF &amp; TASKS'!$C$5:$C$24,MATCH(H646,'STAFF &amp; TASKS'!$A$5:$A$24,0))),PayRate))</f>
        <v/>
      </c>
      <c r="X646" s="55">
        <f>IF(B646="","",IF(OR(O646="Cancelled",O646="No-Show"),"",ROUND(R646*W646*(1+Burden),2)))</f>
        <v/>
      </c>
      <c r="Y646" s="55">
        <f>IF(B646="","",IF(OR(O646="Cancelled",O646="No-Show"),"",IF(N646&lt;&gt;"",N646,ROUND(R646*SupHr*IFERROR(INDEX('PRICING'!$G$7:$G$16,MATCH(F646,'PRICING'!$A$7:$A$16,0)),1),2))))</f>
        <v/>
      </c>
      <c r="Z646" s="98">
        <f>IF(B646="","",SUMIFS('MILEAGE'!$J$5:$J$1504,'MILEAGE'!$B$5:$B$1504,A646))</f>
        <v/>
      </c>
      <c r="AA646" s="55">
        <f>IF(B646="","",ROUND(Z646*MileRate,2))</f>
        <v/>
      </c>
      <c r="AB646" s="55">
        <f>IF(B646="","",SUMIFS('REVENUE'!$J$5:$J$1504,'REVENUE'!$B$5:$B$1504,A646))</f>
        <v/>
      </c>
      <c r="AC646" s="55">
        <f>IF(L646="","",IF(OR(O646="Cancelled",O646="No-Show"),"",L646-N(X646)-N(Y646)-AA646-AB646))</f>
        <v/>
      </c>
      <c r="AD646" s="99">
        <f>IF(OR(AC646="",N(L646)=0),"",AC646/L646)</f>
        <v/>
      </c>
      <c r="AE646" s="55">
        <f>IF(OR(AC646="",N(R646)=0),"",L646/R646)</f>
        <v/>
      </c>
      <c r="AF646" s="100">
        <f>IF(OR(N(K646)=0,N(J646)+N(Q646)=0),"",K646-IF(N(J646)&gt;0,J646,Q646))</f>
        <v/>
      </c>
      <c r="AG646" s="99">
        <f>IF(B646="","",IFERROR(AVERAGEIFS('QUALITY CONTROL'!$M$5:$M$304,'QUALITY CONTROL'!$B$5:$B$304,A646),""))</f>
        <v/>
      </c>
      <c r="AH646" s="51">
        <f>IF(B646="","",DATE(YEAR(B646),MONTH(B646),1))</f>
        <v/>
      </c>
      <c r="AI646" s="49">
        <f>IF(D646="","",IFERROR(INDEX('CUSTOMERS'!$E$5:$E$404,MATCH(D646,'CUSTOMERS'!$B$5:$B$404,0)),""))</f>
        <v/>
      </c>
      <c r="AJ646" s="49">
        <f>IF(B646="","",N(C646))</f>
        <v/>
      </c>
      <c r="AK646" s="49">
        <f>IF(OR(B646="",O646="Cancelled",O646="Rescheduled"),"",B646&amp;"|"&amp;(COUNTIFS('JOBS'!$B$5:$B$1504,B646,'JOBS'!$AJ$5:$AJ$1504,"&lt;"&amp;AJ646,'JOBS'!$O$5:$O$1504,"&lt;&gt;Cancelled",'JOBS'!$O$5:$O$1504,"&lt;&gt;Rescheduled")+COUNTIFS($B$5:B646,B646,$AJ$5:AJ646,AJ646,$O$5:O646,"&lt;&gt;Cancelled",$O$5:O646,"&lt;&gt;Rescheduled")))</f>
        <v/>
      </c>
      <c r="AL646" s="49">
        <f>IF(N(U646)&lt;=0.005,"",COUNTIFS('JOBS'!$U$5:$U$1504,"&gt;0.005",'JOBS'!$B$5:$B$1504,"&lt;"&amp;B646)+COUNTIFS($U$5:U646,"&gt;0.005",$B$5:B646,B646))</f>
        <v/>
      </c>
    </row>
    <row r="647">
      <c r="A647" s="46" t="inlineStr">
        <is>
          <t>J-0643</t>
        </is>
      </c>
      <c r="B647" s="47" t="n"/>
      <c r="C647" s="94" t="n"/>
      <c r="D647" s="38" t="n"/>
      <c r="E647" s="38" t="n"/>
      <c r="F647" s="38" t="n"/>
      <c r="G647" s="38" t="n"/>
      <c r="H647" s="38" t="n"/>
      <c r="I647" s="57" t="n"/>
      <c r="J647" s="95" t="n"/>
      <c r="K647" s="95" t="n"/>
      <c r="L647" s="48" t="n"/>
      <c r="M647" s="96" t="n"/>
      <c r="N647" s="48" t="n"/>
      <c r="O647" s="38" t="n"/>
      <c r="P647" s="38" t="n"/>
      <c r="Q647" s="97">
        <f>IF(OR(F647="",E647=""),"",IFERROR(IF(INDEX('PROPERTIES'!$F$5:$F$404,MATCH(E647,'PROPERTIES'!$B$5:$B$404,0))=0,"",ROUND((INDEX('PROPERTIES'!$F$5:$F$404,MATCH(E647,'PROPERTIES'!$B$5:$B$404,0))/INDEX('PRICING'!$C$7:$C$16,MATCH(F647,'PRICING'!$A$7:$A$16,0))+INDEX('PROPERTIES'!$G$5:$G$404,MATCH(E647,'PROPERTIES'!$B$5:$B$404,0))*INDEX('PRICING'!$D$7:$D$16,MATCH(F647,'PRICING'!$A$7:$A$16,0))/60+INDEX('PROPERTIES'!$H$5:$H$404,MATCH(E647,'PROPERTIES'!$B$5:$B$404,0))*INDEX('PRICING'!$E$7:$E$16,MATCH(F647,'PRICING'!$A$7:$A$16,0))/60+INDEX('PRICING'!$F$7:$F$16,MATCH(F647,'PRICING'!$A$7:$A$16,0))/60),2)),""))</f>
        <v/>
      </c>
      <c r="R647" s="97">
        <f>IF(B647="","",IF(N(K647)&gt;0,K647,IF(N(J647)&gt;0,J647,N(Q647))))</f>
        <v/>
      </c>
      <c r="S647" s="55">
        <f>IF(L647="","",ROUND(L647*(1+N(M647)),2))</f>
        <v/>
      </c>
      <c r="T647" s="55">
        <f>IF(B647="","",SUMIFS('REVENUE'!$C$5:$C$1504,'REVENUE'!$B$5:$B$1504,A647))</f>
        <v/>
      </c>
      <c r="U647" s="55">
        <f>IF(B647="","",IF(O647="Completed",MAX(0,N(S647)-T647),""))</f>
        <v/>
      </c>
      <c r="V647" s="49">
        <f>IF(B647="","",IF(O647&lt;&gt;"Completed",IF(T647&gt;0,"Deposit","—"),IF(U647&lt;=0.005,"Paid",IF(T647&gt;0,"Partial","Unpaid"))))</f>
        <v/>
      </c>
      <c r="W647" s="55">
        <f>IF(B647="","",IFERROR(1/(1/INDEX('STAFF &amp; TASKS'!$C$5:$C$24,MATCH(H647,'STAFF &amp; TASKS'!$A$5:$A$24,0))),PayRate))</f>
        <v/>
      </c>
      <c r="X647" s="55">
        <f>IF(B647="","",IF(OR(O647="Cancelled",O647="No-Show"),"",ROUND(R647*W647*(1+Burden),2)))</f>
        <v/>
      </c>
      <c r="Y647" s="55">
        <f>IF(B647="","",IF(OR(O647="Cancelled",O647="No-Show"),"",IF(N647&lt;&gt;"",N647,ROUND(R647*SupHr*IFERROR(INDEX('PRICING'!$G$7:$G$16,MATCH(F647,'PRICING'!$A$7:$A$16,0)),1),2))))</f>
        <v/>
      </c>
      <c r="Z647" s="98">
        <f>IF(B647="","",SUMIFS('MILEAGE'!$J$5:$J$1504,'MILEAGE'!$B$5:$B$1504,A647))</f>
        <v/>
      </c>
      <c r="AA647" s="55">
        <f>IF(B647="","",ROUND(Z647*MileRate,2))</f>
        <v/>
      </c>
      <c r="AB647" s="55">
        <f>IF(B647="","",SUMIFS('REVENUE'!$J$5:$J$1504,'REVENUE'!$B$5:$B$1504,A647))</f>
        <v/>
      </c>
      <c r="AC647" s="55">
        <f>IF(L647="","",IF(OR(O647="Cancelled",O647="No-Show"),"",L647-N(X647)-N(Y647)-AA647-AB647))</f>
        <v/>
      </c>
      <c r="AD647" s="99">
        <f>IF(OR(AC647="",N(L647)=0),"",AC647/L647)</f>
        <v/>
      </c>
      <c r="AE647" s="55">
        <f>IF(OR(AC647="",N(R647)=0),"",L647/R647)</f>
        <v/>
      </c>
      <c r="AF647" s="100">
        <f>IF(OR(N(K647)=0,N(J647)+N(Q647)=0),"",K647-IF(N(J647)&gt;0,J647,Q647))</f>
        <v/>
      </c>
      <c r="AG647" s="99">
        <f>IF(B647="","",IFERROR(AVERAGEIFS('QUALITY CONTROL'!$M$5:$M$304,'QUALITY CONTROL'!$B$5:$B$304,A647),""))</f>
        <v/>
      </c>
      <c r="AH647" s="51">
        <f>IF(B647="","",DATE(YEAR(B647),MONTH(B647),1))</f>
        <v/>
      </c>
      <c r="AI647" s="49">
        <f>IF(D647="","",IFERROR(INDEX('CUSTOMERS'!$E$5:$E$404,MATCH(D647,'CUSTOMERS'!$B$5:$B$404,0)),""))</f>
        <v/>
      </c>
      <c r="AJ647" s="49">
        <f>IF(B647="","",N(C647))</f>
        <v/>
      </c>
      <c r="AK647" s="49">
        <f>IF(OR(B647="",O647="Cancelled",O647="Rescheduled"),"",B647&amp;"|"&amp;(COUNTIFS('JOBS'!$B$5:$B$1504,B647,'JOBS'!$AJ$5:$AJ$1504,"&lt;"&amp;AJ647,'JOBS'!$O$5:$O$1504,"&lt;&gt;Cancelled",'JOBS'!$O$5:$O$1504,"&lt;&gt;Rescheduled")+COUNTIFS($B$5:B647,B647,$AJ$5:AJ647,AJ647,$O$5:O647,"&lt;&gt;Cancelled",$O$5:O647,"&lt;&gt;Rescheduled")))</f>
        <v/>
      </c>
      <c r="AL647" s="49">
        <f>IF(N(U647)&lt;=0.005,"",COUNTIFS('JOBS'!$U$5:$U$1504,"&gt;0.005",'JOBS'!$B$5:$B$1504,"&lt;"&amp;B647)+COUNTIFS($U$5:U647,"&gt;0.005",$B$5:B647,B647))</f>
        <v/>
      </c>
    </row>
    <row r="648">
      <c r="A648" s="46" t="inlineStr">
        <is>
          <t>J-0644</t>
        </is>
      </c>
      <c r="B648" s="47" t="n"/>
      <c r="C648" s="94" t="n"/>
      <c r="D648" s="38" t="n"/>
      <c r="E648" s="38" t="n"/>
      <c r="F648" s="38" t="n"/>
      <c r="G648" s="38" t="n"/>
      <c r="H648" s="38" t="n"/>
      <c r="I648" s="57" t="n"/>
      <c r="J648" s="95" t="n"/>
      <c r="K648" s="95" t="n"/>
      <c r="L648" s="48" t="n"/>
      <c r="M648" s="96" t="n"/>
      <c r="N648" s="48" t="n"/>
      <c r="O648" s="38" t="n"/>
      <c r="P648" s="38" t="n"/>
      <c r="Q648" s="97">
        <f>IF(OR(F648="",E648=""),"",IFERROR(IF(INDEX('PROPERTIES'!$F$5:$F$404,MATCH(E648,'PROPERTIES'!$B$5:$B$404,0))=0,"",ROUND((INDEX('PROPERTIES'!$F$5:$F$404,MATCH(E648,'PROPERTIES'!$B$5:$B$404,0))/INDEX('PRICING'!$C$7:$C$16,MATCH(F648,'PRICING'!$A$7:$A$16,0))+INDEX('PROPERTIES'!$G$5:$G$404,MATCH(E648,'PROPERTIES'!$B$5:$B$404,0))*INDEX('PRICING'!$D$7:$D$16,MATCH(F648,'PRICING'!$A$7:$A$16,0))/60+INDEX('PROPERTIES'!$H$5:$H$404,MATCH(E648,'PROPERTIES'!$B$5:$B$404,0))*INDEX('PRICING'!$E$7:$E$16,MATCH(F648,'PRICING'!$A$7:$A$16,0))/60+INDEX('PRICING'!$F$7:$F$16,MATCH(F648,'PRICING'!$A$7:$A$16,0))/60),2)),""))</f>
        <v/>
      </c>
      <c r="R648" s="97">
        <f>IF(B648="","",IF(N(K648)&gt;0,K648,IF(N(J648)&gt;0,J648,N(Q648))))</f>
        <v/>
      </c>
      <c r="S648" s="55">
        <f>IF(L648="","",ROUND(L648*(1+N(M648)),2))</f>
        <v/>
      </c>
      <c r="T648" s="55">
        <f>IF(B648="","",SUMIFS('REVENUE'!$C$5:$C$1504,'REVENUE'!$B$5:$B$1504,A648))</f>
        <v/>
      </c>
      <c r="U648" s="55">
        <f>IF(B648="","",IF(O648="Completed",MAX(0,N(S648)-T648),""))</f>
        <v/>
      </c>
      <c r="V648" s="49">
        <f>IF(B648="","",IF(O648&lt;&gt;"Completed",IF(T648&gt;0,"Deposit","—"),IF(U648&lt;=0.005,"Paid",IF(T648&gt;0,"Partial","Unpaid"))))</f>
        <v/>
      </c>
      <c r="W648" s="55">
        <f>IF(B648="","",IFERROR(1/(1/INDEX('STAFF &amp; TASKS'!$C$5:$C$24,MATCH(H648,'STAFF &amp; TASKS'!$A$5:$A$24,0))),PayRate))</f>
        <v/>
      </c>
      <c r="X648" s="55">
        <f>IF(B648="","",IF(OR(O648="Cancelled",O648="No-Show"),"",ROUND(R648*W648*(1+Burden),2)))</f>
        <v/>
      </c>
      <c r="Y648" s="55">
        <f>IF(B648="","",IF(OR(O648="Cancelled",O648="No-Show"),"",IF(N648&lt;&gt;"",N648,ROUND(R648*SupHr*IFERROR(INDEX('PRICING'!$G$7:$G$16,MATCH(F648,'PRICING'!$A$7:$A$16,0)),1),2))))</f>
        <v/>
      </c>
      <c r="Z648" s="98">
        <f>IF(B648="","",SUMIFS('MILEAGE'!$J$5:$J$1504,'MILEAGE'!$B$5:$B$1504,A648))</f>
        <v/>
      </c>
      <c r="AA648" s="55">
        <f>IF(B648="","",ROUND(Z648*MileRate,2))</f>
        <v/>
      </c>
      <c r="AB648" s="55">
        <f>IF(B648="","",SUMIFS('REVENUE'!$J$5:$J$1504,'REVENUE'!$B$5:$B$1504,A648))</f>
        <v/>
      </c>
      <c r="AC648" s="55">
        <f>IF(L648="","",IF(OR(O648="Cancelled",O648="No-Show"),"",L648-N(X648)-N(Y648)-AA648-AB648))</f>
        <v/>
      </c>
      <c r="AD648" s="99">
        <f>IF(OR(AC648="",N(L648)=0),"",AC648/L648)</f>
        <v/>
      </c>
      <c r="AE648" s="55">
        <f>IF(OR(AC648="",N(R648)=0),"",L648/R648)</f>
        <v/>
      </c>
      <c r="AF648" s="100">
        <f>IF(OR(N(K648)=0,N(J648)+N(Q648)=0),"",K648-IF(N(J648)&gt;0,J648,Q648))</f>
        <v/>
      </c>
      <c r="AG648" s="99">
        <f>IF(B648="","",IFERROR(AVERAGEIFS('QUALITY CONTROL'!$M$5:$M$304,'QUALITY CONTROL'!$B$5:$B$304,A648),""))</f>
        <v/>
      </c>
      <c r="AH648" s="51">
        <f>IF(B648="","",DATE(YEAR(B648),MONTH(B648),1))</f>
        <v/>
      </c>
      <c r="AI648" s="49">
        <f>IF(D648="","",IFERROR(INDEX('CUSTOMERS'!$E$5:$E$404,MATCH(D648,'CUSTOMERS'!$B$5:$B$404,0)),""))</f>
        <v/>
      </c>
      <c r="AJ648" s="49">
        <f>IF(B648="","",N(C648))</f>
        <v/>
      </c>
      <c r="AK648" s="49">
        <f>IF(OR(B648="",O648="Cancelled",O648="Rescheduled"),"",B648&amp;"|"&amp;(COUNTIFS('JOBS'!$B$5:$B$1504,B648,'JOBS'!$AJ$5:$AJ$1504,"&lt;"&amp;AJ648,'JOBS'!$O$5:$O$1504,"&lt;&gt;Cancelled",'JOBS'!$O$5:$O$1504,"&lt;&gt;Rescheduled")+COUNTIFS($B$5:B648,B648,$AJ$5:AJ648,AJ648,$O$5:O648,"&lt;&gt;Cancelled",$O$5:O648,"&lt;&gt;Rescheduled")))</f>
        <v/>
      </c>
      <c r="AL648" s="49">
        <f>IF(N(U648)&lt;=0.005,"",COUNTIFS('JOBS'!$U$5:$U$1504,"&gt;0.005",'JOBS'!$B$5:$B$1504,"&lt;"&amp;B648)+COUNTIFS($U$5:U648,"&gt;0.005",$B$5:B648,B648))</f>
        <v/>
      </c>
    </row>
    <row r="649">
      <c r="A649" s="46" t="inlineStr">
        <is>
          <t>J-0645</t>
        </is>
      </c>
      <c r="B649" s="47" t="n"/>
      <c r="C649" s="94" t="n"/>
      <c r="D649" s="38" t="n"/>
      <c r="E649" s="38" t="n"/>
      <c r="F649" s="38" t="n"/>
      <c r="G649" s="38" t="n"/>
      <c r="H649" s="38" t="n"/>
      <c r="I649" s="57" t="n"/>
      <c r="J649" s="95" t="n"/>
      <c r="K649" s="95" t="n"/>
      <c r="L649" s="48" t="n"/>
      <c r="M649" s="96" t="n"/>
      <c r="N649" s="48" t="n"/>
      <c r="O649" s="38" t="n"/>
      <c r="P649" s="38" t="n"/>
      <c r="Q649" s="97">
        <f>IF(OR(F649="",E649=""),"",IFERROR(IF(INDEX('PROPERTIES'!$F$5:$F$404,MATCH(E649,'PROPERTIES'!$B$5:$B$404,0))=0,"",ROUND((INDEX('PROPERTIES'!$F$5:$F$404,MATCH(E649,'PROPERTIES'!$B$5:$B$404,0))/INDEX('PRICING'!$C$7:$C$16,MATCH(F649,'PRICING'!$A$7:$A$16,0))+INDEX('PROPERTIES'!$G$5:$G$404,MATCH(E649,'PROPERTIES'!$B$5:$B$404,0))*INDEX('PRICING'!$D$7:$D$16,MATCH(F649,'PRICING'!$A$7:$A$16,0))/60+INDEX('PROPERTIES'!$H$5:$H$404,MATCH(E649,'PROPERTIES'!$B$5:$B$404,0))*INDEX('PRICING'!$E$7:$E$16,MATCH(F649,'PRICING'!$A$7:$A$16,0))/60+INDEX('PRICING'!$F$7:$F$16,MATCH(F649,'PRICING'!$A$7:$A$16,0))/60),2)),""))</f>
        <v/>
      </c>
      <c r="R649" s="97">
        <f>IF(B649="","",IF(N(K649)&gt;0,K649,IF(N(J649)&gt;0,J649,N(Q649))))</f>
        <v/>
      </c>
      <c r="S649" s="55">
        <f>IF(L649="","",ROUND(L649*(1+N(M649)),2))</f>
        <v/>
      </c>
      <c r="T649" s="55">
        <f>IF(B649="","",SUMIFS('REVENUE'!$C$5:$C$1504,'REVENUE'!$B$5:$B$1504,A649))</f>
        <v/>
      </c>
      <c r="U649" s="55">
        <f>IF(B649="","",IF(O649="Completed",MAX(0,N(S649)-T649),""))</f>
        <v/>
      </c>
      <c r="V649" s="49">
        <f>IF(B649="","",IF(O649&lt;&gt;"Completed",IF(T649&gt;0,"Deposit","—"),IF(U649&lt;=0.005,"Paid",IF(T649&gt;0,"Partial","Unpaid"))))</f>
        <v/>
      </c>
      <c r="W649" s="55">
        <f>IF(B649="","",IFERROR(1/(1/INDEX('STAFF &amp; TASKS'!$C$5:$C$24,MATCH(H649,'STAFF &amp; TASKS'!$A$5:$A$24,0))),PayRate))</f>
        <v/>
      </c>
      <c r="X649" s="55">
        <f>IF(B649="","",IF(OR(O649="Cancelled",O649="No-Show"),"",ROUND(R649*W649*(1+Burden),2)))</f>
        <v/>
      </c>
      <c r="Y649" s="55">
        <f>IF(B649="","",IF(OR(O649="Cancelled",O649="No-Show"),"",IF(N649&lt;&gt;"",N649,ROUND(R649*SupHr*IFERROR(INDEX('PRICING'!$G$7:$G$16,MATCH(F649,'PRICING'!$A$7:$A$16,0)),1),2))))</f>
        <v/>
      </c>
      <c r="Z649" s="98">
        <f>IF(B649="","",SUMIFS('MILEAGE'!$J$5:$J$1504,'MILEAGE'!$B$5:$B$1504,A649))</f>
        <v/>
      </c>
      <c r="AA649" s="55">
        <f>IF(B649="","",ROUND(Z649*MileRate,2))</f>
        <v/>
      </c>
      <c r="AB649" s="55">
        <f>IF(B649="","",SUMIFS('REVENUE'!$J$5:$J$1504,'REVENUE'!$B$5:$B$1504,A649))</f>
        <v/>
      </c>
      <c r="AC649" s="55">
        <f>IF(L649="","",IF(OR(O649="Cancelled",O649="No-Show"),"",L649-N(X649)-N(Y649)-AA649-AB649))</f>
        <v/>
      </c>
      <c r="AD649" s="99">
        <f>IF(OR(AC649="",N(L649)=0),"",AC649/L649)</f>
        <v/>
      </c>
      <c r="AE649" s="55">
        <f>IF(OR(AC649="",N(R649)=0),"",L649/R649)</f>
        <v/>
      </c>
      <c r="AF649" s="100">
        <f>IF(OR(N(K649)=0,N(J649)+N(Q649)=0),"",K649-IF(N(J649)&gt;0,J649,Q649))</f>
        <v/>
      </c>
      <c r="AG649" s="99">
        <f>IF(B649="","",IFERROR(AVERAGEIFS('QUALITY CONTROL'!$M$5:$M$304,'QUALITY CONTROL'!$B$5:$B$304,A649),""))</f>
        <v/>
      </c>
      <c r="AH649" s="51">
        <f>IF(B649="","",DATE(YEAR(B649),MONTH(B649),1))</f>
        <v/>
      </c>
      <c r="AI649" s="49">
        <f>IF(D649="","",IFERROR(INDEX('CUSTOMERS'!$E$5:$E$404,MATCH(D649,'CUSTOMERS'!$B$5:$B$404,0)),""))</f>
        <v/>
      </c>
      <c r="AJ649" s="49">
        <f>IF(B649="","",N(C649))</f>
        <v/>
      </c>
      <c r="AK649" s="49">
        <f>IF(OR(B649="",O649="Cancelled",O649="Rescheduled"),"",B649&amp;"|"&amp;(COUNTIFS('JOBS'!$B$5:$B$1504,B649,'JOBS'!$AJ$5:$AJ$1504,"&lt;"&amp;AJ649,'JOBS'!$O$5:$O$1504,"&lt;&gt;Cancelled",'JOBS'!$O$5:$O$1504,"&lt;&gt;Rescheduled")+COUNTIFS($B$5:B649,B649,$AJ$5:AJ649,AJ649,$O$5:O649,"&lt;&gt;Cancelled",$O$5:O649,"&lt;&gt;Rescheduled")))</f>
        <v/>
      </c>
      <c r="AL649" s="49">
        <f>IF(N(U649)&lt;=0.005,"",COUNTIFS('JOBS'!$U$5:$U$1504,"&gt;0.005",'JOBS'!$B$5:$B$1504,"&lt;"&amp;B649)+COUNTIFS($U$5:U649,"&gt;0.005",$B$5:B649,B649))</f>
        <v/>
      </c>
    </row>
    <row r="650">
      <c r="A650" s="46" t="inlineStr">
        <is>
          <t>J-0646</t>
        </is>
      </c>
      <c r="B650" s="47" t="n"/>
      <c r="C650" s="94" t="n"/>
      <c r="D650" s="38" t="n"/>
      <c r="E650" s="38" t="n"/>
      <c r="F650" s="38" t="n"/>
      <c r="G650" s="38" t="n"/>
      <c r="H650" s="38" t="n"/>
      <c r="I650" s="57" t="n"/>
      <c r="J650" s="95" t="n"/>
      <c r="K650" s="95" t="n"/>
      <c r="L650" s="48" t="n"/>
      <c r="M650" s="96" t="n"/>
      <c r="N650" s="48" t="n"/>
      <c r="O650" s="38" t="n"/>
      <c r="P650" s="38" t="n"/>
      <c r="Q650" s="97">
        <f>IF(OR(F650="",E650=""),"",IFERROR(IF(INDEX('PROPERTIES'!$F$5:$F$404,MATCH(E650,'PROPERTIES'!$B$5:$B$404,0))=0,"",ROUND((INDEX('PROPERTIES'!$F$5:$F$404,MATCH(E650,'PROPERTIES'!$B$5:$B$404,0))/INDEX('PRICING'!$C$7:$C$16,MATCH(F650,'PRICING'!$A$7:$A$16,0))+INDEX('PROPERTIES'!$G$5:$G$404,MATCH(E650,'PROPERTIES'!$B$5:$B$404,0))*INDEX('PRICING'!$D$7:$D$16,MATCH(F650,'PRICING'!$A$7:$A$16,0))/60+INDEX('PROPERTIES'!$H$5:$H$404,MATCH(E650,'PROPERTIES'!$B$5:$B$404,0))*INDEX('PRICING'!$E$7:$E$16,MATCH(F650,'PRICING'!$A$7:$A$16,0))/60+INDEX('PRICING'!$F$7:$F$16,MATCH(F650,'PRICING'!$A$7:$A$16,0))/60),2)),""))</f>
        <v/>
      </c>
      <c r="R650" s="97">
        <f>IF(B650="","",IF(N(K650)&gt;0,K650,IF(N(J650)&gt;0,J650,N(Q650))))</f>
        <v/>
      </c>
      <c r="S650" s="55">
        <f>IF(L650="","",ROUND(L650*(1+N(M650)),2))</f>
        <v/>
      </c>
      <c r="T650" s="55">
        <f>IF(B650="","",SUMIFS('REVENUE'!$C$5:$C$1504,'REVENUE'!$B$5:$B$1504,A650))</f>
        <v/>
      </c>
      <c r="U650" s="55">
        <f>IF(B650="","",IF(O650="Completed",MAX(0,N(S650)-T650),""))</f>
        <v/>
      </c>
      <c r="V650" s="49">
        <f>IF(B650="","",IF(O650&lt;&gt;"Completed",IF(T650&gt;0,"Deposit","—"),IF(U650&lt;=0.005,"Paid",IF(T650&gt;0,"Partial","Unpaid"))))</f>
        <v/>
      </c>
      <c r="W650" s="55">
        <f>IF(B650="","",IFERROR(1/(1/INDEX('STAFF &amp; TASKS'!$C$5:$C$24,MATCH(H650,'STAFF &amp; TASKS'!$A$5:$A$24,0))),PayRate))</f>
        <v/>
      </c>
      <c r="X650" s="55">
        <f>IF(B650="","",IF(OR(O650="Cancelled",O650="No-Show"),"",ROUND(R650*W650*(1+Burden),2)))</f>
        <v/>
      </c>
      <c r="Y650" s="55">
        <f>IF(B650="","",IF(OR(O650="Cancelled",O650="No-Show"),"",IF(N650&lt;&gt;"",N650,ROUND(R650*SupHr*IFERROR(INDEX('PRICING'!$G$7:$G$16,MATCH(F650,'PRICING'!$A$7:$A$16,0)),1),2))))</f>
        <v/>
      </c>
      <c r="Z650" s="98">
        <f>IF(B650="","",SUMIFS('MILEAGE'!$J$5:$J$1504,'MILEAGE'!$B$5:$B$1504,A650))</f>
        <v/>
      </c>
      <c r="AA650" s="55">
        <f>IF(B650="","",ROUND(Z650*MileRate,2))</f>
        <v/>
      </c>
      <c r="AB650" s="55">
        <f>IF(B650="","",SUMIFS('REVENUE'!$J$5:$J$1504,'REVENUE'!$B$5:$B$1504,A650))</f>
        <v/>
      </c>
      <c r="AC650" s="55">
        <f>IF(L650="","",IF(OR(O650="Cancelled",O650="No-Show"),"",L650-N(X650)-N(Y650)-AA650-AB650))</f>
        <v/>
      </c>
      <c r="AD650" s="99">
        <f>IF(OR(AC650="",N(L650)=0),"",AC650/L650)</f>
        <v/>
      </c>
      <c r="AE650" s="55">
        <f>IF(OR(AC650="",N(R650)=0),"",L650/R650)</f>
        <v/>
      </c>
      <c r="AF650" s="100">
        <f>IF(OR(N(K650)=0,N(J650)+N(Q650)=0),"",K650-IF(N(J650)&gt;0,J650,Q650))</f>
        <v/>
      </c>
      <c r="AG650" s="99">
        <f>IF(B650="","",IFERROR(AVERAGEIFS('QUALITY CONTROL'!$M$5:$M$304,'QUALITY CONTROL'!$B$5:$B$304,A650),""))</f>
        <v/>
      </c>
      <c r="AH650" s="51">
        <f>IF(B650="","",DATE(YEAR(B650),MONTH(B650),1))</f>
        <v/>
      </c>
      <c r="AI650" s="49">
        <f>IF(D650="","",IFERROR(INDEX('CUSTOMERS'!$E$5:$E$404,MATCH(D650,'CUSTOMERS'!$B$5:$B$404,0)),""))</f>
        <v/>
      </c>
      <c r="AJ650" s="49">
        <f>IF(B650="","",N(C650))</f>
        <v/>
      </c>
      <c r="AK650" s="49">
        <f>IF(OR(B650="",O650="Cancelled",O650="Rescheduled"),"",B650&amp;"|"&amp;(COUNTIFS('JOBS'!$B$5:$B$1504,B650,'JOBS'!$AJ$5:$AJ$1504,"&lt;"&amp;AJ650,'JOBS'!$O$5:$O$1504,"&lt;&gt;Cancelled",'JOBS'!$O$5:$O$1504,"&lt;&gt;Rescheduled")+COUNTIFS($B$5:B650,B650,$AJ$5:AJ650,AJ650,$O$5:O650,"&lt;&gt;Cancelled",$O$5:O650,"&lt;&gt;Rescheduled")))</f>
        <v/>
      </c>
      <c r="AL650" s="49">
        <f>IF(N(U650)&lt;=0.005,"",COUNTIFS('JOBS'!$U$5:$U$1504,"&gt;0.005",'JOBS'!$B$5:$B$1504,"&lt;"&amp;B650)+COUNTIFS($U$5:U650,"&gt;0.005",$B$5:B650,B650))</f>
        <v/>
      </c>
    </row>
    <row r="651">
      <c r="A651" s="46" t="inlineStr">
        <is>
          <t>J-0647</t>
        </is>
      </c>
      <c r="B651" s="47" t="n"/>
      <c r="C651" s="94" t="n"/>
      <c r="D651" s="38" t="n"/>
      <c r="E651" s="38" t="n"/>
      <c r="F651" s="38" t="n"/>
      <c r="G651" s="38" t="n"/>
      <c r="H651" s="38" t="n"/>
      <c r="I651" s="57" t="n"/>
      <c r="J651" s="95" t="n"/>
      <c r="K651" s="95" t="n"/>
      <c r="L651" s="48" t="n"/>
      <c r="M651" s="96" t="n"/>
      <c r="N651" s="48" t="n"/>
      <c r="O651" s="38" t="n"/>
      <c r="P651" s="38" t="n"/>
      <c r="Q651" s="97">
        <f>IF(OR(F651="",E651=""),"",IFERROR(IF(INDEX('PROPERTIES'!$F$5:$F$404,MATCH(E651,'PROPERTIES'!$B$5:$B$404,0))=0,"",ROUND((INDEX('PROPERTIES'!$F$5:$F$404,MATCH(E651,'PROPERTIES'!$B$5:$B$404,0))/INDEX('PRICING'!$C$7:$C$16,MATCH(F651,'PRICING'!$A$7:$A$16,0))+INDEX('PROPERTIES'!$G$5:$G$404,MATCH(E651,'PROPERTIES'!$B$5:$B$404,0))*INDEX('PRICING'!$D$7:$D$16,MATCH(F651,'PRICING'!$A$7:$A$16,0))/60+INDEX('PROPERTIES'!$H$5:$H$404,MATCH(E651,'PROPERTIES'!$B$5:$B$404,0))*INDEX('PRICING'!$E$7:$E$16,MATCH(F651,'PRICING'!$A$7:$A$16,0))/60+INDEX('PRICING'!$F$7:$F$16,MATCH(F651,'PRICING'!$A$7:$A$16,0))/60),2)),""))</f>
        <v/>
      </c>
      <c r="R651" s="97">
        <f>IF(B651="","",IF(N(K651)&gt;0,K651,IF(N(J651)&gt;0,J651,N(Q651))))</f>
        <v/>
      </c>
      <c r="S651" s="55">
        <f>IF(L651="","",ROUND(L651*(1+N(M651)),2))</f>
        <v/>
      </c>
      <c r="T651" s="55">
        <f>IF(B651="","",SUMIFS('REVENUE'!$C$5:$C$1504,'REVENUE'!$B$5:$B$1504,A651))</f>
        <v/>
      </c>
      <c r="U651" s="55">
        <f>IF(B651="","",IF(O651="Completed",MAX(0,N(S651)-T651),""))</f>
        <v/>
      </c>
      <c r="V651" s="49">
        <f>IF(B651="","",IF(O651&lt;&gt;"Completed",IF(T651&gt;0,"Deposit","—"),IF(U651&lt;=0.005,"Paid",IF(T651&gt;0,"Partial","Unpaid"))))</f>
        <v/>
      </c>
      <c r="W651" s="55">
        <f>IF(B651="","",IFERROR(1/(1/INDEX('STAFF &amp; TASKS'!$C$5:$C$24,MATCH(H651,'STAFF &amp; TASKS'!$A$5:$A$24,0))),PayRate))</f>
        <v/>
      </c>
      <c r="X651" s="55">
        <f>IF(B651="","",IF(OR(O651="Cancelled",O651="No-Show"),"",ROUND(R651*W651*(1+Burden),2)))</f>
        <v/>
      </c>
      <c r="Y651" s="55">
        <f>IF(B651="","",IF(OR(O651="Cancelled",O651="No-Show"),"",IF(N651&lt;&gt;"",N651,ROUND(R651*SupHr*IFERROR(INDEX('PRICING'!$G$7:$G$16,MATCH(F651,'PRICING'!$A$7:$A$16,0)),1),2))))</f>
        <v/>
      </c>
      <c r="Z651" s="98">
        <f>IF(B651="","",SUMIFS('MILEAGE'!$J$5:$J$1504,'MILEAGE'!$B$5:$B$1504,A651))</f>
        <v/>
      </c>
      <c r="AA651" s="55">
        <f>IF(B651="","",ROUND(Z651*MileRate,2))</f>
        <v/>
      </c>
      <c r="AB651" s="55">
        <f>IF(B651="","",SUMIFS('REVENUE'!$J$5:$J$1504,'REVENUE'!$B$5:$B$1504,A651))</f>
        <v/>
      </c>
      <c r="AC651" s="55">
        <f>IF(L651="","",IF(OR(O651="Cancelled",O651="No-Show"),"",L651-N(X651)-N(Y651)-AA651-AB651))</f>
        <v/>
      </c>
      <c r="AD651" s="99">
        <f>IF(OR(AC651="",N(L651)=0),"",AC651/L651)</f>
        <v/>
      </c>
      <c r="AE651" s="55">
        <f>IF(OR(AC651="",N(R651)=0),"",L651/R651)</f>
        <v/>
      </c>
      <c r="AF651" s="100">
        <f>IF(OR(N(K651)=0,N(J651)+N(Q651)=0),"",K651-IF(N(J651)&gt;0,J651,Q651))</f>
        <v/>
      </c>
      <c r="AG651" s="99">
        <f>IF(B651="","",IFERROR(AVERAGEIFS('QUALITY CONTROL'!$M$5:$M$304,'QUALITY CONTROL'!$B$5:$B$304,A651),""))</f>
        <v/>
      </c>
      <c r="AH651" s="51">
        <f>IF(B651="","",DATE(YEAR(B651),MONTH(B651),1))</f>
        <v/>
      </c>
      <c r="AI651" s="49">
        <f>IF(D651="","",IFERROR(INDEX('CUSTOMERS'!$E$5:$E$404,MATCH(D651,'CUSTOMERS'!$B$5:$B$404,0)),""))</f>
        <v/>
      </c>
      <c r="AJ651" s="49">
        <f>IF(B651="","",N(C651))</f>
        <v/>
      </c>
      <c r="AK651" s="49">
        <f>IF(OR(B651="",O651="Cancelled",O651="Rescheduled"),"",B651&amp;"|"&amp;(COUNTIFS('JOBS'!$B$5:$B$1504,B651,'JOBS'!$AJ$5:$AJ$1504,"&lt;"&amp;AJ651,'JOBS'!$O$5:$O$1504,"&lt;&gt;Cancelled",'JOBS'!$O$5:$O$1504,"&lt;&gt;Rescheduled")+COUNTIFS($B$5:B651,B651,$AJ$5:AJ651,AJ651,$O$5:O651,"&lt;&gt;Cancelled",$O$5:O651,"&lt;&gt;Rescheduled")))</f>
        <v/>
      </c>
      <c r="AL651" s="49">
        <f>IF(N(U651)&lt;=0.005,"",COUNTIFS('JOBS'!$U$5:$U$1504,"&gt;0.005",'JOBS'!$B$5:$B$1504,"&lt;"&amp;B651)+COUNTIFS($U$5:U651,"&gt;0.005",$B$5:B651,B651))</f>
        <v/>
      </c>
    </row>
    <row r="652">
      <c r="A652" s="46" t="inlineStr">
        <is>
          <t>J-0648</t>
        </is>
      </c>
      <c r="B652" s="47" t="n"/>
      <c r="C652" s="94" t="n"/>
      <c r="D652" s="38" t="n"/>
      <c r="E652" s="38" t="n"/>
      <c r="F652" s="38" t="n"/>
      <c r="G652" s="38" t="n"/>
      <c r="H652" s="38" t="n"/>
      <c r="I652" s="57" t="n"/>
      <c r="J652" s="95" t="n"/>
      <c r="K652" s="95" t="n"/>
      <c r="L652" s="48" t="n"/>
      <c r="M652" s="96" t="n"/>
      <c r="N652" s="48" t="n"/>
      <c r="O652" s="38" t="n"/>
      <c r="P652" s="38" t="n"/>
      <c r="Q652" s="97">
        <f>IF(OR(F652="",E652=""),"",IFERROR(IF(INDEX('PROPERTIES'!$F$5:$F$404,MATCH(E652,'PROPERTIES'!$B$5:$B$404,0))=0,"",ROUND((INDEX('PROPERTIES'!$F$5:$F$404,MATCH(E652,'PROPERTIES'!$B$5:$B$404,0))/INDEX('PRICING'!$C$7:$C$16,MATCH(F652,'PRICING'!$A$7:$A$16,0))+INDEX('PROPERTIES'!$G$5:$G$404,MATCH(E652,'PROPERTIES'!$B$5:$B$404,0))*INDEX('PRICING'!$D$7:$D$16,MATCH(F652,'PRICING'!$A$7:$A$16,0))/60+INDEX('PROPERTIES'!$H$5:$H$404,MATCH(E652,'PROPERTIES'!$B$5:$B$404,0))*INDEX('PRICING'!$E$7:$E$16,MATCH(F652,'PRICING'!$A$7:$A$16,0))/60+INDEX('PRICING'!$F$7:$F$16,MATCH(F652,'PRICING'!$A$7:$A$16,0))/60),2)),""))</f>
        <v/>
      </c>
      <c r="R652" s="97">
        <f>IF(B652="","",IF(N(K652)&gt;0,K652,IF(N(J652)&gt;0,J652,N(Q652))))</f>
        <v/>
      </c>
      <c r="S652" s="55">
        <f>IF(L652="","",ROUND(L652*(1+N(M652)),2))</f>
        <v/>
      </c>
      <c r="T652" s="55">
        <f>IF(B652="","",SUMIFS('REVENUE'!$C$5:$C$1504,'REVENUE'!$B$5:$B$1504,A652))</f>
        <v/>
      </c>
      <c r="U652" s="55">
        <f>IF(B652="","",IF(O652="Completed",MAX(0,N(S652)-T652),""))</f>
        <v/>
      </c>
      <c r="V652" s="49">
        <f>IF(B652="","",IF(O652&lt;&gt;"Completed",IF(T652&gt;0,"Deposit","—"),IF(U652&lt;=0.005,"Paid",IF(T652&gt;0,"Partial","Unpaid"))))</f>
        <v/>
      </c>
      <c r="W652" s="55">
        <f>IF(B652="","",IFERROR(1/(1/INDEX('STAFF &amp; TASKS'!$C$5:$C$24,MATCH(H652,'STAFF &amp; TASKS'!$A$5:$A$24,0))),PayRate))</f>
        <v/>
      </c>
      <c r="X652" s="55">
        <f>IF(B652="","",IF(OR(O652="Cancelled",O652="No-Show"),"",ROUND(R652*W652*(1+Burden),2)))</f>
        <v/>
      </c>
      <c r="Y652" s="55">
        <f>IF(B652="","",IF(OR(O652="Cancelled",O652="No-Show"),"",IF(N652&lt;&gt;"",N652,ROUND(R652*SupHr*IFERROR(INDEX('PRICING'!$G$7:$G$16,MATCH(F652,'PRICING'!$A$7:$A$16,0)),1),2))))</f>
        <v/>
      </c>
      <c r="Z652" s="98">
        <f>IF(B652="","",SUMIFS('MILEAGE'!$J$5:$J$1504,'MILEAGE'!$B$5:$B$1504,A652))</f>
        <v/>
      </c>
      <c r="AA652" s="55">
        <f>IF(B652="","",ROUND(Z652*MileRate,2))</f>
        <v/>
      </c>
      <c r="AB652" s="55">
        <f>IF(B652="","",SUMIFS('REVENUE'!$J$5:$J$1504,'REVENUE'!$B$5:$B$1504,A652))</f>
        <v/>
      </c>
      <c r="AC652" s="55">
        <f>IF(L652="","",IF(OR(O652="Cancelled",O652="No-Show"),"",L652-N(X652)-N(Y652)-AA652-AB652))</f>
        <v/>
      </c>
      <c r="AD652" s="99">
        <f>IF(OR(AC652="",N(L652)=0),"",AC652/L652)</f>
        <v/>
      </c>
      <c r="AE652" s="55">
        <f>IF(OR(AC652="",N(R652)=0),"",L652/R652)</f>
        <v/>
      </c>
      <c r="AF652" s="100">
        <f>IF(OR(N(K652)=0,N(J652)+N(Q652)=0),"",K652-IF(N(J652)&gt;0,J652,Q652))</f>
        <v/>
      </c>
      <c r="AG652" s="99">
        <f>IF(B652="","",IFERROR(AVERAGEIFS('QUALITY CONTROL'!$M$5:$M$304,'QUALITY CONTROL'!$B$5:$B$304,A652),""))</f>
        <v/>
      </c>
      <c r="AH652" s="51">
        <f>IF(B652="","",DATE(YEAR(B652),MONTH(B652),1))</f>
        <v/>
      </c>
      <c r="AI652" s="49">
        <f>IF(D652="","",IFERROR(INDEX('CUSTOMERS'!$E$5:$E$404,MATCH(D652,'CUSTOMERS'!$B$5:$B$404,0)),""))</f>
        <v/>
      </c>
      <c r="AJ652" s="49">
        <f>IF(B652="","",N(C652))</f>
        <v/>
      </c>
      <c r="AK652" s="49">
        <f>IF(OR(B652="",O652="Cancelled",O652="Rescheduled"),"",B652&amp;"|"&amp;(COUNTIFS('JOBS'!$B$5:$B$1504,B652,'JOBS'!$AJ$5:$AJ$1504,"&lt;"&amp;AJ652,'JOBS'!$O$5:$O$1504,"&lt;&gt;Cancelled",'JOBS'!$O$5:$O$1504,"&lt;&gt;Rescheduled")+COUNTIFS($B$5:B652,B652,$AJ$5:AJ652,AJ652,$O$5:O652,"&lt;&gt;Cancelled",$O$5:O652,"&lt;&gt;Rescheduled")))</f>
        <v/>
      </c>
      <c r="AL652" s="49">
        <f>IF(N(U652)&lt;=0.005,"",COUNTIFS('JOBS'!$U$5:$U$1504,"&gt;0.005",'JOBS'!$B$5:$B$1504,"&lt;"&amp;B652)+COUNTIFS($U$5:U652,"&gt;0.005",$B$5:B652,B652))</f>
        <v/>
      </c>
    </row>
    <row r="653">
      <c r="A653" s="46" t="inlineStr">
        <is>
          <t>J-0649</t>
        </is>
      </c>
      <c r="B653" s="47" t="n"/>
      <c r="C653" s="94" t="n"/>
      <c r="D653" s="38" t="n"/>
      <c r="E653" s="38" t="n"/>
      <c r="F653" s="38" t="n"/>
      <c r="G653" s="38" t="n"/>
      <c r="H653" s="38" t="n"/>
      <c r="I653" s="57" t="n"/>
      <c r="J653" s="95" t="n"/>
      <c r="K653" s="95" t="n"/>
      <c r="L653" s="48" t="n"/>
      <c r="M653" s="96" t="n"/>
      <c r="N653" s="48" t="n"/>
      <c r="O653" s="38" t="n"/>
      <c r="P653" s="38" t="n"/>
      <c r="Q653" s="97">
        <f>IF(OR(F653="",E653=""),"",IFERROR(IF(INDEX('PROPERTIES'!$F$5:$F$404,MATCH(E653,'PROPERTIES'!$B$5:$B$404,0))=0,"",ROUND((INDEX('PROPERTIES'!$F$5:$F$404,MATCH(E653,'PROPERTIES'!$B$5:$B$404,0))/INDEX('PRICING'!$C$7:$C$16,MATCH(F653,'PRICING'!$A$7:$A$16,0))+INDEX('PROPERTIES'!$G$5:$G$404,MATCH(E653,'PROPERTIES'!$B$5:$B$404,0))*INDEX('PRICING'!$D$7:$D$16,MATCH(F653,'PRICING'!$A$7:$A$16,0))/60+INDEX('PROPERTIES'!$H$5:$H$404,MATCH(E653,'PROPERTIES'!$B$5:$B$404,0))*INDEX('PRICING'!$E$7:$E$16,MATCH(F653,'PRICING'!$A$7:$A$16,0))/60+INDEX('PRICING'!$F$7:$F$16,MATCH(F653,'PRICING'!$A$7:$A$16,0))/60),2)),""))</f>
        <v/>
      </c>
      <c r="R653" s="97">
        <f>IF(B653="","",IF(N(K653)&gt;0,K653,IF(N(J653)&gt;0,J653,N(Q653))))</f>
        <v/>
      </c>
      <c r="S653" s="55">
        <f>IF(L653="","",ROUND(L653*(1+N(M653)),2))</f>
        <v/>
      </c>
      <c r="T653" s="55">
        <f>IF(B653="","",SUMIFS('REVENUE'!$C$5:$C$1504,'REVENUE'!$B$5:$B$1504,A653))</f>
        <v/>
      </c>
      <c r="U653" s="55">
        <f>IF(B653="","",IF(O653="Completed",MAX(0,N(S653)-T653),""))</f>
        <v/>
      </c>
      <c r="V653" s="49">
        <f>IF(B653="","",IF(O653&lt;&gt;"Completed",IF(T653&gt;0,"Deposit","—"),IF(U653&lt;=0.005,"Paid",IF(T653&gt;0,"Partial","Unpaid"))))</f>
        <v/>
      </c>
      <c r="W653" s="55">
        <f>IF(B653="","",IFERROR(1/(1/INDEX('STAFF &amp; TASKS'!$C$5:$C$24,MATCH(H653,'STAFF &amp; TASKS'!$A$5:$A$24,0))),PayRate))</f>
        <v/>
      </c>
      <c r="X653" s="55">
        <f>IF(B653="","",IF(OR(O653="Cancelled",O653="No-Show"),"",ROUND(R653*W653*(1+Burden),2)))</f>
        <v/>
      </c>
      <c r="Y653" s="55">
        <f>IF(B653="","",IF(OR(O653="Cancelled",O653="No-Show"),"",IF(N653&lt;&gt;"",N653,ROUND(R653*SupHr*IFERROR(INDEX('PRICING'!$G$7:$G$16,MATCH(F653,'PRICING'!$A$7:$A$16,0)),1),2))))</f>
        <v/>
      </c>
      <c r="Z653" s="98">
        <f>IF(B653="","",SUMIFS('MILEAGE'!$J$5:$J$1504,'MILEAGE'!$B$5:$B$1504,A653))</f>
        <v/>
      </c>
      <c r="AA653" s="55">
        <f>IF(B653="","",ROUND(Z653*MileRate,2))</f>
        <v/>
      </c>
      <c r="AB653" s="55">
        <f>IF(B653="","",SUMIFS('REVENUE'!$J$5:$J$1504,'REVENUE'!$B$5:$B$1504,A653))</f>
        <v/>
      </c>
      <c r="AC653" s="55">
        <f>IF(L653="","",IF(OR(O653="Cancelled",O653="No-Show"),"",L653-N(X653)-N(Y653)-AA653-AB653))</f>
        <v/>
      </c>
      <c r="AD653" s="99">
        <f>IF(OR(AC653="",N(L653)=0),"",AC653/L653)</f>
        <v/>
      </c>
      <c r="AE653" s="55">
        <f>IF(OR(AC653="",N(R653)=0),"",L653/R653)</f>
        <v/>
      </c>
      <c r="AF653" s="100">
        <f>IF(OR(N(K653)=0,N(J653)+N(Q653)=0),"",K653-IF(N(J653)&gt;0,J653,Q653))</f>
        <v/>
      </c>
      <c r="AG653" s="99">
        <f>IF(B653="","",IFERROR(AVERAGEIFS('QUALITY CONTROL'!$M$5:$M$304,'QUALITY CONTROL'!$B$5:$B$304,A653),""))</f>
        <v/>
      </c>
      <c r="AH653" s="51">
        <f>IF(B653="","",DATE(YEAR(B653),MONTH(B653),1))</f>
        <v/>
      </c>
      <c r="AI653" s="49">
        <f>IF(D653="","",IFERROR(INDEX('CUSTOMERS'!$E$5:$E$404,MATCH(D653,'CUSTOMERS'!$B$5:$B$404,0)),""))</f>
        <v/>
      </c>
      <c r="AJ653" s="49">
        <f>IF(B653="","",N(C653))</f>
        <v/>
      </c>
      <c r="AK653" s="49">
        <f>IF(OR(B653="",O653="Cancelled",O653="Rescheduled"),"",B653&amp;"|"&amp;(COUNTIFS('JOBS'!$B$5:$B$1504,B653,'JOBS'!$AJ$5:$AJ$1504,"&lt;"&amp;AJ653,'JOBS'!$O$5:$O$1504,"&lt;&gt;Cancelled",'JOBS'!$O$5:$O$1504,"&lt;&gt;Rescheduled")+COUNTIFS($B$5:B653,B653,$AJ$5:AJ653,AJ653,$O$5:O653,"&lt;&gt;Cancelled",$O$5:O653,"&lt;&gt;Rescheduled")))</f>
        <v/>
      </c>
      <c r="AL653" s="49">
        <f>IF(N(U653)&lt;=0.005,"",COUNTIFS('JOBS'!$U$5:$U$1504,"&gt;0.005",'JOBS'!$B$5:$B$1504,"&lt;"&amp;B653)+COUNTIFS($U$5:U653,"&gt;0.005",$B$5:B653,B653))</f>
        <v/>
      </c>
    </row>
    <row r="654">
      <c r="A654" s="46" t="inlineStr">
        <is>
          <t>J-0650</t>
        </is>
      </c>
      <c r="B654" s="47" t="n"/>
      <c r="C654" s="94" t="n"/>
      <c r="D654" s="38" t="n"/>
      <c r="E654" s="38" t="n"/>
      <c r="F654" s="38" t="n"/>
      <c r="G654" s="38" t="n"/>
      <c r="H654" s="38" t="n"/>
      <c r="I654" s="57" t="n"/>
      <c r="J654" s="95" t="n"/>
      <c r="K654" s="95" t="n"/>
      <c r="L654" s="48" t="n"/>
      <c r="M654" s="96" t="n"/>
      <c r="N654" s="48" t="n"/>
      <c r="O654" s="38" t="n"/>
      <c r="P654" s="38" t="n"/>
      <c r="Q654" s="97">
        <f>IF(OR(F654="",E654=""),"",IFERROR(IF(INDEX('PROPERTIES'!$F$5:$F$404,MATCH(E654,'PROPERTIES'!$B$5:$B$404,0))=0,"",ROUND((INDEX('PROPERTIES'!$F$5:$F$404,MATCH(E654,'PROPERTIES'!$B$5:$B$404,0))/INDEX('PRICING'!$C$7:$C$16,MATCH(F654,'PRICING'!$A$7:$A$16,0))+INDEX('PROPERTIES'!$G$5:$G$404,MATCH(E654,'PROPERTIES'!$B$5:$B$404,0))*INDEX('PRICING'!$D$7:$D$16,MATCH(F654,'PRICING'!$A$7:$A$16,0))/60+INDEX('PROPERTIES'!$H$5:$H$404,MATCH(E654,'PROPERTIES'!$B$5:$B$404,0))*INDEX('PRICING'!$E$7:$E$16,MATCH(F654,'PRICING'!$A$7:$A$16,0))/60+INDEX('PRICING'!$F$7:$F$16,MATCH(F654,'PRICING'!$A$7:$A$16,0))/60),2)),""))</f>
        <v/>
      </c>
      <c r="R654" s="97">
        <f>IF(B654="","",IF(N(K654)&gt;0,K654,IF(N(J654)&gt;0,J654,N(Q654))))</f>
        <v/>
      </c>
      <c r="S654" s="55">
        <f>IF(L654="","",ROUND(L654*(1+N(M654)),2))</f>
        <v/>
      </c>
      <c r="T654" s="55">
        <f>IF(B654="","",SUMIFS('REVENUE'!$C$5:$C$1504,'REVENUE'!$B$5:$B$1504,A654))</f>
        <v/>
      </c>
      <c r="U654" s="55">
        <f>IF(B654="","",IF(O654="Completed",MAX(0,N(S654)-T654),""))</f>
        <v/>
      </c>
      <c r="V654" s="49">
        <f>IF(B654="","",IF(O654&lt;&gt;"Completed",IF(T654&gt;0,"Deposit","—"),IF(U654&lt;=0.005,"Paid",IF(T654&gt;0,"Partial","Unpaid"))))</f>
        <v/>
      </c>
      <c r="W654" s="55">
        <f>IF(B654="","",IFERROR(1/(1/INDEX('STAFF &amp; TASKS'!$C$5:$C$24,MATCH(H654,'STAFF &amp; TASKS'!$A$5:$A$24,0))),PayRate))</f>
        <v/>
      </c>
      <c r="X654" s="55">
        <f>IF(B654="","",IF(OR(O654="Cancelled",O654="No-Show"),"",ROUND(R654*W654*(1+Burden),2)))</f>
        <v/>
      </c>
      <c r="Y654" s="55">
        <f>IF(B654="","",IF(OR(O654="Cancelled",O654="No-Show"),"",IF(N654&lt;&gt;"",N654,ROUND(R654*SupHr*IFERROR(INDEX('PRICING'!$G$7:$G$16,MATCH(F654,'PRICING'!$A$7:$A$16,0)),1),2))))</f>
        <v/>
      </c>
      <c r="Z654" s="98">
        <f>IF(B654="","",SUMIFS('MILEAGE'!$J$5:$J$1504,'MILEAGE'!$B$5:$B$1504,A654))</f>
        <v/>
      </c>
      <c r="AA654" s="55">
        <f>IF(B654="","",ROUND(Z654*MileRate,2))</f>
        <v/>
      </c>
      <c r="AB654" s="55">
        <f>IF(B654="","",SUMIFS('REVENUE'!$J$5:$J$1504,'REVENUE'!$B$5:$B$1504,A654))</f>
        <v/>
      </c>
      <c r="AC654" s="55">
        <f>IF(L654="","",IF(OR(O654="Cancelled",O654="No-Show"),"",L654-N(X654)-N(Y654)-AA654-AB654))</f>
        <v/>
      </c>
      <c r="AD654" s="99">
        <f>IF(OR(AC654="",N(L654)=0),"",AC654/L654)</f>
        <v/>
      </c>
      <c r="AE654" s="55">
        <f>IF(OR(AC654="",N(R654)=0),"",L654/R654)</f>
        <v/>
      </c>
      <c r="AF654" s="100">
        <f>IF(OR(N(K654)=0,N(J654)+N(Q654)=0),"",K654-IF(N(J654)&gt;0,J654,Q654))</f>
        <v/>
      </c>
      <c r="AG654" s="99">
        <f>IF(B654="","",IFERROR(AVERAGEIFS('QUALITY CONTROL'!$M$5:$M$304,'QUALITY CONTROL'!$B$5:$B$304,A654),""))</f>
        <v/>
      </c>
      <c r="AH654" s="51">
        <f>IF(B654="","",DATE(YEAR(B654),MONTH(B654),1))</f>
        <v/>
      </c>
      <c r="AI654" s="49">
        <f>IF(D654="","",IFERROR(INDEX('CUSTOMERS'!$E$5:$E$404,MATCH(D654,'CUSTOMERS'!$B$5:$B$404,0)),""))</f>
        <v/>
      </c>
      <c r="AJ654" s="49">
        <f>IF(B654="","",N(C654))</f>
        <v/>
      </c>
      <c r="AK654" s="49">
        <f>IF(OR(B654="",O654="Cancelled",O654="Rescheduled"),"",B654&amp;"|"&amp;(COUNTIFS('JOBS'!$B$5:$B$1504,B654,'JOBS'!$AJ$5:$AJ$1504,"&lt;"&amp;AJ654,'JOBS'!$O$5:$O$1504,"&lt;&gt;Cancelled",'JOBS'!$O$5:$O$1504,"&lt;&gt;Rescheduled")+COUNTIFS($B$5:B654,B654,$AJ$5:AJ654,AJ654,$O$5:O654,"&lt;&gt;Cancelled",$O$5:O654,"&lt;&gt;Rescheduled")))</f>
        <v/>
      </c>
      <c r="AL654" s="49">
        <f>IF(N(U654)&lt;=0.005,"",COUNTIFS('JOBS'!$U$5:$U$1504,"&gt;0.005",'JOBS'!$B$5:$B$1504,"&lt;"&amp;B654)+COUNTIFS($U$5:U654,"&gt;0.005",$B$5:B654,B654))</f>
        <v/>
      </c>
    </row>
    <row r="655">
      <c r="A655" s="46" t="inlineStr">
        <is>
          <t>J-0651</t>
        </is>
      </c>
      <c r="B655" s="47" t="n"/>
      <c r="C655" s="94" t="n"/>
      <c r="D655" s="38" t="n"/>
      <c r="E655" s="38" t="n"/>
      <c r="F655" s="38" t="n"/>
      <c r="G655" s="38" t="n"/>
      <c r="H655" s="38" t="n"/>
      <c r="I655" s="57" t="n"/>
      <c r="J655" s="95" t="n"/>
      <c r="K655" s="95" t="n"/>
      <c r="L655" s="48" t="n"/>
      <c r="M655" s="96" t="n"/>
      <c r="N655" s="48" t="n"/>
      <c r="O655" s="38" t="n"/>
      <c r="P655" s="38" t="n"/>
      <c r="Q655" s="97">
        <f>IF(OR(F655="",E655=""),"",IFERROR(IF(INDEX('PROPERTIES'!$F$5:$F$404,MATCH(E655,'PROPERTIES'!$B$5:$B$404,0))=0,"",ROUND((INDEX('PROPERTIES'!$F$5:$F$404,MATCH(E655,'PROPERTIES'!$B$5:$B$404,0))/INDEX('PRICING'!$C$7:$C$16,MATCH(F655,'PRICING'!$A$7:$A$16,0))+INDEX('PROPERTIES'!$G$5:$G$404,MATCH(E655,'PROPERTIES'!$B$5:$B$404,0))*INDEX('PRICING'!$D$7:$D$16,MATCH(F655,'PRICING'!$A$7:$A$16,0))/60+INDEX('PROPERTIES'!$H$5:$H$404,MATCH(E655,'PROPERTIES'!$B$5:$B$404,0))*INDEX('PRICING'!$E$7:$E$16,MATCH(F655,'PRICING'!$A$7:$A$16,0))/60+INDEX('PRICING'!$F$7:$F$16,MATCH(F655,'PRICING'!$A$7:$A$16,0))/60),2)),""))</f>
        <v/>
      </c>
      <c r="R655" s="97">
        <f>IF(B655="","",IF(N(K655)&gt;0,K655,IF(N(J655)&gt;0,J655,N(Q655))))</f>
        <v/>
      </c>
      <c r="S655" s="55">
        <f>IF(L655="","",ROUND(L655*(1+N(M655)),2))</f>
        <v/>
      </c>
      <c r="T655" s="55">
        <f>IF(B655="","",SUMIFS('REVENUE'!$C$5:$C$1504,'REVENUE'!$B$5:$B$1504,A655))</f>
        <v/>
      </c>
      <c r="U655" s="55">
        <f>IF(B655="","",IF(O655="Completed",MAX(0,N(S655)-T655),""))</f>
        <v/>
      </c>
      <c r="V655" s="49">
        <f>IF(B655="","",IF(O655&lt;&gt;"Completed",IF(T655&gt;0,"Deposit","—"),IF(U655&lt;=0.005,"Paid",IF(T655&gt;0,"Partial","Unpaid"))))</f>
        <v/>
      </c>
      <c r="W655" s="55">
        <f>IF(B655="","",IFERROR(1/(1/INDEX('STAFF &amp; TASKS'!$C$5:$C$24,MATCH(H655,'STAFF &amp; TASKS'!$A$5:$A$24,0))),PayRate))</f>
        <v/>
      </c>
      <c r="X655" s="55">
        <f>IF(B655="","",IF(OR(O655="Cancelled",O655="No-Show"),"",ROUND(R655*W655*(1+Burden),2)))</f>
        <v/>
      </c>
      <c r="Y655" s="55">
        <f>IF(B655="","",IF(OR(O655="Cancelled",O655="No-Show"),"",IF(N655&lt;&gt;"",N655,ROUND(R655*SupHr*IFERROR(INDEX('PRICING'!$G$7:$G$16,MATCH(F655,'PRICING'!$A$7:$A$16,0)),1),2))))</f>
        <v/>
      </c>
      <c r="Z655" s="98">
        <f>IF(B655="","",SUMIFS('MILEAGE'!$J$5:$J$1504,'MILEAGE'!$B$5:$B$1504,A655))</f>
        <v/>
      </c>
      <c r="AA655" s="55">
        <f>IF(B655="","",ROUND(Z655*MileRate,2))</f>
        <v/>
      </c>
      <c r="AB655" s="55">
        <f>IF(B655="","",SUMIFS('REVENUE'!$J$5:$J$1504,'REVENUE'!$B$5:$B$1504,A655))</f>
        <v/>
      </c>
      <c r="AC655" s="55">
        <f>IF(L655="","",IF(OR(O655="Cancelled",O655="No-Show"),"",L655-N(X655)-N(Y655)-AA655-AB655))</f>
        <v/>
      </c>
      <c r="AD655" s="99">
        <f>IF(OR(AC655="",N(L655)=0),"",AC655/L655)</f>
        <v/>
      </c>
      <c r="AE655" s="55">
        <f>IF(OR(AC655="",N(R655)=0),"",L655/R655)</f>
        <v/>
      </c>
      <c r="AF655" s="100">
        <f>IF(OR(N(K655)=0,N(J655)+N(Q655)=0),"",K655-IF(N(J655)&gt;0,J655,Q655))</f>
        <v/>
      </c>
      <c r="AG655" s="99">
        <f>IF(B655="","",IFERROR(AVERAGEIFS('QUALITY CONTROL'!$M$5:$M$304,'QUALITY CONTROL'!$B$5:$B$304,A655),""))</f>
        <v/>
      </c>
      <c r="AH655" s="51">
        <f>IF(B655="","",DATE(YEAR(B655),MONTH(B655),1))</f>
        <v/>
      </c>
      <c r="AI655" s="49">
        <f>IF(D655="","",IFERROR(INDEX('CUSTOMERS'!$E$5:$E$404,MATCH(D655,'CUSTOMERS'!$B$5:$B$404,0)),""))</f>
        <v/>
      </c>
      <c r="AJ655" s="49">
        <f>IF(B655="","",N(C655))</f>
        <v/>
      </c>
      <c r="AK655" s="49">
        <f>IF(OR(B655="",O655="Cancelled",O655="Rescheduled"),"",B655&amp;"|"&amp;(COUNTIFS('JOBS'!$B$5:$B$1504,B655,'JOBS'!$AJ$5:$AJ$1504,"&lt;"&amp;AJ655,'JOBS'!$O$5:$O$1504,"&lt;&gt;Cancelled",'JOBS'!$O$5:$O$1504,"&lt;&gt;Rescheduled")+COUNTIFS($B$5:B655,B655,$AJ$5:AJ655,AJ655,$O$5:O655,"&lt;&gt;Cancelled",$O$5:O655,"&lt;&gt;Rescheduled")))</f>
        <v/>
      </c>
      <c r="AL655" s="49">
        <f>IF(N(U655)&lt;=0.005,"",COUNTIFS('JOBS'!$U$5:$U$1504,"&gt;0.005",'JOBS'!$B$5:$B$1504,"&lt;"&amp;B655)+COUNTIFS($U$5:U655,"&gt;0.005",$B$5:B655,B655))</f>
        <v/>
      </c>
    </row>
    <row r="656">
      <c r="A656" s="46" t="inlineStr">
        <is>
          <t>J-0652</t>
        </is>
      </c>
      <c r="B656" s="47" t="n"/>
      <c r="C656" s="94" t="n"/>
      <c r="D656" s="38" t="n"/>
      <c r="E656" s="38" t="n"/>
      <c r="F656" s="38" t="n"/>
      <c r="G656" s="38" t="n"/>
      <c r="H656" s="38" t="n"/>
      <c r="I656" s="57" t="n"/>
      <c r="J656" s="95" t="n"/>
      <c r="K656" s="95" t="n"/>
      <c r="L656" s="48" t="n"/>
      <c r="M656" s="96" t="n"/>
      <c r="N656" s="48" t="n"/>
      <c r="O656" s="38" t="n"/>
      <c r="P656" s="38" t="n"/>
      <c r="Q656" s="97">
        <f>IF(OR(F656="",E656=""),"",IFERROR(IF(INDEX('PROPERTIES'!$F$5:$F$404,MATCH(E656,'PROPERTIES'!$B$5:$B$404,0))=0,"",ROUND((INDEX('PROPERTIES'!$F$5:$F$404,MATCH(E656,'PROPERTIES'!$B$5:$B$404,0))/INDEX('PRICING'!$C$7:$C$16,MATCH(F656,'PRICING'!$A$7:$A$16,0))+INDEX('PROPERTIES'!$G$5:$G$404,MATCH(E656,'PROPERTIES'!$B$5:$B$404,0))*INDEX('PRICING'!$D$7:$D$16,MATCH(F656,'PRICING'!$A$7:$A$16,0))/60+INDEX('PROPERTIES'!$H$5:$H$404,MATCH(E656,'PROPERTIES'!$B$5:$B$404,0))*INDEX('PRICING'!$E$7:$E$16,MATCH(F656,'PRICING'!$A$7:$A$16,0))/60+INDEX('PRICING'!$F$7:$F$16,MATCH(F656,'PRICING'!$A$7:$A$16,0))/60),2)),""))</f>
        <v/>
      </c>
      <c r="R656" s="97">
        <f>IF(B656="","",IF(N(K656)&gt;0,K656,IF(N(J656)&gt;0,J656,N(Q656))))</f>
        <v/>
      </c>
      <c r="S656" s="55">
        <f>IF(L656="","",ROUND(L656*(1+N(M656)),2))</f>
        <v/>
      </c>
      <c r="T656" s="55">
        <f>IF(B656="","",SUMIFS('REVENUE'!$C$5:$C$1504,'REVENUE'!$B$5:$B$1504,A656))</f>
        <v/>
      </c>
      <c r="U656" s="55">
        <f>IF(B656="","",IF(O656="Completed",MAX(0,N(S656)-T656),""))</f>
        <v/>
      </c>
      <c r="V656" s="49">
        <f>IF(B656="","",IF(O656&lt;&gt;"Completed",IF(T656&gt;0,"Deposit","—"),IF(U656&lt;=0.005,"Paid",IF(T656&gt;0,"Partial","Unpaid"))))</f>
        <v/>
      </c>
      <c r="W656" s="55">
        <f>IF(B656="","",IFERROR(1/(1/INDEX('STAFF &amp; TASKS'!$C$5:$C$24,MATCH(H656,'STAFF &amp; TASKS'!$A$5:$A$24,0))),PayRate))</f>
        <v/>
      </c>
      <c r="X656" s="55">
        <f>IF(B656="","",IF(OR(O656="Cancelled",O656="No-Show"),"",ROUND(R656*W656*(1+Burden),2)))</f>
        <v/>
      </c>
      <c r="Y656" s="55">
        <f>IF(B656="","",IF(OR(O656="Cancelled",O656="No-Show"),"",IF(N656&lt;&gt;"",N656,ROUND(R656*SupHr*IFERROR(INDEX('PRICING'!$G$7:$G$16,MATCH(F656,'PRICING'!$A$7:$A$16,0)),1),2))))</f>
        <v/>
      </c>
      <c r="Z656" s="98">
        <f>IF(B656="","",SUMIFS('MILEAGE'!$J$5:$J$1504,'MILEAGE'!$B$5:$B$1504,A656))</f>
        <v/>
      </c>
      <c r="AA656" s="55">
        <f>IF(B656="","",ROUND(Z656*MileRate,2))</f>
        <v/>
      </c>
      <c r="AB656" s="55">
        <f>IF(B656="","",SUMIFS('REVENUE'!$J$5:$J$1504,'REVENUE'!$B$5:$B$1504,A656))</f>
        <v/>
      </c>
      <c r="AC656" s="55">
        <f>IF(L656="","",IF(OR(O656="Cancelled",O656="No-Show"),"",L656-N(X656)-N(Y656)-AA656-AB656))</f>
        <v/>
      </c>
      <c r="AD656" s="99">
        <f>IF(OR(AC656="",N(L656)=0),"",AC656/L656)</f>
        <v/>
      </c>
      <c r="AE656" s="55">
        <f>IF(OR(AC656="",N(R656)=0),"",L656/R656)</f>
        <v/>
      </c>
      <c r="AF656" s="100">
        <f>IF(OR(N(K656)=0,N(J656)+N(Q656)=0),"",K656-IF(N(J656)&gt;0,J656,Q656))</f>
        <v/>
      </c>
      <c r="AG656" s="99">
        <f>IF(B656="","",IFERROR(AVERAGEIFS('QUALITY CONTROL'!$M$5:$M$304,'QUALITY CONTROL'!$B$5:$B$304,A656),""))</f>
        <v/>
      </c>
      <c r="AH656" s="51">
        <f>IF(B656="","",DATE(YEAR(B656),MONTH(B656),1))</f>
        <v/>
      </c>
      <c r="AI656" s="49">
        <f>IF(D656="","",IFERROR(INDEX('CUSTOMERS'!$E$5:$E$404,MATCH(D656,'CUSTOMERS'!$B$5:$B$404,0)),""))</f>
        <v/>
      </c>
      <c r="AJ656" s="49">
        <f>IF(B656="","",N(C656))</f>
        <v/>
      </c>
      <c r="AK656" s="49">
        <f>IF(OR(B656="",O656="Cancelled",O656="Rescheduled"),"",B656&amp;"|"&amp;(COUNTIFS('JOBS'!$B$5:$B$1504,B656,'JOBS'!$AJ$5:$AJ$1504,"&lt;"&amp;AJ656,'JOBS'!$O$5:$O$1504,"&lt;&gt;Cancelled",'JOBS'!$O$5:$O$1504,"&lt;&gt;Rescheduled")+COUNTIFS($B$5:B656,B656,$AJ$5:AJ656,AJ656,$O$5:O656,"&lt;&gt;Cancelled",$O$5:O656,"&lt;&gt;Rescheduled")))</f>
        <v/>
      </c>
      <c r="AL656" s="49">
        <f>IF(N(U656)&lt;=0.005,"",COUNTIFS('JOBS'!$U$5:$U$1504,"&gt;0.005",'JOBS'!$B$5:$B$1504,"&lt;"&amp;B656)+COUNTIFS($U$5:U656,"&gt;0.005",$B$5:B656,B656))</f>
        <v/>
      </c>
    </row>
    <row r="657">
      <c r="A657" s="46" t="inlineStr">
        <is>
          <t>J-0653</t>
        </is>
      </c>
      <c r="B657" s="47" t="n"/>
      <c r="C657" s="94" t="n"/>
      <c r="D657" s="38" t="n"/>
      <c r="E657" s="38" t="n"/>
      <c r="F657" s="38" t="n"/>
      <c r="G657" s="38" t="n"/>
      <c r="H657" s="38" t="n"/>
      <c r="I657" s="57" t="n"/>
      <c r="J657" s="95" t="n"/>
      <c r="K657" s="95" t="n"/>
      <c r="L657" s="48" t="n"/>
      <c r="M657" s="96" t="n"/>
      <c r="N657" s="48" t="n"/>
      <c r="O657" s="38" t="n"/>
      <c r="P657" s="38" t="n"/>
      <c r="Q657" s="97">
        <f>IF(OR(F657="",E657=""),"",IFERROR(IF(INDEX('PROPERTIES'!$F$5:$F$404,MATCH(E657,'PROPERTIES'!$B$5:$B$404,0))=0,"",ROUND((INDEX('PROPERTIES'!$F$5:$F$404,MATCH(E657,'PROPERTIES'!$B$5:$B$404,0))/INDEX('PRICING'!$C$7:$C$16,MATCH(F657,'PRICING'!$A$7:$A$16,0))+INDEX('PROPERTIES'!$G$5:$G$404,MATCH(E657,'PROPERTIES'!$B$5:$B$404,0))*INDEX('PRICING'!$D$7:$D$16,MATCH(F657,'PRICING'!$A$7:$A$16,0))/60+INDEX('PROPERTIES'!$H$5:$H$404,MATCH(E657,'PROPERTIES'!$B$5:$B$404,0))*INDEX('PRICING'!$E$7:$E$16,MATCH(F657,'PRICING'!$A$7:$A$16,0))/60+INDEX('PRICING'!$F$7:$F$16,MATCH(F657,'PRICING'!$A$7:$A$16,0))/60),2)),""))</f>
        <v/>
      </c>
      <c r="R657" s="97">
        <f>IF(B657="","",IF(N(K657)&gt;0,K657,IF(N(J657)&gt;0,J657,N(Q657))))</f>
        <v/>
      </c>
      <c r="S657" s="55">
        <f>IF(L657="","",ROUND(L657*(1+N(M657)),2))</f>
        <v/>
      </c>
      <c r="T657" s="55">
        <f>IF(B657="","",SUMIFS('REVENUE'!$C$5:$C$1504,'REVENUE'!$B$5:$B$1504,A657))</f>
        <v/>
      </c>
      <c r="U657" s="55">
        <f>IF(B657="","",IF(O657="Completed",MAX(0,N(S657)-T657),""))</f>
        <v/>
      </c>
      <c r="V657" s="49">
        <f>IF(B657="","",IF(O657&lt;&gt;"Completed",IF(T657&gt;0,"Deposit","—"),IF(U657&lt;=0.005,"Paid",IF(T657&gt;0,"Partial","Unpaid"))))</f>
        <v/>
      </c>
      <c r="W657" s="55">
        <f>IF(B657="","",IFERROR(1/(1/INDEX('STAFF &amp; TASKS'!$C$5:$C$24,MATCH(H657,'STAFF &amp; TASKS'!$A$5:$A$24,0))),PayRate))</f>
        <v/>
      </c>
      <c r="X657" s="55">
        <f>IF(B657="","",IF(OR(O657="Cancelled",O657="No-Show"),"",ROUND(R657*W657*(1+Burden),2)))</f>
        <v/>
      </c>
      <c r="Y657" s="55">
        <f>IF(B657="","",IF(OR(O657="Cancelled",O657="No-Show"),"",IF(N657&lt;&gt;"",N657,ROUND(R657*SupHr*IFERROR(INDEX('PRICING'!$G$7:$G$16,MATCH(F657,'PRICING'!$A$7:$A$16,0)),1),2))))</f>
        <v/>
      </c>
      <c r="Z657" s="98">
        <f>IF(B657="","",SUMIFS('MILEAGE'!$J$5:$J$1504,'MILEAGE'!$B$5:$B$1504,A657))</f>
        <v/>
      </c>
      <c r="AA657" s="55">
        <f>IF(B657="","",ROUND(Z657*MileRate,2))</f>
        <v/>
      </c>
      <c r="AB657" s="55">
        <f>IF(B657="","",SUMIFS('REVENUE'!$J$5:$J$1504,'REVENUE'!$B$5:$B$1504,A657))</f>
        <v/>
      </c>
      <c r="AC657" s="55">
        <f>IF(L657="","",IF(OR(O657="Cancelled",O657="No-Show"),"",L657-N(X657)-N(Y657)-AA657-AB657))</f>
        <v/>
      </c>
      <c r="AD657" s="99">
        <f>IF(OR(AC657="",N(L657)=0),"",AC657/L657)</f>
        <v/>
      </c>
      <c r="AE657" s="55">
        <f>IF(OR(AC657="",N(R657)=0),"",L657/R657)</f>
        <v/>
      </c>
      <c r="AF657" s="100">
        <f>IF(OR(N(K657)=0,N(J657)+N(Q657)=0),"",K657-IF(N(J657)&gt;0,J657,Q657))</f>
        <v/>
      </c>
      <c r="AG657" s="99">
        <f>IF(B657="","",IFERROR(AVERAGEIFS('QUALITY CONTROL'!$M$5:$M$304,'QUALITY CONTROL'!$B$5:$B$304,A657),""))</f>
        <v/>
      </c>
      <c r="AH657" s="51">
        <f>IF(B657="","",DATE(YEAR(B657),MONTH(B657),1))</f>
        <v/>
      </c>
      <c r="AI657" s="49">
        <f>IF(D657="","",IFERROR(INDEX('CUSTOMERS'!$E$5:$E$404,MATCH(D657,'CUSTOMERS'!$B$5:$B$404,0)),""))</f>
        <v/>
      </c>
      <c r="AJ657" s="49">
        <f>IF(B657="","",N(C657))</f>
        <v/>
      </c>
      <c r="AK657" s="49">
        <f>IF(OR(B657="",O657="Cancelled",O657="Rescheduled"),"",B657&amp;"|"&amp;(COUNTIFS('JOBS'!$B$5:$B$1504,B657,'JOBS'!$AJ$5:$AJ$1504,"&lt;"&amp;AJ657,'JOBS'!$O$5:$O$1504,"&lt;&gt;Cancelled",'JOBS'!$O$5:$O$1504,"&lt;&gt;Rescheduled")+COUNTIFS($B$5:B657,B657,$AJ$5:AJ657,AJ657,$O$5:O657,"&lt;&gt;Cancelled",$O$5:O657,"&lt;&gt;Rescheduled")))</f>
        <v/>
      </c>
      <c r="AL657" s="49">
        <f>IF(N(U657)&lt;=0.005,"",COUNTIFS('JOBS'!$U$5:$U$1504,"&gt;0.005",'JOBS'!$B$5:$B$1504,"&lt;"&amp;B657)+COUNTIFS($U$5:U657,"&gt;0.005",$B$5:B657,B657))</f>
        <v/>
      </c>
    </row>
    <row r="658">
      <c r="A658" s="46" t="inlineStr">
        <is>
          <t>J-0654</t>
        </is>
      </c>
      <c r="B658" s="47" t="n"/>
      <c r="C658" s="94" t="n"/>
      <c r="D658" s="38" t="n"/>
      <c r="E658" s="38" t="n"/>
      <c r="F658" s="38" t="n"/>
      <c r="G658" s="38" t="n"/>
      <c r="H658" s="38" t="n"/>
      <c r="I658" s="57" t="n"/>
      <c r="J658" s="95" t="n"/>
      <c r="K658" s="95" t="n"/>
      <c r="L658" s="48" t="n"/>
      <c r="M658" s="96" t="n"/>
      <c r="N658" s="48" t="n"/>
      <c r="O658" s="38" t="n"/>
      <c r="P658" s="38" t="n"/>
      <c r="Q658" s="97">
        <f>IF(OR(F658="",E658=""),"",IFERROR(IF(INDEX('PROPERTIES'!$F$5:$F$404,MATCH(E658,'PROPERTIES'!$B$5:$B$404,0))=0,"",ROUND((INDEX('PROPERTIES'!$F$5:$F$404,MATCH(E658,'PROPERTIES'!$B$5:$B$404,0))/INDEX('PRICING'!$C$7:$C$16,MATCH(F658,'PRICING'!$A$7:$A$16,0))+INDEX('PROPERTIES'!$G$5:$G$404,MATCH(E658,'PROPERTIES'!$B$5:$B$404,0))*INDEX('PRICING'!$D$7:$D$16,MATCH(F658,'PRICING'!$A$7:$A$16,0))/60+INDEX('PROPERTIES'!$H$5:$H$404,MATCH(E658,'PROPERTIES'!$B$5:$B$404,0))*INDEX('PRICING'!$E$7:$E$16,MATCH(F658,'PRICING'!$A$7:$A$16,0))/60+INDEX('PRICING'!$F$7:$F$16,MATCH(F658,'PRICING'!$A$7:$A$16,0))/60),2)),""))</f>
        <v/>
      </c>
      <c r="R658" s="97">
        <f>IF(B658="","",IF(N(K658)&gt;0,K658,IF(N(J658)&gt;0,J658,N(Q658))))</f>
        <v/>
      </c>
      <c r="S658" s="55">
        <f>IF(L658="","",ROUND(L658*(1+N(M658)),2))</f>
        <v/>
      </c>
      <c r="T658" s="55">
        <f>IF(B658="","",SUMIFS('REVENUE'!$C$5:$C$1504,'REVENUE'!$B$5:$B$1504,A658))</f>
        <v/>
      </c>
      <c r="U658" s="55">
        <f>IF(B658="","",IF(O658="Completed",MAX(0,N(S658)-T658),""))</f>
        <v/>
      </c>
      <c r="V658" s="49">
        <f>IF(B658="","",IF(O658&lt;&gt;"Completed",IF(T658&gt;0,"Deposit","—"),IF(U658&lt;=0.005,"Paid",IF(T658&gt;0,"Partial","Unpaid"))))</f>
        <v/>
      </c>
      <c r="W658" s="55">
        <f>IF(B658="","",IFERROR(1/(1/INDEX('STAFF &amp; TASKS'!$C$5:$C$24,MATCH(H658,'STAFF &amp; TASKS'!$A$5:$A$24,0))),PayRate))</f>
        <v/>
      </c>
      <c r="X658" s="55">
        <f>IF(B658="","",IF(OR(O658="Cancelled",O658="No-Show"),"",ROUND(R658*W658*(1+Burden),2)))</f>
        <v/>
      </c>
      <c r="Y658" s="55">
        <f>IF(B658="","",IF(OR(O658="Cancelled",O658="No-Show"),"",IF(N658&lt;&gt;"",N658,ROUND(R658*SupHr*IFERROR(INDEX('PRICING'!$G$7:$G$16,MATCH(F658,'PRICING'!$A$7:$A$16,0)),1),2))))</f>
        <v/>
      </c>
      <c r="Z658" s="98">
        <f>IF(B658="","",SUMIFS('MILEAGE'!$J$5:$J$1504,'MILEAGE'!$B$5:$B$1504,A658))</f>
        <v/>
      </c>
      <c r="AA658" s="55">
        <f>IF(B658="","",ROUND(Z658*MileRate,2))</f>
        <v/>
      </c>
      <c r="AB658" s="55">
        <f>IF(B658="","",SUMIFS('REVENUE'!$J$5:$J$1504,'REVENUE'!$B$5:$B$1504,A658))</f>
        <v/>
      </c>
      <c r="AC658" s="55">
        <f>IF(L658="","",IF(OR(O658="Cancelled",O658="No-Show"),"",L658-N(X658)-N(Y658)-AA658-AB658))</f>
        <v/>
      </c>
      <c r="AD658" s="99">
        <f>IF(OR(AC658="",N(L658)=0),"",AC658/L658)</f>
        <v/>
      </c>
      <c r="AE658" s="55">
        <f>IF(OR(AC658="",N(R658)=0),"",L658/R658)</f>
        <v/>
      </c>
      <c r="AF658" s="100">
        <f>IF(OR(N(K658)=0,N(J658)+N(Q658)=0),"",K658-IF(N(J658)&gt;0,J658,Q658))</f>
        <v/>
      </c>
      <c r="AG658" s="99">
        <f>IF(B658="","",IFERROR(AVERAGEIFS('QUALITY CONTROL'!$M$5:$M$304,'QUALITY CONTROL'!$B$5:$B$304,A658),""))</f>
        <v/>
      </c>
      <c r="AH658" s="51">
        <f>IF(B658="","",DATE(YEAR(B658),MONTH(B658),1))</f>
        <v/>
      </c>
      <c r="AI658" s="49">
        <f>IF(D658="","",IFERROR(INDEX('CUSTOMERS'!$E$5:$E$404,MATCH(D658,'CUSTOMERS'!$B$5:$B$404,0)),""))</f>
        <v/>
      </c>
      <c r="AJ658" s="49">
        <f>IF(B658="","",N(C658))</f>
        <v/>
      </c>
      <c r="AK658" s="49">
        <f>IF(OR(B658="",O658="Cancelled",O658="Rescheduled"),"",B658&amp;"|"&amp;(COUNTIFS('JOBS'!$B$5:$B$1504,B658,'JOBS'!$AJ$5:$AJ$1504,"&lt;"&amp;AJ658,'JOBS'!$O$5:$O$1504,"&lt;&gt;Cancelled",'JOBS'!$O$5:$O$1504,"&lt;&gt;Rescheduled")+COUNTIFS($B$5:B658,B658,$AJ$5:AJ658,AJ658,$O$5:O658,"&lt;&gt;Cancelled",$O$5:O658,"&lt;&gt;Rescheduled")))</f>
        <v/>
      </c>
      <c r="AL658" s="49">
        <f>IF(N(U658)&lt;=0.005,"",COUNTIFS('JOBS'!$U$5:$U$1504,"&gt;0.005",'JOBS'!$B$5:$B$1504,"&lt;"&amp;B658)+COUNTIFS($U$5:U658,"&gt;0.005",$B$5:B658,B658))</f>
        <v/>
      </c>
    </row>
    <row r="659">
      <c r="A659" s="46" t="inlineStr">
        <is>
          <t>J-0655</t>
        </is>
      </c>
      <c r="B659" s="47" t="n"/>
      <c r="C659" s="94" t="n"/>
      <c r="D659" s="38" t="n"/>
      <c r="E659" s="38" t="n"/>
      <c r="F659" s="38" t="n"/>
      <c r="G659" s="38" t="n"/>
      <c r="H659" s="38" t="n"/>
      <c r="I659" s="57" t="n"/>
      <c r="J659" s="95" t="n"/>
      <c r="K659" s="95" t="n"/>
      <c r="L659" s="48" t="n"/>
      <c r="M659" s="96" t="n"/>
      <c r="N659" s="48" t="n"/>
      <c r="O659" s="38" t="n"/>
      <c r="P659" s="38" t="n"/>
      <c r="Q659" s="97">
        <f>IF(OR(F659="",E659=""),"",IFERROR(IF(INDEX('PROPERTIES'!$F$5:$F$404,MATCH(E659,'PROPERTIES'!$B$5:$B$404,0))=0,"",ROUND((INDEX('PROPERTIES'!$F$5:$F$404,MATCH(E659,'PROPERTIES'!$B$5:$B$404,0))/INDEX('PRICING'!$C$7:$C$16,MATCH(F659,'PRICING'!$A$7:$A$16,0))+INDEX('PROPERTIES'!$G$5:$G$404,MATCH(E659,'PROPERTIES'!$B$5:$B$404,0))*INDEX('PRICING'!$D$7:$D$16,MATCH(F659,'PRICING'!$A$7:$A$16,0))/60+INDEX('PROPERTIES'!$H$5:$H$404,MATCH(E659,'PROPERTIES'!$B$5:$B$404,0))*INDEX('PRICING'!$E$7:$E$16,MATCH(F659,'PRICING'!$A$7:$A$16,0))/60+INDEX('PRICING'!$F$7:$F$16,MATCH(F659,'PRICING'!$A$7:$A$16,0))/60),2)),""))</f>
        <v/>
      </c>
      <c r="R659" s="97">
        <f>IF(B659="","",IF(N(K659)&gt;0,K659,IF(N(J659)&gt;0,J659,N(Q659))))</f>
        <v/>
      </c>
      <c r="S659" s="55">
        <f>IF(L659="","",ROUND(L659*(1+N(M659)),2))</f>
        <v/>
      </c>
      <c r="T659" s="55">
        <f>IF(B659="","",SUMIFS('REVENUE'!$C$5:$C$1504,'REVENUE'!$B$5:$B$1504,A659))</f>
        <v/>
      </c>
      <c r="U659" s="55">
        <f>IF(B659="","",IF(O659="Completed",MAX(0,N(S659)-T659),""))</f>
        <v/>
      </c>
      <c r="V659" s="49">
        <f>IF(B659="","",IF(O659&lt;&gt;"Completed",IF(T659&gt;0,"Deposit","—"),IF(U659&lt;=0.005,"Paid",IF(T659&gt;0,"Partial","Unpaid"))))</f>
        <v/>
      </c>
      <c r="W659" s="55">
        <f>IF(B659="","",IFERROR(1/(1/INDEX('STAFF &amp; TASKS'!$C$5:$C$24,MATCH(H659,'STAFF &amp; TASKS'!$A$5:$A$24,0))),PayRate))</f>
        <v/>
      </c>
      <c r="X659" s="55">
        <f>IF(B659="","",IF(OR(O659="Cancelled",O659="No-Show"),"",ROUND(R659*W659*(1+Burden),2)))</f>
        <v/>
      </c>
      <c r="Y659" s="55">
        <f>IF(B659="","",IF(OR(O659="Cancelled",O659="No-Show"),"",IF(N659&lt;&gt;"",N659,ROUND(R659*SupHr*IFERROR(INDEX('PRICING'!$G$7:$G$16,MATCH(F659,'PRICING'!$A$7:$A$16,0)),1),2))))</f>
        <v/>
      </c>
      <c r="Z659" s="98">
        <f>IF(B659="","",SUMIFS('MILEAGE'!$J$5:$J$1504,'MILEAGE'!$B$5:$B$1504,A659))</f>
        <v/>
      </c>
      <c r="AA659" s="55">
        <f>IF(B659="","",ROUND(Z659*MileRate,2))</f>
        <v/>
      </c>
      <c r="AB659" s="55">
        <f>IF(B659="","",SUMIFS('REVENUE'!$J$5:$J$1504,'REVENUE'!$B$5:$B$1504,A659))</f>
        <v/>
      </c>
      <c r="AC659" s="55">
        <f>IF(L659="","",IF(OR(O659="Cancelled",O659="No-Show"),"",L659-N(X659)-N(Y659)-AA659-AB659))</f>
        <v/>
      </c>
      <c r="AD659" s="99">
        <f>IF(OR(AC659="",N(L659)=0),"",AC659/L659)</f>
        <v/>
      </c>
      <c r="AE659" s="55">
        <f>IF(OR(AC659="",N(R659)=0),"",L659/R659)</f>
        <v/>
      </c>
      <c r="AF659" s="100">
        <f>IF(OR(N(K659)=0,N(J659)+N(Q659)=0),"",K659-IF(N(J659)&gt;0,J659,Q659))</f>
        <v/>
      </c>
      <c r="AG659" s="99">
        <f>IF(B659="","",IFERROR(AVERAGEIFS('QUALITY CONTROL'!$M$5:$M$304,'QUALITY CONTROL'!$B$5:$B$304,A659),""))</f>
        <v/>
      </c>
      <c r="AH659" s="51">
        <f>IF(B659="","",DATE(YEAR(B659),MONTH(B659),1))</f>
        <v/>
      </c>
      <c r="AI659" s="49">
        <f>IF(D659="","",IFERROR(INDEX('CUSTOMERS'!$E$5:$E$404,MATCH(D659,'CUSTOMERS'!$B$5:$B$404,0)),""))</f>
        <v/>
      </c>
      <c r="AJ659" s="49">
        <f>IF(B659="","",N(C659))</f>
        <v/>
      </c>
      <c r="AK659" s="49">
        <f>IF(OR(B659="",O659="Cancelled",O659="Rescheduled"),"",B659&amp;"|"&amp;(COUNTIFS('JOBS'!$B$5:$B$1504,B659,'JOBS'!$AJ$5:$AJ$1504,"&lt;"&amp;AJ659,'JOBS'!$O$5:$O$1504,"&lt;&gt;Cancelled",'JOBS'!$O$5:$O$1504,"&lt;&gt;Rescheduled")+COUNTIFS($B$5:B659,B659,$AJ$5:AJ659,AJ659,$O$5:O659,"&lt;&gt;Cancelled",$O$5:O659,"&lt;&gt;Rescheduled")))</f>
        <v/>
      </c>
      <c r="AL659" s="49">
        <f>IF(N(U659)&lt;=0.005,"",COUNTIFS('JOBS'!$U$5:$U$1504,"&gt;0.005",'JOBS'!$B$5:$B$1504,"&lt;"&amp;B659)+COUNTIFS($U$5:U659,"&gt;0.005",$B$5:B659,B659))</f>
        <v/>
      </c>
    </row>
    <row r="660">
      <c r="A660" s="46" t="inlineStr">
        <is>
          <t>J-0656</t>
        </is>
      </c>
      <c r="B660" s="47" t="n"/>
      <c r="C660" s="94" t="n"/>
      <c r="D660" s="38" t="n"/>
      <c r="E660" s="38" t="n"/>
      <c r="F660" s="38" t="n"/>
      <c r="G660" s="38" t="n"/>
      <c r="H660" s="38" t="n"/>
      <c r="I660" s="57" t="n"/>
      <c r="J660" s="95" t="n"/>
      <c r="K660" s="95" t="n"/>
      <c r="L660" s="48" t="n"/>
      <c r="M660" s="96" t="n"/>
      <c r="N660" s="48" t="n"/>
      <c r="O660" s="38" t="n"/>
      <c r="P660" s="38" t="n"/>
      <c r="Q660" s="97">
        <f>IF(OR(F660="",E660=""),"",IFERROR(IF(INDEX('PROPERTIES'!$F$5:$F$404,MATCH(E660,'PROPERTIES'!$B$5:$B$404,0))=0,"",ROUND((INDEX('PROPERTIES'!$F$5:$F$404,MATCH(E660,'PROPERTIES'!$B$5:$B$404,0))/INDEX('PRICING'!$C$7:$C$16,MATCH(F660,'PRICING'!$A$7:$A$16,0))+INDEX('PROPERTIES'!$G$5:$G$404,MATCH(E660,'PROPERTIES'!$B$5:$B$404,0))*INDEX('PRICING'!$D$7:$D$16,MATCH(F660,'PRICING'!$A$7:$A$16,0))/60+INDEX('PROPERTIES'!$H$5:$H$404,MATCH(E660,'PROPERTIES'!$B$5:$B$404,0))*INDEX('PRICING'!$E$7:$E$16,MATCH(F660,'PRICING'!$A$7:$A$16,0))/60+INDEX('PRICING'!$F$7:$F$16,MATCH(F660,'PRICING'!$A$7:$A$16,0))/60),2)),""))</f>
        <v/>
      </c>
      <c r="R660" s="97">
        <f>IF(B660="","",IF(N(K660)&gt;0,K660,IF(N(J660)&gt;0,J660,N(Q660))))</f>
        <v/>
      </c>
      <c r="S660" s="55">
        <f>IF(L660="","",ROUND(L660*(1+N(M660)),2))</f>
        <v/>
      </c>
      <c r="T660" s="55">
        <f>IF(B660="","",SUMIFS('REVENUE'!$C$5:$C$1504,'REVENUE'!$B$5:$B$1504,A660))</f>
        <v/>
      </c>
      <c r="U660" s="55">
        <f>IF(B660="","",IF(O660="Completed",MAX(0,N(S660)-T660),""))</f>
        <v/>
      </c>
      <c r="V660" s="49">
        <f>IF(B660="","",IF(O660&lt;&gt;"Completed",IF(T660&gt;0,"Deposit","—"),IF(U660&lt;=0.005,"Paid",IF(T660&gt;0,"Partial","Unpaid"))))</f>
        <v/>
      </c>
      <c r="W660" s="55">
        <f>IF(B660="","",IFERROR(1/(1/INDEX('STAFF &amp; TASKS'!$C$5:$C$24,MATCH(H660,'STAFF &amp; TASKS'!$A$5:$A$24,0))),PayRate))</f>
        <v/>
      </c>
      <c r="X660" s="55">
        <f>IF(B660="","",IF(OR(O660="Cancelled",O660="No-Show"),"",ROUND(R660*W660*(1+Burden),2)))</f>
        <v/>
      </c>
      <c r="Y660" s="55">
        <f>IF(B660="","",IF(OR(O660="Cancelled",O660="No-Show"),"",IF(N660&lt;&gt;"",N660,ROUND(R660*SupHr*IFERROR(INDEX('PRICING'!$G$7:$G$16,MATCH(F660,'PRICING'!$A$7:$A$16,0)),1),2))))</f>
        <v/>
      </c>
      <c r="Z660" s="98">
        <f>IF(B660="","",SUMIFS('MILEAGE'!$J$5:$J$1504,'MILEAGE'!$B$5:$B$1504,A660))</f>
        <v/>
      </c>
      <c r="AA660" s="55">
        <f>IF(B660="","",ROUND(Z660*MileRate,2))</f>
        <v/>
      </c>
      <c r="AB660" s="55">
        <f>IF(B660="","",SUMIFS('REVENUE'!$J$5:$J$1504,'REVENUE'!$B$5:$B$1504,A660))</f>
        <v/>
      </c>
      <c r="AC660" s="55">
        <f>IF(L660="","",IF(OR(O660="Cancelled",O660="No-Show"),"",L660-N(X660)-N(Y660)-AA660-AB660))</f>
        <v/>
      </c>
      <c r="AD660" s="99">
        <f>IF(OR(AC660="",N(L660)=0),"",AC660/L660)</f>
        <v/>
      </c>
      <c r="AE660" s="55">
        <f>IF(OR(AC660="",N(R660)=0),"",L660/R660)</f>
        <v/>
      </c>
      <c r="AF660" s="100">
        <f>IF(OR(N(K660)=0,N(J660)+N(Q660)=0),"",K660-IF(N(J660)&gt;0,J660,Q660))</f>
        <v/>
      </c>
      <c r="AG660" s="99">
        <f>IF(B660="","",IFERROR(AVERAGEIFS('QUALITY CONTROL'!$M$5:$M$304,'QUALITY CONTROL'!$B$5:$B$304,A660),""))</f>
        <v/>
      </c>
      <c r="AH660" s="51">
        <f>IF(B660="","",DATE(YEAR(B660),MONTH(B660),1))</f>
        <v/>
      </c>
      <c r="AI660" s="49">
        <f>IF(D660="","",IFERROR(INDEX('CUSTOMERS'!$E$5:$E$404,MATCH(D660,'CUSTOMERS'!$B$5:$B$404,0)),""))</f>
        <v/>
      </c>
      <c r="AJ660" s="49">
        <f>IF(B660="","",N(C660))</f>
        <v/>
      </c>
      <c r="AK660" s="49">
        <f>IF(OR(B660="",O660="Cancelled",O660="Rescheduled"),"",B660&amp;"|"&amp;(COUNTIFS('JOBS'!$B$5:$B$1504,B660,'JOBS'!$AJ$5:$AJ$1504,"&lt;"&amp;AJ660,'JOBS'!$O$5:$O$1504,"&lt;&gt;Cancelled",'JOBS'!$O$5:$O$1504,"&lt;&gt;Rescheduled")+COUNTIFS($B$5:B660,B660,$AJ$5:AJ660,AJ660,$O$5:O660,"&lt;&gt;Cancelled",$O$5:O660,"&lt;&gt;Rescheduled")))</f>
        <v/>
      </c>
      <c r="AL660" s="49">
        <f>IF(N(U660)&lt;=0.005,"",COUNTIFS('JOBS'!$U$5:$U$1504,"&gt;0.005",'JOBS'!$B$5:$B$1504,"&lt;"&amp;B660)+COUNTIFS($U$5:U660,"&gt;0.005",$B$5:B660,B660))</f>
        <v/>
      </c>
    </row>
    <row r="661">
      <c r="A661" s="46" t="inlineStr">
        <is>
          <t>J-0657</t>
        </is>
      </c>
      <c r="B661" s="47" t="n"/>
      <c r="C661" s="94" t="n"/>
      <c r="D661" s="38" t="n"/>
      <c r="E661" s="38" t="n"/>
      <c r="F661" s="38" t="n"/>
      <c r="G661" s="38" t="n"/>
      <c r="H661" s="38" t="n"/>
      <c r="I661" s="57" t="n"/>
      <c r="J661" s="95" t="n"/>
      <c r="K661" s="95" t="n"/>
      <c r="L661" s="48" t="n"/>
      <c r="M661" s="96" t="n"/>
      <c r="N661" s="48" t="n"/>
      <c r="O661" s="38" t="n"/>
      <c r="P661" s="38" t="n"/>
      <c r="Q661" s="97">
        <f>IF(OR(F661="",E661=""),"",IFERROR(IF(INDEX('PROPERTIES'!$F$5:$F$404,MATCH(E661,'PROPERTIES'!$B$5:$B$404,0))=0,"",ROUND((INDEX('PROPERTIES'!$F$5:$F$404,MATCH(E661,'PROPERTIES'!$B$5:$B$404,0))/INDEX('PRICING'!$C$7:$C$16,MATCH(F661,'PRICING'!$A$7:$A$16,0))+INDEX('PROPERTIES'!$G$5:$G$404,MATCH(E661,'PROPERTIES'!$B$5:$B$404,0))*INDEX('PRICING'!$D$7:$D$16,MATCH(F661,'PRICING'!$A$7:$A$16,0))/60+INDEX('PROPERTIES'!$H$5:$H$404,MATCH(E661,'PROPERTIES'!$B$5:$B$404,0))*INDEX('PRICING'!$E$7:$E$16,MATCH(F661,'PRICING'!$A$7:$A$16,0))/60+INDEX('PRICING'!$F$7:$F$16,MATCH(F661,'PRICING'!$A$7:$A$16,0))/60),2)),""))</f>
        <v/>
      </c>
      <c r="R661" s="97">
        <f>IF(B661="","",IF(N(K661)&gt;0,K661,IF(N(J661)&gt;0,J661,N(Q661))))</f>
        <v/>
      </c>
      <c r="S661" s="55">
        <f>IF(L661="","",ROUND(L661*(1+N(M661)),2))</f>
        <v/>
      </c>
      <c r="T661" s="55">
        <f>IF(B661="","",SUMIFS('REVENUE'!$C$5:$C$1504,'REVENUE'!$B$5:$B$1504,A661))</f>
        <v/>
      </c>
      <c r="U661" s="55">
        <f>IF(B661="","",IF(O661="Completed",MAX(0,N(S661)-T661),""))</f>
        <v/>
      </c>
      <c r="V661" s="49">
        <f>IF(B661="","",IF(O661&lt;&gt;"Completed",IF(T661&gt;0,"Deposit","—"),IF(U661&lt;=0.005,"Paid",IF(T661&gt;0,"Partial","Unpaid"))))</f>
        <v/>
      </c>
      <c r="W661" s="55">
        <f>IF(B661="","",IFERROR(1/(1/INDEX('STAFF &amp; TASKS'!$C$5:$C$24,MATCH(H661,'STAFF &amp; TASKS'!$A$5:$A$24,0))),PayRate))</f>
        <v/>
      </c>
      <c r="X661" s="55">
        <f>IF(B661="","",IF(OR(O661="Cancelled",O661="No-Show"),"",ROUND(R661*W661*(1+Burden),2)))</f>
        <v/>
      </c>
      <c r="Y661" s="55">
        <f>IF(B661="","",IF(OR(O661="Cancelled",O661="No-Show"),"",IF(N661&lt;&gt;"",N661,ROUND(R661*SupHr*IFERROR(INDEX('PRICING'!$G$7:$G$16,MATCH(F661,'PRICING'!$A$7:$A$16,0)),1),2))))</f>
        <v/>
      </c>
      <c r="Z661" s="98">
        <f>IF(B661="","",SUMIFS('MILEAGE'!$J$5:$J$1504,'MILEAGE'!$B$5:$B$1504,A661))</f>
        <v/>
      </c>
      <c r="AA661" s="55">
        <f>IF(B661="","",ROUND(Z661*MileRate,2))</f>
        <v/>
      </c>
      <c r="AB661" s="55">
        <f>IF(B661="","",SUMIFS('REVENUE'!$J$5:$J$1504,'REVENUE'!$B$5:$B$1504,A661))</f>
        <v/>
      </c>
      <c r="AC661" s="55">
        <f>IF(L661="","",IF(OR(O661="Cancelled",O661="No-Show"),"",L661-N(X661)-N(Y661)-AA661-AB661))</f>
        <v/>
      </c>
      <c r="AD661" s="99">
        <f>IF(OR(AC661="",N(L661)=0),"",AC661/L661)</f>
        <v/>
      </c>
      <c r="AE661" s="55">
        <f>IF(OR(AC661="",N(R661)=0),"",L661/R661)</f>
        <v/>
      </c>
      <c r="AF661" s="100">
        <f>IF(OR(N(K661)=0,N(J661)+N(Q661)=0),"",K661-IF(N(J661)&gt;0,J661,Q661))</f>
        <v/>
      </c>
      <c r="AG661" s="99">
        <f>IF(B661="","",IFERROR(AVERAGEIFS('QUALITY CONTROL'!$M$5:$M$304,'QUALITY CONTROL'!$B$5:$B$304,A661),""))</f>
        <v/>
      </c>
      <c r="AH661" s="51">
        <f>IF(B661="","",DATE(YEAR(B661),MONTH(B661),1))</f>
        <v/>
      </c>
      <c r="AI661" s="49">
        <f>IF(D661="","",IFERROR(INDEX('CUSTOMERS'!$E$5:$E$404,MATCH(D661,'CUSTOMERS'!$B$5:$B$404,0)),""))</f>
        <v/>
      </c>
      <c r="AJ661" s="49">
        <f>IF(B661="","",N(C661))</f>
        <v/>
      </c>
      <c r="AK661" s="49">
        <f>IF(OR(B661="",O661="Cancelled",O661="Rescheduled"),"",B661&amp;"|"&amp;(COUNTIFS('JOBS'!$B$5:$B$1504,B661,'JOBS'!$AJ$5:$AJ$1504,"&lt;"&amp;AJ661,'JOBS'!$O$5:$O$1504,"&lt;&gt;Cancelled",'JOBS'!$O$5:$O$1504,"&lt;&gt;Rescheduled")+COUNTIFS($B$5:B661,B661,$AJ$5:AJ661,AJ661,$O$5:O661,"&lt;&gt;Cancelled",$O$5:O661,"&lt;&gt;Rescheduled")))</f>
        <v/>
      </c>
      <c r="AL661" s="49">
        <f>IF(N(U661)&lt;=0.005,"",COUNTIFS('JOBS'!$U$5:$U$1504,"&gt;0.005",'JOBS'!$B$5:$B$1504,"&lt;"&amp;B661)+COUNTIFS($U$5:U661,"&gt;0.005",$B$5:B661,B661))</f>
        <v/>
      </c>
    </row>
    <row r="662">
      <c r="A662" s="46" t="inlineStr">
        <is>
          <t>J-0658</t>
        </is>
      </c>
      <c r="B662" s="47" t="n"/>
      <c r="C662" s="94" t="n"/>
      <c r="D662" s="38" t="n"/>
      <c r="E662" s="38" t="n"/>
      <c r="F662" s="38" t="n"/>
      <c r="G662" s="38" t="n"/>
      <c r="H662" s="38" t="n"/>
      <c r="I662" s="57" t="n"/>
      <c r="J662" s="95" t="n"/>
      <c r="K662" s="95" t="n"/>
      <c r="L662" s="48" t="n"/>
      <c r="M662" s="96" t="n"/>
      <c r="N662" s="48" t="n"/>
      <c r="O662" s="38" t="n"/>
      <c r="P662" s="38" t="n"/>
      <c r="Q662" s="97">
        <f>IF(OR(F662="",E662=""),"",IFERROR(IF(INDEX('PROPERTIES'!$F$5:$F$404,MATCH(E662,'PROPERTIES'!$B$5:$B$404,0))=0,"",ROUND((INDEX('PROPERTIES'!$F$5:$F$404,MATCH(E662,'PROPERTIES'!$B$5:$B$404,0))/INDEX('PRICING'!$C$7:$C$16,MATCH(F662,'PRICING'!$A$7:$A$16,0))+INDEX('PROPERTIES'!$G$5:$G$404,MATCH(E662,'PROPERTIES'!$B$5:$B$404,0))*INDEX('PRICING'!$D$7:$D$16,MATCH(F662,'PRICING'!$A$7:$A$16,0))/60+INDEX('PROPERTIES'!$H$5:$H$404,MATCH(E662,'PROPERTIES'!$B$5:$B$404,0))*INDEX('PRICING'!$E$7:$E$16,MATCH(F662,'PRICING'!$A$7:$A$16,0))/60+INDEX('PRICING'!$F$7:$F$16,MATCH(F662,'PRICING'!$A$7:$A$16,0))/60),2)),""))</f>
        <v/>
      </c>
      <c r="R662" s="97">
        <f>IF(B662="","",IF(N(K662)&gt;0,K662,IF(N(J662)&gt;0,J662,N(Q662))))</f>
        <v/>
      </c>
      <c r="S662" s="55">
        <f>IF(L662="","",ROUND(L662*(1+N(M662)),2))</f>
        <v/>
      </c>
      <c r="T662" s="55">
        <f>IF(B662="","",SUMIFS('REVENUE'!$C$5:$C$1504,'REVENUE'!$B$5:$B$1504,A662))</f>
        <v/>
      </c>
      <c r="U662" s="55">
        <f>IF(B662="","",IF(O662="Completed",MAX(0,N(S662)-T662),""))</f>
        <v/>
      </c>
      <c r="V662" s="49">
        <f>IF(B662="","",IF(O662&lt;&gt;"Completed",IF(T662&gt;0,"Deposit","—"),IF(U662&lt;=0.005,"Paid",IF(T662&gt;0,"Partial","Unpaid"))))</f>
        <v/>
      </c>
      <c r="W662" s="55">
        <f>IF(B662="","",IFERROR(1/(1/INDEX('STAFF &amp; TASKS'!$C$5:$C$24,MATCH(H662,'STAFF &amp; TASKS'!$A$5:$A$24,0))),PayRate))</f>
        <v/>
      </c>
      <c r="X662" s="55">
        <f>IF(B662="","",IF(OR(O662="Cancelled",O662="No-Show"),"",ROUND(R662*W662*(1+Burden),2)))</f>
        <v/>
      </c>
      <c r="Y662" s="55">
        <f>IF(B662="","",IF(OR(O662="Cancelled",O662="No-Show"),"",IF(N662&lt;&gt;"",N662,ROUND(R662*SupHr*IFERROR(INDEX('PRICING'!$G$7:$G$16,MATCH(F662,'PRICING'!$A$7:$A$16,0)),1),2))))</f>
        <v/>
      </c>
      <c r="Z662" s="98">
        <f>IF(B662="","",SUMIFS('MILEAGE'!$J$5:$J$1504,'MILEAGE'!$B$5:$B$1504,A662))</f>
        <v/>
      </c>
      <c r="AA662" s="55">
        <f>IF(B662="","",ROUND(Z662*MileRate,2))</f>
        <v/>
      </c>
      <c r="AB662" s="55">
        <f>IF(B662="","",SUMIFS('REVENUE'!$J$5:$J$1504,'REVENUE'!$B$5:$B$1504,A662))</f>
        <v/>
      </c>
      <c r="AC662" s="55">
        <f>IF(L662="","",IF(OR(O662="Cancelled",O662="No-Show"),"",L662-N(X662)-N(Y662)-AA662-AB662))</f>
        <v/>
      </c>
      <c r="AD662" s="99">
        <f>IF(OR(AC662="",N(L662)=0),"",AC662/L662)</f>
        <v/>
      </c>
      <c r="AE662" s="55">
        <f>IF(OR(AC662="",N(R662)=0),"",L662/R662)</f>
        <v/>
      </c>
      <c r="AF662" s="100">
        <f>IF(OR(N(K662)=0,N(J662)+N(Q662)=0),"",K662-IF(N(J662)&gt;0,J662,Q662))</f>
        <v/>
      </c>
      <c r="AG662" s="99">
        <f>IF(B662="","",IFERROR(AVERAGEIFS('QUALITY CONTROL'!$M$5:$M$304,'QUALITY CONTROL'!$B$5:$B$304,A662),""))</f>
        <v/>
      </c>
      <c r="AH662" s="51">
        <f>IF(B662="","",DATE(YEAR(B662),MONTH(B662),1))</f>
        <v/>
      </c>
      <c r="AI662" s="49">
        <f>IF(D662="","",IFERROR(INDEX('CUSTOMERS'!$E$5:$E$404,MATCH(D662,'CUSTOMERS'!$B$5:$B$404,0)),""))</f>
        <v/>
      </c>
      <c r="AJ662" s="49">
        <f>IF(B662="","",N(C662))</f>
        <v/>
      </c>
      <c r="AK662" s="49">
        <f>IF(OR(B662="",O662="Cancelled",O662="Rescheduled"),"",B662&amp;"|"&amp;(COUNTIFS('JOBS'!$B$5:$B$1504,B662,'JOBS'!$AJ$5:$AJ$1504,"&lt;"&amp;AJ662,'JOBS'!$O$5:$O$1504,"&lt;&gt;Cancelled",'JOBS'!$O$5:$O$1504,"&lt;&gt;Rescheduled")+COUNTIFS($B$5:B662,B662,$AJ$5:AJ662,AJ662,$O$5:O662,"&lt;&gt;Cancelled",$O$5:O662,"&lt;&gt;Rescheduled")))</f>
        <v/>
      </c>
      <c r="AL662" s="49">
        <f>IF(N(U662)&lt;=0.005,"",COUNTIFS('JOBS'!$U$5:$U$1504,"&gt;0.005",'JOBS'!$B$5:$B$1504,"&lt;"&amp;B662)+COUNTIFS($U$5:U662,"&gt;0.005",$B$5:B662,B662))</f>
        <v/>
      </c>
    </row>
    <row r="663">
      <c r="A663" s="46" t="inlineStr">
        <is>
          <t>J-0659</t>
        </is>
      </c>
      <c r="B663" s="47" t="n"/>
      <c r="C663" s="94" t="n"/>
      <c r="D663" s="38" t="n"/>
      <c r="E663" s="38" t="n"/>
      <c r="F663" s="38" t="n"/>
      <c r="G663" s="38" t="n"/>
      <c r="H663" s="38" t="n"/>
      <c r="I663" s="57" t="n"/>
      <c r="J663" s="95" t="n"/>
      <c r="K663" s="95" t="n"/>
      <c r="L663" s="48" t="n"/>
      <c r="M663" s="96" t="n"/>
      <c r="N663" s="48" t="n"/>
      <c r="O663" s="38" t="n"/>
      <c r="P663" s="38" t="n"/>
      <c r="Q663" s="97">
        <f>IF(OR(F663="",E663=""),"",IFERROR(IF(INDEX('PROPERTIES'!$F$5:$F$404,MATCH(E663,'PROPERTIES'!$B$5:$B$404,0))=0,"",ROUND((INDEX('PROPERTIES'!$F$5:$F$404,MATCH(E663,'PROPERTIES'!$B$5:$B$404,0))/INDEX('PRICING'!$C$7:$C$16,MATCH(F663,'PRICING'!$A$7:$A$16,0))+INDEX('PROPERTIES'!$G$5:$G$404,MATCH(E663,'PROPERTIES'!$B$5:$B$404,0))*INDEX('PRICING'!$D$7:$D$16,MATCH(F663,'PRICING'!$A$7:$A$16,0))/60+INDEX('PROPERTIES'!$H$5:$H$404,MATCH(E663,'PROPERTIES'!$B$5:$B$404,0))*INDEX('PRICING'!$E$7:$E$16,MATCH(F663,'PRICING'!$A$7:$A$16,0))/60+INDEX('PRICING'!$F$7:$F$16,MATCH(F663,'PRICING'!$A$7:$A$16,0))/60),2)),""))</f>
        <v/>
      </c>
      <c r="R663" s="97">
        <f>IF(B663="","",IF(N(K663)&gt;0,K663,IF(N(J663)&gt;0,J663,N(Q663))))</f>
        <v/>
      </c>
      <c r="S663" s="55">
        <f>IF(L663="","",ROUND(L663*(1+N(M663)),2))</f>
        <v/>
      </c>
      <c r="T663" s="55">
        <f>IF(B663="","",SUMIFS('REVENUE'!$C$5:$C$1504,'REVENUE'!$B$5:$B$1504,A663))</f>
        <v/>
      </c>
      <c r="U663" s="55">
        <f>IF(B663="","",IF(O663="Completed",MAX(0,N(S663)-T663),""))</f>
        <v/>
      </c>
      <c r="V663" s="49">
        <f>IF(B663="","",IF(O663&lt;&gt;"Completed",IF(T663&gt;0,"Deposit","—"),IF(U663&lt;=0.005,"Paid",IF(T663&gt;0,"Partial","Unpaid"))))</f>
        <v/>
      </c>
      <c r="W663" s="55">
        <f>IF(B663="","",IFERROR(1/(1/INDEX('STAFF &amp; TASKS'!$C$5:$C$24,MATCH(H663,'STAFF &amp; TASKS'!$A$5:$A$24,0))),PayRate))</f>
        <v/>
      </c>
      <c r="X663" s="55">
        <f>IF(B663="","",IF(OR(O663="Cancelled",O663="No-Show"),"",ROUND(R663*W663*(1+Burden),2)))</f>
        <v/>
      </c>
      <c r="Y663" s="55">
        <f>IF(B663="","",IF(OR(O663="Cancelled",O663="No-Show"),"",IF(N663&lt;&gt;"",N663,ROUND(R663*SupHr*IFERROR(INDEX('PRICING'!$G$7:$G$16,MATCH(F663,'PRICING'!$A$7:$A$16,0)),1),2))))</f>
        <v/>
      </c>
      <c r="Z663" s="98">
        <f>IF(B663="","",SUMIFS('MILEAGE'!$J$5:$J$1504,'MILEAGE'!$B$5:$B$1504,A663))</f>
        <v/>
      </c>
      <c r="AA663" s="55">
        <f>IF(B663="","",ROUND(Z663*MileRate,2))</f>
        <v/>
      </c>
      <c r="AB663" s="55">
        <f>IF(B663="","",SUMIFS('REVENUE'!$J$5:$J$1504,'REVENUE'!$B$5:$B$1504,A663))</f>
        <v/>
      </c>
      <c r="AC663" s="55">
        <f>IF(L663="","",IF(OR(O663="Cancelled",O663="No-Show"),"",L663-N(X663)-N(Y663)-AA663-AB663))</f>
        <v/>
      </c>
      <c r="AD663" s="99">
        <f>IF(OR(AC663="",N(L663)=0),"",AC663/L663)</f>
        <v/>
      </c>
      <c r="AE663" s="55">
        <f>IF(OR(AC663="",N(R663)=0),"",L663/R663)</f>
        <v/>
      </c>
      <c r="AF663" s="100">
        <f>IF(OR(N(K663)=0,N(J663)+N(Q663)=0),"",K663-IF(N(J663)&gt;0,J663,Q663))</f>
        <v/>
      </c>
      <c r="AG663" s="99">
        <f>IF(B663="","",IFERROR(AVERAGEIFS('QUALITY CONTROL'!$M$5:$M$304,'QUALITY CONTROL'!$B$5:$B$304,A663),""))</f>
        <v/>
      </c>
      <c r="AH663" s="51">
        <f>IF(B663="","",DATE(YEAR(B663),MONTH(B663),1))</f>
        <v/>
      </c>
      <c r="AI663" s="49">
        <f>IF(D663="","",IFERROR(INDEX('CUSTOMERS'!$E$5:$E$404,MATCH(D663,'CUSTOMERS'!$B$5:$B$404,0)),""))</f>
        <v/>
      </c>
      <c r="AJ663" s="49">
        <f>IF(B663="","",N(C663))</f>
        <v/>
      </c>
      <c r="AK663" s="49">
        <f>IF(OR(B663="",O663="Cancelled",O663="Rescheduled"),"",B663&amp;"|"&amp;(COUNTIFS('JOBS'!$B$5:$B$1504,B663,'JOBS'!$AJ$5:$AJ$1504,"&lt;"&amp;AJ663,'JOBS'!$O$5:$O$1504,"&lt;&gt;Cancelled",'JOBS'!$O$5:$O$1504,"&lt;&gt;Rescheduled")+COUNTIFS($B$5:B663,B663,$AJ$5:AJ663,AJ663,$O$5:O663,"&lt;&gt;Cancelled",$O$5:O663,"&lt;&gt;Rescheduled")))</f>
        <v/>
      </c>
      <c r="AL663" s="49">
        <f>IF(N(U663)&lt;=0.005,"",COUNTIFS('JOBS'!$U$5:$U$1504,"&gt;0.005",'JOBS'!$B$5:$B$1504,"&lt;"&amp;B663)+COUNTIFS($U$5:U663,"&gt;0.005",$B$5:B663,B663))</f>
        <v/>
      </c>
    </row>
    <row r="664">
      <c r="A664" s="46" t="inlineStr">
        <is>
          <t>J-0660</t>
        </is>
      </c>
      <c r="B664" s="47" t="n"/>
      <c r="C664" s="94" t="n"/>
      <c r="D664" s="38" t="n"/>
      <c r="E664" s="38" t="n"/>
      <c r="F664" s="38" t="n"/>
      <c r="G664" s="38" t="n"/>
      <c r="H664" s="38" t="n"/>
      <c r="I664" s="57" t="n"/>
      <c r="J664" s="95" t="n"/>
      <c r="K664" s="95" t="n"/>
      <c r="L664" s="48" t="n"/>
      <c r="M664" s="96" t="n"/>
      <c r="N664" s="48" t="n"/>
      <c r="O664" s="38" t="n"/>
      <c r="P664" s="38" t="n"/>
      <c r="Q664" s="97">
        <f>IF(OR(F664="",E664=""),"",IFERROR(IF(INDEX('PROPERTIES'!$F$5:$F$404,MATCH(E664,'PROPERTIES'!$B$5:$B$404,0))=0,"",ROUND((INDEX('PROPERTIES'!$F$5:$F$404,MATCH(E664,'PROPERTIES'!$B$5:$B$404,0))/INDEX('PRICING'!$C$7:$C$16,MATCH(F664,'PRICING'!$A$7:$A$16,0))+INDEX('PROPERTIES'!$G$5:$G$404,MATCH(E664,'PROPERTIES'!$B$5:$B$404,0))*INDEX('PRICING'!$D$7:$D$16,MATCH(F664,'PRICING'!$A$7:$A$16,0))/60+INDEX('PROPERTIES'!$H$5:$H$404,MATCH(E664,'PROPERTIES'!$B$5:$B$404,0))*INDEX('PRICING'!$E$7:$E$16,MATCH(F664,'PRICING'!$A$7:$A$16,0))/60+INDEX('PRICING'!$F$7:$F$16,MATCH(F664,'PRICING'!$A$7:$A$16,0))/60),2)),""))</f>
        <v/>
      </c>
      <c r="R664" s="97">
        <f>IF(B664="","",IF(N(K664)&gt;0,K664,IF(N(J664)&gt;0,J664,N(Q664))))</f>
        <v/>
      </c>
      <c r="S664" s="55">
        <f>IF(L664="","",ROUND(L664*(1+N(M664)),2))</f>
        <v/>
      </c>
      <c r="T664" s="55">
        <f>IF(B664="","",SUMIFS('REVENUE'!$C$5:$C$1504,'REVENUE'!$B$5:$B$1504,A664))</f>
        <v/>
      </c>
      <c r="U664" s="55">
        <f>IF(B664="","",IF(O664="Completed",MAX(0,N(S664)-T664),""))</f>
        <v/>
      </c>
      <c r="V664" s="49">
        <f>IF(B664="","",IF(O664&lt;&gt;"Completed",IF(T664&gt;0,"Deposit","—"),IF(U664&lt;=0.005,"Paid",IF(T664&gt;0,"Partial","Unpaid"))))</f>
        <v/>
      </c>
      <c r="W664" s="55">
        <f>IF(B664="","",IFERROR(1/(1/INDEX('STAFF &amp; TASKS'!$C$5:$C$24,MATCH(H664,'STAFF &amp; TASKS'!$A$5:$A$24,0))),PayRate))</f>
        <v/>
      </c>
      <c r="X664" s="55">
        <f>IF(B664="","",IF(OR(O664="Cancelled",O664="No-Show"),"",ROUND(R664*W664*(1+Burden),2)))</f>
        <v/>
      </c>
      <c r="Y664" s="55">
        <f>IF(B664="","",IF(OR(O664="Cancelled",O664="No-Show"),"",IF(N664&lt;&gt;"",N664,ROUND(R664*SupHr*IFERROR(INDEX('PRICING'!$G$7:$G$16,MATCH(F664,'PRICING'!$A$7:$A$16,0)),1),2))))</f>
        <v/>
      </c>
      <c r="Z664" s="98">
        <f>IF(B664="","",SUMIFS('MILEAGE'!$J$5:$J$1504,'MILEAGE'!$B$5:$B$1504,A664))</f>
        <v/>
      </c>
      <c r="AA664" s="55">
        <f>IF(B664="","",ROUND(Z664*MileRate,2))</f>
        <v/>
      </c>
      <c r="AB664" s="55">
        <f>IF(B664="","",SUMIFS('REVENUE'!$J$5:$J$1504,'REVENUE'!$B$5:$B$1504,A664))</f>
        <v/>
      </c>
      <c r="AC664" s="55">
        <f>IF(L664="","",IF(OR(O664="Cancelled",O664="No-Show"),"",L664-N(X664)-N(Y664)-AA664-AB664))</f>
        <v/>
      </c>
      <c r="AD664" s="99">
        <f>IF(OR(AC664="",N(L664)=0),"",AC664/L664)</f>
        <v/>
      </c>
      <c r="AE664" s="55">
        <f>IF(OR(AC664="",N(R664)=0),"",L664/R664)</f>
        <v/>
      </c>
      <c r="AF664" s="100">
        <f>IF(OR(N(K664)=0,N(J664)+N(Q664)=0),"",K664-IF(N(J664)&gt;0,J664,Q664))</f>
        <v/>
      </c>
      <c r="AG664" s="99">
        <f>IF(B664="","",IFERROR(AVERAGEIFS('QUALITY CONTROL'!$M$5:$M$304,'QUALITY CONTROL'!$B$5:$B$304,A664),""))</f>
        <v/>
      </c>
      <c r="AH664" s="51">
        <f>IF(B664="","",DATE(YEAR(B664),MONTH(B664),1))</f>
        <v/>
      </c>
      <c r="AI664" s="49">
        <f>IF(D664="","",IFERROR(INDEX('CUSTOMERS'!$E$5:$E$404,MATCH(D664,'CUSTOMERS'!$B$5:$B$404,0)),""))</f>
        <v/>
      </c>
      <c r="AJ664" s="49">
        <f>IF(B664="","",N(C664))</f>
        <v/>
      </c>
      <c r="AK664" s="49">
        <f>IF(OR(B664="",O664="Cancelled",O664="Rescheduled"),"",B664&amp;"|"&amp;(COUNTIFS('JOBS'!$B$5:$B$1504,B664,'JOBS'!$AJ$5:$AJ$1504,"&lt;"&amp;AJ664,'JOBS'!$O$5:$O$1504,"&lt;&gt;Cancelled",'JOBS'!$O$5:$O$1504,"&lt;&gt;Rescheduled")+COUNTIFS($B$5:B664,B664,$AJ$5:AJ664,AJ664,$O$5:O664,"&lt;&gt;Cancelled",$O$5:O664,"&lt;&gt;Rescheduled")))</f>
        <v/>
      </c>
      <c r="AL664" s="49">
        <f>IF(N(U664)&lt;=0.005,"",COUNTIFS('JOBS'!$U$5:$U$1504,"&gt;0.005",'JOBS'!$B$5:$B$1504,"&lt;"&amp;B664)+COUNTIFS($U$5:U664,"&gt;0.005",$B$5:B664,B664))</f>
        <v/>
      </c>
    </row>
    <row r="665">
      <c r="A665" s="46" t="inlineStr">
        <is>
          <t>J-0661</t>
        </is>
      </c>
      <c r="B665" s="47" t="n"/>
      <c r="C665" s="94" t="n"/>
      <c r="D665" s="38" t="n"/>
      <c r="E665" s="38" t="n"/>
      <c r="F665" s="38" t="n"/>
      <c r="G665" s="38" t="n"/>
      <c r="H665" s="38" t="n"/>
      <c r="I665" s="57" t="n"/>
      <c r="J665" s="95" t="n"/>
      <c r="K665" s="95" t="n"/>
      <c r="L665" s="48" t="n"/>
      <c r="M665" s="96" t="n"/>
      <c r="N665" s="48" t="n"/>
      <c r="O665" s="38" t="n"/>
      <c r="P665" s="38" t="n"/>
      <c r="Q665" s="97">
        <f>IF(OR(F665="",E665=""),"",IFERROR(IF(INDEX('PROPERTIES'!$F$5:$F$404,MATCH(E665,'PROPERTIES'!$B$5:$B$404,0))=0,"",ROUND((INDEX('PROPERTIES'!$F$5:$F$404,MATCH(E665,'PROPERTIES'!$B$5:$B$404,0))/INDEX('PRICING'!$C$7:$C$16,MATCH(F665,'PRICING'!$A$7:$A$16,0))+INDEX('PROPERTIES'!$G$5:$G$404,MATCH(E665,'PROPERTIES'!$B$5:$B$404,0))*INDEX('PRICING'!$D$7:$D$16,MATCH(F665,'PRICING'!$A$7:$A$16,0))/60+INDEX('PROPERTIES'!$H$5:$H$404,MATCH(E665,'PROPERTIES'!$B$5:$B$404,0))*INDEX('PRICING'!$E$7:$E$16,MATCH(F665,'PRICING'!$A$7:$A$16,0))/60+INDEX('PRICING'!$F$7:$F$16,MATCH(F665,'PRICING'!$A$7:$A$16,0))/60),2)),""))</f>
        <v/>
      </c>
      <c r="R665" s="97">
        <f>IF(B665="","",IF(N(K665)&gt;0,K665,IF(N(J665)&gt;0,J665,N(Q665))))</f>
        <v/>
      </c>
      <c r="S665" s="55">
        <f>IF(L665="","",ROUND(L665*(1+N(M665)),2))</f>
        <v/>
      </c>
      <c r="T665" s="55">
        <f>IF(B665="","",SUMIFS('REVENUE'!$C$5:$C$1504,'REVENUE'!$B$5:$B$1504,A665))</f>
        <v/>
      </c>
      <c r="U665" s="55">
        <f>IF(B665="","",IF(O665="Completed",MAX(0,N(S665)-T665),""))</f>
        <v/>
      </c>
      <c r="V665" s="49">
        <f>IF(B665="","",IF(O665&lt;&gt;"Completed",IF(T665&gt;0,"Deposit","—"),IF(U665&lt;=0.005,"Paid",IF(T665&gt;0,"Partial","Unpaid"))))</f>
        <v/>
      </c>
      <c r="W665" s="55">
        <f>IF(B665="","",IFERROR(1/(1/INDEX('STAFF &amp; TASKS'!$C$5:$C$24,MATCH(H665,'STAFF &amp; TASKS'!$A$5:$A$24,0))),PayRate))</f>
        <v/>
      </c>
      <c r="X665" s="55">
        <f>IF(B665="","",IF(OR(O665="Cancelled",O665="No-Show"),"",ROUND(R665*W665*(1+Burden),2)))</f>
        <v/>
      </c>
      <c r="Y665" s="55">
        <f>IF(B665="","",IF(OR(O665="Cancelled",O665="No-Show"),"",IF(N665&lt;&gt;"",N665,ROUND(R665*SupHr*IFERROR(INDEX('PRICING'!$G$7:$G$16,MATCH(F665,'PRICING'!$A$7:$A$16,0)),1),2))))</f>
        <v/>
      </c>
      <c r="Z665" s="98">
        <f>IF(B665="","",SUMIFS('MILEAGE'!$J$5:$J$1504,'MILEAGE'!$B$5:$B$1504,A665))</f>
        <v/>
      </c>
      <c r="AA665" s="55">
        <f>IF(B665="","",ROUND(Z665*MileRate,2))</f>
        <v/>
      </c>
      <c r="AB665" s="55">
        <f>IF(B665="","",SUMIFS('REVENUE'!$J$5:$J$1504,'REVENUE'!$B$5:$B$1504,A665))</f>
        <v/>
      </c>
      <c r="AC665" s="55">
        <f>IF(L665="","",IF(OR(O665="Cancelled",O665="No-Show"),"",L665-N(X665)-N(Y665)-AA665-AB665))</f>
        <v/>
      </c>
      <c r="AD665" s="99">
        <f>IF(OR(AC665="",N(L665)=0),"",AC665/L665)</f>
        <v/>
      </c>
      <c r="AE665" s="55">
        <f>IF(OR(AC665="",N(R665)=0),"",L665/R665)</f>
        <v/>
      </c>
      <c r="AF665" s="100">
        <f>IF(OR(N(K665)=0,N(J665)+N(Q665)=0),"",K665-IF(N(J665)&gt;0,J665,Q665))</f>
        <v/>
      </c>
      <c r="AG665" s="99">
        <f>IF(B665="","",IFERROR(AVERAGEIFS('QUALITY CONTROL'!$M$5:$M$304,'QUALITY CONTROL'!$B$5:$B$304,A665),""))</f>
        <v/>
      </c>
      <c r="AH665" s="51">
        <f>IF(B665="","",DATE(YEAR(B665),MONTH(B665),1))</f>
        <v/>
      </c>
      <c r="AI665" s="49">
        <f>IF(D665="","",IFERROR(INDEX('CUSTOMERS'!$E$5:$E$404,MATCH(D665,'CUSTOMERS'!$B$5:$B$404,0)),""))</f>
        <v/>
      </c>
      <c r="AJ665" s="49">
        <f>IF(B665="","",N(C665))</f>
        <v/>
      </c>
      <c r="AK665" s="49">
        <f>IF(OR(B665="",O665="Cancelled",O665="Rescheduled"),"",B665&amp;"|"&amp;(COUNTIFS('JOBS'!$B$5:$B$1504,B665,'JOBS'!$AJ$5:$AJ$1504,"&lt;"&amp;AJ665,'JOBS'!$O$5:$O$1504,"&lt;&gt;Cancelled",'JOBS'!$O$5:$O$1504,"&lt;&gt;Rescheduled")+COUNTIFS($B$5:B665,B665,$AJ$5:AJ665,AJ665,$O$5:O665,"&lt;&gt;Cancelled",$O$5:O665,"&lt;&gt;Rescheduled")))</f>
        <v/>
      </c>
      <c r="AL665" s="49">
        <f>IF(N(U665)&lt;=0.005,"",COUNTIFS('JOBS'!$U$5:$U$1504,"&gt;0.005",'JOBS'!$B$5:$B$1504,"&lt;"&amp;B665)+COUNTIFS($U$5:U665,"&gt;0.005",$B$5:B665,B665))</f>
        <v/>
      </c>
    </row>
    <row r="666">
      <c r="A666" s="46" t="inlineStr">
        <is>
          <t>J-0662</t>
        </is>
      </c>
      <c r="B666" s="47" t="n"/>
      <c r="C666" s="94" t="n"/>
      <c r="D666" s="38" t="n"/>
      <c r="E666" s="38" t="n"/>
      <c r="F666" s="38" t="n"/>
      <c r="G666" s="38" t="n"/>
      <c r="H666" s="38" t="n"/>
      <c r="I666" s="57" t="n"/>
      <c r="J666" s="95" t="n"/>
      <c r="K666" s="95" t="n"/>
      <c r="L666" s="48" t="n"/>
      <c r="M666" s="96" t="n"/>
      <c r="N666" s="48" t="n"/>
      <c r="O666" s="38" t="n"/>
      <c r="P666" s="38" t="n"/>
      <c r="Q666" s="97">
        <f>IF(OR(F666="",E666=""),"",IFERROR(IF(INDEX('PROPERTIES'!$F$5:$F$404,MATCH(E666,'PROPERTIES'!$B$5:$B$404,0))=0,"",ROUND((INDEX('PROPERTIES'!$F$5:$F$404,MATCH(E666,'PROPERTIES'!$B$5:$B$404,0))/INDEX('PRICING'!$C$7:$C$16,MATCH(F666,'PRICING'!$A$7:$A$16,0))+INDEX('PROPERTIES'!$G$5:$G$404,MATCH(E666,'PROPERTIES'!$B$5:$B$404,0))*INDEX('PRICING'!$D$7:$D$16,MATCH(F666,'PRICING'!$A$7:$A$16,0))/60+INDEX('PROPERTIES'!$H$5:$H$404,MATCH(E666,'PROPERTIES'!$B$5:$B$404,0))*INDEX('PRICING'!$E$7:$E$16,MATCH(F666,'PRICING'!$A$7:$A$16,0))/60+INDEX('PRICING'!$F$7:$F$16,MATCH(F666,'PRICING'!$A$7:$A$16,0))/60),2)),""))</f>
        <v/>
      </c>
      <c r="R666" s="97">
        <f>IF(B666="","",IF(N(K666)&gt;0,K666,IF(N(J666)&gt;0,J666,N(Q666))))</f>
        <v/>
      </c>
      <c r="S666" s="55">
        <f>IF(L666="","",ROUND(L666*(1+N(M666)),2))</f>
        <v/>
      </c>
      <c r="T666" s="55">
        <f>IF(B666="","",SUMIFS('REVENUE'!$C$5:$C$1504,'REVENUE'!$B$5:$B$1504,A666))</f>
        <v/>
      </c>
      <c r="U666" s="55">
        <f>IF(B666="","",IF(O666="Completed",MAX(0,N(S666)-T666),""))</f>
        <v/>
      </c>
      <c r="V666" s="49">
        <f>IF(B666="","",IF(O666&lt;&gt;"Completed",IF(T666&gt;0,"Deposit","—"),IF(U666&lt;=0.005,"Paid",IF(T666&gt;0,"Partial","Unpaid"))))</f>
        <v/>
      </c>
      <c r="W666" s="55">
        <f>IF(B666="","",IFERROR(1/(1/INDEX('STAFF &amp; TASKS'!$C$5:$C$24,MATCH(H666,'STAFF &amp; TASKS'!$A$5:$A$24,0))),PayRate))</f>
        <v/>
      </c>
      <c r="X666" s="55">
        <f>IF(B666="","",IF(OR(O666="Cancelled",O666="No-Show"),"",ROUND(R666*W666*(1+Burden),2)))</f>
        <v/>
      </c>
      <c r="Y666" s="55">
        <f>IF(B666="","",IF(OR(O666="Cancelled",O666="No-Show"),"",IF(N666&lt;&gt;"",N666,ROUND(R666*SupHr*IFERROR(INDEX('PRICING'!$G$7:$G$16,MATCH(F666,'PRICING'!$A$7:$A$16,0)),1),2))))</f>
        <v/>
      </c>
      <c r="Z666" s="98">
        <f>IF(B666="","",SUMIFS('MILEAGE'!$J$5:$J$1504,'MILEAGE'!$B$5:$B$1504,A666))</f>
        <v/>
      </c>
      <c r="AA666" s="55">
        <f>IF(B666="","",ROUND(Z666*MileRate,2))</f>
        <v/>
      </c>
      <c r="AB666" s="55">
        <f>IF(B666="","",SUMIFS('REVENUE'!$J$5:$J$1504,'REVENUE'!$B$5:$B$1504,A666))</f>
        <v/>
      </c>
      <c r="AC666" s="55">
        <f>IF(L666="","",IF(OR(O666="Cancelled",O666="No-Show"),"",L666-N(X666)-N(Y666)-AA666-AB666))</f>
        <v/>
      </c>
      <c r="AD666" s="99">
        <f>IF(OR(AC666="",N(L666)=0),"",AC666/L666)</f>
        <v/>
      </c>
      <c r="AE666" s="55">
        <f>IF(OR(AC666="",N(R666)=0),"",L666/R666)</f>
        <v/>
      </c>
      <c r="AF666" s="100">
        <f>IF(OR(N(K666)=0,N(J666)+N(Q666)=0),"",K666-IF(N(J666)&gt;0,J666,Q666))</f>
        <v/>
      </c>
      <c r="AG666" s="99">
        <f>IF(B666="","",IFERROR(AVERAGEIFS('QUALITY CONTROL'!$M$5:$M$304,'QUALITY CONTROL'!$B$5:$B$304,A666),""))</f>
        <v/>
      </c>
      <c r="AH666" s="51">
        <f>IF(B666="","",DATE(YEAR(B666),MONTH(B666),1))</f>
        <v/>
      </c>
      <c r="AI666" s="49">
        <f>IF(D666="","",IFERROR(INDEX('CUSTOMERS'!$E$5:$E$404,MATCH(D666,'CUSTOMERS'!$B$5:$B$404,0)),""))</f>
        <v/>
      </c>
      <c r="AJ666" s="49">
        <f>IF(B666="","",N(C666))</f>
        <v/>
      </c>
      <c r="AK666" s="49">
        <f>IF(OR(B666="",O666="Cancelled",O666="Rescheduled"),"",B666&amp;"|"&amp;(COUNTIFS('JOBS'!$B$5:$B$1504,B666,'JOBS'!$AJ$5:$AJ$1504,"&lt;"&amp;AJ666,'JOBS'!$O$5:$O$1504,"&lt;&gt;Cancelled",'JOBS'!$O$5:$O$1504,"&lt;&gt;Rescheduled")+COUNTIFS($B$5:B666,B666,$AJ$5:AJ666,AJ666,$O$5:O666,"&lt;&gt;Cancelled",$O$5:O666,"&lt;&gt;Rescheduled")))</f>
        <v/>
      </c>
      <c r="AL666" s="49">
        <f>IF(N(U666)&lt;=0.005,"",COUNTIFS('JOBS'!$U$5:$U$1504,"&gt;0.005",'JOBS'!$B$5:$B$1504,"&lt;"&amp;B666)+COUNTIFS($U$5:U666,"&gt;0.005",$B$5:B666,B666))</f>
        <v/>
      </c>
    </row>
    <row r="667">
      <c r="A667" s="46" t="inlineStr">
        <is>
          <t>J-0663</t>
        </is>
      </c>
      <c r="B667" s="47" t="n"/>
      <c r="C667" s="94" t="n"/>
      <c r="D667" s="38" t="n"/>
      <c r="E667" s="38" t="n"/>
      <c r="F667" s="38" t="n"/>
      <c r="G667" s="38" t="n"/>
      <c r="H667" s="38" t="n"/>
      <c r="I667" s="57" t="n"/>
      <c r="J667" s="95" t="n"/>
      <c r="K667" s="95" t="n"/>
      <c r="L667" s="48" t="n"/>
      <c r="M667" s="96" t="n"/>
      <c r="N667" s="48" t="n"/>
      <c r="O667" s="38" t="n"/>
      <c r="P667" s="38" t="n"/>
      <c r="Q667" s="97">
        <f>IF(OR(F667="",E667=""),"",IFERROR(IF(INDEX('PROPERTIES'!$F$5:$F$404,MATCH(E667,'PROPERTIES'!$B$5:$B$404,0))=0,"",ROUND((INDEX('PROPERTIES'!$F$5:$F$404,MATCH(E667,'PROPERTIES'!$B$5:$B$404,0))/INDEX('PRICING'!$C$7:$C$16,MATCH(F667,'PRICING'!$A$7:$A$16,0))+INDEX('PROPERTIES'!$G$5:$G$404,MATCH(E667,'PROPERTIES'!$B$5:$B$404,0))*INDEX('PRICING'!$D$7:$D$16,MATCH(F667,'PRICING'!$A$7:$A$16,0))/60+INDEX('PROPERTIES'!$H$5:$H$404,MATCH(E667,'PROPERTIES'!$B$5:$B$404,0))*INDEX('PRICING'!$E$7:$E$16,MATCH(F667,'PRICING'!$A$7:$A$16,0))/60+INDEX('PRICING'!$F$7:$F$16,MATCH(F667,'PRICING'!$A$7:$A$16,0))/60),2)),""))</f>
        <v/>
      </c>
      <c r="R667" s="97">
        <f>IF(B667="","",IF(N(K667)&gt;0,K667,IF(N(J667)&gt;0,J667,N(Q667))))</f>
        <v/>
      </c>
      <c r="S667" s="55">
        <f>IF(L667="","",ROUND(L667*(1+N(M667)),2))</f>
        <v/>
      </c>
      <c r="T667" s="55">
        <f>IF(B667="","",SUMIFS('REVENUE'!$C$5:$C$1504,'REVENUE'!$B$5:$B$1504,A667))</f>
        <v/>
      </c>
      <c r="U667" s="55">
        <f>IF(B667="","",IF(O667="Completed",MAX(0,N(S667)-T667),""))</f>
        <v/>
      </c>
      <c r="V667" s="49">
        <f>IF(B667="","",IF(O667&lt;&gt;"Completed",IF(T667&gt;0,"Deposit","—"),IF(U667&lt;=0.005,"Paid",IF(T667&gt;0,"Partial","Unpaid"))))</f>
        <v/>
      </c>
      <c r="W667" s="55">
        <f>IF(B667="","",IFERROR(1/(1/INDEX('STAFF &amp; TASKS'!$C$5:$C$24,MATCH(H667,'STAFF &amp; TASKS'!$A$5:$A$24,0))),PayRate))</f>
        <v/>
      </c>
      <c r="X667" s="55">
        <f>IF(B667="","",IF(OR(O667="Cancelled",O667="No-Show"),"",ROUND(R667*W667*(1+Burden),2)))</f>
        <v/>
      </c>
      <c r="Y667" s="55">
        <f>IF(B667="","",IF(OR(O667="Cancelled",O667="No-Show"),"",IF(N667&lt;&gt;"",N667,ROUND(R667*SupHr*IFERROR(INDEX('PRICING'!$G$7:$G$16,MATCH(F667,'PRICING'!$A$7:$A$16,0)),1),2))))</f>
        <v/>
      </c>
      <c r="Z667" s="98">
        <f>IF(B667="","",SUMIFS('MILEAGE'!$J$5:$J$1504,'MILEAGE'!$B$5:$B$1504,A667))</f>
        <v/>
      </c>
      <c r="AA667" s="55">
        <f>IF(B667="","",ROUND(Z667*MileRate,2))</f>
        <v/>
      </c>
      <c r="AB667" s="55">
        <f>IF(B667="","",SUMIFS('REVENUE'!$J$5:$J$1504,'REVENUE'!$B$5:$B$1504,A667))</f>
        <v/>
      </c>
      <c r="AC667" s="55">
        <f>IF(L667="","",IF(OR(O667="Cancelled",O667="No-Show"),"",L667-N(X667)-N(Y667)-AA667-AB667))</f>
        <v/>
      </c>
      <c r="AD667" s="99">
        <f>IF(OR(AC667="",N(L667)=0),"",AC667/L667)</f>
        <v/>
      </c>
      <c r="AE667" s="55">
        <f>IF(OR(AC667="",N(R667)=0),"",L667/R667)</f>
        <v/>
      </c>
      <c r="AF667" s="100">
        <f>IF(OR(N(K667)=0,N(J667)+N(Q667)=0),"",K667-IF(N(J667)&gt;0,J667,Q667))</f>
        <v/>
      </c>
      <c r="AG667" s="99">
        <f>IF(B667="","",IFERROR(AVERAGEIFS('QUALITY CONTROL'!$M$5:$M$304,'QUALITY CONTROL'!$B$5:$B$304,A667),""))</f>
        <v/>
      </c>
      <c r="AH667" s="51">
        <f>IF(B667="","",DATE(YEAR(B667),MONTH(B667),1))</f>
        <v/>
      </c>
      <c r="AI667" s="49">
        <f>IF(D667="","",IFERROR(INDEX('CUSTOMERS'!$E$5:$E$404,MATCH(D667,'CUSTOMERS'!$B$5:$B$404,0)),""))</f>
        <v/>
      </c>
      <c r="AJ667" s="49">
        <f>IF(B667="","",N(C667))</f>
        <v/>
      </c>
      <c r="AK667" s="49">
        <f>IF(OR(B667="",O667="Cancelled",O667="Rescheduled"),"",B667&amp;"|"&amp;(COUNTIFS('JOBS'!$B$5:$B$1504,B667,'JOBS'!$AJ$5:$AJ$1504,"&lt;"&amp;AJ667,'JOBS'!$O$5:$O$1504,"&lt;&gt;Cancelled",'JOBS'!$O$5:$O$1504,"&lt;&gt;Rescheduled")+COUNTIFS($B$5:B667,B667,$AJ$5:AJ667,AJ667,$O$5:O667,"&lt;&gt;Cancelled",$O$5:O667,"&lt;&gt;Rescheduled")))</f>
        <v/>
      </c>
      <c r="AL667" s="49">
        <f>IF(N(U667)&lt;=0.005,"",COUNTIFS('JOBS'!$U$5:$U$1504,"&gt;0.005",'JOBS'!$B$5:$B$1504,"&lt;"&amp;B667)+COUNTIFS($U$5:U667,"&gt;0.005",$B$5:B667,B667))</f>
        <v/>
      </c>
    </row>
    <row r="668">
      <c r="A668" s="46" t="inlineStr">
        <is>
          <t>J-0664</t>
        </is>
      </c>
      <c r="B668" s="47" t="n"/>
      <c r="C668" s="94" t="n"/>
      <c r="D668" s="38" t="n"/>
      <c r="E668" s="38" t="n"/>
      <c r="F668" s="38" t="n"/>
      <c r="G668" s="38" t="n"/>
      <c r="H668" s="38" t="n"/>
      <c r="I668" s="57" t="n"/>
      <c r="J668" s="95" t="n"/>
      <c r="K668" s="95" t="n"/>
      <c r="L668" s="48" t="n"/>
      <c r="M668" s="96" t="n"/>
      <c r="N668" s="48" t="n"/>
      <c r="O668" s="38" t="n"/>
      <c r="P668" s="38" t="n"/>
      <c r="Q668" s="97">
        <f>IF(OR(F668="",E668=""),"",IFERROR(IF(INDEX('PROPERTIES'!$F$5:$F$404,MATCH(E668,'PROPERTIES'!$B$5:$B$404,0))=0,"",ROUND((INDEX('PROPERTIES'!$F$5:$F$404,MATCH(E668,'PROPERTIES'!$B$5:$B$404,0))/INDEX('PRICING'!$C$7:$C$16,MATCH(F668,'PRICING'!$A$7:$A$16,0))+INDEX('PROPERTIES'!$G$5:$G$404,MATCH(E668,'PROPERTIES'!$B$5:$B$404,0))*INDEX('PRICING'!$D$7:$D$16,MATCH(F668,'PRICING'!$A$7:$A$16,0))/60+INDEX('PROPERTIES'!$H$5:$H$404,MATCH(E668,'PROPERTIES'!$B$5:$B$404,0))*INDEX('PRICING'!$E$7:$E$16,MATCH(F668,'PRICING'!$A$7:$A$16,0))/60+INDEX('PRICING'!$F$7:$F$16,MATCH(F668,'PRICING'!$A$7:$A$16,0))/60),2)),""))</f>
        <v/>
      </c>
      <c r="R668" s="97">
        <f>IF(B668="","",IF(N(K668)&gt;0,K668,IF(N(J668)&gt;0,J668,N(Q668))))</f>
        <v/>
      </c>
      <c r="S668" s="55">
        <f>IF(L668="","",ROUND(L668*(1+N(M668)),2))</f>
        <v/>
      </c>
      <c r="T668" s="55">
        <f>IF(B668="","",SUMIFS('REVENUE'!$C$5:$C$1504,'REVENUE'!$B$5:$B$1504,A668))</f>
        <v/>
      </c>
      <c r="U668" s="55">
        <f>IF(B668="","",IF(O668="Completed",MAX(0,N(S668)-T668),""))</f>
        <v/>
      </c>
      <c r="V668" s="49">
        <f>IF(B668="","",IF(O668&lt;&gt;"Completed",IF(T668&gt;0,"Deposit","—"),IF(U668&lt;=0.005,"Paid",IF(T668&gt;0,"Partial","Unpaid"))))</f>
        <v/>
      </c>
      <c r="W668" s="55">
        <f>IF(B668="","",IFERROR(1/(1/INDEX('STAFF &amp; TASKS'!$C$5:$C$24,MATCH(H668,'STAFF &amp; TASKS'!$A$5:$A$24,0))),PayRate))</f>
        <v/>
      </c>
      <c r="X668" s="55">
        <f>IF(B668="","",IF(OR(O668="Cancelled",O668="No-Show"),"",ROUND(R668*W668*(1+Burden),2)))</f>
        <v/>
      </c>
      <c r="Y668" s="55">
        <f>IF(B668="","",IF(OR(O668="Cancelled",O668="No-Show"),"",IF(N668&lt;&gt;"",N668,ROUND(R668*SupHr*IFERROR(INDEX('PRICING'!$G$7:$G$16,MATCH(F668,'PRICING'!$A$7:$A$16,0)),1),2))))</f>
        <v/>
      </c>
      <c r="Z668" s="98">
        <f>IF(B668="","",SUMIFS('MILEAGE'!$J$5:$J$1504,'MILEAGE'!$B$5:$B$1504,A668))</f>
        <v/>
      </c>
      <c r="AA668" s="55">
        <f>IF(B668="","",ROUND(Z668*MileRate,2))</f>
        <v/>
      </c>
      <c r="AB668" s="55">
        <f>IF(B668="","",SUMIFS('REVENUE'!$J$5:$J$1504,'REVENUE'!$B$5:$B$1504,A668))</f>
        <v/>
      </c>
      <c r="AC668" s="55">
        <f>IF(L668="","",IF(OR(O668="Cancelled",O668="No-Show"),"",L668-N(X668)-N(Y668)-AA668-AB668))</f>
        <v/>
      </c>
      <c r="AD668" s="99">
        <f>IF(OR(AC668="",N(L668)=0),"",AC668/L668)</f>
        <v/>
      </c>
      <c r="AE668" s="55">
        <f>IF(OR(AC668="",N(R668)=0),"",L668/R668)</f>
        <v/>
      </c>
      <c r="AF668" s="100">
        <f>IF(OR(N(K668)=0,N(J668)+N(Q668)=0),"",K668-IF(N(J668)&gt;0,J668,Q668))</f>
        <v/>
      </c>
      <c r="AG668" s="99">
        <f>IF(B668="","",IFERROR(AVERAGEIFS('QUALITY CONTROL'!$M$5:$M$304,'QUALITY CONTROL'!$B$5:$B$304,A668),""))</f>
        <v/>
      </c>
      <c r="AH668" s="51">
        <f>IF(B668="","",DATE(YEAR(B668),MONTH(B668),1))</f>
        <v/>
      </c>
      <c r="AI668" s="49">
        <f>IF(D668="","",IFERROR(INDEX('CUSTOMERS'!$E$5:$E$404,MATCH(D668,'CUSTOMERS'!$B$5:$B$404,0)),""))</f>
        <v/>
      </c>
      <c r="AJ668" s="49">
        <f>IF(B668="","",N(C668))</f>
        <v/>
      </c>
      <c r="AK668" s="49">
        <f>IF(OR(B668="",O668="Cancelled",O668="Rescheduled"),"",B668&amp;"|"&amp;(COUNTIFS('JOBS'!$B$5:$B$1504,B668,'JOBS'!$AJ$5:$AJ$1504,"&lt;"&amp;AJ668,'JOBS'!$O$5:$O$1504,"&lt;&gt;Cancelled",'JOBS'!$O$5:$O$1504,"&lt;&gt;Rescheduled")+COUNTIFS($B$5:B668,B668,$AJ$5:AJ668,AJ668,$O$5:O668,"&lt;&gt;Cancelled",$O$5:O668,"&lt;&gt;Rescheduled")))</f>
        <v/>
      </c>
      <c r="AL668" s="49">
        <f>IF(N(U668)&lt;=0.005,"",COUNTIFS('JOBS'!$U$5:$U$1504,"&gt;0.005",'JOBS'!$B$5:$B$1504,"&lt;"&amp;B668)+COUNTIFS($U$5:U668,"&gt;0.005",$B$5:B668,B668))</f>
        <v/>
      </c>
    </row>
    <row r="669">
      <c r="A669" s="46" t="inlineStr">
        <is>
          <t>J-0665</t>
        </is>
      </c>
      <c r="B669" s="47" t="n"/>
      <c r="C669" s="94" t="n"/>
      <c r="D669" s="38" t="n"/>
      <c r="E669" s="38" t="n"/>
      <c r="F669" s="38" t="n"/>
      <c r="G669" s="38" t="n"/>
      <c r="H669" s="38" t="n"/>
      <c r="I669" s="57" t="n"/>
      <c r="J669" s="95" t="n"/>
      <c r="K669" s="95" t="n"/>
      <c r="L669" s="48" t="n"/>
      <c r="M669" s="96" t="n"/>
      <c r="N669" s="48" t="n"/>
      <c r="O669" s="38" t="n"/>
      <c r="P669" s="38" t="n"/>
      <c r="Q669" s="97">
        <f>IF(OR(F669="",E669=""),"",IFERROR(IF(INDEX('PROPERTIES'!$F$5:$F$404,MATCH(E669,'PROPERTIES'!$B$5:$B$404,0))=0,"",ROUND((INDEX('PROPERTIES'!$F$5:$F$404,MATCH(E669,'PROPERTIES'!$B$5:$B$404,0))/INDEX('PRICING'!$C$7:$C$16,MATCH(F669,'PRICING'!$A$7:$A$16,0))+INDEX('PROPERTIES'!$G$5:$G$404,MATCH(E669,'PROPERTIES'!$B$5:$B$404,0))*INDEX('PRICING'!$D$7:$D$16,MATCH(F669,'PRICING'!$A$7:$A$16,0))/60+INDEX('PROPERTIES'!$H$5:$H$404,MATCH(E669,'PROPERTIES'!$B$5:$B$404,0))*INDEX('PRICING'!$E$7:$E$16,MATCH(F669,'PRICING'!$A$7:$A$16,0))/60+INDEX('PRICING'!$F$7:$F$16,MATCH(F669,'PRICING'!$A$7:$A$16,0))/60),2)),""))</f>
        <v/>
      </c>
      <c r="R669" s="97">
        <f>IF(B669="","",IF(N(K669)&gt;0,K669,IF(N(J669)&gt;0,J669,N(Q669))))</f>
        <v/>
      </c>
      <c r="S669" s="55">
        <f>IF(L669="","",ROUND(L669*(1+N(M669)),2))</f>
        <v/>
      </c>
      <c r="T669" s="55">
        <f>IF(B669="","",SUMIFS('REVENUE'!$C$5:$C$1504,'REVENUE'!$B$5:$B$1504,A669))</f>
        <v/>
      </c>
      <c r="U669" s="55">
        <f>IF(B669="","",IF(O669="Completed",MAX(0,N(S669)-T669),""))</f>
        <v/>
      </c>
      <c r="V669" s="49">
        <f>IF(B669="","",IF(O669&lt;&gt;"Completed",IF(T669&gt;0,"Deposit","—"),IF(U669&lt;=0.005,"Paid",IF(T669&gt;0,"Partial","Unpaid"))))</f>
        <v/>
      </c>
      <c r="W669" s="55">
        <f>IF(B669="","",IFERROR(1/(1/INDEX('STAFF &amp; TASKS'!$C$5:$C$24,MATCH(H669,'STAFF &amp; TASKS'!$A$5:$A$24,0))),PayRate))</f>
        <v/>
      </c>
      <c r="X669" s="55">
        <f>IF(B669="","",IF(OR(O669="Cancelled",O669="No-Show"),"",ROUND(R669*W669*(1+Burden),2)))</f>
        <v/>
      </c>
      <c r="Y669" s="55">
        <f>IF(B669="","",IF(OR(O669="Cancelled",O669="No-Show"),"",IF(N669&lt;&gt;"",N669,ROUND(R669*SupHr*IFERROR(INDEX('PRICING'!$G$7:$G$16,MATCH(F669,'PRICING'!$A$7:$A$16,0)),1),2))))</f>
        <v/>
      </c>
      <c r="Z669" s="98">
        <f>IF(B669="","",SUMIFS('MILEAGE'!$J$5:$J$1504,'MILEAGE'!$B$5:$B$1504,A669))</f>
        <v/>
      </c>
      <c r="AA669" s="55">
        <f>IF(B669="","",ROUND(Z669*MileRate,2))</f>
        <v/>
      </c>
      <c r="AB669" s="55">
        <f>IF(B669="","",SUMIFS('REVENUE'!$J$5:$J$1504,'REVENUE'!$B$5:$B$1504,A669))</f>
        <v/>
      </c>
      <c r="AC669" s="55">
        <f>IF(L669="","",IF(OR(O669="Cancelled",O669="No-Show"),"",L669-N(X669)-N(Y669)-AA669-AB669))</f>
        <v/>
      </c>
      <c r="AD669" s="99">
        <f>IF(OR(AC669="",N(L669)=0),"",AC669/L669)</f>
        <v/>
      </c>
      <c r="AE669" s="55">
        <f>IF(OR(AC669="",N(R669)=0),"",L669/R669)</f>
        <v/>
      </c>
      <c r="AF669" s="100">
        <f>IF(OR(N(K669)=0,N(J669)+N(Q669)=0),"",K669-IF(N(J669)&gt;0,J669,Q669))</f>
        <v/>
      </c>
      <c r="AG669" s="99">
        <f>IF(B669="","",IFERROR(AVERAGEIFS('QUALITY CONTROL'!$M$5:$M$304,'QUALITY CONTROL'!$B$5:$B$304,A669),""))</f>
        <v/>
      </c>
      <c r="AH669" s="51">
        <f>IF(B669="","",DATE(YEAR(B669),MONTH(B669),1))</f>
        <v/>
      </c>
      <c r="AI669" s="49">
        <f>IF(D669="","",IFERROR(INDEX('CUSTOMERS'!$E$5:$E$404,MATCH(D669,'CUSTOMERS'!$B$5:$B$404,0)),""))</f>
        <v/>
      </c>
      <c r="AJ669" s="49">
        <f>IF(B669="","",N(C669))</f>
        <v/>
      </c>
      <c r="AK669" s="49">
        <f>IF(OR(B669="",O669="Cancelled",O669="Rescheduled"),"",B669&amp;"|"&amp;(COUNTIFS('JOBS'!$B$5:$B$1504,B669,'JOBS'!$AJ$5:$AJ$1504,"&lt;"&amp;AJ669,'JOBS'!$O$5:$O$1504,"&lt;&gt;Cancelled",'JOBS'!$O$5:$O$1504,"&lt;&gt;Rescheduled")+COUNTIFS($B$5:B669,B669,$AJ$5:AJ669,AJ669,$O$5:O669,"&lt;&gt;Cancelled",$O$5:O669,"&lt;&gt;Rescheduled")))</f>
        <v/>
      </c>
      <c r="AL669" s="49">
        <f>IF(N(U669)&lt;=0.005,"",COUNTIFS('JOBS'!$U$5:$U$1504,"&gt;0.005",'JOBS'!$B$5:$B$1504,"&lt;"&amp;B669)+COUNTIFS($U$5:U669,"&gt;0.005",$B$5:B669,B669))</f>
        <v/>
      </c>
    </row>
    <row r="670">
      <c r="A670" s="46" t="inlineStr">
        <is>
          <t>J-0666</t>
        </is>
      </c>
      <c r="B670" s="47" t="n"/>
      <c r="C670" s="94" t="n"/>
      <c r="D670" s="38" t="n"/>
      <c r="E670" s="38" t="n"/>
      <c r="F670" s="38" t="n"/>
      <c r="G670" s="38" t="n"/>
      <c r="H670" s="38" t="n"/>
      <c r="I670" s="57" t="n"/>
      <c r="J670" s="95" t="n"/>
      <c r="K670" s="95" t="n"/>
      <c r="L670" s="48" t="n"/>
      <c r="M670" s="96" t="n"/>
      <c r="N670" s="48" t="n"/>
      <c r="O670" s="38" t="n"/>
      <c r="P670" s="38" t="n"/>
      <c r="Q670" s="97">
        <f>IF(OR(F670="",E670=""),"",IFERROR(IF(INDEX('PROPERTIES'!$F$5:$F$404,MATCH(E670,'PROPERTIES'!$B$5:$B$404,0))=0,"",ROUND((INDEX('PROPERTIES'!$F$5:$F$404,MATCH(E670,'PROPERTIES'!$B$5:$B$404,0))/INDEX('PRICING'!$C$7:$C$16,MATCH(F670,'PRICING'!$A$7:$A$16,0))+INDEX('PROPERTIES'!$G$5:$G$404,MATCH(E670,'PROPERTIES'!$B$5:$B$404,0))*INDEX('PRICING'!$D$7:$D$16,MATCH(F670,'PRICING'!$A$7:$A$16,0))/60+INDEX('PROPERTIES'!$H$5:$H$404,MATCH(E670,'PROPERTIES'!$B$5:$B$404,0))*INDEX('PRICING'!$E$7:$E$16,MATCH(F670,'PRICING'!$A$7:$A$16,0))/60+INDEX('PRICING'!$F$7:$F$16,MATCH(F670,'PRICING'!$A$7:$A$16,0))/60),2)),""))</f>
        <v/>
      </c>
      <c r="R670" s="97">
        <f>IF(B670="","",IF(N(K670)&gt;0,K670,IF(N(J670)&gt;0,J670,N(Q670))))</f>
        <v/>
      </c>
      <c r="S670" s="55">
        <f>IF(L670="","",ROUND(L670*(1+N(M670)),2))</f>
        <v/>
      </c>
      <c r="T670" s="55">
        <f>IF(B670="","",SUMIFS('REVENUE'!$C$5:$C$1504,'REVENUE'!$B$5:$B$1504,A670))</f>
        <v/>
      </c>
      <c r="U670" s="55">
        <f>IF(B670="","",IF(O670="Completed",MAX(0,N(S670)-T670),""))</f>
        <v/>
      </c>
      <c r="V670" s="49">
        <f>IF(B670="","",IF(O670&lt;&gt;"Completed",IF(T670&gt;0,"Deposit","—"),IF(U670&lt;=0.005,"Paid",IF(T670&gt;0,"Partial","Unpaid"))))</f>
        <v/>
      </c>
      <c r="W670" s="55">
        <f>IF(B670="","",IFERROR(1/(1/INDEX('STAFF &amp; TASKS'!$C$5:$C$24,MATCH(H670,'STAFF &amp; TASKS'!$A$5:$A$24,0))),PayRate))</f>
        <v/>
      </c>
      <c r="X670" s="55">
        <f>IF(B670="","",IF(OR(O670="Cancelled",O670="No-Show"),"",ROUND(R670*W670*(1+Burden),2)))</f>
        <v/>
      </c>
      <c r="Y670" s="55">
        <f>IF(B670="","",IF(OR(O670="Cancelled",O670="No-Show"),"",IF(N670&lt;&gt;"",N670,ROUND(R670*SupHr*IFERROR(INDEX('PRICING'!$G$7:$G$16,MATCH(F670,'PRICING'!$A$7:$A$16,0)),1),2))))</f>
        <v/>
      </c>
      <c r="Z670" s="98">
        <f>IF(B670="","",SUMIFS('MILEAGE'!$J$5:$J$1504,'MILEAGE'!$B$5:$B$1504,A670))</f>
        <v/>
      </c>
      <c r="AA670" s="55">
        <f>IF(B670="","",ROUND(Z670*MileRate,2))</f>
        <v/>
      </c>
      <c r="AB670" s="55">
        <f>IF(B670="","",SUMIFS('REVENUE'!$J$5:$J$1504,'REVENUE'!$B$5:$B$1504,A670))</f>
        <v/>
      </c>
      <c r="AC670" s="55">
        <f>IF(L670="","",IF(OR(O670="Cancelled",O670="No-Show"),"",L670-N(X670)-N(Y670)-AA670-AB670))</f>
        <v/>
      </c>
      <c r="AD670" s="99">
        <f>IF(OR(AC670="",N(L670)=0),"",AC670/L670)</f>
        <v/>
      </c>
      <c r="AE670" s="55">
        <f>IF(OR(AC670="",N(R670)=0),"",L670/R670)</f>
        <v/>
      </c>
      <c r="AF670" s="100">
        <f>IF(OR(N(K670)=0,N(J670)+N(Q670)=0),"",K670-IF(N(J670)&gt;0,J670,Q670))</f>
        <v/>
      </c>
      <c r="AG670" s="99">
        <f>IF(B670="","",IFERROR(AVERAGEIFS('QUALITY CONTROL'!$M$5:$M$304,'QUALITY CONTROL'!$B$5:$B$304,A670),""))</f>
        <v/>
      </c>
      <c r="AH670" s="51">
        <f>IF(B670="","",DATE(YEAR(B670),MONTH(B670),1))</f>
        <v/>
      </c>
      <c r="AI670" s="49">
        <f>IF(D670="","",IFERROR(INDEX('CUSTOMERS'!$E$5:$E$404,MATCH(D670,'CUSTOMERS'!$B$5:$B$404,0)),""))</f>
        <v/>
      </c>
      <c r="AJ670" s="49">
        <f>IF(B670="","",N(C670))</f>
        <v/>
      </c>
      <c r="AK670" s="49">
        <f>IF(OR(B670="",O670="Cancelled",O670="Rescheduled"),"",B670&amp;"|"&amp;(COUNTIFS('JOBS'!$B$5:$B$1504,B670,'JOBS'!$AJ$5:$AJ$1504,"&lt;"&amp;AJ670,'JOBS'!$O$5:$O$1504,"&lt;&gt;Cancelled",'JOBS'!$O$5:$O$1504,"&lt;&gt;Rescheduled")+COUNTIFS($B$5:B670,B670,$AJ$5:AJ670,AJ670,$O$5:O670,"&lt;&gt;Cancelled",$O$5:O670,"&lt;&gt;Rescheduled")))</f>
        <v/>
      </c>
      <c r="AL670" s="49">
        <f>IF(N(U670)&lt;=0.005,"",COUNTIFS('JOBS'!$U$5:$U$1504,"&gt;0.005",'JOBS'!$B$5:$B$1504,"&lt;"&amp;B670)+COUNTIFS($U$5:U670,"&gt;0.005",$B$5:B670,B670))</f>
        <v/>
      </c>
    </row>
    <row r="671">
      <c r="A671" s="46" t="inlineStr">
        <is>
          <t>J-0667</t>
        </is>
      </c>
      <c r="B671" s="47" t="n"/>
      <c r="C671" s="94" t="n"/>
      <c r="D671" s="38" t="n"/>
      <c r="E671" s="38" t="n"/>
      <c r="F671" s="38" t="n"/>
      <c r="G671" s="38" t="n"/>
      <c r="H671" s="38" t="n"/>
      <c r="I671" s="57" t="n"/>
      <c r="J671" s="95" t="n"/>
      <c r="K671" s="95" t="n"/>
      <c r="L671" s="48" t="n"/>
      <c r="M671" s="96" t="n"/>
      <c r="N671" s="48" t="n"/>
      <c r="O671" s="38" t="n"/>
      <c r="P671" s="38" t="n"/>
      <c r="Q671" s="97">
        <f>IF(OR(F671="",E671=""),"",IFERROR(IF(INDEX('PROPERTIES'!$F$5:$F$404,MATCH(E671,'PROPERTIES'!$B$5:$B$404,0))=0,"",ROUND((INDEX('PROPERTIES'!$F$5:$F$404,MATCH(E671,'PROPERTIES'!$B$5:$B$404,0))/INDEX('PRICING'!$C$7:$C$16,MATCH(F671,'PRICING'!$A$7:$A$16,0))+INDEX('PROPERTIES'!$G$5:$G$404,MATCH(E671,'PROPERTIES'!$B$5:$B$404,0))*INDEX('PRICING'!$D$7:$D$16,MATCH(F671,'PRICING'!$A$7:$A$16,0))/60+INDEX('PROPERTIES'!$H$5:$H$404,MATCH(E671,'PROPERTIES'!$B$5:$B$404,0))*INDEX('PRICING'!$E$7:$E$16,MATCH(F671,'PRICING'!$A$7:$A$16,0))/60+INDEX('PRICING'!$F$7:$F$16,MATCH(F671,'PRICING'!$A$7:$A$16,0))/60),2)),""))</f>
        <v/>
      </c>
      <c r="R671" s="97">
        <f>IF(B671="","",IF(N(K671)&gt;0,K671,IF(N(J671)&gt;0,J671,N(Q671))))</f>
        <v/>
      </c>
      <c r="S671" s="55">
        <f>IF(L671="","",ROUND(L671*(1+N(M671)),2))</f>
        <v/>
      </c>
      <c r="T671" s="55">
        <f>IF(B671="","",SUMIFS('REVENUE'!$C$5:$C$1504,'REVENUE'!$B$5:$B$1504,A671))</f>
        <v/>
      </c>
      <c r="U671" s="55">
        <f>IF(B671="","",IF(O671="Completed",MAX(0,N(S671)-T671),""))</f>
        <v/>
      </c>
      <c r="V671" s="49">
        <f>IF(B671="","",IF(O671&lt;&gt;"Completed",IF(T671&gt;0,"Deposit","—"),IF(U671&lt;=0.005,"Paid",IF(T671&gt;0,"Partial","Unpaid"))))</f>
        <v/>
      </c>
      <c r="W671" s="55">
        <f>IF(B671="","",IFERROR(1/(1/INDEX('STAFF &amp; TASKS'!$C$5:$C$24,MATCH(H671,'STAFF &amp; TASKS'!$A$5:$A$24,0))),PayRate))</f>
        <v/>
      </c>
      <c r="X671" s="55">
        <f>IF(B671="","",IF(OR(O671="Cancelled",O671="No-Show"),"",ROUND(R671*W671*(1+Burden),2)))</f>
        <v/>
      </c>
      <c r="Y671" s="55">
        <f>IF(B671="","",IF(OR(O671="Cancelled",O671="No-Show"),"",IF(N671&lt;&gt;"",N671,ROUND(R671*SupHr*IFERROR(INDEX('PRICING'!$G$7:$G$16,MATCH(F671,'PRICING'!$A$7:$A$16,0)),1),2))))</f>
        <v/>
      </c>
      <c r="Z671" s="98">
        <f>IF(B671="","",SUMIFS('MILEAGE'!$J$5:$J$1504,'MILEAGE'!$B$5:$B$1504,A671))</f>
        <v/>
      </c>
      <c r="AA671" s="55">
        <f>IF(B671="","",ROUND(Z671*MileRate,2))</f>
        <v/>
      </c>
      <c r="AB671" s="55">
        <f>IF(B671="","",SUMIFS('REVENUE'!$J$5:$J$1504,'REVENUE'!$B$5:$B$1504,A671))</f>
        <v/>
      </c>
      <c r="AC671" s="55">
        <f>IF(L671="","",IF(OR(O671="Cancelled",O671="No-Show"),"",L671-N(X671)-N(Y671)-AA671-AB671))</f>
        <v/>
      </c>
      <c r="AD671" s="99">
        <f>IF(OR(AC671="",N(L671)=0),"",AC671/L671)</f>
        <v/>
      </c>
      <c r="AE671" s="55">
        <f>IF(OR(AC671="",N(R671)=0),"",L671/R671)</f>
        <v/>
      </c>
      <c r="AF671" s="100">
        <f>IF(OR(N(K671)=0,N(J671)+N(Q671)=0),"",K671-IF(N(J671)&gt;0,J671,Q671))</f>
        <v/>
      </c>
      <c r="AG671" s="99">
        <f>IF(B671="","",IFERROR(AVERAGEIFS('QUALITY CONTROL'!$M$5:$M$304,'QUALITY CONTROL'!$B$5:$B$304,A671),""))</f>
        <v/>
      </c>
      <c r="AH671" s="51">
        <f>IF(B671="","",DATE(YEAR(B671),MONTH(B671),1))</f>
        <v/>
      </c>
      <c r="AI671" s="49">
        <f>IF(D671="","",IFERROR(INDEX('CUSTOMERS'!$E$5:$E$404,MATCH(D671,'CUSTOMERS'!$B$5:$B$404,0)),""))</f>
        <v/>
      </c>
      <c r="AJ671" s="49">
        <f>IF(B671="","",N(C671))</f>
        <v/>
      </c>
      <c r="AK671" s="49">
        <f>IF(OR(B671="",O671="Cancelled",O671="Rescheduled"),"",B671&amp;"|"&amp;(COUNTIFS('JOBS'!$B$5:$B$1504,B671,'JOBS'!$AJ$5:$AJ$1504,"&lt;"&amp;AJ671,'JOBS'!$O$5:$O$1504,"&lt;&gt;Cancelled",'JOBS'!$O$5:$O$1504,"&lt;&gt;Rescheduled")+COUNTIFS($B$5:B671,B671,$AJ$5:AJ671,AJ671,$O$5:O671,"&lt;&gt;Cancelled",$O$5:O671,"&lt;&gt;Rescheduled")))</f>
        <v/>
      </c>
      <c r="AL671" s="49">
        <f>IF(N(U671)&lt;=0.005,"",COUNTIFS('JOBS'!$U$5:$U$1504,"&gt;0.005",'JOBS'!$B$5:$B$1504,"&lt;"&amp;B671)+COUNTIFS($U$5:U671,"&gt;0.005",$B$5:B671,B671))</f>
        <v/>
      </c>
    </row>
    <row r="672">
      <c r="A672" s="46" t="inlineStr">
        <is>
          <t>J-0668</t>
        </is>
      </c>
      <c r="B672" s="47" t="n"/>
      <c r="C672" s="94" t="n"/>
      <c r="D672" s="38" t="n"/>
      <c r="E672" s="38" t="n"/>
      <c r="F672" s="38" t="n"/>
      <c r="G672" s="38" t="n"/>
      <c r="H672" s="38" t="n"/>
      <c r="I672" s="57" t="n"/>
      <c r="J672" s="95" t="n"/>
      <c r="K672" s="95" t="n"/>
      <c r="L672" s="48" t="n"/>
      <c r="M672" s="96" t="n"/>
      <c r="N672" s="48" t="n"/>
      <c r="O672" s="38" t="n"/>
      <c r="P672" s="38" t="n"/>
      <c r="Q672" s="97">
        <f>IF(OR(F672="",E672=""),"",IFERROR(IF(INDEX('PROPERTIES'!$F$5:$F$404,MATCH(E672,'PROPERTIES'!$B$5:$B$404,0))=0,"",ROUND((INDEX('PROPERTIES'!$F$5:$F$404,MATCH(E672,'PROPERTIES'!$B$5:$B$404,0))/INDEX('PRICING'!$C$7:$C$16,MATCH(F672,'PRICING'!$A$7:$A$16,0))+INDEX('PROPERTIES'!$G$5:$G$404,MATCH(E672,'PROPERTIES'!$B$5:$B$404,0))*INDEX('PRICING'!$D$7:$D$16,MATCH(F672,'PRICING'!$A$7:$A$16,0))/60+INDEX('PROPERTIES'!$H$5:$H$404,MATCH(E672,'PROPERTIES'!$B$5:$B$404,0))*INDEX('PRICING'!$E$7:$E$16,MATCH(F672,'PRICING'!$A$7:$A$16,0))/60+INDEX('PRICING'!$F$7:$F$16,MATCH(F672,'PRICING'!$A$7:$A$16,0))/60),2)),""))</f>
        <v/>
      </c>
      <c r="R672" s="97">
        <f>IF(B672="","",IF(N(K672)&gt;0,K672,IF(N(J672)&gt;0,J672,N(Q672))))</f>
        <v/>
      </c>
      <c r="S672" s="55">
        <f>IF(L672="","",ROUND(L672*(1+N(M672)),2))</f>
        <v/>
      </c>
      <c r="T672" s="55">
        <f>IF(B672="","",SUMIFS('REVENUE'!$C$5:$C$1504,'REVENUE'!$B$5:$B$1504,A672))</f>
        <v/>
      </c>
      <c r="U672" s="55">
        <f>IF(B672="","",IF(O672="Completed",MAX(0,N(S672)-T672),""))</f>
        <v/>
      </c>
      <c r="V672" s="49">
        <f>IF(B672="","",IF(O672&lt;&gt;"Completed",IF(T672&gt;0,"Deposit","—"),IF(U672&lt;=0.005,"Paid",IF(T672&gt;0,"Partial","Unpaid"))))</f>
        <v/>
      </c>
      <c r="W672" s="55">
        <f>IF(B672="","",IFERROR(1/(1/INDEX('STAFF &amp; TASKS'!$C$5:$C$24,MATCH(H672,'STAFF &amp; TASKS'!$A$5:$A$24,0))),PayRate))</f>
        <v/>
      </c>
      <c r="X672" s="55">
        <f>IF(B672="","",IF(OR(O672="Cancelled",O672="No-Show"),"",ROUND(R672*W672*(1+Burden),2)))</f>
        <v/>
      </c>
      <c r="Y672" s="55">
        <f>IF(B672="","",IF(OR(O672="Cancelled",O672="No-Show"),"",IF(N672&lt;&gt;"",N672,ROUND(R672*SupHr*IFERROR(INDEX('PRICING'!$G$7:$G$16,MATCH(F672,'PRICING'!$A$7:$A$16,0)),1),2))))</f>
        <v/>
      </c>
      <c r="Z672" s="98">
        <f>IF(B672="","",SUMIFS('MILEAGE'!$J$5:$J$1504,'MILEAGE'!$B$5:$B$1504,A672))</f>
        <v/>
      </c>
      <c r="AA672" s="55">
        <f>IF(B672="","",ROUND(Z672*MileRate,2))</f>
        <v/>
      </c>
      <c r="AB672" s="55">
        <f>IF(B672="","",SUMIFS('REVENUE'!$J$5:$J$1504,'REVENUE'!$B$5:$B$1504,A672))</f>
        <v/>
      </c>
      <c r="AC672" s="55">
        <f>IF(L672="","",IF(OR(O672="Cancelled",O672="No-Show"),"",L672-N(X672)-N(Y672)-AA672-AB672))</f>
        <v/>
      </c>
      <c r="AD672" s="99">
        <f>IF(OR(AC672="",N(L672)=0),"",AC672/L672)</f>
        <v/>
      </c>
      <c r="AE672" s="55">
        <f>IF(OR(AC672="",N(R672)=0),"",L672/R672)</f>
        <v/>
      </c>
      <c r="AF672" s="100">
        <f>IF(OR(N(K672)=0,N(J672)+N(Q672)=0),"",K672-IF(N(J672)&gt;0,J672,Q672))</f>
        <v/>
      </c>
      <c r="AG672" s="99">
        <f>IF(B672="","",IFERROR(AVERAGEIFS('QUALITY CONTROL'!$M$5:$M$304,'QUALITY CONTROL'!$B$5:$B$304,A672),""))</f>
        <v/>
      </c>
      <c r="AH672" s="51">
        <f>IF(B672="","",DATE(YEAR(B672),MONTH(B672),1))</f>
        <v/>
      </c>
      <c r="AI672" s="49">
        <f>IF(D672="","",IFERROR(INDEX('CUSTOMERS'!$E$5:$E$404,MATCH(D672,'CUSTOMERS'!$B$5:$B$404,0)),""))</f>
        <v/>
      </c>
      <c r="AJ672" s="49">
        <f>IF(B672="","",N(C672))</f>
        <v/>
      </c>
      <c r="AK672" s="49">
        <f>IF(OR(B672="",O672="Cancelled",O672="Rescheduled"),"",B672&amp;"|"&amp;(COUNTIFS('JOBS'!$B$5:$B$1504,B672,'JOBS'!$AJ$5:$AJ$1504,"&lt;"&amp;AJ672,'JOBS'!$O$5:$O$1504,"&lt;&gt;Cancelled",'JOBS'!$O$5:$O$1504,"&lt;&gt;Rescheduled")+COUNTIFS($B$5:B672,B672,$AJ$5:AJ672,AJ672,$O$5:O672,"&lt;&gt;Cancelled",$O$5:O672,"&lt;&gt;Rescheduled")))</f>
        <v/>
      </c>
      <c r="AL672" s="49">
        <f>IF(N(U672)&lt;=0.005,"",COUNTIFS('JOBS'!$U$5:$U$1504,"&gt;0.005",'JOBS'!$B$5:$B$1504,"&lt;"&amp;B672)+COUNTIFS($U$5:U672,"&gt;0.005",$B$5:B672,B672))</f>
        <v/>
      </c>
    </row>
    <row r="673">
      <c r="A673" s="46" t="inlineStr">
        <is>
          <t>J-0669</t>
        </is>
      </c>
      <c r="B673" s="47" t="n"/>
      <c r="C673" s="94" t="n"/>
      <c r="D673" s="38" t="n"/>
      <c r="E673" s="38" t="n"/>
      <c r="F673" s="38" t="n"/>
      <c r="G673" s="38" t="n"/>
      <c r="H673" s="38" t="n"/>
      <c r="I673" s="57" t="n"/>
      <c r="J673" s="95" t="n"/>
      <c r="K673" s="95" t="n"/>
      <c r="L673" s="48" t="n"/>
      <c r="M673" s="96" t="n"/>
      <c r="N673" s="48" t="n"/>
      <c r="O673" s="38" t="n"/>
      <c r="P673" s="38" t="n"/>
      <c r="Q673" s="97">
        <f>IF(OR(F673="",E673=""),"",IFERROR(IF(INDEX('PROPERTIES'!$F$5:$F$404,MATCH(E673,'PROPERTIES'!$B$5:$B$404,0))=0,"",ROUND((INDEX('PROPERTIES'!$F$5:$F$404,MATCH(E673,'PROPERTIES'!$B$5:$B$404,0))/INDEX('PRICING'!$C$7:$C$16,MATCH(F673,'PRICING'!$A$7:$A$16,0))+INDEX('PROPERTIES'!$G$5:$G$404,MATCH(E673,'PROPERTIES'!$B$5:$B$404,0))*INDEX('PRICING'!$D$7:$D$16,MATCH(F673,'PRICING'!$A$7:$A$16,0))/60+INDEX('PROPERTIES'!$H$5:$H$404,MATCH(E673,'PROPERTIES'!$B$5:$B$404,0))*INDEX('PRICING'!$E$7:$E$16,MATCH(F673,'PRICING'!$A$7:$A$16,0))/60+INDEX('PRICING'!$F$7:$F$16,MATCH(F673,'PRICING'!$A$7:$A$16,0))/60),2)),""))</f>
        <v/>
      </c>
      <c r="R673" s="97">
        <f>IF(B673="","",IF(N(K673)&gt;0,K673,IF(N(J673)&gt;0,J673,N(Q673))))</f>
        <v/>
      </c>
      <c r="S673" s="55">
        <f>IF(L673="","",ROUND(L673*(1+N(M673)),2))</f>
        <v/>
      </c>
      <c r="T673" s="55">
        <f>IF(B673="","",SUMIFS('REVENUE'!$C$5:$C$1504,'REVENUE'!$B$5:$B$1504,A673))</f>
        <v/>
      </c>
      <c r="U673" s="55">
        <f>IF(B673="","",IF(O673="Completed",MAX(0,N(S673)-T673),""))</f>
        <v/>
      </c>
      <c r="V673" s="49">
        <f>IF(B673="","",IF(O673&lt;&gt;"Completed",IF(T673&gt;0,"Deposit","—"),IF(U673&lt;=0.005,"Paid",IF(T673&gt;0,"Partial","Unpaid"))))</f>
        <v/>
      </c>
      <c r="W673" s="55">
        <f>IF(B673="","",IFERROR(1/(1/INDEX('STAFF &amp; TASKS'!$C$5:$C$24,MATCH(H673,'STAFF &amp; TASKS'!$A$5:$A$24,0))),PayRate))</f>
        <v/>
      </c>
      <c r="X673" s="55">
        <f>IF(B673="","",IF(OR(O673="Cancelled",O673="No-Show"),"",ROUND(R673*W673*(1+Burden),2)))</f>
        <v/>
      </c>
      <c r="Y673" s="55">
        <f>IF(B673="","",IF(OR(O673="Cancelled",O673="No-Show"),"",IF(N673&lt;&gt;"",N673,ROUND(R673*SupHr*IFERROR(INDEX('PRICING'!$G$7:$G$16,MATCH(F673,'PRICING'!$A$7:$A$16,0)),1),2))))</f>
        <v/>
      </c>
      <c r="Z673" s="98">
        <f>IF(B673="","",SUMIFS('MILEAGE'!$J$5:$J$1504,'MILEAGE'!$B$5:$B$1504,A673))</f>
        <v/>
      </c>
      <c r="AA673" s="55">
        <f>IF(B673="","",ROUND(Z673*MileRate,2))</f>
        <v/>
      </c>
      <c r="AB673" s="55">
        <f>IF(B673="","",SUMIFS('REVENUE'!$J$5:$J$1504,'REVENUE'!$B$5:$B$1504,A673))</f>
        <v/>
      </c>
      <c r="AC673" s="55">
        <f>IF(L673="","",IF(OR(O673="Cancelled",O673="No-Show"),"",L673-N(X673)-N(Y673)-AA673-AB673))</f>
        <v/>
      </c>
      <c r="AD673" s="99">
        <f>IF(OR(AC673="",N(L673)=0),"",AC673/L673)</f>
        <v/>
      </c>
      <c r="AE673" s="55">
        <f>IF(OR(AC673="",N(R673)=0),"",L673/R673)</f>
        <v/>
      </c>
      <c r="AF673" s="100">
        <f>IF(OR(N(K673)=0,N(J673)+N(Q673)=0),"",K673-IF(N(J673)&gt;0,J673,Q673))</f>
        <v/>
      </c>
      <c r="AG673" s="99">
        <f>IF(B673="","",IFERROR(AVERAGEIFS('QUALITY CONTROL'!$M$5:$M$304,'QUALITY CONTROL'!$B$5:$B$304,A673),""))</f>
        <v/>
      </c>
      <c r="AH673" s="51">
        <f>IF(B673="","",DATE(YEAR(B673),MONTH(B673),1))</f>
        <v/>
      </c>
      <c r="AI673" s="49">
        <f>IF(D673="","",IFERROR(INDEX('CUSTOMERS'!$E$5:$E$404,MATCH(D673,'CUSTOMERS'!$B$5:$B$404,0)),""))</f>
        <v/>
      </c>
      <c r="AJ673" s="49">
        <f>IF(B673="","",N(C673))</f>
        <v/>
      </c>
      <c r="AK673" s="49">
        <f>IF(OR(B673="",O673="Cancelled",O673="Rescheduled"),"",B673&amp;"|"&amp;(COUNTIFS('JOBS'!$B$5:$B$1504,B673,'JOBS'!$AJ$5:$AJ$1504,"&lt;"&amp;AJ673,'JOBS'!$O$5:$O$1504,"&lt;&gt;Cancelled",'JOBS'!$O$5:$O$1504,"&lt;&gt;Rescheduled")+COUNTIFS($B$5:B673,B673,$AJ$5:AJ673,AJ673,$O$5:O673,"&lt;&gt;Cancelled",$O$5:O673,"&lt;&gt;Rescheduled")))</f>
        <v/>
      </c>
      <c r="AL673" s="49">
        <f>IF(N(U673)&lt;=0.005,"",COUNTIFS('JOBS'!$U$5:$U$1504,"&gt;0.005",'JOBS'!$B$5:$B$1504,"&lt;"&amp;B673)+COUNTIFS($U$5:U673,"&gt;0.005",$B$5:B673,B673))</f>
        <v/>
      </c>
    </row>
    <row r="674">
      <c r="A674" s="46" t="inlineStr">
        <is>
          <t>J-0670</t>
        </is>
      </c>
      <c r="B674" s="47" t="n"/>
      <c r="C674" s="94" t="n"/>
      <c r="D674" s="38" t="n"/>
      <c r="E674" s="38" t="n"/>
      <c r="F674" s="38" t="n"/>
      <c r="G674" s="38" t="n"/>
      <c r="H674" s="38" t="n"/>
      <c r="I674" s="57" t="n"/>
      <c r="J674" s="95" t="n"/>
      <c r="K674" s="95" t="n"/>
      <c r="L674" s="48" t="n"/>
      <c r="M674" s="96" t="n"/>
      <c r="N674" s="48" t="n"/>
      <c r="O674" s="38" t="n"/>
      <c r="P674" s="38" t="n"/>
      <c r="Q674" s="97">
        <f>IF(OR(F674="",E674=""),"",IFERROR(IF(INDEX('PROPERTIES'!$F$5:$F$404,MATCH(E674,'PROPERTIES'!$B$5:$B$404,0))=0,"",ROUND((INDEX('PROPERTIES'!$F$5:$F$404,MATCH(E674,'PROPERTIES'!$B$5:$B$404,0))/INDEX('PRICING'!$C$7:$C$16,MATCH(F674,'PRICING'!$A$7:$A$16,0))+INDEX('PROPERTIES'!$G$5:$G$404,MATCH(E674,'PROPERTIES'!$B$5:$B$404,0))*INDEX('PRICING'!$D$7:$D$16,MATCH(F674,'PRICING'!$A$7:$A$16,0))/60+INDEX('PROPERTIES'!$H$5:$H$404,MATCH(E674,'PROPERTIES'!$B$5:$B$404,0))*INDEX('PRICING'!$E$7:$E$16,MATCH(F674,'PRICING'!$A$7:$A$16,0))/60+INDEX('PRICING'!$F$7:$F$16,MATCH(F674,'PRICING'!$A$7:$A$16,0))/60),2)),""))</f>
        <v/>
      </c>
      <c r="R674" s="97">
        <f>IF(B674="","",IF(N(K674)&gt;0,K674,IF(N(J674)&gt;0,J674,N(Q674))))</f>
        <v/>
      </c>
      <c r="S674" s="55">
        <f>IF(L674="","",ROUND(L674*(1+N(M674)),2))</f>
        <v/>
      </c>
      <c r="T674" s="55">
        <f>IF(B674="","",SUMIFS('REVENUE'!$C$5:$C$1504,'REVENUE'!$B$5:$B$1504,A674))</f>
        <v/>
      </c>
      <c r="U674" s="55">
        <f>IF(B674="","",IF(O674="Completed",MAX(0,N(S674)-T674),""))</f>
        <v/>
      </c>
      <c r="V674" s="49">
        <f>IF(B674="","",IF(O674&lt;&gt;"Completed",IF(T674&gt;0,"Deposit","—"),IF(U674&lt;=0.005,"Paid",IF(T674&gt;0,"Partial","Unpaid"))))</f>
        <v/>
      </c>
      <c r="W674" s="55">
        <f>IF(B674="","",IFERROR(1/(1/INDEX('STAFF &amp; TASKS'!$C$5:$C$24,MATCH(H674,'STAFF &amp; TASKS'!$A$5:$A$24,0))),PayRate))</f>
        <v/>
      </c>
      <c r="X674" s="55">
        <f>IF(B674="","",IF(OR(O674="Cancelled",O674="No-Show"),"",ROUND(R674*W674*(1+Burden),2)))</f>
        <v/>
      </c>
      <c r="Y674" s="55">
        <f>IF(B674="","",IF(OR(O674="Cancelled",O674="No-Show"),"",IF(N674&lt;&gt;"",N674,ROUND(R674*SupHr*IFERROR(INDEX('PRICING'!$G$7:$G$16,MATCH(F674,'PRICING'!$A$7:$A$16,0)),1),2))))</f>
        <v/>
      </c>
      <c r="Z674" s="98">
        <f>IF(B674="","",SUMIFS('MILEAGE'!$J$5:$J$1504,'MILEAGE'!$B$5:$B$1504,A674))</f>
        <v/>
      </c>
      <c r="AA674" s="55">
        <f>IF(B674="","",ROUND(Z674*MileRate,2))</f>
        <v/>
      </c>
      <c r="AB674" s="55">
        <f>IF(B674="","",SUMIFS('REVENUE'!$J$5:$J$1504,'REVENUE'!$B$5:$B$1504,A674))</f>
        <v/>
      </c>
      <c r="AC674" s="55">
        <f>IF(L674="","",IF(OR(O674="Cancelled",O674="No-Show"),"",L674-N(X674)-N(Y674)-AA674-AB674))</f>
        <v/>
      </c>
      <c r="AD674" s="99">
        <f>IF(OR(AC674="",N(L674)=0),"",AC674/L674)</f>
        <v/>
      </c>
      <c r="AE674" s="55">
        <f>IF(OR(AC674="",N(R674)=0),"",L674/R674)</f>
        <v/>
      </c>
      <c r="AF674" s="100">
        <f>IF(OR(N(K674)=0,N(J674)+N(Q674)=0),"",K674-IF(N(J674)&gt;0,J674,Q674))</f>
        <v/>
      </c>
      <c r="AG674" s="99">
        <f>IF(B674="","",IFERROR(AVERAGEIFS('QUALITY CONTROL'!$M$5:$M$304,'QUALITY CONTROL'!$B$5:$B$304,A674),""))</f>
        <v/>
      </c>
      <c r="AH674" s="51">
        <f>IF(B674="","",DATE(YEAR(B674),MONTH(B674),1))</f>
        <v/>
      </c>
      <c r="AI674" s="49">
        <f>IF(D674="","",IFERROR(INDEX('CUSTOMERS'!$E$5:$E$404,MATCH(D674,'CUSTOMERS'!$B$5:$B$404,0)),""))</f>
        <v/>
      </c>
      <c r="AJ674" s="49">
        <f>IF(B674="","",N(C674))</f>
        <v/>
      </c>
      <c r="AK674" s="49">
        <f>IF(OR(B674="",O674="Cancelled",O674="Rescheduled"),"",B674&amp;"|"&amp;(COUNTIFS('JOBS'!$B$5:$B$1504,B674,'JOBS'!$AJ$5:$AJ$1504,"&lt;"&amp;AJ674,'JOBS'!$O$5:$O$1504,"&lt;&gt;Cancelled",'JOBS'!$O$5:$O$1504,"&lt;&gt;Rescheduled")+COUNTIFS($B$5:B674,B674,$AJ$5:AJ674,AJ674,$O$5:O674,"&lt;&gt;Cancelled",$O$5:O674,"&lt;&gt;Rescheduled")))</f>
        <v/>
      </c>
      <c r="AL674" s="49">
        <f>IF(N(U674)&lt;=0.005,"",COUNTIFS('JOBS'!$U$5:$U$1504,"&gt;0.005",'JOBS'!$B$5:$B$1504,"&lt;"&amp;B674)+COUNTIFS($U$5:U674,"&gt;0.005",$B$5:B674,B674))</f>
        <v/>
      </c>
    </row>
    <row r="675">
      <c r="A675" s="46" t="inlineStr">
        <is>
          <t>J-0671</t>
        </is>
      </c>
      <c r="B675" s="47" t="n"/>
      <c r="C675" s="94" t="n"/>
      <c r="D675" s="38" t="n"/>
      <c r="E675" s="38" t="n"/>
      <c r="F675" s="38" t="n"/>
      <c r="G675" s="38" t="n"/>
      <c r="H675" s="38" t="n"/>
      <c r="I675" s="57" t="n"/>
      <c r="J675" s="95" t="n"/>
      <c r="K675" s="95" t="n"/>
      <c r="L675" s="48" t="n"/>
      <c r="M675" s="96" t="n"/>
      <c r="N675" s="48" t="n"/>
      <c r="O675" s="38" t="n"/>
      <c r="P675" s="38" t="n"/>
      <c r="Q675" s="97">
        <f>IF(OR(F675="",E675=""),"",IFERROR(IF(INDEX('PROPERTIES'!$F$5:$F$404,MATCH(E675,'PROPERTIES'!$B$5:$B$404,0))=0,"",ROUND((INDEX('PROPERTIES'!$F$5:$F$404,MATCH(E675,'PROPERTIES'!$B$5:$B$404,0))/INDEX('PRICING'!$C$7:$C$16,MATCH(F675,'PRICING'!$A$7:$A$16,0))+INDEX('PROPERTIES'!$G$5:$G$404,MATCH(E675,'PROPERTIES'!$B$5:$B$404,0))*INDEX('PRICING'!$D$7:$D$16,MATCH(F675,'PRICING'!$A$7:$A$16,0))/60+INDEX('PROPERTIES'!$H$5:$H$404,MATCH(E675,'PROPERTIES'!$B$5:$B$404,0))*INDEX('PRICING'!$E$7:$E$16,MATCH(F675,'PRICING'!$A$7:$A$16,0))/60+INDEX('PRICING'!$F$7:$F$16,MATCH(F675,'PRICING'!$A$7:$A$16,0))/60),2)),""))</f>
        <v/>
      </c>
      <c r="R675" s="97">
        <f>IF(B675="","",IF(N(K675)&gt;0,K675,IF(N(J675)&gt;0,J675,N(Q675))))</f>
        <v/>
      </c>
      <c r="S675" s="55">
        <f>IF(L675="","",ROUND(L675*(1+N(M675)),2))</f>
        <v/>
      </c>
      <c r="T675" s="55">
        <f>IF(B675="","",SUMIFS('REVENUE'!$C$5:$C$1504,'REVENUE'!$B$5:$B$1504,A675))</f>
        <v/>
      </c>
      <c r="U675" s="55">
        <f>IF(B675="","",IF(O675="Completed",MAX(0,N(S675)-T675),""))</f>
        <v/>
      </c>
      <c r="V675" s="49">
        <f>IF(B675="","",IF(O675&lt;&gt;"Completed",IF(T675&gt;0,"Deposit","—"),IF(U675&lt;=0.005,"Paid",IF(T675&gt;0,"Partial","Unpaid"))))</f>
        <v/>
      </c>
      <c r="W675" s="55">
        <f>IF(B675="","",IFERROR(1/(1/INDEX('STAFF &amp; TASKS'!$C$5:$C$24,MATCH(H675,'STAFF &amp; TASKS'!$A$5:$A$24,0))),PayRate))</f>
        <v/>
      </c>
      <c r="X675" s="55">
        <f>IF(B675="","",IF(OR(O675="Cancelled",O675="No-Show"),"",ROUND(R675*W675*(1+Burden),2)))</f>
        <v/>
      </c>
      <c r="Y675" s="55">
        <f>IF(B675="","",IF(OR(O675="Cancelled",O675="No-Show"),"",IF(N675&lt;&gt;"",N675,ROUND(R675*SupHr*IFERROR(INDEX('PRICING'!$G$7:$G$16,MATCH(F675,'PRICING'!$A$7:$A$16,0)),1),2))))</f>
        <v/>
      </c>
      <c r="Z675" s="98">
        <f>IF(B675="","",SUMIFS('MILEAGE'!$J$5:$J$1504,'MILEAGE'!$B$5:$B$1504,A675))</f>
        <v/>
      </c>
      <c r="AA675" s="55">
        <f>IF(B675="","",ROUND(Z675*MileRate,2))</f>
        <v/>
      </c>
      <c r="AB675" s="55">
        <f>IF(B675="","",SUMIFS('REVENUE'!$J$5:$J$1504,'REVENUE'!$B$5:$B$1504,A675))</f>
        <v/>
      </c>
      <c r="AC675" s="55">
        <f>IF(L675="","",IF(OR(O675="Cancelled",O675="No-Show"),"",L675-N(X675)-N(Y675)-AA675-AB675))</f>
        <v/>
      </c>
      <c r="AD675" s="99">
        <f>IF(OR(AC675="",N(L675)=0),"",AC675/L675)</f>
        <v/>
      </c>
      <c r="AE675" s="55">
        <f>IF(OR(AC675="",N(R675)=0),"",L675/R675)</f>
        <v/>
      </c>
      <c r="AF675" s="100">
        <f>IF(OR(N(K675)=0,N(J675)+N(Q675)=0),"",K675-IF(N(J675)&gt;0,J675,Q675))</f>
        <v/>
      </c>
      <c r="AG675" s="99">
        <f>IF(B675="","",IFERROR(AVERAGEIFS('QUALITY CONTROL'!$M$5:$M$304,'QUALITY CONTROL'!$B$5:$B$304,A675),""))</f>
        <v/>
      </c>
      <c r="AH675" s="51">
        <f>IF(B675="","",DATE(YEAR(B675),MONTH(B675),1))</f>
        <v/>
      </c>
      <c r="AI675" s="49">
        <f>IF(D675="","",IFERROR(INDEX('CUSTOMERS'!$E$5:$E$404,MATCH(D675,'CUSTOMERS'!$B$5:$B$404,0)),""))</f>
        <v/>
      </c>
      <c r="AJ675" s="49">
        <f>IF(B675="","",N(C675))</f>
        <v/>
      </c>
      <c r="AK675" s="49">
        <f>IF(OR(B675="",O675="Cancelled",O675="Rescheduled"),"",B675&amp;"|"&amp;(COUNTIFS('JOBS'!$B$5:$B$1504,B675,'JOBS'!$AJ$5:$AJ$1504,"&lt;"&amp;AJ675,'JOBS'!$O$5:$O$1504,"&lt;&gt;Cancelled",'JOBS'!$O$5:$O$1504,"&lt;&gt;Rescheduled")+COUNTIFS($B$5:B675,B675,$AJ$5:AJ675,AJ675,$O$5:O675,"&lt;&gt;Cancelled",$O$5:O675,"&lt;&gt;Rescheduled")))</f>
        <v/>
      </c>
      <c r="AL675" s="49">
        <f>IF(N(U675)&lt;=0.005,"",COUNTIFS('JOBS'!$U$5:$U$1504,"&gt;0.005",'JOBS'!$B$5:$B$1504,"&lt;"&amp;B675)+COUNTIFS($U$5:U675,"&gt;0.005",$B$5:B675,B675))</f>
        <v/>
      </c>
    </row>
    <row r="676">
      <c r="A676" s="46" t="inlineStr">
        <is>
          <t>J-0672</t>
        </is>
      </c>
      <c r="B676" s="47" t="n"/>
      <c r="C676" s="94" t="n"/>
      <c r="D676" s="38" t="n"/>
      <c r="E676" s="38" t="n"/>
      <c r="F676" s="38" t="n"/>
      <c r="G676" s="38" t="n"/>
      <c r="H676" s="38" t="n"/>
      <c r="I676" s="57" t="n"/>
      <c r="J676" s="95" t="n"/>
      <c r="K676" s="95" t="n"/>
      <c r="L676" s="48" t="n"/>
      <c r="M676" s="96" t="n"/>
      <c r="N676" s="48" t="n"/>
      <c r="O676" s="38" t="n"/>
      <c r="P676" s="38" t="n"/>
      <c r="Q676" s="97">
        <f>IF(OR(F676="",E676=""),"",IFERROR(IF(INDEX('PROPERTIES'!$F$5:$F$404,MATCH(E676,'PROPERTIES'!$B$5:$B$404,0))=0,"",ROUND((INDEX('PROPERTIES'!$F$5:$F$404,MATCH(E676,'PROPERTIES'!$B$5:$B$404,0))/INDEX('PRICING'!$C$7:$C$16,MATCH(F676,'PRICING'!$A$7:$A$16,0))+INDEX('PROPERTIES'!$G$5:$G$404,MATCH(E676,'PROPERTIES'!$B$5:$B$404,0))*INDEX('PRICING'!$D$7:$D$16,MATCH(F676,'PRICING'!$A$7:$A$16,0))/60+INDEX('PROPERTIES'!$H$5:$H$404,MATCH(E676,'PROPERTIES'!$B$5:$B$404,0))*INDEX('PRICING'!$E$7:$E$16,MATCH(F676,'PRICING'!$A$7:$A$16,0))/60+INDEX('PRICING'!$F$7:$F$16,MATCH(F676,'PRICING'!$A$7:$A$16,0))/60),2)),""))</f>
        <v/>
      </c>
      <c r="R676" s="97">
        <f>IF(B676="","",IF(N(K676)&gt;0,K676,IF(N(J676)&gt;0,J676,N(Q676))))</f>
        <v/>
      </c>
      <c r="S676" s="55">
        <f>IF(L676="","",ROUND(L676*(1+N(M676)),2))</f>
        <v/>
      </c>
      <c r="T676" s="55">
        <f>IF(B676="","",SUMIFS('REVENUE'!$C$5:$C$1504,'REVENUE'!$B$5:$B$1504,A676))</f>
        <v/>
      </c>
      <c r="U676" s="55">
        <f>IF(B676="","",IF(O676="Completed",MAX(0,N(S676)-T676),""))</f>
        <v/>
      </c>
      <c r="V676" s="49">
        <f>IF(B676="","",IF(O676&lt;&gt;"Completed",IF(T676&gt;0,"Deposit","—"),IF(U676&lt;=0.005,"Paid",IF(T676&gt;0,"Partial","Unpaid"))))</f>
        <v/>
      </c>
      <c r="W676" s="55">
        <f>IF(B676="","",IFERROR(1/(1/INDEX('STAFF &amp; TASKS'!$C$5:$C$24,MATCH(H676,'STAFF &amp; TASKS'!$A$5:$A$24,0))),PayRate))</f>
        <v/>
      </c>
      <c r="X676" s="55">
        <f>IF(B676="","",IF(OR(O676="Cancelled",O676="No-Show"),"",ROUND(R676*W676*(1+Burden),2)))</f>
        <v/>
      </c>
      <c r="Y676" s="55">
        <f>IF(B676="","",IF(OR(O676="Cancelled",O676="No-Show"),"",IF(N676&lt;&gt;"",N676,ROUND(R676*SupHr*IFERROR(INDEX('PRICING'!$G$7:$G$16,MATCH(F676,'PRICING'!$A$7:$A$16,0)),1),2))))</f>
        <v/>
      </c>
      <c r="Z676" s="98">
        <f>IF(B676="","",SUMIFS('MILEAGE'!$J$5:$J$1504,'MILEAGE'!$B$5:$B$1504,A676))</f>
        <v/>
      </c>
      <c r="AA676" s="55">
        <f>IF(B676="","",ROUND(Z676*MileRate,2))</f>
        <v/>
      </c>
      <c r="AB676" s="55">
        <f>IF(B676="","",SUMIFS('REVENUE'!$J$5:$J$1504,'REVENUE'!$B$5:$B$1504,A676))</f>
        <v/>
      </c>
      <c r="AC676" s="55">
        <f>IF(L676="","",IF(OR(O676="Cancelled",O676="No-Show"),"",L676-N(X676)-N(Y676)-AA676-AB676))</f>
        <v/>
      </c>
      <c r="AD676" s="99">
        <f>IF(OR(AC676="",N(L676)=0),"",AC676/L676)</f>
        <v/>
      </c>
      <c r="AE676" s="55">
        <f>IF(OR(AC676="",N(R676)=0),"",L676/R676)</f>
        <v/>
      </c>
      <c r="AF676" s="100">
        <f>IF(OR(N(K676)=0,N(J676)+N(Q676)=0),"",K676-IF(N(J676)&gt;0,J676,Q676))</f>
        <v/>
      </c>
      <c r="AG676" s="99">
        <f>IF(B676="","",IFERROR(AVERAGEIFS('QUALITY CONTROL'!$M$5:$M$304,'QUALITY CONTROL'!$B$5:$B$304,A676),""))</f>
        <v/>
      </c>
      <c r="AH676" s="51">
        <f>IF(B676="","",DATE(YEAR(B676),MONTH(B676),1))</f>
        <v/>
      </c>
      <c r="AI676" s="49">
        <f>IF(D676="","",IFERROR(INDEX('CUSTOMERS'!$E$5:$E$404,MATCH(D676,'CUSTOMERS'!$B$5:$B$404,0)),""))</f>
        <v/>
      </c>
      <c r="AJ676" s="49">
        <f>IF(B676="","",N(C676))</f>
        <v/>
      </c>
      <c r="AK676" s="49">
        <f>IF(OR(B676="",O676="Cancelled",O676="Rescheduled"),"",B676&amp;"|"&amp;(COUNTIFS('JOBS'!$B$5:$B$1504,B676,'JOBS'!$AJ$5:$AJ$1504,"&lt;"&amp;AJ676,'JOBS'!$O$5:$O$1504,"&lt;&gt;Cancelled",'JOBS'!$O$5:$O$1504,"&lt;&gt;Rescheduled")+COUNTIFS($B$5:B676,B676,$AJ$5:AJ676,AJ676,$O$5:O676,"&lt;&gt;Cancelled",$O$5:O676,"&lt;&gt;Rescheduled")))</f>
        <v/>
      </c>
      <c r="AL676" s="49">
        <f>IF(N(U676)&lt;=0.005,"",COUNTIFS('JOBS'!$U$5:$U$1504,"&gt;0.005",'JOBS'!$B$5:$B$1504,"&lt;"&amp;B676)+COUNTIFS($U$5:U676,"&gt;0.005",$B$5:B676,B676))</f>
        <v/>
      </c>
    </row>
    <row r="677">
      <c r="A677" s="46" t="inlineStr">
        <is>
          <t>J-0673</t>
        </is>
      </c>
      <c r="B677" s="47" t="n"/>
      <c r="C677" s="94" t="n"/>
      <c r="D677" s="38" t="n"/>
      <c r="E677" s="38" t="n"/>
      <c r="F677" s="38" t="n"/>
      <c r="G677" s="38" t="n"/>
      <c r="H677" s="38" t="n"/>
      <c r="I677" s="57" t="n"/>
      <c r="J677" s="95" t="n"/>
      <c r="K677" s="95" t="n"/>
      <c r="L677" s="48" t="n"/>
      <c r="M677" s="96" t="n"/>
      <c r="N677" s="48" t="n"/>
      <c r="O677" s="38" t="n"/>
      <c r="P677" s="38" t="n"/>
      <c r="Q677" s="97">
        <f>IF(OR(F677="",E677=""),"",IFERROR(IF(INDEX('PROPERTIES'!$F$5:$F$404,MATCH(E677,'PROPERTIES'!$B$5:$B$404,0))=0,"",ROUND((INDEX('PROPERTIES'!$F$5:$F$404,MATCH(E677,'PROPERTIES'!$B$5:$B$404,0))/INDEX('PRICING'!$C$7:$C$16,MATCH(F677,'PRICING'!$A$7:$A$16,0))+INDEX('PROPERTIES'!$G$5:$G$404,MATCH(E677,'PROPERTIES'!$B$5:$B$404,0))*INDEX('PRICING'!$D$7:$D$16,MATCH(F677,'PRICING'!$A$7:$A$16,0))/60+INDEX('PROPERTIES'!$H$5:$H$404,MATCH(E677,'PROPERTIES'!$B$5:$B$404,0))*INDEX('PRICING'!$E$7:$E$16,MATCH(F677,'PRICING'!$A$7:$A$16,0))/60+INDEX('PRICING'!$F$7:$F$16,MATCH(F677,'PRICING'!$A$7:$A$16,0))/60),2)),""))</f>
        <v/>
      </c>
      <c r="R677" s="97">
        <f>IF(B677="","",IF(N(K677)&gt;0,K677,IF(N(J677)&gt;0,J677,N(Q677))))</f>
        <v/>
      </c>
      <c r="S677" s="55">
        <f>IF(L677="","",ROUND(L677*(1+N(M677)),2))</f>
        <v/>
      </c>
      <c r="T677" s="55">
        <f>IF(B677="","",SUMIFS('REVENUE'!$C$5:$C$1504,'REVENUE'!$B$5:$B$1504,A677))</f>
        <v/>
      </c>
      <c r="U677" s="55">
        <f>IF(B677="","",IF(O677="Completed",MAX(0,N(S677)-T677),""))</f>
        <v/>
      </c>
      <c r="V677" s="49">
        <f>IF(B677="","",IF(O677&lt;&gt;"Completed",IF(T677&gt;0,"Deposit","—"),IF(U677&lt;=0.005,"Paid",IF(T677&gt;0,"Partial","Unpaid"))))</f>
        <v/>
      </c>
      <c r="W677" s="55">
        <f>IF(B677="","",IFERROR(1/(1/INDEX('STAFF &amp; TASKS'!$C$5:$C$24,MATCH(H677,'STAFF &amp; TASKS'!$A$5:$A$24,0))),PayRate))</f>
        <v/>
      </c>
      <c r="X677" s="55">
        <f>IF(B677="","",IF(OR(O677="Cancelled",O677="No-Show"),"",ROUND(R677*W677*(1+Burden),2)))</f>
        <v/>
      </c>
      <c r="Y677" s="55">
        <f>IF(B677="","",IF(OR(O677="Cancelled",O677="No-Show"),"",IF(N677&lt;&gt;"",N677,ROUND(R677*SupHr*IFERROR(INDEX('PRICING'!$G$7:$G$16,MATCH(F677,'PRICING'!$A$7:$A$16,0)),1),2))))</f>
        <v/>
      </c>
      <c r="Z677" s="98">
        <f>IF(B677="","",SUMIFS('MILEAGE'!$J$5:$J$1504,'MILEAGE'!$B$5:$B$1504,A677))</f>
        <v/>
      </c>
      <c r="AA677" s="55">
        <f>IF(B677="","",ROUND(Z677*MileRate,2))</f>
        <v/>
      </c>
      <c r="AB677" s="55">
        <f>IF(B677="","",SUMIFS('REVENUE'!$J$5:$J$1504,'REVENUE'!$B$5:$B$1504,A677))</f>
        <v/>
      </c>
      <c r="AC677" s="55">
        <f>IF(L677="","",IF(OR(O677="Cancelled",O677="No-Show"),"",L677-N(X677)-N(Y677)-AA677-AB677))</f>
        <v/>
      </c>
      <c r="AD677" s="99">
        <f>IF(OR(AC677="",N(L677)=0),"",AC677/L677)</f>
        <v/>
      </c>
      <c r="AE677" s="55">
        <f>IF(OR(AC677="",N(R677)=0),"",L677/R677)</f>
        <v/>
      </c>
      <c r="AF677" s="100">
        <f>IF(OR(N(K677)=0,N(J677)+N(Q677)=0),"",K677-IF(N(J677)&gt;0,J677,Q677))</f>
        <v/>
      </c>
      <c r="AG677" s="99">
        <f>IF(B677="","",IFERROR(AVERAGEIFS('QUALITY CONTROL'!$M$5:$M$304,'QUALITY CONTROL'!$B$5:$B$304,A677),""))</f>
        <v/>
      </c>
      <c r="AH677" s="51">
        <f>IF(B677="","",DATE(YEAR(B677),MONTH(B677),1))</f>
        <v/>
      </c>
      <c r="AI677" s="49">
        <f>IF(D677="","",IFERROR(INDEX('CUSTOMERS'!$E$5:$E$404,MATCH(D677,'CUSTOMERS'!$B$5:$B$404,0)),""))</f>
        <v/>
      </c>
      <c r="AJ677" s="49">
        <f>IF(B677="","",N(C677))</f>
        <v/>
      </c>
      <c r="AK677" s="49">
        <f>IF(OR(B677="",O677="Cancelled",O677="Rescheduled"),"",B677&amp;"|"&amp;(COUNTIFS('JOBS'!$B$5:$B$1504,B677,'JOBS'!$AJ$5:$AJ$1504,"&lt;"&amp;AJ677,'JOBS'!$O$5:$O$1504,"&lt;&gt;Cancelled",'JOBS'!$O$5:$O$1504,"&lt;&gt;Rescheduled")+COUNTIFS($B$5:B677,B677,$AJ$5:AJ677,AJ677,$O$5:O677,"&lt;&gt;Cancelled",$O$5:O677,"&lt;&gt;Rescheduled")))</f>
        <v/>
      </c>
      <c r="AL677" s="49">
        <f>IF(N(U677)&lt;=0.005,"",COUNTIFS('JOBS'!$U$5:$U$1504,"&gt;0.005",'JOBS'!$B$5:$B$1504,"&lt;"&amp;B677)+COUNTIFS($U$5:U677,"&gt;0.005",$B$5:B677,B677))</f>
        <v/>
      </c>
    </row>
    <row r="678">
      <c r="A678" s="46" t="inlineStr">
        <is>
          <t>J-0674</t>
        </is>
      </c>
      <c r="B678" s="47" t="n"/>
      <c r="C678" s="94" t="n"/>
      <c r="D678" s="38" t="n"/>
      <c r="E678" s="38" t="n"/>
      <c r="F678" s="38" t="n"/>
      <c r="G678" s="38" t="n"/>
      <c r="H678" s="38" t="n"/>
      <c r="I678" s="57" t="n"/>
      <c r="J678" s="95" t="n"/>
      <c r="K678" s="95" t="n"/>
      <c r="L678" s="48" t="n"/>
      <c r="M678" s="96" t="n"/>
      <c r="N678" s="48" t="n"/>
      <c r="O678" s="38" t="n"/>
      <c r="P678" s="38" t="n"/>
      <c r="Q678" s="97">
        <f>IF(OR(F678="",E678=""),"",IFERROR(IF(INDEX('PROPERTIES'!$F$5:$F$404,MATCH(E678,'PROPERTIES'!$B$5:$B$404,0))=0,"",ROUND((INDEX('PROPERTIES'!$F$5:$F$404,MATCH(E678,'PROPERTIES'!$B$5:$B$404,0))/INDEX('PRICING'!$C$7:$C$16,MATCH(F678,'PRICING'!$A$7:$A$16,0))+INDEX('PROPERTIES'!$G$5:$G$404,MATCH(E678,'PROPERTIES'!$B$5:$B$404,0))*INDEX('PRICING'!$D$7:$D$16,MATCH(F678,'PRICING'!$A$7:$A$16,0))/60+INDEX('PROPERTIES'!$H$5:$H$404,MATCH(E678,'PROPERTIES'!$B$5:$B$404,0))*INDEX('PRICING'!$E$7:$E$16,MATCH(F678,'PRICING'!$A$7:$A$16,0))/60+INDEX('PRICING'!$F$7:$F$16,MATCH(F678,'PRICING'!$A$7:$A$16,0))/60),2)),""))</f>
        <v/>
      </c>
      <c r="R678" s="97">
        <f>IF(B678="","",IF(N(K678)&gt;0,K678,IF(N(J678)&gt;0,J678,N(Q678))))</f>
        <v/>
      </c>
      <c r="S678" s="55">
        <f>IF(L678="","",ROUND(L678*(1+N(M678)),2))</f>
        <v/>
      </c>
      <c r="T678" s="55">
        <f>IF(B678="","",SUMIFS('REVENUE'!$C$5:$C$1504,'REVENUE'!$B$5:$B$1504,A678))</f>
        <v/>
      </c>
      <c r="U678" s="55">
        <f>IF(B678="","",IF(O678="Completed",MAX(0,N(S678)-T678),""))</f>
        <v/>
      </c>
      <c r="V678" s="49">
        <f>IF(B678="","",IF(O678&lt;&gt;"Completed",IF(T678&gt;0,"Deposit","—"),IF(U678&lt;=0.005,"Paid",IF(T678&gt;0,"Partial","Unpaid"))))</f>
        <v/>
      </c>
      <c r="W678" s="55">
        <f>IF(B678="","",IFERROR(1/(1/INDEX('STAFF &amp; TASKS'!$C$5:$C$24,MATCH(H678,'STAFF &amp; TASKS'!$A$5:$A$24,0))),PayRate))</f>
        <v/>
      </c>
      <c r="X678" s="55">
        <f>IF(B678="","",IF(OR(O678="Cancelled",O678="No-Show"),"",ROUND(R678*W678*(1+Burden),2)))</f>
        <v/>
      </c>
      <c r="Y678" s="55">
        <f>IF(B678="","",IF(OR(O678="Cancelled",O678="No-Show"),"",IF(N678&lt;&gt;"",N678,ROUND(R678*SupHr*IFERROR(INDEX('PRICING'!$G$7:$G$16,MATCH(F678,'PRICING'!$A$7:$A$16,0)),1),2))))</f>
        <v/>
      </c>
      <c r="Z678" s="98">
        <f>IF(B678="","",SUMIFS('MILEAGE'!$J$5:$J$1504,'MILEAGE'!$B$5:$B$1504,A678))</f>
        <v/>
      </c>
      <c r="AA678" s="55">
        <f>IF(B678="","",ROUND(Z678*MileRate,2))</f>
        <v/>
      </c>
      <c r="AB678" s="55">
        <f>IF(B678="","",SUMIFS('REVENUE'!$J$5:$J$1504,'REVENUE'!$B$5:$B$1504,A678))</f>
        <v/>
      </c>
      <c r="AC678" s="55">
        <f>IF(L678="","",IF(OR(O678="Cancelled",O678="No-Show"),"",L678-N(X678)-N(Y678)-AA678-AB678))</f>
        <v/>
      </c>
      <c r="AD678" s="99">
        <f>IF(OR(AC678="",N(L678)=0),"",AC678/L678)</f>
        <v/>
      </c>
      <c r="AE678" s="55">
        <f>IF(OR(AC678="",N(R678)=0),"",L678/R678)</f>
        <v/>
      </c>
      <c r="AF678" s="100">
        <f>IF(OR(N(K678)=0,N(J678)+N(Q678)=0),"",K678-IF(N(J678)&gt;0,J678,Q678))</f>
        <v/>
      </c>
      <c r="AG678" s="99">
        <f>IF(B678="","",IFERROR(AVERAGEIFS('QUALITY CONTROL'!$M$5:$M$304,'QUALITY CONTROL'!$B$5:$B$304,A678),""))</f>
        <v/>
      </c>
      <c r="AH678" s="51">
        <f>IF(B678="","",DATE(YEAR(B678),MONTH(B678),1))</f>
        <v/>
      </c>
      <c r="AI678" s="49">
        <f>IF(D678="","",IFERROR(INDEX('CUSTOMERS'!$E$5:$E$404,MATCH(D678,'CUSTOMERS'!$B$5:$B$404,0)),""))</f>
        <v/>
      </c>
      <c r="AJ678" s="49">
        <f>IF(B678="","",N(C678))</f>
        <v/>
      </c>
      <c r="AK678" s="49">
        <f>IF(OR(B678="",O678="Cancelled",O678="Rescheduled"),"",B678&amp;"|"&amp;(COUNTIFS('JOBS'!$B$5:$B$1504,B678,'JOBS'!$AJ$5:$AJ$1504,"&lt;"&amp;AJ678,'JOBS'!$O$5:$O$1504,"&lt;&gt;Cancelled",'JOBS'!$O$5:$O$1504,"&lt;&gt;Rescheduled")+COUNTIFS($B$5:B678,B678,$AJ$5:AJ678,AJ678,$O$5:O678,"&lt;&gt;Cancelled",$O$5:O678,"&lt;&gt;Rescheduled")))</f>
        <v/>
      </c>
      <c r="AL678" s="49">
        <f>IF(N(U678)&lt;=0.005,"",COUNTIFS('JOBS'!$U$5:$U$1504,"&gt;0.005",'JOBS'!$B$5:$B$1504,"&lt;"&amp;B678)+COUNTIFS($U$5:U678,"&gt;0.005",$B$5:B678,B678))</f>
        <v/>
      </c>
    </row>
    <row r="679">
      <c r="A679" s="46" t="inlineStr">
        <is>
          <t>J-0675</t>
        </is>
      </c>
      <c r="B679" s="47" t="n"/>
      <c r="C679" s="94" t="n"/>
      <c r="D679" s="38" t="n"/>
      <c r="E679" s="38" t="n"/>
      <c r="F679" s="38" t="n"/>
      <c r="G679" s="38" t="n"/>
      <c r="H679" s="38" t="n"/>
      <c r="I679" s="57" t="n"/>
      <c r="J679" s="95" t="n"/>
      <c r="K679" s="95" t="n"/>
      <c r="L679" s="48" t="n"/>
      <c r="M679" s="96" t="n"/>
      <c r="N679" s="48" t="n"/>
      <c r="O679" s="38" t="n"/>
      <c r="P679" s="38" t="n"/>
      <c r="Q679" s="97">
        <f>IF(OR(F679="",E679=""),"",IFERROR(IF(INDEX('PROPERTIES'!$F$5:$F$404,MATCH(E679,'PROPERTIES'!$B$5:$B$404,0))=0,"",ROUND((INDEX('PROPERTIES'!$F$5:$F$404,MATCH(E679,'PROPERTIES'!$B$5:$B$404,0))/INDEX('PRICING'!$C$7:$C$16,MATCH(F679,'PRICING'!$A$7:$A$16,0))+INDEX('PROPERTIES'!$G$5:$G$404,MATCH(E679,'PROPERTIES'!$B$5:$B$404,0))*INDEX('PRICING'!$D$7:$D$16,MATCH(F679,'PRICING'!$A$7:$A$16,0))/60+INDEX('PROPERTIES'!$H$5:$H$404,MATCH(E679,'PROPERTIES'!$B$5:$B$404,0))*INDEX('PRICING'!$E$7:$E$16,MATCH(F679,'PRICING'!$A$7:$A$16,0))/60+INDEX('PRICING'!$F$7:$F$16,MATCH(F679,'PRICING'!$A$7:$A$16,0))/60),2)),""))</f>
        <v/>
      </c>
      <c r="R679" s="97">
        <f>IF(B679="","",IF(N(K679)&gt;0,K679,IF(N(J679)&gt;0,J679,N(Q679))))</f>
        <v/>
      </c>
      <c r="S679" s="55">
        <f>IF(L679="","",ROUND(L679*(1+N(M679)),2))</f>
        <v/>
      </c>
      <c r="T679" s="55">
        <f>IF(B679="","",SUMIFS('REVENUE'!$C$5:$C$1504,'REVENUE'!$B$5:$B$1504,A679))</f>
        <v/>
      </c>
      <c r="U679" s="55">
        <f>IF(B679="","",IF(O679="Completed",MAX(0,N(S679)-T679),""))</f>
        <v/>
      </c>
      <c r="V679" s="49">
        <f>IF(B679="","",IF(O679&lt;&gt;"Completed",IF(T679&gt;0,"Deposit","—"),IF(U679&lt;=0.005,"Paid",IF(T679&gt;0,"Partial","Unpaid"))))</f>
        <v/>
      </c>
      <c r="W679" s="55">
        <f>IF(B679="","",IFERROR(1/(1/INDEX('STAFF &amp; TASKS'!$C$5:$C$24,MATCH(H679,'STAFF &amp; TASKS'!$A$5:$A$24,0))),PayRate))</f>
        <v/>
      </c>
      <c r="X679" s="55">
        <f>IF(B679="","",IF(OR(O679="Cancelled",O679="No-Show"),"",ROUND(R679*W679*(1+Burden),2)))</f>
        <v/>
      </c>
      <c r="Y679" s="55">
        <f>IF(B679="","",IF(OR(O679="Cancelled",O679="No-Show"),"",IF(N679&lt;&gt;"",N679,ROUND(R679*SupHr*IFERROR(INDEX('PRICING'!$G$7:$G$16,MATCH(F679,'PRICING'!$A$7:$A$16,0)),1),2))))</f>
        <v/>
      </c>
      <c r="Z679" s="98">
        <f>IF(B679="","",SUMIFS('MILEAGE'!$J$5:$J$1504,'MILEAGE'!$B$5:$B$1504,A679))</f>
        <v/>
      </c>
      <c r="AA679" s="55">
        <f>IF(B679="","",ROUND(Z679*MileRate,2))</f>
        <v/>
      </c>
      <c r="AB679" s="55">
        <f>IF(B679="","",SUMIFS('REVENUE'!$J$5:$J$1504,'REVENUE'!$B$5:$B$1504,A679))</f>
        <v/>
      </c>
      <c r="AC679" s="55">
        <f>IF(L679="","",IF(OR(O679="Cancelled",O679="No-Show"),"",L679-N(X679)-N(Y679)-AA679-AB679))</f>
        <v/>
      </c>
      <c r="AD679" s="99">
        <f>IF(OR(AC679="",N(L679)=0),"",AC679/L679)</f>
        <v/>
      </c>
      <c r="AE679" s="55">
        <f>IF(OR(AC679="",N(R679)=0),"",L679/R679)</f>
        <v/>
      </c>
      <c r="AF679" s="100">
        <f>IF(OR(N(K679)=0,N(J679)+N(Q679)=0),"",K679-IF(N(J679)&gt;0,J679,Q679))</f>
        <v/>
      </c>
      <c r="AG679" s="99">
        <f>IF(B679="","",IFERROR(AVERAGEIFS('QUALITY CONTROL'!$M$5:$M$304,'QUALITY CONTROL'!$B$5:$B$304,A679),""))</f>
        <v/>
      </c>
      <c r="AH679" s="51">
        <f>IF(B679="","",DATE(YEAR(B679),MONTH(B679),1))</f>
        <v/>
      </c>
      <c r="AI679" s="49">
        <f>IF(D679="","",IFERROR(INDEX('CUSTOMERS'!$E$5:$E$404,MATCH(D679,'CUSTOMERS'!$B$5:$B$404,0)),""))</f>
        <v/>
      </c>
      <c r="AJ679" s="49">
        <f>IF(B679="","",N(C679))</f>
        <v/>
      </c>
      <c r="AK679" s="49">
        <f>IF(OR(B679="",O679="Cancelled",O679="Rescheduled"),"",B679&amp;"|"&amp;(COUNTIFS('JOBS'!$B$5:$B$1504,B679,'JOBS'!$AJ$5:$AJ$1504,"&lt;"&amp;AJ679,'JOBS'!$O$5:$O$1504,"&lt;&gt;Cancelled",'JOBS'!$O$5:$O$1504,"&lt;&gt;Rescheduled")+COUNTIFS($B$5:B679,B679,$AJ$5:AJ679,AJ679,$O$5:O679,"&lt;&gt;Cancelled",$O$5:O679,"&lt;&gt;Rescheduled")))</f>
        <v/>
      </c>
      <c r="AL679" s="49">
        <f>IF(N(U679)&lt;=0.005,"",COUNTIFS('JOBS'!$U$5:$U$1504,"&gt;0.005",'JOBS'!$B$5:$B$1504,"&lt;"&amp;B679)+COUNTIFS($U$5:U679,"&gt;0.005",$B$5:B679,B679))</f>
        <v/>
      </c>
    </row>
    <row r="680">
      <c r="A680" s="46" t="inlineStr">
        <is>
          <t>J-0676</t>
        </is>
      </c>
      <c r="B680" s="47" t="n"/>
      <c r="C680" s="94" t="n"/>
      <c r="D680" s="38" t="n"/>
      <c r="E680" s="38" t="n"/>
      <c r="F680" s="38" t="n"/>
      <c r="G680" s="38" t="n"/>
      <c r="H680" s="38" t="n"/>
      <c r="I680" s="57" t="n"/>
      <c r="J680" s="95" t="n"/>
      <c r="K680" s="95" t="n"/>
      <c r="L680" s="48" t="n"/>
      <c r="M680" s="96" t="n"/>
      <c r="N680" s="48" t="n"/>
      <c r="O680" s="38" t="n"/>
      <c r="P680" s="38" t="n"/>
      <c r="Q680" s="97">
        <f>IF(OR(F680="",E680=""),"",IFERROR(IF(INDEX('PROPERTIES'!$F$5:$F$404,MATCH(E680,'PROPERTIES'!$B$5:$B$404,0))=0,"",ROUND((INDEX('PROPERTIES'!$F$5:$F$404,MATCH(E680,'PROPERTIES'!$B$5:$B$404,0))/INDEX('PRICING'!$C$7:$C$16,MATCH(F680,'PRICING'!$A$7:$A$16,0))+INDEX('PROPERTIES'!$G$5:$G$404,MATCH(E680,'PROPERTIES'!$B$5:$B$404,0))*INDEX('PRICING'!$D$7:$D$16,MATCH(F680,'PRICING'!$A$7:$A$16,0))/60+INDEX('PROPERTIES'!$H$5:$H$404,MATCH(E680,'PROPERTIES'!$B$5:$B$404,0))*INDEX('PRICING'!$E$7:$E$16,MATCH(F680,'PRICING'!$A$7:$A$16,0))/60+INDEX('PRICING'!$F$7:$F$16,MATCH(F680,'PRICING'!$A$7:$A$16,0))/60),2)),""))</f>
        <v/>
      </c>
      <c r="R680" s="97">
        <f>IF(B680="","",IF(N(K680)&gt;0,K680,IF(N(J680)&gt;0,J680,N(Q680))))</f>
        <v/>
      </c>
      <c r="S680" s="55">
        <f>IF(L680="","",ROUND(L680*(1+N(M680)),2))</f>
        <v/>
      </c>
      <c r="T680" s="55">
        <f>IF(B680="","",SUMIFS('REVENUE'!$C$5:$C$1504,'REVENUE'!$B$5:$B$1504,A680))</f>
        <v/>
      </c>
      <c r="U680" s="55">
        <f>IF(B680="","",IF(O680="Completed",MAX(0,N(S680)-T680),""))</f>
        <v/>
      </c>
      <c r="V680" s="49">
        <f>IF(B680="","",IF(O680&lt;&gt;"Completed",IF(T680&gt;0,"Deposit","—"),IF(U680&lt;=0.005,"Paid",IF(T680&gt;0,"Partial","Unpaid"))))</f>
        <v/>
      </c>
      <c r="W680" s="55">
        <f>IF(B680="","",IFERROR(1/(1/INDEX('STAFF &amp; TASKS'!$C$5:$C$24,MATCH(H680,'STAFF &amp; TASKS'!$A$5:$A$24,0))),PayRate))</f>
        <v/>
      </c>
      <c r="X680" s="55">
        <f>IF(B680="","",IF(OR(O680="Cancelled",O680="No-Show"),"",ROUND(R680*W680*(1+Burden),2)))</f>
        <v/>
      </c>
      <c r="Y680" s="55">
        <f>IF(B680="","",IF(OR(O680="Cancelled",O680="No-Show"),"",IF(N680&lt;&gt;"",N680,ROUND(R680*SupHr*IFERROR(INDEX('PRICING'!$G$7:$G$16,MATCH(F680,'PRICING'!$A$7:$A$16,0)),1),2))))</f>
        <v/>
      </c>
      <c r="Z680" s="98">
        <f>IF(B680="","",SUMIFS('MILEAGE'!$J$5:$J$1504,'MILEAGE'!$B$5:$B$1504,A680))</f>
        <v/>
      </c>
      <c r="AA680" s="55">
        <f>IF(B680="","",ROUND(Z680*MileRate,2))</f>
        <v/>
      </c>
      <c r="AB680" s="55">
        <f>IF(B680="","",SUMIFS('REVENUE'!$J$5:$J$1504,'REVENUE'!$B$5:$B$1504,A680))</f>
        <v/>
      </c>
      <c r="AC680" s="55">
        <f>IF(L680="","",IF(OR(O680="Cancelled",O680="No-Show"),"",L680-N(X680)-N(Y680)-AA680-AB680))</f>
        <v/>
      </c>
      <c r="AD680" s="99">
        <f>IF(OR(AC680="",N(L680)=0),"",AC680/L680)</f>
        <v/>
      </c>
      <c r="AE680" s="55">
        <f>IF(OR(AC680="",N(R680)=0),"",L680/R680)</f>
        <v/>
      </c>
      <c r="AF680" s="100">
        <f>IF(OR(N(K680)=0,N(J680)+N(Q680)=0),"",K680-IF(N(J680)&gt;0,J680,Q680))</f>
        <v/>
      </c>
      <c r="AG680" s="99">
        <f>IF(B680="","",IFERROR(AVERAGEIFS('QUALITY CONTROL'!$M$5:$M$304,'QUALITY CONTROL'!$B$5:$B$304,A680),""))</f>
        <v/>
      </c>
      <c r="AH680" s="51">
        <f>IF(B680="","",DATE(YEAR(B680),MONTH(B680),1))</f>
        <v/>
      </c>
      <c r="AI680" s="49">
        <f>IF(D680="","",IFERROR(INDEX('CUSTOMERS'!$E$5:$E$404,MATCH(D680,'CUSTOMERS'!$B$5:$B$404,0)),""))</f>
        <v/>
      </c>
      <c r="AJ680" s="49">
        <f>IF(B680="","",N(C680))</f>
        <v/>
      </c>
      <c r="AK680" s="49">
        <f>IF(OR(B680="",O680="Cancelled",O680="Rescheduled"),"",B680&amp;"|"&amp;(COUNTIFS('JOBS'!$B$5:$B$1504,B680,'JOBS'!$AJ$5:$AJ$1504,"&lt;"&amp;AJ680,'JOBS'!$O$5:$O$1504,"&lt;&gt;Cancelled",'JOBS'!$O$5:$O$1504,"&lt;&gt;Rescheduled")+COUNTIFS($B$5:B680,B680,$AJ$5:AJ680,AJ680,$O$5:O680,"&lt;&gt;Cancelled",$O$5:O680,"&lt;&gt;Rescheduled")))</f>
        <v/>
      </c>
      <c r="AL680" s="49">
        <f>IF(N(U680)&lt;=0.005,"",COUNTIFS('JOBS'!$U$5:$U$1504,"&gt;0.005",'JOBS'!$B$5:$B$1504,"&lt;"&amp;B680)+COUNTIFS($U$5:U680,"&gt;0.005",$B$5:B680,B680))</f>
        <v/>
      </c>
    </row>
    <row r="681">
      <c r="A681" s="46" t="inlineStr">
        <is>
          <t>J-0677</t>
        </is>
      </c>
      <c r="B681" s="47" t="n"/>
      <c r="C681" s="94" t="n"/>
      <c r="D681" s="38" t="n"/>
      <c r="E681" s="38" t="n"/>
      <c r="F681" s="38" t="n"/>
      <c r="G681" s="38" t="n"/>
      <c r="H681" s="38" t="n"/>
      <c r="I681" s="57" t="n"/>
      <c r="J681" s="95" t="n"/>
      <c r="K681" s="95" t="n"/>
      <c r="L681" s="48" t="n"/>
      <c r="M681" s="96" t="n"/>
      <c r="N681" s="48" t="n"/>
      <c r="O681" s="38" t="n"/>
      <c r="P681" s="38" t="n"/>
      <c r="Q681" s="97">
        <f>IF(OR(F681="",E681=""),"",IFERROR(IF(INDEX('PROPERTIES'!$F$5:$F$404,MATCH(E681,'PROPERTIES'!$B$5:$B$404,0))=0,"",ROUND((INDEX('PROPERTIES'!$F$5:$F$404,MATCH(E681,'PROPERTIES'!$B$5:$B$404,0))/INDEX('PRICING'!$C$7:$C$16,MATCH(F681,'PRICING'!$A$7:$A$16,0))+INDEX('PROPERTIES'!$G$5:$G$404,MATCH(E681,'PROPERTIES'!$B$5:$B$404,0))*INDEX('PRICING'!$D$7:$D$16,MATCH(F681,'PRICING'!$A$7:$A$16,0))/60+INDEX('PROPERTIES'!$H$5:$H$404,MATCH(E681,'PROPERTIES'!$B$5:$B$404,0))*INDEX('PRICING'!$E$7:$E$16,MATCH(F681,'PRICING'!$A$7:$A$16,0))/60+INDEX('PRICING'!$F$7:$F$16,MATCH(F681,'PRICING'!$A$7:$A$16,0))/60),2)),""))</f>
        <v/>
      </c>
      <c r="R681" s="97">
        <f>IF(B681="","",IF(N(K681)&gt;0,K681,IF(N(J681)&gt;0,J681,N(Q681))))</f>
        <v/>
      </c>
      <c r="S681" s="55">
        <f>IF(L681="","",ROUND(L681*(1+N(M681)),2))</f>
        <v/>
      </c>
      <c r="T681" s="55">
        <f>IF(B681="","",SUMIFS('REVENUE'!$C$5:$C$1504,'REVENUE'!$B$5:$B$1504,A681))</f>
        <v/>
      </c>
      <c r="U681" s="55">
        <f>IF(B681="","",IF(O681="Completed",MAX(0,N(S681)-T681),""))</f>
        <v/>
      </c>
      <c r="V681" s="49">
        <f>IF(B681="","",IF(O681&lt;&gt;"Completed",IF(T681&gt;0,"Deposit","—"),IF(U681&lt;=0.005,"Paid",IF(T681&gt;0,"Partial","Unpaid"))))</f>
        <v/>
      </c>
      <c r="W681" s="55">
        <f>IF(B681="","",IFERROR(1/(1/INDEX('STAFF &amp; TASKS'!$C$5:$C$24,MATCH(H681,'STAFF &amp; TASKS'!$A$5:$A$24,0))),PayRate))</f>
        <v/>
      </c>
      <c r="X681" s="55">
        <f>IF(B681="","",IF(OR(O681="Cancelled",O681="No-Show"),"",ROUND(R681*W681*(1+Burden),2)))</f>
        <v/>
      </c>
      <c r="Y681" s="55">
        <f>IF(B681="","",IF(OR(O681="Cancelled",O681="No-Show"),"",IF(N681&lt;&gt;"",N681,ROUND(R681*SupHr*IFERROR(INDEX('PRICING'!$G$7:$G$16,MATCH(F681,'PRICING'!$A$7:$A$16,0)),1),2))))</f>
        <v/>
      </c>
      <c r="Z681" s="98">
        <f>IF(B681="","",SUMIFS('MILEAGE'!$J$5:$J$1504,'MILEAGE'!$B$5:$B$1504,A681))</f>
        <v/>
      </c>
      <c r="AA681" s="55">
        <f>IF(B681="","",ROUND(Z681*MileRate,2))</f>
        <v/>
      </c>
      <c r="AB681" s="55">
        <f>IF(B681="","",SUMIFS('REVENUE'!$J$5:$J$1504,'REVENUE'!$B$5:$B$1504,A681))</f>
        <v/>
      </c>
      <c r="AC681" s="55">
        <f>IF(L681="","",IF(OR(O681="Cancelled",O681="No-Show"),"",L681-N(X681)-N(Y681)-AA681-AB681))</f>
        <v/>
      </c>
      <c r="AD681" s="99">
        <f>IF(OR(AC681="",N(L681)=0),"",AC681/L681)</f>
        <v/>
      </c>
      <c r="AE681" s="55">
        <f>IF(OR(AC681="",N(R681)=0),"",L681/R681)</f>
        <v/>
      </c>
      <c r="AF681" s="100">
        <f>IF(OR(N(K681)=0,N(J681)+N(Q681)=0),"",K681-IF(N(J681)&gt;0,J681,Q681))</f>
        <v/>
      </c>
      <c r="AG681" s="99">
        <f>IF(B681="","",IFERROR(AVERAGEIFS('QUALITY CONTROL'!$M$5:$M$304,'QUALITY CONTROL'!$B$5:$B$304,A681),""))</f>
        <v/>
      </c>
      <c r="AH681" s="51">
        <f>IF(B681="","",DATE(YEAR(B681),MONTH(B681),1))</f>
        <v/>
      </c>
      <c r="AI681" s="49">
        <f>IF(D681="","",IFERROR(INDEX('CUSTOMERS'!$E$5:$E$404,MATCH(D681,'CUSTOMERS'!$B$5:$B$404,0)),""))</f>
        <v/>
      </c>
      <c r="AJ681" s="49">
        <f>IF(B681="","",N(C681))</f>
        <v/>
      </c>
      <c r="AK681" s="49">
        <f>IF(OR(B681="",O681="Cancelled",O681="Rescheduled"),"",B681&amp;"|"&amp;(COUNTIFS('JOBS'!$B$5:$B$1504,B681,'JOBS'!$AJ$5:$AJ$1504,"&lt;"&amp;AJ681,'JOBS'!$O$5:$O$1504,"&lt;&gt;Cancelled",'JOBS'!$O$5:$O$1504,"&lt;&gt;Rescheduled")+COUNTIFS($B$5:B681,B681,$AJ$5:AJ681,AJ681,$O$5:O681,"&lt;&gt;Cancelled",$O$5:O681,"&lt;&gt;Rescheduled")))</f>
        <v/>
      </c>
      <c r="AL681" s="49">
        <f>IF(N(U681)&lt;=0.005,"",COUNTIFS('JOBS'!$U$5:$U$1504,"&gt;0.005",'JOBS'!$B$5:$B$1504,"&lt;"&amp;B681)+COUNTIFS($U$5:U681,"&gt;0.005",$B$5:B681,B681))</f>
        <v/>
      </c>
    </row>
    <row r="682">
      <c r="A682" s="46" t="inlineStr">
        <is>
          <t>J-0678</t>
        </is>
      </c>
      <c r="B682" s="47" t="n"/>
      <c r="C682" s="94" t="n"/>
      <c r="D682" s="38" t="n"/>
      <c r="E682" s="38" t="n"/>
      <c r="F682" s="38" t="n"/>
      <c r="G682" s="38" t="n"/>
      <c r="H682" s="38" t="n"/>
      <c r="I682" s="57" t="n"/>
      <c r="J682" s="95" t="n"/>
      <c r="K682" s="95" t="n"/>
      <c r="L682" s="48" t="n"/>
      <c r="M682" s="96" t="n"/>
      <c r="N682" s="48" t="n"/>
      <c r="O682" s="38" t="n"/>
      <c r="P682" s="38" t="n"/>
      <c r="Q682" s="97">
        <f>IF(OR(F682="",E682=""),"",IFERROR(IF(INDEX('PROPERTIES'!$F$5:$F$404,MATCH(E682,'PROPERTIES'!$B$5:$B$404,0))=0,"",ROUND((INDEX('PROPERTIES'!$F$5:$F$404,MATCH(E682,'PROPERTIES'!$B$5:$B$404,0))/INDEX('PRICING'!$C$7:$C$16,MATCH(F682,'PRICING'!$A$7:$A$16,0))+INDEX('PROPERTIES'!$G$5:$G$404,MATCH(E682,'PROPERTIES'!$B$5:$B$404,0))*INDEX('PRICING'!$D$7:$D$16,MATCH(F682,'PRICING'!$A$7:$A$16,0))/60+INDEX('PROPERTIES'!$H$5:$H$404,MATCH(E682,'PROPERTIES'!$B$5:$B$404,0))*INDEX('PRICING'!$E$7:$E$16,MATCH(F682,'PRICING'!$A$7:$A$16,0))/60+INDEX('PRICING'!$F$7:$F$16,MATCH(F682,'PRICING'!$A$7:$A$16,0))/60),2)),""))</f>
        <v/>
      </c>
      <c r="R682" s="97">
        <f>IF(B682="","",IF(N(K682)&gt;0,K682,IF(N(J682)&gt;0,J682,N(Q682))))</f>
        <v/>
      </c>
      <c r="S682" s="55">
        <f>IF(L682="","",ROUND(L682*(1+N(M682)),2))</f>
        <v/>
      </c>
      <c r="T682" s="55">
        <f>IF(B682="","",SUMIFS('REVENUE'!$C$5:$C$1504,'REVENUE'!$B$5:$B$1504,A682))</f>
        <v/>
      </c>
      <c r="U682" s="55">
        <f>IF(B682="","",IF(O682="Completed",MAX(0,N(S682)-T682),""))</f>
        <v/>
      </c>
      <c r="V682" s="49">
        <f>IF(B682="","",IF(O682&lt;&gt;"Completed",IF(T682&gt;0,"Deposit","—"),IF(U682&lt;=0.005,"Paid",IF(T682&gt;0,"Partial","Unpaid"))))</f>
        <v/>
      </c>
      <c r="W682" s="55">
        <f>IF(B682="","",IFERROR(1/(1/INDEX('STAFF &amp; TASKS'!$C$5:$C$24,MATCH(H682,'STAFF &amp; TASKS'!$A$5:$A$24,0))),PayRate))</f>
        <v/>
      </c>
      <c r="X682" s="55">
        <f>IF(B682="","",IF(OR(O682="Cancelled",O682="No-Show"),"",ROUND(R682*W682*(1+Burden),2)))</f>
        <v/>
      </c>
      <c r="Y682" s="55">
        <f>IF(B682="","",IF(OR(O682="Cancelled",O682="No-Show"),"",IF(N682&lt;&gt;"",N682,ROUND(R682*SupHr*IFERROR(INDEX('PRICING'!$G$7:$G$16,MATCH(F682,'PRICING'!$A$7:$A$16,0)),1),2))))</f>
        <v/>
      </c>
      <c r="Z682" s="98">
        <f>IF(B682="","",SUMIFS('MILEAGE'!$J$5:$J$1504,'MILEAGE'!$B$5:$B$1504,A682))</f>
        <v/>
      </c>
      <c r="AA682" s="55">
        <f>IF(B682="","",ROUND(Z682*MileRate,2))</f>
        <v/>
      </c>
      <c r="AB682" s="55">
        <f>IF(B682="","",SUMIFS('REVENUE'!$J$5:$J$1504,'REVENUE'!$B$5:$B$1504,A682))</f>
        <v/>
      </c>
      <c r="AC682" s="55">
        <f>IF(L682="","",IF(OR(O682="Cancelled",O682="No-Show"),"",L682-N(X682)-N(Y682)-AA682-AB682))</f>
        <v/>
      </c>
      <c r="AD682" s="99">
        <f>IF(OR(AC682="",N(L682)=0),"",AC682/L682)</f>
        <v/>
      </c>
      <c r="AE682" s="55">
        <f>IF(OR(AC682="",N(R682)=0),"",L682/R682)</f>
        <v/>
      </c>
      <c r="AF682" s="100">
        <f>IF(OR(N(K682)=0,N(J682)+N(Q682)=0),"",K682-IF(N(J682)&gt;0,J682,Q682))</f>
        <v/>
      </c>
      <c r="AG682" s="99">
        <f>IF(B682="","",IFERROR(AVERAGEIFS('QUALITY CONTROL'!$M$5:$M$304,'QUALITY CONTROL'!$B$5:$B$304,A682),""))</f>
        <v/>
      </c>
      <c r="AH682" s="51">
        <f>IF(B682="","",DATE(YEAR(B682),MONTH(B682),1))</f>
        <v/>
      </c>
      <c r="AI682" s="49">
        <f>IF(D682="","",IFERROR(INDEX('CUSTOMERS'!$E$5:$E$404,MATCH(D682,'CUSTOMERS'!$B$5:$B$404,0)),""))</f>
        <v/>
      </c>
      <c r="AJ682" s="49">
        <f>IF(B682="","",N(C682))</f>
        <v/>
      </c>
      <c r="AK682" s="49">
        <f>IF(OR(B682="",O682="Cancelled",O682="Rescheduled"),"",B682&amp;"|"&amp;(COUNTIFS('JOBS'!$B$5:$B$1504,B682,'JOBS'!$AJ$5:$AJ$1504,"&lt;"&amp;AJ682,'JOBS'!$O$5:$O$1504,"&lt;&gt;Cancelled",'JOBS'!$O$5:$O$1504,"&lt;&gt;Rescheduled")+COUNTIFS($B$5:B682,B682,$AJ$5:AJ682,AJ682,$O$5:O682,"&lt;&gt;Cancelled",$O$5:O682,"&lt;&gt;Rescheduled")))</f>
        <v/>
      </c>
      <c r="AL682" s="49">
        <f>IF(N(U682)&lt;=0.005,"",COUNTIFS('JOBS'!$U$5:$U$1504,"&gt;0.005",'JOBS'!$B$5:$B$1504,"&lt;"&amp;B682)+COUNTIFS($U$5:U682,"&gt;0.005",$B$5:B682,B682))</f>
        <v/>
      </c>
    </row>
    <row r="683">
      <c r="A683" s="46" t="inlineStr">
        <is>
          <t>J-0679</t>
        </is>
      </c>
      <c r="B683" s="47" t="n"/>
      <c r="C683" s="94" t="n"/>
      <c r="D683" s="38" t="n"/>
      <c r="E683" s="38" t="n"/>
      <c r="F683" s="38" t="n"/>
      <c r="G683" s="38" t="n"/>
      <c r="H683" s="38" t="n"/>
      <c r="I683" s="57" t="n"/>
      <c r="J683" s="95" t="n"/>
      <c r="K683" s="95" t="n"/>
      <c r="L683" s="48" t="n"/>
      <c r="M683" s="96" t="n"/>
      <c r="N683" s="48" t="n"/>
      <c r="O683" s="38" t="n"/>
      <c r="P683" s="38" t="n"/>
      <c r="Q683" s="97">
        <f>IF(OR(F683="",E683=""),"",IFERROR(IF(INDEX('PROPERTIES'!$F$5:$F$404,MATCH(E683,'PROPERTIES'!$B$5:$B$404,0))=0,"",ROUND((INDEX('PROPERTIES'!$F$5:$F$404,MATCH(E683,'PROPERTIES'!$B$5:$B$404,0))/INDEX('PRICING'!$C$7:$C$16,MATCH(F683,'PRICING'!$A$7:$A$16,0))+INDEX('PROPERTIES'!$G$5:$G$404,MATCH(E683,'PROPERTIES'!$B$5:$B$404,0))*INDEX('PRICING'!$D$7:$D$16,MATCH(F683,'PRICING'!$A$7:$A$16,0))/60+INDEX('PROPERTIES'!$H$5:$H$404,MATCH(E683,'PROPERTIES'!$B$5:$B$404,0))*INDEX('PRICING'!$E$7:$E$16,MATCH(F683,'PRICING'!$A$7:$A$16,0))/60+INDEX('PRICING'!$F$7:$F$16,MATCH(F683,'PRICING'!$A$7:$A$16,0))/60),2)),""))</f>
        <v/>
      </c>
      <c r="R683" s="97">
        <f>IF(B683="","",IF(N(K683)&gt;0,K683,IF(N(J683)&gt;0,J683,N(Q683))))</f>
        <v/>
      </c>
      <c r="S683" s="55">
        <f>IF(L683="","",ROUND(L683*(1+N(M683)),2))</f>
        <v/>
      </c>
      <c r="T683" s="55">
        <f>IF(B683="","",SUMIFS('REVENUE'!$C$5:$C$1504,'REVENUE'!$B$5:$B$1504,A683))</f>
        <v/>
      </c>
      <c r="U683" s="55">
        <f>IF(B683="","",IF(O683="Completed",MAX(0,N(S683)-T683),""))</f>
        <v/>
      </c>
      <c r="V683" s="49">
        <f>IF(B683="","",IF(O683&lt;&gt;"Completed",IF(T683&gt;0,"Deposit","—"),IF(U683&lt;=0.005,"Paid",IF(T683&gt;0,"Partial","Unpaid"))))</f>
        <v/>
      </c>
      <c r="W683" s="55">
        <f>IF(B683="","",IFERROR(1/(1/INDEX('STAFF &amp; TASKS'!$C$5:$C$24,MATCH(H683,'STAFF &amp; TASKS'!$A$5:$A$24,0))),PayRate))</f>
        <v/>
      </c>
      <c r="X683" s="55">
        <f>IF(B683="","",IF(OR(O683="Cancelled",O683="No-Show"),"",ROUND(R683*W683*(1+Burden),2)))</f>
        <v/>
      </c>
      <c r="Y683" s="55">
        <f>IF(B683="","",IF(OR(O683="Cancelled",O683="No-Show"),"",IF(N683&lt;&gt;"",N683,ROUND(R683*SupHr*IFERROR(INDEX('PRICING'!$G$7:$G$16,MATCH(F683,'PRICING'!$A$7:$A$16,0)),1),2))))</f>
        <v/>
      </c>
      <c r="Z683" s="98">
        <f>IF(B683="","",SUMIFS('MILEAGE'!$J$5:$J$1504,'MILEAGE'!$B$5:$B$1504,A683))</f>
        <v/>
      </c>
      <c r="AA683" s="55">
        <f>IF(B683="","",ROUND(Z683*MileRate,2))</f>
        <v/>
      </c>
      <c r="AB683" s="55">
        <f>IF(B683="","",SUMIFS('REVENUE'!$J$5:$J$1504,'REVENUE'!$B$5:$B$1504,A683))</f>
        <v/>
      </c>
      <c r="AC683" s="55">
        <f>IF(L683="","",IF(OR(O683="Cancelled",O683="No-Show"),"",L683-N(X683)-N(Y683)-AA683-AB683))</f>
        <v/>
      </c>
      <c r="AD683" s="99">
        <f>IF(OR(AC683="",N(L683)=0),"",AC683/L683)</f>
        <v/>
      </c>
      <c r="AE683" s="55">
        <f>IF(OR(AC683="",N(R683)=0),"",L683/R683)</f>
        <v/>
      </c>
      <c r="AF683" s="100">
        <f>IF(OR(N(K683)=0,N(J683)+N(Q683)=0),"",K683-IF(N(J683)&gt;0,J683,Q683))</f>
        <v/>
      </c>
      <c r="AG683" s="99">
        <f>IF(B683="","",IFERROR(AVERAGEIFS('QUALITY CONTROL'!$M$5:$M$304,'QUALITY CONTROL'!$B$5:$B$304,A683),""))</f>
        <v/>
      </c>
      <c r="AH683" s="51">
        <f>IF(B683="","",DATE(YEAR(B683),MONTH(B683),1))</f>
        <v/>
      </c>
      <c r="AI683" s="49">
        <f>IF(D683="","",IFERROR(INDEX('CUSTOMERS'!$E$5:$E$404,MATCH(D683,'CUSTOMERS'!$B$5:$B$404,0)),""))</f>
        <v/>
      </c>
      <c r="AJ683" s="49">
        <f>IF(B683="","",N(C683))</f>
        <v/>
      </c>
      <c r="AK683" s="49">
        <f>IF(OR(B683="",O683="Cancelled",O683="Rescheduled"),"",B683&amp;"|"&amp;(COUNTIFS('JOBS'!$B$5:$B$1504,B683,'JOBS'!$AJ$5:$AJ$1504,"&lt;"&amp;AJ683,'JOBS'!$O$5:$O$1504,"&lt;&gt;Cancelled",'JOBS'!$O$5:$O$1504,"&lt;&gt;Rescheduled")+COUNTIFS($B$5:B683,B683,$AJ$5:AJ683,AJ683,$O$5:O683,"&lt;&gt;Cancelled",$O$5:O683,"&lt;&gt;Rescheduled")))</f>
        <v/>
      </c>
      <c r="AL683" s="49">
        <f>IF(N(U683)&lt;=0.005,"",COUNTIFS('JOBS'!$U$5:$U$1504,"&gt;0.005",'JOBS'!$B$5:$B$1504,"&lt;"&amp;B683)+COUNTIFS($U$5:U683,"&gt;0.005",$B$5:B683,B683))</f>
        <v/>
      </c>
    </row>
    <row r="684">
      <c r="A684" s="46" t="inlineStr">
        <is>
          <t>J-0680</t>
        </is>
      </c>
      <c r="B684" s="47" t="n"/>
      <c r="C684" s="94" t="n"/>
      <c r="D684" s="38" t="n"/>
      <c r="E684" s="38" t="n"/>
      <c r="F684" s="38" t="n"/>
      <c r="G684" s="38" t="n"/>
      <c r="H684" s="38" t="n"/>
      <c r="I684" s="57" t="n"/>
      <c r="J684" s="95" t="n"/>
      <c r="K684" s="95" t="n"/>
      <c r="L684" s="48" t="n"/>
      <c r="M684" s="96" t="n"/>
      <c r="N684" s="48" t="n"/>
      <c r="O684" s="38" t="n"/>
      <c r="P684" s="38" t="n"/>
      <c r="Q684" s="97">
        <f>IF(OR(F684="",E684=""),"",IFERROR(IF(INDEX('PROPERTIES'!$F$5:$F$404,MATCH(E684,'PROPERTIES'!$B$5:$B$404,0))=0,"",ROUND((INDEX('PROPERTIES'!$F$5:$F$404,MATCH(E684,'PROPERTIES'!$B$5:$B$404,0))/INDEX('PRICING'!$C$7:$C$16,MATCH(F684,'PRICING'!$A$7:$A$16,0))+INDEX('PROPERTIES'!$G$5:$G$404,MATCH(E684,'PROPERTIES'!$B$5:$B$404,0))*INDEX('PRICING'!$D$7:$D$16,MATCH(F684,'PRICING'!$A$7:$A$16,0))/60+INDEX('PROPERTIES'!$H$5:$H$404,MATCH(E684,'PROPERTIES'!$B$5:$B$404,0))*INDEX('PRICING'!$E$7:$E$16,MATCH(F684,'PRICING'!$A$7:$A$16,0))/60+INDEX('PRICING'!$F$7:$F$16,MATCH(F684,'PRICING'!$A$7:$A$16,0))/60),2)),""))</f>
        <v/>
      </c>
      <c r="R684" s="97">
        <f>IF(B684="","",IF(N(K684)&gt;0,K684,IF(N(J684)&gt;0,J684,N(Q684))))</f>
        <v/>
      </c>
      <c r="S684" s="55">
        <f>IF(L684="","",ROUND(L684*(1+N(M684)),2))</f>
        <v/>
      </c>
      <c r="T684" s="55">
        <f>IF(B684="","",SUMIFS('REVENUE'!$C$5:$C$1504,'REVENUE'!$B$5:$B$1504,A684))</f>
        <v/>
      </c>
      <c r="U684" s="55">
        <f>IF(B684="","",IF(O684="Completed",MAX(0,N(S684)-T684),""))</f>
        <v/>
      </c>
      <c r="V684" s="49">
        <f>IF(B684="","",IF(O684&lt;&gt;"Completed",IF(T684&gt;0,"Deposit","—"),IF(U684&lt;=0.005,"Paid",IF(T684&gt;0,"Partial","Unpaid"))))</f>
        <v/>
      </c>
      <c r="W684" s="55">
        <f>IF(B684="","",IFERROR(1/(1/INDEX('STAFF &amp; TASKS'!$C$5:$C$24,MATCH(H684,'STAFF &amp; TASKS'!$A$5:$A$24,0))),PayRate))</f>
        <v/>
      </c>
      <c r="X684" s="55">
        <f>IF(B684="","",IF(OR(O684="Cancelled",O684="No-Show"),"",ROUND(R684*W684*(1+Burden),2)))</f>
        <v/>
      </c>
      <c r="Y684" s="55">
        <f>IF(B684="","",IF(OR(O684="Cancelled",O684="No-Show"),"",IF(N684&lt;&gt;"",N684,ROUND(R684*SupHr*IFERROR(INDEX('PRICING'!$G$7:$G$16,MATCH(F684,'PRICING'!$A$7:$A$16,0)),1),2))))</f>
        <v/>
      </c>
      <c r="Z684" s="98">
        <f>IF(B684="","",SUMIFS('MILEAGE'!$J$5:$J$1504,'MILEAGE'!$B$5:$B$1504,A684))</f>
        <v/>
      </c>
      <c r="AA684" s="55">
        <f>IF(B684="","",ROUND(Z684*MileRate,2))</f>
        <v/>
      </c>
      <c r="AB684" s="55">
        <f>IF(B684="","",SUMIFS('REVENUE'!$J$5:$J$1504,'REVENUE'!$B$5:$B$1504,A684))</f>
        <v/>
      </c>
      <c r="AC684" s="55">
        <f>IF(L684="","",IF(OR(O684="Cancelled",O684="No-Show"),"",L684-N(X684)-N(Y684)-AA684-AB684))</f>
        <v/>
      </c>
      <c r="AD684" s="99">
        <f>IF(OR(AC684="",N(L684)=0),"",AC684/L684)</f>
        <v/>
      </c>
      <c r="AE684" s="55">
        <f>IF(OR(AC684="",N(R684)=0),"",L684/R684)</f>
        <v/>
      </c>
      <c r="AF684" s="100">
        <f>IF(OR(N(K684)=0,N(J684)+N(Q684)=0),"",K684-IF(N(J684)&gt;0,J684,Q684))</f>
        <v/>
      </c>
      <c r="AG684" s="99">
        <f>IF(B684="","",IFERROR(AVERAGEIFS('QUALITY CONTROL'!$M$5:$M$304,'QUALITY CONTROL'!$B$5:$B$304,A684),""))</f>
        <v/>
      </c>
      <c r="AH684" s="51">
        <f>IF(B684="","",DATE(YEAR(B684),MONTH(B684),1))</f>
        <v/>
      </c>
      <c r="AI684" s="49">
        <f>IF(D684="","",IFERROR(INDEX('CUSTOMERS'!$E$5:$E$404,MATCH(D684,'CUSTOMERS'!$B$5:$B$404,0)),""))</f>
        <v/>
      </c>
      <c r="AJ684" s="49">
        <f>IF(B684="","",N(C684))</f>
        <v/>
      </c>
      <c r="AK684" s="49">
        <f>IF(OR(B684="",O684="Cancelled",O684="Rescheduled"),"",B684&amp;"|"&amp;(COUNTIFS('JOBS'!$B$5:$B$1504,B684,'JOBS'!$AJ$5:$AJ$1504,"&lt;"&amp;AJ684,'JOBS'!$O$5:$O$1504,"&lt;&gt;Cancelled",'JOBS'!$O$5:$O$1504,"&lt;&gt;Rescheduled")+COUNTIFS($B$5:B684,B684,$AJ$5:AJ684,AJ684,$O$5:O684,"&lt;&gt;Cancelled",$O$5:O684,"&lt;&gt;Rescheduled")))</f>
        <v/>
      </c>
      <c r="AL684" s="49">
        <f>IF(N(U684)&lt;=0.005,"",COUNTIFS('JOBS'!$U$5:$U$1504,"&gt;0.005",'JOBS'!$B$5:$B$1504,"&lt;"&amp;B684)+COUNTIFS($U$5:U684,"&gt;0.005",$B$5:B684,B684))</f>
        <v/>
      </c>
    </row>
    <row r="685">
      <c r="A685" s="46" t="inlineStr">
        <is>
          <t>J-0681</t>
        </is>
      </c>
      <c r="B685" s="47" t="n"/>
      <c r="C685" s="94" t="n"/>
      <c r="D685" s="38" t="n"/>
      <c r="E685" s="38" t="n"/>
      <c r="F685" s="38" t="n"/>
      <c r="G685" s="38" t="n"/>
      <c r="H685" s="38" t="n"/>
      <c r="I685" s="57" t="n"/>
      <c r="J685" s="95" t="n"/>
      <c r="K685" s="95" t="n"/>
      <c r="L685" s="48" t="n"/>
      <c r="M685" s="96" t="n"/>
      <c r="N685" s="48" t="n"/>
      <c r="O685" s="38" t="n"/>
      <c r="P685" s="38" t="n"/>
      <c r="Q685" s="97">
        <f>IF(OR(F685="",E685=""),"",IFERROR(IF(INDEX('PROPERTIES'!$F$5:$F$404,MATCH(E685,'PROPERTIES'!$B$5:$B$404,0))=0,"",ROUND((INDEX('PROPERTIES'!$F$5:$F$404,MATCH(E685,'PROPERTIES'!$B$5:$B$404,0))/INDEX('PRICING'!$C$7:$C$16,MATCH(F685,'PRICING'!$A$7:$A$16,0))+INDEX('PROPERTIES'!$G$5:$G$404,MATCH(E685,'PROPERTIES'!$B$5:$B$404,0))*INDEX('PRICING'!$D$7:$D$16,MATCH(F685,'PRICING'!$A$7:$A$16,0))/60+INDEX('PROPERTIES'!$H$5:$H$404,MATCH(E685,'PROPERTIES'!$B$5:$B$404,0))*INDEX('PRICING'!$E$7:$E$16,MATCH(F685,'PRICING'!$A$7:$A$16,0))/60+INDEX('PRICING'!$F$7:$F$16,MATCH(F685,'PRICING'!$A$7:$A$16,0))/60),2)),""))</f>
        <v/>
      </c>
      <c r="R685" s="97">
        <f>IF(B685="","",IF(N(K685)&gt;0,K685,IF(N(J685)&gt;0,J685,N(Q685))))</f>
        <v/>
      </c>
      <c r="S685" s="55">
        <f>IF(L685="","",ROUND(L685*(1+N(M685)),2))</f>
        <v/>
      </c>
      <c r="T685" s="55">
        <f>IF(B685="","",SUMIFS('REVENUE'!$C$5:$C$1504,'REVENUE'!$B$5:$B$1504,A685))</f>
        <v/>
      </c>
      <c r="U685" s="55">
        <f>IF(B685="","",IF(O685="Completed",MAX(0,N(S685)-T685),""))</f>
        <v/>
      </c>
      <c r="V685" s="49">
        <f>IF(B685="","",IF(O685&lt;&gt;"Completed",IF(T685&gt;0,"Deposit","—"),IF(U685&lt;=0.005,"Paid",IF(T685&gt;0,"Partial","Unpaid"))))</f>
        <v/>
      </c>
      <c r="W685" s="55">
        <f>IF(B685="","",IFERROR(1/(1/INDEX('STAFF &amp; TASKS'!$C$5:$C$24,MATCH(H685,'STAFF &amp; TASKS'!$A$5:$A$24,0))),PayRate))</f>
        <v/>
      </c>
      <c r="X685" s="55">
        <f>IF(B685="","",IF(OR(O685="Cancelled",O685="No-Show"),"",ROUND(R685*W685*(1+Burden),2)))</f>
        <v/>
      </c>
      <c r="Y685" s="55">
        <f>IF(B685="","",IF(OR(O685="Cancelled",O685="No-Show"),"",IF(N685&lt;&gt;"",N685,ROUND(R685*SupHr*IFERROR(INDEX('PRICING'!$G$7:$G$16,MATCH(F685,'PRICING'!$A$7:$A$16,0)),1),2))))</f>
        <v/>
      </c>
      <c r="Z685" s="98">
        <f>IF(B685="","",SUMIFS('MILEAGE'!$J$5:$J$1504,'MILEAGE'!$B$5:$B$1504,A685))</f>
        <v/>
      </c>
      <c r="AA685" s="55">
        <f>IF(B685="","",ROUND(Z685*MileRate,2))</f>
        <v/>
      </c>
      <c r="AB685" s="55">
        <f>IF(B685="","",SUMIFS('REVENUE'!$J$5:$J$1504,'REVENUE'!$B$5:$B$1504,A685))</f>
        <v/>
      </c>
      <c r="AC685" s="55">
        <f>IF(L685="","",IF(OR(O685="Cancelled",O685="No-Show"),"",L685-N(X685)-N(Y685)-AA685-AB685))</f>
        <v/>
      </c>
      <c r="AD685" s="99">
        <f>IF(OR(AC685="",N(L685)=0),"",AC685/L685)</f>
        <v/>
      </c>
      <c r="AE685" s="55">
        <f>IF(OR(AC685="",N(R685)=0),"",L685/R685)</f>
        <v/>
      </c>
      <c r="AF685" s="100">
        <f>IF(OR(N(K685)=0,N(J685)+N(Q685)=0),"",K685-IF(N(J685)&gt;0,J685,Q685))</f>
        <v/>
      </c>
      <c r="AG685" s="99">
        <f>IF(B685="","",IFERROR(AVERAGEIFS('QUALITY CONTROL'!$M$5:$M$304,'QUALITY CONTROL'!$B$5:$B$304,A685),""))</f>
        <v/>
      </c>
      <c r="AH685" s="51">
        <f>IF(B685="","",DATE(YEAR(B685),MONTH(B685),1))</f>
        <v/>
      </c>
      <c r="AI685" s="49">
        <f>IF(D685="","",IFERROR(INDEX('CUSTOMERS'!$E$5:$E$404,MATCH(D685,'CUSTOMERS'!$B$5:$B$404,0)),""))</f>
        <v/>
      </c>
      <c r="AJ685" s="49">
        <f>IF(B685="","",N(C685))</f>
        <v/>
      </c>
      <c r="AK685" s="49">
        <f>IF(OR(B685="",O685="Cancelled",O685="Rescheduled"),"",B685&amp;"|"&amp;(COUNTIFS('JOBS'!$B$5:$B$1504,B685,'JOBS'!$AJ$5:$AJ$1504,"&lt;"&amp;AJ685,'JOBS'!$O$5:$O$1504,"&lt;&gt;Cancelled",'JOBS'!$O$5:$O$1504,"&lt;&gt;Rescheduled")+COUNTIFS($B$5:B685,B685,$AJ$5:AJ685,AJ685,$O$5:O685,"&lt;&gt;Cancelled",$O$5:O685,"&lt;&gt;Rescheduled")))</f>
        <v/>
      </c>
      <c r="AL685" s="49">
        <f>IF(N(U685)&lt;=0.005,"",COUNTIFS('JOBS'!$U$5:$U$1504,"&gt;0.005",'JOBS'!$B$5:$B$1504,"&lt;"&amp;B685)+COUNTIFS($U$5:U685,"&gt;0.005",$B$5:B685,B685))</f>
        <v/>
      </c>
    </row>
    <row r="686">
      <c r="A686" s="46" t="inlineStr">
        <is>
          <t>J-0682</t>
        </is>
      </c>
      <c r="B686" s="47" t="n"/>
      <c r="C686" s="94" t="n"/>
      <c r="D686" s="38" t="n"/>
      <c r="E686" s="38" t="n"/>
      <c r="F686" s="38" t="n"/>
      <c r="G686" s="38" t="n"/>
      <c r="H686" s="38" t="n"/>
      <c r="I686" s="57" t="n"/>
      <c r="J686" s="95" t="n"/>
      <c r="K686" s="95" t="n"/>
      <c r="L686" s="48" t="n"/>
      <c r="M686" s="96" t="n"/>
      <c r="N686" s="48" t="n"/>
      <c r="O686" s="38" t="n"/>
      <c r="P686" s="38" t="n"/>
      <c r="Q686" s="97">
        <f>IF(OR(F686="",E686=""),"",IFERROR(IF(INDEX('PROPERTIES'!$F$5:$F$404,MATCH(E686,'PROPERTIES'!$B$5:$B$404,0))=0,"",ROUND((INDEX('PROPERTIES'!$F$5:$F$404,MATCH(E686,'PROPERTIES'!$B$5:$B$404,0))/INDEX('PRICING'!$C$7:$C$16,MATCH(F686,'PRICING'!$A$7:$A$16,0))+INDEX('PROPERTIES'!$G$5:$G$404,MATCH(E686,'PROPERTIES'!$B$5:$B$404,0))*INDEX('PRICING'!$D$7:$D$16,MATCH(F686,'PRICING'!$A$7:$A$16,0))/60+INDEX('PROPERTIES'!$H$5:$H$404,MATCH(E686,'PROPERTIES'!$B$5:$B$404,0))*INDEX('PRICING'!$E$7:$E$16,MATCH(F686,'PRICING'!$A$7:$A$16,0))/60+INDEX('PRICING'!$F$7:$F$16,MATCH(F686,'PRICING'!$A$7:$A$16,0))/60),2)),""))</f>
        <v/>
      </c>
      <c r="R686" s="97">
        <f>IF(B686="","",IF(N(K686)&gt;0,K686,IF(N(J686)&gt;0,J686,N(Q686))))</f>
        <v/>
      </c>
      <c r="S686" s="55">
        <f>IF(L686="","",ROUND(L686*(1+N(M686)),2))</f>
        <v/>
      </c>
      <c r="T686" s="55">
        <f>IF(B686="","",SUMIFS('REVENUE'!$C$5:$C$1504,'REVENUE'!$B$5:$B$1504,A686))</f>
        <v/>
      </c>
      <c r="U686" s="55">
        <f>IF(B686="","",IF(O686="Completed",MAX(0,N(S686)-T686),""))</f>
        <v/>
      </c>
      <c r="V686" s="49">
        <f>IF(B686="","",IF(O686&lt;&gt;"Completed",IF(T686&gt;0,"Deposit","—"),IF(U686&lt;=0.005,"Paid",IF(T686&gt;0,"Partial","Unpaid"))))</f>
        <v/>
      </c>
      <c r="W686" s="55">
        <f>IF(B686="","",IFERROR(1/(1/INDEX('STAFF &amp; TASKS'!$C$5:$C$24,MATCH(H686,'STAFF &amp; TASKS'!$A$5:$A$24,0))),PayRate))</f>
        <v/>
      </c>
      <c r="X686" s="55">
        <f>IF(B686="","",IF(OR(O686="Cancelled",O686="No-Show"),"",ROUND(R686*W686*(1+Burden),2)))</f>
        <v/>
      </c>
      <c r="Y686" s="55">
        <f>IF(B686="","",IF(OR(O686="Cancelled",O686="No-Show"),"",IF(N686&lt;&gt;"",N686,ROUND(R686*SupHr*IFERROR(INDEX('PRICING'!$G$7:$G$16,MATCH(F686,'PRICING'!$A$7:$A$16,0)),1),2))))</f>
        <v/>
      </c>
      <c r="Z686" s="98">
        <f>IF(B686="","",SUMIFS('MILEAGE'!$J$5:$J$1504,'MILEAGE'!$B$5:$B$1504,A686))</f>
        <v/>
      </c>
      <c r="AA686" s="55">
        <f>IF(B686="","",ROUND(Z686*MileRate,2))</f>
        <v/>
      </c>
      <c r="AB686" s="55">
        <f>IF(B686="","",SUMIFS('REVENUE'!$J$5:$J$1504,'REVENUE'!$B$5:$B$1504,A686))</f>
        <v/>
      </c>
      <c r="AC686" s="55">
        <f>IF(L686="","",IF(OR(O686="Cancelled",O686="No-Show"),"",L686-N(X686)-N(Y686)-AA686-AB686))</f>
        <v/>
      </c>
      <c r="AD686" s="99">
        <f>IF(OR(AC686="",N(L686)=0),"",AC686/L686)</f>
        <v/>
      </c>
      <c r="AE686" s="55">
        <f>IF(OR(AC686="",N(R686)=0),"",L686/R686)</f>
        <v/>
      </c>
      <c r="AF686" s="100">
        <f>IF(OR(N(K686)=0,N(J686)+N(Q686)=0),"",K686-IF(N(J686)&gt;0,J686,Q686))</f>
        <v/>
      </c>
      <c r="AG686" s="99">
        <f>IF(B686="","",IFERROR(AVERAGEIFS('QUALITY CONTROL'!$M$5:$M$304,'QUALITY CONTROL'!$B$5:$B$304,A686),""))</f>
        <v/>
      </c>
      <c r="AH686" s="51">
        <f>IF(B686="","",DATE(YEAR(B686),MONTH(B686),1))</f>
        <v/>
      </c>
      <c r="AI686" s="49">
        <f>IF(D686="","",IFERROR(INDEX('CUSTOMERS'!$E$5:$E$404,MATCH(D686,'CUSTOMERS'!$B$5:$B$404,0)),""))</f>
        <v/>
      </c>
      <c r="AJ686" s="49">
        <f>IF(B686="","",N(C686))</f>
        <v/>
      </c>
      <c r="AK686" s="49">
        <f>IF(OR(B686="",O686="Cancelled",O686="Rescheduled"),"",B686&amp;"|"&amp;(COUNTIFS('JOBS'!$B$5:$B$1504,B686,'JOBS'!$AJ$5:$AJ$1504,"&lt;"&amp;AJ686,'JOBS'!$O$5:$O$1504,"&lt;&gt;Cancelled",'JOBS'!$O$5:$O$1504,"&lt;&gt;Rescheduled")+COUNTIFS($B$5:B686,B686,$AJ$5:AJ686,AJ686,$O$5:O686,"&lt;&gt;Cancelled",$O$5:O686,"&lt;&gt;Rescheduled")))</f>
        <v/>
      </c>
      <c r="AL686" s="49">
        <f>IF(N(U686)&lt;=0.005,"",COUNTIFS('JOBS'!$U$5:$U$1504,"&gt;0.005",'JOBS'!$B$5:$B$1504,"&lt;"&amp;B686)+COUNTIFS($U$5:U686,"&gt;0.005",$B$5:B686,B686))</f>
        <v/>
      </c>
    </row>
    <row r="687">
      <c r="A687" s="46" t="inlineStr">
        <is>
          <t>J-0683</t>
        </is>
      </c>
      <c r="B687" s="47" t="n"/>
      <c r="C687" s="94" t="n"/>
      <c r="D687" s="38" t="n"/>
      <c r="E687" s="38" t="n"/>
      <c r="F687" s="38" t="n"/>
      <c r="G687" s="38" t="n"/>
      <c r="H687" s="38" t="n"/>
      <c r="I687" s="57" t="n"/>
      <c r="J687" s="95" t="n"/>
      <c r="K687" s="95" t="n"/>
      <c r="L687" s="48" t="n"/>
      <c r="M687" s="96" t="n"/>
      <c r="N687" s="48" t="n"/>
      <c r="O687" s="38" t="n"/>
      <c r="P687" s="38" t="n"/>
      <c r="Q687" s="97">
        <f>IF(OR(F687="",E687=""),"",IFERROR(IF(INDEX('PROPERTIES'!$F$5:$F$404,MATCH(E687,'PROPERTIES'!$B$5:$B$404,0))=0,"",ROUND((INDEX('PROPERTIES'!$F$5:$F$404,MATCH(E687,'PROPERTIES'!$B$5:$B$404,0))/INDEX('PRICING'!$C$7:$C$16,MATCH(F687,'PRICING'!$A$7:$A$16,0))+INDEX('PROPERTIES'!$G$5:$G$404,MATCH(E687,'PROPERTIES'!$B$5:$B$404,0))*INDEX('PRICING'!$D$7:$D$16,MATCH(F687,'PRICING'!$A$7:$A$16,0))/60+INDEX('PROPERTIES'!$H$5:$H$404,MATCH(E687,'PROPERTIES'!$B$5:$B$404,0))*INDEX('PRICING'!$E$7:$E$16,MATCH(F687,'PRICING'!$A$7:$A$16,0))/60+INDEX('PRICING'!$F$7:$F$16,MATCH(F687,'PRICING'!$A$7:$A$16,0))/60),2)),""))</f>
        <v/>
      </c>
      <c r="R687" s="97">
        <f>IF(B687="","",IF(N(K687)&gt;0,K687,IF(N(J687)&gt;0,J687,N(Q687))))</f>
        <v/>
      </c>
      <c r="S687" s="55">
        <f>IF(L687="","",ROUND(L687*(1+N(M687)),2))</f>
        <v/>
      </c>
      <c r="T687" s="55">
        <f>IF(B687="","",SUMIFS('REVENUE'!$C$5:$C$1504,'REVENUE'!$B$5:$B$1504,A687))</f>
        <v/>
      </c>
      <c r="U687" s="55">
        <f>IF(B687="","",IF(O687="Completed",MAX(0,N(S687)-T687),""))</f>
        <v/>
      </c>
      <c r="V687" s="49">
        <f>IF(B687="","",IF(O687&lt;&gt;"Completed",IF(T687&gt;0,"Deposit","—"),IF(U687&lt;=0.005,"Paid",IF(T687&gt;0,"Partial","Unpaid"))))</f>
        <v/>
      </c>
      <c r="W687" s="55">
        <f>IF(B687="","",IFERROR(1/(1/INDEX('STAFF &amp; TASKS'!$C$5:$C$24,MATCH(H687,'STAFF &amp; TASKS'!$A$5:$A$24,0))),PayRate))</f>
        <v/>
      </c>
      <c r="X687" s="55">
        <f>IF(B687="","",IF(OR(O687="Cancelled",O687="No-Show"),"",ROUND(R687*W687*(1+Burden),2)))</f>
        <v/>
      </c>
      <c r="Y687" s="55">
        <f>IF(B687="","",IF(OR(O687="Cancelled",O687="No-Show"),"",IF(N687&lt;&gt;"",N687,ROUND(R687*SupHr*IFERROR(INDEX('PRICING'!$G$7:$G$16,MATCH(F687,'PRICING'!$A$7:$A$16,0)),1),2))))</f>
        <v/>
      </c>
      <c r="Z687" s="98">
        <f>IF(B687="","",SUMIFS('MILEAGE'!$J$5:$J$1504,'MILEAGE'!$B$5:$B$1504,A687))</f>
        <v/>
      </c>
      <c r="AA687" s="55">
        <f>IF(B687="","",ROUND(Z687*MileRate,2))</f>
        <v/>
      </c>
      <c r="AB687" s="55">
        <f>IF(B687="","",SUMIFS('REVENUE'!$J$5:$J$1504,'REVENUE'!$B$5:$B$1504,A687))</f>
        <v/>
      </c>
      <c r="AC687" s="55">
        <f>IF(L687="","",IF(OR(O687="Cancelled",O687="No-Show"),"",L687-N(X687)-N(Y687)-AA687-AB687))</f>
        <v/>
      </c>
      <c r="AD687" s="99">
        <f>IF(OR(AC687="",N(L687)=0),"",AC687/L687)</f>
        <v/>
      </c>
      <c r="AE687" s="55">
        <f>IF(OR(AC687="",N(R687)=0),"",L687/R687)</f>
        <v/>
      </c>
      <c r="AF687" s="100">
        <f>IF(OR(N(K687)=0,N(J687)+N(Q687)=0),"",K687-IF(N(J687)&gt;0,J687,Q687))</f>
        <v/>
      </c>
      <c r="AG687" s="99">
        <f>IF(B687="","",IFERROR(AVERAGEIFS('QUALITY CONTROL'!$M$5:$M$304,'QUALITY CONTROL'!$B$5:$B$304,A687),""))</f>
        <v/>
      </c>
      <c r="AH687" s="51">
        <f>IF(B687="","",DATE(YEAR(B687),MONTH(B687),1))</f>
        <v/>
      </c>
      <c r="AI687" s="49">
        <f>IF(D687="","",IFERROR(INDEX('CUSTOMERS'!$E$5:$E$404,MATCH(D687,'CUSTOMERS'!$B$5:$B$404,0)),""))</f>
        <v/>
      </c>
      <c r="AJ687" s="49">
        <f>IF(B687="","",N(C687))</f>
        <v/>
      </c>
      <c r="AK687" s="49">
        <f>IF(OR(B687="",O687="Cancelled",O687="Rescheduled"),"",B687&amp;"|"&amp;(COUNTIFS('JOBS'!$B$5:$B$1504,B687,'JOBS'!$AJ$5:$AJ$1504,"&lt;"&amp;AJ687,'JOBS'!$O$5:$O$1504,"&lt;&gt;Cancelled",'JOBS'!$O$5:$O$1504,"&lt;&gt;Rescheduled")+COUNTIFS($B$5:B687,B687,$AJ$5:AJ687,AJ687,$O$5:O687,"&lt;&gt;Cancelled",$O$5:O687,"&lt;&gt;Rescheduled")))</f>
        <v/>
      </c>
      <c r="AL687" s="49">
        <f>IF(N(U687)&lt;=0.005,"",COUNTIFS('JOBS'!$U$5:$U$1504,"&gt;0.005",'JOBS'!$B$5:$B$1504,"&lt;"&amp;B687)+COUNTIFS($U$5:U687,"&gt;0.005",$B$5:B687,B687))</f>
        <v/>
      </c>
    </row>
    <row r="688">
      <c r="A688" s="46" t="inlineStr">
        <is>
          <t>J-0684</t>
        </is>
      </c>
      <c r="B688" s="47" t="n"/>
      <c r="C688" s="94" t="n"/>
      <c r="D688" s="38" t="n"/>
      <c r="E688" s="38" t="n"/>
      <c r="F688" s="38" t="n"/>
      <c r="G688" s="38" t="n"/>
      <c r="H688" s="38" t="n"/>
      <c r="I688" s="57" t="n"/>
      <c r="J688" s="95" t="n"/>
      <c r="K688" s="95" t="n"/>
      <c r="L688" s="48" t="n"/>
      <c r="M688" s="96" t="n"/>
      <c r="N688" s="48" t="n"/>
      <c r="O688" s="38" t="n"/>
      <c r="P688" s="38" t="n"/>
      <c r="Q688" s="97">
        <f>IF(OR(F688="",E688=""),"",IFERROR(IF(INDEX('PROPERTIES'!$F$5:$F$404,MATCH(E688,'PROPERTIES'!$B$5:$B$404,0))=0,"",ROUND((INDEX('PROPERTIES'!$F$5:$F$404,MATCH(E688,'PROPERTIES'!$B$5:$B$404,0))/INDEX('PRICING'!$C$7:$C$16,MATCH(F688,'PRICING'!$A$7:$A$16,0))+INDEX('PROPERTIES'!$G$5:$G$404,MATCH(E688,'PROPERTIES'!$B$5:$B$404,0))*INDEX('PRICING'!$D$7:$D$16,MATCH(F688,'PRICING'!$A$7:$A$16,0))/60+INDEX('PROPERTIES'!$H$5:$H$404,MATCH(E688,'PROPERTIES'!$B$5:$B$404,0))*INDEX('PRICING'!$E$7:$E$16,MATCH(F688,'PRICING'!$A$7:$A$16,0))/60+INDEX('PRICING'!$F$7:$F$16,MATCH(F688,'PRICING'!$A$7:$A$16,0))/60),2)),""))</f>
        <v/>
      </c>
      <c r="R688" s="97">
        <f>IF(B688="","",IF(N(K688)&gt;0,K688,IF(N(J688)&gt;0,J688,N(Q688))))</f>
        <v/>
      </c>
      <c r="S688" s="55">
        <f>IF(L688="","",ROUND(L688*(1+N(M688)),2))</f>
        <v/>
      </c>
      <c r="T688" s="55">
        <f>IF(B688="","",SUMIFS('REVENUE'!$C$5:$C$1504,'REVENUE'!$B$5:$B$1504,A688))</f>
        <v/>
      </c>
      <c r="U688" s="55">
        <f>IF(B688="","",IF(O688="Completed",MAX(0,N(S688)-T688),""))</f>
        <v/>
      </c>
      <c r="V688" s="49">
        <f>IF(B688="","",IF(O688&lt;&gt;"Completed",IF(T688&gt;0,"Deposit","—"),IF(U688&lt;=0.005,"Paid",IF(T688&gt;0,"Partial","Unpaid"))))</f>
        <v/>
      </c>
      <c r="W688" s="55">
        <f>IF(B688="","",IFERROR(1/(1/INDEX('STAFF &amp; TASKS'!$C$5:$C$24,MATCH(H688,'STAFF &amp; TASKS'!$A$5:$A$24,0))),PayRate))</f>
        <v/>
      </c>
      <c r="X688" s="55">
        <f>IF(B688="","",IF(OR(O688="Cancelled",O688="No-Show"),"",ROUND(R688*W688*(1+Burden),2)))</f>
        <v/>
      </c>
      <c r="Y688" s="55">
        <f>IF(B688="","",IF(OR(O688="Cancelled",O688="No-Show"),"",IF(N688&lt;&gt;"",N688,ROUND(R688*SupHr*IFERROR(INDEX('PRICING'!$G$7:$G$16,MATCH(F688,'PRICING'!$A$7:$A$16,0)),1),2))))</f>
        <v/>
      </c>
      <c r="Z688" s="98">
        <f>IF(B688="","",SUMIFS('MILEAGE'!$J$5:$J$1504,'MILEAGE'!$B$5:$B$1504,A688))</f>
        <v/>
      </c>
      <c r="AA688" s="55">
        <f>IF(B688="","",ROUND(Z688*MileRate,2))</f>
        <v/>
      </c>
      <c r="AB688" s="55">
        <f>IF(B688="","",SUMIFS('REVENUE'!$J$5:$J$1504,'REVENUE'!$B$5:$B$1504,A688))</f>
        <v/>
      </c>
      <c r="AC688" s="55">
        <f>IF(L688="","",IF(OR(O688="Cancelled",O688="No-Show"),"",L688-N(X688)-N(Y688)-AA688-AB688))</f>
        <v/>
      </c>
      <c r="AD688" s="99">
        <f>IF(OR(AC688="",N(L688)=0),"",AC688/L688)</f>
        <v/>
      </c>
      <c r="AE688" s="55">
        <f>IF(OR(AC688="",N(R688)=0),"",L688/R688)</f>
        <v/>
      </c>
      <c r="AF688" s="100">
        <f>IF(OR(N(K688)=0,N(J688)+N(Q688)=0),"",K688-IF(N(J688)&gt;0,J688,Q688))</f>
        <v/>
      </c>
      <c r="AG688" s="99">
        <f>IF(B688="","",IFERROR(AVERAGEIFS('QUALITY CONTROL'!$M$5:$M$304,'QUALITY CONTROL'!$B$5:$B$304,A688),""))</f>
        <v/>
      </c>
      <c r="AH688" s="51">
        <f>IF(B688="","",DATE(YEAR(B688),MONTH(B688),1))</f>
        <v/>
      </c>
      <c r="AI688" s="49">
        <f>IF(D688="","",IFERROR(INDEX('CUSTOMERS'!$E$5:$E$404,MATCH(D688,'CUSTOMERS'!$B$5:$B$404,0)),""))</f>
        <v/>
      </c>
      <c r="AJ688" s="49">
        <f>IF(B688="","",N(C688))</f>
        <v/>
      </c>
      <c r="AK688" s="49">
        <f>IF(OR(B688="",O688="Cancelled",O688="Rescheduled"),"",B688&amp;"|"&amp;(COUNTIFS('JOBS'!$B$5:$B$1504,B688,'JOBS'!$AJ$5:$AJ$1504,"&lt;"&amp;AJ688,'JOBS'!$O$5:$O$1504,"&lt;&gt;Cancelled",'JOBS'!$O$5:$O$1504,"&lt;&gt;Rescheduled")+COUNTIFS($B$5:B688,B688,$AJ$5:AJ688,AJ688,$O$5:O688,"&lt;&gt;Cancelled",$O$5:O688,"&lt;&gt;Rescheduled")))</f>
        <v/>
      </c>
      <c r="AL688" s="49">
        <f>IF(N(U688)&lt;=0.005,"",COUNTIFS('JOBS'!$U$5:$U$1504,"&gt;0.005",'JOBS'!$B$5:$B$1504,"&lt;"&amp;B688)+COUNTIFS($U$5:U688,"&gt;0.005",$B$5:B688,B688))</f>
        <v/>
      </c>
    </row>
    <row r="689">
      <c r="A689" s="46" t="inlineStr">
        <is>
          <t>J-0685</t>
        </is>
      </c>
      <c r="B689" s="47" t="n"/>
      <c r="C689" s="94" t="n"/>
      <c r="D689" s="38" t="n"/>
      <c r="E689" s="38" t="n"/>
      <c r="F689" s="38" t="n"/>
      <c r="G689" s="38" t="n"/>
      <c r="H689" s="38" t="n"/>
      <c r="I689" s="57" t="n"/>
      <c r="J689" s="95" t="n"/>
      <c r="K689" s="95" t="n"/>
      <c r="L689" s="48" t="n"/>
      <c r="M689" s="96" t="n"/>
      <c r="N689" s="48" t="n"/>
      <c r="O689" s="38" t="n"/>
      <c r="P689" s="38" t="n"/>
      <c r="Q689" s="97">
        <f>IF(OR(F689="",E689=""),"",IFERROR(IF(INDEX('PROPERTIES'!$F$5:$F$404,MATCH(E689,'PROPERTIES'!$B$5:$B$404,0))=0,"",ROUND((INDEX('PROPERTIES'!$F$5:$F$404,MATCH(E689,'PROPERTIES'!$B$5:$B$404,0))/INDEX('PRICING'!$C$7:$C$16,MATCH(F689,'PRICING'!$A$7:$A$16,0))+INDEX('PROPERTIES'!$G$5:$G$404,MATCH(E689,'PROPERTIES'!$B$5:$B$404,0))*INDEX('PRICING'!$D$7:$D$16,MATCH(F689,'PRICING'!$A$7:$A$16,0))/60+INDEX('PROPERTIES'!$H$5:$H$404,MATCH(E689,'PROPERTIES'!$B$5:$B$404,0))*INDEX('PRICING'!$E$7:$E$16,MATCH(F689,'PRICING'!$A$7:$A$16,0))/60+INDEX('PRICING'!$F$7:$F$16,MATCH(F689,'PRICING'!$A$7:$A$16,0))/60),2)),""))</f>
        <v/>
      </c>
      <c r="R689" s="97">
        <f>IF(B689="","",IF(N(K689)&gt;0,K689,IF(N(J689)&gt;0,J689,N(Q689))))</f>
        <v/>
      </c>
      <c r="S689" s="55">
        <f>IF(L689="","",ROUND(L689*(1+N(M689)),2))</f>
        <v/>
      </c>
      <c r="T689" s="55">
        <f>IF(B689="","",SUMIFS('REVENUE'!$C$5:$C$1504,'REVENUE'!$B$5:$B$1504,A689))</f>
        <v/>
      </c>
      <c r="U689" s="55">
        <f>IF(B689="","",IF(O689="Completed",MAX(0,N(S689)-T689),""))</f>
        <v/>
      </c>
      <c r="V689" s="49">
        <f>IF(B689="","",IF(O689&lt;&gt;"Completed",IF(T689&gt;0,"Deposit","—"),IF(U689&lt;=0.005,"Paid",IF(T689&gt;0,"Partial","Unpaid"))))</f>
        <v/>
      </c>
      <c r="W689" s="55">
        <f>IF(B689="","",IFERROR(1/(1/INDEX('STAFF &amp; TASKS'!$C$5:$C$24,MATCH(H689,'STAFF &amp; TASKS'!$A$5:$A$24,0))),PayRate))</f>
        <v/>
      </c>
      <c r="X689" s="55">
        <f>IF(B689="","",IF(OR(O689="Cancelled",O689="No-Show"),"",ROUND(R689*W689*(1+Burden),2)))</f>
        <v/>
      </c>
      <c r="Y689" s="55">
        <f>IF(B689="","",IF(OR(O689="Cancelled",O689="No-Show"),"",IF(N689&lt;&gt;"",N689,ROUND(R689*SupHr*IFERROR(INDEX('PRICING'!$G$7:$G$16,MATCH(F689,'PRICING'!$A$7:$A$16,0)),1),2))))</f>
        <v/>
      </c>
      <c r="Z689" s="98">
        <f>IF(B689="","",SUMIFS('MILEAGE'!$J$5:$J$1504,'MILEAGE'!$B$5:$B$1504,A689))</f>
        <v/>
      </c>
      <c r="AA689" s="55">
        <f>IF(B689="","",ROUND(Z689*MileRate,2))</f>
        <v/>
      </c>
      <c r="AB689" s="55">
        <f>IF(B689="","",SUMIFS('REVENUE'!$J$5:$J$1504,'REVENUE'!$B$5:$B$1504,A689))</f>
        <v/>
      </c>
      <c r="AC689" s="55">
        <f>IF(L689="","",IF(OR(O689="Cancelled",O689="No-Show"),"",L689-N(X689)-N(Y689)-AA689-AB689))</f>
        <v/>
      </c>
      <c r="AD689" s="99">
        <f>IF(OR(AC689="",N(L689)=0),"",AC689/L689)</f>
        <v/>
      </c>
      <c r="AE689" s="55">
        <f>IF(OR(AC689="",N(R689)=0),"",L689/R689)</f>
        <v/>
      </c>
      <c r="AF689" s="100">
        <f>IF(OR(N(K689)=0,N(J689)+N(Q689)=0),"",K689-IF(N(J689)&gt;0,J689,Q689))</f>
        <v/>
      </c>
      <c r="AG689" s="99">
        <f>IF(B689="","",IFERROR(AVERAGEIFS('QUALITY CONTROL'!$M$5:$M$304,'QUALITY CONTROL'!$B$5:$B$304,A689),""))</f>
        <v/>
      </c>
      <c r="AH689" s="51">
        <f>IF(B689="","",DATE(YEAR(B689),MONTH(B689),1))</f>
        <v/>
      </c>
      <c r="AI689" s="49">
        <f>IF(D689="","",IFERROR(INDEX('CUSTOMERS'!$E$5:$E$404,MATCH(D689,'CUSTOMERS'!$B$5:$B$404,0)),""))</f>
        <v/>
      </c>
      <c r="AJ689" s="49">
        <f>IF(B689="","",N(C689))</f>
        <v/>
      </c>
      <c r="AK689" s="49">
        <f>IF(OR(B689="",O689="Cancelled",O689="Rescheduled"),"",B689&amp;"|"&amp;(COUNTIFS('JOBS'!$B$5:$B$1504,B689,'JOBS'!$AJ$5:$AJ$1504,"&lt;"&amp;AJ689,'JOBS'!$O$5:$O$1504,"&lt;&gt;Cancelled",'JOBS'!$O$5:$O$1504,"&lt;&gt;Rescheduled")+COUNTIFS($B$5:B689,B689,$AJ$5:AJ689,AJ689,$O$5:O689,"&lt;&gt;Cancelled",$O$5:O689,"&lt;&gt;Rescheduled")))</f>
        <v/>
      </c>
      <c r="AL689" s="49">
        <f>IF(N(U689)&lt;=0.005,"",COUNTIFS('JOBS'!$U$5:$U$1504,"&gt;0.005",'JOBS'!$B$5:$B$1504,"&lt;"&amp;B689)+COUNTIFS($U$5:U689,"&gt;0.005",$B$5:B689,B689))</f>
        <v/>
      </c>
    </row>
    <row r="690">
      <c r="A690" s="46" t="inlineStr">
        <is>
          <t>J-0686</t>
        </is>
      </c>
      <c r="B690" s="47" t="n"/>
      <c r="C690" s="94" t="n"/>
      <c r="D690" s="38" t="n"/>
      <c r="E690" s="38" t="n"/>
      <c r="F690" s="38" t="n"/>
      <c r="G690" s="38" t="n"/>
      <c r="H690" s="38" t="n"/>
      <c r="I690" s="57" t="n"/>
      <c r="J690" s="95" t="n"/>
      <c r="K690" s="95" t="n"/>
      <c r="L690" s="48" t="n"/>
      <c r="M690" s="96" t="n"/>
      <c r="N690" s="48" t="n"/>
      <c r="O690" s="38" t="n"/>
      <c r="P690" s="38" t="n"/>
      <c r="Q690" s="97">
        <f>IF(OR(F690="",E690=""),"",IFERROR(IF(INDEX('PROPERTIES'!$F$5:$F$404,MATCH(E690,'PROPERTIES'!$B$5:$B$404,0))=0,"",ROUND((INDEX('PROPERTIES'!$F$5:$F$404,MATCH(E690,'PROPERTIES'!$B$5:$B$404,0))/INDEX('PRICING'!$C$7:$C$16,MATCH(F690,'PRICING'!$A$7:$A$16,0))+INDEX('PROPERTIES'!$G$5:$G$404,MATCH(E690,'PROPERTIES'!$B$5:$B$404,0))*INDEX('PRICING'!$D$7:$D$16,MATCH(F690,'PRICING'!$A$7:$A$16,0))/60+INDEX('PROPERTIES'!$H$5:$H$404,MATCH(E690,'PROPERTIES'!$B$5:$B$404,0))*INDEX('PRICING'!$E$7:$E$16,MATCH(F690,'PRICING'!$A$7:$A$16,0))/60+INDEX('PRICING'!$F$7:$F$16,MATCH(F690,'PRICING'!$A$7:$A$16,0))/60),2)),""))</f>
        <v/>
      </c>
      <c r="R690" s="97">
        <f>IF(B690="","",IF(N(K690)&gt;0,K690,IF(N(J690)&gt;0,J690,N(Q690))))</f>
        <v/>
      </c>
      <c r="S690" s="55">
        <f>IF(L690="","",ROUND(L690*(1+N(M690)),2))</f>
        <v/>
      </c>
      <c r="T690" s="55">
        <f>IF(B690="","",SUMIFS('REVENUE'!$C$5:$C$1504,'REVENUE'!$B$5:$B$1504,A690))</f>
        <v/>
      </c>
      <c r="U690" s="55">
        <f>IF(B690="","",IF(O690="Completed",MAX(0,N(S690)-T690),""))</f>
        <v/>
      </c>
      <c r="V690" s="49">
        <f>IF(B690="","",IF(O690&lt;&gt;"Completed",IF(T690&gt;0,"Deposit","—"),IF(U690&lt;=0.005,"Paid",IF(T690&gt;0,"Partial","Unpaid"))))</f>
        <v/>
      </c>
      <c r="W690" s="55">
        <f>IF(B690="","",IFERROR(1/(1/INDEX('STAFF &amp; TASKS'!$C$5:$C$24,MATCH(H690,'STAFF &amp; TASKS'!$A$5:$A$24,0))),PayRate))</f>
        <v/>
      </c>
      <c r="X690" s="55">
        <f>IF(B690="","",IF(OR(O690="Cancelled",O690="No-Show"),"",ROUND(R690*W690*(1+Burden),2)))</f>
        <v/>
      </c>
      <c r="Y690" s="55">
        <f>IF(B690="","",IF(OR(O690="Cancelled",O690="No-Show"),"",IF(N690&lt;&gt;"",N690,ROUND(R690*SupHr*IFERROR(INDEX('PRICING'!$G$7:$G$16,MATCH(F690,'PRICING'!$A$7:$A$16,0)),1),2))))</f>
        <v/>
      </c>
      <c r="Z690" s="98">
        <f>IF(B690="","",SUMIFS('MILEAGE'!$J$5:$J$1504,'MILEAGE'!$B$5:$B$1504,A690))</f>
        <v/>
      </c>
      <c r="AA690" s="55">
        <f>IF(B690="","",ROUND(Z690*MileRate,2))</f>
        <v/>
      </c>
      <c r="AB690" s="55">
        <f>IF(B690="","",SUMIFS('REVENUE'!$J$5:$J$1504,'REVENUE'!$B$5:$B$1504,A690))</f>
        <v/>
      </c>
      <c r="AC690" s="55">
        <f>IF(L690="","",IF(OR(O690="Cancelled",O690="No-Show"),"",L690-N(X690)-N(Y690)-AA690-AB690))</f>
        <v/>
      </c>
      <c r="AD690" s="99">
        <f>IF(OR(AC690="",N(L690)=0),"",AC690/L690)</f>
        <v/>
      </c>
      <c r="AE690" s="55">
        <f>IF(OR(AC690="",N(R690)=0),"",L690/R690)</f>
        <v/>
      </c>
      <c r="AF690" s="100">
        <f>IF(OR(N(K690)=0,N(J690)+N(Q690)=0),"",K690-IF(N(J690)&gt;0,J690,Q690))</f>
        <v/>
      </c>
      <c r="AG690" s="99">
        <f>IF(B690="","",IFERROR(AVERAGEIFS('QUALITY CONTROL'!$M$5:$M$304,'QUALITY CONTROL'!$B$5:$B$304,A690),""))</f>
        <v/>
      </c>
      <c r="AH690" s="51">
        <f>IF(B690="","",DATE(YEAR(B690),MONTH(B690),1))</f>
        <v/>
      </c>
      <c r="AI690" s="49">
        <f>IF(D690="","",IFERROR(INDEX('CUSTOMERS'!$E$5:$E$404,MATCH(D690,'CUSTOMERS'!$B$5:$B$404,0)),""))</f>
        <v/>
      </c>
      <c r="AJ690" s="49">
        <f>IF(B690="","",N(C690))</f>
        <v/>
      </c>
      <c r="AK690" s="49">
        <f>IF(OR(B690="",O690="Cancelled",O690="Rescheduled"),"",B690&amp;"|"&amp;(COUNTIFS('JOBS'!$B$5:$B$1504,B690,'JOBS'!$AJ$5:$AJ$1504,"&lt;"&amp;AJ690,'JOBS'!$O$5:$O$1504,"&lt;&gt;Cancelled",'JOBS'!$O$5:$O$1504,"&lt;&gt;Rescheduled")+COUNTIFS($B$5:B690,B690,$AJ$5:AJ690,AJ690,$O$5:O690,"&lt;&gt;Cancelled",$O$5:O690,"&lt;&gt;Rescheduled")))</f>
        <v/>
      </c>
      <c r="AL690" s="49">
        <f>IF(N(U690)&lt;=0.005,"",COUNTIFS('JOBS'!$U$5:$U$1504,"&gt;0.005",'JOBS'!$B$5:$B$1504,"&lt;"&amp;B690)+COUNTIFS($U$5:U690,"&gt;0.005",$B$5:B690,B690))</f>
        <v/>
      </c>
    </row>
    <row r="691">
      <c r="A691" s="46" t="inlineStr">
        <is>
          <t>J-0687</t>
        </is>
      </c>
      <c r="B691" s="47" t="n"/>
      <c r="C691" s="94" t="n"/>
      <c r="D691" s="38" t="n"/>
      <c r="E691" s="38" t="n"/>
      <c r="F691" s="38" t="n"/>
      <c r="G691" s="38" t="n"/>
      <c r="H691" s="38" t="n"/>
      <c r="I691" s="57" t="n"/>
      <c r="J691" s="95" t="n"/>
      <c r="K691" s="95" t="n"/>
      <c r="L691" s="48" t="n"/>
      <c r="M691" s="96" t="n"/>
      <c r="N691" s="48" t="n"/>
      <c r="O691" s="38" t="n"/>
      <c r="P691" s="38" t="n"/>
      <c r="Q691" s="97">
        <f>IF(OR(F691="",E691=""),"",IFERROR(IF(INDEX('PROPERTIES'!$F$5:$F$404,MATCH(E691,'PROPERTIES'!$B$5:$B$404,0))=0,"",ROUND((INDEX('PROPERTIES'!$F$5:$F$404,MATCH(E691,'PROPERTIES'!$B$5:$B$404,0))/INDEX('PRICING'!$C$7:$C$16,MATCH(F691,'PRICING'!$A$7:$A$16,0))+INDEX('PROPERTIES'!$G$5:$G$404,MATCH(E691,'PROPERTIES'!$B$5:$B$404,0))*INDEX('PRICING'!$D$7:$D$16,MATCH(F691,'PRICING'!$A$7:$A$16,0))/60+INDEX('PROPERTIES'!$H$5:$H$404,MATCH(E691,'PROPERTIES'!$B$5:$B$404,0))*INDEX('PRICING'!$E$7:$E$16,MATCH(F691,'PRICING'!$A$7:$A$16,0))/60+INDEX('PRICING'!$F$7:$F$16,MATCH(F691,'PRICING'!$A$7:$A$16,0))/60),2)),""))</f>
        <v/>
      </c>
      <c r="R691" s="97">
        <f>IF(B691="","",IF(N(K691)&gt;0,K691,IF(N(J691)&gt;0,J691,N(Q691))))</f>
        <v/>
      </c>
      <c r="S691" s="55">
        <f>IF(L691="","",ROUND(L691*(1+N(M691)),2))</f>
        <v/>
      </c>
      <c r="T691" s="55">
        <f>IF(B691="","",SUMIFS('REVENUE'!$C$5:$C$1504,'REVENUE'!$B$5:$B$1504,A691))</f>
        <v/>
      </c>
      <c r="U691" s="55">
        <f>IF(B691="","",IF(O691="Completed",MAX(0,N(S691)-T691),""))</f>
        <v/>
      </c>
      <c r="V691" s="49">
        <f>IF(B691="","",IF(O691&lt;&gt;"Completed",IF(T691&gt;0,"Deposit","—"),IF(U691&lt;=0.005,"Paid",IF(T691&gt;0,"Partial","Unpaid"))))</f>
        <v/>
      </c>
      <c r="W691" s="55">
        <f>IF(B691="","",IFERROR(1/(1/INDEX('STAFF &amp; TASKS'!$C$5:$C$24,MATCH(H691,'STAFF &amp; TASKS'!$A$5:$A$24,0))),PayRate))</f>
        <v/>
      </c>
      <c r="X691" s="55">
        <f>IF(B691="","",IF(OR(O691="Cancelled",O691="No-Show"),"",ROUND(R691*W691*(1+Burden),2)))</f>
        <v/>
      </c>
      <c r="Y691" s="55">
        <f>IF(B691="","",IF(OR(O691="Cancelled",O691="No-Show"),"",IF(N691&lt;&gt;"",N691,ROUND(R691*SupHr*IFERROR(INDEX('PRICING'!$G$7:$G$16,MATCH(F691,'PRICING'!$A$7:$A$16,0)),1),2))))</f>
        <v/>
      </c>
      <c r="Z691" s="98">
        <f>IF(B691="","",SUMIFS('MILEAGE'!$J$5:$J$1504,'MILEAGE'!$B$5:$B$1504,A691))</f>
        <v/>
      </c>
      <c r="AA691" s="55">
        <f>IF(B691="","",ROUND(Z691*MileRate,2))</f>
        <v/>
      </c>
      <c r="AB691" s="55">
        <f>IF(B691="","",SUMIFS('REVENUE'!$J$5:$J$1504,'REVENUE'!$B$5:$B$1504,A691))</f>
        <v/>
      </c>
      <c r="AC691" s="55">
        <f>IF(L691="","",IF(OR(O691="Cancelled",O691="No-Show"),"",L691-N(X691)-N(Y691)-AA691-AB691))</f>
        <v/>
      </c>
      <c r="AD691" s="99">
        <f>IF(OR(AC691="",N(L691)=0),"",AC691/L691)</f>
        <v/>
      </c>
      <c r="AE691" s="55">
        <f>IF(OR(AC691="",N(R691)=0),"",L691/R691)</f>
        <v/>
      </c>
      <c r="AF691" s="100">
        <f>IF(OR(N(K691)=0,N(J691)+N(Q691)=0),"",K691-IF(N(J691)&gt;0,J691,Q691))</f>
        <v/>
      </c>
      <c r="AG691" s="99">
        <f>IF(B691="","",IFERROR(AVERAGEIFS('QUALITY CONTROL'!$M$5:$M$304,'QUALITY CONTROL'!$B$5:$B$304,A691),""))</f>
        <v/>
      </c>
      <c r="AH691" s="51">
        <f>IF(B691="","",DATE(YEAR(B691),MONTH(B691),1))</f>
        <v/>
      </c>
      <c r="AI691" s="49">
        <f>IF(D691="","",IFERROR(INDEX('CUSTOMERS'!$E$5:$E$404,MATCH(D691,'CUSTOMERS'!$B$5:$B$404,0)),""))</f>
        <v/>
      </c>
      <c r="AJ691" s="49">
        <f>IF(B691="","",N(C691))</f>
        <v/>
      </c>
      <c r="AK691" s="49">
        <f>IF(OR(B691="",O691="Cancelled",O691="Rescheduled"),"",B691&amp;"|"&amp;(COUNTIFS('JOBS'!$B$5:$B$1504,B691,'JOBS'!$AJ$5:$AJ$1504,"&lt;"&amp;AJ691,'JOBS'!$O$5:$O$1504,"&lt;&gt;Cancelled",'JOBS'!$O$5:$O$1504,"&lt;&gt;Rescheduled")+COUNTIFS($B$5:B691,B691,$AJ$5:AJ691,AJ691,$O$5:O691,"&lt;&gt;Cancelled",$O$5:O691,"&lt;&gt;Rescheduled")))</f>
        <v/>
      </c>
      <c r="AL691" s="49">
        <f>IF(N(U691)&lt;=0.005,"",COUNTIFS('JOBS'!$U$5:$U$1504,"&gt;0.005",'JOBS'!$B$5:$B$1504,"&lt;"&amp;B691)+COUNTIFS($U$5:U691,"&gt;0.005",$B$5:B691,B691))</f>
        <v/>
      </c>
    </row>
    <row r="692">
      <c r="A692" s="46" t="inlineStr">
        <is>
          <t>J-0688</t>
        </is>
      </c>
      <c r="B692" s="47" t="n"/>
      <c r="C692" s="94" t="n"/>
      <c r="D692" s="38" t="n"/>
      <c r="E692" s="38" t="n"/>
      <c r="F692" s="38" t="n"/>
      <c r="G692" s="38" t="n"/>
      <c r="H692" s="38" t="n"/>
      <c r="I692" s="57" t="n"/>
      <c r="J692" s="95" t="n"/>
      <c r="K692" s="95" t="n"/>
      <c r="L692" s="48" t="n"/>
      <c r="M692" s="96" t="n"/>
      <c r="N692" s="48" t="n"/>
      <c r="O692" s="38" t="n"/>
      <c r="P692" s="38" t="n"/>
      <c r="Q692" s="97">
        <f>IF(OR(F692="",E692=""),"",IFERROR(IF(INDEX('PROPERTIES'!$F$5:$F$404,MATCH(E692,'PROPERTIES'!$B$5:$B$404,0))=0,"",ROUND((INDEX('PROPERTIES'!$F$5:$F$404,MATCH(E692,'PROPERTIES'!$B$5:$B$404,0))/INDEX('PRICING'!$C$7:$C$16,MATCH(F692,'PRICING'!$A$7:$A$16,0))+INDEX('PROPERTIES'!$G$5:$G$404,MATCH(E692,'PROPERTIES'!$B$5:$B$404,0))*INDEX('PRICING'!$D$7:$D$16,MATCH(F692,'PRICING'!$A$7:$A$16,0))/60+INDEX('PROPERTIES'!$H$5:$H$404,MATCH(E692,'PROPERTIES'!$B$5:$B$404,0))*INDEX('PRICING'!$E$7:$E$16,MATCH(F692,'PRICING'!$A$7:$A$16,0))/60+INDEX('PRICING'!$F$7:$F$16,MATCH(F692,'PRICING'!$A$7:$A$16,0))/60),2)),""))</f>
        <v/>
      </c>
      <c r="R692" s="97">
        <f>IF(B692="","",IF(N(K692)&gt;0,K692,IF(N(J692)&gt;0,J692,N(Q692))))</f>
        <v/>
      </c>
      <c r="S692" s="55">
        <f>IF(L692="","",ROUND(L692*(1+N(M692)),2))</f>
        <v/>
      </c>
      <c r="T692" s="55">
        <f>IF(B692="","",SUMIFS('REVENUE'!$C$5:$C$1504,'REVENUE'!$B$5:$B$1504,A692))</f>
        <v/>
      </c>
      <c r="U692" s="55">
        <f>IF(B692="","",IF(O692="Completed",MAX(0,N(S692)-T692),""))</f>
        <v/>
      </c>
      <c r="V692" s="49">
        <f>IF(B692="","",IF(O692&lt;&gt;"Completed",IF(T692&gt;0,"Deposit","—"),IF(U692&lt;=0.005,"Paid",IF(T692&gt;0,"Partial","Unpaid"))))</f>
        <v/>
      </c>
      <c r="W692" s="55">
        <f>IF(B692="","",IFERROR(1/(1/INDEX('STAFF &amp; TASKS'!$C$5:$C$24,MATCH(H692,'STAFF &amp; TASKS'!$A$5:$A$24,0))),PayRate))</f>
        <v/>
      </c>
      <c r="X692" s="55">
        <f>IF(B692="","",IF(OR(O692="Cancelled",O692="No-Show"),"",ROUND(R692*W692*(1+Burden),2)))</f>
        <v/>
      </c>
      <c r="Y692" s="55">
        <f>IF(B692="","",IF(OR(O692="Cancelled",O692="No-Show"),"",IF(N692&lt;&gt;"",N692,ROUND(R692*SupHr*IFERROR(INDEX('PRICING'!$G$7:$G$16,MATCH(F692,'PRICING'!$A$7:$A$16,0)),1),2))))</f>
        <v/>
      </c>
      <c r="Z692" s="98">
        <f>IF(B692="","",SUMIFS('MILEAGE'!$J$5:$J$1504,'MILEAGE'!$B$5:$B$1504,A692))</f>
        <v/>
      </c>
      <c r="AA692" s="55">
        <f>IF(B692="","",ROUND(Z692*MileRate,2))</f>
        <v/>
      </c>
      <c r="AB692" s="55">
        <f>IF(B692="","",SUMIFS('REVENUE'!$J$5:$J$1504,'REVENUE'!$B$5:$B$1504,A692))</f>
        <v/>
      </c>
      <c r="AC692" s="55">
        <f>IF(L692="","",IF(OR(O692="Cancelled",O692="No-Show"),"",L692-N(X692)-N(Y692)-AA692-AB692))</f>
        <v/>
      </c>
      <c r="AD692" s="99">
        <f>IF(OR(AC692="",N(L692)=0),"",AC692/L692)</f>
        <v/>
      </c>
      <c r="AE692" s="55">
        <f>IF(OR(AC692="",N(R692)=0),"",L692/R692)</f>
        <v/>
      </c>
      <c r="AF692" s="100">
        <f>IF(OR(N(K692)=0,N(J692)+N(Q692)=0),"",K692-IF(N(J692)&gt;0,J692,Q692))</f>
        <v/>
      </c>
      <c r="AG692" s="99">
        <f>IF(B692="","",IFERROR(AVERAGEIFS('QUALITY CONTROL'!$M$5:$M$304,'QUALITY CONTROL'!$B$5:$B$304,A692),""))</f>
        <v/>
      </c>
      <c r="AH692" s="51">
        <f>IF(B692="","",DATE(YEAR(B692),MONTH(B692),1))</f>
        <v/>
      </c>
      <c r="AI692" s="49">
        <f>IF(D692="","",IFERROR(INDEX('CUSTOMERS'!$E$5:$E$404,MATCH(D692,'CUSTOMERS'!$B$5:$B$404,0)),""))</f>
        <v/>
      </c>
      <c r="AJ692" s="49">
        <f>IF(B692="","",N(C692))</f>
        <v/>
      </c>
      <c r="AK692" s="49">
        <f>IF(OR(B692="",O692="Cancelled",O692="Rescheduled"),"",B692&amp;"|"&amp;(COUNTIFS('JOBS'!$B$5:$B$1504,B692,'JOBS'!$AJ$5:$AJ$1504,"&lt;"&amp;AJ692,'JOBS'!$O$5:$O$1504,"&lt;&gt;Cancelled",'JOBS'!$O$5:$O$1504,"&lt;&gt;Rescheduled")+COUNTIFS($B$5:B692,B692,$AJ$5:AJ692,AJ692,$O$5:O692,"&lt;&gt;Cancelled",$O$5:O692,"&lt;&gt;Rescheduled")))</f>
        <v/>
      </c>
      <c r="AL692" s="49">
        <f>IF(N(U692)&lt;=0.005,"",COUNTIFS('JOBS'!$U$5:$U$1504,"&gt;0.005",'JOBS'!$B$5:$B$1504,"&lt;"&amp;B692)+COUNTIFS($U$5:U692,"&gt;0.005",$B$5:B692,B692))</f>
        <v/>
      </c>
    </row>
    <row r="693">
      <c r="A693" s="46" t="inlineStr">
        <is>
          <t>J-0689</t>
        </is>
      </c>
      <c r="B693" s="47" t="n"/>
      <c r="C693" s="94" t="n"/>
      <c r="D693" s="38" t="n"/>
      <c r="E693" s="38" t="n"/>
      <c r="F693" s="38" t="n"/>
      <c r="G693" s="38" t="n"/>
      <c r="H693" s="38" t="n"/>
      <c r="I693" s="57" t="n"/>
      <c r="J693" s="95" t="n"/>
      <c r="K693" s="95" t="n"/>
      <c r="L693" s="48" t="n"/>
      <c r="M693" s="96" t="n"/>
      <c r="N693" s="48" t="n"/>
      <c r="O693" s="38" t="n"/>
      <c r="P693" s="38" t="n"/>
      <c r="Q693" s="97">
        <f>IF(OR(F693="",E693=""),"",IFERROR(IF(INDEX('PROPERTIES'!$F$5:$F$404,MATCH(E693,'PROPERTIES'!$B$5:$B$404,0))=0,"",ROUND((INDEX('PROPERTIES'!$F$5:$F$404,MATCH(E693,'PROPERTIES'!$B$5:$B$404,0))/INDEX('PRICING'!$C$7:$C$16,MATCH(F693,'PRICING'!$A$7:$A$16,0))+INDEX('PROPERTIES'!$G$5:$G$404,MATCH(E693,'PROPERTIES'!$B$5:$B$404,0))*INDEX('PRICING'!$D$7:$D$16,MATCH(F693,'PRICING'!$A$7:$A$16,0))/60+INDEX('PROPERTIES'!$H$5:$H$404,MATCH(E693,'PROPERTIES'!$B$5:$B$404,0))*INDEX('PRICING'!$E$7:$E$16,MATCH(F693,'PRICING'!$A$7:$A$16,0))/60+INDEX('PRICING'!$F$7:$F$16,MATCH(F693,'PRICING'!$A$7:$A$16,0))/60),2)),""))</f>
        <v/>
      </c>
      <c r="R693" s="97">
        <f>IF(B693="","",IF(N(K693)&gt;0,K693,IF(N(J693)&gt;0,J693,N(Q693))))</f>
        <v/>
      </c>
      <c r="S693" s="55">
        <f>IF(L693="","",ROUND(L693*(1+N(M693)),2))</f>
        <v/>
      </c>
      <c r="T693" s="55">
        <f>IF(B693="","",SUMIFS('REVENUE'!$C$5:$C$1504,'REVENUE'!$B$5:$B$1504,A693))</f>
        <v/>
      </c>
      <c r="U693" s="55">
        <f>IF(B693="","",IF(O693="Completed",MAX(0,N(S693)-T693),""))</f>
        <v/>
      </c>
      <c r="V693" s="49">
        <f>IF(B693="","",IF(O693&lt;&gt;"Completed",IF(T693&gt;0,"Deposit","—"),IF(U693&lt;=0.005,"Paid",IF(T693&gt;0,"Partial","Unpaid"))))</f>
        <v/>
      </c>
      <c r="W693" s="55">
        <f>IF(B693="","",IFERROR(1/(1/INDEX('STAFF &amp; TASKS'!$C$5:$C$24,MATCH(H693,'STAFF &amp; TASKS'!$A$5:$A$24,0))),PayRate))</f>
        <v/>
      </c>
      <c r="X693" s="55">
        <f>IF(B693="","",IF(OR(O693="Cancelled",O693="No-Show"),"",ROUND(R693*W693*(1+Burden),2)))</f>
        <v/>
      </c>
      <c r="Y693" s="55">
        <f>IF(B693="","",IF(OR(O693="Cancelled",O693="No-Show"),"",IF(N693&lt;&gt;"",N693,ROUND(R693*SupHr*IFERROR(INDEX('PRICING'!$G$7:$G$16,MATCH(F693,'PRICING'!$A$7:$A$16,0)),1),2))))</f>
        <v/>
      </c>
      <c r="Z693" s="98">
        <f>IF(B693="","",SUMIFS('MILEAGE'!$J$5:$J$1504,'MILEAGE'!$B$5:$B$1504,A693))</f>
        <v/>
      </c>
      <c r="AA693" s="55">
        <f>IF(B693="","",ROUND(Z693*MileRate,2))</f>
        <v/>
      </c>
      <c r="AB693" s="55">
        <f>IF(B693="","",SUMIFS('REVENUE'!$J$5:$J$1504,'REVENUE'!$B$5:$B$1504,A693))</f>
        <v/>
      </c>
      <c r="AC693" s="55">
        <f>IF(L693="","",IF(OR(O693="Cancelled",O693="No-Show"),"",L693-N(X693)-N(Y693)-AA693-AB693))</f>
        <v/>
      </c>
      <c r="AD693" s="99">
        <f>IF(OR(AC693="",N(L693)=0),"",AC693/L693)</f>
        <v/>
      </c>
      <c r="AE693" s="55">
        <f>IF(OR(AC693="",N(R693)=0),"",L693/R693)</f>
        <v/>
      </c>
      <c r="AF693" s="100">
        <f>IF(OR(N(K693)=0,N(J693)+N(Q693)=0),"",K693-IF(N(J693)&gt;0,J693,Q693))</f>
        <v/>
      </c>
      <c r="AG693" s="99">
        <f>IF(B693="","",IFERROR(AVERAGEIFS('QUALITY CONTROL'!$M$5:$M$304,'QUALITY CONTROL'!$B$5:$B$304,A693),""))</f>
        <v/>
      </c>
      <c r="AH693" s="51">
        <f>IF(B693="","",DATE(YEAR(B693),MONTH(B693),1))</f>
        <v/>
      </c>
      <c r="AI693" s="49">
        <f>IF(D693="","",IFERROR(INDEX('CUSTOMERS'!$E$5:$E$404,MATCH(D693,'CUSTOMERS'!$B$5:$B$404,0)),""))</f>
        <v/>
      </c>
      <c r="AJ693" s="49">
        <f>IF(B693="","",N(C693))</f>
        <v/>
      </c>
      <c r="AK693" s="49">
        <f>IF(OR(B693="",O693="Cancelled",O693="Rescheduled"),"",B693&amp;"|"&amp;(COUNTIFS('JOBS'!$B$5:$B$1504,B693,'JOBS'!$AJ$5:$AJ$1504,"&lt;"&amp;AJ693,'JOBS'!$O$5:$O$1504,"&lt;&gt;Cancelled",'JOBS'!$O$5:$O$1504,"&lt;&gt;Rescheduled")+COUNTIFS($B$5:B693,B693,$AJ$5:AJ693,AJ693,$O$5:O693,"&lt;&gt;Cancelled",$O$5:O693,"&lt;&gt;Rescheduled")))</f>
        <v/>
      </c>
      <c r="AL693" s="49">
        <f>IF(N(U693)&lt;=0.005,"",COUNTIFS('JOBS'!$U$5:$U$1504,"&gt;0.005",'JOBS'!$B$5:$B$1504,"&lt;"&amp;B693)+COUNTIFS($U$5:U693,"&gt;0.005",$B$5:B693,B693))</f>
        <v/>
      </c>
    </row>
    <row r="694">
      <c r="A694" s="46" t="inlineStr">
        <is>
          <t>J-0690</t>
        </is>
      </c>
      <c r="B694" s="47" t="n"/>
      <c r="C694" s="94" t="n"/>
      <c r="D694" s="38" t="n"/>
      <c r="E694" s="38" t="n"/>
      <c r="F694" s="38" t="n"/>
      <c r="G694" s="38" t="n"/>
      <c r="H694" s="38" t="n"/>
      <c r="I694" s="57" t="n"/>
      <c r="J694" s="95" t="n"/>
      <c r="K694" s="95" t="n"/>
      <c r="L694" s="48" t="n"/>
      <c r="M694" s="96" t="n"/>
      <c r="N694" s="48" t="n"/>
      <c r="O694" s="38" t="n"/>
      <c r="P694" s="38" t="n"/>
      <c r="Q694" s="97">
        <f>IF(OR(F694="",E694=""),"",IFERROR(IF(INDEX('PROPERTIES'!$F$5:$F$404,MATCH(E694,'PROPERTIES'!$B$5:$B$404,0))=0,"",ROUND((INDEX('PROPERTIES'!$F$5:$F$404,MATCH(E694,'PROPERTIES'!$B$5:$B$404,0))/INDEX('PRICING'!$C$7:$C$16,MATCH(F694,'PRICING'!$A$7:$A$16,0))+INDEX('PROPERTIES'!$G$5:$G$404,MATCH(E694,'PROPERTIES'!$B$5:$B$404,0))*INDEX('PRICING'!$D$7:$D$16,MATCH(F694,'PRICING'!$A$7:$A$16,0))/60+INDEX('PROPERTIES'!$H$5:$H$404,MATCH(E694,'PROPERTIES'!$B$5:$B$404,0))*INDEX('PRICING'!$E$7:$E$16,MATCH(F694,'PRICING'!$A$7:$A$16,0))/60+INDEX('PRICING'!$F$7:$F$16,MATCH(F694,'PRICING'!$A$7:$A$16,0))/60),2)),""))</f>
        <v/>
      </c>
      <c r="R694" s="97">
        <f>IF(B694="","",IF(N(K694)&gt;0,K694,IF(N(J694)&gt;0,J694,N(Q694))))</f>
        <v/>
      </c>
      <c r="S694" s="55">
        <f>IF(L694="","",ROUND(L694*(1+N(M694)),2))</f>
        <v/>
      </c>
      <c r="T694" s="55">
        <f>IF(B694="","",SUMIFS('REVENUE'!$C$5:$C$1504,'REVENUE'!$B$5:$B$1504,A694))</f>
        <v/>
      </c>
      <c r="U694" s="55">
        <f>IF(B694="","",IF(O694="Completed",MAX(0,N(S694)-T694),""))</f>
        <v/>
      </c>
      <c r="V694" s="49">
        <f>IF(B694="","",IF(O694&lt;&gt;"Completed",IF(T694&gt;0,"Deposit","—"),IF(U694&lt;=0.005,"Paid",IF(T694&gt;0,"Partial","Unpaid"))))</f>
        <v/>
      </c>
      <c r="W694" s="55">
        <f>IF(B694="","",IFERROR(1/(1/INDEX('STAFF &amp; TASKS'!$C$5:$C$24,MATCH(H694,'STAFF &amp; TASKS'!$A$5:$A$24,0))),PayRate))</f>
        <v/>
      </c>
      <c r="X694" s="55">
        <f>IF(B694="","",IF(OR(O694="Cancelled",O694="No-Show"),"",ROUND(R694*W694*(1+Burden),2)))</f>
        <v/>
      </c>
      <c r="Y694" s="55">
        <f>IF(B694="","",IF(OR(O694="Cancelled",O694="No-Show"),"",IF(N694&lt;&gt;"",N694,ROUND(R694*SupHr*IFERROR(INDEX('PRICING'!$G$7:$G$16,MATCH(F694,'PRICING'!$A$7:$A$16,0)),1),2))))</f>
        <v/>
      </c>
      <c r="Z694" s="98">
        <f>IF(B694="","",SUMIFS('MILEAGE'!$J$5:$J$1504,'MILEAGE'!$B$5:$B$1504,A694))</f>
        <v/>
      </c>
      <c r="AA694" s="55">
        <f>IF(B694="","",ROUND(Z694*MileRate,2))</f>
        <v/>
      </c>
      <c r="AB694" s="55">
        <f>IF(B694="","",SUMIFS('REVENUE'!$J$5:$J$1504,'REVENUE'!$B$5:$B$1504,A694))</f>
        <v/>
      </c>
      <c r="AC694" s="55">
        <f>IF(L694="","",IF(OR(O694="Cancelled",O694="No-Show"),"",L694-N(X694)-N(Y694)-AA694-AB694))</f>
        <v/>
      </c>
      <c r="AD694" s="99">
        <f>IF(OR(AC694="",N(L694)=0),"",AC694/L694)</f>
        <v/>
      </c>
      <c r="AE694" s="55">
        <f>IF(OR(AC694="",N(R694)=0),"",L694/R694)</f>
        <v/>
      </c>
      <c r="AF694" s="100">
        <f>IF(OR(N(K694)=0,N(J694)+N(Q694)=0),"",K694-IF(N(J694)&gt;0,J694,Q694))</f>
        <v/>
      </c>
      <c r="AG694" s="99">
        <f>IF(B694="","",IFERROR(AVERAGEIFS('QUALITY CONTROL'!$M$5:$M$304,'QUALITY CONTROL'!$B$5:$B$304,A694),""))</f>
        <v/>
      </c>
      <c r="AH694" s="51">
        <f>IF(B694="","",DATE(YEAR(B694),MONTH(B694),1))</f>
        <v/>
      </c>
      <c r="AI694" s="49">
        <f>IF(D694="","",IFERROR(INDEX('CUSTOMERS'!$E$5:$E$404,MATCH(D694,'CUSTOMERS'!$B$5:$B$404,0)),""))</f>
        <v/>
      </c>
      <c r="AJ694" s="49">
        <f>IF(B694="","",N(C694))</f>
        <v/>
      </c>
      <c r="AK694" s="49">
        <f>IF(OR(B694="",O694="Cancelled",O694="Rescheduled"),"",B694&amp;"|"&amp;(COUNTIFS('JOBS'!$B$5:$B$1504,B694,'JOBS'!$AJ$5:$AJ$1504,"&lt;"&amp;AJ694,'JOBS'!$O$5:$O$1504,"&lt;&gt;Cancelled",'JOBS'!$O$5:$O$1504,"&lt;&gt;Rescheduled")+COUNTIFS($B$5:B694,B694,$AJ$5:AJ694,AJ694,$O$5:O694,"&lt;&gt;Cancelled",$O$5:O694,"&lt;&gt;Rescheduled")))</f>
        <v/>
      </c>
      <c r="AL694" s="49">
        <f>IF(N(U694)&lt;=0.005,"",COUNTIFS('JOBS'!$U$5:$U$1504,"&gt;0.005",'JOBS'!$B$5:$B$1504,"&lt;"&amp;B694)+COUNTIFS($U$5:U694,"&gt;0.005",$B$5:B694,B694))</f>
        <v/>
      </c>
    </row>
    <row r="695">
      <c r="A695" s="46" t="inlineStr">
        <is>
          <t>J-0691</t>
        </is>
      </c>
      <c r="B695" s="47" t="n"/>
      <c r="C695" s="94" t="n"/>
      <c r="D695" s="38" t="n"/>
      <c r="E695" s="38" t="n"/>
      <c r="F695" s="38" t="n"/>
      <c r="G695" s="38" t="n"/>
      <c r="H695" s="38" t="n"/>
      <c r="I695" s="57" t="n"/>
      <c r="J695" s="95" t="n"/>
      <c r="K695" s="95" t="n"/>
      <c r="L695" s="48" t="n"/>
      <c r="M695" s="96" t="n"/>
      <c r="N695" s="48" t="n"/>
      <c r="O695" s="38" t="n"/>
      <c r="P695" s="38" t="n"/>
      <c r="Q695" s="97">
        <f>IF(OR(F695="",E695=""),"",IFERROR(IF(INDEX('PROPERTIES'!$F$5:$F$404,MATCH(E695,'PROPERTIES'!$B$5:$B$404,0))=0,"",ROUND((INDEX('PROPERTIES'!$F$5:$F$404,MATCH(E695,'PROPERTIES'!$B$5:$B$404,0))/INDEX('PRICING'!$C$7:$C$16,MATCH(F695,'PRICING'!$A$7:$A$16,0))+INDEX('PROPERTIES'!$G$5:$G$404,MATCH(E695,'PROPERTIES'!$B$5:$B$404,0))*INDEX('PRICING'!$D$7:$D$16,MATCH(F695,'PRICING'!$A$7:$A$16,0))/60+INDEX('PROPERTIES'!$H$5:$H$404,MATCH(E695,'PROPERTIES'!$B$5:$B$404,0))*INDEX('PRICING'!$E$7:$E$16,MATCH(F695,'PRICING'!$A$7:$A$16,0))/60+INDEX('PRICING'!$F$7:$F$16,MATCH(F695,'PRICING'!$A$7:$A$16,0))/60),2)),""))</f>
        <v/>
      </c>
      <c r="R695" s="97">
        <f>IF(B695="","",IF(N(K695)&gt;0,K695,IF(N(J695)&gt;0,J695,N(Q695))))</f>
        <v/>
      </c>
      <c r="S695" s="55">
        <f>IF(L695="","",ROUND(L695*(1+N(M695)),2))</f>
        <v/>
      </c>
      <c r="T695" s="55">
        <f>IF(B695="","",SUMIFS('REVENUE'!$C$5:$C$1504,'REVENUE'!$B$5:$B$1504,A695))</f>
        <v/>
      </c>
      <c r="U695" s="55">
        <f>IF(B695="","",IF(O695="Completed",MAX(0,N(S695)-T695),""))</f>
        <v/>
      </c>
      <c r="V695" s="49">
        <f>IF(B695="","",IF(O695&lt;&gt;"Completed",IF(T695&gt;0,"Deposit","—"),IF(U695&lt;=0.005,"Paid",IF(T695&gt;0,"Partial","Unpaid"))))</f>
        <v/>
      </c>
      <c r="W695" s="55">
        <f>IF(B695="","",IFERROR(1/(1/INDEX('STAFF &amp; TASKS'!$C$5:$C$24,MATCH(H695,'STAFF &amp; TASKS'!$A$5:$A$24,0))),PayRate))</f>
        <v/>
      </c>
      <c r="X695" s="55">
        <f>IF(B695="","",IF(OR(O695="Cancelled",O695="No-Show"),"",ROUND(R695*W695*(1+Burden),2)))</f>
        <v/>
      </c>
      <c r="Y695" s="55">
        <f>IF(B695="","",IF(OR(O695="Cancelled",O695="No-Show"),"",IF(N695&lt;&gt;"",N695,ROUND(R695*SupHr*IFERROR(INDEX('PRICING'!$G$7:$G$16,MATCH(F695,'PRICING'!$A$7:$A$16,0)),1),2))))</f>
        <v/>
      </c>
      <c r="Z695" s="98">
        <f>IF(B695="","",SUMIFS('MILEAGE'!$J$5:$J$1504,'MILEAGE'!$B$5:$B$1504,A695))</f>
        <v/>
      </c>
      <c r="AA695" s="55">
        <f>IF(B695="","",ROUND(Z695*MileRate,2))</f>
        <v/>
      </c>
      <c r="AB695" s="55">
        <f>IF(B695="","",SUMIFS('REVENUE'!$J$5:$J$1504,'REVENUE'!$B$5:$B$1504,A695))</f>
        <v/>
      </c>
      <c r="AC695" s="55">
        <f>IF(L695="","",IF(OR(O695="Cancelled",O695="No-Show"),"",L695-N(X695)-N(Y695)-AA695-AB695))</f>
        <v/>
      </c>
      <c r="AD695" s="99">
        <f>IF(OR(AC695="",N(L695)=0),"",AC695/L695)</f>
        <v/>
      </c>
      <c r="AE695" s="55">
        <f>IF(OR(AC695="",N(R695)=0),"",L695/R695)</f>
        <v/>
      </c>
      <c r="AF695" s="100">
        <f>IF(OR(N(K695)=0,N(J695)+N(Q695)=0),"",K695-IF(N(J695)&gt;0,J695,Q695))</f>
        <v/>
      </c>
      <c r="AG695" s="99">
        <f>IF(B695="","",IFERROR(AVERAGEIFS('QUALITY CONTROL'!$M$5:$M$304,'QUALITY CONTROL'!$B$5:$B$304,A695),""))</f>
        <v/>
      </c>
      <c r="AH695" s="51">
        <f>IF(B695="","",DATE(YEAR(B695),MONTH(B695),1))</f>
        <v/>
      </c>
      <c r="AI695" s="49">
        <f>IF(D695="","",IFERROR(INDEX('CUSTOMERS'!$E$5:$E$404,MATCH(D695,'CUSTOMERS'!$B$5:$B$404,0)),""))</f>
        <v/>
      </c>
      <c r="AJ695" s="49">
        <f>IF(B695="","",N(C695))</f>
        <v/>
      </c>
      <c r="AK695" s="49">
        <f>IF(OR(B695="",O695="Cancelled",O695="Rescheduled"),"",B695&amp;"|"&amp;(COUNTIFS('JOBS'!$B$5:$B$1504,B695,'JOBS'!$AJ$5:$AJ$1504,"&lt;"&amp;AJ695,'JOBS'!$O$5:$O$1504,"&lt;&gt;Cancelled",'JOBS'!$O$5:$O$1504,"&lt;&gt;Rescheduled")+COUNTIFS($B$5:B695,B695,$AJ$5:AJ695,AJ695,$O$5:O695,"&lt;&gt;Cancelled",$O$5:O695,"&lt;&gt;Rescheduled")))</f>
        <v/>
      </c>
      <c r="AL695" s="49">
        <f>IF(N(U695)&lt;=0.005,"",COUNTIFS('JOBS'!$U$5:$U$1504,"&gt;0.005",'JOBS'!$B$5:$B$1504,"&lt;"&amp;B695)+COUNTIFS($U$5:U695,"&gt;0.005",$B$5:B695,B695))</f>
        <v/>
      </c>
    </row>
    <row r="696">
      <c r="A696" s="46" t="inlineStr">
        <is>
          <t>J-0692</t>
        </is>
      </c>
      <c r="B696" s="47" t="n"/>
      <c r="C696" s="94" t="n"/>
      <c r="D696" s="38" t="n"/>
      <c r="E696" s="38" t="n"/>
      <c r="F696" s="38" t="n"/>
      <c r="G696" s="38" t="n"/>
      <c r="H696" s="38" t="n"/>
      <c r="I696" s="57" t="n"/>
      <c r="J696" s="95" t="n"/>
      <c r="K696" s="95" t="n"/>
      <c r="L696" s="48" t="n"/>
      <c r="M696" s="96" t="n"/>
      <c r="N696" s="48" t="n"/>
      <c r="O696" s="38" t="n"/>
      <c r="P696" s="38" t="n"/>
      <c r="Q696" s="97">
        <f>IF(OR(F696="",E696=""),"",IFERROR(IF(INDEX('PROPERTIES'!$F$5:$F$404,MATCH(E696,'PROPERTIES'!$B$5:$B$404,0))=0,"",ROUND((INDEX('PROPERTIES'!$F$5:$F$404,MATCH(E696,'PROPERTIES'!$B$5:$B$404,0))/INDEX('PRICING'!$C$7:$C$16,MATCH(F696,'PRICING'!$A$7:$A$16,0))+INDEX('PROPERTIES'!$G$5:$G$404,MATCH(E696,'PROPERTIES'!$B$5:$B$404,0))*INDEX('PRICING'!$D$7:$D$16,MATCH(F696,'PRICING'!$A$7:$A$16,0))/60+INDEX('PROPERTIES'!$H$5:$H$404,MATCH(E696,'PROPERTIES'!$B$5:$B$404,0))*INDEX('PRICING'!$E$7:$E$16,MATCH(F696,'PRICING'!$A$7:$A$16,0))/60+INDEX('PRICING'!$F$7:$F$16,MATCH(F696,'PRICING'!$A$7:$A$16,0))/60),2)),""))</f>
        <v/>
      </c>
      <c r="R696" s="97">
        <f>IF(B696="","",IF(N(K696)&gt;0,K696,IF(N(J696)&gt;0,J696,N(Q696))))</f>
        <v/>
      </c>
      <c r="S696" s="55">
        <f>IF(L696="","",ROUND(L696*(1+N(M696)),2))</f>
        <v/>
      </c>
      <c r="T696" s="55">
        <f>IF(B696="","",SUMIFS('REVENUE'!$C$5:$C$1504,'REVENUE'!$B$5:$B$1504,A696))</f>
        <v/>
      </c>
      <c r="U696" s="55">
        <f>IF(B696="","",IF(O696="Completed",MAX(0,N(S696)-T696),""))</f>
        <v/>
      </c>
      <c r="V696" s="49">
        <f>IF(B696="","",IF(O696&lt;&gt;"Completed",IF(T696&gt;0,"Deposit","—"),IF(U696&lt;=0.005,"Paid",IF(T696&gt;0,"Partial","Unpaid"))))</f>
        <v/>
      </c>
      <c r="W696" s="55">
        <f>IF(B696="","",IFERROR(1/(1/INDEX('STAFF &amp; TASKS'!$C$5:$C$24,MATCH(H696,'STAFF &amp; TASKS'!$A$5:$A$24,0))),PayRate))</f>
        <v/>
      </c>
      <c r="X696" s="55">
        <f>IF(B696="","",IF(OR(O696="Cancelled",O696="No-Show"),"",ROUND(R696*W696*(1+Burden),2)))</f>
        <v/>
      </c>
      <c r="Y696" s="55">
        <f>IF(B696="","",IF(OR(O696="Cancelled",O696="No-Show"),"",IF(N696&lt;&gt;"",N696,ROUND(R696*SupHr*IFERROR(INDEX('PRICING'!$G$7:$G$16,MATCH(F696,'PRICING'!$A$7:$A$16,0)),1),2))))</f>
        <v/>
      </c>
      <c r="Z696" s="98">
        <f>IF(B696="","",SUMIFS('MILEAGE'!$J$5:$J$1504,'MILEAGE'!$B$5:$B$1504,A696))</f>
        <v/>
      </c>
      <c r="AA696" s="55">
        <f>IF(B696="","",ROUND(Z696*MileRate,2))</f>
        <v/>
      </c>
      <c r="AB696" s="55">
        <f>IF(B696="","",SUMIFS('REVENUE'!$J$5:$J$1504,'REVENUE'!$B$5:$B$1504,A696))</f>
        <v/>
      </c>
      <c r="AC696" s="55">
        <f>IF(L696="","",IF(OR(O696="Cancelled",O696="No-Show"),"",L696-N(X696)-N(Y696)-AA696-AB696))</f>
        <v/>
      </c>
      <c r="AD696" s="99">
        <f>IF(OR(AC696="",N(L696)=0),"",AC696/L696)</f>
        <v/>
      </c>
      <c r="AE696" s="55">
        <f>IF(OR(AC696="",N(R696)=0),"",L696/R696)</f>
        <v/>
      </c>
      <c r="AF696" s="100">
        <f>IF(OR(N(K696)=0,N(J696)+N(Q696)=0),"",K696-IF(N(J696)&gt;0,J696,Q696))</f>
        <v/>
      </c>
      <c r="AG696" s="99">
        <f>IF(B696="","",IFERROR(AVERAGEIFS('QUALITY CONTROL'!$M$5:$M$304,'QUALITY CONTROL'!$B$5:$B$304,A696),""))</f>
        <v/>
      </c>
      <c r="AH696" s="51">
        <f>IF(B696="","",DATE(YEAR(B696),MONTH(B696),1))</f>
        <v/>
      </c>
      <c r="AI696" s="49">
        <f>IF(D696="","",IFERROR(INDEX('CUSTOMERS'!$E$5:$E$404,MATCH(D696,'CUSTOMERS'!$B$5:$B$404,0)),""))</f>
        <v/>
      </c>
      <c r="AJ696" s="49">
        <f>IF(B696="","",N(C696))</f>
        <v/>
      </c>
      <c r="AK696" s="49">
        <f>IF(OR(B696="",O696="Cancelled",O696="Rescheduled"),"",B696&amp;"|"&amp;(COUNTIFS('JOBS'!$B$5:$B$1504,B696,'JOBS'!$AJ$5:$AJ$1504,"&lt;"&amp;AJ696,'JOBS'!$O$5:$O$1504,"&lt;&gt;Cancelled",'JOBS'!$O$5:$O$1504,"&lt;&gt;Rescheduled")+COUNTIFS($B$5:B696,B696,$AJ$5:AJ696,AJ696,$O$5:O696,"&lt;&gt;Cancelled",$O$5:O696,"&lt;&gt;Rescheduled")))</f>
        <v/>
      </c>
      <c r="AL696" s="49">
        <f>IF(N(U696)&lt;=0.005,"",COUNTIFS('JOBS'!$U$5:$U$1504,"&gt;0.005",'JOBS'!$B$5:$B$1504,"&lt;"&amp;B696)+COUNTIFS($U$5:U696,"&gt;0.005",$B$5:B696,B696))</f>
        <v/>
      </c>
    </row>
    <row r="697">
      <c r="A697" s="46" t="inlineStr">
        <is>
          <t>J-0693</t>
        </is>
      </c>
      <c r="B697" s="47" t="n"/>
      <c r="C697" s="94" t="n"/>
      <c r="D697" s="38" t="n"/>
      <c r="E697" s="38" t="n"/>
      <c r="F697" s="38" t="n"/>
      <c r="G697" s="38" t="n"/>
      <c r="H697" s="38" t="n"/>
      <c r="I697" s="57" t="n"/>
      <c r="J697" s="95" t="n"/>
      <c r="K697" s="95" t="n"/>
      <c r="L697" s="48" t="n"/>
      <c r="M697" s="96" t="n"/>
      <c r="N697" s="48" t="n"/>
      <c r="O697" s="38" t="n"/>
      <c r="P697" s="38" t="n"/>
      <c r="Q697" s="97">
        <f>IF(OR(F697="",E697=""),"",IFERROR(IF(INDEX('PROPERTIES'!$F$5:$F$404,MATCH(E697,'PROPERTIES'!$B$5:$B$404,0))=0,"",ROUND((INDEX('PROPERTIES'!$F$5:$F$404,MATCH(E697,'PROPERTIES'!$B$5:$B$404,0))/INDEX('PRICING'!$C$7:$C$16,MATCH(F697,'PRICING'!$A$7:$A$16,0))+INDEX('PROPERTIES'!$G$5:$G$404,MATCH(E697,'PROPERTIES'!$B$5:$B$404,0))*INDEX('PRICING'!$D$7:$D$16,MATCH(F697,'PRICING'!$A$7:$A$16,0))/60+INDEX('PROPERTIES'!$H$5:$H$404,MATCH(E697,'PROPERTIES'!$B$5:$B$404,0))*INDEX('PRICING'!$E$7:$E$16,MATCH(F697,'PRICING'!$A$7:$A$16,0))/60+INDEX('PRICING'!$F$7:$F$16,MATCH(F697,'PRICING'!$A$7:$A$16,0))/60),2)),""))</f>
        <v/>
      </c>
      <c r="R697" s="97">
        <f>IF(B697="","",IF(N(K697)&gt;0,K697,IF(N(J697)&gt;0,J697,N(Q697))))</f>
        <v/>
      </c>
      <c r="S697" s="55">
        <f>IF(L697="","",ROUND(L697*(1+N(M697)),2))</f>
        <v/>
      </c>
      <c r="T697" s="55">
        <f>IF(B697="","",SUMIFS('REVENUE'!$C$5:$C$1504,'REVENUE'!$B$5:$B$1504,A697))</f>
        <v/>
      </c>
      <c r="U697" s="55">
        <f>IF(B697="","",IF(O697="Completed",MAX(0,N(S697)-T697),""))</f>
        <v/>
      </c>
      <c r="V697" s="49">
        <f>IF(B697="","",IF(O697&lt;&gt;"Completed",IF(T697&gt;0,"Deposit","—"),IF(U697&lt;=0.005,"Paid",IF(T697&gt;0,"Partial","Unpaid"))))</f>
        <v/>
      </c>
      <c r="W697" s="55">
        <f>IF(B697="","",IFERROR(1/(1/INDEX('STAFF &amp; TASKS'!$C$5:$C$24,MATCH(H697,'STAFF &amp; TASKS'!$A$5:$A$24,0))),PayRate))</f>
        <v/>
      </c>
      <c r="X697" s="55">
        <f>IF(B697="","",IF(OR(O697="Cancelled",O697="No-Show"),"",ROUND(R697*W697*(1+Burden),2)))</f>
        <v/>
      </c>
      <c r="Y697" s="55">
        <f>IF(B697="","",IF(OR(O697="Cancelled",O697="No-Show"),"",IF(N697&lt;&gt;"",N697,ROUND(R697*SupHr*IFERROR(INDEX('PRICING'!$G$7:$G$16,MATCH(F697,'PRICING'!$A$7:$A$16,0)),1),2))))</f>
        <v/>
      </c>
      <c r="Z697" s="98">
        <f>IF(B697="","",SUMIFS('MILEAGE'!$J$5:$J$1504,'MILEAGE'!$B$5:$B$1504,A697))</f>
        <v/>
      </c>
      <c r="AA697" s="55">
        <f>IF(B697="","",ROUND(Z697*MileRate,2))</f>
        <v/>
      </c>
      <c r="AB697" s="55">
        <f>IF(B697="","",SUMIFS('REVENUE'!$J$5:$J$1504,'REVENUE'!$B$5:$B$1504,A697))</f>
        <v/>
      </c>
      <c r="AC697" s="55">
        <f>IF(L697="","",IF(OR(O697="Cancelled",O697="No-Show"),"",L697-N(X697)-N(Y697)-AA697-AB697))</f>
        <v/>
      </c>
      <c r="AD697" s="99">
        <f>IF(OR(AC697="",N(L697)=0),"",AC697/L697)</f>
        <v/>
      </c>
      <c r="AE697" s="55">
        <f>IF(OR(AC697="",N(R697)=0),"",L697/R697)</f>
        <v/>
      </c>
      <c r="AF697" s="100">
        <f>IF(OR(N(K697)=0,N(J697)+N(Q697)=0),"",K697-IF(N(J697)&gt;0,J697,Q697))</f>
        <v/>
      </c>
      <c r="AG697" s="99">
        <f>IF(B697="","",IFERROR(AVERAGEIFS('QUALITY CONTROL'!$M$5:$M$304,'QUALITY CONTROL'!$B$5:$B$304,A697),""))</f>
        <v/>
      </c>
      <c r="AH697" s="51">
        <f>IF(B697="","",DATE(YEAR(B697),MONTH(B697),1))</f>
        <v/>
      </c>
      <c r="AI697" s="49">
        <f>IF(D697="","",IFERROR(INDEX('CUSTOMERS'!$E$5:$E$404,MATCH(D697,'CUSTOMERS'!$B$5:$B$404,0)),""))</f>
        <v/>
      </c>
      <c r="AJ697" s="49">
        <f>IF(B697="","",N(C697))</f>
        <v/>
      </c>
      <c r="AK697" s="49">
        <f>IF(OR(B697="",O697="Cancelled",O697="Rescheduled"),"",B697&amp;"|"&amp;(COUNTIFS('JOBS'!$B$5:$B$1504,B697,'JOBS'!$AJ$5:$AJ$1504,"&lt;"&amp;AJ697,'JOBS'!$O$5:$O$1504,"&lt;&gt;Cancelled",'JOBS'!$O$5:$O$1504,"&lt;&gt;Rescheduled")+COUNTIFS($B$5:B697,B697,$AJ$5:AJ697,AJ697,$O$5:O697,"&lt;&gt;Cancelled",$O$5:O697,"&lt;&gt;Rescheduled")))</f>
        <v/>
      </c>
      <c r="AL697" s="49">
        <f>IF(N(U697)&lt;=0.005,"",COUNTIFS('JOBS'!$U$5:$U$1504,"&gt;0.005",'JOBS'!$B$5:$B$1504,"&lt;"&amp;B697)+COUNTIFS($U$5:U697,"&gt;0.005",$B$5:B697,B697))</f>
        <v/>
      </c>
    </row>
    <row r="698">
      <c r="A698" s="46" t="inlineStr">
        <is>
          <t>J-0694</t>
        </is>
      </c>
      <c r="B698" s="47" t="n"/>
      <c r="C698" s="94" t="n"/>
      <c r="D698" s="38" t="n"/>
      <c r="E698" s="38" t="n"/>
      <c r="F698" s="38" t="n"/>
      <c r="G698" s="38" t="n"/>
      <c r="H698" s="38" t="n"/>
      <c r="I698" s="57" t="n"/>
      <c r="J698" s="95" t="n"/>
      <c r="K698" s="95" t="n"/>
      <c r="L698" s="48" t="n"/>
      <c r="M698" s="96" t="n"/>
      <c r="N698" s="48" t="n"/>
      <c r="O698" s="38" t="n"/>
      <c r="P698" s="38" t="n"/>
      <c r="Q698" s="97">
        <f>IF(OR(F698="",E698=""),"",IFERROR(IF(INDEX('PROPERTIES'!$F$5:$F$404,MATCH(E698,'PROPERTIES'!$B$5:$B$404,0))=0,"",ROUND((INDEX('PROPERTIES'!$F$5:$F$404,MATCH(E698,'PROPERTIES'!$B$5:$B$404,0))/INDEX('PRICING'!$C$7:$C$16,MATCH(F698,'PRICING'!$A$7:$A$16,0))+INDEX('PROPERTIES'!$G$5:$G$404,MATCH(E698,'PROPERTIES'!$B$5:$B$404,0))*INDEX('PRICING'!$D$7:$D$16,MATCH(F698,'PRICING'!$A$7:$A$16,0))/60+INDEX('PROPERTIES'!$H$5:$H$404,MATCH(E698,'PROPERTIES'!$B$5:$B$404,0))*INDEX('PRICING'!$E$7:$E$16,MATCH(F698,'PRICING'!$A$7:$A$16,0))/60+INDEX('PRICING'!$F$7:$F$16,MATCH(F698,'PRICING'!$A$7:$A$16,0))/60),2)),""))</f>
        <v/>
      </c>
      <c r="R698" s="97">
        <f>IF(B698="","",IF(N(K698)&gt;0,K698,IF(N(J698)&gt;0,J698,N(Q698))))</f>
        <v/>
      </c>
      <c r="S698" s="55">
        <f>IF(L698="","",ROUND(L698*(1+N(M698)),2))</f>
        <v/>
      </c>
      <c r="T698" s="55">
        <f>IF(B698="","",SUMIFS('REVENUE'!$C$5:$C$1504,'REVENUE'!$B$5:$B$1504,A698))</f>
        <v/>
      </c>
      <c r="U698" s="55">
        <f>IF(B698="","",IF(O698="Completed",MAX(0,N(S698)-T698),""))</f>
        <v/>
      </c>
      <c r="V698" s="49">
        <f>IF(B698="","",IF(O698&lt;&gt;"Completed",IF(T698&gt;0,"Deposit","—"),IF(U698&lt;=0.005,"Paid",IF(T698&gt;0,"Partial","Unpaid"))))</f>
        <v/>
      </c>
      <c r="W698" s="55">
        <f>IF(B698="","",IFERROR(1/(1/INDEX('STAFF &amp; TASKS'!$C$5:$C$24,MATCH(H698,'STAFF &amp; TASKS'!$A$5:$A$24,0))),PayRate))</f>
        <v/>
      </c>
      <c r="X698" s="55">
        <f>IF(B698="","",IF(OR(O698="Cancelled",O698="No-Show"),"",ROUND(R698*W698*(1+Burden),2)))</f>
        <v/>
      </c>
      <c r="Y698" s="55">
        <f>IF(B698="","",IF(OR(O698="Cancelled",O698="No-Show"),"",IF(N698&lt;&gt;"",N698,ROUND(R698*SupHr*IFERROR(INDEX('PRICING'!$G$7:$G$16,MATCH(F698,'PRICING'!$A$7:$A$16,0)),1),2))))</f>
        <v/>
      </c>
      <c r="Z698" s="98">
        <f>IF(B698="","",SUMIFS('MILEAGE'!$J$5:$J$1504,'MILEAGE'!$B$5:$B$1504,A698))</f>
        <v/>
      </c>
      <c r="AA698" s="55">
        <f>IF(B698="","",ROUND(Z698*MileRate,2))</f>
        <v/>
      </c>
      <c r="AB698" s="55">
        <f>IF(B698="","",SUMIFS('REVENUE'!$J$5:$J$1504,'REVENUE'!$B$5:$B$1504,A698))</f>
        <v/>
      </c>
      <c r="AC698" s="55">
        <f>IF(L698="","",IF(OR(O698="Cancelled",O698="No-Show"),"",L698-N(X698)-N(Y698)-AA698-AB698))</f>
        <v/>
      </c>
      <c r="AD698" s="99">
        <f>IF(OR(AC698="",N(L698)=0),"",AC698/L698)</f>
        <v/>
      </c>
      <c r="AE698" s="55">
        <f>IF(OR(AC698="",N(R698)=0),"",L698/R698)</f>
        <v/>
      </c>
      <c r="AF698" s="100">
        <f>IF(OR(N(K698)=0,N(J698)+N(Q698)=0),"",K698-IF(N(J698)&gt;0,J698,Q698))</f>
        <v/>
      </c>
      <c r="AG698" s="99">
        <f>IF(B698="","",IFERROR(AVERAGEIFS('QUALITY CONTROL'!$M$5:$M$304,'QUALITY CONTROL'!$B$5:$B$304,A698),""))</f>
        <v/>
      </c>
      <c r="AH698" s="51">
        <f>IF(B698="","",DATE(YEAR(B698),MONTH(B698),1))</f>
        <v/>
      </c>
      <c r="AI698" s="49">
        <f>IF(D698="","",IFERROR(INDEX('CUSTOMERS'!$E$5:$E$404,MATCH(D698,'CUSTOMERS'!$B$5:$B$404,0)),""))</f>
        <v/>
      </c>
      <c r="AJ698" s="49">
        <f>IF(B698="","",N(C698))</f>
        <v/>
      </c>
      <c r="AK698" s="49">
        <f>IF(OR(B698="",O698="Cancelled",O698="Rescheduled"),"",B698&amp;"|"&amp;(COUNTIFS('JOBS'!$B$5:$B$1504,B698,'JOBS'!$AJ$5:$AJ$1504,"&lt;"&amp;AJ698,'JOBS'!$O$5:$O$1504,"&lt;&gt;Cancelled",'JOBS'!$O$5:$O$1504,"&lt;&gt;Rescheduled")+COUNTIFS($B$5:B698,B698,$AJ$5:AJ698,AJ698,$O$5:O698,"&lt;&gt;Cancelled",$O$5:O698,"&lt;&gt;Rescheduled")))</f>
        <v/>
      </c>
      <c r="AL698" s="49">
        <f>IF(N(U698)&lt;=0.005,"",COUNTIFS('JOBS'!$U$5:$U$1504,"&gt;0.005",'JOBS'!$B$5:$B$1504,"&lt;"&amp;B698)+COUNTIFS($U$5:U698,"&gt;0.005",$B$5:B698,B698))</f>
        <v/>
      </c>
    </row>
    <row r="699">
      <c r="A699" s="46" t="inlineStr">
        <is>
          <t>J-0695</t>
        </is>
      </c>
      <c r="B699" s="47" t="n"/>
      <c r="C699" s="94" t="n"/>
      <c r="D699" s="38" t="n"/>
      <c r="E699" s="38" t="n"/>
      <c r="F699" s="38" t="n"/>
      <c r="G699" s="38" t="n"/>
      <c r="H699" s="38" t="n"/>
      <c r="I699" s="57" t="n"/>
      <c r="J699" s="95" t="n"/>
      <c r="K699" s="95" t="n"/>
      <c r="L699" s="48" t="n"/>
      <c r="M699" s="96" t="n"/>
      <c r="N699" s="48" t="n"/>
      <c r="O699" s="38" t="n"/>
      <c r="P699" s="38" t="n"/>
      <c r="Q699" s="97">
        <f>IF(OR(F699="",E699=""),"",IFERROR(IF(INDEX('PROPERTIES'!$F$5:$F$404,MATCH(E699,'PROPERTIES'!$B$5:$B$404,0))=0,"",ROUND((INDEX('PROPERTIES'!$F$5:$F$404,MATCH(E699,'PROPERTIES'!$B$5:$B$404,0))/INDEX('PRICING'!$C$7:$C$16,MATCH(F699,'PRICING'!$A$7:$A$16,0))+INDEX('PROPERTIES'!$G$5:$G$404,MATCH(E699,'PROPERTIES'!$B$5:$B$404,0))*INDEX('PRICING'!$D$7:$D$16,MATCH(F699,'PRICING'!$A$7:$A$16,0))/60+INDEX('PROPERTIES'!$H$5:$H$404,MATCH(E699,'PROPERTIES'!$B$5:$B$404,0))*INDEX('PRICING'!$E$7:$E$16,MATCH(F699,'PRICING'!$A$7:$A$16,0))/60+INDEX('PRICING'!$F$7:$F$16,MATCH(F699,'PRICING'!$A$7:$A$16,0))/60),2)),""))</f>
        <v/>
      </c>
      <c r="R699" s="97">
        <f>IF(B699="","",IF(N(K699)&gt;0,K699,IF(N(J699)&gt;0,J699,N(Q699))))</f>
        <v/>
      </c>
      <c r="S699" s="55">
        <f>IF(L699="","",ROUND(L699*(1+N(M699)),2))</f>
        <v/>
      </c>
      <c r="T699" s="55">
        <f>IF(B699="","",SUMIFS('REVENUE'!$C$5:$C$1504,'REVENUE'!$B$5:$B$1504,A699))</f>
        <v/>
      </c>
      <c r="U699" s="55">
        <f>IF(B699="","",IF(O699="Completed",MAX(0,N(S699)-T699),""))</f>
        <v/>
      </c>
      <c r="V699" s="49">
        <f>IF(B699="","",IF(O699&lt;&gt;"Completed",IF(T699&gt;0,"Deposit","—"),IF(U699&lt;=0.005,"Paid",IF(T699&gt;0,"Partial","Unpaid"))))</f>
        <v/>
      </c>
      <c r="W699" s="55">
        <f>IF(B699="","",IFERROR(1/(1/INDEX('STAFF &amp; TASKS'!$C$5:$C$24,MATCH(H699,'STAFF &amp; TASKS'!$A$5:$A$24,0))),PayRate))</f>
        <v/>
      </c>
      <c r="X699" s="55">
        <f>IF(B699="","",IF(OR(O699="Cancelled",O699="No-Show"),"",ROUND(R699*W699*(1+Burden),2)))</f>
        <v/>
      </c>
      <c r="Y699" s="55">
        <f>IF(B699="","",IF(OR(O699="Cancelled",O699="No-Show"),"",IF(N699&lt;&gt;"",N699,ROUND(R699*SupHr*IFERROR(INDEX('PRICING'!$G$7:$G$16,MATCH(F699,'PRICING'!$A$7:$A$16,0)),1),2))))</f>
        <v/>
      </c>
      <c r="Z699" s="98">
        <f>IF(B699="","",SUMIFS('MILEAGE'!$J$5:$J$1504,'MILEAGE'!$B$5:$B$1504,A699))</f>
        <v/>
      </c>
      <c r="AA699" s="55">
        <f>IF(B699="","",ROUND(Z699*MileRate,2))</f>
        <v/>
      </c>
      <c r="AB699" s="55">
        <f>IF(B699="","",SUMIFS('REVENUE'!$J$5:$J$1504,'REVENUE'!$B$5:$B$1504,A699))</f>
        <v/>
      </c>
      <c r="AC699" s="55">
        <f>IF(L699="","",IF(OR(O699="Cancelled",O699="No-Show"),"",L699-N(X699)-N(Y699)-AA699-AB699))</f>
        <v/>
      </c>
      <c r="AD699" s="99">
        <f>IF(OR(AC699="",N(L699)=0),"",AC699/L699)</f>
        <v/>
      </c>
      <c r="AE699" s="55">
        <f>IF(OR(AC699="",N(R699)=0),"",L699/R699)</f>
        <v/>
      </c>
      <c r="AF699" s="100">
        <f>IF(OR(N(K699)=0,N(J699)+N(Q699)=0),"",K699-IF(N(J699)&gt;0,J699,Q699))</f>
        <v/>
      </c>
      <c r="AG699" s="99">
        <f>IF(B699="","",IFERROR(AVERAGEIFS('QUALITY CONTROL'!$M$5:$M$304,'QUALITY CONTROL'!$B$5:$B$304,A699),""))</f>
        <v/>
      </c>
      <c r="AH699" s="51">
        <f>IF(B699="","",DATE(YEAR(B699),MONTH(B699),1))</f>
        <v/>
      </c>
      <c r="AI699" s="49">
        <f>IF(D699="","",IFERROR(INDEX('CUSTOMERS'!$E$5:$E$404,MATCH(D699,'CUSTOMERS'!$B$5:$B$404,0)),""))</f>
        <v/>
      </c>
      <c r="AJ699" s="49">
        <f>IF(B699="","",N(C699))</f>
        <v/>
      </c>
      <c r="AK699" s="49">
        <f>IF(OR(B699="",O699="Cancelled",O699="Rescheduled"),"",B699&amp;"|"&amp;(COUNTIFS('JOBS'!$B$5:$B$1504,B699,'JOBS'!$AJ$5:$AJ$1504,"&lt;"&amp;AJ699,'JOBS'!$O$5:$O$1504,"&lt;&gt;Cancelled",'JOBS'!$O$5:$O$1504,"&lt;&gt;Rescheduled")+COUNTIFS($B$5:B699,B699,$AJ$5:AJ699,AJ699,$O$5:O699,"&lt;&gt;Cancelled",$O$5:O699,"&lt;&gt;Rescheduled")))</f>
        <v/>
      </c>
      <c r="AL699" s="49">
        <f>IF(N(U699)&lt;=0.005,"",COUNTIFS('JOBS'!$U$5:$U$1504,"&gt;0.005",'JOBS'!$B$5:$B$1504,"&lt;"&amp;B699)+COUNTIFS($U$5:U699,"&gt;0.005",$B$5:B699,B699))</f>
        <v/>
      </c>
    </row>
    <row r="700">
      <c r="A700" s="46" t="inlineStr">
        <is>
          <t>J-0696</t>
        </is>
      </c>
      <c r="B700" s="47" t="n"/>
      <c r="C700" s="94" t="n"/>
      <c r="D700" s="38" t="n"/>
      <c r="E700" s="38" t="n"/>
      <c r="F700" s="38" t="n"/>
      <c r="G700" s="38" t="n"/>
      <c r="H700" s="38" t="n"/>
      <c r="I700" s="57" t="n"/>
      <c r="J700" s="95" t="n"/>
      <c r="K700" s="95" t="n"/>
      <c r="L700" s="48" t="n"/>
      <c r="M700" s="96" t="n"/>
      <c r="N700" s="48" t="n"/>
      <c r="O700" s="38" t="n"/>
      <c r="P700" s="38" t="n"/>
      <c r="Q700" s="97">
        <f>IF(OR(F700="",E700=""),"",IFERROR(IF(INDEX('PROPERTIES'!$F$5:$F$404,MATCH(E700,'PROPERTIES'!$B$5:$B$404,0))=0,"",ROUND((INDEX('PROPERTIES'!$F$5:$F$404,MATCH(E700,'PROPERTIES'!$B$5:$B$404,0))/INDEX('PRICING'!$C$7:$C$16,MATCH(F700,'PRICING'!$A$7:$A$16,0))+INDEX('PROPERTIES'!$G$5:$G$404,MATCH(E700,'PROPERTIES'!$B$5:$B$404,0))*INDEX('PRICING'!$D$7:$D$16,MATCH(F700,'PRICING'!$A$7:$A$16,0))/60+INDEX('PROPERTIES'!$H$5:$H$404,MATCH(E700,'PROPERTIES'!$B$5:$B$404,0))*INDEX('PRICING'!$E$7:$E$16,MATCH(F700,'PRICING'!$A$7:$A$16,0))/60+INDEX('PRICING'!$F$7:$F$16,MATCH(F700,'PRICING'!$A$7:$A$16,0))/60),2)),""))</f>
        <v/>
      </c>
      <c r="R700" s="97">
        <f>IF(B700="","",IF(N(K700)&gt;0,K700,IF(N(J700)&gt;0,J700,N(Q700))))</f>
        <v/>
      </c>
      <c r="S700" s="55">
        <f>IF(L700="","",ROUND(L700*(1+N(M700)),2))</f>
        <v/>
      </c>
      <c r="T700" s="55">
        <f>IF(B700="","",SUMIFS('REVENUE'!$C$5:$C$1504,'REVENUE'!$B$5:$B$1504,A700))</f>
        <v/>
      </c>
      <c r="U700" s="55">
        <f>IF(B700="","",IF(O700="Completed",MAX(0,N(S700)-T700),""))</f>
        <v/>
      </c>
      <c r="V700" s="49">
        <f>IF(B700="","",IF(O700&lt;&gt;"Completed",IF(T700&gt;0,"Deposit","—"),IF(U700&lt;=0.005,"Paid",IF(T700&gt;0,"Partial","Unpaid"))))</f>
        <v/>
      </c>
      <c r="W700" s="55">
        <f>IF(B700="","",IFERROR(1/(1/INDEX('STAFF &amp; TASKS'!$C$5:$C$24,MATCH(H700,'STAFF &amp; TASKS'!$A$5:$A$24,0))),PayRate))</f>
        <v/>
      </c>
      <c r="X700" s="55">
        <f>IF(B700="","",IF(OR(O700="Cancelled",O700="No-Show"),"",ROUND(R700*W700*(1+Burden),2)))</f>
        <v/>
      </c>
      <c r="Y700" s="55">
        <f>IF(B700="","",IF(OR(O700="Cancelled",O700="No-Show"),"",IF(N700&lt;&gt;"",N700,ROUND(R700*SupHr*IFERROR(INDEX('PRICING'!$G$7:$G$16,MATCH(F700,'PRICING'!$A$7:$A$16,0)),1),2))))</f>
        <v/>
      </c>
      <c r="Z700" s="98">
        <f>IF(B700="","",SUMIFS('MILEAGE'!$J$5:$J$1504,'MILEAGE'!$B$5:$B$1504,A700))</f>
        <v/>
      </c>
      <c r="AA700" s="55">
        <f>IF(B700="","",ROUND(Z700*MileRate,2))</f>
        <v/>
      </c>
      <c r="AB700" s="55">
        <f>IF(B700="","",SUMIFS('REVENUE'!$J$5:$J$1504,'REVENUE'!$B$5:$B$1504,A700))</f>
        <v/>
      </c>
      <c r="AC700" s="55">
        <f>IF(L700="","",IF(OR(O700="Cancelled",O700="No-Show"),"",L700-N(X700)-N(Y700)-AA700-AB700))</f>
        <v/>
      </c>
      <c r="AD700" s="99">
        <f>IF(OR(AC700="",N(L700)=0),"",AC700/L700)</f>
        <v/>
      </c>
      <c r="AE700" s="55">
        <f>IF(OR(AC700="",N(R700)=0),"",L700/R700)</f>
        <v/>
      </c>
      <c r="AF700" s="100">
        <f>IF(OR(N(K700)=0,N(J700)+N(Q700)=0),"",K700-IF(N(J700)&gt;0,J700,Q700))</f>
        <v/>
      </c>
      <c r="AG700" s="99">
        <f>IF(B700="","",IFERROR(AVERAGEIFS('QUALITY CONTROL'!$M$5:$M$304,'QUALITY CONTROL'!$B$5:$B$304,A700),""))</f>
        <v/>
      </c>
      <c r="AH700" s="51">
        <f>IF(B700="","",DATE(YEAR(B700),MONTH(B700),1))</f>
        <v/>
      </c>
      <c r="AI700" s="49">
        <f>IF(D700="","",IFERROR(INDEX('CUSTOMERS'!$E$5:$E$404,MATCH(D700,'CUSTOMERS'!$B$5:$B$404,0)),""))</f>
        <v/>
      </c>
      <c r="AJ700" s="49">
        <f>IF(B700="","",N(C700))</f>
        <v/>
      </c>
      <c r="AK700" s="49">
        <f>IF(OR(B700="",O700="Cancelled",O700="Rescheduled"),"",B700&amp;"|"&amp;(COUNTIFS('JOBS'!$B$5:$B$1504,B700,'JOBS'!$AJ$5:$AJ$1504,"&lt;"&amp;AJ700,'JOBS'!$O$5:$O$1504,"&lt;&gt;Cancelled",'JOBS'!$O$5:$O$1504,"&lt;&gt;Rescheduled")+COUNTIFS($B$5:B700,B700,$AJ$5:AJ700,AJ700,$O$5:O700,"&lt;&gt;Cancelled",$O$5:O700,"&lt;&gt;Rescheduled")))</f>
        <v/>
      </c>
      <c r="AL700" s="49">
        <f>IF(N(U700)&lt;=0.005,"",COUNTIFS('JOBS'!$U$5:$U$1504,"&gt;0.005",'JOBS'!$B$5:$B$1504,"&lt;"&amp;B700)+COUNTIFS($U$5:U700,"&gt;0.005",$B$5:B700,B700))</f>
        <v/>
      </c>
    </row>
    <row r="701">
      <c r="A701" s="46" t="inlineStr">
        <is>
          <t>J-0697</t>
        </is>
      </c>
      <c r="B701" s="47" t="n"/>
      <c r="C701" s="94" t="n"/>
      <c r="D701" s="38" t="n"/>
      <c r="E701" s="38" t="n"/>
      <c r="F701" s="38" t="n"/>
      <c r="G701" s="38" t="n"/>
      <c r="H701" s="38" t="n"/>
      <c r="I701" s="57" t="n"/>
      <c r="J701" s="95" t="n"/>
      <c r="K701" s="95" t="n"/>
      <c r="L701" s="48" t="n"/>
      <c r="M701" s="96" t="n"/>
      <c r="N701" s="48" t="n"/>
      <c r="O701" s="38" t="n"/>
      <c r="P701" s="38" t="n"/>
      <c r="Q701" s="97">
        <f>IF(OR(F701="",E701=""),"",IFERROR(IF(INDEX('PROPERTIES'!$F$5:$F$404,MATCH(E701,'PROPERTIES'!$B$5:$B$404,0))=0,"",ROUND((INDEX('PROPERTIES'!$F$5:$F$404,MATCH(E701,'PROPERTIES'!$B$5:$B$404,0))/INDEX('PRICING'!$C$7:$C$16,MATCH(F701,'PRICING'!$A$7:$A$16,0))+INDEX('PROPERTIES'!$G$5:$G$404,MATCH(E701,'PROPERTIES'!$B$5:$B$404,0))*INDEX('PRICING'!$D$7:$D$16,MATCH(F701,'PRICING'!$A$7:$A$16,0))/60+INDEX('PROPERTIES'!$H$5:$H$404,MATCH(E701,'PROPERTIES'!$B$5:$B$404,0))*INDEX('PRICING'!$E$7:$E$16,MATCH(F701,'PRICING'!$A$7:$A$16,0))/60+INDEX('PRICING'!$F$7:$F$16,MATCH(F701,'PRICING'!$A$7:$A$16,0))/60),2)),""))</f>
        <v/>
      </c>
      <c r="R701" s="97">
        <f>IF(B701="","",IF(N(K701)&gt;0,K701,IF(N(J701)&gt;0,J701,N(Q701))))</f>
        <v/>
      </c>
      <c r="S701" s="55">
        <f>IF(L701="","",ROUND(L701*(1+N(M701)),2))</f>
        <v/>
      </c>
      <c r="T701" s="55">
        <f>IF(B701="","",SUMIFS('REVENUE'!$C$5:$C$1504,'REVENUE'!$B$5:$B$1504,A701))</f>
        <v/>
      </c>
      <c r="U701" s="55">
        <f>IF(B701="","",IF(O701="Completed",MAX(0,N(S701)-T701),""))</f>
        <v/>
      </c>
      <c r="V701" s="49">
        <f>IF(B701="","",IF(O701&lt;&gt;"Completed",IF(T701&gt;0,"Deposit","—"),IF(U701&lt;=0.005,"Paid",IF(T701&gt;0,"Partial","Unpaid"))))</f>
        <v/>
      </c>
      <c r="W701" s="55">
        <f>IF(B701="","",IFERROR(1/(1/INDEX('STAFF &amp; TASKS'!$C$5:$C$24,MATCH(H701,'STAFF &amp; TASKS'!$A$5:$A$24,0))),PayRate))</f>
        <v/>
      </c>
      <c r="X701" s="55">
        <f>IF(B701="","",IF(OR(O701="Cancelled",O701="No-Show"),"",ROUND(R701*W701*(1+Burden),2)))</f>
        <v/>
      </c>
      <c r="Y701" s="55">
        <f>IF(B701="","",IF(OR(O701="Cancelled",O701="No-Show"),"",IF(N701&lt;&gt;"",N701,ROUND(R701*SupHr*IFERROR(INDEX('PRICING'!$G$7:$G$16,MATCH(F701,'PRICING'!$A$7:$A$16,0)),1),2))))</f>
        <v/>
      </c>
      <c r="Z701" s="98">
        <f>IF(B701="","",SUMIFS('MILEAGE'!$J$5:$J$1504,'MILEAGE'!$B$5:$B$1504,A701))</f>
        <v/>
      </c>
      <c r="AA701" s="55">
        <f>IF(B701="","",ROUND(Z701*MileRate,2))</f>
        <v/>
      </c>
      <c r="AB701" s="55">
        <f>IF(B701="","",SUMIFS('REVENUE'!$J$5:$J$1504,'REVENUE'!$B$5:$B$1504,A701))</f>
        <v/>
      </c>
      <c r="AC701" s="55">
        <f>IF(L701="","",IF(OR(O701="Cancelled",O701="No-Show"),"",L701-N(X701)-N(Y701)-AA701-AB701))</f>
        <v/>
      </c>
      <c r="AD701" s="99">
        <f>IF(OR(AC701="",N(L701)=0),"",AC701/L701)</f>
        <v/>
      </c>
      <c r="AE701" s="55">
        <f>IF(OR(AC701="",N(R701)=0),"",L701/R701)</f>
        <v/>
      </c>
      <c r="AF701" s="100">
        <f>IF(OR(N(K701)=0,N(J701)+N(Q701)=0),"",K701-IF(N(J701)&gt;0,J701,Q701))</f>
        <v/>
      </c>
      <c r="AG701" s="99">
        <f>IF(B701="","",IFERROR(AVERAGEIFS('QUALITY CONTROL'!$M$5:$M$304,'QUALITY CONTROL'!$B$5:$B$304,A701),""))</f>
        <v/>
      </c>
      <c r="AH701" s="51">
        <f>IF(B701="","",DATE(YEAR(B701),MONTH(B701),1))</f>
        <v/>
      </c>
      <c r="AI701" s="49">
        <f>IF(D701="","",IFERROR(INDEX('CUSTOMERS'!$E$5:$E$404,MATCH(D701,'CUSTOMERS'!$B$5:$B$404,0)),""))</f>
        <v/>
      </c>
      <c r="AJ701" s="49">
        <f>IF(B701="","",N(C701))</f>
        <v/>
      </c>
      <c r="AK701" s="49">
        <f>IF(OR(B701="",O701="Cancelled",O701="Rescheduled"),"",B701&amp;"|"&amp;(COUNTIFS('JOBS'!$B$5:$B$1504,B701,'JOBS'!$AJ$5:$AJ$1504,"&lt;"&amp;AJ701,'JOBS'!$O$5:$O$1504,"&lt;&gt;Cancelled",'JOBS'!$O$5:$O$1504,"&lt;&gt;Rescheduled")+COUNTIFS($B$5:B701,B701,$AJ$5:AJ701,AJ701,$O$5:O701,"&lt;&gt;Cancelled",$O$5:O701,"&lt;&gt;Rescheduled")))</f>
        <v/>
      </c>
      <c r="AL701" s="49">
        <f>IF(N(U701)&lt;=0.005,"",COUNTIFS('JOBS'!$U$5:$U$1504,"&gt;0.005",'JOBS'!$B$5:$B$1504,"&lt;"&amp;B701)+COUNTIFS($U$5:U701,"&gt;0.005",$B$5:B701,B701))</f>
        <v/>
      </c>
    </row>
    <row r="702">
      <c r="A702" s="46" t="inlineStr">
        <is>
          <t>J-0698</t>
        </is>
      </c>
      <c r="B702" s="47" t="n"/>
      <c r="C702" s="94" t="n"/>
      <c r="D702" s="38" t="n"/>
      <c r="E702" s="38" t="n"/>
      <c r="F702" s="38" t="n"/>
      <c r="G702" s="38" t="n"/>
      <c r="H702" s="38" t="n"/>
      <c r="I702" s="57" t="n"/>
      <c r="J702" s="95" t="n"/>
      <c r="K702" s="95" t="n"/>
      <c r="L702" s="48" t="n"/>
      <c r="M702" s="96" t="n"/>
      <c r="N702" s="48" t="n"/>
      <c r="O702" s="38" t="n"/>
      <c r="P702" s="38" t="n"/>
      <c r="Q702" s="97">
        <f>IF(OR(F702="",E702=""),"",IFERROR(IF(INDEX('PROPERTIES'!$F$5:$F$404,MATCH(E702,'PROPERTIES'!$B$5:$B$404,0))=0,"",ROUND((INDEX('PROPERTIES'!$F$5:$F$404,MATCH(E702,'PROPERTIES'!$B$5:$B$404,0))/INDEX('PRICING'!$C$7:$C$16,MATCH(F702,'PRICING'!$A$7:$A$16,0))+INDEX('PROPERTIES'!$G$5:$G$404,MATCH(E702,'PROPERTIES'!$B$5:$B$404,0))*INDEX('PRICING'!$D$7:$D$16,MATCH(F702,'PRICING'!$A$7:$A$16,0))/60+INDEX('PROPERTIES'!$H$5:$H$404,MATCH(E702,'PROPERTIES'!$B$5:$B$404,0))*INDEX('PRICING'!$E$7:$E$16,MATCH(F702,'PRICING'!$A$7:$A$16,0))/60+INDEX('PRICING'!$F$7:$F$16,MATCH(F702,'PRICING'!$A$7:$A$16,0))/60),2)),""))</f>
        <v/>
      </c>
      <c r="R702" s="97">
        <f>IF(B702="","",IF(N(K702)&gt;0,K702,IF(N(J702)&gt;0,J702,N(Q702))))</f>
        <v/>
      </c>
      <c r="S702" s="55">
        <f>IF(L702="","",ROUND(L702*(1+N(M702)),2))</f>
        <v/>
      </c>
      <c r="T702" s="55">
        <f>IF(B702="","",SUMIFS('REVENUE'!$C$5:$C$1504,'REVENUE'!$B$5:$B$1504,A702))</f>
        <v/>
      </c>
      <c r="U702" s="55">
        <f>IF(B702="","",IF(O702="Completed",MAX(0,N(S702)-T702),""))</f>
        <v/>
      </c>
      <c r="V702" s="49">
        <f>IF(B702="","",IF(O702&lt;&gt;"Completed",IF(T702&gt;0,"Deposit","—"),IF(U702&lt;=0.005,"Paid",IF(T702&gt;0,"Partial","Unpaid"))))</f>
        <v/>
      </c>
      <c r="W702" s="55">
        <f>IF(B702="","",IFERROR(1/(1/INDEX('STAFF &amp; TASKS'!$C$5:$C$24,MATCH(H702,'STAFF &amp; TASKS'!$A$5:$A$24,0))),PayRate))</f>
        <v/>
      </c>
      <c r="X702" s="55">
        <f>IF(B702="","",IF(OR(O702="Cancelled",O702="No-Show"),"",ROUND(R702*W702*(1+Burden),2)))</f>
        <v/>
      </c>
      <c r="Y702" s="55">
        <f>IF(B702="","",IF(OR(O702="Cancelled",O702="No-Show"),"",IF(N702&lt;&gt;"",N702,ROUND(R702*SupHr*IFERROR(INDEX('PRICING'!$G$7:$G$16,MATCH(F702,'PRICING'!$A$7:$A$16,0)),1),2))))</f>
        <v/>
      </c>
      <c r="Z702" s="98">
        <f>IF(B702="","",SUMIFS('MILEAGE'!$J$5:$J$1504,'MILEAGE'!$B$5:$B$1504,A702))</f>
        <v/>
      </c>
      <c r="AA702" s="55">
        <f>IF(B702="","",ROUND(Z702*MileRate,2))</f>
        <v/>
      </c>
      <c r="AB702" s="55">
        <f>IF(B702="","",SUMIFS('REVENUE'!$J$5:$J$1504,'REVENUE'!$B$5:$B$1504,A702))</f>
        <v/>
      </c>
      <c r="AC702" s="55">
        <f>IF(L702="","",IF(OR(O702="Cancelled",O702="No-Show"),"",L702-N(X702)-N(Y702)-AA702-AB702))</f>
        <v/>
      </c>
      <c r="AD702" s="99">
        <f>IF(OR(AC702="",N(L702)=0),"",AC702/L702)</f>
        <v/>
      </c>
      <c r="AE702" s="55">
        <f>IF(OR(AC702="",N(R702)=0),"",L702/R702)</f>
        <v/>
      </c>
      <c r="AF702" s="100">
        <f>IF(OR(N(K702)=0,N(J702)+N(Q702)=0),"",K702-IF(N(J702)&gt;0,J702,Q702))</f>
        <v/>
      </c>
      <c r="AG702" s="99">
        <f>IF(B702="","",IFERROR(AVERAGEIFS('QUALITY CONTROL'!$M$5:$M$304,'QUALITY CONTROL'!$B$5:$B$304,A702),""))</f>
        <v/>
      </c>
      <c r="AH702" s="51">
        <f>IF(B702="","",DATE(YEAR(B702),MONTH(B702),1))</f>
        <v/>
      </c>
      <c r="AI702" s="49">
        <f>IF(D702="","",IFERROR(INDEX('CUSTOMERS'!$E$5:$E$404,MATCH(D702,'CUSTOMERS'!$B$5:$B$404,0)),""))</f>
        <v/>
      </c>
      <c r="AJ702" s="49">
        <f>IF(B702="","",N(C702))</f>
        <v/>
      </c>
      <c r="AK702" s="49">
        <f>IF(OR(B702="",O702="Cancelled",O702="Rescheduled"),"",B702&amp;"|"&amp;(COUNTIFS('JOBS'!$B$5:$B$1504,B702,'JOBS'!$AJ$5:$AJ$1504,"&lt;"&amp;AJ702,'JOBS'!$O$5:$O$1504,"&lt;&gt;Cancelled",'JOBS'!$O$5:$O$1504,"&lt;&gt;Rescheduled")+COUNTIFS($B$5:B702,B702,$AJ$5:AJ702,AJ702,$O$5:O702,"&lt;&gt;Cancelled",$O$5:O702,"&lt;&gt;Rescheduled")))</f>
        <v/>
      </c>
      <c r="AL702" s="49">
        <f>IF(N(U702)&lt;=0.005,"",COUNTIFS('JOBS'!$U$5:$U$1504,"&gt;0.005",'JOBS'!$B$5:$B$1504,"&lt;"&amp;B702)+COUNTIFS($U$5:U702,"&gt;0.005",$B$5:B702,B702))</f>
        <v/>
      </c>
    </row>
    <row r="703">
      <c r="A703" s="46" t="inlineStr">
        <is>
          <t>J-0699</t>
        </is>
      </c>
      <c r="B703" s="47" t="n"/>
      <c r="C703" s="94" t="n"/>
      <c r="D703" s="38" t="n"/>
      <c r="E703" s="38" t="n"/>
      <c r="F703" s="38" t="n"/>
      <c r="G703" s="38" t="n"/>
      <c r="H703" s="38" t="n"/>
      <c r="I703" s="57" t="n"/>
      <c r="J703" s="95" t="n"/>
      <c r="K703" s="95" t="n"/>
      <c r="L703" s="48" t="n"/>
      <c r="M703" s="96" t="n"/>
      <c r="N703" s="48" t="n"/>
      <c r="O703" s="38" t="n"/>
      <c r="P703" s="38" t="n"/>
      <c r="Q703" s="97">
        <f>IF(OR(F703="",E703=""),"",IFERROR(IF(INDEX('PROPERTIES'!$F$5:$F$404,MATCH(E703,'PROPERTIES'!$B$5:$B$404,0))=0,"",ROUND((INDEX('PROPERTIES'!$F$5:$F$404,MATCH(E703,'PROPERTIES'!$B$5:$B$404,0))/INDEX('PRICING'!$C$7:$C$16,MATCH(F703,'PRICING'!$A$7:$A$16,0))+INDEX('PROPERTIES'!$G$5:$G$404,MATCH(E703,'PROPERTIES'!$B$5:$B$404,0))*INDEX('PRICING'!$D$7:$D$16,MATCH(F703,'PRICING'!$A$7:$A$16,0))/60+INDEX('PROPERTIES'!$H$5:$H$404,MATCH(E703,'PROPERTIES'!$B$5:$B$404,0))*INDEX('PRICING'!$E$7:$E$16,MATCH(F703,'PRICING'!$A$7:$A$16,0))/60+INDEX('PRICING'!$F$7:$F$16,MATCH(F703,'PRICING'!$A$7:$A$16,0))/60),2)),""))</f>
        <v/>
      </c>
      <c r="R703" s="97">
        <f>IF(B703="","",IF(N(K703)&gt;0,K703,IF(N(J703)&gt;0,J703,N(Q703))))</f>
        <v/>
      </c>
      <c r="S703" s="55">
        <f>IF(L703="","",ROUND(L703*(1+N(M703)),2))</f>
        <v/>
      </c>
      <c r="T703" s="55">
        <f>IF(B703="","",SUMIFS('REVENUE'!$C$5:$C$1504,'REVENUE'!$B$5:$B$1504,A703))</f>
        <v/>
      </c>
      <c r="U703" s="55">
        <f>IF(B703="","",IF(O703="Completed",MAX(0,N(S703)-T703),""))</f>
        <v/>
      </c>
      <c r="V703" s="49">
        <f>IF(B703="","",IF(O703&lt;&gt;"Completed",IF(T703&gt;0,"Deposit","—"),IF(U703&lt;=0.005,"Paid",IF(T703&gt;0,"Partial","Unpaid"))))</f>
        <v/>
      </c>
      <c r="W703" s="55">
        <f>IF(B703="","",IFERROR(1/(1/INDEX('STAFF &amp; TASKS'!$C$5:$C$24,MATCH(H703,'STAFF &amp; TASKS'!$A$5:$A$24,0))),PayRate))</f>
        <v/>
      </c>
      <c r="X703" s="55">
        <f>IF(B703="","",IF(OR(O703="Cancelled",O703="No-Show"),"",ROUND(R703*W703*(1+Burden),2)))</f>
        <v/>
      </c>
      <c r="Y703" s="55">
        <f>IF(B703="","",IF(OR(O703="Cancelled",O703="No-Show"),"",IF(N703&lt;&gt;"",N703,ROUND(R703*SupHr*IFERROR(INDEX('PRICING'!$G$7:$G$16,MATCH(F703,'PRICING'!$A$7:$A$16,0)),1),2))))</f>
        <v/>
      </c>
      <c r="Z703" s="98">
        <f>IF(B703="","",SUMIFS('MILEAGE'!$J$5:$J$1504,'MILEAGE'!$B$5:$B$1504,A703))</f>
        <v/>
      </c>
      <c r="AA703" s="55">
        <f>IF(B703="","",ROUND(Z703*MileRate,2))</f>
        <v/>
      </c>
      <c r="AB703" s="55">
        <f>IF(B703="","",SUMIFS('REVENUE'!$J$5:$J$1504,'REVENUE'!$B$5:$B$1504,A703))</f>
        <v/>
      </c>
      <c r="AC703" s="55">
        <f>IF(L703="","",IF(OR(O703="Cancelled",O703="No-Show"),"",L703-N(X703)-N(Y703)-AA703-AB703))</f>
        <v/>
      </c>
      <c r="AD703" s="99">
        <f>IF(OR(AC703="",N(L703)=0),"",AC703/L703)</f>
        <v/>
      </c>
      <c r="AE703" s="55">
        <f>IF(OR(AC703="",N(R703)=0),"",L703/R703)</f>
        <v/>
      </c>
      <c r="AF703" s="100">
        <f>IF(OR(N(K703)=0,N(J703)+N(Q703)=0),"",K703-IF(N(J703)&gt;0,J703,Q703))</f>
        <v/>
      </c>
      <c r="AG703" s="99">
        <f>IF(B703="","",IFERROR(AVERAGEIFS('QUALITY CONTROL'!$M$5:$M$304,'QUALITY CONTROL'!$B$5:$B$304,A703),""))</f>
        <v/>
      </c>
      <c r="AH703" s="51">
        <f>IF(B703="","",DATE(YEAR(B703),MONTH(B703),1))</f>
        <v/>
      </c>
      <c r="AI703" s="49">
        <f>IF(D703="","",IFERROR(INDEX('CUSTOMERS'!$E$5:$E$404,MATCH(D703,'CUSTOMERS'!$B$5:$B$404,0)),""))</f>
        <v/>
      </c>
      <c r="AJ703" s="49">
        <f>IF(B703="","",N(C703))</f>
        <v/>
      </c>
      <c r="AK703" s="49">
        <f>IF(OR(B703="",O703="Cancelled",O703="Rescheduled"),"",B703&amp;"|"&amp;(COUNTIFS('JOBS'!$B$5:$B$1504,B703,'JOBS'!$AJ$5:$AJ$1504,"&lt;"&amp;AJ703,'JOBS'!$O$5:$O$1504,"&lt;&gt;Cancelled",'JOBS'!$O$5:$O$1504,"&lt;&gt;Rescheduled")+COUNTIFS($B$5:B703,B703,$AJ$5:AJ703,AJ703,$O$5:O703,"&lt;&gt;Cancelled",$O$5:O703,"&lt;&gt;Rescheduled")))</f>
        <v/>
      </c>
      <c r="AL703" s="49">
        <f>IF(N(U703)&lt;=0.005,"",COUNTIFS('JOBS'!$U$5:$U$1504,"&gt;0.005",'JOBS'!$B$5:$B$1504,"&lt;"&amp;B703)+COUNTIFS($U$5:U703,"&gt;0.005",$B$5:B703,B703))</f>
        <v/>
      </c>
    </row>
    <row r="704">
      <c r="A704" s="46" t="inlineStr">
        <is>
          <t>J-0700</t>
        </is>
      </c>
      <c r="B704" s="47" t="n"/>
      <c r="C704" s="94" t="n"/>
      <c r="D704" s="38" t="n"/>
      <c r="E704" s="38" t="n"/>
      <c r="F704" s="38" t="n"/>
      <c r="G704" s="38" t="n"/>
      <c r="H704" s="38" t="n"/>
      <c r="I704" s="57" t="n"/>
      <c r="J704" s="95" t="n"/>
      <c r="K704" s="95" t="n"/>
      <c r="L704" s="48" t="n"/>
      <c r="M704" s="96" t="n"/>
      <c r="N704" s="48" t="n"/>
      <c r="O704" s="38" t="n"/>
      <c r="P704" s="38" t="n"/>
      <c r="Q704" s="97">
        <f>IF(OR(F704="",E704=""),"",IFERROR(IF(INDEX('PROPERTIES'!$F$5:$F$404,MATCH(E704,'PROPERTIES'!$B$5:$B$404,0))=0,"",ROUND((INDEX('PROPERTIES'!$F$5:$F$404,MATCH(E704,'PROPERTIES'!$B$5:$B$404,0))/INDEX('PRICING'!$C$7:$C$16,MATCH(F704,'PRICING'!$A$7:$A$16,0))+INDEX('PROPERTIES'!$G$5:$G$404,MATCH(E704,'PROPERTIES'!$B$5:$B$404,0))*INDEX('PRICING'!$D$7:$D$16,MATCH(F704,'PRICING'!$A$7:$A$16,0))/60+INDEX('PROPERTIES'!$H$5:$H$404,MATCH(E704,'PROPERTIES'!$B$5:$B$404,0))*INDEX('PRICING'!$E$7:$E$16,MATCH(F704,'PRICING'!$A$7:$A$16,0))/60+INDEX('PRICING'!$F$7:$F$16,MATCH(F704,'PRICING'!$A$7:$A$16,0))/60),2)),""))</f>
        <v/>
      </c>
      <c r="R704" s="97">
        <f>IF(B704="","",IF(N(K704)&gt;0,K704,IF(N(J704)&gt;0,J704,N(Q704))))</f>
        <v/>
      </c>
      <c r="S704" s="55">
        <f>IF(L704="","",ROUND(L704*(1+N(M704)),2))</f>
        <v/>
      </c>
      <c r="T704" s="55">
        <f>IF(B704="","",SUMIFS('REVENUE'!$C$5:$C$1504,'REVENUE'!$B$5:$B$1504,A704))</f>
        <v/>
      </c>
      <c r="U704" s="55">
        <f>IF(B704="","",IF(O704="Completed",MAX(0,N(S704)-T704),""))</f>
        <v/>
      </c>
      <c r="V704" s="49">
        <f>IF(B704="","",IF(O704&lt;&gt;"Completed",IF(T704&gt;0,"Deposit","—"),IF(U704&lt;=0.005,"Paid",IF(T704&gt;0,"Partial","Unpaid"))))</f>
        <v/>
      </c>
      <c r="W704" s="55">
        <f>IF(B704="","",IFERROR(1/(1/INDEX('STAFF &amp; TASKS'!$C$5:$C$24,MATCH(H704,'STAFF &amp; TASKS'!$A$5:$A$24,0))),PayRate))</f>
        <v/>
      </c>
      <c r="X704" s="55">
        <f>IF(B704="","",IF(OR(O704="Cancelled",O704="No-Show"),"",ROUND(R704*W704*(1+Burden),2)))</f>
        <v/>
      </c>
      <c r="Y704" s="55">
        <f>IF(B704="","",IF(OR(O704="Cancelled",O704="No-Show"),"",IF(N704&lt;&gt;"",N704,ROUND(R704*SupHr*IFERROR(INDEX('PRICING'!$G$7:$G$16,MATCH(F704,'PRICING'!$A$7:$A$16,0)),1),2))))</f>
        <v/>
      </c>
      <c r="Z704" s="98">
        <f>IF(B704="","",SUMIFS('MILEAGE'!$J$5:$J$1504,'MILEAGE'!$B$5:$B$1504,A704))</f>
        <v/>
      </c>
      <c r="AA704" s="55">
        <f>IF(B704="","",ROUND(Z704*MileRate,2))</f>
        <v/>
      </c>
      <c r="AB704" s="55">
        <f>IF(B704="","",SUMIFS('REVENUE'!$J$5:$J$1504,'REVENUE'!$B$5:$B$1504,A704))</f>
        <v/>
      </c>
      <c r="AC704" s="55">
        <f>IF(L704="","",IF(OR(O704="Cancelled",O704="No-Show"),"",L704-N(X704)-N(Y704)-AA704-AB704))</f>
        <v/>
      </c>
      <c r="AD704" s="99">
        <f>IF(OR(AC704="",N(L704)=0),"",AC704/L704)</f>
        <v/>
      </c>
      <c r="AE704" s="55">
        <f>IF(OR(AC704="",N(R704)=0),"",L704/R704)</f>
        <v/>
      </c>
      <c r="AF704" s="100">
        <f>IF(OR(N(K704)=0,N(J704)+N(Q704)=0),"",K704-IF(N(J704)&gt;0,J704,Q704))</f>
        <v/>
      </c>
      <c r="AG704" s="99">
        <f>IF(B704="","",IFERROR(AVERAGEIFS('QUALITY CONTROL'!$M$5:$M$304,'QUALITY CONTROL'!$B$5:$B$304,A704),""))</f>
        <v/>
      </c>
      <c r="AH704" s="51">
        <f>IF(B704="","",DATE(YEAR(B704),MONTH(B704),1))</f>
        <v/>
      </c>
      <c r="AI704" s="49">
        <f>IF(D704="","",IFERROR(INDEX('CUSTOMERS'!$E$5:$E$404,MATCH(D704,'CUSTOMERS'!$B$5:$B$404,0)),""))</f>
        <v/>
      </c>
      <c r="AJ704" s="49">
        <f>IF(B704="","",N(C704))</f>
        <v/>
      </c>
      <c r="AK704" s="49">
        <f>IF(OR(B704="",O704="Cancelled",O704="Rescheduled"),"",B704&amp;"|"&amp;(COUNTIFS('JOBS'!$B$5:$B$1504,B704,'JOBS'!$AJ$5:$AJ$1504,"&lt;"&amp;AJ704,'JOBS'!$O$5:$O$1504,"&lt;&gt;Cancelled",'JOBS'!$O$5:$O$1504,"&lt;&gt;Rescheduled")+COUNTIFS($B$5:B704,B704,$AJ$5:AJ704,AJ704,$O$5:O704,"&lt;&gt;Cancelled",$O$5:O704,"&lt;&gt;Rescheduled")))</f>
        <v/>
      </c>
      <c r="AL704" s="49">
        <f>IF(N(U704)&lt;=0.005,"",COUNTIFS('JOBS'!$U$5:$U$1504,"&gt;0.005",'JOBS'!$B$5:$B$1504,"&lt;"&amp;B704)+COUNTIFS($U$5:U704,"&gt;0.005",$B$5:B704,B704))</f>
        <v/>
      </c>
    </row>
    <row r="705">
      <c r="A705" s="46" t="inlineStr">
        <is>
          <t>J-0701</t>
        </is>
      </c>
      <c r="B705" s="47" t="n"/>
      <c r="C705" s="94" t="n"/>
      <c r="D705" s="38" t="n"/>
      <c r="E705" s="38" t="n"/>
      <c r="F705" s="38" t="n"/>
      <c r="G705" s="38" t="n"/>
      <c r="H705" s="38" t="n"/>
      <c r="I705" s="57" t="n"/>
      <c r="J705" s="95" t="n"/>
      <c r="K705" s="95" t="n"/>
      <c r="L705" s="48" t="n"/>
      <c r="M705" s="96" t="n"/>
      <c r="N705" s="48" t="n"/>
      <c r="O705" s="38" t="n"/>
      <c r="P705" s="38" t="n"/>
      <c r="Q705" s="97">
        <f>IF(OR(F705="",E705=""),"",IFERROR(IF(INDEX('PROPERTIES'!$F$5:$F$404,MATCH(E705,'PROPERTIES'!$B$5:$B$404,0))=0,"",ROUND((INDEX('PROPERTIES'!$F$5:$F$404,MATCH(E705,'PROPERTIES'!$B$5:$B$404,0))/INDEX('PRICING'!$C$7:$C$16,MATCH(F705,'PRICING'!$A$7:$A$16,0))+INDEX('PROPERTIES'!$G$5:$G$404,MATCH(E705,'PROPERTIES'!$B$5:$B$404,0))*INDEX('PRICING'!$D$7:$D$16,MATCH(F705,'PRICING'!$A$7:$A$16,0))/60+INDEX('PROPERTIES'!$H$5:$H$404,MATCH(E705,'PROPERTIES'!$B$5:$B$404,0))*INDEX('PRICING'!$E$7:$E$16,MATCH(F705,'PRICING'!$A$7:$A$16,0))/60+INDEX('PRICING'!$F$7:$F$16,MATCH(F705,'PRICING'!$A$7:$A$16,0))/60),2)),""))</f>
        <v/>
      </c>
      <c r="R705" s="97">
        <f>IF(B705="","",IF(N(K705)&gt;0,K705,IF(N(J705)&gt;0,J705,N(Q705))))</f>
        <v/>
      </c>
      <c r="S705" s="55">
        <f>IF(L705="","",ROUND(L705*(1+N(M705)),2))</f>
        <v/>
      </c>
      <c r="T705" s="55">
        <f>IF(B705="","",SUMIFS('REVENUE'!$C$5:$C$1504,'REVENUE'!$B$5:$B$1504,A705))</f>
        <v/>
      </c>
      <c r="U705" s="55">
        <f>IF(B705="","",IF(O705="Completed",MAX(0,N(S705)-T705),""))</f>
        <v/>
      </c>
      <c r="V705" s="49">
        <f>IF(B705="","",IF(O705&lt;&gt;"Completed",IF(T705&gt;0,"Deposit","—"),IF(U705&lt;=0.005,"Paid",IF(T705&gt;0,"Partial","Unpaid"))))</f>
        <v/>
      </c>
      <c r="W705" s="55">
        <f>IF(B705="","",IFERROR(1/(1/INDEX('STAFF &amp; TASKS'!$C$5:$C$24,MATCH(H705,'STAFF &amp; TASKS'!$A$5:$A$24,0))),PayRate))</f>
        <v/>
      </c>
      <c r="X705" s="55">
        <f>IF(B705="","",IF(OR(O705="Cancelled",O705="No-Show"),"",ROUND(R705*W705*(1+Burden),2)))</f>
        <v/>
      </c>
      <c r="Y705" s="55">
        <f>IF(B705="","",IF(OR(O705="Cancelled",O705="No-Show"),"",IF(N705&lt;&gt;"",N705,ROUND(R705*SupHr*IFERROR(INDEX('PRICING'!$G$7:$G$16,MATCH(F705,'PRICING'!$A$7:$A$16,0)),1),2))))</f>
        <v/>
      </c>
      <c r="Z705" s="98">
        <f>IF(B705="","",SUMIFS('MILEAGE'!$J$5:$J$1504,'MILEAGE'!$B$5:$B$1504,A705))</f>
        <v/>
      </c>
      <c r="AA705" s="55">
        <f>IF(B705="","",ROUND(Z705*MileRate,2))</f>
        <v/>
      </c>
      <c r="AB705" s="55">
        <f>IF(B705="","",SUMIFS('REVENUE'!$J$5:$J$1504,'REVENUE'!$B$5:$B$1504,A705))</f>
        <v/>
      </c>
      <c r="AC705" s="55">
        <f>IF(L705="","",IF(OR(O705="Cancelled",O705="No-Show"),"",L705-N(X705)-N(Y705)-AA705-AB705))</f>
        <v/>
      </c>
      <c r="AD705" s="99">
        <f>IF(OR(AC705="",N(L705)=0),"",AC705/L705)</f>
        <v/>
      </c>
      <c r="AE705" s="55">
        <f>IF(OR(AC705="",N(R705)=0),"",L705/R705)</f>
        <v/>
      </c>
      <c r="AF705" s="100">
        <f>IF(OR(N(K705)=0,N(J705)+N(Q705)=0),"",K705-IF(N(J705)&gt;0,J705,Q705))</f>
        <v/>
      </c>
      <c r="AG705" s="99">
        <f>IF(B705="","",IFERROR(AVERAGEIFS('QUALITY CONTROL'!$M$5:$M$304,'QUALITY CONTROL'!$B$5:$B$304,A705),""))</f>
        <v/>
      </c>
      <c r="AH705" s="51">
        <f>IF(B705="","",DATE(YEAR(B705),MONTH(B705),1))</f>
        <v/>
      </c>
      <c r="AI705" s="49">
        <f>IF(D705="","",IFERROR(INDEX('CUSTOMERS'!$E$5:$E$404,MATCH(D705,'CUSTOMERS'!$B$5:$B$404,0)),""))</f>
        <v/>
      </c>
      <c r="AJ705" s="49">
        <f>IF(B705="","",N(C705))</f>
        <v/>
      </c>
      <c r="AK705" s="49">
        <f>IF(OR(B705="",O705="Cancelled",O705="Rescheduled"),"",B705&amp;"|"&amp;(COUNTIFS('JOBS'!$B$5:$B$1504,B705,'JOBS'!$AJ$5:$AJ$1504,"&lt;"&amp;AJ705,'JOBS'!$O$5:$O$1504,"&lt;&gt;Cancelled",'JOBS'!$O$5:$O$1504,"&lt;&gt;Rescheduled")+COUNTIFS($B$5:B705,B705,$AJ$5:AJ705,AJ705,$O$5:O705,"&lt;&gt;Cancelled",$O$5:O705,"&lt;&gt;Rescheduled")))</f>
        <v/>
      </c>
      <c r="AL705" s="49">
        <f>IF(N(U705)&lt;=0.005,"",COUNTIFS('JOBS'!$U$5:$U$1504,"&gt;0.005",'JOBS'!$B$5:$B$1504,"&lt;"&amp;B705)+COUNTIFS($U$5:U705,"&gt;0.005",$B$5:B705,B705))</f>
        <v/>
      </c>
    </row>
    <row r="706">
      <c r="A706" s="46" t="inlineStr">
        <is>
          <t>J-0702</t>
        </is>
      </c>
      <c r="B706" s="47" t="n"/>
      <c r="C706" s="94" t="n"/>
      <c r="D706" s="38" t="n"/>
      <c r="E706" s="38" t="n"/>
      <c r="F706" s="38" t="n"/>
      <c r="G706" s="38" t="n"/>
      <c r="H706" s="38" t="n"/>
      <c r="I706" s="57" t="n"/>
      <c r="J706" s="95" t="n"/>
      <c r="K706" s="95" t="n"/>
      <c r="L706" s="48" t="n"/>
      <c r="M706" s="96" t="n"/>
      <c r="N706" s="48" t="n"/>
      <c r="O706" s="38" t="n"/>
      <c r="P706" s="38" t="n"/>
      <c r="Q706" s="97">
        <f>IF(OR(F706="",E706=""),"",IFERROR(IF(INDEX('PROPERTIES'!$F$5:$F$404,MATCH(E706,'PROPERTIES'!$B$5:$B$404,0))=0,"",ROUND((INDEX('PROPERTIES'!$F$5:$F$404,MATCH(E706,'PROPERTIES'!$B$5:$B$404,0))/INDEX('PRICING'!$C$7:$C$16,MATCH(F706,'PRICING'!$A$7:$A$16,0))+INDEX('PROPERTIES'!$G$5:$G$404,MATCH(E706,'PROPERTIES'!$B$5:$B$404,0))*INDEX('PRICING'!$D$7:$D$16,MATCH(F706,'PRICING'!$A$7:$A$16,0))/60+INDEX('PROPERTIES'!$H$5:$H$404,MATCH(E706,'PROPERTIES'!$B$5:$B$404,0))*INDEX('PRICING'!$E$7:$E$16,MATCH(F706,'PRICING'!$A$7:$A$16,0))/60+INDEX('PRICING'!$F$7:$F$16,MATCH(F706,'PRICING'!$A$7:$A$16,0))/60),2)),""))</f>
        <v/>
      </c>
      <c r="R706" s="97">
        <f>IF(B706="","",IF(N(K706)&gt;0,K706,IF(N(J706)&gt;0,J706,N(Q706))))</f>
        <v/>
      </c>
      <c r="S706" s="55">
        <f>IF(L706="","",ROUND(L706*(1+N(M706)),2))</f>
        <v/>
      </c>
      <c r="T706" s="55">
        <f>IF(B706="","",SUMIFS('REVENUE'!$C$5:$C$1504,'REVENUE'!$B$5:$B$1504,A706))</f>
        <v/>
      </c>
      <c r="U706" s="55">
        <f>IF(B706="","",IF(O706="Completed",MAX(0,N(S706)-T706),""))</f>
        <v/>
      </c>
      <c r="V706" s="49">
        <f>IF(B706="","",IF(O706&lt;&gt;"Completed",IF(T706&gt;0,"Deposit","—"),IF(U706&lt;=0.005,"Paid",IF(T706&gt;0,"Partial","Unpaid"))))</f>
        <v/>
      </c>
      <c r="W706" s="55">
        <f>IF(B706="","",IFERROR(1/(1/INDEX('STAFF &amp; TASKS'!$C$5:$C$24,MATCH(H706,'STAFF &amp; TASKS'!$A$5:$A$24,0))),PayRate))</f>
        <v/>
      </c>
      <c r="X706" s="55">
        <f>IF(B706="","",IF(OR(O706="Cancelled",O706="No-Show"),"",ROUND(R706*W706*(1+Burden),2)))</f>
        <v/>
      </c>
      <c r="Y706" s="55">
        <f>IF(B706="","",IF(OR(O706="Cancelled",O706="No-Show"),"",IF(N706&lt;&gt;"",N706,ROUND(R706*SupHr*IFERROR(INDEX('PRICING'!$G$7:$G$16,MATCH(F706,'PRICING'!$A$7:$A$16,0)),1),2))))</f>
        <v/>
      </c>
      <c r="Z706" s="98">
        <f>IF(B706="","",SUMIFS('MILEAGE'!$J$5:$J$1504,'MILEAGE'!$B$5:$B$1504,A706))</f>
        <v/>
      </c>
      <c r="AA706" s="55">
        <f>IF(B706="","",ROUND(Z706*MileRate,2))</f>
        <v/>
      </c>
      <c r="AB706" s="55">
        <f>IF(B706="","",SUMIFS('REVENUE'!$J$5:$J$1504,'REVENUE'!$B$5:$B$1504,A706))</f>
        <v/>
      </c>
      <c r="AC706" s="55">
        <f>IF(L706="","",IF(OR(O706="Cancelled",O706="No-Show"),"",L706-N(X706)-N(Y706)-AA706-AB706))</f>
        <v/>
      </c>
      <c r="AD706" s="99">
        <f>IF(OR(AC706="",N(L706)=0),"",AC706/L706)</f>
        <v/>
      </c>
      <c r="AE706" s="55">
        <f>IF(OR(AC706="",N(R706)=0),"",L706/R706)</f>
        <v/>
      </c>
      <c r="AF706" s="100">
        <f>IF(OR(N(K706)=0,N(J706)+N(Q706)=0),"",K706-IF(N(J706)&gt;0,J706,Q706))</f>
        <v/>
      </c>
      <c r="AG706" s="99">
        <f>IF(B706="","",IFERROR(AVERAGEIFS('QUALITY CONTROL'!$M$5:$M$304,'QUALITY CONTROL'!$B$5:$B$304,A706),""))</f>
        <v/>
      </c>
      <c r="AH706" s="51">
        <f>IF(B706="","",DATE(YEAR(B706),MONTH(B706),1))</f>
        <v/>
      </c>
      <c r="AI706" s="49">
        <f>IF(D706="","",IFERROR(INDEX('CUSTOMERS'!$E$5:$E$404,MATCH(D706,'CUSTOMERS'!$B$5:$B$404,0)),""))</f>
        <v/>
      </c>
      <c r="AJ706" s="49">
        <f>IF(B706="","",N(C706))</f>
        <v/>
      </c>
      <c r="AK706" s="49">
        <f>IF(OR(B706="",O706="Cancelled",O706="Rescheduled"),"",B706&amp;"|"&amp;(COUNTIFS('JOBS'!$B$5:$B$1504,B706,'JOBS'!$AJ$5:$AJ$1504,"&lt;"&amp;AJ706,'JOBS'!$O$5:$O$1504,"&lt;&gt;Cancelled",'JOBS'!$O$5:$O$1504,"&lt;&gt;Rescheduled")+COUNTIFS($B$5:B706,B706,$AJ$5:AJ706,AJ706,$O$5:O706,"&lt;&gt;Cancelled",$O$5:O706,"&lt;&gt;Rescheduled")))</f>
        <v/>
      </c>
      <c r="AL706" s="49">
        <f>IF(N(U706)&lt;=0.005,"",COUNTIFS('JOBS'!$U$5:$U$1504,"&gt;0.005",'JOBS'!$B$5:$B$1504,"&lt;"&amp;B706)+COUNTIFS($U$5:U706,"&gt;0.005",$B$5:B706,B706))</f>
        <v/>
      </c>
    </row>
    <row r="707">
      <c r="A707" s="46" t="inlineStr">
        <is>
          <t>J-0703</t>
        </is>
      </c>
      <c r="B707" s="47" t="n"/>
      <c r="C707" s="94" t="n"/>
      <c r="D707" s="38" t="n"/>
      <c r="E707" s="38" t="n"/>
      <c r="F707" s="38" t="n"/>
      <c r="G707" s="38" t="n"/>
      <c r="H707" s="38" t="n"/>
      <c r="I707" s="57" t="n"/>
      <c r="J707" s="95" t="n"/>
      <c r="K707" s="95" t="n"/>
      <c r="L707" s="48" t="n"/>
      <c r="M707" s="96" t="n"/>
      <c r="N707" s="48" t="n"/>
      <c r="O707" s="38" t="n"/>
      <c r="P707" s="38" t="n"/>
      <c r="Q707" s="97">
        <f>IF(OR(F707="",E707=""),"",IFERROR(IF(INDEX('PROPERTIES'!$F$5:$F$404,MATCH(E707,'PROPERTIES'!$B$5:$B$404,0))=0,"",ROUND((INDEX('PROPERTIES'!$F$5:$F$404,MATCH(E707,'PROPERTIES'!$B$5:$B$404,0))/INDEX('PRICING'!$C$7:$C$16,MATCH(F707,'PRICING'!$A$7:$A$16,0))+INDEX('PROPERTIES'!$G$5:$G$404,MATCH(E707,'PROPERTIES'!$B$5:$B$404,0))*INDEX('PRICING'!$D$7:$D$16,MATCH(F707,'PRICING'!$A$7:$A$16,0))/60+INDEX('PROPERTIES'!$H$5:$H$404,MATCH(E707,'PROPERTIES'!$B$5:$B$404,0))*INDEX('PRICING'!$E$7:$E$16,MATCH(F707,'PRICING'!$A$7:$A$16,0))/60+INDEX('PRICING'!$F$7:$F$16,MATCH(F707,'PRICING'!$A$7:$A$16,0))/60),2)),""))</f>
        <v/>
      </c>
      <c r="R707" s="97">
        <f>IF(B707="","",IF(N(K707)&gt;0,K707,IF(N(J707)&gt;0,J707,N(Q707))))</f>
        <v/>
      </c>
      <c r="S707" s="55">
        <f>IF(L707="","",ROUND(L707*(1+N(M707)),2))</f>
        <v/>
      </c>
      <c r="T707" s="55">
        <f>IF(B707="","",SUMIFS('REVENUE'!$C$5:$C$1504,'REVENUE'!$B$5:$B$1504,A707))</f>
        <v/>
      </c>
      <c r="U707" s="55">
        <f>IF(B707="","",IF(O707="Completed",MAX(0,N(S707)-T707),""))</f>
        <v/>
      </c>
      <c r="V707" s="49">
        <f>IF(B707="","",IF(O707&lt;&gt;"Completed",IF(T707&gt;0,"Deposit","—"),IF(U707&lt;=0.005,"Paid",IF(T707&gt;0,"Partial","Unpaid"))))</f>
        <v/>
      </c>
      <c r="W707" s="55">
        <f>IF(B707="","",IFERROR(1/(1/INDEX('STAFF &amp; TASKS'!$C$5:$C$24,MATCH(H707,'STAFF &amp; TASKS'!$A$5:$A$24,0))),PayRate))</f>
        <v/>
      </c>
      <c r="X707" s="55">
        <f>IF(B707="","",IF(OR(O707="Cancelled",O707="No-Show"),"",ROUND(R707*W707*(1+Burden),2)))</f>
        <v/>
      </c>
      <c r="Y707" s="55">
        <f>IF(B707="","",IF(OR(O707="Cancelled",O707="No-Show"),"",IF(N707&lt;&gt;"",N707,ROUND(R707*SupHr*IFERROR(INDEX('PRICING'!$G$7:$G$16,MATCH(F707,'PRICING'!$A$7:$A$16,0)),1),2))))</f>
        <v/>
      </c>
      <c r="Z707" s="98">
        <f>IF(B707="","",SUMIFS('MILEAGE'!$J$5:$J$1504,'MILEAGE'!$B$5:$B$1504,A707))</f>
        <v/>
      </c>
      <c r="AA707" s="55">
        <f>IF(B707="","",ROUND(Z707*MileRate,2))</f>
        <v/>
      </c>
      <c r="AB707" s="55">
        <f>IF(B707="","",SUMIFS('REVENUE'!$J$5:$J$1504,'REVENUE'!$B$5:$B$1504,A707))</f>
        <v/>
      </c>
      <c r="AC707" s="55">
        <f>IF(L707="","",IF(OR(O707="Cancelled",O707="No-Show"),"",L707-N(X707)-N(Y707)-AA707-AB707))</f>
        <v/>
      </c>
      <c r="AD707" s="99">
        <f>IF(OR(AC707="",N(L707)=0),"",AC707/L707)</f>
        <v/>
      </c>
      <c r="AE707" s="55">
        <f>IF(OR(AC707="",N(R707)=0),"",L707/R707)</f>
        <v/>
      </c>
      <c r="AF707" s="100">
        <f>IF(OR(N(K707)=0,N(J707)+N(Q707)=0),"",K707-IF(N(J707)&gt;0,J707,Q707))</f>
        <v/>
      </c>
      <c r="AG707" s="99">
        <f>IF(B707="","",IFERROR(AVERAGEIFS('QUALITY CONTROL'!$M$5:$M$304,'QUALITY CONTROL'!$B$5:$B$304,A707),""))</f>
        <v/>
      </c>
      <c r="AH707" s="51">
        <f>IF(B707="","",DATE(YEAR(B707),MONTH(B707),1))</f>
        <v/>
      </c>
      <c r="AI707" s="49">
        <f>IF(D707="","",IFERROR(INDEX('CUSTOMERS'!$E$5:$E$404,MATCH(D707,'CUSTOMERS'!$B$5:$B$404,0)),""))</f>
        <v/>
      </c>
      <c r="AJ707" s="49">
        <f>IF(B707="","",N(C707))</f>
        <v/>
      </c>
      <c r="AK707" s="49">
        <f>IF(OR(B707="",O707="Cancelled",O707="Rescheduled"),"",B707&amp;"|"&amp;(COUNTIFS('JOBS'!$B$5:$B$1504,B707,'JOBS'!$AJ$5:$AJ$1504,"&lt;"&amp;AJ707,'JOBS'!$O$5:$O$1504,"&lt;&gt;Cancelled",'JOBS'!$O$5:$O$1504,"&lt;&gt;Rescheduled")+COUNTIFS($B$5:B707,B707,$AJ$5:AJ707,AJ707,$O$5:O707,"&lt;&gt;Cancelled",$O$5:O707,"&lt;&gt;Rescheduled")))</f>
        <v/>
      </c>
      <c r="AL707" s="49">
        <f>IF(N(U707)&lt;=0.005,"",COUNTIFS('JOBS'!$U$5:$U$1504,"&gt;0.005",'JOBS'!$B$5:$B$1504,"&lt;"&amp;B707)+COUNTIFS($U$5:U707,"&gt;0.005",$B$5:B707,B707))</f>
        <v/>
      </c>
    </row>
    <row r="708">
      <c r="A708" s="46" t="inlineStr">
        <is>
          <t>J-0704</t>
        </is>
      </c>
      <c r="B708" s="47" t="n"/>
      <c r="C708" s="94" t="n"/>
      <c r="D708" s="38" t="n"/>
      <c r="E708" s="38" t="n"/>
      <c r="F708" s="38" t="n"/>
      <c r="G708" s="38" t="n"/>
      <c r="H708" s="38" t="n"/>
      <c r="I708" s="57" t="n"/>
      <c r="J708" s="95" t="n"/>
      <c r="K708" s="95" t="n"/>
      <c r="L708" s="48" t="n"/>
      <c r="M708" s="96" t="n"/>
      <c r="N708" s="48" t="n"/>
      <c r="O708" s="38" t="n"/>
      <c r="P708" s="38" t="n"/>
      <c r="Q708" s="97">
        <f>IF(OR(F708="",E708=""),"",IFERROR(IF(INDEX('PROPERTIES'!$F$5:$F$404,MATCH(E708,'PROPERTIES'!$B$5:$B$404,0))=0,"",ROUND((INDEX('PROPERTIES'!$F$5:$F$404,MATCH(E708,'PROPERTIES'!$B$5:$B$404,0))/INDEX('PRICING'!$C$7:$C$16,MATCH(F708,'PRICING'!$A$7:$A$16,0))+INDEX('PROPERTIES'!$G$5:$G$404,MATCH(E708,'PROPERTIES'!$B$5:$B$404,0))*INDEX('PRICING'!$D$7:$D$16,MATCH(F708,'PRICING'!$A$7:$A$16,0))/60+INDEX('PROPERTIES'!$H$5:$H$404,MATCH(E708,'PROPERTIES'!$B$5:$B$404,0))*INDEX('PRICING'!$E$7:$E$16,MATCH(F708,'PRICING'!$A$7:$A$16,0))/60+INDEX('PRICING'!$F$7:$F$16,MATCH(F708,'PRICING'!$A$7:$A$16,0))/60),2)),""))</f>
        <v/>
      </c>
      <c r="R708" s="97">
        <f>IF(B708="","",IF(N(K708)&gt;0,K708,IF(N(J708)&gt;0,J708,N(Q708))))</f>
        <v/>
      </c>
      <c r="S708" s="55">
        <f>IF(L708="","",ROUND(L708*(1+N(M708)),2))</f>
        <v/>
      </c>
      <c r="T708" s="55">
        <f>IF(B708="","",SUMIFS('REVENUE'!$C$5:$C$1504,'REVENUE'!$B$5:$B$1504,A708))</f>
        <v/>
      </c>
      <c r="U708" s="55">
        <f>IF(B708="","",IF(O708="Completed",MAX(0,N(S708)-T708),""))</f>
        <v/>
      </c>
      <c r="V708" s="49">
        <f>IF(B708="","",IF(O708&lt;&gt;"Completed",IF(T708&gt;0,"Deposit","—"),IF(U708&lt;=0.005,"Paid",IF(T708&gt;0,"Partial","Unpaid"))))</f>
        <v/>
      </c>
      <c r="W708" s="55">
        <f>IF(B708="","",IFERROR(1/(1/INDEX('STAFF &amp; TASKS'!$C$5:$C$24,MATCH(H708,'STAFF &amp; TASKS'!$A$5:$A$24,0))),PayRate))</f>
        <v/>
      </c>
      <c r="X708" s="55">
        <f>IF(B708="","",IF(OR(O708="Cancelled",O708="No-Show"),"",ROUND(R708*W708*(1+Burden),2)))</f>
        <v/>
      </c>
      <c r="Y708" s="55">
        <f>IF(B708="","",IF(OR(O708="Cancelled",O708="No-Show"),"",IF(N708&lt;&gt;"",N708,ROUND(R708*SupHr*IFERROR(INDEX('PRICING'!$G$7:$G$16,MATCH(F708,'PRICING'!$A$7:$A$16,0)),1),2))))</f>
        <v/>
      </c>
      <c r="Z708" s="98">
        <f>IF(B708="","",SUMIFS('MILEAGE'!$J$5:$J$1504,'MILEAGE'!$B$5:$B$1504,A708))</f>
        <v/>
      </c>
      <c r="AA708" s="55">
        <f>IF(B708="","",ROUND(Z708*MileRate,2))</f>
        <v/>
      </c>
      <c r="AB708" s="55">
        <f>IF(B708="","",SUMIFS('REVENUE'!$J$5:$J$1504,'REVENUE'!$B$5:$B$1504,A708))</f>
        <v/>
      </c>
      <c r="AC708" s="55">
        <f>IF(L708="","",IF(OR(O708="Cancelled",O708="No-Show"),"",L708-N(X708)-N(Y708)-AA708-AB708))</f>
        <v/>
      </c>
      <c r="AD708" s="99">
        <f>IF(OR(AC708="",N(L708)=0),"",AC708/L708)</f>
        <v/>
      </c>
      <c r="AE708" s="55">
        <f>IF(OR(AC708="",N(R708)=0),"",L708/R708)</f>
        <v/>
      </c>
      <c r="AF708" s="100">
        <f>IF(OR(N(K708)=0,N(J708)+N(Q708)=0),"",K708-IF(N(J708)&gt;0,J708,Q708))</f>
        <v/>
      </c>
      <c r="AG708" s="99">
        <f>IF(B708="","",IFERROR(AVERAGEIFS('QUALITY CONTROL'!$M$5:$M$304,'QUALITY CONTROL'!$B$5:$B$304,A708),""))</f>
        <v/>
      </c>
      <c r="AH708" s="51">
        <f>IF(B708="","",DATE(YEAR(B708),MONTH(B708),1))</f>
        <v/>
      </c>
      <c r="AI708" s="49">
        <f>IF(D708="","",IFERROR(INDEX('CUSTOMERS'!$E$5:$E$404,MATCH(D708,'CUSTOMERS'!$B$5:$B$404,0)),""))</f>
        <v/>
      </c>
      <c r="AJ708" s="49">
        <f>IF(B708="","",N(C708))</f>
        <v/>
      </c>
      <c r="AK708" s="49">
        <f>IF(OR(B708="",O708="Cancelled",O708="Rescheduled"),"",B708&amp;"|"&amp;(COUNTIFS('JOBS'!$B$5:$B$1504,B708,'JOBS'!$AJ$5:$AJ$1504,"&lt;"&amp;AJ708,'JOBS'!$O$5:$O$1504,"&lt;&gt;Cancelled",'JOBS'!$O$5:$O$1504,"&lt;&gt;Rescheduled")+COUNTIFS($B$5:B708,B708,$AJ$5:AJ708,AJ708,$O$5:O708,"&lt;&gt;Cancelled",$O$5:O708,"&lt;&gt;Rescheduled")))</f>
        <v/>
      </c>
      <c r="AL708" s="49">
        <f>IF(N(U708)&lt;=0.005,"",COUNTIFS('JOBS'!$U$5:$U$1504,"&gt;0.005",'JOBS'!$B$5:$B$1504,"&lt;"&amp;B708)+COUNTIFS($U$5:U708,"&gt;0.005",$B$5:B708,B708))</f>
        <v/>
      </c>
    </row>
    <row r="709">
      <c r="A709" s="46" t="inlineStr">
        <is>
          <t>J-0705</t>
        </is>
      </c>
      <c r="B709" s="47" t="n"/>
      <c r="C709" s="94" t="n"/>
      <c r="D709" s="38" t="n"/>
      <c r="E709" s="38" t="n"/>
      <c r="F709" s="38" t="n"/>
      <c r="G709" s="38" t="n"/>
      <c r="H709" s="38" t="n"/>
      <c r="I709" s="57" t="n"/>
      <c r="J709" s="95" t="n"/>
      <c r="K709" s="95" t="n"/>
      <c r="L709" s="48" t="n"/>
      <c r="M709" s="96" t="n"/>
      <c r="N709" s="48" t="n"/>
      <c r="O709" s="38" t="n"/>
      <c r="P709" s="38" t="n"/>
      <c r="Q709" s="97">
        <f>IF(OR(F709="",E709=""),"",IFERROR(IF(INDEX('PROPERTIES'!$F$5:$F$404,MATCH(E709,'PROPERTIES'!$B$5:$B$404,0))=0,"",ROUND((INDEX('PROPERTIES'!$F$5:$F$404,MATCH(E709,'PROPERTIES'!$B$5:$B$404,0))/INDEX('PRICING'!$C$7:$C$16,MATCH(F709,'PRICING'!$A$7:$A$16,0))+INDEX('PROPERTIES'!$G$5:$G$404,MATCH(E709,'PROPERTIES'!$B$5:$B$404,0))*INDEX('PRICING'!$D$7:$D$16,MATCH(F709,'PRICING'!$A$7:$A$16,0))/60+INDEX('PROPERTIES'!$H$5:$H$404,MATCH(E709,'PROPERTIES'!$B$5:$B$404,0))*INDEX('PRICING'!$E$7:$E$16,MATCH(F709,'PRICING'!$A$7:$A$16,0))/60+INDEX('PRICING'!$F$7:$F$16,MATCH(F709,'PRICING'!$A$7:$A$16,0))/60),2)),""))</f>
        <v/>
      </c>
      <c r="R709" s="97">
        <f>IF(B709="","",IF(N(K709)&gt;0,K709,IF(N(J709)&gt;0,J709,N(Q709))))</f>
        <v/>
      </c>
      <c r="S709" s="55">
        <f>IF(L709="","",ROUND(L709*(1+N(M709)),2))</f>
        <v/>
      </c>
      <c r="T709" s="55">
        <f>IF(B709="","",SUMIFS('REVENUE'!$C$5:$C$1504,'REVENUE'!$B$5:$B$1504,A709))</f>
        <v/>
      </c>
      <c r="U709" s="55">
        <f>IF(B709="","",IF(O709="Completed",MAX(0,N(S709)-T709),""))</f>
        <v/>
      </c>
      <c r="V709" s="49">
        <f>IF(B709="","",IF(O709&lt;&gt;"Completed",IF(T709&gt;0,"Deposit","—"),IF(U709&lt;=0.005,"Paid",IF(T709&gt;0,"Partial","Unpaid"))))</f>
        <v/>
      </c>
      <c r="W709" s="55">
        <f>IF(B709="","",IFERROR(1/(1/INDEX('STAFF &amp; TASKS'!$C$5:$C$24,MATCH(H709,'STAFF &amp; TASKS'!$A$5:$A$24,0))),PayRate))</f>
        <v/>
      </c>
      <c r="X709" s="55">
        <f>IF(B709="","",IF(OR(O709="Cancelled",O709="No-Show"),"",ROUND(R709*W709*(1+Burden),2)))</f>
        <v/>
      </c>
      <c r="Y709" s="55">
        <f>IF(B709="","",IF(OR(O709="Cancelled",O709="No-Show"),"",IF(N709&lt;&gt;"",N709,ROUND(R709*SupHr*IFERROR(INDEX('PRICING'!$G$7:$G$16,MATCH(F709,'PRICING'!$A$7:$A$16,0)),1),2))))</f>
        <v/>
      </c>
      <c r="Z709" s="98">
        <f>IF(B709="","",SUMIFS('MILEAGE'!$J$5:$J$1504,'MILEAGE'!$B$5:$B$1504,A709))</f>
        <v/>
      </c>
      <c r="AA709" s="55">
        <f>IF(B709="","",ROUND(Z709*MileRate,2))</f>
        <v/>
      </c>
      <c r="AB709" s="55">
        <f>IF(B709="","",SUMIFS('REVENUE'!$J$5:$J$1504,'REVENUE'!$B$5:$B$1504,A709))</f>
        <v/>
      </c>
      <c r="AC709" s="55">
        <f>IF(L709="","",IF(OR(O709="Cancelled",O709="No-Show"),"",L709-N(X709)-N(Y709)-AA709-AB709))</f>
        <v/>
      </c>
      <c r="AD709" s="99">
        <f>IF(OR(AC709="",N(L709)=0),"",AC709/L709)</f>
        <v/>
      </c>
      <c r="AE709" s="55">
        <f>IF(OR(AC709="",N(R709)=0),"",L709/R709)</f>
        <v/>
      </c>
      <c r="AF709" s="100">
        <f>IF(OR(N(K709)=0,N(J709)+N(Q709)=0),"",K709-IF(N(J709)&gt;0,J709,Q709))</f>
        <v/>
      </c>
      <c r="AG709" s="99">
        <f>IF(B709="","",IFERROR(AVERAGEIFS('QUALITY CONTROL'!$M$5:$M$304,'QUALITY CONTROL'!$B$5:$B$304,A709),""))</f>
        <v/>
      </c>
      <c r="AH709" s="51">
        <f>IF(B709="","",DATE(YEAR(B709),MONTH(B709),1))</f>
        <v/>
      </c>
      <c r="AI709" s="49">
        <f>IF(D709="","",IFERROR(INDEX('CUSTOMERS'!$E$5:$E$404,MATCH(D709,'CUSTOMERS'!$B$5:$B$404,0)),""))</f>
        <v/>
      </c>
      <c r="AJ709" s="49">
        <f>IF(B709="","",N(C709))</f>
        <v/>
      </c>
      <c r="AK709" s="49">
        <f>IF(OR(B709="",O709="Cancelled",O709="Rescheduled"),"",B709&amp;"|"&amp;(COUNTIFS('JOBS'!$B$5:$B$1504,B709,'JOBS'!$AJ$5:$AJ$1504,"&lt;"&amp;AJ709,'JOBS'!$O$5:$O$1504,"&lt;&gt;Cancelled",'JOBS'!$O$5:$O$1504,"&lt;&gt;Rescheduled")+COUNTIFS($B$5:B709,B709,$AJ$5:AJ709,AJ709,$O$5:O709,"&lt;&gt;Cancelled",$O$5:O709,"&lt;&gt;Rescheduled")))</f>
        <v/>
      </c>
      <c r="AL709" s="49">
        <f>IF(N(U709)&lt;=0.005,"",COUNTIFS('JOBS'!$U$5:$U$1504,"&gt;0.005",'JOBS'!$B$5:$B$1504,"&lt;"&amp;B709)+COUNTIFS($U$5:U709,"&gt;0.005",$B$5:B709,B709))</f>
        <v/>
      </c>
    </row>
    <row r="710">
      <c r="A710" s="46" t="inlineStr">
        <is>
          <t>J-0706</t>
        </is>
      </c>
      <c r="B710" s="47" t="n"/>
      <c r="C710" s="94" t="n"/>
      <c r="D710" s="38" t="n"/>
      <c r="E710" s="38" t="n"/>
      <c r="F710" s="38" t="n"/>
      <c r="G710" s="38" t="n"/>
      <c r="H710" s="38" t="n"/>
      <c r="I710" s="57" t="n"/>
      <c r="J710" s="95" t="n"/>
      <c r="K710" s="95" t="n"/>
      <c r="L710" s="48" t="n"/>
      <c r="M710" s="96" t="n"/>
      <c r="N710" s="48" t="n"/>
      <c r="O710" s="38" t="n"/>
      <c r="P710" s="38" t="n"/>
      <c r="Q710" s="97">
        <f>IF(OR(F710="",E710=""),"",IFERROR(IF(INDEX('PROPERTIES'!$F$5:$F$404,MATCH(E710,'PROPERTIES'!$B$5:$B$404,0))=0,"",ROUND((INDEX('PROPERTIES'!$F$5:$F$404,MATCH(E710,'PROPERTIES'!$B$5:$B$404,0))/INDEX('PRICING'!$C$7:$C$16,MATCH(F710,'PRICING'!$A$7:$A$16,0))+INDEX('PROPERTIES'!$G$5:$G$404,MATCH(E710,'PROPERTIES'!$B$5:$B$404,0))*INDEX('PRICING'!$D$7:$D$16,MATCH(F710,'PRICING'!$A$7:$A$16,0))/60+INDEX('PROPERTIES'!$H$5:$H$404,MATCH(E710,'PROPERTIES'!$B$5:$B$404,0))*INDEX('PRICING'!$E$7:$E$16,MATCH(F710,'PRICING'!$A$7:$A$16,0))/60+INDEX('PRICING'!$F$7:$F$16,MATCH(F710,'PRICING'!$A$7:$A$16,0))/60),2)),""))</f>
        <v/>
      </c>
      <c r="R710" s="97">
        <f>IF(B710="","",IF(N(K710)&gt;0,K710,IF(N(J710)&gt;0,J710,N(Q710))))</f>
        <v/>
      </c>
      <c r="S710" s="55">
        <f>IF(L710="","",ROUND(L710*(1+N(M710)),2))</f>
        <v/>
      </c>
      <c r="T710" s="55">
        <f>IF(B710="","",SUMIFS('REVENUE'!$C$5:$C$1504,'REVENUE'!$B$5:$B$1504,A710))</f>
        <v/>
      </c>
      <c r="U710" s="55">
        <f>IF(B710="","",IF(O710="Completed",MAX(0,N(S710)-T710),""))</f>
        <v/>
      </c>
      <c r="V710" s="49">
        <f>IF(B710="","",IF(O710&lt;&gt;"Completed",IF(T710&gt;0,"Deposit","—"),IF(U710&lt;=0.005,"Paid",IF(T710&gt;0,"Partial","Unpaid"))))</f>
        <v/>
      </c>
      <c r="W710" s="55">
        <f>IF(B710="","",IFERROR(1/(1/INDEX('STAFF &amp; TASKS'!$C$5:$C$24,MATCH(H710,'STAFF &amp; TASKS'!$A$5:$A$24,0))),PayRate))</f>
        <v/>
      </c>
      <c r="X710" s="55">
        <f>IF(B710="","",IF(OR(O710="Cancelled",O710="No-Show"),"",ROUND(R710*W710*(1+Burden),2)))</f>
        <v/>
      </c>
      <c r="Y710" s="55">
        <f>IF(B710="","",IF(OR(O710="Cancelled",O710="No-Show"),"",IF(N710&lt;&gt;"",N710,ROUND(R710*SupHr*IFERROR(INDEX('PRICING'!$G$7:$G$16,MATCH(F710,'PRICING'!$A$7:$A$16,0)),1),2))))</f>
        <v/>
      </c>
      <c r="Z710" s="98">
        <f>IF(B710="","",SUMIFS('MILEAGE'!$J$5:$J$1504,'MILEAGE'!$B$5:$B$1504,A710))</f>
        <v/>
      </c>
      <c r="AA710" s="55">
        <f>IF(B710="","",ROUND(Z710*MileRate,2))</f>
        <v/>
      </c>
      <c r="AB710" s="55">
        <f>IF(B710="","",SUMIFS('REVENUE'!$J$5:$J$1504,'REVENUE'!$B$5:$B$1504,A710))</f>
        <v/>
      </c>
      <c r="AC710" s="55">
        <f>IF(L710="","",IF(OR(O710="Cancelled",O710="No-Show"),"",L710-N(X710)-N(Y710)-AA710-AB710))</f>
        <v/>
      </c>
      <c r="AD710" s="99">
        <f>IF(OR(AC710="",N(L710)=0),"",AC710/L710)</f>
        <v/>
      </c>
      <c r="AE710" s="55">
        <f>IF(OR(AC710="",N(R710)=0),"",L710/R710)</f>
        <v/>
      </c>
      <c r="AF710" s="100">
        <f>IF(OR(N(K710)=0,N(J710)+N(Q710)=0),"",K710-IF(N(J710)&gt;0,J710,Q710))</f>
        <v/>
      </c>
      <c r="AG710" s="99">
        <f>IF(B710="","",IFERROR(AVERAGEIFS('QUALITY CONTROL'!$M$5:$M$304,'QUALITY CONTROL'!$B$5:$B$304,A710),""))</f>
        <v/>
      </c>
      <c r="AH710" s="51">
        <f>IF(B710="","",DATE(YEAR(B710),MONTH(B710),1))</f>
        <v/>
      </c>
      <c r="AI710" s="49">
        <f>IF(D710="","",IFERROR(INDEX('CUSTOMERS'!$E$5:$E$404,MATCH(D710,'CUSTOMERS'!$B$5:$B$404,0)),""))</f>
        <v/>
      </c>
      <c r="AJ710" s="49">
        <f>IF(B710="","",N(C710))</f>
        <v/>
      </c>
      <c r="AK710" s="49">
        <f>IF(OR(B710="",O710="Cancelled",O710="Rescheduled"),"",B710&amp;"|"&amp;(COUNTIFS('JOBS'!$B$5:$B$1504,B710,'JOBS'!$AJ$5:$AJ$1504,"&lt;"&amp;AJ710,'JOBS'!$O$5:$O$1504,"&lt;&gt;Cancelled",'JOBS'!$O$5:$O$1504,"&lt;&gt;Rescheduled")+COUNTIFS($B$5:B710,B710,$AJ$5:AJ710,AJ710,$O$5:O710,"&lt;&gt;Cancelled",$O$5:O710,"&lt;&gt;Rescheduled")))</f>
        <v/>
      </c>
      <c r="AL710" s="49">
        <f>IF(N(U710)&lt;=0.005,"",COUNTIFS('JOBS'!$U$5:$U$1504,"&gt;0.005",'JOBS'!$B$5:$B$1504,"&lt;"&amp;B710)+COUNTIFS($U$5:U710,"&gt;0.005",$B$5:B710,B710))</f>
        <v/>
      </c>
    </row>
    <row r="711">
      <c r="A711" s="46" t="inlineStr">
        <is>
          <t>J-0707</t>
        </is>
      </c>
      <c r="B711" s="47" t="n"/>
      <c r="C711" s="94" t="n"/>
      <c r="D711" s="38" t="n"/>
      <c r="E711" s="38" t="n"/>
      <c r="F711" s="38" t="n"/>
      <c r="G711" s="38" t="n"/>
      <c r="H711" s="38" t="n"/>
      <c r="I711" s="57" t="n"/>
      <c r="J711" s="95" t="n"/>
      <c r="K711" s="95" t="n"/>
      <c r="L711" s="48" t="n"/>
      <c r="M711" s="96" t="n"/>
      <c r="N711" s="48" t="n"/>
      <c r="O711" s="38" t="n"/>
      <c r="P711" s="38" t="n"/>
      <c r="Q711" s="97">
        <f>IF(OR(F711="",E711=""),"",IFERROR(IF(INDEX('PROPERTIES'!$F$5:$F$404,MATCH(E711,'PROPERTIES'!$B$5:$B$404,0))=0,"",ROUND((INDEX('PROPERTIES'!$F$5:$F$404,MATCH(E711,'PROPERTIES'!$B$5:$B$404,0))/INDEX('PRICING'!$C$7:$C$16,MATCH(F711,'PRICING'!$A$7:$A$16,0))+INDEX('PROPERTIES'!$G$5:$G$404,MATCH(E711,'PROPERTIES'!$B$5:$B$404,0))*INDEX('PRICING'!$D$7:$D$16,MATCH(F711,'PRICING'!$A$7:$A$16,0))/60+INDEX('PROPERTIES'!$H$5:$H$404,MATCH(E711,'PROPERTIES'!$B$5:$B$404,0))*INDEX('PRICING'!$E$7:$E$16,MATCH(F711,'PRICING'!$A$7:$A$16,0))/60+INDEX('PRICING'!$F$7:$F$16,MATCH(F711,'PRICING'!$A$7:$A$16,0))/60),2)),""))</f>
        <v/>
      </c>
      <c r="R711" s="97">
        <f>IF(B711="","",IF(N(K711)&gt;0,K711,IF(N(J711)&gt;0,J711,N(Q711))))</f>
        <v/>
      </c>
      <c r="S711" s="55">
        <f>IF(L711="","",ROUND(L711*(1+N(M711)),2))</f>
        <v/>
      </c>
      <c r="T711" s="55">
        <f>IF(B711="","",SUMIFS('REVENUE'!$C$5:$C$1504,'REVENUE'!$B$5:$B$1504,A711))</f>
        <v/>
      </c>
      <c r="U711" s="55">
        <f>IF(B711="","",IF(O711="Completed",MAX(0,N(S711)-T711),""))</f>
        <v/>
      </c>
      <c r="V711" s="49">
        <f>IF(B711="","",IF(O711&lt;&gt;"Completed",IF(T711&gt;0,"Deposit","—"),IF(U711&lt;=0.005,"Paid",IF(T711&gt;0,"Partial","Unpaid"))))</f>
        <v/>
      </c>
      <c r="W711" s="55">
        <f>IF(B711="","",IFERROR(1/(1/INDEX('STAFF &amp; TASKS'!$C$5:$C$24,MATCH(H711,'STAFF &amp; TASKS'!$A$5:$A$24,0))),PayRate))</f>
        <v/>
      </c>
      <c r="X711" s="55">
        <f>IF(B711="","",IF(OR(O711="Cancelled",O711="No-Show"),"",ROUND(R711*W711*(1+Burden),2)))</f>
        <v/>
      </c>
      <c r="Y711" s="55">
        <f>IF(B711="","",IF(OR(O711="Cancelled",O711="No-Show"),"",IF(N711&lt;&gt;"",N711,ROUND(R711*SupHr*IFERROR(INDEX('PRICING'!$G$7:$G$16,MATCH(F711,'PRICING'!$A$7:$A$16,0)),1),2))))</f>
        <v/>
      </c>
      <c r="Z711" s="98">
        <f>IF(B711="","",SUMIFS('MILEAGE'!$J$5:$J$1504,'MILEAGE'!$B$5:$B$1504,A711))</f>
        <v/>
      </c>
      <c r="AA711" s="55">
        <f>IF(B711="","",ROUND(Z711*MileRate,2))</f>
        <v/>
      </c>
      <c r="AB711" s="55">
        <f>IF(B711="","",SUMIFS('REVENUE'!$J$5:$J$1504,'REVENUE'!$B$5:$B$1504,A711))</f>
        <v/>
      </c>
      <c r="AC711" s="55">
        <f>IF(L711="","",IF(OR(O711="Cancelled",O711="No-Show"),"",L711-N(X711)-N(Y711)-AA711-AB711))</f>
        <v/>
      </c>
      <c r="AD711" s="99">
        <f>IF(OR(AC711="",N(L711)=0),"",AC711/L711)</f>
        <v/>
      </c>
      <c r="AE711" s="55">
        <f>IF(OR(AC711="",N(R711)=0),"",L711/R711)</f>
        <v/>
      </c>
      <c r="AF711" s="100">
        <f>IF(OR(N(K711)=0,N(J711)+N(Q711)=0),"",K711-IF(N(J711)&gt;0,J711,Q711))</f>
        <v/>
      </c>
      <c r="AG711" s="99">
        <f>IF(B711="","",IFERROR(AVERAGEIFS('QUALITY CONTROL'!$M$5:$M$304,'QUALITY CONTROL'!$B$5:$B$304,A711),""))</f>
        <v/>
      </c>
      <c r="AH711" s="51">
        <f>IF(B711="","",DATE(YEAR(B711),MONTH(B711),1))</f>
        <v/>
      </c>
      <c r="AI711" s="49">
        <f>IF(D711="","",IFERROR(INDEX('CUSTOMERS'!$E$5:$E$404,MATCH(D711,'CUSTOMERS'!$B$5:$B$404,0)),""))</f>
        <v/>
      </c>
      <c r="AJ711" s="49">
        <f>IF(B711="","",N(C711))</f>
        <v/>
      </c>
      <c r="AK711" s="49">
        <f>IF(OR(B711="",O711="Cancelled",O711="Rescheduled"),"",B711&amp;"|"&amp;(COUNTIFS('JOBS'!$B$5:$B$1504,B711,'JOBS'!$AJ$5:$AJ$1504,"&lt;"&amp;AJ711,'JOBS'!$O$5:$O$1504,"&lt;&gt;Cancelled",'JOBS'!$O$5:$O$1504,"&lt;&gt;Rescheduled")+COUNTIFS($B$5:B711,B711,$AJ$5:AJ711,AJ711,$O$5:O711,"&lt;&gt;Cancelled",$O$5:O711,"&lt;&gt;Rescheduled")))</f>
        <v/>
      </c>
      <c r="AL711" s="49">
        <f>IF(N(U711)&lt;=0.005,"",COUNTIFS('JOBS'!$U$5:$U$1504,"&gt;0.005",'JOBS'!$B$5:$B$1504,"&lt;"&amp;B711)+COUNTIFS($U$5:U711,"&gt;0.005",$B$5:B711,B711))</f>
        <v/>
      </c>
    </row>
    <row r="712">
      <c r="A712" s="46" t="inlineStr">
        <is>
          <t>J-0708</t>
        </is>
      </c>
      <c r="B712" s="47" t="n"/>
      <c r="C712" s="94" t="n"/>
      <c r="D712" s="38" t="n"/>
      <c r="E712" s="38" t="n"/>
      <c r="F712" s="38" t="n"/>
      <c r="G712" s="38" t="n"/>
      <c r="H712" s="38" t="n"/>
      <c r="I712" s="57" t="n"/>
      <c r="J712" s="95" t="n"/>
      <c r="K712" s="95" t="n"/>
      <c r="L712" s="48" t="n"/>
      <c r="M712" s="96" t="n"/>
      <c r="N712" s="48" t="n"/>
      <c r="O712" s="38" t="n"/>
      <c r="P712" s="38" t="n"/>
      <c r="Q712" s="97">
        <f>IF(OR(F712="",E712=""),"",IFERROR(IF(INDEX('PROPERTIES'!$F$5:$F$404,MATCH(E712,'PROPERTIES'!$B$5:$B$404,0))=0,"",ROUND((INDEX('PROPERTIES'!$F$5:$F$404,MATCH(E712,'PROPERTIES'!$B$5:$B$404,0))/INDEX('PRICING'!$C$7:$C$16,MATCH(F712,'PRICING'!$A$7:$A$16,0))+INDEX('PROPERTIES'!$G$5:$G$404,MATCH(E712,'PROPERTIES'!$B$5:$B$404,0))*INDEX('PRICING'!$D$7:$D$16,MATCH(F712,'PRICING'!$A$7:$A$16,0))/60+INDEX('PROPERTIES'!$H$5:$H$404,MATCH(E712,'PROPERTIES'!$B$5:$B$404,0))*INDEX('PRICING'!$E$7:$E$16,MATCH(F712,'PRICING'!$A$7:$A$16,0))/60+INDEX('PRICING'!$F$7:$F$16,MATCH(F712,'PRICING'!$A$7:$A$16,0))/60),2)),""))</f>
        <v/>
      </c>
      <c r="R712" s="97">
        <f>IF(B712="","",IF(N(K712)&gt;0,K712,IF(N(J712)&gt;0,J712,N(Q712))))</f>
        <v/>
      </c>
      <c r="S712" s="55">
        <f>IF(L712="","",ROUND(L712*(1+N(M712)),2))</f>
        <v/>
      </c>
      <c r="T712" s="55">
        <f>IF(B712="","",SUMIFS('REVENUE'!$C$5:$C$1504,'REVENUE'!$B$5:$B$1504,A712))</f>
        <v/>
      </c>
      <c r="U712" s="55">
        <f>IF(B712="","",IF(O712="Completed",MAX(0,N(S712)-T712),""))</f>
        <v/>
      </c>
      <c r="V712" s="49">
        <f>IF(B712="","",IF(O712&lt;&gt;"Completed",IF(T712&gt;0,"Deposit","—"),IF(U712&lt;=0.005,"Paid",IF(T712&gt;0,"Partial","Unpaid"))))</f>
        <v/>
      </c>
      <c r="W712" s="55">
        <f>IF(B712="","",IFERROR(1/(1/INDEX('STAFF &amp; TASKS'!$C$5:$C$24,MATCH(H712,'STAFF &amp; TASKS'!$A$5:$A$24,0))),PayRate))</f>
        <v/>
      </c>
      <c r="X712" s="55">
        <f>IF(B712="","",IF(OR(O712="Cancelled",O712="No-Show"),"",ROUND(R712*W712*(1+Burden),2)))</f>
        <v/>
      </c>
      <c r="Y712" s="55">
        <f>IF(B712="","",IF(OR(O712="Cancelled",O712="No-Show"),"",IF(N712&lt;&gt;"",N712,ROUND(R712*SupHr*IFERROR(INDEX('PRICING'!$G$7:$G$16,MATCH(F712,'PRICING'!$A$7:$A$16,0)),1),2))))</f>
        <v/>
      </c>
      <c r="Z712" s="98">
        <f>IF(B712="","",SUMIFS('MILEAGE'!$J$5:$J$1504,'MILEAGE'!$B$5:$B$1504,A712))</f>
        <v/>
      </c>
      <c r="AA712" s="55">
        <f>IF(B712="","",ROUND(Z712*MileRate,2))</f>
        <v/>
      </c>
      <c r="AB712" s="55">
        <f>IF(B712="","",SUMIFS('REVENUE'!$J$5:$J$1504,'REVENUE'!$B$5:$B$1504,A712))</f>
        <v/>
      </c>
      <c r="AC712" s="55">
        <f>IF(L712="","",IF(OR(O712="Cancelled",O712="No-Show"),"",L712-N(X712)-N(Y712)-AA712-AB712))</f>
        <v/>
      </c>
      <c r="AD712" s="99">
        <f>IF(OR(AC712="",N(L712)=0),"",AC712/L712)</f>
        <v/>
      </c>
      <c r="AE712" s="55">
        <f>IF(OR(AC712="",N(R712)=0),"",L712/R712)</f>
        <v/>
      </c>
      <c r="AF712" s="100">
        <f>IF(OR(N(K712)=0,N(J712)+N(Q712)=0),"",K712-IF(N(J712)&gt;0,J712,Q712))</f>
        <v/>
      </c>
      <c r="AG712" s="99">
        <f>IF(B712="","",IFERROR(AVERAGEIFS('QUALITY CONTROL'!$M$5:$M$304,'QUALITY CONTROL'!$B$5:$B$304,A712),""))</f>
        <v/>
      </c>
      <c r="AH712" s="51">
        <f>IF(B712="","",DATE(YEAR(B712),MONTH(B712),1))</f>
        <v/>
      </c>
      <c r="AI712" s="49">
        <f>IF(D712="","",IFERROR(INDEX('CUSTOMERS'!$E$5:$E$404,MATCH(D712,'CUSTOMERS'!$B$5:$B$404,0)),""))</f>
        <v/>
      </c>
      <c r="AJ712" s="49">
        <f>IF(B712="","",N(C712))</f>
        <v/>
      </c>
      <c r="AK712" s="49">
        <f>IF(OR(B712="",O712="Cancelled",O712="Rescheduled"),"",B712&amp;"|"&amp;(COUNTIFS('JOBS'!$B$5:$B$1504,B712,'JOBS'!$AJ$5:$AJ$1504,"&lt;"&amp;AJ712,'JOBS'!$O$5:$O$1504,"&lt;&gt;Cancelled",'JOBS'!$O$5:$O$1504,"&lt;&gt;Rescheduled")+COUNTIFS($B$5:B712,B712,$AJ$5:AJ712,AJ712,$O$5:O712,"&lt;&gt;Cancelled",$O$5:O712,"&lt;&gt;Rescheduled")))</f>
        <v/>
      </c>
      <c r="AL712" s="49">
        <f>IF(N(U712)&lt;=0.005,"",COUNTIFS('JOBS'!$U$5:$U$1504,"&gt;0.005",'JOBS'!$B$5:$B$1504,"&lt;"&amp;B712)+COUNTIFS($U$5:U712,"&gt;0.005",$B$5:B712,B712))</f>
        <v/>
      </c>
    </row>
    <row r="713">
      <c r="A713" s="46" t="inlineStr">
        <is>
          <t>J-0709</t>
        </is>
      </c>
      <c r="B713" s="47" t="n"/>
      <c r="C713" s="94" t="n"/>
      <c r="D713" s="38" t="n"/>
      <c r="E713" s="38" t="n"/>
      <c r="F713" s="38" t="n"/>
      <c r="G713" s="38" t="n"/>
      <c r="H713" s="38" t="n"/>
      <c r="I713" s="57" t="n"/>
      <c r="J713" s="95" t="n"/>
      <c r="K713" s="95" t="n"/>
      <c r="L713" s="48" t="n"/>
      <c r="M713" s="96" t="n"/>
      <c r="N713" s="48" t="n"/>
      <c r="O713" s="38" t="n"/>
      <c r="P713" s="38" t="n"/>
      <c r="Q713" s="97">
        <f>IF(OR(F713="",E713=""),"",IFERROR(IF(INDEX('PROPERTIES'!$F$5:$F$404,MATCH(E713,'PROPERTIES'!$B$5:$B$404,0))=0,"",ROUND((INDEX('PROPERTIES'!$F$5:$F$404,MATCH(E713,'PROPERTIES'!$B$5:$B$404,0))/INDEX('PRICING'!$C$7:$C$16,MATCH(F713,'PRICING'!$A$7:$A$16,0))+INDEX('PROPERTIES'!$G$5:$G$404,MATCH(E713,'PROPERTIES'!$B$5:$B$404,0))*INDEX('PRICING'!$D$7:$D$16,MATCH(F713,'PRICING'!$A$7:$A$16,0))/60+INDEX('PROPERTIES'!$H$5:$H$404,MATCH(E713,'PROPERTIES'!$B$5:$B$404,0))*INDEX('PRICING'!$E$7:$E$16,MATCH(F713,'PRICING'!$A$7:$A$16,0))/60+INDEX('PRICING'!$F$7:$F$16,MATCH(F713,'PRICING'!$A$7:$A$16,0))/60),2)),""))</f>
        <v/>
      </c>
      <c r="R713" s="97">
        <f>IF(B713="","",IF(N(K713)&gt;0,K713,IF(N(J713)&gt;0,J713,N(Q713))))</f>
        <v/>
      </c>
      <c r="S713" s="55">
        <f>IF(L713="","",ROUND(L713*(1+N(M713)),2))</f>
        <v/>
      </c>
      <c r="T713" s="55">
        <f>IF(B713="","",SUMIFS('REVENUE'!$C$5:$C$1504,'REVENUE'!$B$5:$B$1504,A713))</f>
        <v/>
      </c>
      <c r="U713" s="55">
        <f>IF(B713="","",IF(O713="Completed",MAX(0,N(S713)-T713),""))</f>
        <v/>
      </c>
      <c r="V713" s="49">
        <f>IF(B713="","",IF(O713&lt;&gt;"Completed",IF(T713&gt;0,"Deposit","—"),IF(U713&lt;=0.005,"Paid",IF(T713&gt;0,"Partial","Unpaid"))))</f>
        <v/>
      </c>
      <c r="W713" s="55">
        <f>IF(B713="","",IFERROR(1/(1/INDEX('STAFF &amp; TASKS'!$C$5:$C$24,MATCH(H713,'STAFF &amp; TASKS'!$A$5:$A$24,0))),PayRate))</f>
        <v/>
      </c>
      <c r="X713" s="55">
        <f>IF(B713="","",IF(OR(O713="Cancelled",O713="No-Show"),"",ROUND(R713*W713*(1+Burden),2)))</f>
        <v/>
      </c>
      <c r="Y713" s="55">
        <f>IF(B713="","",IF(OR(O713="Cancelled",O713="No-Show"),"",IF(N713&lt;&gt;"",N713,ROUND(R713*SupHr*IFERROR(INDEX('PRICING'!$G$7:$G$16,MATCH(F713,'PRICING'!$A$7:$A$16,0)),1),2))))</f>
        <v/>
      </c>
      <c r="Z713" s="98">
        <f>IF(B713="","",SUMIFS('MILEAGE'!$J$5:$J$1504,'MILEAGE'!$B$5:$B$1504,A713))</f>
        <v/>
      </c>
      <c r="AA713" s="55">
        <f>IF(B713="","",ROUND(Z713*MileRate,2))</f>
        <v/>
      </c>
      <c r="AB713" s="55">
        <f>IF(B713="","",SUMIFS('REVENUE'!$J$5:$J$1504,'REVENUE'!$B$5:$B$1504,A713))</f>
        <v/>
      </c>
      <c r="AC713" s="55">
        <f>IF(L713="","",IF(OR(O713="Cancelled",O713="No-Show"),"",L713-N(X713)-N(Y713)-AA713-AB713))</f>
        <v/>
      </c>
      <c r="AD713" s="99">
        <f>IF(OR(AC713="",N(L713)=0),"",AC713/L713)</f>
        <v/>
      </c>
      <c r="AE713" s="55">
        <f>IF(OR(AC713="",N(R713)=0),"",L713/R713)</f>
        <v/>
      </c>
      <c r="AF713" s="100">
        <f>IF(OR(N(K713)=0,N(J713)+N(Q713)=0),"",K713-IF(N(J713)&gt;0,J713,Q713))</f>
        <v/>
      </c>
      <c r="AG713" s="99">
        <f>IF(B713="","",IFERROR(AVERAGEIFS('QUALITY CONTROL'!$M$5:$M$304,'QUALITY CONTROL'!$B$5:$B$304,A713),""))</f>
        <v/>
      </c>
      <c r="AH713" s="51">
        <f>IF(B713="","",DATE(YEAR(B713),MONTH(B713),1))</f>
        <v/>
      </c>
      <c r="AI713" s="49">
        <f>IF(D713="","",IFERROR(INDEX('CUSTOMERS'!$E$5:$E$404,MATCH(D713,'CUSTOMERS'!$B$5:$B$404,0)),""))</f>
        <v/>
      </c>
      <c r="AJ713" s="49">
        <f>IF(B713="","",N(C713))</f>
        <v/>
      </c>
      <c r="AK713" s="49">
        <f>IF(OR(B713="",O713="Cancelled",O713="Rescheduled"),"",B713&amp;"|"&amp;(COUNTIFS('JOBS'!$B$5:$B$1504,B713,'JOBS'!$AJ$5:$AJ$1504,"&lt;"&amp;AJ713,'JOBS'!$O$5:$O$1504,"&lt;&gt;Cancelled",'JOBS'!$O$5:$O$1504,"&lt;&gt;Rescheduled")+COUNTIFS($B$5:B713,B713,$AJ$5:AJ713,AJ713,$O$5:O713,"&lt;&gt;Cancelled",$O$5:O713,"&lt;&gt;Rescheduled")))</f>
        <v/>
      </c>
      <c r="AL713" s="49">
        <f>IF(N(U713)&lt;=0.005,"",COUNTIFS('JOBS'!$U$5:$U$1504,"&gt;0.005",'JOBS'!$B$5:$B$1504,"&lt;"&amp;B713)+COUNTIFS($U$5:U713,"&gt;0.005",$B$5:B713,B713))</f>
        <v/>
      </c>
    </row>
    <row r="714">
      <c r="A714" s="46" t="inlineStr">
        <is>
          <t>J-0710</t>
        </is>
      </c>
      <c r="B714" s="47" t="n"/>
      <c r="C714" s="94" t="n"/>
      <c r="D714" s="38" t="n"/>
      <c r="E714" s="38" t="n"/>
      <c r="F714" s="38" t="n"/>
      <c r="G714" s="38" t="n"/>
      <c r="H714" s="38" t="n"/>
      <c r="I714" s="57" t="n"/>
      <c r="J714" s="95" t="n"/>
      <c r="K714" s="95" t="n"/>
      <c r="L714" s="48" t="n"/>
      <c r="M714" s="96" t="n"/>
      <c r="N714" s="48" t="n"/>
      <c r="O714" s="38" t="n"/>
      <c r="P714" s="38" t="n"/>
      <c r="Q714" s="97">
        <f>IF(OR(F714="",E714=""),"",IFERROR(IF(INDEX('PROPERTIES'!$F$5:$F$404,MATCH(E714,'PROPERTIES'!$B$5:$B$404,0))=0,"",ROUND((INDEX('PROPERTIES'!$F$5:$F$404,MATCH(E714,'PROPERTIES'!$B$5:$B$404,0))/INDEX('PRICING'!$C$7:$C$16,MATCH(F714,'PRICING'!$A$7:$A$16,0))+INDEX('PROPERTIES'!$G$5:$G$404,MATCH(E714,'PROPERTIES'!$B$5:$B$404,0))*INDEX('PRICING'!$D$7:$D$16,MATCH(F714,'PRICING'!$A$7:$A$16,0))/60+INDEX('PROPERTIES'!$H$5:$H$404,MATCH(E714,'PROPERTIES'!$B$5:$B$404,0))*INDEX('PRICING'!$E$7:$E$16,MATCH(F714,'PRICING'!$A$7:$A$16,0))/60+INDEX('PRICING'!$F$7:$F$16,MATCH(F714,'PRICING'!$A$7:$A$16,0))/60),2)),""))</f>
        <v/>
      </c>
      <c r="R714" s="97">
        <f>IF(B714="","",IF(N(K714)&gt;0,K714,IF(N(J714)&gt;0,J714,N(Q714))))</f>
        <v/>
      </c>
      <c r="S714" s="55">
        <f>IF(L714="","",ROUND(L714*(1+N(M714)),2))</f>
        <v/>
      </c>
      <c r="T714" s="55">
        <f>IF(B714="","",SUMIFS('REVENUE'!$C$5:$C$1504,'REVENUE'!$B$5:$B$1504,A714))</f>
        <v/>
      </c>
      <c r="U714" s="55">
        <f>IF(B714="","",IF(O714="Completed",MAX(0,N(S714)-T714),""))</f>
        <v/>
      </c>
      <c r="V714" s="49">
        <f>IF(B714="","",IF(O714&lt;&gt;"Completed",IF(T714&gt;0,"Deposit","—"),IF(U714&lt;=0.005,"Paid",IF(T714&gt;0,"Partial","Unpaid"))))</f>
        <v/>
      </c>
      <c r="W714" s="55">
        <f>IF(B714="","",IFERROR(1/(1/INDEX('STAFF &amp; TASKS'!$C$5:$C$24,MATCH(H714,'STAFF &amp; TASKS'!$A$5:$A$24,0))),PayRate))</f>
        <v/>
      </c>
      <c r="X714" s="55">
        <f>IF(B714="","",IF(OR(O714="Cancelled",O714="No-Show"),"",ROUND(R714*W714*(1+Burden),2)))</f>
        <v/>
      </c>
      <c r="Y714" s="55">
        <f>IF(B714="","",IF(OR(O714="Cancelled",O714="No-Show"),"",IF(N714&lt;&gt;"",N714,ROUND(R714*SupHr*IFERROR(INDEX('PRICING'!$G$7:$G$16,MATCH(F714,'PRICING'!$A$7:$A$16,0)),1),2))))</f>
        <v/>
      </c>
      <c r="Z714" s="98">
        <f>IF(B714="","",SUMIFS('MILEAGE'!$J$5:$J$1504,'MILEAGE'!$B$5:$B$1504,A714))</f>
        <v/>
      </c>
      <c r="AA714" s="55">
        <f>IF(B714="","",ROUND(Z714*MileRate,2))</f>
        <v/>
      </c>
      <c r="AB714" s="55">
        <f>IF(B714="","",SUMIFS('REVENUE'!$J$5:$J$1504,'REVENUE'!$B$5:$B$1504,A714))</f>
        <v/>
      </c>
      <c r="AC714" s="55">
        <f>IF(L714="","",IF(OR(O714="Cancelled",O714="No-Show"),"",L714-N(X714)-N(Y714)-AA714-AB714))</f>
        <v/>
      </c>
      <c r="AD714" s="99">
        <f>IF(OR(AC714="",N(L714)=0),"",AC714/L714)</f>
        <v/>
      </c>
      <c r="AE714" s="55">
        <f>IF(OR(AC714="",N(R714)=0),"",L714/R714)</f>
        <v/>
      </c>
      <c r="AF714" s="100">
        <f>IF(OR(N(K714)=0,N(J714)+N(Q714)=0),"",K714-IF(N(J714)&gt;0,J714,Q714))</f>
        <v/>
      </c>
      <c r="AG714" s="99">
        <f>IF(B714="","",IFERROR(AVERAGEIFS('QUALITY CONTROL'!$M$5:$M$304,'QUALITY CONTROL'!$B$5:$B$304,A714),""))</f>
        <v/>
      </c>
      <c r="AH714" s="51">
        <f>IF(B714="","",DATE(YEAR(B714),MONTH(B714),1))</f>
        <v/>
      </c>
      <c r="AI714" s="49">
        <f>IF(D714="","",IFERROR(INDEX('CUSTOMERS'!$E$5:$E$404,MATCH(D714,'CUSTOMERS'!$B$5:$B$404,0)),""))</f>
        <v/>
      </c>
      <c r="AJ714" s="49">
        <f>IF(B714="","",N(C714))</f>
        <v/>
      </c>
      <c r="AK714" s="49">
        <f>IF(OR(B714="",O714="Cancelled",O714="Rescheduled"),"",B714&amp;"|"&amp;(COUNTIFS('JOBS'!$B$5:$B$1504,B714,'JOBS'!$AJ$5:$AJ$1504,"&lt;"&amp;AJ714,'JOBS'!$O$5:$O$1504,"&lt;&gt;Cancelled",'JOBS'!$O$5:$O$1504,"&lt;&gt;Rescheduled")+COUNTIFS($B$5:B714,B714,$AJ$5:AJ714,AJ714,$O$5:O714,"&lt;&gt;Cancelled",$O$5:O714,"&lt;&gt;Rescheduled")))</f>
        <v/>
      </c>
      <c r="AL714" s="49">
        <f>IF(N(U714)&lt;=0.005,"",COUNTIFS('JOBS'!$U$5:$U$1504,"&gt;0.005",'JOBS'!$B$5:$B$1504,"&lt;"&amp;B714)+COUNTIFS($U$5:U714,"&gt;0.005",$B$5:B714,B714))</f>
        <v/>
      </c>
    </row>
    <row r="715">
      <c r="A715" s="46" t="inlineStr">
        <is>
          <t>J-0711</t>
        </is>
      </c>
      <c r="B715" s="47" t="n"/>
      <c r="C715" s="94" t="n"/>
      <c r="D715" s="38" t="n"/>
      <c r="E715" s="38" t="n"/>
      <c r="F715" s="38" t="n"/>
      <c r="G715" s="38" t="n"/>
      <c r="H715" s="38" t="n"/>
      <c r="I715" s="57" t="n"/>
      <c r="J715" s="95" t="n"/>
      <c r="K715" s="95" t="n"/>
      <c r="L715" s="48" t="n"/>
      <c r="M715" s="96" t="n"/>
      <c r="N715" s="48" t="n"/>
      <c r="O715" s="38" t="n"/>
      <c r="P715" s="38" t="n"/>
      <c r="Q715" s="97">
        <f>IF(OR(F715="",E715=""),"",IFERROR(IF(INDEX('PROPERTIES'!$F$5:$F$404,MATCH(E715,'PROPERTIES'!$B$5:$B$404,0))=0,"",ROUND((INDEX('PROPERTIES'!$F$5:$F$404,MATCH(E715,'PROPERTIES'!$B$5:$B$404,0))/INDEX('PRICING'!$C$7:$C$16,MATCH(F715,'PRICING'!$A$7:$A$16,0))+INDEX('PROPERTIES'!$G$5:$G$404,MATCH(E715,'PROPERTIES'!$B$5:$B$404,0))*INDEX('PRICING'!$D$7:$D$16,MATCH(F715,'PRICING'!$A$7:$A$16,0))/60+INDEX('PROPERTIES'!$H$5:$H$404,MATCH(E715,'PROPERTIES'!$B$5:$B$404,0))*INDEX('PRICING'!$E$7:$E$16,MATCH(F715,'PRICING'!$A$7:$A$16,0))/60+INDEX('PRICING'!$F$7:$F$16,MATCH(F715,'PRICING'!$A$7:$A$16,0))/60),2)),""))</f>
        <v/>
      </c>
      <c r="R715" s="97">
        <f>IF(B715="","",IF(N(K715)&gt;0,K715,IF(N(J715)&gt;0,J715,N(Q715))))</f>
        <v/>
      </c>
      <c r="S715" s="55">
        <f>IF(L715="","",ROUND(L715*(1+N(M715)),2))</f>
        <v/>
      </c>
      <c r="T715" s="55">
        <f>IF(B715="","",SUMIFS('REVENUE'!$C$5:$C$1504,'REVENUE'!$B$5:$B$1504,A715))</f>
        <v/>
      </c>
      <c r="U715" s="55">
        <f>IF(B715="","",IF(O715="Completed",MAX(0,N(S715)-T715),""))</f>
        <v/>
      </c>
      <c r="V715" s="49">
        <f>IF(B715="","",IF(O715&lt;&gt;"Completed",IF(T715&gt;0,"Deposit","—"),IF(U715&lt;=0.005,"Paid",IF(T715&gt;0,"Partial","Unpaid"))))</f>
        <v/>
      </c>
      <c r="W715" s="55">
        <f>IF(B715="","",IFERROR(1/(1/INDEX('STAFF &amp; TASKS'!$C$5:$C$24,MATCH(H715,'STAFF &amp; TASKS'!$A$5:$A$24,0))),PayRate))</f>
        <v/>
      </c>
      <c r="X715" s="55">
        <f>IF(B715="","",IF(OR(O715="Cancelled",O715="No-Show"),"",ROUND(R715*W715*(1+Burden),2)))</f>
        <v/>
      </c>
      <c r="Y715" s="55">
        <f>IF(B715="","",IF(OR(O715="Cancelled",O715="No-Show"),"",IF(N715&lt;&gt;"",N715,ROUND(R715*SupHr*IFERROR(INDEX('PRICING'!$G$7:$G$16,MATCH(F715,'PRICING'!$A$7:$A$16,0)),1),2))))</f>
        <v/>
      </c>
      <c r="Z715" s="98">
        <f>IF(B715="","",SUMIFS('MILEAGE'!$J$5:$J$1504,'MILEAGE'!$B$5:$B$1504,A715))</f>
        <v/>
      </c>
      <c r="AA715" s="55">
        <f>IF(B715="","",ROUND(Z715*MileRate,2))</f>
        <v/>
      </c>
      <c r="AB715" s="55">
        <f>IF(B715="","",SUMIFS('REVENUE'!$J$5:$J$1504,'REVENUE'!$B$5:$B$1504,A715))</f>
        <v/>
      </c>
      <c r="AC715" s="55">
        <f>IF(L715="","",IF(OR(O715="Cancelled",O715="No-Show"),"",L715-N(X715)-N(Y715)-AA715-AB715))</f>
        <v/>
      </c>
      <c r="AD715" s="99">
        <f>IF(OR(AC715="",N(L715)=0),"",AC715/L715)</f>
        <v/>
      </c>
      <c r="AE715" s="55">
        <f>IF(OR(AC715="",N(R715)=0),"",L715/R715)</f>
        <v/>
      </c>
      <c r="AF715" s="100">
        <f>IF(OR(N(K715)=0,N(J715)+N(Q715)=0),"",K715-IF(N(J715)&gt;0,J715,Q715))</f>
        <v/>
      </c>
      <c r="AG715" s="99">
        <f>IF(B715="","",IFERROR(AVERAGEIFS('QUALITY CONTROL'!$M$5:$M$304,'QUALITY CONTROL'!$B$5:$B$304,A715),""))</f>
        <v/>
      </c>
      <c r="AH715" s="51">
        <f>IF(B715="","",DATE(YEAR(B715),MONTH(B715),1))</f>
        <v/>
      </c>
      <c r="AI715" s="49">
        <f>IF(D715="","",IFERROR(INDEX('CUSTOMERS'!$E$5:$E$404,MATCH(D715,'CUSTOMERS'!$B$5:$B$404,0)),""))</f>
        <v/>
      </c>
      <c r="AJ715" s="49">
        <f>IF(B715="","",N(C715))</f>
        <v/>
      </c>
      <c r="AK715" s="49">
        <f>IF(OR(B715="",O715="Cancelled",O715="Rescheduled"),"",B715&amp;"|"&amp;(COUNTIFS('JOBS'!$B$5:$B$1504,B715,'JOBS'!$AJ$5:$AJ$1504,"&lt;"&amp;AJ715,'JOBS'!$O$5:$O$1504,"&lt;&gt;Cancelled",'JOBS'!$O$5:$O$1504,"&lt;&gt;Rescheduled")+COUNTIFS($B$5:B715,B715,$AJ$5:AJ715,AJ715,$O$5:O715,"&lt;&gt;Cancelled",$O$5:O715,"&lt;&gt;Rescheduled")))</f>
        <v/>
      </c>
      <c r="AL715" s="49">
        <f>IF(N(U715)&lt;=0.005,"",COUNTIFS('JOBS'!$U$5:$U$1504,"&gt;0.005",'JOBS'!$B$5:$B$1504,"&lt;"&amp;B715)+COUNTIFS($U$5:U715,"&gt;0.005",$B$5:B715,B715))</f>
        <v/>
      </c>
    </row>
    <row r="716">
      <c r="A716" s="46" t="inlineStr">
        <is>
          <t>J-0712</t>
        </is>
      </c>
      <c r="B716" s="47" t="n"/>
      <c r="C716" s="94" t="n"/>
      <c r="D716" s="38" t="n"/>
      <c r="E716" s="38" t="n"/>
      <c r="F716" s="38" t="n"/>
      <c r="G716" s="38" t="n"/>
      <c r="H716" s="38" t="n"/>
      <c r="I716" s="57" t="n"/>
      <c r="J716" s="95" t="n"/>
      <c r="K716" s="95" t="n"/>
      <c r="L716" s="48" t="n"/>
      <c r="M716" s="96" t="n"/>
      <c r="N716" s="48" t="n"/>
      <c r="O716" s="38" t="n"/>
      <c r="P716" s="38" t="n"/>
      <c r="Q716" s="97">
        <f>IF(OR(F716="",E716=""),"",IFERROR(IF(INDEX('PROPERTIES'!$F$5:$F$404,MATCH(E716,'PROPERTIES'!$B$5:$B$404,0))=0,"",ROUND((INDEX('PROPERTIES'!$F$5:$F$404,MATCH(E716,'PROPERTIES'!$B$5:$B$404,0))/INDEX('PRICING'!$C$7:$C$16,MATCH(F716,'PRICING'!$A$7:$A$16,0))+INDEX('PROPERTIES'!$G$5:$G$404,MATCH(E716,'PROPERTIES'!$B$5:$B$404,0))*INDEX('PRICING'!$D$7:$D$16,MATCH(F716,'PRICING'!$A$7:$A$16,0))/60+INDEX('PROPERTIES'!$H$5:$H$404,MATCH(E716,'PROPERTIES'!$B$5:$B$404,0))*INDEX('PRICING'!$E$7:$E$16,MATCH(F716,'PRICING'!$A$7:$A$16,0))/60+INDEX('PRICING'!$F$7:$F$16,MATCH(F716,'PRICING'!$A$7:$A$16,0))/60),2)),""))</f>
        <v/>
      </c>
      <c r="R716" s="97">
        <f>IF(B716="","",IF(N(K716)&gt;0,K716,IF(N(J716)&gt;0,J716,N(Q716))))</f>
        <v/>
      </c>
      <c r="S716" s="55">
        <f>IF(L716="","",ROUND(L716*(1+N(M716)),2))</f>
        <v/>
      </c>
      <c r="T716" s="55">
        <f>IF(B716="","",SUMIFS('REVENUE'!$C$5:$C$1504,'REVENUE'!$B$5:$B$1504,A716))</f>
        <v/>
      </c>
      <c r="U716" s="55">
        <f>IF(B716="","",IF(O716="Completed",MAX(0,N(S716)-T716),""))</f>
        <v/>
      </c>
      <c r="V716" s="49">
        <f>IF(B716="","",IF(O716&lt;&gt;"Completed",IF(T716&gt;0,"Deposit","—"),IF(U716&lt;=0.005,"Paid",IF(T716&gt;0,"Partial","Unpaid"))))</f>
        <v/>
      </c>
      <c r="W716" s="55">
        <f>IF(B716="","",IFERROR(1/(1/INDEX('STAFF &amp; TASKS'!$C$5:$C$24,MATCH(H716,'STAFF &amp; TASKS'!$A$5:$A$24,0))),PayRate))</f>
        <v/>
      </c>
      <c r="X716" s="55">
        <f>IF(B716="","",IF(OR(O716="Cancelled",O716="No-Show"),"",ROUND(R716*W716*(1+Burden),2)))</f>
        <v/>
      </c>
      <c r="Y716" s="55">
        <f>IF(B716="","",IF(OR(O716="Cancelled",O716="No-Show"),"",IF(N716&lt;&gt;"",N716,ROUND(R716*SupHr*IFERROR(INDEX('PRICING'!$G$7:$G$16,MATCH(F716,'PRICING'!$A$7:$A$16,0)),1),2))))</f>
        <v/>
      </c>
      <c r="Z716" s="98">
        <f>IF(B716="","",SUMIFS('MILEAGE'!$J$5:$J$1504,'MILEAGE'!$B$5:$B$1504,A716))</f>
        <v/>
      </c>
      <c r="AA716" s="55">
        <f>IF(B716="","",ROUND(Z716*MileRate,2))</f>
        <v/>
      </c>
      <c r="AB716" s="55">
        <f>IF(B716="","",SUMIFS('REVENUE'!$J$5:$J$1504,'REVENUE'!$B$5:$B$1504,A716))</f>
        <v/>
      </c>
      <c r="AC716" s="55">
        <f>IF(L716="","",IF(OR(O716="Cancelled",O716="No-Show"),"",L716-N(X716)-N(Y716)-AA716-AB716))</f>
        <v/>
      </c>
      <c r="AD716" s="99">
        <f>IF(OR(AC716="",N(L716)=0),"",AC716/L716)</f>
        <v/>
      </c>
      <c r="AE716" s="55">
        <f>IF(OR(AC716="",N(R716)=0),"",L716/R716)</f>
        <v/>
      </c>
      <c r="AF716" s="100">
        <f>IF(OR(N(K716)=0,N(J716)+N(Q716)=0),"",K716-IF(N(J716)&gt;0,J716,Q716))</f>
        <v/>
      </c>
      <c r="AG716" s="99">
        <f>IF(B716="","",IFERROR(AVERAGEIFS('QUALITY CONTROL'!$M$5:$M$304,'QUALITY CONTROL'!$B$5:$B$304,A716),""))</f>
        <v/>
      </c>
      <c r="AH716" s="51">
        <f>IF(B716="","",DATE(YEAR(B716),MONTH(B716),1))</f>
        <v/>
      </c>
      <c r="AI716" s="49">
        <f>IF(D716="","",IFERROR(INDEX('CUSTOMERS'!$E$5:$E$404,MATCH(D716,'CUSTOMERS'!$B$5:$B$404,0)),""))</f>
        <v/>
      </c>
      <c r="AJ716" s="49">
        <f>IF(B716="","",N(C716))</f>
        <v/>
      </c>
      <c r="AK716" s="49">
        <f>IF(OR(B716="",O716="Cancelled",O716="Rescheduled"),"",B716&amp;"|"&amp;(COUNTIFS('JOBS'!$B$5:$B$1504,B716,'JOBS'!$AJ$5:$AJ$1504,"&lt;"&amp;AJ716,'JOBS'!$O$5:$O$1504,"&lt;&gt;Cancelled",'JOBS'!$O$5:$O$1504,"&lt;&gt;Rescheduled")+COUNTIFS($B$5:B716,B716,$AJ$5:AJ716,AJ716,$O$5:O716,"&lt;&gt;Cancelled",$O$5:O716,"&lt;&gt;Rescheduled")))</f>
        <v/>
      </c>
      <c r="AL716" s="49">
        <f>IF(N(U716)&lt;=0.005,"",COUNTIFS('JOBS'!$U$5:$U$1504,"&gt;0.005",'JOBS'!$B$5:$B$1504,"&lt;"&amp;B716)+COUNTIFS($U$5:U716,"&gt;0.005",$B$5:B716,B716))</f>
        <v/>
      </c>
    </row>
    <row r="717">
      <c r="A717" s="46" t="inlineStr">
        <is>
          <t>J-0713</t>
        </is>
      </c>
      <c r="B717" s="47" t="n"/>
      <c r="C717" s="94" t="n"/>
      <c r="D717" s="38" t="n"/>
      <c r="E717" s="38" t="n"/>
      <c r="F717" s="38" t="n"/>
      <c r="G717" s="38" t="n"/>
      <c r="H717" s="38" t="n"/>
      <c r="I717" s="57" t="n"/>
      <c r="J717" s="95" t="n"/>
      <c r="K717" s="95" t="n"/>
      <c r="L717" s="48" t="n"/>
      <c r="M717" s="96" t="n"/>
      <c r="N717" s="48" t="n"/>
      <c r="O717" s="38" t="n"/>
      <c r="P717" s="38" t="n"/>
      <c r="Q717" s="97">
        <f>IF(OR(F717="",E717=""),"",IFERROR(IF(INDEX('PROPERTIES'!$F$5:$F$404,MATCH(E717,'PROPERTIES'!$B$5:$B$404,0))=0,"",ROUND((INDEX('PROPERTIES'!$F$5:$F$404,MATCH(E717,'PROPERTIES'!$B$5:$B$404,0))/INDEX('PRICING'!$C$7:$C$16,MATCH(F717,'PRICING'!$A$7:$A$16,0))+INDEX('PROPERTIES'!$G$5:$G$404,MATCH(E717,'PROPERTIES'!$B$5:$B$404,0))*INDEX('PRICING'!$D$7:$D$16,MATCH(F717,'PRICING'!$A$7:$A$16,0))/60+INDEX('PROPERTIES'!$H$5:$H$404,MATCH(E717,'PROPERTIES'!$B$5:$B$404,0))*INDEX('PRICING'!$E$7:$E$16,MATCH(F717,'PRICING'!$A$7:$A$16,0))/60+INDEX('PRICING'!$F$7:$F$16,MATCH(F717,'PRICING'!$A$7:$A$16,0))/60),2)),""))</f>
        <v/>
      </c>
      <c r="R717" s="97">
        <f>IF(B717="","",IF(N(K717)&gt;0,K717,IF(N(J717)&gt;0,J717,N(Q717))))</f>
        <v/>
      </c>
      <c r="S717" s="55">
        <f>IF(L717="","",ROUND(L717*(1+N(M717)),2))</f>
        <v/>
      </c>
      <c r="T717" s="55">
        <f>IF(B717="","",SUMIFS('REVENUE'!$C$5:$C$1504,'REVENUE'!$B$5:$B$1504,A717))</f>
        <v/>
      </c>
      <c r="U717" s="55">
        <f>IF(B717="","",IF(O717="Completed",MAX(0,N(S717)-T717),""))</f>
        <v/>
      </c>
      <c r="V717" s="49">
        <f>IF(B717="","",IF(O717&lt;&gt;"Completed",IF(T717&gt;0,"Deposit","—"),IF(U717&lt;=0.005,"Paid",IF(T717&gt;0,"Partial","Unpaid"))))</f>
        <v/>
      </c>
      <c r="W717" s="55">
        <f>IF(B717="","",IFERROR(1/(1/INDEX('STAFF &amp; TASKS'!$C$5:$C$24,MATCH(H717,'STAFF &amp; TASKS'!$A$5:$A$24,0))),PayRate))</f>
        <v/>
      </c>
      <c r="X717" s="55">
        <f>IF(B717="","",IF(OR(O717="Cancelled",O717="No-Show"),"",ROUND(R717*W717*(1+Burden),2)))</f>
        <v/>
      </c>
      <c r="Y717" s="55">
        <f>IF(B717="","",IF(OR(O717="Cancelled",O717="No-Show"),"",IF(N717&lt;&gt;"",N717,ROUND(R717*SupHr*IFERROR(INDEX('PRICING'!$G$7:$G$16,MATCH(F717,'PRICING'!$A$7:$A$16,0)),1),2))))</f>
        <v/>
      </c>
      <c r="Z717" s="98">
        <f>IF(B717="","",SUMIFS('MILEAGE'!$J$5:$J$1504,'MILEAGE'!$B$5:$B$1504,A717))</f>
        <v/>
      </c>
      <c r="AA717" s="55">
        <f>IF(B717="","",ROUND(Z717*MileRate,2))</f>
        <v/>
      </c>
      <c r="AB717" s="55">
        <f>IF(B717="","",SUMIFS('REVENUE'!$J$5:$J$1504,'REVENUE'!$B$5:$B$1504,A717))</f>
        <v/>
      </c>
      <c r="AC717" s="55">
        <f>IF(L717="","",IF(OR(O717="Cancelled",O717="No-Show"),"",L717-N(X717)-N(Y717)-AA717-AB717))</f>
        <v/>
      </c>
      <c r="AD717" s="99">
        <f>IF(OR(AC717="",N(L717)=0),"",AC717/L717)</f>
        <v/>
      </c>
      <c r="AE717" s="55">
        <f>IF(OR(AC717="",N(R717)=0),"",L717/R717)</f>
        <v/>
      </c>
      <c r="AF717" s="100">
        <f>IF(OR(N(K717)=0,N(J717)+N(Q717)=0),"",K717-IF(N(J717)&gt;0,J717,Q717))</f>
        <v/>
      </c>
      <c r="AG717" s="99">
        <f>IF(B717="","",IFERROR(AVERAGEIFS('QUALITY CONTROL'!$M$5:$M$304,'QUALITY CONTROL'!$B$5:$B$304,A717),""))</f>
        <v/>
      </c>
      <c r="AH717" s="51">
        <f>IF(B717="","",DATE(YEAR(B717),MONTH(B717),1))</f>
        <v/>
      </c>
      <c r="AI717" s="49">
        <f>IF(D717="","",IFERROR(INDEX('CUSTOMERS'!$E$5:$E$404,MATCH(D717,'CUSTOMERS'!$B$5:$B$404,0)),""))</f>
        <v/>
      </c>
      <c r="AJ717" s="49">
        <f>IF(B717="","",N(C717))</f>
        <v/>
      </c>
      <c r="AK717" s="49">
        <f>IF(OR(B717="",O717="Cancelled",O717="Rescheduled"),"",B717&amp;"|"&amp;(COUNTIFS('JOBS'!$B$5:$B$1504,B717,'JOBS'!$AJ$5:$AJ$1504,"&lt;"&amp;AJ717,'JOBS'!$O$5:$O$1504,"&lt;&gt;Cancelled",'JOBS'!$O$5:$O$1504,"&lt;&gt;Rescheduled")+COUNTIFS($B$5:B717,B717,$AJ$5:AJ717,AJ717,$O$5:O717,"&lt;&gt;Cancelled",$O$5:O717,"&lt;&gt;Rescheduled")))</f>
        <v/>
      </c>
      <c r="AL717" s="49">
        <f>IF(N(U717)&lt;=0.005,"",COUNTIFS('JOBS'!$U$5:$U$1504,"&gt;0.005",'JOBS'!$B$5:$B$1504,"&lt;"&amp;B717)+COUNTIFS($U$5:U717,"&gt;0.005",$B$5:B717,B717))</f>
        <v/>
      </c>
    </row>
    <row r="718">
      <c r="A718" s="46" t="inlineStr">
        <is>
          <t>J-0714</t>
        </is>
      </c>
      <c r="B718" s="47" t="n"/>
      <c r="C718" s="94" t="n"/>
      <c r="D718" s="38" t="n"/>
      <c r="E718" s="38" t="n"/>
      <c r="F718" s="38" t="n"/>
      <c r="G718" s="38" t="n"/>
      <c r="H718" s="38" t="n"/>
      <c r="I718" s="57" t="n"/>
      <c r="J718" s="95" t="n"/>
      <c r="K718" s="95" t="n"/>
      <c r="L718" s="48" t="n"/>
      <c r="M718" s="96" t="n"/>
      <c r="N718" s="48" t="n"/>
      <c r="O718" s="38" t="n"/>
      <c r="P718" s="38" t="n"/>
      <c r="Q718" s="97">
        <f>IF(OR(F718="",E718=""),"",IFERROR(IF(INDEX('PROPERTIES'!$F$5:$F$404,MATCH(E718,'PROPERTIES'!$B$5:$B$404,0))=0,"",ROUND((INDEX('PROPERTIES'!$F$5:$F$404,MATCH(E718,'PROPERTIES'!$B$5:$B$404,0))/INDEX('PRICING'!$C$7:$C$16,MATCH(F718,'PRICING'!$A$7:$A$16,0))+INDEX('PROPERTIES'!$G$5:$G$404,MATCH(E718,'PROPERTIES'!$B$5:$B$404,0))*INDEX('PRICING'!$D$7:$D$16,MATCH(F718,'PRICING'!$A$7:$A$16,0))/60+INDEX('PROPERTIES'!$H$5:$H$404,MATCH(E718,'PROPERTIES'!$B$5:$B$404,0))*INDEX('PRICING'!$E$7:$E$16,MATCH(F718,'PRICING'!$A$7:$A$16,0))/60+INDEX('PRICING'!$F$7:$F$16,MATCH(F718,'PRICING'!$A$7:$A$16,0))/60),2)),""))</f>
        <v/>
      </c>
      <c r="R718" s="97">
        <f>IF(B718="","",IF(N(K718)&gt;0,K718,IF(N(J718)&gt;0,J718,N(Q718))))</f>
        <v/>
      </c>
      <c r="S718" s="55">
        <f>IF(L718="","",ROUND(L718*(1+N(M718)),2))</f>
        <v/>
      </c>
      <c r="T718" s="55">
        <f>IF(B718="","",SUMIFS('REVENUE'!$C$5:$C$1504,'REVENUE'!$B$5:$B$1504,A718))</f>
        <v/>
      </c>
      <c r="U718" s="55">
        <f>IF(B718="","",IF(O718="Completed",MAX(0,N(S718)-T718),""))</f>
        <v/>
      </c>
      <c r="V718" s="49">
        <f>IF(B718="","",IF(O718&lt;&gt;"Completed",IF(T718&gt;0,"Deposit","—"),IF(U718&lt;=0.005,"Paid",IF(T718&gt;0,"Partial","Unpaid"))))</f>
        <v/>
      </c>
      <c r="W718" s="55">
        <f>IF(B718="","",IFERROR(1/(1/INDEX('STAFF &amp; TASKS'!$C$5:$C$24,MATCH(H718,'STAFF &amp; TASKS'!$A$5:$A$24,0))),PayRate))</f>
        <v/>
      </c>
      <c r="X718" s="55">
        <f>IF(B718="","",IF(OR(O718="Cancelled",O718="No-Show"),"",ROUND(R718*W718*(1+Burden),2)))</f>
        <v/>
      </c>
      <c r="Y718" s="55">
        <f>IF(B718="","",IF(OR(O718="Cancelled",O718="No-Show"),"",IF(N718&lt;&gt;"",N718,ROUND(R718*SupHr*IFERROR(INDEX('PRICING'!$G$7:$G$16,MATCH(F718,'PRICING'!$A$7:$A$16,0)),1),2))))</f>
        <v/>
      </c>
      <c r="Z718" s="98">
        <f>IF(B718="","",SUMIFS('MILEAGE'!$J$5:$J$1504,'MILEAGE'!$B$5:$B$1504,A718))</f>
        <v/>
      </c>
      <c r="AA718" s="55">
        <f>IF(B718="","",ROUND(Z718*MileRate,2))</f>
        <v/>
      </c>
      <c r="AB718" s="55">
        <f>IF(B718="","",SUMIFS('REVENUE'!$J$5:$J$1504,'REVENUE'!$B$5:$B$1504,A718))</f>
        <v/>
      </c>
      <c r="AC718" s="55">
        <f>IF(L718="","",IF(OR(O718="Cancelled",O718="No-Show"),"",L718-N(X718)-N(Y718)-AA718-AB718))</f>
        <v/>
      </c>
      <c r="AD718" s="99">
        <f>IF(OR(AC718="",N(L718)=0),"",AC718/L718)</f>
        <v/>
      </c>
      <c r="AE718" s="55">
        <f>IF(OR(AC718="",N(R718)=0),"",L718/R718)</f>
        <v/>
      </c>
      <c r="AF718" s="100">
        <f>IF(OR(N(K718)=0,N(J718)+N(Q718)=0),"",K718-IF(N(J718)&gt;0,J718,Q718))</f>
        <v/>
      </c>
      <c r="AG718" s="99">
        <f>IF(B718="","",IFERROR(AVERAGEIFS('QUALITY CONTROL'!$M$5:$M$304,'QUALITY CONTROL'!$B$5:$B$304,A718),""))</f>
        <v/>
      </c>
      <c r="AH718" s="51">
        <f>IF(B718="","",DATE(YEAR(B718),MONTH(B718),1))</f>
        <v/>
      </c>
      <c r="AI718" s="49">
        <f>IF(D718="","",IFERROR(INDEX('CUSTOMERS'!$E$5:$E$404,MATCH(D718,'CUSTOMERS'!$B$5:$B$404,0)),""))</f>
        <v/>
      </c>
      <c r="AJ718" s="49">
        <f>IF(B718="","",N(C718))</f>
        <v/>
      </c>
      <c r="AK718" s="49">
        <f>IF(OR(B718="",O718="Cancelled",O718="Rescheduled"),"",B718&amp;"|"&amp;(COUNTIFS('JOBS'!$B$5:$B$1504,B718,'JOBS'!$AJ$5:$AJ$1504,"&lt;"&amp;AJ718,'JOBS'!$O$5:$O$1504,"&lt;&gt;Cancelled",'JOBS'!$O$5:$O$1504,"&lt;&gt;Rescheduled")+COUNTIFS($B$5:B718,B718,$AJ$5:AJ718,AJ718,$O$5:O718,"&lt;&gt;Cancelled",$O$5:O718,"&lt;&gt;Rescheduled")))</f>
        <v/>
      </c>
      <c r="AL718" s="49">
        <f>IF(N(U718)&lt;=0.005,"",COUNTIFS('JOBS'!$U$5:$U$1504,"&gt;0.005",'JOBS'!$B$5:$B$1504,"&lt;"&amp;B718)+COUNTIFS($U$5:U718,"&gt;0.005",$B$5:B718,B718))</f>
        <v/>
      </c>
    </row>
    <row r="719">
      <c r="A719" s="46" t="inlineStr">
        <is>
          <t>J-0715</t>
        </is>
      </c>
      <c r="B719" s="47" t="n"/>
      <c r="C719" s="94" t="n"/>
      <c r="D719" s="38" t="n"/>
      <c r="E719" s="38" t="n"/>
      <c r="F719" s="38" t="n"/>
      <c r="G719" s="38" t="n"/>
      <c r="H719" s="38" t="n"/>
      <c r="I719" s="57" t="n"/>
      <c r="J719" s="95" t="n"/>
      <c r="K719" s="95" t="n"/>
      <c r="L719" s="48" t="n"/>
      <c r="M719" s="96" t="n"/>
      <c r="N719" s="48" t="n"/>
      <c r="O719" s="38" t="n"/>
      <c r="P719" s="38" t="n"/>
      <c r="Q719" s="97">
        <f>IF(OR(F719="",E719=""),"",IFERROR(IF(INDEX('PROPERTIES'!$F$5:$F$404,MATCH(E719,'PROPERTIES'!$B$5:$B$404,0))=0,"",ROUND((INDEX('PROPERTIES'!$F$5:$F$404,MATCH(E719,'PROPERTIES'!$B$5:$B$404,0))/INDEX('PRICING'!$C$7:$C$16,MATCH(F719,'PRICING'!$A$7:$A$16,0))+INDEX('PROPERTIES'!$G$5:$G$404,MATCH(E719,'PROPERTIES'!$B$5:$B$404,0))*INDEX('PRICING'!$D$7:$D$16,MATCH(F719,'PRICING'!$A$7:$A$16,0))/60+INDEX('PROPERTIES'!$H$5:$H$404,MATCH(E719,'PROPERTIES'!$B$5:$B$404,0))*INDEX('PRICING'!$E$7:$E$16,MATCH(F719,'PRICING'!$A$7:$A$16,0))/60+INDEX('PRICING'!$F$7:$F$16,MATCH(F719,'PRICING'!$A$7:$A$16,0))/60),2)),""))</f>
        <v/>
      </c>
      <c r="R719" s="97">
        <f>IF(B719="","",IF(N(K719)&gt;0,K719,IF(N(J719)&gt;0,J719,N(Q719))))</f>
        <v/>
      </c>
      <c r="S719" s="55">
        <f>IF(L719="","",ROUND(L719*(1+N(M719)),2))</f>
        <v/>
      </c>
      <c r="T719" s="55">
        <f>IF(B719="","",SUMIFS('REVENUE'!$C$5:$C$1504,'REVENUE'!$B$5:$B$1504,A719))</f>
        <v/>
      </c>
      <c r="U719" s="55">
        <f>IF(B719="","",IF(O719="Completed",MAX(0,N(S719)-T719),""))</f>
        <v/>
      </c>
      <c r="V719" s="49">
        <f>IF(B719="","",IF(O719&lt;&gt;"Completed",IF(T719&gt;0,"Deposit","—"),IF(U719&lt;=0.005,"Paid",IF(T719&gt;0,"Partial","Unpaid"))))</f>
        <v/>
      </c>
      <c r="W719" s="55">
        <f>IF(B719="","",IFERROR(1/(1/INDEX('STAFF &amp; TASKS'!$C$5:$C$24,MATCH(H719,'STAFF &amp; TASKS'!$A$5:$A$24,0))),PayRate))</f>
        <v/>
      </c>
      <c r="X719" s="55">
        <f>IF(B719="","",IF(OR(O719="Cancelled",O719="No-Show"),"",ROUND(R719*W719*(1+Burden),2)))</f>
        <v/>
      </c>
      <c r="Y719" s="55">
        <f>IF(B719="","",IF(OR(O719="Cancelled",O719="No-Show"),"",IF(N719&lt;&gt;"",N719,ROUND(R719*SupHr*IFERROR(INDEX('PRICING'!$G$7:$G$16,MATCH(F719,'PRICING'!$A$7:$A$16,0)),1),2))))</f>
        <v/>
      </c>
      <c r="Z719" s="98">
        <f>IF(B719="","",SUMIFS('MILEAGE'!$J$5:$J$1504,'MILEAGE'!$B$5:$B$1504,A719))</f>
        <v/>
      </c>
      <c r="AA719" s="55">
        <f>IF(B719="","",ROUND(Z719*MileRate,2))</f>
        <v/>
      </c>
      <c r="AB719" s="55">
        <f>IF(B719="","",SUMIFS('REVENUE'!$J$5:$J$1504,'REVENUE'!$B$5:$B$1504,A719))</f>
        <v/>
      </c>
      <c r="AC719" s="55">
        <f>IF(L719="","",IF(OR(O719="Cancelled",O719="No-Show"),"",L719-N(X719)-N(Y719)-AA719-AB719))</f>
        <v/>
      </c>
      <c r="AD719" s="99">
        <f>IF(OR(AC719="",N(L719)=0),"",AC719/L719)</f>
        <v/>
      </c>
      <c r="AE719" s="55">
        <f>IF(OR(AC719="",N(R719)=0),"",L719/R719)</f>
        <v/>
      </c>
      <c r="AF719" s="100">
        <f>IF(OR(N(K719)=0,N(J719)+N(Q719)=0),"",K719-IF(N(J719)&gt;0,J719,Q719))</f>
        <v/>
      </c>
      <c r="AG719" s="99">
        <f>IF(B719="","",IFERROR(AVERAGEIFS('QUALITY CONTROL'!$M$5:$M$304,'QUALITY CONTROL'!$B$5:$B$304,A719),""))</f>
        <v/>
      </c>
      <c r="AH719" s="51">
        <f>IF(B719="","",DATE(YEAR(B719),MONTH(B719),1))</f>
        <v/>
      </c>
      <c r="AI719" s="49">
        <f>IF(D719="","",IFERROR(INDEX('CUSTOMERS'!$E$5:$E$404,MATCH(D719,'CUSTOMERS'!$B$5:$B$404,0)),""))</f>
        <v/>
      </c>
      <c r="AJ719" s="49">
        <f>IF(B719="","",N(C719))</f>
        <v/>
      </c>
      <c r="AK719" s="49">
        <f>IF(OR(B719="",O719="Cancelled",O719="Rescheduled"),"",B719&amp;"|"&amp;(COUNTIFS('JOBS'!$B$5:$B$1504,B719,'JOBS'!$AJ$5:$AJ$1504,"&lt;"&amp;AJ719,'JOBS'!$O$5:$O$1504,"&lt;&gt;Cancelled",'JOBS'!$O$5:$O$1504,"&lt;&gt;Rescheduled")+COUNTIFS($B$5:B719,B719,$AJ$5:AJ719,AJ719,$O$5:O719,"&lt;&gt;Cancelled",$O$5:O719,"&lt;&gt;Rescheduled")))</f>
        <v/>
      </c>
      <c r="AL719" s="49">
        <f>IF(N(U719)&lt;=0.005,"",COUNTIFS('JOBS'!$U$5:$U$1504,"&gt;0.005",'JOBS'!$B$5:$B$1504,"&lt;"&amp;B719)+COUNTIFS($U$5:U719,"&gt;0.005",$B$5:B719,B719))</f>
        <v/>
      </c>
    </row>
    <row r="720">
      <c r="A720" s="46" t="inlineStr">
        <is>
          <t>J-0716</t>
        </is>
      </c>
      <c r="B720" s="47" t="n"/>
      <c r="C720" s="94" t="n"/>
      <c r="D720" s="38" t="n"/>
      <c r="E720" s="38" t="n"/>
      <c r="F720" s="38" t="n"/>
      <c r="G720" s="38" t="n"/>
      <c r="H720" s="38" t="n"/>
      <c r="I720" s="57" t="n"/>
      <c r="J720" s="95" t="n"/>
      <c r="K720" s="95" t="n"/>
      <c r="L720" s="48" t="n"/>
      <c r="M720" s="96" t="n"/>
      <c r="N720" s="48" t="n"/>
      <c r="O720" s="38" t="n"/>
      <c r="P720" s="38" t="n"/>
      <c r="Q720" s="97">
        <f>IF(OR(F720="",E720=""),"",IFERROR(IF(INDEX('PROPERTIES'!$F$5:$F$404,MATCH(E720,'PROPERTIES'!$B$5:$B$404,0))=0,"",ROUND((INDEX('PROPERTIES'!$F$5:$F$404,MATCH(E720,'PROPERTIES'!$B$5:$B$404,0))/INDEX('PRICING'!$C$7:$C$16,MATCH(F720,'PRICING'!$A$7:$A$16,0))+INDEX('PROPERTIES'!$G$5:$G$404,MATCH(E720,'PROPERTIES'!$B$5:$B$404,0))*INDEX('PRICING'!$D$7:$D$16,MATCH(F720,'PRICING'!$A$7:$A$16,0))/60+INDEX('PROPERTIES'!$H$5:$H$404,MATCH(E720,'PROPERTIES'!$B$5:$B$404,0))*INDEX('PRICING'!$E$7:$E$16,MATCH(F720,'PRICING'!$A$7:$A$16,0))/60+INDEX('PRICING'!$F$7:$F$16,MATCH(F720,'PRICING'!$A$7:$A$16,0))/60),2)),""))</f>
        <v/>
      </c>
      <c r="R720" s="97">
        <f>IF(B720="","",IF(N(K720)&gt;0,K720,IF(N(J720)&gt;0,J720,N(Q720))))</f>
        <v/>
      </c>
      <c r="S720" s="55">
        <f>IF(L720="","",ROUND(L720*(1+N(M720)),2))</f>
        <v/>
      </c>
      <c r="T720" s="55">
        <f>IF(B720="","",SUMIFS('REVENUE'!$C$5:$C$1504,'REVENUE'!$B$5:$B$1504,A720))</f>
        <v/>
      </c>
      <c r="U720" s="55">
        <f>IF(B720="","",IF(O720="Completed",MAX(0,N(S720)-T720),""))</f>
        <v/>
      </c>
      <c r="V720" s="49">
        <f>IF(B720="","",IF(O720&lt;&gt;"Completed",IF(T720&gt;0,"Deposit","—"),IF(U720&lt;=0.005,"Paid",IF(T720&gt;0,"Partial","Unpaid"))))</f>
        <v/>
      </c>
      <c r="W720" s="55">
        <f>IF(B720="","",IFERROR(1/(1/INDEX('STAFF &amp; TASKS'!$C$5:$C$24,MATCH(H720,'STAFF &amp; TASKS'!$A$5:$A$24,0))),PayRate))</f>
        <v/>
      </c>
      <c r="X720" s="55">
        <f>IF(B720="","",IF(OR(O720="Cancelled",O720="No-Show"),"",ROUND(R720*W720*(1+Burden),2)))</f>
        <v/>
      </c>
      <c r="Y720" s="55">
        <f>IF(B720="","",IF(OR(O720="Cancelled",O720="No-Show"),"",IF(N720&lt;&gt;"",N720,ROUND(R720*SupHr*IFERROR(INDEX('PRICING'!$G$7:$G$16,MATCH(F720,'PRICING'!$A$7:$A$16,0)),1),2))))</f>
        <v/>
      </c>
      <c r="Z720" s="98">
        <f>IF(B720="","",SUMIFS('MILEAGE'!$J$5:$J$1504,'MILEAGE'!$B$5:$B$1504,A720))</f>
        <v/>
      </c>
      <c r="AA720" s="55">
        <f>IF(B720="","",ROUND(Z720*MileRate,2))</f>
        <v/>
      </c>
      <c r="AB720" s="55">
        <f>IF(B720="","",SUMIFS('REVENUE'!$J$5:$J$1504,'REVENUE'!$B$5:$B$1504,A720))</f>
        <v/>
      </c>
      <c r="AC720" s="55">
        <f>IF(L720="","",IF(OR(O720="Cancelled",O720="No-Show"),"",L720-N(X720)-N(Y720)-AA720-AB720))</f>
        <v/>
      </c>
      <c r="AD720" s="99">
        <f>IF(OR(AC720="",N(L720)=0),"",AC720/L720)</f>
        <v/>
      </c>
      <c r="AE720" s="55">
        <f>IF(OR(AC720="",N(R720)=0),"",L720/R720)</f>
        <v/>
      </c>
      <c r="AF720" s="100">
        <f>IF(OR(N(K720)=0,N(J720)+N(Q720)=0),"",K720-IF(N(J720)&gt;0,J720,Q720))</f>
        <v/>
      </c>
      <c r="AG720" s="99">
        <f>IF(B720="","",IFERROR(AVERAGEIFS('QUALITY CONTROL'!$M$5:$M$304,'QUALITY CONTROL'!$B$5:$B$304,A720),""))</f>
        <v/>
      </c>
      <c r="AH720" s="51">
        <f>IF(B720="","",DATE(YEAR(B720),MONTH(B720),1))</f>
        <v/>
      </c>
      <c r="AI720" s="49">
        <f>IF(D720="","",IFERROR(INDEX('CUSTOMERS'!$E$5:$E$404,MATCH(D720,'CUSTOMERS'!$B$5:$B$404,0)),""))</f>
        <v/>
      </c>
      <c r="AJ720" s="49">
        <f>IF(B720="","",N(C720))</f>
        <v/>
      </c>
      <c r="AK720" s="49">
        <f>IF(OR(B720="",O720="Cancelled",O720="Rescheduled"),"",B720&amp;"|"&amp;(COUNTIFS('JOBS'!$B$5:$B$1504,B720,'JOBS'!$AJ$5:$AJ$1504,"&lt;"&amp;AJ720,'JOBS'!$O$5:$O$1504,"&lt;&gt;Cancelled",'JOBS'!$O$5:$O$1504,"&lt;&gt;Rescheduled")+COUNTIFS($B$5:B720,B720,$AJ$5:AJ720,AJ720,$O$5:O720,"&lt;&gt;Cancelled",$O$5:O720,"&lt;&gt;Rescheduled")))</f>
        <v/>
      </c>
      <c r="AL720" s="49">
        <f>IF(N(U720)&lt;=0.005,"",COUNTIFS('JOBS'!$U$5:$U$1504,"&gt;0.005",'JOBS'!$B$5:$B$1504,"&lt;"&amp;B720)+COUNTIFS($U$5:U720,"&gt;0.005",$B$5:B720,B720))</f>
        <v/>
      </c>
    </row>
    <row r="721">
      <c r="A721" s="46" t="inlineStr">
        <is>
          <t>J-0717</t>
        </is>
      </c>
      <c r="B721" s="47" t="n"/>
      <c r="C721" s="94" t="n"/>
      <c r="D721" s="38" t="n"/>
      <c r="E721" s="38" t="n"/>
      <c r="F721" s="38" t="n"/>
      <c r="G721" s="38" t="n"/>
      <c r="H721" s="38" t="n"/>
      <c r="I721" s="57" t="n"/>
      <c r="J721" s="95" t="n"/>
      <c r="K721" s="95" t="n"/>
      <c r="L721" s="48" t="n"/>
      <c r="M721" s="96" t="n"/>
      <c r="N721" s="48" t="n"/>
      <c r="O721" s="38" t="n"/>
      <c r="P721" s="38" t="n"/>
      <c r="Q721" s="97">
        <f>IF(OR(F721="",E721=""),"",IFERROR(IF(INDEX('PROPERTIES'!$F$5:$F$404,MATCH(E721,'PROPERTIES'!$B$5:$B$404,0))=0,"",ROUND((INDEX('PROPERTIES'!$F$5:$F$404,MATCH(E721,'PROPERTIES'!$B$5:$B$404,0))/INDEX('PRICING'!$C$7:$C$16,MATCH(F721,'PRICING'!$A$7:$A$16,0))+INDEX('PROPERTIES'!$G$5:$G$404,MATCH(E721,'PROPERTIES'!$B$5:$B$404,0))*INDEX('PRICING'!$D$7:$D$16,MATCH(F721,'PRICING'!$A$7:$A$16,0))/60+INDEX('PROPERTIES'!$H$5:$H$404,MATCH(E721,'PROPERTIES'!$B$5:$B$404,0))*INDEX('PRICING'!$E$7:$E$16,MATCH(F721,'PRICING'!$A$7:$A$16,0))/60+INDEX('PRICING'!$F$7:$F$16,MATCH(F721,'PRICING'!$A$7:$A$16,0))/60),2)),""))</f>
        <v/>
      </c>
      <c r="R721" s="97">
        <f>IF(B721="","",IF(N(K721)&gt;0,K721,IF(N(J721)&gt;0,J721,N(Q721))))</f>
        <v/>
      </c>
      <c r="S721" s="55">
        <f>IF(L721="","",ROUND(L721*(1+N(M721)),2))</f>
        <v/>
      </c>
      <c r="T721" s="55">
        <f>IF(B721="","",SUMIFS('REVENUE'!$C$5:$C$1504,'REVENUE'!$B$5:$B$1504,A721))</f>
        <v/>
      </c>
      <c r="U721" s="55">
        <f>IF(B721="","",IF(O721="Completed",MAX(0,N(S721)-T721),""))</f>
        <v/>
      </c>
      <c r="V721" s="49">
        <f>IF(B721="","",IF(O721&lt;&gt;"Completed",IF(T721&gt;0,"Deposit","—"),IF(U721&lt;=0.005,"Paid",IF(T721&gt;0,"Partial","Unpaid"))))</f>
        <v/>
      </c>
      <c r="W721" s="55">
        <f>IF(B721="","",IFERROR(1/(1/INDEX('STAFF &amp; TASKS'!$C$5:$C$24,MATCH(H721,'STAFF &amp; TASKS'!$A$5:$A$24,0))),PayRate))</f>
        <v/>
      </c>
      <c r="X721" s="55">
        <f>IF(B721="","",IF(OR(O721="Cancelled",O721="No-Show"),"",ROUND(R721*W721*(1+Burden),2)))</f>
        <v/>
      </c>
      <c r="Y721" s="55">
        <f>IF(B721="","",IF(OR(O721="Cancelled",O721="No-Show"),"",IF(N721&lt;&gt;"",N721,ROUND(R721*SupHr*IFERROR(INDEX('PRICING'!$G$7:$G$16,MATCH(F721,'PRICING'!$A$7:$A$16,0)),1),2))))</f>
        <v/>
      </c>
      <c r="Z721" s="98">
        <f>IF(B721="","",SUMIFS('MILEAGE'!$J$5:$J$1504,'MILEAGE'!$B$5:$B$1504,A721))</f>
        <v/>
      </c>
      <c r="AA721" s="55">
        <f>IF(B721="","",ROUND(Z721*MileRate,2))</f>
        <v/>
      </c>
      <c r="AB721" s="55">
        <f>IF(B721="","",SUMIFS('REVENUE'!$J$5:$J$1504,'REVENUE'!$B$5:$B$1504,A721))</f>
        <v/>
      </c>
      <c r="AC721" s="55">
        <f>IF(L721="","",IF(OR(O721="Cancelled",O721="No-Show"),"",L721-N(X721)-N(Y721)-AA721-AB721))</f>
        <v/>
      </c>
      <c r="AD721" s="99">
        <f>IF(OR(AC721="",N(L721)=0),"",AC721/L721)</f>
        <v/>
      </c>
      <c r="AE721" s="55">
        <f>IF(OR(AC721="",N(R721)=0),"",L721/R721)</f>
        <v/>
      </c>
      <c r="AF721" s="100">
        <f>IF(OR(N(K721)=0,N(J721)+N(Q721)=0),"",K721-IF(N(J721)&gt;0,J721,Q721))</f>
        <v/>
      </c>
      <c r="AG721" s="99">
        <f>IF(B721="","",IFERROR(AVERAGEIFS('QUALITY CONTROL'!$M$5:$M$304,'QUALITY CONTROL'!$B$5:$B$304,A721),""))</f>
        <v/>
      </c>
      <c r="AH721" s="51">
        <f>IF(B721="","",DATE(YEAR(B721),MONTH(B721),1))</f>
        <v/>
      </c>
      <c r="AI721" s="49">
        <f>IF(D721="","",IFERROR(INDEX('CUSTOMERS'!$E$5:$E$404,MATCH(D721,'CUSTOMERS'!$B$5:$B$404,0)),""))</f>
        <v/>
      </c>
      <c r="AJ721" s="49">
        <f>IF(B721="","",N(C721))</f>
        <v/>
      </c>
      <c r="AK721" s="49">
        <f>IF(OR(B721="",O721="Cancelled",O721="Rescheduled"),"",B721&amp;"|"&amp;(COUNTIFS('JOBS'!$B$5:$B$1504,B721,'JOBS'!$AJ$5:$AJ$1504,"&lt;"&amp;AJ721,'JOBS'!$O$5:$O$1504,"&lt;&gt;Cancelled",'JOBS'!$O$5:$O$1504,"&lt;&gt;Rescheduled")+COUNTIFS($B$5:B721,B721,$AJ$5:AJ721,AJ721,$O$5:O721,"&lt;&gt;Cancelled",$O$5:O721,"&lt;&gt;Rescheduled")))</f>
        <v/>
      </c>
      <c r="AL721" s="49">
        <f>IF(N(U721)&lt;=0.005,"",COUNTIFS('JOBS'!$U$5:$U$1504,"&gt;0.005",'JOBS'!$B$5:$B$1504,"&lt;"&amp;B721)+COUNTIFS($U$5:U721,"&gt;0.005",$B$5:B721,B721))</f>
        <v/>
      </c>
    </row>
    <row r="722">
      <c r="A722" s="46" t="inlineStr">
        <is>
          <t>J-0718</t>
        </is>
      </c>
      <c r="B722" s="47" t="n"/>
      <c r="C722" s="94" t="n"/>
      <c r="D722" s="38" t="n"/>
      <c r="E722" s="38" t="n"/>
      <c r="F722" s="38" t="n"/>
      <c r="G722" s="38" t="n"/>
      <c r="H722" s="38" t="n"/>
      <c r="I722" s="57" t="n"/>
      <c r="J722" s="95" t="n"/>
      <c r="K722" s="95" t="n"/>
      <c r="L722" s="48" t="n"/>
      <c r="M722" s="96" t="n"/>
      <c r="N722" s="48" t="n"/>
      <c r="O722" s="38" t="n"/>
      <c r="P722" s="38" t="n"/>
      <c r="Q722" s="97">
        <f>IF(OR(F722="",E722=""),"",IFERROR(IF(INDEX('PROPERTIES'!$F$5:$F$404,MATCH(E722,'PROPERTIES'!$B$5:$B$404,0))=0,"",ROUND((INDEX('PROPERTIES'!$F$5:$F$404,MATCH(E722,'PROPERTIES'!$B$5:$B$404,0))/INDEX('PRICING'!$C$7:$C$16,MATCH(F722,'PRICING'!$A$7:$A$16,0))+INDEX('PROPERTIES'!$G$5:$G$404,MATCH(E722,'PROPERTIES'!$B$5:$B$404,0))*INDEX('PRICING'!$D$7:$D$16,MATCH(F722,'PRICING'!$A$7:$A$16,0))/60+INDEX('PROPERTIES'!$H$5:$H$404,MATCH(E722,'PROPERTIES'!$B$5:$B$404,0))*INDEX('PRICING'!$E$7:$E$16,MATCH(F722,'PRICING'!$A$7:$A$16,0))/60+INDEX('PRICING'!$F$7:$F$16,MATCH(F722,'PRICING'!$A$7:$A$16,0))/60),2)),""))</f>
        <v/>
      </c>
      <c r="R722" s="97">
        <f>IF(B722="","",IF(N(K722)&gt;0,K722,IF(N(J722)&gt;0,J722,N(Q722))))</f>
        <v/>
      </c>
      <c r="S722" s="55">
        <f>IF(L722="","",ROUND(L722*(1+N(M722)),2))</f>
        <v/>
      </c>
      <c r="T722" s="55">
        <f>IF(B722="","",SUMIFS('REVENUE'!$C$5:$C$1504,'REVENUE'!$B$5:$B$1504,A722))</f>
        <v/>
      </c>
      <c r="U722" s="55">
        <f>IF(B722="","",IF(O722="Completed",MAX(0,N(S722)-T722),""))</f>
        <v/>
      </c>
      <c r="V722" s="49">
        <f>IF(B722="","",IF(O722&lt;&gt;"Completed",IF(T722&gt;0,"Deposit","—"),IF(U722&lt;=0.005,"Paid",IF(T722&gt;0,"Partial","Unpaid"))))</f>
        <v/>
      </c>
      <c r="W722" s="55">
        <f>IF(B722="","",IFERROR(1/(1/INDEX('STAFF &amp; TASKS'!$C$5:$C$24,MATCH(H722,'STAFF &amp; TASKS'!$A$5:$A$24,0))),PayRate))</f>
        <v/>
      </c>
      <c r="X722" s="55">
        <f>IF(B722="","",IF(OR(O722="Cancelled",O722="No-Show"),"",ROUND(R722*W722*(1+Burden),2)))</f>
        <v/>
      </c>
      <c r="Y722" s="55">
        <f>IF(B722="","",IF(OR(O722="Cancelled",O722="No-Show"),"",IF(N722&lt;&gt;"",N722,ROUND(R722*SupHr*IFERROR(INDEX('PRICING'!$G$7:$G$16,MATCH(F722,'PRICING'!$A$7:$A$16,0)),1),2))))</f>
        <v/>
      </c>
      <c r="Z722" s="98">
        <f>IF(B722="","",SUMIFS('MILEAGE'!$J$5:$J$1504,'MILEAGE'!$B$5:$B$1504,A722))</f>
        <v/>
      </c>
      <c r="AA722" s="55">
        <f>IF(B722="","",ROUND(Z722*MileRate,2))</f>
        <v/>
      </c>
      <c r="AB722" s="55">
        <f>IF(B722="","",SUMIFS('REVENUE'!$J$5:$J$1504,'REVENUE'!$B$5:$B$1504,A722))</f>
        <v/>
      </c>
      <c r="AC722" s="55">
        <f>IF(L722="","",IF(OR(O722="Cancelled",O722="No-Show"),"",L722-N(X722)-N(Y722)-AA722-AB722))</f>
        <v/>
      </c>
      <c r="AD722" s="99">
        <f>IF(OR(AC722="",N(L722)=0),"",AC722/L722)</f>
        <v/>
      </c>
      <c r="AE722" s="55">
        <f>IF(OR(AC722="",N(R722)=0),"",L722/R722)</f>
        <v/>
      </c>
      <c r="AF722" s="100">
        <f>IF(OR(N(K722)=0,N(J722)+N(Q722)=0),"",K722-IF(N(J722)&gt;0,J722,Q722))</f>
        <v/>
      </c>
      <c r="AG722" s="99">
        <f>IF(B722="","",IFERROR(AVERAGEIFS('QUALITY CONTROL'!$M$5:$M$304,'QUALITY CONTROL'!$B$5:$B$304,A722),""))</f>
        <v/>
      </c>
      <c r="AH722" s="51">
        <f>IF(B722="","",DATE(YEAR(B722),MONTH(B722),1))</f>
        <v/>
      </c>
      <c r="AI722" s="49">
        <f>IF(D722="","",IFERROR(INDEX('CUSTOMERS'!$E$5:$E$404,MATCH(D722,'CUSTOMERS'!$B$5:$B$404,0)),""))</f>
        <v/>
      </c>
      <c r="AJ722" s="49">
        <f>IF(B722="","",N(C722))</f>
        <v/>
      </c>
      <c r="AK722" s="49">
        <f>IF(OR(B722="",O722="Cancelled",O722="Rescheduled"),"",B722&amp;"|"&amp;(COUNTIFS('JOBS'!$B$5:$B$1504,B722,'JOBS'!$AJ$5:$AJ$1504,"&lt;"&amp;AJ722,'JOBS'!$O$5:$O$1504,"&lt;&gt;Cancelled",'JOBS'!$O$5:$O$1504,"&lt;&gt;Rescheduled")+COUNTIFS($B$5:B722,B722,$AJ$5:AJ722,AJ722,$O$5:O722,"&lt;&gt;Cancelled",$O$5:O722,"&lt;&gt;Rescheduled")))</f>
        <v/>
      </c>
      <c r="AL722" s="49">
        <f>IF(N(U722)&lt;=0.005,"",COUNTIFS('JOBS'!$U$5:$U$1504,"&gt;0.005",'JOBS'!$B$5:$B$1504,"&lt;"&amp;B722)+COUNTIFS($U$5:U722,"&gt;0.005",$B$5:B722,B722))</f>
        <v/>
      </c>
    </row>
    <row r="723">
      <c r="A723" s="46" t="inlineStr">
        <is>
          <t>J-0719</t>
        </is>
      </c>
      <c r="B723" s="47" t="n"/>
      <c r="C723" s="94" t="n"/>
      <c r="D723" s="38" t="n"/>
      <c r="E723" s="38" t="n"/>
      <c r="F723" s="38" t="n"/>
      <c r="G723" s="38" t="n"/>
      <c r="H723" s="38" t="n"/>
      <c r="I723" s="57" t="n"/>
      <c r="J723" s="95" t="n"/>
      <c r="K723" s="95" t="n"/>
      <c r="L723" s="48" t="n"/>
      <c r="M723" s="96" t="n"/>
      <c r="N723" s="48" t="n"/>
      <c r="O723" s="38" t="n"/>
      <c r="P723" s="38" t="n"/>
      <c r="Q723" s="97">
        <f>IF(OR(F723="",E723=""),"",IFERROR(IF(INDEX('PROPERTIES'!$F$5:$F$404,MATCH(E723,'PROPERTIES'!$B$5:$B$404,0))=0,"",ROUND((INDEX('PROPERTIES'!$F$5:$F$404,MATCH(E723,'PROPERTIES'!$B$5:$B$404,0))/INDEX('PRICING'!$C$7:$C$16,MATCH(F723,'PRICING'!$A$7:$A$16,0))+INDEX('PROPERTIES'!$G$5:$G$404,MATCH(E723,'PROPERTIES'!$B$5:$B$404,0))*INDEX('PRICING'!$D$7:$D$16,MATCH(F723,'PRICING'!$A$7:$A$16,0))/60+INDEX('PROPERTIES'!$H$5:$H$404,MATCH(E723,'PROPERTIES'!$B$5:$B$404,0))*INDEX('PRICING'!$E$7:$E$16,MATCH(F723,'PRICING'!$A$7:$A$16,0))/60+INDEX('PRICING'!$F$7:$F$16,MATCH(F723,'PRICING'!$A$7:$A$16,0))/60),2)),""))</f>
        <v/>
      </c>
      <c r="R723" s="97">
        <f>IF(B723="","",IF(N(K723)&gt;0,K723,IF(N(J723)&gt;0,J723,N(Q723))))</f>
        <v/>
      </c>
      <c r="S723" s="55">
        <f>IF(L723="","",ROUND(L723*(1+N(M723)),2))</f>
        <v/>
      </c>
      <c r="T723" s="55">
        <f>IF(B723="","",SUMIFS('REVENUE'!$C$5:$C$1504,'REVENUE'!$B$5:$B$1504,A723))</f>
        <v/>
      </c>
      <c r="U723" s="55">
        <f>IF(B723="","",IF(O723="Completed",MAX(0,N(S723)-T723),""))</f>
        <v/>
      </c>
      <c r="V723" s="49">
        <f>IF(B723="","",IF(O723&lt;&gt;"Completed",IF(T723&gt;0,"Deposit","—"),IF(U723&lt;=0.005,"Paid",IF(T723&gt;0,"Partial","Unpaid"))))</f>
        <v/>
      </c>
      <c r="W723" s="55">
        <f>IF(B723="","",IFERROR(1/(1/INDEX('STAFF &amp; TASKS'!$C$5:$C$24,MATCH(H723,'STAFF &amp; TASKS'!$A$5:$A$24,0))),PayRate))</f>
        <v/>
      </c>
      <c r="X723" s="55">
        <f>IF(B723="","",IF(OR(O723="Cancelled",O723="No-Show"),"",ROUND(R723*W723*(1+Burden),2)))</f>
        <v/>
      </c>
      <c r="Y723" s="55">
        <f>IF(B723="","",IF(OR(O723="Cancelled",O723="No-Show"),"",IF(N723&lt;&gt;"",N723,ROUND(R723*SupHr*IFERROR(INDEX('PRICING'!$G$7:$G$16,MATCH(F723,'PRICING'!$A$7:$A$16,0)),1),2))))</f>
        <v/>
      </c>
      <c r="Z723" s="98">
        <f>IF(B723="","",SUMIFS('MILEAGE'!$J$5:$J$1504,'MILEAGE'!$B$5:$B$1504,A723))</f>
        <v/>
      </c>
      <c r="AA723" s="55">
        <f>IF(B723="","",ROUND(Z723*MileRate,2))</f>
        <v/>
      </c>
      <c r="AB723" s="55">
        <f>IF(B723="","",SUMIFS('REVENUE'!$J$5:$J$1504,'REVENUE'!$B$5:$B$1504,A723))</f>
        <v/>
      </c>
      <c r="AC723" s="55">
        <f>IF(L723="","",IF(OR(O723="Cancelled",O723="No-Show"),"",L723-N(X723)-N(Y723)-AA723-AB723))</f>
        <v/>
      </c>
      <c r="AD723" s="99">
        <f>IF(OR(AC723="",N(L723)=0),"",AC723/L723)</f>
        <v/>
      </c>
      <c r="AE723" s="55">
        <f>IF(OR(AC723="",N(R723)=0),"",L723/R723)</f>
        <v/>
      </c>
      <c r="AF723" s="100">
        <f>IF(OR(N(K723)=0,N(J723)+N(Q723)=0),"",K723-IF(N(J723)&gt;0,J723,Q723))</f>
        <v/>
      </c>
      <c r="AG723" s="99">
        <f>IF(B723="","",IFERROR(AVERAGEIFS('QUALITY CONTROL'!$M$5:$M$304,'QUALITY CONTROL'!$B$5:$B$304,A723),""))</f>
        <v/>
      </c>
      <c r="AH723" s="51">
        <f>IF(B723="","",DATE(YEAR(B723),MONTH(B723),1))</f>
        <v/>
      </c>
      <c r="AI723" s="49">
        <f>IF(D723="","",IFERROR(INDEX('CUSTOMERS'!$E$5:$E$404,MATCH(D723,'CUSTOMERS'!$B$5:$B$404,0)),""))</f>
        <v/>
      </c>
      <c r="AJ723" s="49">
        <f>IF(B723="","",N(C723))</f>
        <v/>
      </c>
      <c r="AK723" s="49">
        <f>IF(OR(B723="",O723="Cancelled",O723="Rescheduled"),"",B723&amp;"|"&amp;(COUNTIFS('JOBS'!$B$5:$B$1504,B723,'JOBS'!$AJ$5:$AJ$1504,"&lt;"&amp;AJ723,'JOBS'!$O$5:$O$1504,"&lt;&gt;Cancelled",'JOBS'!$O$5:$O$1504,"&lt;&gt;Rescheduled")+COUNTIFS($B$5:B723,B723,$AJ$5:AJ723,AJ723,$O$5:O723,"&lt;&gt;Cancelled",$O$5:O723,"&lt;&gt;Rescheduled")))</f>
        <v/>
      </c>
      <c r="AL723" s="49">
        <f>IF(N(U723)&lt;=0.005,"",COUNTIFS('JOBS'!$U$5:$U$1504,"&gt;0.005",'JOBS'!$B$5:$B$1504,"&lt;"&amp;B723)+COUNTIFS($U$5:U723,"&gt;0.005",$B$5:B723,B723))</f>
        <v/>
      </c>
    </row>
    <row r="724">
      <c r="A724" s="46" t="inlineStr">
        <is>
          <t>J-0720</t>
        </is>
      </c>
      <c r="B724" s="47" t="n"/>
      <c r="C724" s="94" t="n"/>
      <c r="D724" s="38" t="n"/>
      <c r="E724" s="38" t="n"/>
      <c r="F724" s="38" t="n"/>
      <c r="G724" s="38" t="n"/>
      <c r="H724" s="38" t="n"/>
      <c r="I724" s="57" t="n"/>
      <c r="J724" s="95" t="n"/>
      <c r="K724" s="95" t="n"/>
      <c r="L724" s="48" t="n"/>
      <c r="M724" s="96" t="n"/>
      <c r="N724" s="48" t="n"/>
      <c r="O724" s="38" t="n"/>
      <c r="P724" s="38" t="n"/>
      <c r="Q724" s="97">
        <f>IF(OR(F724="",E724=""),"",IFERROR(IF(INDEX('PROPERTIES'!$F$5:$F$404,MATCH(E724,'PROPERTIES'!$B$5:$B$404,0))=0,"",ROUND((INDEX('PROPERTIES'!$F$5:$F$404,MATCH(E724,'PROPERTIES'!$B$5:$B$404,0))/INDEX('PRICING'!$C$7:$C$16,MATCH(F724,'PRICING'!$A$7:$A$16,0))+INDEX('PROPERTIES'!$G$5:$G$404,MATCH(E724,'PROPERTIES'!$B$5:$B$404,0))*INDEX('PRICING'!$D$7:$D$16,MATCH(F724,'PRICING'!$A$7:$A$16,0))/60+INDEX('PROPERTIES'!$H$5:$H$404,MATCH(E724,'PROPERTIES'!$B$5:$B$404,0))*INDEX('PRICING'!$E$7:$E$16,MATCH(F724,'PRICING'!$A$7:$A$16,0))/60+INDEX('PRICING'!$F$7:$F$16,MATCH(F724,'PRICING'!$A$7:$A$16,0))/60),2)),""))</f>
        <v/>
      </c>
      <c r="R724" s="97">
        <f>IF(B724="","",IF(N(K724)&gt;0,K724,IF(N(J724)&gt;0,J724,N(Q724))))</f>
        <v/>
      </c>
      <c r="S724" s="55">
        <f>IF(L724="","",ROUND(L724*(1+N(M724)),2))</f>
        <v/>
      </c>
      <c r="T724" s="55">
        <f>IF(B724="","",SUMIFS('REVENUE'!$C$5:$C$1504,'REVENUE'!$B$5:$B$1504,A724))</f>
        <v/>
      </c>
      <c r="U724" s="55">
        <f>IF(B724="","",IF(O724="Completed",MAX(0,N(S724)-T724),""))</f>
        <v/>
      </c>
      <c r="V724" s="49">
        <f>IF(B724="","",IF(O724&lt;&gt;"Completed",IF(T724&gt;0,"Deposit","—"),IF(U724&lt;=0.005,"Paid",IF(T724&gt;0,"Partial","Unpaid"))))</f>
        <v/>
      </c>
      <c r="W724" s="55">
        <f>IF(B724="","",IFERROR(1/(1/INDEX('STAFF &amp; TASKS'!$C$5:$C$24,MATCH(H724,'STAFF &amp; TASKS'!$A$5:$A$24,0))),PayRate))</f>
        <v/>
      </c>
      <c r="X724" s="55">
        <f>IF(B724="","",IF(OR(O724="Cancelled",O724="No-Show"),"",ROUND(R724*W724*(1+Burden),2)))</f>
        <v/>
      </c>
      <c r="Y724" s="55">
        <f>IF(B724="","",IF(OR(O724="Cancelled",O724="No-Show"),"",IF(N724&lt;&gt;"",N724,ROUND(R724*SupHr*IFERROR(INDEX('PRICING'!$G$7:$G$16,MATCH(F724,'PRICING'!$A$7:$A$16,0)),1),2))))</f>
        <v/>
      </c>
      <c r="Z724" s="98">
        <f>IF(B724="","",SUMIFS('MILEAGE'!$J$5:$J$1504,'MILEAGE'!$B$5:$B$1504,A724))</f>
        <v/>
      </c>
      <c r="AA724" s="55">
        <f>IF(B724="","",ROUND(Z724*MileRate,2))</f>
        <v/>
      </c>
      <c r="AB724" s="55">
        <f>IF(B724="","",SUMIFS('REVENUE'!$J$5:$J$1504,'REVENUE'!$B$5:$B$1504,A724))</f>
        <v/>
      </c>
      <c r="AC724" s="55">
        <f>IF(L724="","",IF(OR(O724="Cancelled",O724="No-Show"),"",L724-N(X724)-N(Y724)-AA724-AB724))</f>
        <v/>
      </c>
      <c r="AD724" s="99">
        <f>IF(OR(AC724="",N(L724)=0),"",AC724/L724)</f>
        <v/>
      </c>
      <c r="AE724" s="55">
        <f>IF(OR(AC724="",N(R724)=0),"",L724/R724)</f>
        <v/>
      </c>
      <c r="AF724" s="100">
        <f>IF(OR(N(K724)=0,N(J724)+N(Q724)=0),"",K724-IF(N(J724)&gt;0,J724,Q724))</f>
        <v/>
      </c>
      <c r="AG724" s="99">
        <f>IF(B724="","",IFERROR(AVERAGEIFS('QUALITY CONTROL'!$M$5:$M$304,'QUALITY CONTROL'!$B$5:$B$304,A724),""))</f>
        <v/>
      </c>
      <c r="AH724" s="51">
        <f>IF(B724="","",DATE(YEAR(B724),MONTH(B724),1))</f>
        <v/>
      </c>
      <c r="AI724" s="49">
        <f>IF(D724="","",IFERROR(INDEX('CUSTOMERS'!$E$5:$E$404,MATCH(D724,'CUSTOMERS'!$B$5:$B$404,0)),""))</f>
        <v/>
      </c>
      <c r="AJ724" s="49">
        <f>IF(B724="","",N(C724))</f>
        <v/>
      </c>
      <c r="AK724" s="49">
        <f>IF(OR(B724="",O724="Cancelled",O724="Rescheduled"),"",B724&amp;"|"&amp;(COUNTIFS('JOBS'!$B$5:$B$1504,B724,'JOBS'!$AJ$5:$AJ$1504,"&lt;"&amp;AJ724,'JOBS'!$O$5:$O$1504,"&lt;&gt;Cancelled",'JOBS'!$O$5:$O$1504,"&lt;&gt;Rescheduled")+COUNTIFS($B$5:B724,B724,$AJ$5:AJ724,AJ724,$O$5:O724,"&lt;&gt;Cancelled",$O$5:O724,"&lt;&gt;Rescheduled")))</f>
        <v/>
      </c>
      <c r="AL724" s="49">
        <f>IF(N(U724)&lt;=0.005,"",COUNTIFS('JOBS'!$U$5:$U$1504,"&gt;0.005",'JOBS'!$B$5:$B$1504,"&lt;"&amp;B724)+COUNTIFS($U$5:U724,"&gt;0.005",$B$5:B724,B724))</f>
        <v/>
      </c>
    </row>
    <row r="725">
      <c r="A725" s="46" t="inlineStr">
        <is>
          <t>J-0721</t>
        </is>
      </c>
      <c r="B725" s="47" t="n"/>
      <c r="C725" s="94" t="n"/>
      <c r="D725" s="38" t="n"/>
      <c r="E725" s="38" t="n"/>
      <c r="F725" s="38" t="n"/>
      <c r="G725" s="38" t="n"/>
      <c r="H725" s="38" t="n"/>
      <c r="I725" s="57" t="n"/>
      <c r="J725" s="95" t="n"/>
      <c r="K725" s="95" t="n"/>
      <c r="L725" s="48" t="n"/>
      <c r="M725" s="96" t="n"/>
      <c r="N725" s="48" t="n"/>
      <c r="O725" s="38" t="n"/>
      <c r="P725" s="38" t="n"/>
      <c r="Q725" s="97">
        <f>IF(OR(F725="",E725=""),"",IFERROR(IF(INDEX('PROPERTIES'!$F$5:$F$404,MATCH(E725,'PROPERTIES'!$B$5:$B$404,0))=0,"",ROUND((INDEX('PROPERTIES'!$F$5:$F$404,MATCH(E725,'PROPERTIES'!$B$5:$B$404,0))/INDEX('PRICING'!$C$7:$C$16,MATCH(F725,'PRICING'!$A$7:$A$16,0))+INDEX('PROPERTIES'!$G$5:$G$404,MATCH(E725,'PROPERTIES'!$B$5:$B$404,0))*INDEX('PRICING'!$D$7:$D$16,MATCH(F725,'PRICING'!$A$7:$A$16,0))/60+INDEX('PROPERTIES'!$H$5:$H$404,MATCH(E725,'PROPERTIES'!$B$5:$B$404,0))*INDEX('PRICING'!$E$7:$E$16,MATCH(F725,'PRICING'!$A$7:$A$16,0))/60+INDEX('PRICING'!$F$7:$F$16,MATCH(F725,'PRICING'!$A$7:$A$16,0))/60),2)),""))</f>
        <v/>
      </c>
      <c r="R725" s="97">
        <f>IF(B725="","",IF(N(K725)&gt;0,K725,IF(N(J725)&gt;0,J725,N(Q725))))</f>
        <v/>
      </c>
      <c r="S725" s="55">
        <f>IF(L725="","",ROUND(L725*(1+N(M725)),2))</f>
        <v/>
      </c>
      <c r="T725" s="55">
        <f>IF(B725="","",SUMIFS('REVENUE'!$C$5:$C$1504,'REVENUE'!$B$5:$B$1504,A725))</f>
        <v/>
      </c>
      <c r="U725" s="55">
        <f>IF(B725="","",IF(O725="Completed",MAX(0,N(S725)-T725),""))</f>
        <v/>
      </c>
      <c r="V725" s="49">
        <f>IF(B725="","",IF(O725&lt;&gt;"Completed",IF(T725&gt;0,"Deposit","—"),IF(U725&lt;=0.005,"Paid",IF(T725&gt;0,"Partial","Unpaid"))))</f>
        <v/>
      </c>
      <c r="W725" s="55">
        <f>IF(B725="","",IFERROR(1/(1/INDEX('STAFF &amp; TASKS'!$C$5:$C$24,MATCH(H725,'STAFF &amp; TASKS'!$A$5:$A$24,0))),PayRate))</f>
        <v/>
      </c>
      <c r="X725" s="55">
        <f>IF(B725="","",IF(OR(O725="Cancelled",O725="No-Show"),"",ROUND(R725*W725*(1+Burden),2)))</f>
        <v/>
      </c>
      <c r="Y725" s="55">
        <f>IF(B725="","",IF(OR(O725="Cancelled",O725="No-Show"),"",IF(N725&lt;&gt;"",N725,ROUND(R725*SupHr*IFERROR(INDEX('PRICING'!$G$7:$G$16,MATCH(F725,'PRICING'!$A$7:$A$16,0)),1),2))))</f>
        <v/>
      </c>
      <c r="Z725" s="98">
        <f>IF(B725="","",SUMIFS('MILEAGE'!$J$5:$J$1504,'MILEAGE'!$B$5:$B$1504,A725))</f>
        <v/>
      </c>
      <c r="AA725" s="55">
        <f>IF(B725="","",ROUND(Z725*MileRate,2))</f>
        <v/>
      </c>
      <c r="AB725" s="55">
        <f>IF(B725="","",SUMIFS('REVENUE'!$J$5:$J$1504,'REVENUE'!$B$5:$B$1504,A725))</f>
        <v/>
      </c>
      <c r="AC725" s="55">
        <f>IF(L725="","",IF(OR(O725="Cancelled",O725="No-Show"),"",L725-N(X725)-N(Y725)-AA725-AB725))</f>
        <v/>
      </c>
      <c r="AD725" s="99">
        <f>IF(OR(AC725="",N(L725)=0),"",AC725/L725)</f>
        <v/>
      </c>
      <c r="AE725" s="55">
        <f>IF(OR(AC725="",N(R725)=0),"",L725/R725)</f>
        <v/>
      </c>
      <c r="AF725" s="100">
        <f>IF(OR(N(K725)=0,N(J725)+N(Q725)=0),"",K725-IF(N(J725)&gt;0,J725,Q725))</f>
        <v/>
      </c>
      <c r="AG725" s="99">
        <f>IF(B725="","",IFERROR(AVERAGEIFS('QUALITY CONTROL'!$M$5:$M$304,'QUALITY CONTROL'!$B$5:$B$304,A725),""))</f>
        <v/>
      </c>
      <c r="AH725" s="51">
        <f>IF(B725="","",DATE(YEAR(B725),MONTH(B725),1))</f>
        <v/>
      </c>
      <c r="AI725" s="49">
        <f>IF(D725="","",IFERROR(INDEX('CUSTOMERS'!$E$5:$E$404,MATCH(D725,'CUSTOMERS'!$B$5:$B$404,0)),""))</f>
        <v/>
      </c>
      <c r="AJ725" s="49">
        <f>IF(B725="","",N(C725))</f>
        <v/>
      </c>
      <c r="AK725" s="49">
        <f>IF(OR(B725="",O725="Cancelled",O725="Rescheduled"),"",B725&amp;"|"&amp;(COUNTIFS('JOBS'!$B$5:$B$1504,B725,'JOBS'!$AJ$5:$AJ$1504,"&lt;"&amp;AJ725,'JOBS'!$O$5:$O$1504,"&lt;&gt;Cancelled",'JOBS'!$O$5:$O$1504,"&lt;&gt;Rescheduled")+COUNTIFS($B$5:B725,B725,$AJ$5:AJ725,AJ725,$O$5:O725,"&lt;&gt;Cancelled",$O$5:O725,"&lt;&gt;Rescheduled")))</f>
        <v/>
      </c>
      <c r="AL725" s="49">
        <f>IF(N(U725)&lt;=0.005,"",COUNTIFS('JOBS'!$U$5:$U$1504,"&gt;0.005",'JOBS'!$B$5:$B$1504,"&lt;"&amp;B725)+COUNTIFS($U$5:U725,"&gt;0.005",$B$5:B725,B725))</f>
        <v/>
      </c>
    </row>
    <row r="726">
      <c r="A726" s="46" t="inlineStr">
        <is>
          <t>J-0722</t>
        </is>
      </c>
      <c r="B726" s="47" t="n"/>
      <c r="C726" s="94" t="n"/>
      <c r="D726" s="38" t="n"/>
      <c r="E726" s="38" t="n"/>
      <c r="F726" s="38" t="n"/>
      <c r="G726" s="38" t="n"/>
      <c r="H726" s="38" t="n"/>
      <c r="I726" s="57" t="n"/>
      <c r="J726" s="95" t="n"/>
      <c r="K726" s="95" t="n"/>
      <c r="L726" s="48" t="n"/>
      <c r="M726" s="96" t="n"/>
      <c r="N726" s="48" t="n"/>
      <c r="O726" s="38" t="n"/>
      <c r="P726" s="38" t="n"/>
      <c r="Q726" s="97">
        <f>IF(OR(F726="",E726=""),"",IFERROR(IF(INDEX('PROPERTIES'!$F$5:$F$404,MATCH(E726,'PROPERTIES'!$B$5:$B$404,0))=0,"",ROUND((INDEX('PROPERTIES'!$F$5:$F$404,MATCH(E726,'PROPERTIES'!$B$5:$B$404,0))/INDEX('PRICING'!$C$7:$C$16,MATCH(F726,'PRICING'!$A$7:$A$16,0))+INDEX('PROPERTIES'!$G$5:$G$404,MATCH(E726,'PROPERTIES'!$B$5:$B$404,0))*INDEX('PRICING'!$D$7:$D$16,MATCH(F726,'PRICING'!$A$7:$A$16,0))/60+INDEX('PROPERTIES'!$H$5:$H$404,MATCH(E726,'PROPERTIES'!$B$5:$B$404,0))*INDEX('PRICING'!$E$7:$E$16,MATCH(F726,'PRICING'!$A$7:$A$16,0))/60+INDEX('PRICING'!$F$7:$F$16,MATCH(F726,'PRICING'!$A$7:$A$16,0))/60),2)),""))</f>
        <v/>
      </c>
      <c r="R726" s="97">
        <f>IF(B726="","",IF(N(K726)&gt;0,K726,IF(N(J726)&gt;0,J726,N(Q726))))</f>
        <v/>
      </c>
      <c r="S726" s="55">
        <f>IF(L726="","",ROUND(L726*(1+N(M726)),2))</f>
        <v/>
      </c>
      <c r="T726" s="55">
        <f>IF(B726="","",SUMIFS('REVENUE'!$C$5:$C$1504,'REVENUE'!$B$5:$B$1504,A726))</f>
        <v/>
      </c>
      <c r="U726" s="55">
        <f>IF(B726="","",IF(O726="Completed",MAX(0,N(S726)-T726),""))</f>
        <v/>
      </c>
      <c r="V726" s="49">
        <f>IF(B726="","",IF(O726&lt;&gt;"Completed",IF(T726&gt;0,"Deposit","—"),IF(U726&lt;=0.005,"Paid",IF(T726&gt;0,"Partial","Unpaid"))))</f>
        <v/>
      </c>
      <c r="W726" s="55">
        <f>IF(B726="","",IFERROR(1/(1/INDEX('STAFF &amp; TASKS'!$C$5:$C$24,MATCH(H726,'STAFF &amp; TASKS'!$A$5:$A$24,0))),PayRate))</f>
        <v/>
      </c>
      <c r="X726" s="55">
        <f>IF(B726="","",IF(OR(O726="Cancelled",O726="No-Show"),"",ROUND(R726*W726*(1+Burden),2)))</f>
        <v/>
      </c>
      <c r="Y726" s="55">
        <f>IF(B726="","",IF(OR(O726="Cancelled",O726="No-Show"),"",IF(N726&lt;&gt;"",N726,ROUND(R726*SupHr*IFERROR(INDEX('PRICING'!$G$7:$G$16,MATCH(F726,'PRICING'!$A$7:$A$16,0)),1),2))))</f>
        <v/>
      </c>
      <c r="Z726" s="98">
        <f>IF(B726="","",SUMIFS('MILEAGE'!$J$5:$J$1504,'MILEAGE'!$B$5:$B$1504,A726))</f>
        <v/>
      </c>
      <c r="AA726" s="55">
        <f>IF(B726="","",ROUND(Z726*MileRate,2))</f>
        <v/>
      </c>
      <c r="AB726" s="55">
        <f>IF(B726="","",SUMIFS('REVENUE'!$J$5:$J$1504,'REVENUE'!$B$5:$B$1504,A726))</f>
        <v/>
      </c>
      <c r="AC726" s="55">
        <f>IF(L726="","",IF(OR(O726="Cancelled",O726="No-Show"),"",L726-N(X726)-N(Y726)-AA726-AB726))</f>
        <v/>
      </c>
      <c r="AD726" s="99">
        <f>IF(OR(AC726="",N(L726)=0),"",AC726/L726)</f>
        <v/>
      </c>
      <c r="AE726" s="55">
        <f>IF(OR(AC726="",N(R726)=0),"",L726/R726)</f>
        <v/>
      </c>
      <c r="AF726" s="100">
        <f>IF(OR(N(K726)=0,N(J726)+N(Q726)=0),"",K726-IF(N(J726)&gt;0,J726,Q726))</f>
        <v/>
      </c>
      <c r="AG726" s="99">
        <f>IF(B726="","",IFERROR(AVERAGEIFS('QUALITY CONTROL'!$M$5:$M$304,'QUALITY CONTROL'!$B$5:$B$304,A726),""))</f>
        <v/>
      </c>
      <c r="AH726" s="51">
        <f>IF(B726="","",DATE(YEAR(B726),MONTH(B726),1))</f>
        <v/>
      </c>
      <c r="AI726" s="49">
        <f>IF(D726="","",IFERROR(INDEX('CUSTOMERS'!$E$5:$E$404,MATCH(D726,'CUSTOMERS'!$B$5:$B$404,0)),""))</f>
        <v/>
      </c>
      <c r="AJ726" s="49">
        <f>IF(B726="","",N(C726))</f>
        <v/>
      </c>
      <c r="AK726" s="49">
        <f>IF(OR(B726="",O726="Cancelled",O726="Rescheduled"),"",B726&amp;"|"&amp;(COUNTIFS('JOBS'!$B$5:$B$1504,B726,'JOBS'!$AJ$5:$AJ$1504,"&lt;"&amp;AJ726,'JOBS'!$O$5:$O$1504,"&lt;&gt;Cancelled",'JOBS'!$O$5:$O$1504,"&lt;&gt;Rescheduled")+COUNTIFS($B$5:B726,B726,$AJ$5:AJ726,AJ726,$O$5:O726,"&lt;&gt;Cancelled",$O$5:O726,"&lt;&gt;Rescheduled")))</f>
        <v/>
      </c>
      <c r="AL726" s="49">
        <f>IF(N(U726)&lt;=0.005,"",COUNTIFS('JOBS'!$U$5:$U$1504,"&gt;0.005",'JOBS'!$B$5:$B$1504,"&lt;"&amp;B726)+COUNTIFS($U$5:U726,"&gt;0.005",$B$5:B726,B726))</f>
        <v/>
      </c>
    </row>
    <row r="727">
      <c r="A727" s="46" t="inlineStr">
        <is>
          <t>J-0723</t>
        </is>
      </c>
      <c r="B727" s="47" t="n"/>
      <c r="C727" s="94" t="n"/>
      <c r="D727" s="38" t="n"/>
      <c r="E727" s="38" t="n"/>
      <c r="F727" s="38" t="n"/>
      <c r="G727" s="38" t="n"/>
      <c r="H727" s="38" t="n"/>
      <c r="I727" s="57" t="n"/>
      <c r="J727" s="95" t="n"/>
      <c r="K727" s="95" t="n"/>
      <c r="L727" s="48" t="n"/>
      <c r="M727" s="96" t="n"/>
      <c r="N727" s="48" t="n"/>
      <c r="O727" s="38" t="n"/>
      <c r="P727" s="38" t="n"/>
      <c r="Q727" s="97">
        <f>IF(OR(F727="",E727=""),"",IFERROR(IF(INDEX('PROPERTIES'!$F$5:$F$404,MATCH(E727,'PROPERTIES'!$B$5:$B$404,0))=0,"",ROUND((INDEX('PROPERTIES'!$F$5:$F$404,MATCH(E727,'PROPERTIES'!$B$5:$B$404,0))/INDEX('PRICING'!$C$7:$C$16,MATCH(F727,'PRICING'!$A$7:$A$16,0))+INDEX('PROPERTIES'!$G$5:$G$404,MATCH(E727,'PROPERTIES'!$B$5:$B$404,0))*INDEX('PRICING'!$D$7:$D$16,MATCH(F727,'PRICING'!$A$7:$A$16,0))/60+INDEX('PROPERTIES'!$H$5:$H$404,MATCH(E727,'PROPERTIES'!$B$5:$B$404,0))*INDEX('PRICING'!$E$7:$E$16,MATCH(F727,'PRICING'!$A$7:$A$16,0))/60+INDEX('PRICING'!$F$7:$F$16,MATCH(F727,'PRICING'!$A$7:$A$16,0))/60),2)),""))</f>
        <v/>
      </c>
      <c r="R727" s="97">
        <f>IF(B727="","",IF(N(K727)&gt;0,K727,IF(N(J727)&gt;0,J727,N(Q727))))</f>
        <v/>
      </c>
      <c r="S727" s="55">
        <f>IF(L727="","",ROUND(L727*(1+N(M727)),2))</f>
        <v/>
      </c>
      <c r="T727" s="55">
        <f>IF(B727="","",SUMIFS('REVENUE'!$C$5:$C$1504,'REVENUE'!$B$5:$B$1504,A727))</f>
        <v/>
      </c>
      <c r="U727" s="55">
        <f>IF(B727="","",IF(O727="Completed",MAX(0,N(S727)-T727),""))</f>
        <v/>
      </c>
      <c r="V727" s="49">
        <f>IF(B727="","",IF(O727&lt;&gt;"Completed",IF(T727&gt;0,"Deposit","—"),IF(U727&lt;=0.005,"Paid",IF(T727&gt;0,"Partial","Unpaid"))))</f>
        <v/>
      </c>
      <c r="W727" s="55">
        <f>IF(B727="","",IFERROR(1/(1/INDEX('STAFF &amp; TASKS'!$C$5:$C$24,MATCH(H727,'STAFF &amp; TASKS'!$A$5:$A$24,0))),PayRate))</f>
        <v/>
      </c>
      <c r="X727" s="55">
        <f>IF(B727="","",IF(OR(O727="Cancelled",O727="No-Show"),"",ROUND(R727*W727*(1+Burden),2)))</f>
        <v/>
      </c>
      <c r="Y727" s="55">
        <f>IF(B727="","",IF(OR(O727="Cancelled",O727="No-Show"),"",IF(N727&lt;&gt;"",N727,ROUND(R727*SupHr*IFERROR(INDEX('PRICING'!$G$7:$G$16,MATCH(F727,'PRICING'!$A$7:$A$16,0)),1),2))))</f>
        <v/>
      </c>
      <c r="Z727" s="98">
        <f>IF(B727="","",SUMIFS('MILEAGE'!$J$5:$J$1504,'MILEAGE'!$B$5:$B$1504,A727))</f>
        <v/>
      </c>
      <c r="AA727" s="55">
        <f>IF(B727="","",ROUND(Z727*MileRate,2))</f>
        <v/>
      </c>
      <c r="AB727" s="55">
        <f>IF(B727="","",SUMIFS('REVENUE'!$J$5:$J$1504,'REVENUE'!$B$5:$B$1504,A727))</f>
        <v/>
      </c>
      <c r="AC727" s="55">
        <f>IF(L727="","",IF(OR(O727="Cancelled",O727="No-Show"),"",L727-N(X727)-N(Y727)-AA727-AB727))</f>
        <v/>
      </c>
      <c r="AD727" s="99">
        <f>IF(OR(AC727="",N(L727)=0),"",AC727/L727)</f>
        <v/>
      </c>
      <c r="AE727" s="55">
        <f>IF(OR(AC727="",N(R727)=0),"",L727/R727)</f>
        <v/>
      </c>
      <c r="AF727" s="100">
        <f>IF(OR(N(K727)=0,N(J727)+N(Q727)=0),"",K727-IF(N(J727)&gt;0,J727,Q727))</f>
        <v/>
      </c>
      <c r="AG727" s="99">
        <f>IF(B727="","",IFERROR(AVERAGEIFS('QUALITY CONTROL'!$M$5:$M$304,'QUALITY CONTROL'!$B$5:$B$304,A727),""))</f>
        <v/>
      </c>
      <c r="AH727" s="51">
        <f>IF(B727="","",DATE(YEAR(B727),MONTH(B727),1))</f>
        <v/>
      </c>
      <c r="AI727" s="49">
        <f>IF(D727="","",IFERROR(INDEX('CUSTOMERS'!$E$5:$E$404,MATCH(D727,'CUSTOMERS'!$B$5:$B$404,0)),""))</f>
        <v/>
      </c>
      <c r="AJ727" s="49">
        <f>IF(B727="","",N(C727))</f>
        <v/>
      </c>
      <c r="AK727" s="49">
        <f>IF(OR(B727="",O727="Cancelled",O727="Rescheduled"),"",B727&amp;"|"&amp;(COUNTIFS('JOBS'!$B$5:$B$1504,B727,'JOBS'!$AJ$5:$AJ$1504,"&lt;"&amp;AJ727,'JOBS'!$O$5:$O$1504,"&lt;&gt;Cancelled",'JOBS'!$O$5:$O$1504,"&lt;&gt;Rescheduled")+COUNTIFS($B$5:B727,B727,$AJ$5:AJ727,AJ727,$O$5:O727,"&lt;&gt;Cancelled",$O$5:O727,"&lt;&gt;Rescheduled")))</f>
        <v/>
      </c>
      <c r="AL727" s="49">
        <f>IF(N(U727)&lt;=0.005,"",COUNTIFS('JOBS'!$U$5:$U$1504,"&gt;0.005",'JOBS'!$B$5:$B$1504,"&lt;"&amp;B727)+COUNTIFS($U$5:U727,"&gt;0.005",$B$5:B727,B727))</f>
        <v/>
      </c>
    </row>
    <row r="728">
      <c r="A728" s="46" t="inlineStr">
        <is>
          <t>J-0724</t>
        </is>
      </c>
      <c r="B728" s="47" t="n"/>
      <c r="C728" s="94" t="n"/>
      <c r="D728" s="38" t="n"/>
      <c r="E728" s="38" t="n"/>
      <c r="F728" s="38" t="n"/>
      <c r="G728" s="38" t="n"/>
      <c r="H728" s="38" t="n"/>
      <c r="I728" s="57" t="n"/>
      <c r="J728" s="95" t="n"/>
      <c r="K728" s="95" t="n"/>
      <c r="L728" s="48" t="n"/>
      <c r="M728" s="96" t="n"/>
      <c r="N728" s="48" t="n"/>
      <c r="O728" s="38" t="n"/>
      <c r="P728" s="38" t="n"/>
      <c r="Q728" s="97">
        <f>IF(OR(F728="",E728=""),"",IFERROR(IF(INDEX('PROPERTIES'!$F$5:$F$404,MATCH(E728,'PROPERTIES'!$B$5:$B$404,0))=0,"",ROUND((INDEX('PROPERTIES'!$F$5:$F$404,MATCH(E728,'PROPERTIES'!$B$5:$B$404,0))/INDEX('PRICING'!$C$7:$C$16,MATCH(F728,'PRICING'!$A$7:$A$16,0))+INDEX('PROPERTIES'!$G$5:$G$404,MATCH(E728,'PROPERTIES'!$B$5:$B$404,0))*INDEX('PRICING'!$D$7:$D$16,MATCH(F728,'PRICING'!$A$7:$A$16,0))/60+INDEX('PROPERTIES'!$H$5:$H$404,MATCH(E728,'PROPERTIES'!$B$5:$B$404,0))*INDEX('PRICING'!$E$7:$E$16,MATCH(F728,'PRICING'!$A$7:$A$16,0))/60+INDEX('PRICING'!$F$7:$F$16,MATCH(F728,'PRICING'!$A$7:$A$16,0))/60),2)),""))</f>
        <v/>
      </c>
      <c r="R728" s="97">
        <f>IF(B728="","",IF(N(K728)&gt;0,K728,IF(N(J728)&gt;0,J728,N(Q728))))</f>
        <v/>
      </c>
      <c r="S728" s="55">
        <f>IF(L728="","",ROUND(L728*(1+N(M728)),2))</f>
        <v/>
      </c>
      <c r="T728" s="55">
        <f>IF(B728="","",SUMIFS('REVENUE'!$C$5:$C$1504,'REVENUE'!$B$5:$B$1504,A728))</f>
        <v/>
      </c>
      <c r="U728" s="55">
        <f>IF(B728="","",IF(O728="Completed",MAX(0,N(S728)-T728),""))</f>
        <v/>
      </c>
      <c r="V728" s="49">
        <f>IF(B728="","",IF(O728&lt;&gt;"Completed",IF(T728&gt;0,"Deposit","—"),IF(U728&lt;=0.005,"Paid",IF(T728&gt;0,"Partial","Unpaid"))))</f>
        <v/>
      </c>
      <c r="W728" s="55">
        <f>IF(B728="","",IFERROR(1/(1/INDEX('STAFF &amp; TASKS'!$C$5:$C$24,MATCH(H728,'STAFF &amp; TASKS'!$A$5:$A$24,0))),PayRate))</f>
        <v/>
      </c>
      <c r="X728" s="55">
        <f>IF(B728="","",IF(OR(O728="Cancelled",O728="No-Show"),"",ROUND(R728*W728*(1+Burden),2)))</f>
        <v/>
      </c>
      <c r="Y728" s="55">
        <f>IF(B728="","",IF(OR(O728="Cancelled",O728="No-Show"),"",IF(N728&lt;&gt;"",N728,ROUND(R728*SupHr*IFERROR(INDEX('PRICING'!$G$7:$G$16,MATCH(F728,'PRICING'!$A$7:$A$16,0)),1),2))))</f>
        <v/>
      </c>
      <c r="Z728" s="98">
        <f>IF(B728="","",SUMIFS('MILEAGE'!$J$5:$J$1504,'MILEAGE'!$B$5:$B$1504,A728))</f>
        <v/>
      </c>
      <c r="AA728" s="55">
        <f>IF(B728="","",ROUND(Z728*MileRate,2))</f>
        <v/>
      </c>
      <c r="AB728" s="55">
        <f>IF(B728="","",SUMIFS('REVENUE'!$J$5:$J$1504,'REVENUE'!$B$5:$B$1504,A728))</f>
        <v/>
      </c>
      <c r="AC728" s="55">
        <f>IF(L728="","",IF(OR(O728="Cancelled",O728="No-Show"),"",L728-N(X728)-N(Y728)-AA728-AB728))</f>
        <v/>
      </c>
      <c r="AD728" s="99">
        <f>IF(OR(AC728="",N(L728)=0),"",AC728/L728)</f>
        <v/>
      </c>
      <c r="AE728" s="55">
        <f>IF(OR(AC728="",N(R728)=0),"",L728/R728)</f>
        <v/>
      </c>
      <c r="AF728" s="100">
        <f>IF(OR(N(K728)=0,N(J728)+N(Q728)=0),"",K728-IF(N(J728)&gt;0,J728,Q728))</f>
        <v/>
      </c>
      <c r="AG728" s="99">
        <f>IF(B728="","",IFERROR(AVERAGEIFS('QUALITY CONTROL'!$M$5:$M$304,'QUALITY CONTROL'!$B$5:$B$304,A728),""))</f>
        <v/>
      </c>
      <c r="AH728" s="51">
        <f>IF(B728="","",DATE(YEAR(B728),MONTH(B728),1))</f>
        <v/>
      </c>
      <c r="AI728" s="49">
        <f>IF(D728="","",IFERROR(INDEX('CUSTOMERS'!$E$5:$E$404,MATCH(D728,'CUSTOMERS'!$B$5:$B$404,0)),""))</f>
        <v/>
      </c>
      <c r="AJ728" s="49">
        <f>IF(B728="","",N(C728))</f>
        <v/>
      </c>
      <c r="AK728" s="49">
        <f>IF(OR(B728="",O728="Cancelled",O728="Rescheduled"),"",B728&amp;"|"&amp;(COUNTIFS('JOBS'!$B$5:$B$1504,B728,'JOBS'!$AJ$5:$AJ$1504,"&lt;"&amp;AJ728,'JOBS'!$O$5:$O$1504,"&lt;&gt;Cancelled",'JOBS'!$O$5:$O$1504,"&lt;&gt;Rescheduled")+COUNTIFS($B$5:B728,B728,$AJ$5:AJ728,AJ728,$O$5:O728,"&lt;&gt;Cancelled",$O$5:O728,"&lt;&gt;Rescheduled")))</f>
        <v/>
      </c>
      <c r="AL728" s="49">
        <f>IF(N(U728)&lt;=0.005,"",COUNTIFS('JOBS'!$U$5:$U$1504,"&gt;0.005",'JOBS'!$B$5:$B$1504,"&lt;"&amp;B728)+COUNTIFS($U$5:U728,"&gt;0.005",$B$5:B728,B728))</f>
        <v/>
      </c>
    </row>
    <row r="729">
      <c r="A729" s="46" t="inlineStr">
        <is>
          <t>J-0725</t>
        </is>
      </c>
      <c r="B729" s="47" t="n"/>
      <c r="C729" s="94" t="n"/>
      <c r="D729" s="38" t="n"/>
      <c r="E729" s="38" t="n"/>
      <c r="F729" s="38" t="n"/>
      <c r="G729" s="38" t="n"/>
      <c r="H729" s="38" t="n"/>
      <c r="I729" s="57" t="n"/>
      <c r="J729" s="95" t="n"/>
      <c r="K729" s="95" t="n"/>
      <c r="L729" s="48" t="n"/>
      <c r="M729" s="96" t="n"/>
      <c r="N729" s="48" t="n"/>
      <c r="O729" s="38" t="n"/>
      <c r="P729" s="38" t="n"/>
      <c r="Q729" s="97">
        <f>IF(OR(F729="",E729=""),"",IFERROR(IF(INDEX('PROPERTIES'!$F$5:$F$404,MATCH(E729,'PROPERTIES'!$B$5:$B$404,0))=0,"",ROUND((INDEX('PROPERTIES'!$F$5:$F$404,MATCH(E729,'PROPERTIES'!$B$5:$B$404,0))/INDEX('PRICING'!$C$7:$C$16,MATCH(F729,'PRICING'!$A$7:$A$16,0))+INDEX('PROPERTIES'!$G$5:$G$404,MATCH(E729,'PROPERTIES'!$B$5:$B$404,0))*INDEX('PRICING'!$D$7:$D$16,MATCH(F729,'PRICING'!$A$7:$A$16,0))/60+INDEX('PROPERTIES'!$H$5:$H$404,MATCH(E729,'PROPERTIES'!$B$5:$B$404,0))*INDEX('PRICING'!$E$7:$E$16,MATCH(F729,'PRICING'!$A$7:$A$16,0))/60+INDEX('PRICING'!$F$7:$F$16,MATCH(F729,'PRICING'!$A$7:$A$16,0))/60),2)),""))</f>
        <v/>
      </c>
      <c r="R729" s="97">
        <f>IF(B729="","",IF(N(K729)&gt;0,K729,IF(N(J729)&gt;0,J729,N(Q729))))</f>
        <v/>
      </c>
      <c r="S729" s="55">
        <f>IF(L729="","",ROUND(L729*(1+N(M729)),2))</f>
        <v/>
      </c>
      <c r="T729" s="55">
        <f>IF(B729="","",SUMIFS('REVENUE'!$C$5:$C$1504,'REVENUE'!$B$5:$B$1504,A729))</f>
        <v/>
      </c>
      <c r="U729" s="55">
        <f>IF(B729="","",IF(O729="Completed",MAX(0,N(S729)-T729),""))</f>
        <v/>
      </c>
      <c r="V729" s="49">
        <f>IF(B729="","",IF(O729&lt;&gt;"Completed",IF(T729&gt;0,"Deposit","—"),IF(U729&lt;=0.005,"Paid",IF(T729&gt;0,"Partial","Unpaid"))))</f>
        <v/>
      </c>
      <c r="W729" s="55">
        <f>IF(B729="","",IFERROR(1/(1/INDEX('STAFF &amp; TASKS'!$C$5:$C$24,MATCH(H729,'STAFF &amp; TASKS'!$A$5:$A$24,0))),PayRate))</f>
        <v/>
      </c>
      <c r="X729" s="55">
        <f>IF(B729="","",IF(OR(O729="Cancelled",O729="No-Show"),"",ROUND(R729*W729*(1+Burden),2)))</f>
        <v/>
      </c>
      <c r="Y729" s="55">
        <f>IF(B729="","",IF(OR(O729="Cancelled",O729="No-Show"),"",IF(N729&lt;&gt;"",N729,ROUND(R729*SupHr*IFERROR(INDEX('PRICING'!$G$7:$G$16,MATCH(F729,'PRICING'!$A$7:$A$16,0)),1),2))))</f>
        <v/>
      </c>
      <c r="Z729" s="98">
        <f>IF(B729="","",SUMIFS('MILEAGE'!$J$5:$J$1504,'MILEAGE'!$B$5:$B$1504,A729))</f>
        <v/>
      </c>
      <c r="AA729" s="55">
        <f>IF(B729="","",ROUND(Z729*MileRate,2))</f>
        <v/>
      </c>
      <c r="AB729" s="55">
        <f>IF(B729="","",SUMIFS('REVENUE'!$J$5:$J$1504,'REVENUE'!$B$5:$B$1504,A729))</f>
        <v/>
      </c>
      <c r="AC729" s="55">
        <f>IF(L729="","",IF(OR(O729="Cancelled",O729="No-Show"),"",L729-N(X729)-N(Y729)-AA729-AB729))</f>
        <v/>
      </c>
      <c r="AD729" s="99">
        <f>IF(OR(AC729="",N(L729)=0),"",AC729/L729)</f>
        <v/>
      </c>
      <c r="AE729" s="55">
        <f>IF(OR(AC729="",N(R729)=0),"",L729/R729)</f>
        <v/>
      </c>
      <c r="AF729" s="100">
        <f>IF(OR(N(K729)=0,N(J729)+N(Q729)=0),"",K729-IF(N(J729)&gt;0,J729,Q729))</f>
        <v/>
      </c>
      <c r="AG729" s="99">
        <f>IF(B729="","",IFERROR(AVERAGEIFS('QUALITY CONTROL'!$M$5:$M$304,'QUALITY CONTROL'!$B$5:$B$304,A729),""))</f>
        <v/>
      </c>
      <c r="AH729" s="51">
        <f>IF(B729="","",DATE(YEAR(B729),MONTH(B729),1))</f>
        <v/>
      </c>
      <c r="AI729" s="49">
        <f>IF(D729="","",IFERROR(INDEX('CUSTOMERS'!$E$5:$E$404,MATCH(D729,'CUSTOMERS'!$B$5:$B$404,0)),""))</f>
        <v/>
      </c>
      <c r="AJ729" s="49">
        <f>IF(B729="","",N(C729))</f>
        <v/>
      </c>
      <c r="AK729" s="49">
        <f>IF(OR(B729="",O729="Cancelled",O729="Rescheduled"),"",B729&amp;"|"&amp;(COUNTIFS('JOBS'!$B$5:$B$1504,B729,'JOBS'!$AJ$5:$AJ$1504,"&lt;"&amp;AJ729,'JOBS'!$O$5:$O$1504,"&lt;&gt;Cancelled",'JOBS'!$O$5:$O$1504,"&lt;&gt;Rescheduled")+COUNTIFS($B$5:B729,B729,$AJ$5:AJ729,AJ729,$O$5:O729,"&lt;&gt;Cancelled",$O$5:O729,"&lt;&gt;Rescheduled")))</f>
        <v/>
      </c>
      <c r="AL729" s="49">
        <f>IF(N(U729)&lt;=0.005,"",COUNTIFS('JOBS'!$U$5:$U$1504,"&gt;0.005",'JOBS'!$B$5:$B$1504,"&lt;"&amp;B729)+COUNTIFS($U$5:U729,"&gt;0.005",$B$5:B729,B729))</f>
        <v/>
      </c>
    </row>
    <row r="730">
      <c r="A730" s="46" t="inlineStr">
        <is>
          <t>J-0726</t>
        </is>
      </c>
      <c r="B730" s="47" t="n"/>
      <c r="C730" s="94" t="n"/>
      <c r="D730" s="38" t="n"/>
      <c r="E730" s="38" t="n"/>
      <c r="F730" s="38" t="n"/>
      <c r="G730" s="38" t="n"/>
      <c r="H730" s="38" t="n"/>
      <c r="I730" s="57" t="n"/>
      <c r="J730" s="95" t="n"/>
      <c r="K730" s="95" t="n"/>
      <c r="L730" s="48" t="n"/>
      <c r="M730" s="96" t="n"/>
      <c r="N730" s="48" t="n"/>
      <c r="O730" s="38" t="n"/>
      <c r="P730" s="38" t="n"/>
      <c r="Q730" s="97">
        <f>IF(OR(F730="",E730=""),"",IFERROR(IF(INDEX('PROPERTIES'!$F$5:$F$404,MATCH(E730,'PROPERTIES'!$B$5:$B$404,0))=0,"",ROUND((INDEX('PROPERTIES'!$F$5:$F$404,MATCH(E730,'PROPERTIES'!$B$5:$B$404,0))/INDEX('PRICING'!$C$7:$C$16,MATCH(F730,'PRICING'!$A$7:$A$16,0))+INDEX('PROPERTIES'!$G$5:$G$404,MATCH(E730,'PROPERTIES'!$B$5:$B$404,0))*INDEX('PRICING'!$D$7:$D$16,MATCH(F730,'PRICING'!$A$7:$A$16,0))/60+INDEX('PROPERTIES'!$H$5:$H$404,MATCH(E730,'PROPERTIES'!$B$5:$B$404,0))*INDEX('PRICING'!$E$7:$E$16,MATCH(F730,'PRICING'!$A$7:$A$16,0))/60+INDEX('PRICING'!$F$7:$F$16,MATCH(F730,'PRICING'!$A$7:$A$16,0))/60),2)),""))</f>
        <v/>
      </c>
      <c r="R730" s="97">
        <f>IF(B730="","",IF(N(K730)&gt;0,K730,IF(N(J730)&gt;0,J730,N(Q730))))</f>
        <v/>
      </c>
      <c r="S730" s="55">
        <f>IF(L730="","",ROUND(L730*(1+N(M730)),2))</f>
        <v/>
      </c>
      <c r="T730" s="55">
        <f>IF(B730="","",SUMIFS('REVENUE'!$C$5:$C$1504,'REVENUE'!$B$5:$B$1504,A730))</f>
        <v/>
      </c>
      <c r="U730" s="55">
        <f>IF(B730="","",IF(O730="Completed",MAX(0,N(S730)-T730),""))</f>
        <v/>
      </c>
      <c r="V730" s="49">
        <f>IF(B730="","",IF(O730&lt;&gt;"Completed",IF(T730&gt;0,"Deposit","—"),IF(U730&lt;=0.005,"Paid",IF(T730&gt;0,"Partial","Unpaid"))))</f>
        <v/>
      </c>
      <c r="W730" s="55">
        <f>IF(B730="","",IFERROR(1/(1/INDEX('STAFF &amp; TASKS'!$C$5:$C$24,MATCH(H730,'STAFF &amp; TASKS'!$A$5:$A$24,0))),PayRate))</f>
        <v/>
      </c>
      <c r="X730" s="55">
        <f>IF(B730="","",IF(OR(O730="Cancelled",O730="No-Show"),"",ROUND(R730*W730*(1+Burden),2)))</f>
        <v/>
      </c>
      <c r="Y730" s="55">
        <f>IF(B730="","",IF(OR(O730="Cancelled",O730="No-Show"),"",IF(N730&lt;&gt;"",N730,ROUND(R730*SupHr*IFERROR(INDEX('PRICING'!$G$7:$G$16,MATCH(F730,'PRICING'!$A$7:$A$16,0)),1),2))))</f>
        <v/>
      </c>
      <c r="Z730" s="98">
        <f>IF(B730="","",SUMIFS('MILEAGE'!$J$5:$J$1504,'MILEAGE'!$B$5:$B$1504,A730))</f>
        <v/>
      </c>
      <c r="AA730" s="55">
        <f>IF(B730="","",ROUND(Z730*MileRate,2))</f>
        <v/>
      </c>
      <c r="AB730" s="55">
        <f>IF(B730="","",SUMIFS('REVENUE'!$J$5:$J$1504,'REVENUE'!$B$5:$B$1504,A730))</f>
        <v/>
      </c>
      <c r="AC730" s="55">
        <f>IF(L730="","",IF(OR(O730="Cancelled",O730="No-Show"),"",L730-N(X730)-N(Y730)-AA730-AB730))</f>
        <v/>
      </c>
      <c r="AD730" s="99">
        <f>IF(OR(AC730="",N(L730)=0),"",AC730/L730)</f>
        <v/>
      </c>
      <c r="AE730" s="55">
        <f>IF(OR(AC730="",N(R730)=0),"",L730/R730)</f>
        <v/>
      </c>
      <c r="AF730" s="100">
        <f>IF(OR(N(K730)=0,N(J730)+N(Q730)=0),"",K730-IF(N(J730)&gt;0,J730,Q730))</f>
        <v/>
      </c>
      <c r="AG730" s="99">
        <f>IF(B730="","",IFERROR(AVERAGEIFS('QUALITY CONTROL'!$M$5:$M$304,'QUALITY CONTROL'!$B$5:$B$304,A730),""))</f>
        <v/>
      </c>
      <c r="AH730" s="51">
        <f>IF(B730="","",DATE(YEAR(B730),MONTH(B730),1))</f>
        <v/>
      </c>
      <c r="AI730" s="49">
        <f>IF(D730="","",IFERROR(INDEX('CUSTOMERS'!$E$5:$E$404,MATCH(D730,'CUSTOMERS'!$B$5:$B$404,0)),""))</f>
        <v/>
      </c>
      <c r="AJ730" s="49">
        <f>IF(B730="","",N(C730))</f>
        <v/>
      </c>
      <c r="AK730" s="49">
        <f>IF(OR(B730="",O730="Cancelled",O730="Rescheduled"),"",B730&amp;"|"&amp;(COUNTIFS('JOBS'!$B$5:$B$1504,B730,'JOBS'!$AJ$5:$AJ$1504,"&lt;"&amp;AJ730,'JOBS'!$O$5:$O$1504,"&lt;&gt;Cancelled",'JOBS'!$O$5:$O$1504,"&lt;&gt;Rescheduled")+COUNTIFS($B$5:B730,B730,$AJ$5:AJ730,AJ730,$O$5:O730,"&lt;&gt;Cancelled",$O$5:O730,"&lt;&gt;Rescheduled")))</f>
        <v/>
      </c>
      <c r="AL730" s="49">
        <f>IF(N(U730)&lt;=0.005,"",COUNTIFS('JOBS'!$U$5:$U$1504,"&gt;0.005",'JOBS'!$B$5:$B$1504,"&lt;"&amp;B730)+COUNTIFS($U$5:U730,"&gt;0.005",$B$5:B730,B730))</f>
        <v/>
      </c>
    </row>
    <row r="731">
      <c r="A731" s="46" t="inlineStr">
        <is>
          <t>J-0727</t>
        </is>
      </c>
      <c r="B731" s="47" t="n"/>
      <c r="C731" s="94" t="n"/>
      <c r="D731" s="38" t="n"/>
      <c r="E731" s="38" t="n"/>
      <c r="F731" s="38" t="n"/>
      <c r="G731" s="38" t="n"/>
      <c r="H731" s="38" t="n"/>
      <c r="I731" s="57" t="n"/>
      <c r="J731" s="95" t="n"/>
      <c r="K731" s="95" t="n"/>
      <c r="L731" s="48" t="n"/>
      <c r="M731" s="96" t="n"/>
      <c r="N731" s="48" t="n"/>
      <c r="O731" s="38" t="n"/>
      <c r="P731" s="38" t="n"/>
      <c r="Q731" s="97">
        <f>IF(OR(F731="",E731=""),"",IFERROR(IF(INDEX('PROPERTIES'!$F$5:$F$404,MATCH(E731,'PROPERTIES'!$B$5:$B$404,0))=0,"",ROUND((INDEX('PROPERTIES'!$F$5:$F$404,MATCH(E731,'PROPERTIES'!$B$5:$B$404,0))/INDEX('PRICING'!$C$7:$C$16,MATCH(F731,'PRICING'!$A$7:$A$16,0))+INDEX('PROPERTIES'!$G$5:$G$404,MATCH(E731,'PROPERTIES'!$B$5:$B$404,0))*INDEX('PRICING'!$D$7:$D$16,MATCH(F731,'PRICING'!$A$7:$A$16,0))/60+INDEX('PROPERTIES'!$H$5:$H$404,MATCH(E731,'PROPERTIES'!$B$5:$B$404,0))*INDEX('PRICING'!$E$7:$E$16,MATCH(F731,'PRICING'!$A$7:$A$16,0))/60+INDEX('PRICING'!$F$7:$F$16,MATCH(F731,'PRICING'!$A$7:$A$16,0))/60),2)),""))</f>
        <v/>
      </c>
      <c r="R731" s="97">
        <f>IF(B731="","",IF(N(K731)&gt;0,K731,IF(N(J731)&gt;0,J731,N(Q731))))</f>
        <v/>
      </c>
      <c r="S731" s="55">
        <f>IF(L731="","",ROUND(L731*(1+N(M731)),2))</f>
        <v/>
      </c>
      <c r="T731" s="55">
        <f>IF(B731="","",SUMIFS('REVENUE'!$C$5:$C$1504,'REVENUE'!$B$5:$B$1504,A731))</f>
        <v/>
      </c>
      <c r="U731" s="55">
        <f>IF(B731="","",IF(O731="Completed",MAX(0,N(S731)-T731),""))</f>
        <v/>
      </c>
      <c r="V731" s="49">
        <f>IF(B731="","",IF(O731&lt;&gt;"Completed",IF(T731&gt;0,"Deposit","—"),IF(U731&lt;=0.005,"Paid",IF(T731&gt;0,"Partial","Unpaid"))))</f>
        <v/>
      </c>
      <c r="W731" s="55">
        <f>IF(B731="","",IFERROR(1/(1/INDEX('STAFF &amp; TASKS'!$C$5:$C$24,MATCH(H731,'STAFF &amp; TASKS'!$A$5:$A$24,0))),PayRate))</f>
        <v/>
      </c>
      <c r="X731" s="55">
        <f>IF(B731="","",IF(OR(O731="Cancelled",O731="No-Show"),"",ROUND(R731*W731*(1+Burden),2)))</f>
        <v/>
      </c>
      <c r="Y731" s="55">
        <f>IF(B731="","",IF(OR(O731="Cancelled",O731="No-Show"),"",IF(N731&lt;&gt;"",N731,ROUND(R731*SupHr*IFERROR(INDEX('PRICING'!$G$7:$G$16,MATCH(F731,'PRICING'!$A$7:$A$16,0)),1),2))))</f>
        <v/>
      </c>
      <c r="Z731" s="98">
        <f>IF(B731="","",SUMIFS('MILEAGE'!$J$5:$J$1504,'MILEAGE'!$B$5:$B$1504,A731))</f>
        <v/>
      </c>
      <c r="AA731" s="55">
        <f>IF(B731="","",ROUND(Z731*MileRate,2))</f>
        <v/>
      </c>
      <c r="AB731" s="55">
        <f>IF(B731="","",SUMIFS('REVENUE'!$J$5:$J$1504,'REVENUE'!$B$5:$B$1504,A731))</f>
        <v/>
      </c>
      <c r="AC731" s="55">
        <f>IF(L731="","",IF(OR(O731="Cancelled",O731="No-Show"),"",L731-N(X731)-N(Y731)-AA731-AB731))</f>
        <v/>
      </c>
      <c r="AD731" s="99">
        <f>IF(OR(AC731="",N(L731)=0),"",AC731/L731)</f>
        <v/>
      </c>
      <c r="AE731" s="55">
        <f>IF(OR(AC731="",N(R731)=0),"",L731/R731)</f>
        <v/>
      </c>
      <c r="AF731" s="100">
        <f>IF(OR(N(K731)=0,N(J731)+N(Q731)=0),"",K731-IF(N(J731)&gt;0,J731,Q731))</f>
        <v/>
      </c>
      <c r="AG731" s="99">
        <f>IF(B731="","",IFERROR(AVERAGEIFS('QUALITY CONTROL'!$M$5:$M$304,'QUALITY CONTROL'!$B$5:$B$304,A731),""))</f>
        <v/>
      </c>
      <c r="AH731" s="51">
        <f>IF(B731="","",DATE(YEAR(B731),MONTH(B731),1))</f>
        <v/>
      </c>
      <c r="AI731" s="49">
        <f>IF(D731="","",IFERROR(INDEX('CUSTOMERS'!$E$5:$E$404,MATCH(D731,'CUSTOMERS'!$B$5:$B$404,0)),""))</f>
        <v/>
      </c>
      <c r="AJ731" s="49">
        <f>IF(B731="","",N(C731))</f>
        <v/>
      </c>
      <c r="AK731" s="49">
        <f>IF(OR(B731="",O731="Cancelled",O731="Rescheduled"),"",B731&amp;"|"&amp;(COUNTIFS('JOBS'!$B$5:$B$1504,B731,'JOBS'!$AJ$5:$AJ$1504,"&lt;"&amp;AJ731,'JOBS'!$O$5:$O$1504,"&lt;&gt;Cancelled",'JOBS'!$O$5:$O$1504,"&lt;&gt;Rescheduled")+COUNTIFS($B$5:B731,B731,$AJ$5:AJ731,AJ731,$O$5:O731,"&lt;&gt;Cancelled",$O$5:O731,"&lt;&gt;Rescheduled")))</f>
        <v/>
      </c>
      <c r="AL731" s="49">
        <f>IF(N(U731)&lt;=0.005,"",COUNTIFS('JOBS'!$U$5:$U$1504,"&gt;0.005",'JOBS'!$B$5:$B$1504,"&lt;"&amp;B731)+COUNTIFS($U$5:U731,"&gt;0.005",$B$5:B731,B731))</f>
        <v/>
      </c>
    </row>
    <row r="732">
      <c r="A732" s="46" t="inlineStr">
        <is>
          <t>J-0728</t>
        </is>
      </c>
      <c r="B732" s="47" t="n"/>
      <c r="C732" s="94" t="n"/>
      <c r="D732" s="38" t="n"/>
      <c r="E732" s="38" t="n"/>
      <c r="F732" s="38" t="n"/>
      <c r="G732" s="38" t="n"/>
      <c r="H732" s="38" t="n"/>
      <c r="I732" s="57" t="n"/>
      <c r="J732" s="95" t="n"/>
      <c r="K732" s="95" t="n"/>
      <c r="L732" s="48" t="n"/>
      <c r="M732" s="96" t="n"/>
      <c r="N732" s="48" t="n"/>
      <c r="O732" s="38" t="n"/>
      <c r="P732" s="38" t="n"/>
      <c r="Q732" s="97">
        <f>IF(OR(F732="",E732=""),"",IFERROR(IF(INDEX('PROPERTIES'!$F$5:$F$404,MATCH(E732,'PROPERTIES'!$B$5:$B$404,0))=0,"",ROUND((INDEX('PROPERTIES'!$F$5:$F$404,MATCH(E732,'PROPERTIES'!$B$5:$B$404,0))/INDEX('PRICING'!$C$7:$C$16,MATCH(F732,'PRICING'!$A$7:$A$16,0))+INDEX('PROPERTIES'!$G$5:$G$404,MATCH(E732,'PROPERTIES'!$B$5:$B$404,0))*INDEX('PRICING'!$D$7:$D$16,MATCH(F732,'PRICING'!$A$7:$A$16,0))/60+INDEX('PROPERTIES'!$H$5:$H$404,MATCH(E732,'PROPERTIES'!$B$5:$B$404,0))*INDEX('PRICING'!$E$7:$E$16,MATCH(F732,'PRICING'!$A$7:$A$16,0))/60+INDEX('PRICING'!$F$7:$F$16,MATCH(F732,'PRICING'!$A$7:$A$16,0))/60),2)),""))</f>
        <v/>
      </c>
      <c r="R732" s="97">
        <f>IF(B732="","",IF(N(K732)&gt;0,K732,IF(N(J732)&gt;0,J732,N(Q732))))</f>
        <v/>
      </c>
      <c r="S732" s="55">
        <f>IF(L732="","",ROUND(L732*(1+N(M732)),2))</f>
        <v/>
      </c>
      <c r="T732" s="55">
        <f>IF(B732="","",SUMIFS('REVENUE'!$C$5:$C$1504,'REVENUE'!$B$5:$B$1504,A732))</f>
        <v/>
      </c>
      <c r="U732" s="55">
        <f>IF(B732="","",IF(O732="Completed",MAX(0,N(S732)-T732),""))</f>
        <v/>
      </c>
      <c r="V732" s="49">
        <f>IF(B732="","",IF(O732&lt;&gt;"Completed",IF(T732&gt;0,"Deposit","—"),IF(U732&lt;=0.005,"Paid",IF(T732&gt;0,"Partial","Unpaid"))))</f>
        <v/>
      </c>
      <c r="W732" s="55">
        <f>IF(B732="","",IFERROR(1/(1/INDEX('STAFF &amp; TASKS'!$C$5:$C$24,MATCH(H732,'STAFF &amp; TASKS'!$A$5:$A$24,0))),PayRate))</f>
        <v/>
      </c>
      <c r="X732" s="55">
        <f>IF(B732="","",IF(OR(O732="Cancelled",O732="No-Show"),"",ROUND(R732*W732*(1+Burden),2)))</f>
        <v/>
      </c>
      <c r="Y732" s="55">
        <f>IF(B732="","",IF(OR(O732="Cancelled",O732="No-Show"),"",IF(N732&lt;&gt;"",N732,ROUND(R732*SupHr*IFERROR(INDEX('PRICING'!$G$7:$G$16,MATCH(F732,'PRICING'!$A$7:$A$16,0)),1),2))))</f>
        <v/>
      </c>
      <c r="Z732" s="98">
        <f>IF(B732="","",SUMIFS('MILEAGE'!$J$5:$J$1504,'MILEAGE'!$B$5:$B$1504,A732))</f>
        <v/>
      </c>
      <c r="AA732" s="55">
        <f>IF(B732="","",ROUND(Z732*MileRate,2))</f>
        <v/>
      </c>
      <c r="AB732" s="55">
        <f>IF(B732="","",SUMIFS('REVENUE'!$J$5:$J$1504,'REVENUE'!$B$5:$B$1504,A732))</f>
        <v/>
      </c>
      <c r="AC732" s="55">
        <f>IF(L732="","",IF(OR(O732="Cancelled",O732="No-Show"),"",L732-N(X732)-N(Y732)-AA732-AB732))</f>
        <v/>
      </c>
      <c r="AD732" s="99">
        <f>IF(OR(AC732="",N(L732)=0),"",AC732/L732)</f>
        <v/>
      </c>
      <c r="AE732" s="55">
        <f>IF(OR(AC732="",N(R732)=0),"",L732/R732)</f>
        <v/>
      </c>
      <c r="AF732" s="100">
        <f>IF(OR(N(K732)=0,N(J732)+N(Q732)=0),"",K732-IF(N(J732)&gt;0,J732,Q732))</f>
        <v/>
      </c>
      <c r="AG732" s="99">
        <f>IF(B732="","",IFERROR(AVERAGEIFS('QUALITY CONTROL'!$M$5:$M$304,'QUALITY CONTROL'!$B$5:$B$304,A732),""))</f>
        <v/>
      </c>
      <c r="AH732" s="51">
        <f>IF(B732="","",DATE(YEAR(B732),MONTH(B732),1))</f>
        <v/>
      </c>
      <c r="AI732" s="49">
        <f>IF(D732="","",IFERROR(INDEX('CUSTOMERS'!$E$5:$E$404,MATCH(D732,'CUSTOMERS'!$B$5:$B$404,0)),""))</f>
        <v/>
      </c>
      <c r="AJ732" s="49">
        <f>IF(B732="","",N(C732))</f>
        <v/>
      </c>
      <c r="AK732" s="49">
        <f>IF(OR(B732="",O732="Cancelled",O732="Rescheduled"),"",B732&amp;"|"&amp;(COUNTIFS('JOBS'!$B$5:$B$1504,B732,'JOBS'!$AJ$5:$AJ$1504,"&lt;"&amp;AJ732,'JOBS'!$O$5:$O$1504,"&lt;&gt;Cancelled",'JOBS'!$O$5:$O$1504,"&lt;&gt;Rescheduled")+COUNTIFS($B$5:B732,B732,$AJ$5:AJ732,AJ732,$O$5:O732,"&lt;&gt;Cancelled",$O$5:O732,"&lt;&gt;Rescheduled")))</f>
        <v/>
      </c>
      <c r="AL732" s="49">
        <f>IF(N(U732)&lt;=0.005,"",COUNTIFS('JOBS'!$U$5:$U$1504,"&gt;0.005",'JOBS'!$B$5:$B$1504,"&lt;"&amp;B732)+COUNTIFS($U$5:U732,"&gt;0.005",$B$5:B732,B732))</f>
        <v/>
      </c>
    </row>
    <row r="733">
      <c r="A733" s="46" t="inlineStr">
        <is>
          <t>J-0729</t>
        </is>
      </c>
      <c r="B733" s="47" t="n"/>
      <c r="C733" s="94" t="n"/>
      <c r="D733" s="38" t="n"/>
      <c r="E733" s="38" t="n"/>
      <c r="F733" s="38" t="n"/>
      <c r="G733" s="38" t="n"/>
      <c r="H733" s="38" t="n"/>
      <c r="I733" s="57" t="n"/>
      <c r="J733" s="95" t="n"/>
      <c r="K733" s="95" t="n"/>
      <c r="L733" s="48" t="n"/>
      <c r="M733" s="96" t="n"/>
      <c r="N733" s="48" t="n"/>
      <c r="O733" s="38" t="n"/>
      <c r="P733" s="38" t="n"/>
      <c r="Q733" s="97">
        <f>IF(OR(F733="",E733=""),"",IFERROR(IF(INDEX('PROPERTIES'!$F$5:$F$404,MATCH(E733,'PROPERTIES'!$B$5:$B$404,0))=0,"",ROUND((INDEX('PROPERTIES'!$F$5:$F$404,MATCH(E733,'PROPERTIES'!$B$5:$B$404,0))/INDEX('PRICING'!$C$7:$C$16,MATCH(F733,'PRICING'!$A$7:$A$16,0))+INDEX('PROPERTIES'!$G$5:$G$404,MATCH(E733,'PROPERTIES'!$B$5:$B$404,0))*INDEX('PRICING'!$D$7:$D$16,MATCH(F733,'PRICING'!$A$7:$A$16,0))/60+INDEX('PROPERTIES'!$H$5:$H$404,MATCH(E733,'PROPERTIES'!$B$5:$B$404,0))*INDEX('PRICING'!$E$7:$E$16,MATCH(F733,'PRICING'!$A$7:$A$16,0))/60+INDEX('PRICING'!$F$7:$F$16,MATCH(F733,'PRICING'!$A$7:$A$16,0))/60),2)),""))</f>
        <v/>
      </c>
      <c r="R733" s="97">
        <f>IF(B733="","",IF(N(K733)&gt;0,K733,IF(N(J733)&gt;0,J733,N(Q733))))</f>
        <v/>
      </c>
      <c r="S733" s="55">
        <f>IF(L733="","",ROUND(L733*(1+N(M733)),2))</f>
        <v/>
      </c>
      <c r="T733" s="55">
        <f>IF(B733="","",SUMIFS('REVENUE'!$C$5:$C$1504,'REVENUE'!$B$5:$B$1504,A733))</f>
        <v/>
      </c>
      <c r="U733" s="55">
        <f>IF(B733="","",IF(O733="Completed",MAX(0,N(S733)-T733),""))</f>
        <v/>
      </c>
      <c r="V733" s="49">
        <f>IF(B733="","",IF(O733&lt;&gt;"Completed",IF(T733&gt;0,"Deposit","—"),IF(U733&lt;=0.005,"Paid",IF(T733&gt;0,"Partial","Unpaid"))))</f>
        <v/>
      </c>
      <c r="W733" s="55">
        <f>IF(B733="","",IFERROR(1/(1/INDEX('STAFF &amp; TASKS'!$C$5:$C$24,MATCH(H733,'STAFF &amp; TASKS'!$A$5:$A$24,0))),PayRate))</f>
        <v/>
      </c>
      <c r="X733" s="55">
        <f>IF(B733="","",IF(OR(O733="Cancelled",O733="No-Show"),"",ROUND(R733*W733*(1+Burden),2)))</f>
        <v/>
      </c>
      <c r="Y733" s="55">
        <f>IF(B733="","",IF(OR(O733="Cancelled",O733="No-Show"),"",IF(N733&lt;&gt;"",N733,ROUND(R733*SupHr*IFERROR(INDEX('PRICING'!$G$7:$G$16,MATCH(F733,'PRICING'!$A$7:$A$16,0)),1),2))))</f>
        <v/>
      </c>
      <c r="Z733" s="98">
        <f>IF(B733="","",SUMIFS('MILEAGE'!$J$5:$J$1504,'MILEAGE'!$B$5:$B$1504,A733))</f>
        <v/>
      </c>
      <c r="AA733" s="55">
        <f>IF(B733="","",ROUND(Z733*MileRate,2))</f>
        <v/>
      </c>
      <c r="AB733" s="55">
        <f>IF(B733="","",SUMIFS('REVENUE'!$J$5:$J$1504,'REVENUE'!$B$5:$B$1504,A733))</f>
        <v/>
      </c>
      <c r="AC733" s="55">
        <f>IF(L733="","",IF(OR(O733="Cancelled",O733="No-Show"),"",L733-N(X733)-N(Y733)-AA733-AB733))</f>
        <v/>
      </c>
      <c r="AD733" s="99">
        <f>IF(OR(AC733="",N(L733)=0),"",AC733/L733)</f>
        <v/>
      </c>
      <c r="AE733" s="55">
        <f>IF(OR(AC733="",N(R733)=0),"",L733/R733)</f>
        <v/>
      </c>
      <c r="AF733" s="100">
        <f>IF(OR(N(K733)=0,N(J733)+N(Q733)=0),"",K733-IF(N(J733)&gt;0,J733,Q733))</f>
        <v/>
      </c>
      <c r="AG733" s="99">
        <f>IF(B733="","",IFERROR(AVERAGEIFS('QUALITY CONTROL'!$M$5:$M$304,'QUALITY CONTROL'!$B$5:$B$304,A733),""))</f>
        <v/>
      </c>
      <c r="AH733" s="51">
        <f>IF(B733="","",DATE(YEAR(B733),MONTH(B733),1))</f>
        <v/>
      </c>
      <c r="AI733" s="49">
        <f>IF(D733="","",IFERROR(INDEX('CUSTOMERS'!$E$5:$E$404,MATCH(D733,'CUSTOMERS'!$B$5:$B$404,0)),""))</f>
        <v/>
      </c>
      <c r="AJ733" s="49">
        <f>IF(B733="","",N(C733))</f>
        <v/>
      </c>
      <c r="AK733" s="49">
        <f>IF(OR(B733="",O733="Cancelled",O733="Rescheduled"),"",B733&amp;"|"&amp;(COUNTIFS('JOBS'!$B$5:$B$1504,B733,'JOBS'!$AJ$5:$AJ$1504,"&lt;"&amp;AJ733,'JOBS'!$O$5:$O$1504,"&lt;&gt;Cancelled",'JOBS'!$O$5:$O$1504,"&lt;&gt;Rescheduled")+COUNTIFS($B$5:B733,B733,$AJ$5:AJ733,AJ733,$O$5:O733,"&lt;&gt;Cancelled",$O$5:O733,"&lt;&gt;Rescheduled")))</f>
        <v/>
      </c>
      <c r="AL733" s="49">
        <f>IF(N(U733)&lt;=0.005,"",COUNTIFS('JOBS'!$U$5:$U$1504,"&gt;0.005",'JOBS'!$B$5:$B$1504,"&lt;"&amp;B733)+COUNTIFS($U$5:U733,"&gt;0.005",$B$5:B733,B733))</f>
        <v/>
      </c>
    </row>
    <row r="734">
      <c r="A734" s="46" t="inlineStr">
        <is>
          <t>J-0730</t>
        </is>
      </c>
      <c r="B734" s="47" t="n"/>
      <c r="C734" s="94" t="n"/>
      <c r="D734" s="38" t="n"/>
      <c r="E734" s="38" t="n"/>
      <c r="F734" s="38" t="n"/>
      <c r="G734" s="38" t="n"/>
      <c r="H734" s="38" t="n"/>
      <c r="I734" s="57" t="n"/>
      <c r="J734" s="95" t="n"/>
      <c r="K734" s="95" t="n"/>
      <c r="L734" s="48" t="n"/>
      <c r="M734" s="96" t="n"/>
      <c r="N734" s="48" t="n"/>
      <c r="O734" s="38" t="n"/>
      <c r="P734" s="38" t="n"/>
      <c r="Q734" s="97">
        <f>IF(OR(F734="",E734=""),"",IFERROR(IF(INDEX('PROPERTIES'!$F$5:$F$404,MATCH(E734,'PROPERTIES'!$B$5:$B$404,0))=0,"",ROUND((INDEX('PROPERTIES'!$F$5:$F$404,MATCH(E734,'PROPERTIES'!$B$5:$B$404,0))/INDEX('PRICING'!$C$7:$C$16,MATCH(F734,'PRICING'!$A$7:$A$16,0))+INDEX('PROPERTIES'!$G$5:$G$404,MATCH(E734,'PROPERTIES'!$B$5:$B$404,0))*INDEX('PRICING'!$D$7:$D$16,MATCH(F734,'PRICING'!$A$7:$A$16,0))/60+INDEX('PROPERTIES'!$H$5:$H$404,MATCH(E734,'PROPERTIES'!$B$5:$B$404,0))*INDEX('PRICING'!$E$7:$E$16,MATCH(F734,'PRICING'!$A$7:$A$16,0))/60+INDEX('PRICING'!$F$7:$F$16,MATCH(F734,'PRICING'!$A$7:$A$16,0))/60),2)),""))</f>
        <v/>
      </c>
      <c r="R734" s="97">
        <f>IF(B734="","",IF(N(K734)&gt;0,K734,IF(N(J734)&gt;0,J734,N(Q734))))</f>
        <v/>
      </c>
      <c r="S734" s="55">
        <f>IF(L734="","",ROUND(L734*(1+N(M734)),2))</f>
        <v/>
      </c>
      <c r="T734" s="55">
        <f>IF(B734="","",SUMIFS('REVENUE'!$C$5:$C$1504,'REVENUE'!$B$5:$B$1504,A734))</f>
        <v/>
      </c>
      <c r="U734" s="55">
        <f>IF(B734="","",IF(O734="Completed",MAX(0,N(S734)-T734),""))</f>
        <v/>
      </c>
      <c r="V734" s="49">
        <f>IF(B734="","",IF(O734&lt;&gt;"Completed",IF(T734&gt;0,"Deposit","—"),IF(U734&lt;=0.005,"Paid",IF(T734&gt;0,"Partial","Unpaid"))))</f>
        <v/>
      </c>
      <c r="W734" s="55">
        <f>IF(B734="","",IFERROR(1/(1/INDEX('STAFF &amp; TASKS'!$C$5:$C$24,MATCH(H734,'STAFF &amp; TASKS'!$A$5:$A$24,0))),PayRate))</f>
        <v/>
      </c>
      <c r="X734" s="55">
        <f>IF(B734="","",IF(OR(O734="Cancelled",O734="No-Show"),"",ROUND(R734*W734*(1+Burden),2)))</f>
        <v/>
      </c>
      <c r="Y734" s="55">
        <f>IF(B734="","",IF(OR(O734="Cancelled",O734="No-Show"),"",IF(N734&lt;&gt;"",N734,ROUND(R734*SupHr*IFERROR(INDEX('PRICING'!$G$7:$G$16,MATCH(F734,'PRICING'!$A$7:$A$16,0)),1),2))))</f>
        <v/>
      </c>
      <c r="Z734" s="98">
        <f>IF(B734="","",SUMIFS('MILEAGE'!$J$5:$J$1504,'MILEAGE'!$B$5:$B$1504,A734))</f>
        <v/>
      </c>
      <c r="AA734" s="55">
        <f>IF(B734="","",ROUND(Z734*MileRate,2))</f>
        <v/>
      </c>
      <c r="AB734" s="55">
        <f>IF(B734="","",SUMIFS('REVENUE'!$J$5:$J$1504,'REVENUE'!$B$5:$B$1504,A734))</f>
        <v/>
      </c>
      <c r="AC734" s="55">
        <f>IF(L734="","",IF(OR(O734="Cancelled",O734="No-Show"),"",L734-N(X734)-N(Y734)-AA734-AB734))</f>
        <v/>
      </c>
      <c r="AD734" s="99">
        <f>IF(OR(AC734="",N(L734)=0),"",AC734/L734)</f>
        <v/>
      </c>
      <c r="AE734" s="55">
        <f>IF(OR(AC734="",N(R734)=0),"",L734/R734)</f>
        <v/>
      </c>
      <c r="AF734" s="100">
        <f>IF(OR(N(K734)=0,N(J734)+N(Q734)=0),"",K734-IF(N(J734)&gt;0,J734,Q734))</f>
        <v/>
      </c>
      <c r="AG734" s="99">
        <f>IF(B734="","",IFERROR(AVERAGEIFS('QUALITY CONTROL'!$M$5:$M$304,'QUALITY CONTROL'!$B$5:$B$304,A734),""))</f>
        <v/>
      </c>
      <c r="AH734" s="51">
        <f>IF(B734="","",DATE(YEAR(B734),MONTH(B734),1))</f>
        <v/>
      </c>
      <c r="AI734" s="49">
        <f>IF(D734="","",IFERROR(INDEX('CUSTOMERS'!$E$5:$E$404,MATCH(D734,'CUSTOMERS'!$B$5:$B$404,0)),""))</f>
        <v/>
      </c>
      <c r="AJ734" s="49">
        <f>IF(B734="","",N(C734))</f>
        <v/>
      </c>
      <c r="AK734" s="49">
        <f>IF(OR(B734="",O734="Cancelled",O734="Rescheduled"),"",B734&amp;"|"&amp;(COUNTIFS('JOBS'!$B$5:$B$1504,B734,'JOBS'!$AJ$5:$AJ$1504,"&lt;"&amp;AJ734,'JOBS'!$O$5:$O$1504,"&lt;&gt;Cancelled",'JOBS'!$O$5:$O$1504,"&lt;&gt;Rescheduled")+COUNTIFS($B$5:B734,B734,$AJ$5:AJ734,AJ734,$O$5:O734,"&lt;&gt;Cancelled",$O$5:O734,"&lt;&gt;Rescheduled")))</f>
        <v/>
      </c>
      <c r="AL734" s="49">
        <f>IF(N(U734)&lt;=0.005,"",COUNTIFS('JOBS'!$U$5:$U$1504,"&gt;0.005",'JOBS'!$B$5:$B$1504,"&lt;"&amp;B734)+COUNTIFS($U$5:U734,"&gt;0.005",$B$5:B734,B734))</f>
        <v/>
      </c>
    </row>
    <row r="735">
      <c r="A735" s="46" t="inlineStr">
        <is>
          <t>J-0731</t>
        </is>
      </c>
      <c r="B735" s="47" t="n"/>
      <c r="C735" s="94" t="n"/>
      <c r="D735" s="38" t="n"/>
      <c r="E735" s="38" t="n"/>
      <c r="F735" s="38" t="n"/>
      <c r="G735" s="38" t="n"/>
      <c r="H735" s="38" t="n"/>
      <c r="I735" s="57" t="n"/>
      <c r="J735" s="95" t="n"/>
      <c r="K735" s="95" t="n"/>
      <c r="L735" s="48" t="n"/>
      <c r="M735" s="96" t="n"/>
      <c r="N735" s="48" t="n"/>
      <c r="O735" s="38" t="n"/>
      <c r="P735" s="38" t="n"/>
      <c r="Q735" s="97">
        <f>IF(OR(F735="",E735=""),"",IFERROR(IF(INDEX('PROPERTIES'!$F$5:$F$404,MATCH(E735,'PROPERTIES'!$B$5:$B$404,0))=0,"",ROUND((INDEX('PROPERTIES'!$F$5:$F$404,MATCH(E735,'PROPERTIES'!$B$5:$B$404,0))/INDEX('PRICING'!$C$7:$C$16,MATCH(F735,'PRICING'!$A$7:$A$16,0))+INDEX('PROPERTIES'!$G$5:$G$404,MATCH(E735,'PROPERTIES'!$B$5:$B$404,0))*INDEX('PRICING'!$D$7:$D$16,MATCH(F735,'PRICING'!$A$7:$A$16,0))/60+INDEX('PROPERTIES'!$H$5:$H$404,MATCH(E735,'PROPERTIES'!$B$5:$B$404,0))*INDEX('PRICING'!$E$7:$E$16,MATCH(F735,'PRICING'!$A$7:$A$16,0))/60+INDEX('PRICING'!$F$7:$F$16,MATCH(F735,'PRICING'!$A$7:$A$16,0))/60),2)),""))</f>
        <v/>
      </c>
      <c r="R735" s="97">
        <f>IF(B735="","",IF(N(K735)&gt;0,K735,IF(N(J735)&gt;0,J735,N(Q735))))</f>
        <v/>
      </c>
      <c r="S735" s="55">
        <f>IF(L735="","",ROUND(L735*(1+N(M735)),2))</f>
        <v/>
      </c>
      <c r="T735" s="55">
        <f>IF(B735="","",SUMIFS('REVENUE'!$C$5:$C$1504,'REVENUE'!$B$5:$B$1504,A735))</f>
        <v/>
      </c>
      <c r="U735" s="55">
        <f>IF(B735="","",IF(O735="Completed",MAX(0,N(S735)-T735),""))</f>
        <v/>
      </c>
      <c r="V735" s="49">
        <f>IF(B735="","",IF(O735&lt;&gt;"Completed",IF(T735&gt;0,"Deposit","—"),IF(U735&lt;=0.005,"Paid",IF(T735&gt;0,"Partial","Unpaid"))))</f>
        <v/>
      </c>
      <c r="W735" s="55">
        <f>IF(B735="","",IFERROR(1/(1/INDEX('STAFF &amp; TASKS'!$C$5:$C$24,MATCH(H735,'STAFF &amp; TASKS'!$A$5:$A$24,0))),PayRate))</f>
        <v/>
      </c>
      <c r="X735" s="55">
        <f>IF(B735="","",IF(OR(O735="Cancelled",O735="No-Show"),"",ROUND(R735*W735*(1+Burden),2)))</f>
        <v/>
      </c>
      <c r="Y735" s="55">
        <f>IF(B735="","",IF(OR(O735="Cancelled",O735="No-Show"),"",IF(N735&lt;&gt;"",N735,ROUND(R735*SupHr*IFERROR(INDEX('PRICING'!$G$7:$G$16,MATCH(F735,'PRICING'!$A$7:$A$16,0)),1),2))))</f>
        <v/>
      </c>
      <c r="Z735" s="98">
        <f>IF(B735="","",SUMIFS('MILEAGE'!$J$5:$J$1504,'MILEAGE'!$B$5:$B$1504,A735))</f>
        <v/>
      </c>
      <c r="AA735" s="55">
        <f>IF(B735="","",ROUND(Z735*MileRate,2))</f>
        <v/>
      </c>
      <c r="AB735" s="55">
        <f>IF(B735="","",SUMIFS('REVENUE'!$J$5:$J$1504,'REVENUE'!$B$5:$B$1504,A735))</f>
        <v/>
      </c>
      <c r="AC735" s="55">
        <f>IF(L735="","",IF(OR(O735="Cancelled",O735="No-Show"),"",L735-N(X735)-N(Y735)-AA735-AB735))</f>
        <v/>
      </c>
      <c r="AD735" s="99">
        <f>IF(OR(AC735="",N(L735)=0),"",AC735/L735)</f>
        <v/>
      </c>
      <c r="AE735" s="55">
        <f>IF(OR(AC735="",N(R735)=0),"",L735/R735)</f>
        <v/>
      </c>
      <c r="AF735" s="100">
        <f>IF(OR(N(K735)=0,N(J735)+N(Q735)=0),"",K735-IF(N(J735)&gt;0,J735,Q735))</f>
        <v/>
      </c>
      <c r="AG735" s="99">
        <f>IF(B735="","",IFERROR(AVERAGEIFS('QUALITY CONTROL'!$M$5:$M$304,'QUALITY CONTROL'!$B$5:$B$304,A735),""))</f>
        <v/>
      </c>
      <c r="AH735" s="51">
        <f>IF(B735="","",DATE(YEAR(B735),MONTH(B735),1))</f>
        <v/>
      </c>
      <c r="AI735" s="49">
        <f>IF(D735="","",IFERROR(INDEX('CUSTOMERS'!$E$5:$E$404,MATCH(D735,'CUSTOMERS'!$B$5:$B$404,0)),""))</f>
        <v/>
      </c>
      <c r="AJ735" s="49">
        <f>IF(B735="","",N(C735))</f>
        <v/>
      </c>
      <c r="AK735" s="49">
        <f>IF(OR(B735="",O735="Cancelled",O735="Rescheduled"),"",B735&amp;"|"&amp;(COUNTIFS('JOBS'!$B$5:$B$1504,B735,'JOBS'!$AJ$5:$AJ$1504,"&lt;"&amp;AJ735,'JOBS'!$O$5:$O$1504,"&lt;&gt;Cancelled",'JOBS'!$O$5:$O$1504,"&lt;&gt;Rescheduled")+COUNTIFS($B$5:B735,B735,$AJ$5:AJ735,AJ735,$O$5:O735,"&lt;&gt;Cancelled",$O$5:O735,"&lt;&gt;Rescheduled")))</f>
        <v/>
      </c>
      <c r="AL735" s="49">
        <f>IF(N(U735)&lt;=0.005,"",COUNTIFS('JOBS'!$U$5:$U$1504,"&gt;0.005",'JOBS'!$B$5:$B$1504,"&lt;"&amp;B735)+COUNTIFS($U$5:U735,"&gt;0.005",$B$5:B735,B735))</f>
        <v/>
      </c>
    </row>
    <row r="736">
      <c r="A736" s="46" t="inlineStr">
        <is>
          <t>J-0732</t>
        </is>
      </c>
      <c r="B736" s="47" t="n"/>
      <c r="C736" s="94" t="n"/>
      <c r="D736" s="38" t="n"/>
      <c r="E736" s="38" t="n"/>
      <c r="F736" s="38" t="n"/>
      <c r="G736" s="38" t="n"/>
      <c r="H736" s="38" t="n"/>
      <c r="I736" s="57" t="n"/>
      <c r="J736" s="95" t="n"/>
      <c r="K736" s="95" t="n"/>
      <c r="L736" s="48" t="n"/>
      <c r="M736" s="96" t="n"/>
      <c r="N736" s="48" t="n"/>
      <c r="O736" s="38" t="n"/>
      <c r="P736" s="38" t="n"/>
      <c r="Q736" s="97">
        <f>IF(OR(F736="",E736=""),"",IFERROR(IF(INDEX('PROPERTIES'!$F$5:$F$404,MATCH(E736,'PROPERTIES'!$B$5:$B$404,0))=0,"",ROUND((INDEX('PROPERTIES'!$F$5:$F$404,MATCH(E736,'PROPERTIES'!$B$5:$B$404,0))/INDEX('PRICING'!$C$7:$C$16,MATCH(F736,'PRICING'!$A$7:$A$16,0))+INDEX('PROPERTIES'!$G$5:$G$404,MATCH(E736,'PROPERTIES'!$B$5:$B$404,0))*INDEX('PRICING'!$D$7:$D$16,MATCH(F736,'PRICING'!$A$7:$A$16,0))/60+INDEX('PROPERTIES'!$H$5:$H$404,MATCH(E736,'PROPERTIES'!$B$5:$B$404,0))*INDEX('PRICING'!$E$7:$E$16,MATCH(F736,'PRICING'!$A$7:$A$16,0))/60+INDEX('PRICING'!$F$7:$F$16,MATCH(F736,'PRICING'!$A$7:$A$16,0))/60),2)),""))</f>
        <v/>
      </c>
      <c r="R736" s="97">
        <f>IF(B736="","",IF(N(K736)&gt;0,K736,IF(N(J736)&gt;0,J736,N(Q736))))</f>
        <v/>
      </c>
      <c r="S736" s="55">
        <f>IF(L736="","",ROUND(L736*(1+N(M736)),2))</f>
        <v/>
      </c>
      <c r="T736" s="55">
        <f>IF(B736="","",SUMIFS('REVENUE'!$C$5:$C$1504,'REVENUE'!$B$5:$B$1504,A736))</f>
        <v/>
      </c>
      <c r="U736" s="55">
        <f>IF(B736="","",IF(O736="Completed",MAX(0,N(S736)-T736),""))</f>
        <v/>
      </c>
      <c r="V736" s="49">
        <f>IF(B736="","",IF(O736&lt;&gt;"Completed",IF(T736&gt;0,"Deposit","—"),IF(U736&lt;=0.005,"Paid",IF(T736&gt;0,"Partial","Unpaid"))))</f>
        <v/>
      </c>
      <c r="W736" s="55">
        <f>IF(B736="","",IFERROR(1/(1/INDEX('STAFF &amp; TASKS'!$C$5:$C$24,MATCH(H736,'STAFF &amp; TASKS'!$A$5:$A$24,0))),PayRate))</f>
        <v/>
      </c>
      <c r="X736" s="55">
        <f>IF(B736="","",IF(OR(O736="Cancelled",O736="No-Show"),"",ROUND(R736*W736*(1+Burden),2)))</f>
        <v/>
      </c>
      <c r="Y736" s="55">
        <f>IF(B736="","",IF(OR(O736="Cancelled",O736="No-Show"),"",IF(N736&lt;&gt;"",N736,ROUND(R736*SupHr*IFERROR(INDEX('PRICING'!$G$7:$G$16,MATCH(F736,'PRICING'!$A$7:$A$16,0)),1),2))))</f>
        <v/>
      </c>
      <c r="Z736" s="98">
        <f>IF(B736="","",SUMIFS('MILEAGE'!$J$5:$J$1504,'MILEAGE'!$B$5:$B$1504,A736))</f>
        <v/>
      </c>
      <c r="AA736" s="55">
        <f>IF(B736="","",ROUND(Z736*MileRate,2))</f>
        <v/>
      </c>
      <c r="AB736" s="55">
        <f>IF(B736="","",SUMIFS('REVENUE'!$J$5:$J$1504,'REVENUE'!$B$5:$B$1504,A736))</f>
        <v/>
      </c>
      <c r="AC736" s="55">
        <f>IF(L736="","",IF(OR(O736="Cancelled",O736="No-Show"),"",L736-N(X736)-N(Y736)-AA736-AB736))</f>
        <v/>
      </c>
      <c r="AD736" s="99">
        <f>IF(OR(AC736="",N(L736)=0),"",AC736/L736)</f>
        <v/>
      </c>
      <c r="AE736" s="55">
        <f>IF(OR(AC736="",N(R736)=0),"",L736/R736)</f>
        <v/>
      </c>
      <c r="AF736" s="100">
        <f>IF(OR(N(K736)=0,N(J736)+N(Q736)=0),"",K736-IF(N(J736)&gt;0,J736,Q736))</f>
        <v/>
      </c>
      <c r="AG736" s="99">
        <f>IF(B736="","",IFERROR(AVERAGEIFS('QUALITY CONTROL'!$M$5:$M$304,'QUALITY CONTROL'!$B$5:$B$304,A736),""))</f>
        <v/>
      </c>
      <c r="AH736" s="51">
        <f>IF(B736="","",DATE(YEAR(B736),MONTH(B736),1))</f>
        <v/>
      </c>
      <c r="AI736" s="49">
        <f>IF(D736="","",IFERROR(INDEX('CUSTOMERS'!$E$5:$E$404,MATCH(D736,'CUSTOMERS'!$B$5:$B$404,0)),""))</f>
        <v/>
      </c>
      <c r="AJ736" s="49">
        <f>IF(B736="","",N(C736))</f>
        <v/>
      </c>
      <c r="AK736" s="49">
        <f>IF(OR(B736="",O736="Cancelled",O736="Rescheduled"),"",B736&amp;"|"&amp;(COUNTIFS('JOBS'!$B$5:$B$1504,B736,'JOBS'!$AJ$5:$AJ$1504,"&lt;"&amp;AJ736,'JOBS'!$O$5:$O$1504,"&lt;&gt;Cancelled",'JOBS'!$O$5:$O$1504,"&lt;&gt;Rescheduled")+COUNTIFS($B$5:B736,B736,$AJ$5:AJ736,AJ736,$O$5:O736,"&lt;&gt;Cancelled",$O$5:O736,"&lt;&gt;Rescheduled")))</f>
        <v/>
      </c>
      <c r="AL736" s="49">
        <f>IF(N(U736)&lt;=0.005,"",COUNTIFS('JOBS'!$U$5:$U$1504,"&gt;0.005",'JOBS'!$B$5:$B$1504,"&lt;"&amp;B736)+COUNTIFS($U$5:U736,"&gt;0.005",$B$5:B736,B736))</f>
        <v/>
      </c>
    </row>
    <row r="737">
      <c r="A737" s="46" t="inlineStr">
        <is>
          <t>J-0733</t>
        </is>
      </c>
      <c r="B737" s="47" t="n"/>
      <c r="C737" s="94" t="n"/>
      <c r="D737" s="38" t="n"/>
      <c r="E737" s="38" t="n"/>
      <c r="F737" s="38" t="n"/>
      <c r="G737" s="38" t="n"/>
      <c r="H737" s="38" t="n"/>
      <c r="I737" s="57" t="n"/>
      <c r="J737" s="95" t="n"/>
      <c r="K737" s="95" t="n"/>
      <c r="L737" s="48" t="n"/>
      <c r="M737" s="96" t="n"/>
      <c r="N737" s="48" t="n"/>
      <c r="O737" s="38" t="n"/>
      <c r="P737" s="38" t="n"/>
      <c r="Q737" s="97">
        <f>IF(OR(F737="",E737=""),"",IFERROR(IF(INDEX('PROPERTIES'!$F$5:$F$404,MATCH(E737,'PROPERTIES'!$B$5:$B$404,0))=0,"",ROUND((INDEX('PROPERTIES'!$F$5:$F$404,MATCH(E737,'PROPERTIES'!$B$5:$B$404,0))/INDEX('PRICING'!$C$7:$C$16,MATCH(F737,'PRICING'!$A$7:$A$16,0))+INDEX('PROPERTIES'!$G$5:$G$404,MATCH(E737,'PROPERTIES'!$B$5:$B$404,0))*INDEX('PRICING'!$D$7:$D$16,MATCH(F737,'PRICING'!$A$7:$A$16,0))/60+INDEX('PROPERTIES'!$H$5:$H$404,MATCH(E737,'PROPERTIES'!$B$5:$B$404,0))*INDEX('PRICING'!$E$7:$E$16,MATCH(F737,'PRICING'!$A$7:$A$16,0))/60+INDEX('PRICING'!$F$7:$F$16,MATCH(F737,'PRICING'!$A$7:$A$16,0))/60),2)),""))</f>
        <v/>
      </c>
      <c r="R737" s="97">
        <f>IF(B737="","",IF(N(K737)&gt;0,K737,IF(N(J737)&gt;0,J737,N(Q737))))</f>
        <v/>
      </c>
      <c r="S737" s="55">
        <f>IF(L737="","",ROUND(L737*(1+N(M737)),2))</f>
        <v/>
      </c>
      <c r="T737" s="55">
        <f>IF(B737="","",SUMIFS('REVENUE'!$C$5:$C$1504,'REVENUE'!$B$5:$B$1504,A737))</f>
        <v/>
      </c>
      <c r="U737" s="55">
        <f>IF(B737="","",IF(O737="Completed",MAX(0,N(S737)-T737),""))</f>
        <v/>
      </c>
      <c r="V737" s="49">
        <f>IF(B737="","",IF(O737&lt;&gt;"Completed",IF(T737&gt;0,"Deposit","—"),IF(U737&lt;=0.005,"Paid",IF(T737&gt;0,"Partial","Unpaid"))))</f>
        <v/>
      </c>
      <c r="W737" s="55">
        <f>IF(B737="","",IFERROR(1/(1/INDEX('STAFF &amp; TASKS'!$C$5:$C$24,MATCH(H737,'STAFF &amp; TASKS'!$A$5:$A$24,0))),PayRate))</f>
        <v/>
      </c>
      <c r="X737" s="55">
        <f>IF(B737="","",IF(OR(O737="Cancelled",O737="No-Show"),"",ROUND(R737*W737*(1+Burden),2)))</f>
        <v/>
      </c>
      <c r="Y737" s="55">
        <f>IF(B737="","",IF(OR(O737="Cancelled",O737="No-Show"),"",IF(N737&lt;&gt;"",N737,ROUND(R737*SupHr*IFERROR(INDEX('PRICING'!$G$7:$G$16,MATCH(F737,'PRICING'!$A$7:$A$16,0)),1),2))))</f>
        <v/>
      </c>
      <c r="Z737" s="98">
        <f>IF(B737="","",SUMIFS('MILEAGE'!$J$5:$J$1504,'MILEAGE'!$B$5:$B$1504,A737))</f>
        <v/>
      </c>
      <c r="AA737" s="55">
        <f>IF(B737="","",ROUND(Z737*MileRate,2))</f>
        <v/>
      </c>
      <c r="AB737" s="55">
        <f>IF(B737="","",SUMIFS('REVENUE'!$J$5:$J$1504,'REVENUE'!$B$5:$B$1504,A737))</f>
        <v/>
      </c>
      <c r="AC737" s="55">
        <f>IF(L737="","",IF(OR(O737="Cancelled",O737="No-Show"),"",L737-N(X737)-N(Y737)-AA737-AB737))</f>
        <v/>
      </c>
      <c r="AD737" s="99">
        <f>IF(OR(AC737="",N(L737)=0),"",AC737/L737)</f>
        <v/>
      </c>
      <c r="AE737" s="55">
        <f>IF(OR(AC737="",N(R737)=0),"",L737/R737)</f>
        <v/>
      </c>
      <c r="AF737" s="100">
        <f>IF(OR(N(K737)=0,N(J737)+N(Q737)=0),"",K737-IF(N(J737)&gt;0,J737,Q737))</f>
        <v/>
      </c>
      <c r="AG737" s="99">
        <f>IF(B737="","",IFERROR(AVERAGEIFS('QUALITY CONTROL'!$M$5:$M$304,'QUALITY CONTROL'!$B$5:$B$304,A737),""))</f>
        <v/>
      </c>
      <c r="AH737" s="51">
        <f>IF(B737="","",DATE(YEAR(B737),MONTH(B737),1))</f>
        <v/>
      </c>
      <c r="AI737" s="49">
        <f>IF(D737="","",IFERROR(INDEX('CUSTOMERS'!$E$5:$E$404,MATCH(D737,'CUSTOMERS'!$B$5:$B$404,0)),""))</f>
        <v/>
      </c>
      <c r="AJ737" s="49">
        <f>IF(B737="","",N(C737))</f>
        <v/>
      </c>
      <c r="AK737" s="49">
        <f>IF(OR(B737="",O737="Cancelled",O737="Rescheduled"),"",B737&amp;"|"&amp;(COUNTIFS('JOBS'!$B$5:$B$1504,B737,'JOBS'!$AJ$5:$AJ$1504,"&lt;"&amp;AJ737,'JOBS'!$O$5:$O$1504,"&lt;&gt;Cancelled",'JOBS'!$O$5:$O$1504,"&lt;&gt;Rescheduled")+COUNTIFS($B$5:B737,B737,$AJ$5:AJ737,AJ737,$O$5:O737,"&lt;&gt;Cancelled",$O$5:O737,"&lt;&gt;Rescheduled")))</f>
        <v/>
      </c>
      <c r="AL737" s="49">
        <f>IF(N(U737)&lt;=0.005,"",COUNTIFS('JOBS'!$U$5:$U$1504,"&gt;0.005",'JOBS'!$B$5:$B$1504,"&lt;"&amp;B737)+COUNTIFS($U$5:U737,"&gt;0.005",$B$5:B737,B737))</f>
        <v/>
      </c>
    </row>
    <row r="738">
      <c r="A738" s="46" t="inlineStr">
        <is>
          <t>J-0734</t>
        </is>
      </c>
      <c r="B738" s="47" t="n"/>
      <c r="C738" s="94" t="n"/>
      <c r="D738" s="38" t="n"/>
      <c r="E738" s="38" t="n"/>
      <c r="F738" s="38" t="n"/>
      <c r="G738" s="38" t="n"/>
      <c r="H738" s="38" t="n"/>
      <c r="I738" s="57" t="n"/>
      <c r="J738" s="95" t="n"/>
      <c r="K738" s="95" t="n"/>
      <c r="L738" s="48" t="n"/>
      <c r="M738" s="96" t="n"/>
      <c r="N738" s="48" t="n"/>
      <c r="O738" s="38" t="n"/>
      <c r="P738" s="38" t="n"/>
      <c r="Q738" s="97">
        <f>IF(OR(F738="",E738=""),"",IFERROR(IF(INDEX('PROPERTIES'!$F$5:$F$404,MATCH(E738,'PROPERTIES'!$B$5:$B$404,0))=0,"",ROUND((INDEX('PROPERTIES'!$F$5:$F$404,MATCH(E738,'PROPERTIES'!$B$5:$B$404,0))/INDEX('PRICING'!$C$7:$C$16,MATCH(F738,'PRICING'!$A$7:$A$16,0))+INDEX('PROPERTIES'!$G$5:$G$404,MATCH(E738,'PROPERTIES'!$B$5:$B$404,0))*INDEX('PRICING'!$D$7:$D$16,MATCH(F738,'PRICING'!$A$7:$A$16,0))/60+INDEX('PROPERTIES'!$H$5:$H$404,MATCH(E738,'PROPERTIES'!$B$5:$B$404,0))*INDEX('PRICING'!$E$7:$E$16,MATCH(F738,'PRICING'!$A$7:$A$16,0))/60+INDEX('PRICING'!$F$7:$F$16,MATCH(F738,'PRICING'!$A$7:$A$16,0))/60),2)),""))</f>
        <v/>
      </c>
      <c r="R738" s="97">
        <f>IF(B738="","",IF(N(K738)&gt;0,K738,IF(N(J738)&gt;0,J738,N(Q738))))</f>
        <v/>
      </c>
      <c r="S738" s="55">
        <f>IF(L738="","",ROUND(L738*(1+N(M738)),2))</f>
        <v/>
      </c>
      <c r="T738" s="55">
        <f>IF(B738="","",SUMIFS('REVENUE'!$C$5:$C$1504,'REVENUE'!$B$5:$B$1504,A738))</f>
        <v/>
      </c>
      <c r="U738" s="55">
        <f>IF(B738="","",IF(O738="Completed",MAX(0,N(S738)-T738),""))</f>
        <v/>
      </c>
      <c r="V738" s="49">
        <f>IF(B738="","",IF(O738&lt;&gt;"Completed",IF(T738&gt;0,"Deposit","—"),IF(U738&lt;=0.005,"Paid",IF(T738&gt;0,"Partial","Unpaid"))))</f>
        <v/>
      </c>
      <c r="W738" s="55">
        <f>IF(B738="","",IFERROR(1/(1/INDEX('STAFF &amp; TASKS'!$C$5:$C$24,MATCH(H738,'STAFF &amp; TASKS'!$A$5:$A$24,0))),PayRate))</f>
        <v/>
      </c>
      <c r="X738" s="55">
        <f>IF(B738="","",IF(OR(O738="Cancelled",O738="No-Show"),"",ROUND(R738*W738*(1+Burden),2)))</f>
        <v/>
      </c>
      <c r="Y738" s="55">
        <f>IF(B738="","",IF(OR(O738="Cancelled",O738="No-Show"),"",IF(N738&lt;&gt;"",N738,ROUND(R738*SupHr*IFERROR(INDEX('PRICING'!$G$7:$G$16,MATCH(F738,'PRICING'!$A$7:$A$16,0)),1),2))))</f>
        <v/>
      </c>
      <c r="Z738" s="98">
        <f>IF(B738="","",SUMIFS('MILEAGE'!$J$5:$J$1504,'MILEAGE'!$B$5:$B$1504,A738))</f>
        <v/>
      </c>
      <c r="AA738" s="55">
        <f>IF(B738="","",ROUND(Z738*MileRate,2))</f>
        <v/>
      </c>
      <c r="AB738" s="55">
        <f>IF(B738="","",SUMIFS('REVENUE'!$J$5:$J$1504,'REVENUE'!$B$5:$B$1504,A738))</f>
        <v/>
      </c>
      <c r="AC738" s="55">
        <f>IF(L738="","",IF(OR(O738="Cancelled",O738="No-Show"),"",L738-N(X738)-N(Y738)-AA738-AB738))</f>
        <v/>
      </c>
      <c r="AD738" s="99">
        <f>IF(OR(AC738="",N(L738)=0),"",AC738/L738)</f>
        <v/>
      </c>
      <c r="AE738" s="55">
        <f>IF(OR(AC738="",N(R738)=0),"",L738/R738)</f>
        <v/>
      </c>
      <c r="AF738" s="100">
        <f>IF(OR(N(K738)=0,N(J738)+N(Q738)=0),"",K738-IF(N(J738)&gt;0,J738,Q738))</f>
        <v/>
      </c>
      <c r="AG738" s="99">
        <f>IF(B738="","",IFERROR(AVERAGEIFS('QUALITY CONTROL'!$M$5:$M$304,'QUALITY CONTROL'!$B$5:$B$304,A738),""))</f>
        <v/>
      </c>
      <c r="AH738" s="51">
        <f>IF(B738="","",DATE(YEAR(B738),MONTH(B738),1))</f>
        <v/>
      </c>
      <c r="AI738" s="49">
        <f>IF(D738="","",IFERROR(INDEX('CUSTOMERS'!$E$5:$E$404,MATCH(D738,'CUSTOMERS'!$B$5:$B$404,0)),""))</f>
        <v/>
      </c>
      <c r="AJ738" s="49">
        <f>IF(B738="","",N(C738))</f>
        <v/>
      </c>
      <c r="AK738" s="49">
        <f>IF(OR(B738="",O738="Cancelled",O738="Rescheduled"),"",B738&amp;"|"&amp;(COUNTIFS('JOBS'!$B$5:$B$1504,B738,'JOBS'!$AJ$5:$AJ$1504,"&lt;"&amp;AJ738,'JOBS'!$O$5:$O$1504,"&lt;&gt;Cancelled",'JOBS'!$O$5:$O$1504,"&lt;&gt;Rescheduled")+COUNTIFS($B$5:B738,B738,$AJ$5:AJ738,AJ738,$O$5:O738,"&lt;&gt;Cancelled",$O$5:O738,"&lt;&gt;Rescheduled")))</f>
        <v/>
      </c>
      <c r="AL738" s="49">
        <f>IF(N(U738)&lt;=0.005,"",COUNTIFS('JOBS'!$U$5:$U$1504,"&gt;0.005",'JOBS'!$B$5:$B$1504,"&lt;"&amp;B738)+COUNTIFS($U$5:U738,"&gt;0.005",$B$5:B738,B738))</f>
        <v/>
      </c>
    </row>
    <row r="739">
      <c r="A739" s="46" t="inlineStr">
        <is>
          <t>J-0735</t>
        </is>
      </c>
      <c r="B739" s="47" t="n"/>
      <c r="C739" s="94" t="n"/>
      <c r="D739" s="38" t="n"/>
      <c r="E739" s="38" t="n"/>
      <c r="F739" s="38" t="n"/>
      <c r="G739" s="38" t="n"/>
      <c r="H739" s="38" t="n"/>
      <c r="I739" s="57" t="n"/>
      <c r="J739" s="95" t="n"/>
      <c r="K739" s="95" t="n"/>
      <c r="L739" s="48" t="n"/>
      <c r="M739" s="96" t="n"/>
      <c r="N739" s="48" t="n"/>
      <c r="O739" s="38" t="n"/>
      <c r="P739" s="38" t="n"/>
      <c r="Q739" s="97">
        <f>IF(OR(F739="",E739=""),"",IFERROR(IF(INDEX('PROPERTIES'!$F$5:$F$404,MATCH(E739,'PROPERTIES'!$B$5:$B$404,0))=0,"",ROUND((INDEX('PROPERTIES'!$F$5:$F$404,MATCH(E739,'PROPERTIES'!$B$5:$B$404,0))/INDEX('PRICING'!$C$7:$C$16,MATCH(F739,'PRICING'!$A$7:$A$16,0))+INDEX('PROPERTIES'!$G$5:$G$404,MATCH(E739,'PROPERTIES'!$B$5:$B$404,0))*INDEX('PRICING'!$D$7:$D$16,MATCH(F739,'PRICING'!$A$7:$A$16,0))/60+INDEX('PROPERTIES'!$H$5:$H$404,MATCH(E739,'PROPERTIES'!$B$5:$B$404,0))*INDEX('PRICING'!$E$7:$E$16,MATCH(F739,'PRICING'!$A$7:$A$16,0))/60+INDEX('PRICING'!$F$7:$F$16,MATCH(F739,'PRICING'!$A$7:$A$16,0))/60),2)),""))</f>
        <v/>
      </c>
      <c r="R739" s="97">
        <f>IF(B739="","",IF(N(K739)&gt;0,K739,IF(N(J739)&gt;0,J739,N(Q739))))</f>
        <v/>
      </c>
      <c r="S739" s="55">
        <f>IF(L739="","",ROUND(L739*(1+N(M739)),2))</f>
        <v/>
      </c>
      <c r="T739" s="55">
        <f>IF(B739="","",SUMIFS('REVENUE'!$C$5:$C$1504,'REVENUE'!$B$5:$B$1504,A739))</f>
        <v/>
      </c>
      <c r="U739" s="55">
        <f>IF(B739="","",IF(O739="Completed",MAX(0,N(S739)-T739),""))</f>
        <v/>
      </c>
      <c r="V739" s="49">
        <f>IF(B739="","",IF(O739&lt;&gt;"Completed",IF(T739&gt;0,"Deposit","—"),IF(U739&lt;=0.005,"Paid",IF(T739&gt;0,"Partial","Unpaid"))))</f>
        <v/>
      </c>
      <c r="W739" s="55">
        <f>IF(B739="","",IFERROR(1/(1/INDEX('STAFF &amp; TASKS'!$C$5:$C$24,MATCH(H739,'STAFF &amp; TASKS'!$A$5:$A$24,0))),PayRate))</f>
        <v/>
      </c>
      <c r="X739" s="55">
        <f>IF(B739="","",IF(OR(O739="Cancelled",O739="No-Show"),"",ROUND(R739*W739*(1+Burden),2)))</f>
        <v/>
      </c>
      <c r="Y739" s="55">
        <f>IF(B739="","",IF(OR(O739="Cancelled",O739="No-Show"),"",IF(N739&lt;&gt;"",N739,ROUND(R739*SupHr*IFERROR(INDEX('PRICING'!$G$7:$G$16,MATCH(F739,'PRICING'!$A$7:$A$16,0)),1),2))))</f>
        <v/>
      </c>
      <c r="Z739" s="98">
        <f>IF(B739="","",SUMIFS('MILEAGE'!$J$5:$J$1504,'MILEAGE'!$B$5:$B$1504,A739))</f>
        <v/>
      </c>
      <c r="AA739" s="55">
        <f>IF(B739="","",ROUND(Z739*MileRate,2))</f>
        <v/>
      </c>
      <c r="AB739" s="55">
        <f>IF(B739="","",SUMIFS('REVENUE'!$J$5:$J$1504,'REVENUE'!$B$5:$B$1504,A739))</f>
        <v/>
      </c>
      <c r="AC739" s="55">
        <f>IF(L739="","",IF(OR(O739="Cancelled",O739="No-Show"),"",L739-N(X739)-N(Y739)-AA739-AB739))</f>
        <v/>
      </c>
      <c r="AD739" s="99">
        <f>IF(OR(AC739="",N(L739)=0),"",AC739/L739)</f>
        <v/>
      </c>
      <c r="AE739" s="55">
        <f>IF(OR(AC739="",N(R739)=0),"",L739/R739)</f>
        <v/>
      </c>
      <c r="AF739" s="100">
        <f>IF(OR(N(K739)=0,N(J739)+N(Q739)=0),"",K739-IF(N(J739)&gt;0,J739,Q739))</f>
        <v/>
      </c>
      <c r="AG739" s="99">
        <f>IF(B739="","",IFERROR(AVERAGEIFS('QUALITY CONTROL'!$M$5:$M$304,'QUALITY CONTROL'!$B$5:$B$304,A739),""))</f>
        <v/>
      </c>
      <c r="AH739" s="51">
        <f>IF(B739="","",DATE(YEAR(B739),MONTH(B739),1))</f>
        <v/>
      </c>
      <c r="AI739" s="49">
        <f>IF(D739="","",IFERROR(INDEX('CUSTOMERS'!$E$5:$E$404,MATCH(D739,'CUSTOMERS'!$B$5:$B$404,0)),""))</f>
        <v/>
      </c>
      <c r="AJ739" s="49">
        <f>IF(B739="","",N(C739))</f>
        <v/>
      </c>
      <c r="AK739" s="49">
        <f>IF(OR(B739="",O739="Cancelled",O739="Rescheduled"),"",B739&amp;"|"&amp;(COUNTIFS('JOBS'!$B$5:$B$1504,B739,'JOBS'!$AJ$5:$AJ$1504,"&lt;"&amp;AJ739,'JOBS'!$O$5:$O$1504,"&lt;&gt;Cancelled",'JOBS'!$O$5:$O$1504,"&lt;&gt;Rescheduled")+COUNTIFS($B$5:B739,B739,$AJ$5:AJ739,AJ739,$O$5:O739,"&lt;&gt;Cancelled",$O$5:O739,"&lt;&gt;Rescheduled")))</f>
        <v/>
      </c>
      <c r="AL739" s="49">
        <f>IF(N(U739)&lt;=0.005,"",COUNTIFS('JOBS'!$U$5:$U$1504,"&gt;0.005",'JOBS'!$B$5:$B$1504,"&lt;"&amp;B739)+COUNTIFS($U$5:U739,"&gt;0.005",$B$5:B739,B739))</f>
        <v/>
      </c>
    </row>
    <row r="740">
      <c r="A740" s="46" t="inlineStr">
        <is>
          <t>J-0736</t>
        </is>
      </c>
      <c r="B740" s="47" t="n"/>
      <c r="C740" s="94" t="n"/>
      <c r="D740" s="38" t="n"/>
      <c r="E740" s="38" t="n"/>
      <c r="F740" s="38" t="n"/>
      <c r="G740" s="38" t="n"/>
      <c r="H740" s="38" t="n"/>
      <c r="I740" s="57" t="n"/>
      <c r="J740" s="95" t="n"/>
      <c r="K740" s="95" t="n"/>
      <c r="L740" s="48" t="n"/>
      <c r="M740" s="96" t="n"/>
      <c r="N740" s="48" t="n"/>
      <c r="O740" s="38" t="n"/>
      <c r="P740" s="38" t="n"/>
      <c r="Q740" s="97">
        <f>IF(OR(F740="",E740=""),"",IFERROR(IF(INDEX('PROPERTIES'!$F$5:$F$404,MATCH(E740,'PROPERTIES'!$B$5:$B$404,0))=0,"",ROUND((INDEX('PROPERTIES'!$F$5:$F$404,MATCH(E740,'PROPERTIES'!$B$5:$B$404,0))/INDEX('PRICING'!$C$7:$C$16,MATCH(F740,'PRICING'!$A$7:$A$16,0))+INDEX('PROPERTIES'!$G$5:$G$404,MATCH(E740,'PROPERTIES'!$B$5:$B$404,0))*INDEX('PRICING'!$D$7:$D$16,MATCH(F740,'PRICING'!$A$7:$A$16,0))/60+INDEX('PROPERTIES'!$H$5:$H$404,MATCH(E740,'PROPERTIES'!$B$5:$B$404,0))*INDEX('PRICING'!$E$7:$E$16,MATCH(F740,'PRICING'!$A$7:$A$16,0))/60+INDEX('PRICING'!$F$7:$F$16,MATCH(F740,'PRICING'!$A$7:$A$16,0))/60),2)),""))</f>
        <v/>
      </c>
      <c r="R740" s="97">
        <f>IF(B740="","",IF(N(K740)&gt;0,K740,IF(N(J740)&gt;0,J740,N(Q740))))</f>
        <v/>
      </c>
      <c r="S740" s="55">
        <f>IF(L740="","",ROUND(L740*(1+N(M740)),2))</f>
        <v/>
      </c>
      <c r="T740" s="55">
        <f>IF(B740="","",SUMIFS('REVENUE'!$C$5:$C$1504,'REVENUE'!$B$5:$B$1504,A740))</f>
        <v/>
      </c>
      <c r="U740" s="55">
        <f>IF(B740="","",IF(O740="Completed",MAX(0,N(S740)-T740),""))</f>
        <v/>
      </c>
      <c r="V740" s="49">
        <f>IF(B740="","",IF(O740&lt;&gt;"Completed",IF(T740&gt;0,"Deposit","—"),IF(U740&lt;=0.005,"Paid",IF(T740&gt;0,"Partial","Unpaid"))))</f>
        <v/>
      </c>
      <c r="W740" s="55">
        <f>IF(B740="","",IFERROR(1/(1/INDEX('STAFF &amp; TASKS'!$C$5:$C$24,MATCH(H740,'STAFF &amp; TASKS'!$A$5:$A$24,0))),PayRate))</f>
        <v/>
      </c>
      <c r="X740" s="55">
        <f>IF(B740="","",IF(OR(O740="Cancelled",O740="No-Show"),"",ROUND(R740*W740*(1+Burden),2)))</f>
        <v/>
      </c>
      <c r="Y740" s="55">
        <f>IF(B740="","",IF(OR(O740="Cancelled",O740="No-Show"),"",IF(N740&lt;&gt;"",N740,ROUND(R740*SupHr*IFERROR(INDEX('PRICING'!$G$7:$G$16,MATCH(F740,'PRICING'!$A$7:$A$16,0)),1),2))))</f>
        <v/>
      </c>
      <c r="Z740" s="98">
        <f>IF(B740="","",SUMIFS('MILEAGE'!$J$5:$J$1504,'MILEAGE'!$B$5:$B$1504,A740))</f>
        <v/>
      </c>
      <c r="AA740" s="55">
        <f>IF(B740="","",ROUND(Z740*MileRate,2))</f>
        <v/>
      </c>
      <c r="AB740" s="55">
        <f>IF(B740="","",SUMIFS('REVENUE'!$J$5:$J$1504,'REVENUE'!$B$5:$B$1504,A740))</f>
        <v/>
      </c>
      <c r="AC740" s="55">
        <f>IF(L740="","",IF(OR(O740="Cancelled",O740="No-Show"),"",L740-N(X740)-N(Y740)-AA740-AB740))</f>
        <v/>
      </c>
      <c r="AD740" s="99">
        <f>IF(OR(AC740="",N(L740)=0),"",AC740/L740)</f>
        <v/>
      </c>
      <c r="AE740" s="55">
        <f>IF(OR(AC740="",N(R740)=0),"",L740/R740)</f>
        <v/>
      </c>
      <c r="AF740" s="100">
        <f>IF(OR(N(K740)=0,N(J740)+N(Q740)=0),"",K740-IF(N(J740)&gt;0,J740,Q740))</f>
        <v/>
      </c>
      <c r="AG740" s="99">
        <f>IF(B740="","",IFERROR(AVERAGEIFS('QUALITY CONTROL'!$M$5:$M$304,'QUALITY CONTROL'!$B$5:$B$304,A740),""))</f>
        <v/>
      </c>
      <c r="AH740" s="51">
        <f>IF(B740="","",DATE(YEAR(B740),MONTH(B740),1))</f>
        <v/>
      </c>
      <c r="AI740" s="49">
        <f>IF(D740="","",IFERROR(INDEX('CUSTOMERS'!$E$5:$E$404,MATCH(D740,'CUSTOMERS'!$B$5:$B$404,0)),""))</f>
        <v/>
      </c>
      <c r="AJ740" s="49">
        <f>IF(B740="","",N(C740))</f>
        <v/>
      </c>
      <c r="AK740" s="49">
        <f>IF(OR(B740="",O740="Cancelled",O740="Rescheduled"),"",B740&amp;"|"&amp;(COUNTIFS('JOBS'!$B$5:$B$1504,B740,'JOBS'!$AJ$5:$AJ$1504,"&lt;"&amp;AJ740,'JOBS'!$O$5:$O$1504,"&lt;&gt;Cancelled",'JOBS'!$O$5:$O$1504,"&lt;&gt;Rescheduled")+COUNTIFS($B$5:B740,B740,$AJ$5:AJ740,AJ740,$O$5:O740,"&lt;&gt;Cancelled",$O$5:O740,"&lt;&gt;Rescheduled")))</f>
        <v/>
      </c>
      <c r="AL740" s="49">
        <f>IF(N(U740)&lt;=0.005,"",COUNTIFS('JOBS'!$U$5:$U$1504,"&gt;0.005",'JOBS'!$B$5:$B$1504,"&lt;"&amp;B740)+COUNTIFS($U$5:U740,"&gt;0.005",$B$5:B740,B740))</f>
        <v/>
      </c>
    </row>
    <row r="741">
      <c r="A741" s="46" t="inlineStr">
        <is>
          <t>J-0737</t>
        </is>
      </c>
      <c r="B741" s="47" t="n"/>
      <c r="C741" s="94" t="n"/>
      <c r="D741" s="38" t="n"/>
      <c r="E741" s="38" t="n"/>
      <c r="F741" s="38" t="n"/>
      <c r="G741" s="38" t="n"/>
      <c r="H741" s="38" t="n"/>
      <c r="I741" s="57" t="n"/>
      <c r="J741" s="95" t="n"/>
      <c r="K741" s="95" t="n"/>
      <c r="L741" s="48" t="n"/>
      <c r="M741" s="96" t="n"/>
      <c r="N741" s="48" t="n"/>
      <c r="O741" s="38" t="n"/>
      <c r="P741" s="38" t="n"/>
      <c r="Q741" s="97">
        <f>IF(OR(F741="",E741=""),"",IFERROR(IF(INDEX('PROPERTIES'!$F$5:$F$404,MATCH(E741,'PROPERTIES'!$B$5:$B$404,0))=0,"",ROUND((INDEX('PROPERTIES'!$F$5:$F$404,MATCH(E741,'PROPERTIES'!$B$5:$B$404,0))/INDEX('PRICING'!$C$7:$C$16,MATCH(F741,'PRICING'!$A$7:$A$16,0))+INDEX('PROPERTIES'!$G$5:$G$404,MATCH(E741,'PROPERTIES'!$B$5:$B$404,0))*INDEX('PRICING'!$D$7:$D$16,MATCH(F741,'PRICING'!$A$7:$A$16,0))/60+INDEX('PROPERTIES'!$H$5:$H$404,MATCH(E741,'PROPERTIES'!$B$5:$B$404,0))*INDEX('PRICING'!$E$7:$E$16,MATCH(F741,'PRICING'!$A$7:$A$16,0))/60+INDEX('PRICING'!$F$7:$F$16,MATCH(F741,'PRICING'!$A$7:$A$16,0))/60),2)),""))</f>
        <v/>
      </c>
      <c r="R741" s="97">
        <f>IF(B741="","",IF(N(K741)&gt;0,K741,IF(N(J741)&gt;0,J741,N(Q741))))</f>
        <v/>
      </c>
      <c r="S741" s="55">
        <f>IF(L741="","",ROUND(L741*(1+N(M741)),2))</f>
        <v/>
      </c>
      <c r="T741" s="55">
        <f>IF(B741="","",SUMIFS('REVENUE'!$C$5:$C$1504,'REVENUE'!$B$5:$B$1504,A741))</f>
        <v/>
      </c>
      <c r="U741" s="55">
        <f>IF(B741="","",IF(O741="Completed",MAX(0,N(S741)-T741),""))</f>
        <v/>
      </c>
      <c r="V741" s="49">
        <f>IF(B741="","",IF(O741&lt;&gt;"Completed",IF(T741&gt;0,"Deposit","—"),IF(U741&lt;=0.005,"Paid",IF(T741&gt;0,"Partial","Unpaid"))))</f>
        <v/>
      </c>
      <c r="W741" s="55">
        <f>IF(B741="","",IFERROR(1/(1/INDEX('STAFF &amp; TASKS'!$C$5:$C$24,MATCH(H741,'STAFF &amp; TASKS'!$A$5:$A$24,0))),PayRate))</f>
        <v/>
      </c>
      <c r="X741" s="55">
        <f>IF(B741="","",IF(OR(O741="Cancelled",O741="No-Show"),"",ROUND(R741*W741*(1+Burden),2)))</f>
        <v/>
      </c>
      <c r="Y741" s="55">
        <f>IF(B741="","",IF(OR(O741="Cancelled",O741="No-Show"),"",IF(N741&lt;&gt;"",N741,ROUND(R741*SupHr*IFERROR(INDEX('PRICING'!$G$7:$G$16,MATCH(F741,'PRICING'!$A$7:$A$16,0)),1),2))))</f>
        <v/>
      </c>
      <c r="Z741" s="98">
        <f>IF(B741="","",SUMIFS('MILEAGE'!$J$5:$J$1504,'MILEAGE'!$B$5:$B$1504,A741))</f>
        <v/>
      </c>
      <c r="AA741" s="55">
        <f>IF(B741="","",ROUND(Z741*MileRate,2))</f>
        <v/>
      </c>
      <c r="AB741" s="55">
        <f>IF(B741="","",SUMIFS('REVENUE'!$J$5:$J$1504,'REVENUE'!$B$5:$B$1504,A741))</f>
        <v/>
      </c>
      <c r="AC741" s="55">
        <f>IF(L741="","",IF(OR(O741="Cancelled",O741="No-Show"),"",L741-N(X741)-N(Y741)-AA741-AB741))</f>
        <v/>
      </c>
      <c r="AD741" s="99">
        <f>IF(OR(AC741="",N(L741)=0),"",AC741/L741)</f>
        <v/>
      </c>
      <c r="AE741" s="55">
        <f>IF(OR(AC741="",N(R741)=0),"",L741/R741)</f>
        <v/>
      </c>
      <c r="AF741" s="100">
        <f>IF(OR(N(K741)=0,N(J741)+N(Q741)=0),"",K741-IF(N(J741)&gt;0,J741,Q741))</f>
        <v/>
      </c>
      <c r="AG741" s="99">
        <f>IF(B741="","",IFERROR(AVERAGEIFS('QUALITY CONTROL'!$M$5:$M$304,'QUALITY CONTROL'!$B$5:$B$304,A741),""))</f>
        <v/>
      </c>
      <c r="AH741" s="51">
        <f>IF(B741="","",DATE(YEAR(B741),MONTH(B741),1))</f>
        <v/>
      </c>
      <c r="AI741" s="49">
        <f>IF(D741="","",IFERROR(INDEX('CUSTOMERS'!$E$5:$E$404,MATCH(D741,'CUSTOMERS'!$B$5:$B$404,0)),""))</f>
        <v/>
      </c>
      <c r="AJ741" s="49">
        <f>IF(B741="","",N(C741))</f>
        <v/>
      </c>
      <c r="AK741" s="49">
        <f>IF(OR(B741="",O741="Cancelled",O741="Rescheduled"),"",B741&amp;"|"&amp;(COUNTIFS('JOBS'!$B$5:$B$1504,B741,'JOBS'!$AJ$5:$AJ$1504,"&lt;"&amp;AJ741,'JOBS'!$O$5:$O$1504,"&lt;&gt;Cancelled",'JOBS'!$O$5:$O$1504,"&lt;&gt;Rescheduled")+COUNTIFS($B$5:B741,B741,$AJ$5:AJ741,AJ741,$O$5:O741,"&lt;&gt;Cancelled",$O$5:O741,"&lt;&gt;Rescheduled")))</f>
        <v/>
      </c>
      <c r="AL741" s="49">
        <f>IF(N(U741)&lt;=0.005,"",COUNTIFS('JOBS'!$U$5:$U$1504,"&gt;0.005",'JOBS'!$B$5:$B$1504,"&lt;"&amp;B741)+COUNTIFS($U$5:U741,"&gt;0.005",$B$5:B741,B741))</f>
        <v/>
      </c>
    </row>
    <row r="742">
      <c r="A742" s="46" t="inlineStr">
        <is>
          <t>J-0738</t>
        </is>
      </c>
      <c r="B742" s="47" t="n"/>
      <c r="C742" s="94" t="n"/>
      <c r="D742" s="38" t="n"/>
      <c r="E742" s="38" t="n"/>
      <c r="F742" s="38" t="n"/>
      <c r="G742" s="38" t="n"/>
      <c r="H742" s="38" t="n"/>
      <c r="I742" s="57" t="n"/>
      <c r="J742" s="95" t="n"/>
      <c r="K742" s="95" t="n"/>
      <c r="L742" s="48" t="n"/>
      <c r="M742" s="96" t="n"/>
      <c r="N742" s="48" t="n"/>
      <c r="O742" s="38" t="n"/>
      <c r="P742" s="38" t="n"/>
      <c r="Q742" s="97">
        <f>IF(OR(F742="",E742=""),"",IFERROR(IF(INDEX('PROPERTIES'!$F$5:$F$404,MATCH(E742,'PROPERTIES'!$B$5:$B$404,0))=0,"",ROUND((INDEX('PROPERTIES'!$F$5:$F$404,MATCH(E742,'PROPERTIES'!$B$5:$B$404,0))/INDEX('PRICING'!$C$7:$C$16,MATCH(F742,'PRICING'!$A$7:$A$16,0))+INDEX('PROPERTIES'!$G$5:$G$404,MATCH(E742,'PROPERTIES'!$B$5:$B$404,0))*INDEX('PRICING'!$D$7:$D$16,MATCH(F742,'PRICING'!$A$7:$A$16,0))/60+INDEX('PROPERTIES'!$H$5:$H$404,MATCH(E742,'PROPERTIES'!$B$5:$B$404,0))*INDEX('PRICING'!$E$7:$E$16,MATCH(F742,'PRICING'!$A$7:$A$16,0))/60+INDEX('PRICING'!$F$7:$F$16,MATCH(F742,'PRICING'!$A$7:$A$16,0))/60),2)),""))</f>
        <v/>
      </c>
      <c r="R742" s="97">
        <f>IF(B742="","",IF(N(K742)&gt;0,K742,IF(N(J742)&gt;0,J742,N(Q742))))</f>
        <v/>
      </c>
      <c r="S742" s="55">
        <f>IF(L742="","",ROUND(L742*(1+N(M742)),2))</f>
        <v/>
      </c>
      <c r="T742" s="55">
        <f>IF(B742="","",SUMIFS('REVENUE'!$C$5:$C$1504,'REVENUE'!$B$5:$B$1504,A742))</f>
        <v/>
      </c>
      <c r="U742" s="55">
        <f>IF(B742="","",IF(O742="Completed",MAX(0,N(S742)-T742),""))</f>
        <v/>
      </c>
      <c r="V742" s="49">
        <f>IF(B742="","",IF(O742&lt;&gt;"Completed",IF(T742&gt;0,"Deposit","—"),IF(U742&lt;=0.005,"Paid",IF(T742&gt;0,"Partial","Unpaid"))))</f>
        <v/>
      </c>
      <c r="W742" s="55">
        <f>IF(B742="","",IFERROR(1/(1/INDEX('STAFF &amp; TASKS'!$C$5:$C$24,MATCH(H742,'STAFF &amp; TASKS'!$A$5:$A$24,0))),PayRate))</f>
        <v/>
      </c>
      <c r="X742" s="55">
        <f>IF(B742="","",IF(OR(O742="Cancelled",O742="No-Show"),"",ROUND(R742*W742*(1+Burden),2)))</f>
        <v/>
      </c>
      <c r="Y742" s="55">
        <f>IF(B742="","",IF(OR(O742="Cancelled",O742="No-Show"),"",IF(N742&lt;&gt;"",N742,ROUND(R742*SupHr*IFERROR(INDEX('PRICING'!$G$7:$G$16,MATCH(F742,'PRICING'!$A$7:$A$16,0)),1),2))))</f>
        <v/>
      </c>
      <c r="Z742" s="98">
        <f>IF(B742="","",SUMIFS('MILEAGE'!$J$5:$J$1504,'MILEAGE'!$B$5:$B$1504,A742))</f>
        <v/>
      </c>
      <c r="AA742" s="55">
        <f>IF(B742="","",ROUND(Z742*MileRate,2))</f>
        <v/>
      </c>
      <c r="AB742" s="55">
        <f>IF(B742="","",SUMIFS('REVENUE'!$J$5:$J$1504,'REVENUE'!$B$5:$B$1504,A742))</f>
        <v/>
      </c>
      <c r="AC742" s="55">
        <f>IF(L742="","",IF(OR(O742="Cancelled",O742="No-Show"),"",L742-N(X742)-N(Y742)-AA742-AB742))</f>
        <v/>
      </c>
      <c r="AD742" s="99">
        <f>IF(OR(AC742="",N(L742)=0),"",AC742/L742)</f>
        <v/>
      </c>
      <c r="AE742" s="55">
        <f>IF(OR(AC742="",N(R742)=0),"",L742/R742)</f>
        <v/>
      </c>
      <c r="AF742" s="100">
        <f>IF(OR(N(K742)=0,N(J742)+N(Q742)=0),"",K742-IF(N(J742)&gt;0,J742,Q742))</f>
        <v/>
      </c>
      <c r="AG742" s="99">
        <f>IF(B742="","",IFERROR(AVERAGEIFS('QUALITY CONTROL'!$M$5:$M$304,'QUALITY CONTROL'!$B$5:$B$304,A742),""))</f>
        <v/>
      </c>
      <c r="AH742" s="51">
        <f>IF(B742="","",DATE(YEAR(B742),MONTH(B742),1))</f>
        <v/>
      </c>
      <c r="AI742" s="49">
        <f>IF(D742="","",IFERROR(INDEX('CUSTOMERS'!$E$5:$E$404,MATCH(D742,'CUSTOMERS'!$B$5:$B$404,0)),""))</f>
        <v/>
      </c>
      <c r="AJ742" s="49">
        <f>IF(B742="","",N(C742))</f>
        <v/>
      </c>
      <c r="AK742" s="49">
        <f>IF(OR(B742="",O742="Cancelled",O742="Rescheduled"),"",B742&amp;"|"&amp;(COUNTIFS('JOBS'!$B$5:$B$1504,B742,'JOBS'!$AJ$5:$AJ$1504,"&lt;"&amp;AJ742,'JOBS'!$O$5:$O$1504,"&lt;&gt;Cancelled",'JOBS'!$O$5:$O$1504,"&lt;&gt;Rescheduled")+COUNTIFS($B$5:B742,B742,$AJ$5:AJ742,AJ742,$O$5:O742,"&lt;&gt;Cancelled",$O$5:O742,"&lt;&gt;Rescheduled")))</f>
        <v/>
      </c>
      <c r="AL742" s="49">
        <f>IF(N(U742)&lt;=0.005,"",COUNTIFS('JOBS'!$U$5:$U$1504,"&gt;0.005",'JOBS'!$B$5:$B$1504,"&lt;"&amp;B742)+COUNTIFS($U$5:U742,"&gt;0.005",$B$5:B742,B742))</f>
        <v/>
      </c>
    </row>
    <row r="743">
      <c r="A743" s="46" t="inlineStr">
        <is>
          <t>J-0739</t>
        </is>
      </c>
      <c r="B743" s="47" t="n"/>
      <c r="C743" s="94" t="n"/>
      <c r="D743" s="38" t="n"/>
      <c r="E743" s="38" t="n"/>
      <c r="F743" s="38" t="n"/>
      <c r="G743" s="38" t="n"/>
      <c r="H743" s="38" t="n"/>
      <c r="I743" s="57" t="n"/>
      <c r="J743" s="95" t="n"/>
      <c r="K743" s="95" t="n"/>
      <c r="L743" s="48" t="n"/>
      <c r="M743" s="96" t="n"/>
      <c r="N743" s="48" t="n"/>
      <c r="O743" s="38" t="n"/>
      <c r="P743" s="38" t="n"/>
      <c r="Q743" s="97">
        <f>IF(OR(F743="",E743=""),"",IFERROR(IF(INDEX('PROPERTIES'!$F$5:$F$404,MATCH(E743,'PROPERTIES'!$B$5:$B$404,0))=0,"",ROUND((INDEX('PROPERTIES'!$F$5:$F$404,MATCH(E743,'PROPERTIES'!$B$5:$B$404,0))/INDEX('PRICING'!$C$7:$C$16,MATCH(F743,'PRICING'!$A$7:$A$16,0))+INDEX('PROPERTIES'!$G$5:$G$404,MATCH(E743,'PROPERTIES'!$B$5:$B$404,0))*INDEX('PRICING'!$D$7:$D$16,MATCH(F743,'PRICING'!$A$7:$A$16,0))/60+INDEX('PROPERTIES'!$H$5:$H$404,MATCH(E743,'PROPERTIES'!$B$5:$B$404,0))*INDEX('PRICING'!$E$7:$E$16,MATCH(F743,'PRICING'!$A$7:$A$16,0))/60+INDEX('PRICING'!$F$7:$F$16,MATCH(F743,'PRICING'!$A$7:$A$16,0))/60),2)),""))</f>
        <v/>
      </c>
      <c r="R743" s="97">
        <f>IF(B743="","",IF(N(K743)&gt;0,K743,IF(N(J743)&gt;0,J743,N(Q743))))</f>
        <v/>
      </c>
      <c r="S743" s="55">
        <f>IF(L743="","",ROUND(L743*(1+N(M743)),2))</f>
        <v/>
      </c>
      <c r="T743" s="55">
        <f>IF(B743="","",SUMIFS('REVENUE'!$C$5:$C$1504,'REVENUE'!$B$5:$B$1504,A743))</f>
        <v/>
      </c>
      <c r="U743" s="55">
        <f>IF(B743="","",IF(O743="Completed",MAX(0,N(S743)-T743),""))</f>
        <v/>
      </c>
      <c r="V743" s="49">
        <f>IF(B743="","",IF(O743&lt;&gt;"Completed",IF(T743&gt;0,"Deposit","—"),IF(U743&lt;=0.005,"Paid",IF(T743&gt;0,"Partial","Unpaid"))))</f>
        <v/>
      </c>
      <c r="W743" s="55">
        <f>IF(B743="","",IFERROR(1/(1/INDEX('STAFF &amp; TASKS'!$C$5:$C$24,MATCH(H743,'STAFF &amp; TASKS'!$A$5:$A$24,0))),PayRate))</f>
        <v/>
      </c>
      <c r="X743" s="55">
        <f>IF(B743="","",IF(OR(O743="Cancelled",O743="No-Show"),"",ROUND(R743*W743*(1+Burden),2)))</f>
        <v/>
      </c>
      <c r="Y743" s="55">
        <f>IF(B743="","",IF(OR(O743="Cancelled",O743="No-Show"),"",IF(N743&lt;&gt;"",N743,ROUND(R743*SupHr*IFERROR(INDEX('PRICING'!$G$7:$G$16,MATCH(F743,'PRICING'!$A$7:$A$16,0)),1),2))))</f>
        <v/>
      </c>
      <c r="Z743" s="98">
        <f>IF(B743="","",SUMIFS('MILEAGE'!$J$5:$J$1504,'MILEAGE'!$B$5:$B$1504,A743))</f>
        <v/>
      </c>
      <c r="AA743" s="55">
        <f>IF(B743="","",ROUND(Z743*MileRate,2))</f>
        <v/>
      </c>
      <c r="AB743" s="55">
        <f>IF(B743="","",SUMIFS('REVENUE'!$J$5:$J$1504,'REVENUE'!$B$5:$B$1504,A743))</f>
        <v/>
      </c>
      <c r="AC743" s="55">
        <f>IF(L743="","",IF(OR(O743="Cancelled",O743="No-Show"),"",L743-N(X743)-N(Y743)-AA743-AB743))</f>
        <v/>
      </c>
      <c r="AD743" s="99">
        <f>IF(OR(AC743="",N(L743)=0),"",AC743/L743)</f>
        <v/>
      </c>
      <c r="AE743" s="55">
        <f>IF(OR(AC743="",N(R743)=0),"",L743/R743)</f>
        <v/>
      </c>
      <c r="AF743" s="100">
        <f>IF(OR(N(K743)=0,N(J743)+N(Q743)=0),"",K743-IF(N(J743)&gt;0,J743,Q743))</f>
        <v/>
      </c>
      <c r="AG743" s="99">
        <f>IF(B743="","",IFERROR(AVERAGEIFS('QUALITY CONTROL'!$M$5:$M$304,'QUALITY CONTROL'!$B$5:$B$304,A743),""))</f>
        <v/>
      </c>
      <c r="AH743" s="51">
        <f>IF(B743="","",DATE(YEAR(B743),MONTH(B743),1))</f>
        <v/>
      </c>
      <c r="AI743" s="49">
        <f>IF(D743="","",IFERROR(INDEX('CUSTOMERS'!$E$5:$E$404,MATCH(D743,'CUSTOMERS'!$B$5:$B$404,0)),""))</f>
        <v/>
      </c>
      <c r="AJ743" s="49">
        <f>IF(B743="","",N(C743))</f>
        <v/>
      </c>
      <c r="AK743" s="49">
        <f>IF(OR(B743="",O743="Cancelled",O743="Rescheduled"),"",B743&amp;"|"&amp;(COUNTIFS('JOBS'!$B$5:$B$1504,B743,'JOBS'!$AJ$5:$AJ$1504,"&lt;"&amp;AJ743,'JOBS'!$O$5:$O$1504,"&lt;&gt;Cancelled",'JOBS'!$O$5:$O$1504,"&lt;&gt;Rescheduled")+COUNTIFS($B$5:B743,B743,$AJ$5:AJ743,AJ743,$O$5:O743,"&lt;&gt;Cancelled",$O$5:O743,"&lt;&gt;Rescheduled")))</f>
        <v/>
      </c>
      <c r="AL743" s="49">
        <f>IF(N(U743)&lt;=0.005,"",COUNTIFS('JOBS'!$U$5:$U$1504,"&gt;0.005",'JOBS'!$B$5:$B$1504,"&lt;"&amp;B743)+COUNTIFS($U$5:U743,"&gt;0.005",$B$5:B743,B743))</f>
        <v/>
      </c>
    </row>
    <row r="744">
      <c r="A744" s="46" t="inlineStr">
        <is>
          <t>J-0740</t>
        </is>
      </c>
      <c r="B744" s="47" t="n"/>
      <c r="C744" s="94" t="n"/>
      <c r="D744" s="38" t="n"/>
      <c r="E744" s="38" t="n"/>
      <c r="F744" s="38" t="n"/>
      <c r="G744" s="38" t="n"/>
      <c r="H744" s="38" t="n"/>
      <c r="I744" s="57" t="n"/>
      <c r="J744" s="95" t="n"/>
      <c r="K744" s="95" t="n"/>
      <c r="L744" s="48" t="n"/>
      <c r="M744" s="96" t="n"/>
      <c r="N744" s="48" t="n"/>
      <c r="O744" s="38" t="n"/>
      <c r="P744" s="38" t="n"/>
      <c r="Q744" s="97">
        <f>IF(OR(F744="",E744=""),"",IFERROR(IF(INDEX('PROPERTIES'!$F$5:$F$404,MATCH(E744,'PROPERTIES'!$B$5:$B$404,0))=0,"",ROUND((INDEX('PROPERTIES'!$F$5:$F$404,MATCH(E744,'PROPERTIES'!$B$5:$B$404,0))/INDEX('PRICING'!$C$7:$C$16,MATCH(F744,'PRICING'!$A$7:$A$16,0))+INDEX('PROPERTIES'!$G$5:$G$404,MATCH(E744,'PROPERTIES'!$B$5:$B$404,0))*INDEX('PRICING'!$D$7:$D$16,MATCH(F744,'PRICING'!$A$7:$A$16,0))/60+INDEX('PROPERTIES'!$H$5:$H$404,MATCH(E744,'PROPERTIES'!$B$5:$B$404,0))*INDEX('PRICING'!$E$7:$E$16,MATCH(F744,'PRICING'!$A$7:$A$16,0))/60+INDEX('PRICING'!$F$7:$F$16,MATCH(F744,'PRICING'!$A$7:$A$16,0))/60),2)),""))</f>
        <v/>
      </c>
      <c r="R744" s="97">
        <f>IF(B744="","",IF(N(K744)&gt;0,K744,IF(N(J744)&gt;0,J744,N(Q744))))</f>
        <v/>
      </c>
      <c r="S744" s="55">
        <f>IF(L744="","",ROUND(L744*(1+N(M744)),2))</f>
        <v/>
      </c>
      <c r="T744" s="55">
        <f>IF(B744="","",SUMIFS('REVENUE'!$C$5:$C$1504,'REVENUE'!$B$5:$B$1504,A744))</f>
        <v/>
      </c>
      <c r="U744" s="55">
        <f>IF(B744="","",IF(O744="Completed",MAX(0,N(S744)-T744),""))</f>
        <v/>
      </c>
      <c r="V744" s="49">
        <f>IF(B744="","",IF(O744&lt;&gt;"Completed",IF(T744&gt;0,"Deposit","—"),IF(U744&lt;=0.005,"Paid",IF(T744&gt;0,"Partial","Unpaid"))))</f>
        <v/>
      </c>
      <c r="W744" s="55">
        <f>IF(B744="","",IFERROR(1/(1/INDEX('STAFF &amp; TASKS'!$C$5:$C$24,MATCH(H744,'STAFF &amp; TASKS'!$A$5:$A$24,0))),PayRate))</f>
        <v/>
      </c>
      <c r="X744" s="55">
        <f>IF(B744="","",IF(OR(O744="Cancelled",O744="No-Show"),"",ROUND(R744*W744*(1+Burden),2)))</f>
        <v/>
      </c>
      <c r="Y744" s="55">
        <f>IF(B744="","",IF(OR(O744="Cancelled",O744="No-Show"),"",IF(N744&lt;&gt;"",N744,ROUND(R744*SupHr*IFERROR(INDEX('PRICING'!$G$7:$G$16,MATCH(F744,'PRICING'!$A$7:$A$16,0)),1),2))))</f>
        <v/>
      </c>
      <c r="Z744" s="98">
        <f>IF(B744="","",SUMIFS('MILEAGE'!$J$5:$J$1504,'MILEAGE'!$B$5:$B$1504,A744))</f>
        <v/>
      </c>
      <c r="AA744" s="55">
        <f>IF(B744="","",ROUND(Z744*MileRate,2))</f>
        <v/>
      </c>
      <c r="AB744" s="55">
        <f>IF(B744="","",SUMIFS('REVENUE'!$J$5:$J$1504,'REVENUE'!$B$5:$B$1504,A744))</f>
        <v/>
      </c>
      <c r="AC744" s="55">
        <f>IF(L744="","",IF(OR(O744="Cancelled",O744="No-Show"),"",L744-N(X744)-N(Y744)-AA744-AB744))</f>
        <v/>
      </c>
      <c r="AD744" s="99">
        <f>IF(OR(AC744="",N(L744)=0),"",AC744/L744)</f>
        <v/>
      </c>
      <c r="AE744" s="55">
        <f>IF(OR(AC744="",N(R744)=0),"",L744/R744)</f>
        <v/>
      </c>
      <c r="AF744" s="100">
        <f>IF(OR(N(K744)=0,N(J744)+N(Q744)=0),"",K744-IF(N(J744)&gt;0,J744,Q744))</f>
        <v/>
      </c>
      <c r="AG744" s="99">
        <f>IF(B744="","",IFERROR(AVERAGEIFS('QUALITY CONTROL'!$M$5:$M$304,'QUALITY CONTROL'!$B$5:$B$304,A744),""))</f>
        <v/>
      </c>
      <c r="AH744" s="51">
        <f>IF(B744="","",DATE(YEAR(B744),MONTH(B744),1))</f>
        <v/>
      </c>
      <c r="AI744" s="49">
        <f>IF(D744="","",IFERROR(INDEX('CUSTOMERS'!$E$5:$E$404,MATCH(D744,'CUSTOMERS'!$B$5:$B$404,0)),""))</f>
        <v/>
      </c>
      <c r="AJ744" s="49">
        <f>IF(B744="","",N(C744))</f>
        <v/>
      </c>
      <c r="AK744" s="49">
        <f>IF(OR(B744="",O744="Cancelled",O744="Rescheduled"),"",B744&amp;"|"&amp;(COUNTIFS('JOBS'!$B$5:$B$1504,B744,'JOBS'!$AJ$5:$AJ$1504,"&lt;"&amp;AJ744,'JOBS'!$O$5:$O$1504,"&lt;&gt;Cancelled",'JOBS'!$O$5:$O$1504,"&lt;&gt;Rescheduled")+COUNTIFS($B$5:B744,B744,$AJ$5:AJ744,AJ744,$O$5:O744,"&lt;&gt;Cancelled",$O$5:O744,"&lt;&gt;Rescheduled")))</f>
        <v/>
      </c>
      <c r="AL744" s="49">
        <f>IF(N(U744)&lt;=0.005,"",COUNTIFS('JOBS'!$U$5:$U$1504,"&gt;0.005",'JOBS'!$B$5:$B$1504,"&lt;"&amp;B744)+COUNTIFS($U$5:U744,"&gt;0.005",$B$5:B744,B744))</f>
        <v/>
      </c>
    </row>
    <row r="745">
      <c r="A745" s="46" t="inlineStr">
        <is>
          <t>J-0741</t>
        </is>
      </c>
      <c r="B745" s="47" t="n"/>
      <c r="C745" s="94" t="n"/>
      <c r="D745" s="38" t="n"/>
      <c r="E745" s="38" t="n"/>
      <c r="F745" s="38" t="n"/>
      <c r="G745" s="38" t="n"/>
      <c r="H745" s="38" t="n"/>
      <c r="I745" s="57" t="n"/>
      <c r="J745" s="95" t="n"/>
      <c r="K745" s="95" t="n"/>
      <c r="L745" s="48" t="n"/>
      <c r="M745" s="96" t="n"/>
      <c r="N745" s="48" t="n"/>
      <c r="O745" s="38" t="n"/>
      <c r="P745" s="38" t="n"/>
      <c r="Q745" s="97">
        <f>IF(OR(F745="",E745=""),"",IFERROR(IF(INDEX('PROPERTIES'!$F$5:$F$404,MATCH(E745,'PROPERTIES'!$B$5:$B$404,0))=0,"",ROUND((INDEX('PROPERTIES'!$F$5:$F$404,MATCH(E745,'PROPERTIES'!$B$5:$B$404,0))/INDEX('PRICING'!$C$7:$C$16,MATCH(F745,'PRICING'!$A$7:$A$16,0))+INDEX('PROPERTIES'!$G$5:$G$404,MATCH(E745,'PROPERTIES'!$B$5:$B$404,0))*INDEX('PRICING'!$D$7:$D$16,MATCH(F745,'PRICING'!$A$7:$A$16,0))/60+INDEX('PROPERTIES'!$H$5:$H$404,MATCH(E745,'PROPERTIES'!$B$5:$B$404,0))*INDEX('PRICING'!$E$7:$E$16,MATCH(F745,'PRICING'!$A$7:$A$16,0))/60+INDEX('PRICING'!$F$7:$F$16,MATCH(F745,'PRICING'!$A$7:$A$16,0))/60),2)),""))</f>
        <v/>
      </c>
      <c r="R745" s="97">
        <f>IF(B745="","",IF(N(K745)&gt;0,K745,IF(N(J745)&gt;0,J745,N(Q745))))</f>
        <v/>
      </c>
      <c r="S745" s="55">
        <f>IF(L745="","",ROUND(L745*(1+N(M745)),2))</f>
        <v/>
      </c>
      <c r="T745" s="55">
        <f>IF(B745="","",SUMIFS('REVENUE'!$C$5:$C$1504,'REVENUE'!$B$5:$B$1504,A745))</f>
        <v/>
      </c>
      <c r="U745" s="55">
        <f>IF(B745="","",IF(O745="Completed",MAX(0,N(S745)-T745),""))</f>
        <v/>
      </c>
      <c r="V745" s="49">
        <f>IF(B745="","",IF(O745&lt;&gt;"Completed",IF(T745&gt;0,"Deposit","—"),IF(U745&lt;=0.005,"Paid",IF(T745&gt;0,"Partial","Unpaid"))))</f>
        <v/>
      </c>
      <c r="W745" s="55">
        <f>IF(B745="","",IFERROR(1/(1/INDEX('STAFF &amp; TASKS'!$C$5:$C$24,MATCH(H745,'STAFF &amp; TASKS'!$A$5:$A$24,0))),PayRate))</f>
        <v/>
      </c>
      <c r="X745" s="55">
        <f>IF(B745="","",IF(OR(O745="Cancelled",O745="No-Show"),"",ROUND(R745*W745*(1+Burden),2)))</f>
        <v/>
      </c>
      <c r="Y745" s="55">
        <f>IF(B745="","",IF(OR(O745="Cancelled",O745="No-Show"),"",IF(N745&lt;&gt;"",N745,ROUND(R745*SupHr*IFERROR(INDEX('PRICING'!$G$7:$G$16,MATCH(F745,'PRICING'!$A$7:$A$16,0)),1),2))))</f>
        <v/>
      </c>
      <c r="Z745" s="98">
        <f>IF(B745="","",SUMIFS('MILEAGE'!$J$5:$J$1504,'MILEAGE'!$B$5:$B$1504,A745))</f>
        <v/>
      </c>
      <c r="AA745" s="55">
        <f>IF(B745="","",ROUND(Z745*MileRate,2))</f>
        <v/>
      </c>
      <c r="AB745" s="55">
        <f>IF(B745="","",SUMIFS('REVENUE'!$J$5:$J$1504,'REVENUE'!$B$5:$B$1504,A745))</f>
        <v/>
      </c>
      <c r="AC745" s="55">
        <f>IF(L745="","",IF(OR(O745="Cancelled",O745="No-Show"),"",L745-N(X745)-N(Y745)-AA745-AB745))</f>
        <v/>
      </c>
      <c r="AD745" s="99">
        <f>IF(OR(AC745="",N(L745)=0),"",AC745/L745)</f>
        <v/>
      </c>
      <c r="AE745" s="55">
        <f>IF(OR(AC745="",N(R745)=0),"",L745/R745)</f>
        <v/>
      </c>
      <c r="AF745" s="100">
        <f>IF(OR(N(K745)=0,N(J745)+N(Q745)=0),"",K745-IF(N(J745)&gt;0,J745,Q745))</f>
        <v/>
      </c>
      <c r="AG745" s="99">
        <f>IF(B745="","",IFERROR(AVERAGEIFS('QUALITY CONTROL'!$M$5:$M$304,'QUALITY CONTROL'!$B$5:$B$304,A745),""))</f>
        <v/>
      </c>
      <c r="AH745" s="51">
        <f>IF(B745="","",DATE(YEAR(B745),MONTH(B745),1))</f>
        <v/>
      </c>
      <c r="AI745" s="49">
        <f>IF(D745="","",IFERROR(INDEX('CUSTOMERS'!$E$5:$E$404,MATCH(D745,'CUSTOMERS'!$B$5:$B$404,0)),""))</f>
        <v/>
      </c>
      <c r="AJ745" s="49">
        <f>IF(B745="","",N(C745))</f>
        <v/>
      </c>
      <c r="AK745" s="49">
        <f>IF(OR(B745="",O745="Cancelled",O745="Rescheduled"),"",B745&amp;"|"&amp;(COUNTIFS('JOBS'!$B$5:$B$1504,B745,'JOBS'!$AJ$5:$AJ$1504,"&lt;"&amp;AJ745,'JOBS'!$O$5:$O$1504,"&lt;&gt;Cancelled",'JOBS'!$O$5:$O$1504,"&lt;&gt;Rescheduled")+COUNTIFS($B$5:B745,B745,$AJ$5:AJ745,AJ745,$O$5:O745,"&lt;&gt;Cancelled",$O$5:O745,"&lt;&gt;Rescheduled")))</f>
        <v/>
      </c>
      <c r="AL745" s="49">
        <f>IF(N(U745)&lt;=0.005,"",COUNTIFS('JOBS'!$U$5:$U$1504,"&gt;0.005",'JOBS'!$B$5:$B$1504,"&lt;"&amp;B745)+COUNTIFS($U$5:U745,"&gt;0.005",$B$5:B745,B745))</f>
        <v/>
      </c>
    </row>
    <row r="746">
      <c r="A746" s="46" t="inlineStr">
        <is>
          <t>J-0742</t>
        </is>
      </c>
      <c r="B746" s="47" t="n"/>
      <c r="C746" s="94" t="n"/>
      <c r="D746" s="38" t="n"/>
      <c r="E746" s="38" t="n"/>
      <c r="F746" s="38" t="n"/>
      <c r="G746" s="38" t="n"/>
      <c r="H746" s="38" t="n"/>
      <c r="I746" s="57" t="n"/>
      <c r="J746" s="95" t="n"/>
      <c r="K746" s="95" t="n"/>
      <c r="L746" s="48" t="n"/>
      <c r="M746" s="96" t="n"/>
      <c r="N746" s="48" t="n"/>
      <c r="O746" s="38" t="n"/>
      <c r="P746" s="38" t="n"/>
      <c r="Q746" s="97">
        <f>IF(OR(F746="",E746=""),"",IFERROR(IF(INDEX('PROPERTIES'!$F$5:$F$404,MATCH(E746,'PROPERTIES'!$B$5:$B$404,0))=0,"",ROUND((INDEX('PROPERTIES'!$F$5:$F$404,MATCH(E746,'PROPERTIES'!$B$5:$B$404,0))/INDEX('PRICING'!$C$7:$C$16,MATCH(F746,'PRICING'!$A$7:$A$16,0))+INDEX('PROPERTIES'!$G$5:$G$404,MATCH(E746,'PROPERTIES'!$B$5:$B$404,0))*INDEX('PRICING'!$D$7:$D$16,MATCH(F746,'PRICING'!$A$7:$A$16,0))/60+INDEX('PROPERTIES'!$H$5:$H$404,MATCH(E746,'PROPERTIES'!$B$5:$B$404,0))*INDEX('PRICING'!$E$7:$E$16,MATCH(F746,'PRICING'!$A$7:$A$16,0))/60+INDEX('PRICING'!$F$7:$F$16,MATCH(F746,'PRICING'!$A$7:$A$16,0))/60),2)),""))</f>
        <v/>
      </c>
      <c r="R746" s="97">
        <f>IF(B746="","",IF(N(K746)&gt;0,K746,IF(N(J746)&gt;0,J746,N(Q746))))</f>
        <v/>
      </c>
      <c r="S746" s="55">
        <f>IF(L746="","",ROUND(L746*(1+N(M746)),2))</f>
        <v/>
      </c>
      <c r="T746" s="55">
        <f>IF(B746="","",SUMIFS('REVENUE'!$C$5:$C$1504,'REVENUE'!$B$5:$B$1504,A746))</f>
        <v/>
      </c>
      <c r="U746" s="55">
        <f>IF(B746="","",IF(O746="Completed",MAX(0,N(S746)-T746),""))</f>
        <v/>
      </c>
      <c r="V746" s="49">
        <f>IF(B746="","",IF(O746&lt;&gt;"Completed",IF(T746&gt;0,"Deposit","—"),IF(U746&lt;=0.005,"Paid",IF(T746&gt;0,"Partial","Unpaid"))))</f>
        <v/>
      </c>
      <c r="W746" s="55">
        <f>IF(B746="","",IFERROR(1/(1/INDEX('STAFF &amp; TASKS'!$C$5:$C$24,MATCH(H746,'STAFF &amp; TASKS'!$A$5:$A$24,0))),PayRate))</f>
        <v/>
      </c>
      <c r="X746" s="55">
        <f>IF(B746="","",IF(OR(O746="Cancelled",O746="No-Show"),"",ROUND(R746*W746*(1+Burden),2)))</f>
        <v/>
      </c>
      <c r="Y746" s="55">
        <f>IF(B746="","",IF(OR(O746="Cancelled",O746="No-Show"),"",IF(N746&lt;&gt;"",N746,ROUND(R746*SupHr*IFERROR(INDEX('PRICING'!$G$7:$G$16,MATCH(F746,'PRICING'!$A$7:$A$16,0)),1),2))))</f>
        <v/>
      </c>
      <c r="Z746" s="98">
        <f>IF(B746="","",SUMIFS('MILEAGE'!$J$5:$J$1504,'MILEAGE'!$B$5:$B$1504,A746))</f>
        <v/>
      </c>
      <c r="AA746" s="55">
        <f>IF(B746="","",ROUND(Z746*MileRate,2))</f>
        <v/>
      </c>
      <c r="AB746" s="55">
        <f>IF(B746="","",SUMIFS('REVENUE'!$J$5:$J$1504,'REVENUE'!$B$5:$B$1504,A746))</f>
        <v/>
      </c>
      <c r="AC746" s="55">
        <f>IF(L746="","",IF(OR(O746="Cancelled",O746="No-Show"),"",L746-N(X746)-N(Y746)-AA746-AB746))</f>
        <v/>
      </c>
      <c r="AD746" s="99">
        <f>IF(OR(AC746="",N(L746)=0),"",AC746/L746)</f>
        <v/>
      </c>
      <c r="AE746" s="55">
        <f>IF(OR(AC746="",N(R746)=0),"",L746/R746)</f>
        <v/>
      </c>
      <c r="AF746" s="100">
        <f>IF(OR(N(K746)=0,N(J746)+N(Q746)=0),"",K746-IF(N(J746)&gt;0,J746,Q746))</f>
        <v/>
      </c>
      <c r="AG746" s="99">
        <f>IF(B746="","",IFERROR(AVERAGEIFS('QUALITY CONTROL'!$M$5:$M$304,'QUALITY CONTROL'!$B$5:$B$304,A746),""))</f>
        <v/>
      </c>
      <c r="AH746" s="51">
        <f>IF(B746="","",DATE(YEAR(B746),MONTH(B746),1))</f>
        <v/>
      </c>
      <c r="AI746" s="49">
        <f>IF(D746="","",IFERROR(INDEX('CUSTOMERS'!$E$5:$E$404,MATCH(D746,'CUSTOMERS'!$B$5:$B$404,0)),""))</f>
        <v/>
      </c>
      <c r="AJ746" s="49">
        <f>IF(B746="","",N(C746))</f>
        <v/>
      </c>
      <c r="AK746" s="49">
        <f>IF(OR(B746="",O746="Cancelled",O746="Rescheduled"),"",B746&amp;"|"&amp;(COUNTIFS('JOBS'!$B$5:$B$1504,B746,'JOBS'!$AJ$5:$AJ$1504,"&lt;"&amp;AJ746,'JOBS'!$O$5:$O$1504,"&lt;&gt;Cancelled",'JOBS'!$O$5:$O$1504,"&lt;&gt;Rescheduled")+COUNTIFS($B$5:B746,B746,$AJ$5:AJ746,AJ746,$O$5:O746,"&lt;&gt;Cancelled",$O$5:O746,"&lt;&gt;Rescheduled")))</f>
        <v/>
      </c>
      <c r="AL746" s="49">
        <f>IF(N(U746)&lt;=0.005,"",COUNTIFS('JOBS'!$U$5:$U$1504,"&gt;0.005",'JOBS'!$B$5:$B$1504,"&lt;"&amp;B746)+COUNTIFS($U$5:U746,"&gt;0.005",$B$5:B746,B746))</f>
        <v/>
      </c>
    </row>
    <row r="747">
      <c r="A747" s="46" t="inlineStr">
        <is>
          <t>J-0743</t>
        </is>
      </c>
      <c r="B747" s="47" t="n"/>
      <c r="C747" s="94" t="n"/>
      <c r="D747" s="38" t="n"/>
      <c r="E747" s="38" t="n"/>
      <c r="F747" s="38" t="n"/>
      <c r="G747" s="38" t="n"/>
      <c r="H747" s="38" t="n"/>
      <c r="I747" s="57" t="n"/>
      <c r="J747" s="95" t="n"/>
      <c r="K747" s="95" t="n"/>
      <c r="L747" s="48" t="n"/>
      <c r="M747" s="96" t="n"/>
      <c r="N747" s="48" t="n"/>
      <c r="O747" s="38" t="n"/>
      <c r="P747" s="38" t="n"/>
      <c r="Q747" s="97">
        <f>IF(OR(F747="",E747=""),"",IFERROR(IF(INDEX('PROPERTIES'!$F$5:$F$404,MATCH(E747,'PROPERTIES'!$B$5:$B$404,0))=0,"",ROUND((INDEX('PROPERTIES'!$F$5:$F$404,MATCH(E747,'PROPERTIES'!$B$5:$B$404,0))/INDEX('PRICING'!$C$7:$C$16,MATCH(F747,'PRICING'!$A$7:$A$16,0))+INDEX('PROPERTIES'!$G$5:$G$404,MATCH(E747,'PROPERTIES'!$B$5:$B$404,0))*INDEX('PRICING'!$D$7:$D$16,MATCH(F747,'PRICING'!$A$7:$A$16,0))/60+INDEX('PROPERTIES'!$H$5:$H$404,MATCH(E747,'PROPERTIES'!$B$5:$B$404,0))*INDEX('PRICING'!$E$7:$E$16,MATCH(F747,'PRICING'!$A$7:$A$16,0))/60+INDEX('PRICING'!$F$7:$F$16,MATCH(F747,'PRICING'!$A$7:$A$16,0))/60),2)),""))</f>
        <v/>
      </c>
      <c r="R747" s="97">
        <f>IF(B747="","",IF(N(K747)&gt;0,K747,IF(N(J747)&gt;0,J747,N(Q747))))</f>
        <v/>
      </c>
      <c r="S747" s="55">
        <f>IF(L747="","",ROUND(L747*(1+N(M747)),2))</f>
        <v/>
      </c>
      <c r="T747" s="55">
        <f>IF(B747="","",SUMIFS('REVENUE'!$C$5:$C$1504,'REVENUE'!$B$5:$B$1504,A747))</f>
        <v/>
      </c>
      <c r="U747" s="55">
        <f>IF(B747="","",IF(O747="Completed",MAX(0,N(S747)-T747),""))</f>
        <v/>
      </c>
      <c r="V747" s="49">
        <f>IF(B747="","",IF(O747&lt;&gt;"Completed",IF(T747&gt;0,"Deposit","—"),IF(U747&lt;=0.005,"Paid",IF(T747&gt;0,"Partial","Unpaid"))))</f>
        <v/>
      </c>
      <c r="W747" s="55">
        <f>IF(B747="","",IFERROR(1/(1/INDEX('STAFF &amp; TASKS'!$C$5:$C$24,MATCH(H747,'STAFF &amp; TASKS'!$A$5:$A$24,0))),PayRate))</f>
        <v/>
      </c>
      <c r="X747" s="55">
        <f>IF(B747="","",IF(OR(O747="Cancelled",O747="No-Show"),"",ROUND(R747*W747*(1+Burden),2)))</f>
        <v/>
      </c>
      <c r="Y747" s="55">
        <f>IF(B747="","",IF(OR(O747="Cancelled",O747="No-Show"),"",IF(N747&lt;&gt;"",N747,ROUND(R747*SupHr*IFERROR(INDEX('PRICING'!$G$7:$G$16,MATCH(F747,'PRICING'!$A$7:$A$16,0)),1),2))))</f>
        <v/>
      </c>
      <c r="Z747" s="98">
        <f>IF(B747="","",SUMIFS('MILEAGE'!$J$5:$J$1504,'MILEAGE'!$B$5:$B$1504,A747))</f>
        <v/>
      </c>
      <c r="AA747" s="55">
        <f>IF(B747="","",ROUND(Z747*MileRate,2))</f>
        <v/>
      </c>
      <c r="AB747" s="55">
        <f>IF(B747="","",SUMIFS('REVENUE'!$J$5:$J$1504,'REVENUE'!$B$5:$B$1504,A747))</f>
        <v/>
      </c>
      <c r="AC747" s="55">
        <f>IF(L747="","",IF(OR(O747="Cancelled",O747="No-Show"),"",L747-N(X747)-N(Y747)-AA747-AB747))</f>
        <v/>
      </c>
      <c r="AD747" s="99">
        <f>IF(OR(AC747="",N(L747)=0),"",AC747/L747)</f>
        <v/>
      </c>
      <c r="AE747" s="55">
        <f>IF(OR(AC747="",N(R747)=0),"",L747/R747)</f>
        <v/>
      </c>
      <c r="AF747" s="100">
        <f>IF(OR(N(K747)=0,N(J747)+N(Q747)=0),"",K747-IF(N(J747)&gt;0,J747,Q747))</f>
        <v/>
      </c>
      <c r="AG747" s="99">
        <f>IF(B747="","",IFERROR(AVERAGEIFS('QUALITY CONTROL'!$M$5:$M$304,'QUALITY CONTROL'!$B$5:$B$304,A747),""))</f>
        <v/>
      </c>
      <c r="AH747" s="51">
        <f>IF(B747="","",DATE(YEAR(B747),MONTH(B747),1))</f>
        <v/>
      </c>
      <c r="AI747" s="49">
        <f>IF(D747="","",IFERROR(INDEX('CUSTOMERS'!$E$5:$E$404,MATCH(D747,'CUSTOMERS'!$B$5:$B$404,0)),""))</f>
        <v/>
      </c>
      <c r="AJ747" s="49">
        <f>IF(B747="","",N(C747))</f>
        <v/>
      </c>
      <c r="AK747" s="49">
        <f>IF(OR(B747="",O747="Cancelled",O747="Rescheduled"),"",B747&amp;"|"&amp;(COUNTIFS('JOBS'!$B$5:$B$1504,B747,'JOBS'!$AJ$5:$AJ$1504,"&lt;"&amp;AJ747,'JOBS'!$O$5:$O$1504,"&lt;&gt;Cancelled",'JOBS'!$O$5:$O$1504,"&lt;&gt;Rescheduled")+COUNTIFS($B$5:B747,B747,$AJ$5:AJ747,AJ747,$O$5:O747,"&lt;&gt;Cancelled",$O$5:O747,"&lt;&gt;Rescheduled")))</f>
        <v/>
      </c>
      <c r="AL747" s="49">
        <f>IF(N(U747)&lt;=0.005,"",COUNTIFS('JOBS'!$U$5:$U$1504,"&gt;0.005",'JOBS'!$B$5:$B$1504,"&lt;"&amp;B747)+COUNTIFS($U$5:U747,"&gt;0.005",$B$5:B747,B747))</f>
        <v/>
      </c>
    </row>
    <row r="748">
      <c r="A748" s="46" t="inlineStr">
        <is>
          <t>J-0744</t>
        </is>
      </c>
      <c r="B748" s="47" t="n"/>
      <c r="C748" s="94" t="n"/>
      <c r="D748" s="38" t="n"/>
      <c r="E748" s="38" t="n"/>
      <c r="F748" s="38" t="n"/>
      <c r="G748" s="38" t="n"/>
      <c r="H748" s="38" t="n"/>
      <c r="I748" s="57" t="n"/>
      <c r="J748" s="95" t="n"/>
      <c r="K748" s="95" t="n"/>
      <c r="L748" s="48" t="n"/>
      <c r="M748" s="96" t="n"/>
      <c r="N748" s="48" t="n"/>
      <c r="O748" s="38" t="n"/>
      <c r="P748" s="38" t="n"/>
      <c r="Q748" s="97">
        <f>IF(OR(F748="",E748=""),"",IFERROR(IF(INDEX('PROPERTIES'!$F$5:$F$404,MATCH(E748,'PROPERTIES'!$B$5:$B$404,0))=0,"",ROUND((INDEX('PROPERTIES'!$F$5:$F$404,MATCH(E748,'PROPERTIES'!$B$5:$B$404,0))/INDEX('PRICING'!$C$7:$C$16,MATCH(F748,'PRICING'!$A$7:$A$16,0))+INDEX('PROPERTIES'!$G$5:$G$404,MATCH(E748,'PROPERTIES'!$B$5:$B$404,0))*INDEX('PRICING'!$D$7:$D$16,MATCH(F748,'PRICING'!$A$7:$A$16,0))/60+INDEX('PROPERTIES'!$H$5:$H$404,MATCH(E748,'PROPERTIES'!$B$5:$B$404,0))*INDEX('PRICING'!$E$7:$E$16,MATCH(F748,'PRICING'!$A$7:$A$16,0))/60+INDEX('PRICING'!$F$7:$F$16,MATCH(F748,'PRICING'!$A$7:$A$16,0))/60),2)),""))</f>
        <v/>
      </c>
      <c r="R748" s="97">
        <f>IF(B748="","",IF(N(K748)&gt;0,K748,IF(N(J748)&gt;0,J748,N(Q748))))</f>
        <v/>
      </c>
      <c r="S748" s="55">
        <f>IF(L748="","",ROUND(L748*(1+N(M748)),2))</f>
        <v/>
      </c>
      <c r="T748" s="55">
        <f>IF(B748="","",SUMIFS('REVENUE'!$C$5:$C$1504,'REVENUE'!$B$5:$B$1504,A748))</f>
        <v/>
      </c>
      <c r="U748" s="55">
        <f>IF(B748="","",IF(O748="Completed",MAX(0,N(S748)-T748),""))</f>
        <v/>
      </c>
      <c r="V748" s="49">
        <f>IF(B748="","",IF(O748&lt;&gt;"Completed",IF(T748&gt;0,"Deposit","—"),IF(U748&lt;=0.005,"Paid",IF(T748&gt;0,"Partial","Unpaid"))))</f>
        <v/>
      </c>
      <c r="W748" s="55">
        <f>IF(B748="","",IFERROR(1/(1/INDEX('STAFF &amp; TASKS'!$C$5:$C$24,MATCH(H748,'STAFF &amp; TASKS'!$A$5:$A$24,0))),PayRate))</f>
        <v/>
      </c>
      <c r="X748" s="55">
        <f>IF(B748="","",IF(OR(O748="Cancelled",O748="No-Show"),"",ROUND(R748*W748*(1+Burden),2)))</f>
        <v/>
      </c>
      <c r="Y748" s="55">
        <f>IF(B748="","",IF(OR(O748="Cancelled",O748="No-Show"),"",IF(N748&lt;&gt;"",N748,ROUND(R748*SupHr*IFERROR(INDEX('PRICING'!$G$7:$G$16,MATCH(F748,'PRICING'!$A$7:$A$16,0)),1),2))))</f>
        <v/>
      </c>
      <c r="Z748" s="98">
        <f>IF(B748="","",SUMIFS('MILEAGE'!$J$5:$J$1504,'MILEAGE'!$B$5:$B$1504,A748))</f>
        <v/>
      </c>
      <c r="AA748" s="55">
        <f>IF(B748="","",ROUND(Z748*MileRate,2))</f>
        <v/>
      </c>
      <c r="AB748" s="55">
        <f>IF(B748="","",SUMIFS('REVENUE'!$J$5:$J$1504,'REVENUE'!$B$5:$B$1504,A748))</f>
        <v/>
      </c>
      <c r="AC748" s="55">
        <f>IF(L748="","",IF(OR(O748="Cancelled",O748="No-Show"),"",L748-N(X748)-N(Y748)-AA748-AB748))</f>
        <v/>
      </c>
      <c r="AD748" s="99">
        <f>IF(OR(AC748="",N(L748)=0),"",AC748/L748)</f>
        <v/>
      </c>
      <c r="AE748" s="55">
        <f>IF(OR(AC748="",N(R748)=0),"",L748/R748)</f>
        <v/>
      </c>
      <c r="AF748" s="100">
        <f>IF(OR(N(K748)=0,N(J748)+N(Q748)=0),"",K748-IF(N(J748)&gt;0,J748,Q748))</f>
        <v/>
      </c>
      <c r="AG748" s="99">
        <f>IF(B748="","",IFERROR(AVERAGEIFS('QUALITY CONTROL'!$M$5:$M$304,'QUALITY CONTROL'!$B$5:$B$304,A748),""))</f>
        <v/>
      </c>
      <c r="AH748" s="51">
        <f>IF(B748="","",DATE(YEAR(B748),MONTH(B748),1))</f>
        <v/>
      </c>
      <c r="AI748" s="49">
        <f>IF(D748="","",IFERROR(INDEX('CUSTOMERS'!$E$5:$E$404,MATCH(D748,'CUSTOMERS'!$B$5:$B$404,0)),""))</f>
        <v/>
      </c>
      <c r="AJ748" s="49">
        <f>IF(B748="","",N(C748))</f>
        <v/>
      </c>
      <c r="AK748" s="49">
        <f>IF(OR(B748="",O748="Cancelled",O748="Rescheduled"),"",B748&amp;"|"&amp;(COUNTIFS('JOBS'!$B$5:$B$1504,B748,'JOBS'!$AJ$5:$AJ$1504,"&lt;"&amp;AJ748,'JOBS'!$O$5:$O$1504,"&lt;&gt;Cancelled",'JOBS'!$O$5:$O$1504,"&lt;&gt;Rescheduled")+COUNTIFS($B$5:B748,B748,$AJ$5:AJ748,AJ748,$O$5:O748,"&lt;&gt;Cancelled",$O$5:O748,"&lt;&gt;Rescheduled")))</f>
        <v/>
      </c>
      <c r="AL748" s="49">
        <f>IF(N(U748)&lt;=0.005,"",COUNTIFS('JOBS'!$U$5:$U$1504,"&gt;0.005",'JOBS'!$B$5:$B$1504,"&lt;"&amp;B748)+COUNTIFS($U$5:U748,"&gt;0.005",$B$5:B748,B748))</f>
        <v/>
      </c>
    </row>
    <row r="749">
      <c r="A749" s="46" t="inlineStr">
        <is>
          <t>J-0745</t>
        </is>
      </c>
      <c r="B749" s="47" t="n"/>
      <c r="C749" s="94" t="n"/>
      <c r="D749" s="38" t="n"/>
      <c r="E749" s="38" t="n"/>
      <c r="F749" s="38" t="n"/>
      <c r="G749" s="38" t="n"/>
      <c r="H749" s="38" t="n"/>
      <c r="I749" s="57" t="n"/>
      <c r="J749" s="95" t="n"/>
      <c r="K749" s="95" t="n"/>
      <c r="L749" s="48" t="n"/>
      <c r="M749" s="96" t="n"/>
      <c r="N749" s="48" t="n"/>
      <c r="O749" s="38" t="n"/>
      <c r="P749" s="38" t="n"/>
      <c r="Q749" s="97">
        <f>IF(OR(F749="",E749=""),"",IFERROR(IF(INDEX('PROPERTIES'!$F$5:$F$404,MATCH(E749,'PROPERTIES'!$B$5:$B$404,0))=0,"",ROUND((INDEX('PROPERTIES'!$F$5:$F$404,MATCH(E749,'PROPERTIES'!$B$5:$B$404,0))/INDEX('PRICING'!$C$7:$C$16,MATCH(F749,'PRICING'!$A$7:$A$16,0))+INDEX('PROPERTIES'!$G$5:$G$404,MATCH(E749,'PROPERTIES'!$B$5:$B$404,0))*INDEX('PRICING'!$D$7:$D$16,MATCH(F749,'PRICING'!$A$7:$A$16,0))/60+INDEX('PROPERTIES'!$H$5:$H$404,MATCH(E749,'PROPERTIES'!$B$5:$B$404,0))*INDEX('PRICING'!$E$7:$E$16,MATCH(F749,'PRICING'!$A$7:$A$16,0))/60+INDEX('PRICING'!$F$7:$F$16,MATCH(F749,'PRICING'!$A$7:$A$16,0))/60),2)),""))</f>
        <v/>
      </c>
      <c r="R749" s="97">
        <f>IF(B749="","",IF(N(K749)&gt;0,K749,IF(N(J749)&gt;0,J749,N(Q749))))</f>
        <v/>
      </c>
      <c r="S749" s="55">
        <f>IF(L749="","",ROUND(L749*(1+N(M749)),2))</f>
        <v/>
      </c>
      <c r="T749" s="55">
        <f>IF(B749="","",SUMIFS('REVENUE'!$C$5:$C$1504,'REVENUE'!$B$5:$B$1504,A749))</f>
        <v/>
      </c>
      <c r="U749" s="55">
        <f>IF(B749="","",IF(O749="Completed",MAX(0,N(S749)-T749),""))</f>
        <v/>
      </c>
      <c r="V749" s="49">
        <f>IF(B749="","",IF(O749&lt;&gt;"Completed",IF(T749&gt;0,"Deposit","—"),IF(U749&lt;=0.005,"Paid",IF(T749&gt;0,"Partial","Unpaid"))))</f>
        <v/>
      </c>
      <c r="W749" s="55">
        <f>IF(B749="","",IFERROR(1/(1/INDEX('STAFF &amp; TASKS'!$C$5:$C$24,MATCH(H749,'STAFF &amp; TASKS'!$A$5:$A$24,0))),PayRate))</f>
        <v/>
      </c>
      <c r="X749" s="55">
        <f>IF(B749="","",IF(OR(O749="Cancelled",O749="No-Show"),"",ROUND(R749*W749*(1+Burden),2)))</f>
        <v/>
      </c>
      <c r="Y749" s="55">
        <f>IF(B749="","",IF(OR(O749="Cancelled",O749="No-Show"),"",IF(N749&lt;&gt;"",N749,ROUND(R749*SupHr*IFERROR(INDEX('PRICING'!$G$7:$G$16,MATCH(F749,'PRICING'!$A$7:$A$16,0)),1),2))))</f>
        <v/>
      </c>
      <c r="Z749" s="98">
        <f>IF(B749="","",SUMIFS('MILEAGE'!$J$5:$J$1504,'MILEAGE'!$B$5:$B$1504,A749))</f>
        <v/>
      </c>
      <c r="AA749" s="55">
        <f>IF(B749="","",ROUND(Z749*MileRate,2))</f>
        <v/>
      </c>
      <c r="AB749" s="55">
        <f>IF(B749="","",SUMIFS('REVENUE'!$J$5:$J$1504,'REVENUE'!$B$5:$B$1504,A749))</f>
        <v/>
      </c>
      <c r="AC749" s="55">
        <f>IF(L749="","",IF(OR(O749="Cancelled",O749="No-Show"),"",L749-N(X749)-N(Y749)-AA749-AB749))</f>
        <v/>
      </c>
      <c r="AD749" s="99">
        <f>IF(OR(AC749="",N(L749)=0),"",AC749/L749)</f>
        <v/>
      </c>
      <c r="AE749" s="55">
        <f>IF(OR(AC749="",N(R749)=0),"",L749/R749)</f>
        <v/>
      </c>
      <c r="AF749" s="100">
        <f>IF(OR(N(K749)=0,N(J749)+N(Q749)=0),"",K749-IF(N(J749)&gt;0,J749,Q749))</f>
        <v/>
      </c>
      <c r="AG749" s="99">
        <f>IF(B749="","",IFERROR(AVERAGEIFS('QUALITY CONTROL'!$M$5:$M$304,'QUALITY CONTROL'!$B$5:$B$304,A749),""))</f>
        <v/>
      </c>
      <c r="AH749" s="51">
        <f>IF(B749="","",DATE(YEAR(B749),MONTH(B749),1))</f>
        <v/>
      </c>
      <c r="AI749" s="49">
        <f>IF(D749="","",IFERROR(INDEX('CUSTOMERS'!$E$5:$E$404,MATCH(D749,'CUSTOMERS'!$B$5:$B$404,0)),""))</f>
        <v/>
      </c>
      <c r="AJ749" s="49">
        <f>IF(B749="","",N(C749))</f>
        <v/>
      </c>
      <c r="AK749" s="49">
        <f>IF(OR(B749="",O749="Cancelled",O749="Rescheduled"),"",B749&amp;"|"&amp;(COUNTIFS('JOBS'!$B$5:$B$1504,B749,'JOBS'!$AJ$5:$AJ$1504,"&lt;"&amp;AJ749,'JOBS'!$O$5:$O$1504,"&lt;&gt;Cancelled",'JOBS'!$O$5:$O$1504,"&lt;&gt;Rescheduled")+COUNTIFS($B$5:B749,B749,$AJ$5:AJ749,AJ749,$O$5:O749,"&lt;&gt;Cancelled",$O$5:O749,"&lt;&gt;Rescheduled")))</f>
        <v/>
      </c>
      <c r="AL749" s="49">
        <f>IF(N(U749)&lt;=0.005,"",COUNTIFS('JOBS'!$U$5:$U$1504,"&gt;0.005",'JOBS'!$B$5:$B$1504,"&lt;"&amp;B749)+COUNTIFS($U$5:U749,"&gt;0.005",$B$5:B749,B749))</f>
        <v/>
      </c>
    </row>
    <row r="750">
      <c r="A750" s="46" t="inlineStr">
        <is>
          <t>J-0746</t>
        </is>
      </c>
      <c r="B750" s="47" t="n"/>
      <c r="C750" s="94" t="n"/>
      <c r="D750" s="38" t="n"/>
      <c r="E750" s="38" t="n"/>
      <c r="F750" s="38" t="n"/>
      <c r="G750" s="38" t="n"/>
      <c r="H750" s="38" t="n"/>
      <c r="I750" s="57" t="n"/>
      <c r="J750" s="95" t="n"/>
      <c r="K750" s="95" t="n"/>
      <c r="L750" s="48" t="n"/>
      <c r="M750" s="96" t="n"/>
      <c r="N750" s="48" t="n"/>
      <c r="O750" s="38" t="n"/>
      <c r="P750" s="38" t="n"/>
      <c r="Q750" s="97">
        <f>IF(OR(F750="",E750=""),"",IFERROR(IF(INDEX('PROPERTIES'!$F$5:$F$404,MATCH(E750,'PROPERTIES'!$B$5:$B$404,0))=0,"",ROUND((INDEX('PROPERTIES'!$F$5:$F$404,MATCH(E750,'PROPERTIES'!$B$5:$B$404,0))/INDEX('PRICING'!$C$7:$C$16,MATCH(F750,'PRICING'!$A$7:$A$16,0))+INDEX('PROPERTIES'!$G$5:$G$404,MATCH(E750,'PROPERTIES'!$B$5:$B$404,0))*INDEX('PRICING'!$D$7:$D$16,MATCH(F750,'PRICING'!$A$7:$A$16,0))/60+INDEX('PROPERTIES'!$H$5:$H$404,MATCH(E750,'PROPERTIES'!$B$5:$B$404,0))*INDEX('PRICING'!$E$7:$E$16,MATCH(F750,'PRICING'!$A$7:$A$16,0))/60+INDEX('PRICING'!$F$7:$F$16,MATCH(F750,'PRICING'!$A$7:$A$16,0))/60),2)),""))</f>
        <v/>
      </c>
      <c r="R750" s="97">
        <f>IF(B750="","",IF(N(K750)&gt;0,K750,IF(N(J750)&gt;0,J750,N(Q750))))</f>
        <v/>
      </c>
      <c r="S750" s="55">
        <f>IF(L750="","",ROUND(L750*(1+N(M750)),2))</f>
        <v/>
      </c>
      <c r="T750" s="55">
        <f>IF(B750="","",SUMIFS('REVENUE'!$C$5:$C$1504,'REVENUE'!$B$5:$B$1504,A750))</f>
        <v/>
      </c>
      <c r="U750" s="55">
        <f>IF(B750="","",IF(O750="Completed",MAX(0,N(S750)-T750),""))</f>
        <v/>
      </c>
      <c r="V750" s="49">
        <f>IF(B750="","",IF(O750&lt;&gt;"Completed",IF(T750&gt;0,"Deposit","—"),IF(U750&lt;=0.005,"Paid",IF(T750&gt;0,"Partial","Unpaid"))))</f>
        <v/>
      </c>
      <c r="W750" s="55">
        <f>IF(B750="","",IFERROR(1/(1/INDEX('STAFF &amp; TASKS'!$C$5:$C$24,MATCH(H750,'STAFF &amp; TASKS'!$A$5:$A$24,0))),PayRate))</f>
        <v/>
      </c>
      <c r="X750" s="55">
        <f>IF(B750="","",IF(OR(O750="Cancelled",O750="No-Show"),"",ROUND(R750*W750*(1+Burden),2)))</f>
        <v/>
      </c>
      <c r="Y750" s="55">
        <f>IF(B750="","",IF(OR(O750="Cancelled",O750="No-Show"),"",IF(N750&lt;&gt;"",N750,ROUND(R750*SupHr*IFERROR(INDEX('PRICING'!$G$7:$G$16,MATCH(F750,'PRICING'!$A$7:$A$16,0)),1),2))))</f>
        <v/>
      </c>
      <c r="Z750" s="98">
        <f>IF(B750="","",SUMIFS('MILEAGE'!$J$5:$J$1504,'MILEAGE'!$B$5:$B$1504,A750))</f>
        <v/>
      </c>
      <c r="AA750" s="55">
        <f>IF(B750="","",ROUND(Z750*MileRate,2))</f>
        <v/>
      </c>
      <c r="AB750" s="55">
        <f>IF(B750="","",SUMIFS('REVENUE'!$J$5:$J$1504,'REVENUE'!$B$5:$B$1504,A750))</f>
        <v/>
      </c>
      <c r="AC750" s="55">
        <f>IF(L750="","",IF(OR(O750="Cancelled",O750="No-Show"),"",L750-N(X750)-N(Y750)-AA750-AB750))</f>
        <v/>
      </c>
      <c r="AD750" s="99">
        <f>IF(OR(AC750="",N(L750)=0),"",AC750/L750)</f>
        <v/>
      </c>
      <c r="AE750" s="55">
        <f>IF(OR(AC750="",N(R750)=0),"",L750/R750)</f>
        <v/>
      </c>
      <c r="AF750" s="100">
        <f>IF(OR(N(K750)=0,N(J750)+N(Q750)=0),"",K750-IF(N(J750)&gt;0,J750,Q750))</f>
        <v/>
      </c>
      <c r="AG750" s="99">
        <f>IF(B750="","",IFERROR(AVERAGEIFS('QUALITY CONTROL'!$M$5:$M$304,'QUALITY CONTROL'!$B$5:$B$304,A750),""))</f>
        <v/>
      </c>
      <c r="AH750" s="51">
        <f>IF(B750="","",DATE(YEAR(B750),MONTH(B750),1))</f>
        <v/>
      </c>
      <c r="AI750" s="49">
        <f>IF(D750="","",IFERROR(INDEX('CUSTOMERS'!$E$5:$E$404,MATCH(D750,'CUSTOMERS'!$B$5:$B$404,0)),""))</f>
        <v/>
      </c>
      <c r="AJ750" s="49">
        <f>IF(B750="","",N(C750))</f>
        <v/>
      </c>
      <c r="AK750" s="49">
        <f>IF(OR(B750="",O750="Cancelled",O750="Rescheduled"),"",B750&amp;"|"&amp;(COUNTIFS('JOBS'!$B$5:$B$1504,B750,'JOBS'!$AJ$5:$AJ$1504,"&lt;"&amp;AJ750,'JOBS'!$O$5:$O$1504,"&lt;&gt;Cancelled",'JOBS'!$O$5:$O$1504,"&lt;&gt;Rescheduled")+COUNTIFS($B$5:B750,B750,$AJ$5:AJ750,AJ750,$O$5:O750,"&lt;&gt;Cancelled",$O$5:O750,"&lt;&gt;Rescheduled")))</f>
        <v/>
      </c>
      <c r="AL750" s="49">
        <f>IF(N(U750)&lt;=0.005,"",COUNTIFS('JOBS'!$U$5:$U$1504,"&gt;0.005",'JOBS'!$B$5:$B$1504,"&lt;"&amp;B750)+COUNTIFS($U$5:U750,"&gt;0.005",$B$5:B750,B750))</f>
        <v/>
      </c>
    </row>
    <row r="751">
      <c r="A751" s="46" t="inlineStr">
        <is>
          <t>J-0747</t>
        </is>
      </c>
      <c r="B751" s="47" t="n"/>
      <c r="C751" s="94" t="n"/>
      <c r="D751" s="38" t="n"/>
      <c r="E751" s="38" t="n"/>
      <c r="F751" s="38" t="n"/>
      <c r="G751" s="38" t="n"/>
      <c r="H751" s="38" t="n"/>
      <c r="I751" s="57" t="n"/>
      <c r="J751" s="95" t="n"/>
      <c r="K751" s="95" t="n"/>
      <c r="L751" s="48" t="n"/>
      <c r="M751" s="96" t="n"/>
      <c r="N751" s="48" t="n"/>
      <c r="O751" s="38" t="n"/>
      <c r="P751" s="38" t="n"/>
      <c r="Q751" s="97">
        <f>IF(OR(F751="",E751=""),"",IFERROR(IF(INDEX('PROPERTIES'!$F$5:$F$404,MATCH(E751,'PROPERTIES'!$B$5:$B$404,0))=0,"",ROUND((INDEX('PROPERTIES'!$F$5:$F$404,MATCH(E751,'PROPERTIES'!$B$5:$B$404,0))/INDEX('PRICING'!$C$7:$C$16,MATCH(F751,'PRICING'!$A$7:$A$16,0))+INDEX('PROPERTIES'!$G$5:$G$404,MATCH(E751,'PROPERTIES'!$B$5:$B$404,0))*INDEX('PRICING'!$D$7:$D$16,MATCH(F751,'PRICING'!$A$7:$A$16,0))/60+INDEX('PROPERTIES'!$H$5:$H$404,MATCH(E751,'PROPERTIES'!$B$5:$B$404,0))*INDEX('PRICING'!$E$7:$E$16,MATCH(F751,'PRICING'!$A$7:$A$16,0))/60+INDEX('PRICING'!$F$7:$F$16,MATCH(F751,'PRICING'!$A$7:$A$16,0))/60),2)),""))</f>
        <v/>
      </c>
      <c r="R751" s="97">
        <f>IF(B751="","",IF(N(K751)&gt;0,K751,IF(N(J751)&gt;0,J751,N(Q751))))</f>
        <v/>
      </c>
      <c r="S751" s="55">
        <f>IF(L751="","",ROUND(L751*(1+N(M751)),2))</f>
        <v/>
      </c>
      <c r="T751" s="55">
        <f>IF(B751="","",SUMIFS('REVENUE'!$C$5:$C$1504,'REVENUE'!$B$5:$B$1504,A751))</f>
        <v/>
      </c>
      <c r="U751" s="55">
        <f>IF(B751="","",IF(O751="Completed",MAX(0,N(S751)-T751),""))</f>
        <v/>
      </c>
      <c r="V751" s="49">
        <f>IF(B751="","",IF(O751&lt;&gt;"Completed",IF(T751&gt;0,"Deposit","—"),IF(U751&lt;=0.005,"Paid",IF(T751&gt;0,"Partial","Unpaid"))))</f>
        <v/>
      </c>
      <c r="W751" s="55">
        <f>IF(B751="","",IFERROR(1/(1/INDEX('STAFF &amp; TASKS'!$C$5:$C$24,MATCH(H751,'STAFF &amp; TASKS'!$A$5:$A$24,0))),PayRate))</f>
        <v/>
      </c>
      <c r="X751" s="55">
        <f>IF(B751="","",IF(OR(O751="Cancelled",O751="No-Show"),"",ROUND(R751*W751*(1+Burden),2)))</f>
        <v/>
      </c>
      <c r="Y751" s="55">
        <f>IF(B751="","",IF(OR(O751="Cancelled",O751="No-Show"),"",IF(N751&lt;&gt;"",N751,ROUND(R751*SupHr*IFERROR(INDEX('PRICING'!$G$7:$G$16,MATCH(F751,'PRICING'!$A$7:$A$16,0)),1),2))))</f>
        <v/>
      </c>
      <c r="Z751" s="98">
        <f>IF(B751="","",SUMIFS('MILEAGE'!$J$5:$J$1504,'MILEAGE'!$B$5:$B$1504,A751))</f>
        <v/>
      </c>
      <c r="AA751" s="55">
        <f>IF(B751="","",ROUND(Z751*MileRate,2))</f>
        <v/>
      </c>
      <c r="AB751" s="55">
        <f>IF(B751="","",SUMIFS('REVENUE'!$J$5:$J$1504,'REVENUE'!$B$5:$B$1504,A751))</f>
        <v/>
      </c>
      <c r="AC751" s="55">
        <f>IF(L751="","",IF(OR(O751="Cancelled",O751="No-Show"),"",L751-N(X751)-N(Y751)-AA751-AB751))</f>
        <v/>
      </c>
      <c r="AD751" s="99">
        <f>IF(OR(AC751="",N(L751)=0),"",AC751/L751)</f>
        <v/>
      </c>
      <c r="AE751" s="55">
        <f>IF(OR(AC751="",N(R751)=0),"",L751/R751)</f>
        <v/>
      </c>
      <c r="AF751" s="100">
        <f>IF(OR(N(K751)=0,N(J751)+N(Q751)=0),"",K751-IF(N(J751)&gt;0,J751,Q751))</f>
        <v/>
      </c>
      <c r="AG751" s="99">
        <f>IF(B751="","",IFERROR(AVERAGEIFS('QUALITY CONTROL'!$M$5:$M$304,'QUALITY CONTROL'!$B$5:$B$304,A751),""))</f>
        <v/>
      </c>
      <c r="AH751" s="51">
        <f>IF(B751="","",DATE(YEAR(B751),MONTH(B751),1))</f>
        <v/>
      </c>
      <c r="AI751" s="49">
        <f>IF(D751="","",IFERROR(INDEX('CUSTOMERS'!$E$5:$E$404,MATCH(D751,'CUSTOMERS'!$B$5:$B$404,0)),""))</f>
        <v/>
      </c>
      <c r="AJ751" s="49">
        <f>IF(B751="","",N(C751))</f>
        <v/>
      </c>
      <c r="AK751" s="49">
        <f>IF(OR(B751="",O751="Cancelled",O751="Rescheduled"),"",B751&amp;"|"&amp;(COUNTIFS('JOBS'!$B$5:$B$1504,B751,'JOBS'!$AJ$5:$AJ$1504,"&lt;"&amp;AJ751,'JOBS'!$O$5:$O$1504,"&lt;&gt;Cancelled",'JOBS'!$O$5:$O$1504,"&lt;&gt;Rescheduled")+COUNTIFS($B$5:B751,B751,$AJ$5:AJ751,AJ751,$O$5:O751,"&lt;&gt;Cancelled",$O$5:O751,"&lt;&gt;Rescheduled")))</f>
        <v/>
      </c>
      <c r="AL751" s="49">
        <f>IF(N(U751)&lt;=0.005,"",COUNTIFS('JOBS'!$U$5:$U$1504,"&gt;0.005",'JOBS'!$B$5:$B$1504,"&lt;"&amp;B751)+COUNTIFS($U$5:U751,"&gt;0.005",$B$5:B751,B751))</f>
        <v/>
      </c>
    </row>
    <row r="752">
      <c r="A752" s="46" t="inlineStr">
        <is>
          <t>J-0748</t>
        </is>
      </c>
      <c r="B752" s="47" t="n"/>
      <c r="C752" s="94" t="n"/>
      <c r="D752" s="38" t="n"/>
      <c r="E752" s="38" t="n"/>
      <c r="F752" s="38" t="n"/>
      <c r="G752" s="38" t="n"/>
      <c r="H752" s="38" t="n"/>
      <c r="I752" s="57" t="n"/>
      <c r="J752" s="95" t="n"/>
      <c r="K752" s="95" t="n"/>
      <c r="L752" s="48" t="n"/>
      <c r="M752" s="96" t="n"/>
      <c r="N752" s="48" t="n"/>
      <c r="O752" s="38" t="n"/>
      <c r="P752" s="38" t="n"/>
      <c r="Q752" s="97">
        <f>IF(OR(F752="",E752=""),"",IFERROR(IF(INDEX('PROPERTIES'!$F$5:$F$404,MATCH(E752,'PROPERTIES'!$B$5:$B$404,0))=0,"",ROUND((INDEX('PROPERTIES'!$F$5:$F$404,MATCH(E752,'PROPERTIES'!$B$5:$B$404,0))/INDEX('PRICING'!$C$7:$C$16,MATCH(F752,'PRICING'!$A$7:$A$16,0))+INDEX('PROPERTIES'!$G$5:$G$404,MATCH(E752,'PROPERTIES'!$B$5:$B$404,0))*INDEX('PRICING'!$D$7:$D$16,MATCH(F752,'PRICING'!$A$7:$A$16,0))/60+INDEX('PROPERTIES'!$H$5:$H$404,MATCH(E752,'PROPERTIES'!$B$5:$B$404,0))*INDEX('PRICING'!$E$7:$E$16,MATCH(F752,'PRICING'!$A$7:$A$16,0))/60+INDEX('PRICING'!$F$7:$F$16,MATCH(F752,'PRICING'!$A$7:$A$16,0))/60),2)),""))</f>
        <v/>
      </c>
      <c r="R752" s="97">
        <f>IF(B752="","",IF(N(K752)&gt;0,K752,IF(N(J752)&gt;0,J752,N(Q752))))</f>
        <v/>
      </c>
      <c r="S752" s="55">
        <f>IF(L752="","",ROUND(L752*(1+N(M752)),2))</f>
        <v/>
      </c>
      <c r="T752" s="55">
        <f>IF(B752="","",SUMIFS('REVENUE'!$C$5:$C$1504,'REVENUE'!$B$5:$B$1504,A752))</f>
        <v/>
      </c>
      <c r="U752" s="55">
        <f>IF(B752="","",IF(O752="Completed",MAX(0,N(S752)-T752),""))</f>
        <v/>
      </c>
      <c r="V752" s="49">
        <f>IF(B752="","",IF(O752&lt;&gt;"Completed",IF(T752&gt;0,"Deposit","—"),IF(U752&lt;=0.005,"Paid",IF(T752&gt;0,"Partial","Unpaid"))))</f>
        <v/>
      </c>
      <c r="W752" s="55">
        <f>IF(B752="","",IFERROR(1/(1/INDEX('STAFF &amp; TASKS'!$C$5:$C$24,MATCH(H752,'STAFF &amp; TASKS'!$A$5:$A$24,0))),PayRate))</f>
        <v/>
      </c>
      <c r="X752" s="55">
        <f>IF(B752="","",IF(OR(O752="Cancelled",O752="No-Show"),"",ROUND(R752*W752*(1+Burden),2)))</f>
        <v/>
      </c>
      <c r="Y752" s="55">
        <f>IF(B752="","",IF(OR(O752="Cancelled",O752="No-Show"),"",IF(N752&lt;&gt;"",N752,ROUND(R752*SupHr*IFERROR(INDEX('PRICING'!$G$7:$G$16,MATCH(F752,'PRICING'!$A$7:$A$16,0)),1),2))))</f>
        <v/>
      </c>
      <c r="Z752" s="98">
        <f>IF(B752="","",SUMIFS('MILEAGE'!$J$5:$J$1504,'MILEAGE'!$B$5:$B$1504,A752))</f>
        <v/>
      </c>
      <c r="AA752" s="55">
        <f>IF(B752="","",ROUND(Z752*MileRate,2))</f>
        <v/>
      </c>
      <c r="AB752" s="55">
        <f>IF(B752="","",SUMIFS('REVENUE'!$J$5:$J$1504,'REVENUE'!$B$5:$B$1504,A752))</f>
        <v/>
      </c>
      <c r="AC752" s="55">
        <f>IF(L752="","",IF(OR(O752="Cancelled",O752="No-Show"),"",L752-N(X752)-N(Y752)-AA752-AB752))</f>
        <v/>
      </c>
      <c r="AD752" s="99">
        <f>IF(OR(AC752="",N(L752)=0),"",AC752/L752)</f>
        <v/>
      </c>
      <c r="AE752" s="55">
        <f>IF(OR(AC752="",N(R752)=0),"",L752/R752)</f>
        <v/>
      </c>
      <c r="AF752" s="100">
        <f>IF(OR(N(K752)=0,N(J752)+N(Q752)=0),"",K752-IF(N(J752)&gt;0,J752,Q752))</f>
        <v/>
      </c>
      <c r="AG752" s="99">
        <f>IF(B752="","",IFERROR(AVERAGEIFS('QUALITY CONTROL'!$M$5:$M$304,'QUALITY CONTROL'!$B$5:$B$304,A752),""))</f>
        <v/>
      </c>
      <c r="AH752" s="51">
        <f>IF(B752="","",DATE(YEAR(B752),MONTH(B752),1))</f>
        <v/>
      </c>
      <c r="AI752" s="49">
        <f>IF(D752="","",IFERROR(INDEX('CUSTOMERS'!$E$5:$E$404,MATCH(D752,'CUSTOMERS'!$B$5:$B$404,0)),""))</f>
        <v/>
      </c>
      <c r="AJ752" s="49">
        <f>IF(B752="","",N(C752))</f>
        <v/>
      </c>
      <c r="AK752" s="49">
        <f>IF(OR(B752="",O752="Cancelled",O752="Rescheduled"),"",B752&amp;"|"&amp;(COUNTIFS('JOBS'!$B$5:$B$1504,B752,'JOBS'!$AJ$5:$AJ$1504,"&lt;"&amp;AJ752,'JOBS'!$O$5:$O$1504,"&lt;&gt;Cancelled",'JOBS'!$O$5:$O$1504,"&lt;&gt;Rescheduled")+COUNTIFS($B$5:B752,B752,$AJ$5:AJ752,AJ752,$O$5:O752,"&lt;&gt;Cancelled",$O$5:O752,"&lt;&gt;Rescheduled")))</f>
        <v/>
      </c>
      <c r="AL752" s="49">
        <f>IF(N(U752)&lt;=0.005,"",COUNTIFS('JOBS'!$U$5:$U$1504,"&gt;0.005",'JOBS'!$B$5:$B$1504,"&lt;"&amp;B752)+COUNTIFS($U$5:U752,"&gt;0.005",$B$5:B752,B752))</f>
        <v/>
      </c>
    </row>
    <row r="753">
      <c r="A753" s="46" t="inlineStr">
        <is>
          <t>J-0749</t>
        </is>
      </c>
      <c r="B753" s="47" t="n"/>
      <c r="C753" s="94" t="n"/>
      <c r="D753" s="38" t="n"/>
      <c r="E753" s="38" t="n"/>
      <c r="F753" s="38" t="n"/>
      <c r="G753" s="38" t="n"/>
      <c r="H753" s="38" t="n"/>
      <c r="I753" s="57" t="n"/>
      <c r="J753" s="95" t="n"/>
      <c r="K753" s="95" t="n"/>
      <c r="L753" s="48" t="n"/>
      <c r="M753" s="96" t="n"/>
      <c r="N753" s="48" t="n"/>
      <c r="O753" s="38" t="n"/>
      <c r="P753" s="38" t="n"/>
      <c r="Q753" s="97">
        <f>IF(OR(F753="",E753=""),"",IFERROR(IF(INDEX('PROPERTIES'!$F$5:$F$404,MATCH(E753,'PROPERTIES'!$B$5:$B$404,0))=0,"",ROUND((INDEX('PROPERTIES'!$F$5:$F$404,MATCH(E753,'PROPERTIES'!$B$5:$B$404,0))/INDEX('PRICING'!$C$7:$C$16,MATCH(F753,'PRICING'!$A$7:$A$16,0))+INDEX('PROPERTIES'!$G$5:$G$404,MATCH(E753,'PROPERTIES'!$B$5:$B$404,0))*INDEX('PRICING'!$D$7:$D$16,MATCH(F753,'PRICING'!$A$7:$A$16,0))/60+INDEX('PROPERTIES'!$H$5:$H$404,MATCH(E753,'PROPERTIES'!$B$5:$B$404,0))*INDEX('PRICING'!$E$7:$E$16,MATCH(F753,'PRICING'!$A$7:$A$16,0))/60+INDEX('PRICING'!$F$7:$F$16,MATCH(F753,'PRICING'!$A$7:$A$16,0))/60),2)),""))</f>
        <v/>
      </c>
      <c r="R753" s="97">
        <f>IF(B753="","",IF(N(K753)&gt;0,K753,IF(N(J753)&gt;0,J753,N(Q753))))</f>
        <v/>
      </c>
      <c r="S753" s="55">
        <f>IF(L753="","",ROUND(L753*(1+N(M753)),2))</f>
        <v/>
      </c>
      <c r="T753" s="55">
        <f>IF(B753="","",SUMIFS('REVENUE'!$C$5:$C$1504,'REVENUE'!$B$5:$B$1504,A753))</f>
        <v/>
      </c>
      <c r="U753" s="55">
        <f>IF(B753="","",IF(O753="Completed",MAX(0,N(S753)-T753),""))</f>
        <v/>
      </c>
      <c r="V753" s="49">
        <f>IF(B753="","",IF(O753&lt;&gt;"Completed",IF(T753&gt;0,"Deposit","—"),IF(U753&lt;=0.005,"Paid",IF(T753&gt;0,"Partial","Unpaid"))))</f>
        <v/>
      </c>
      <c r="W753" s="55">
        <f>IF(B753="","",IFERROR(1/(1/INDEX('STAFF &amp; TASKS'!$C$5:$C$24,MATCH(H753,'STAFF &amp; TASKS'!$A$5:$A$24,0))),PayRate))</f>
        <v/>
      </c>
      <c r="X753" s="55">
        <f>IF(B753="","",IF(OR(O753="Cancelled",O753="No-Show"),"",ROUND(R753*W753*(1+Burden),2)))</f>
        <v/>
      </c>
      <c r="Y753" s="55">
        <f>IF(B753="","",IF(OR(O753="Cancelled",O753="No-Show"),"",IF(N753&lt;&gt;"",N753,ROUND(R753*SupHr*IFERROR(INDEX('PRICING'!$G$7:$G$16,MATCH(F753,'PRICING'!$A$7:$A$16,0)),1),2))))</f>
        <v/>
      </c>
      <c r="Z753" s="98">
        <f>IF(B753="","",SUMIFS('MILEAGE'!$J$5:$J$1504,'MILEAGE'!$B$5:$B$1504,A753))</f>
        <v/>
      </c>
      <c r="AA753" s="55">
        <f>IF(B753="","",ROUND(Z753*MileRate,2))</f>
        <v/>
      </c>
      <c r="AB753" s="55">
        <f>IF(B753="","",SUMIFS('REVENUE'!$J$5:$J$1504,'REVENUE'!$B$5:$B$1504,A753))</f>
        <v/>
      </c>
      <c r="AC753" s="55">
        <f>IF(L753="","",IF(OR(O753="Cancelled",O753="No-Show"),"",L753-N(X753)-N(Y753)-AA753-AB753))</f>
        <v/>
      </c>
      <c r="AD753" s="99">
        <f>IF(OR(AC753="",N(L753)=0),"",AC753/L753)</f>
        <v/>
      </c>
      <c r="AE753" s="55">
        <f>IF(OR(AC753="",N(R753)=0),"",L753/R753)</f>
        <v/>
      </c>
      <c r="AF753" s="100">
        <f>IF(OR(N(K753)=0,N(J753)+N(Q753)=0),"",K753-IF(N(J753)&gt;0,J753,Q753))</f>
        <v/>
      </c>
      <c r="AG753" s="99">
        <f>IF(B753="","",IFERROR(AVERAGEIFS('QUALITY CONTROL'!$M$5:$M$304,'QUALITY CONTROL'!$B$5:$B$304,A753),""))</f>
        <v/>
      </c>
      <c r="AH753" s="51">
        <f>IF(B753="","",DATE(YEAR(B753),MONTH(B753),1))</f>
        <v/>
      </c>
      <c r="AI753" s="49">
        <f>IF(D753="","",IFERROR(INDEX('CUSTOMERS'!$E$5:$E$404,MATCH(D753,'CUSTOMERS'!$B$5:$B$404,0)),""))</f>
        <v/>
      </c>
      <c r="AJ753" s="49">
        <f>IF(B753="","",N(C753))</f>
        <v/>
      </c>
      <c r="AK753" s="49">
        <f>IF(OR(B753="",O753="Cancelled",O753="Rescheduled"),"",B753&amp;"|"&amp;(COUNTIFS('JOBS'!$B$5:$B$1504,B753,'JOBS'!$AJ$5:$AJ$1504,"&lt;"&amp;AJ753,'JOBS'!$O$5:$O$1504,"&lt;&gt;Cancelled",'JOBS'!$O$5:$O$1504,"&lt;&gt;Rescheduled")+COUNTIFS($B$5:B753,B753,$AJ$5:AJ753,AJ753,$O$5:O753,"&lt;&gt;Cancelled",$O$5:O753,"&lt;&gt;Rescheduled")))</f>
        <v/>
      </c>
      <c r="AL753" s="49">
        <f>IF(N(U753)&lt;=0.005,"",COUNTIFS('JOBS'!$U$5:$U$1504,"&gt;0.005",'JOBS'!$B$5:$B$1504,"&lt;"&amp;B753)+COUNTIFS($U$5:U753,"&gt;0.005",$B$5:B753,B753))</f>
        <v/>
      </c>
    </row>
    <row r="754">
      <c r="A754" s="46" t="inlineStr">
        <is>
          <t>J-0750</t>
        </is>
      </c>
      <c r="B754" s="47" t="n"/>
      <c r="C754" s="94" t="n"/>
      <c r="D754" s="38" t="n"/>
      <c r="E754" s="38" t="n"/>
      <c r="F754" s="38" t="n"/>
      <c r="G754" s="38" t="n"/>
      <c r="H754" s="38" t="n"/>
      <c r="I754" s="57" t="n"/>
      <c r="J754" s="95" t="n"/>
      <c r="K754" s="95" t="n"/>
      <c r="L754" s="48" t="n"/>
      <c r="M754" s="96" t="n"/>
      <c r="N754" s="48" t="n"/>
      <c r="O754" s="38" t="n"/>
      <c r="P754" s="38" t="n"/>
      <c r="Q754" s="97">
        <f>IF(OR(F754="",E754=""),"",IFERROR(IF(INDEX('PROPERTIES'!$F$5:$F$404,MATCH(E754,'PROPERTIES'!$B$5:$B$404,0))=0,"",ROUND((INDEX('PROPERTIES'!$F$5:$F$404,MATCH(E754,'PROPERTIES'!$B$5:$B$404,0))/INDEX('PRICING'!$C$7:$C$16,MATCH(F754,'PRICING'!$A$7:$A$16,0))+INDEX('PROPERTIES'!$G$5:$G$404,MATCH(E754,'PROPERTIES'!$B$5:$B$404,0))*INDEX('PRICING'!$D$7:$D$16,MATCH(F754,'PRICING'!$A$7:$A$16,0))/60+INDEX('PROPERTIES'!$H$5:$H$404,MATCH(E754,'PROPERTIES'!$B$5:$B$404,0))*INDEX('PRICING'!$E$7:$E$16,MATCH(F754,'PRICING'!$A$7:$A$16,0))/60+INDEX('PRICING'!$F$7:$F$16,MATCH(F754,'PRICING'!$A$7:$A$16,0))/60),2)),""))</f>
        <v/>
      </c>
      <c r="R754" s="97">
        <f>IF(B754="","",IF(N(K754)&gt;0,K754,IF(N(J754)&gt;0,J754,N(Q754))))</f>
        <v/>
      </c>
      <c r="S754" s="55">
        <f>IF(L754="","",ROUND(L754*(1+N(M754)),2))</f>
        <v/>
      </c>
      <c r="T754" s="55">
        <f>IF(B754="","",SUMIFS('REVENUE'!$C$5:$C$1504,'REVENUE'!$B$5:$B$1504,A754))</f>
        <v/>
      </c>
      <c r="U754" s="55">
        <f>IF(B754="","",IF(O754="Completed",MAX(0,N(S754)-T754),""))</f>
        <v/>
      </c>
      <c r="V754" s="49">
        <f>IF(B754="","",IF(O754&lt;&gt;"Completed",IF(T754&gt;0,"Deposit","—"),IF(U754&lt;=0.005,"Paid",IF(T754&gt;0,"Partial","Unpaid"))))</f>
        <v/>
      </c>
      <c r="W754" s="55">
        <f>IF(B754="","",IFERROR(1/(1/INDEX('STAFF &amp; TASKS'!$C$5:$C$24,MATCH(H754,'STAFF &amp; TASKS'!$A$5:$A$24,0))),PayRate))</f>
        <v/>
      </c>
      <c r="X754" s="55">
        <f>IF(B754="","",IF(OR(O754="Cancelled",O754="No-Show"),"",ROUND(R754*W754*(1+Burden),2)))</f>
        <v/>
      </c>
      <c r="Y754" s="55">
        <f>IF(B754="","",IF(OR(O754="Cancelled",O754="No-Show"),"",IF(N754&lt;&gt;"",N754,ROUND(R754*SupHr*IFERROR(INDEX('PRICING'!$G$7:$G$16,MATCH(F754,'PRICING'!$A$7:$A$16,0)),1),2))))</f>
        <v/>
      </c>
      <c r="Z754" s="98">
        <f>IF(B754="","",SUMIFS('MILEAGE'!$J$5:$J$1504,'MILEAGE'!$B$5:$B$1504,A754))</f>
        <v/>
      </c>
      <c r="AA754" s="55">
        <f>IF(B754="","",ROUND(Z754*MileRate,2))</f>
        <v/>
      </c>
      <c r="AB754" s="55">
        <f>IF(B754="","",SUMIFS('REVENUE'!$J$5:$J$1504,'REVENUE'!$B$5:$B$1504,A754))</f>
        <v/>
      </c>
      <c r="AC754" s="55">
        <f>IF(L754="","",IF(OR(O754="Cancelled",O754="No-Show"),"",L754-N(X754)-N(Y754)-AA754-AB754))</f>
        <v/>
      </c>
      <c r="AD754" s="99">
        <f>IF(OR(AC754="",N(L754)=0),"",AC754/L754)</f>
        <v/>
      </c>
      <c r="AE754" s="55">
        <f>IF(OR(AC754="",N(R754)=0),"",L754/R754)</f>
        <v/>
      </c>
      <c r="AF754" s="100">
        <f>IF(OR(N(K754)=0,N(J754)+N(Q754)=0),"",K754-IF(N(J754)&gt;0,J754,Q754))</f>
        <v/>
      </c>
      <c r="AG754" s="99">
        <f>IF(B754="","",IFERROR(AVERAGEIFS('QUALITY CONTROL'!$M$5:$M$304,'QUALITY CONTROL'!$B$5:$B$304,A754),""))</f>
        <v/>
      </c>
      <c r="AH754" s="51">
        <f>IF(B754="","",DATE(YEAR(B754),MONTH(B754),1))</f>
        <v/>
      </c>
      <c r="AI754" s="49">
        <f>IF(D754="","",IFERROR(INDEX('CUSTOMERS'!$E$5:$E$404,MATCH(D754,'CUSTOMERS'!$B$5:$B$404,0)),""))</f>
        <v/>
      </c>
      <c r="AJ754" s="49">
        <f>IF(B754="","",N(C754))</f>
        <v/>
      </c>
      <c r="AK754" s="49">
        <f>IF(OR(B754="",O754="Cancelled",O754="Rescheduled"),"",B754&amp;"|"&amp;(COUNTIFS('JOBS'!$B$5:$B$1504,B754,'JOBS'!$AJ$5:$AJ$1504,"&lt;"&amp;AJ754,'JOBS'!$O$5:$O$1504,"&lt;&gt;Cancelled",'JOBS'!$O$5:$O$1504,"&lt;&gt;Rescheduled")+COUNTIFS($B$5:B754,B754,$AJ$5:AJ754,AJ754,$O$5:O754,"&lt;&gt;Cancelled",$O$5:O754,"&lt;&gt;Rescheduled")))</f>
        <v/>
      </c>
      <c r="AL754" s="49">
        <f>IF(N(U754)&lt;=0.005,"",COUNTIFS('JOBS'!$U$5:$U$1504,"&gt;0.005",'JOBS'!$B$5:$B$1504,"&lt;"&amp;B754)+COUNTIFS($U$5:U754,"&gt;0.005",$B$5:B754,B754))</f>
        <v/>
      </c>
    </row>
    <row r="755">
      <c r="A755" s="46" t="inlineStr">
        <is>
          <t>J-0751</t>
        </is>
      </c>
      <c r="B755" s="47" t="n"/>
      <c r="C755" s="94" t="n"/>
      <c r="D755" s="38" t="n"/>
      <c r="E755" s="38" t="n"/>
      <c r="F755" s="38" t="n"/>
      <c r="G755" s="38" t="n"/>
      <c r="H755" s="38" t="n"/>
      <c r="I755" s="57" t="n"/>
      <c r="J755" s="95" t="n"/>
      <c r="K755" s="95" t="n"/>
      <c r="L755" s="48" t="n"/>
      <c r="M755" s="96" t="n"/>
      <c r="N755" s="48" t="n"/>
      <c r="O755" s="38" t="n"/>
      <c r="P755" s="38" t="n"/>
      <c r="Q755" s="97">
        <f>IF(OR(F755="",E755=""),"",IFERROR(IF(INDEX('PROPERTIES'!$F$5:$F$404,MATCH(E755,'PROPERTIES'!$B$5:$B$404,0))=0,"",ROUND((INDEX('PROPERTIES'!$F$5:$F$404,MATCH(E755,'PROPERTIES'!$B$5:$B$404,0))/INDEX('PRICING'!$C$7:$C$16,MATCH(F755,'PRICING'!$A$7:$A$16,0))+INDEX('PROPERTIES'!$G$5:$G$404,MATCH(E755,'PROPERTIES'!$B$5:$B$404,0))*INDEX('PRICING'!$D$7:$D$16,MATCH(F755,'PRICING'!$A$7:$A$16,0))/60+INDEX('PROPERTIES'!$H$5:$H$404,MATCH(E755,'PROPERTIES'!$B$5:$B$404,0))*INDEX('PRICING'!$E$7:$E$16,MATCH(F755,'PRICING'!$A$7:$A$16,0))/60+INDEX('PRICING'!$F$7:$F$16,MATCH(F755,'PRICING'!$A$7:$A$16,0))/60),2)),""))</f>
        <v/>
      </c>
      <c r="R755" s="97">
        <f>IF(B755="","",IF(N(K755)&gt;0,K755,IF(N(J755)&gt;0,J755,N(Q755))))</f>
        <v/>
      </c>
      <c r="S755" s="55">
        <f>IF(L755="","",ROUND(L755*(1+N(M755)),2))</f>
        <v/>
      </c>
      <c r="T755" s="55">
        <f>IF(B755="","",SUMIFS('REVENUE'!$C$5:$C$1504,'REVENUE'!$B$5:$B$1504,A755))</f>
        <v/>
      </c>
      <c r="U755" s="55">
        <f>IF(B755="","",IF(O755="Completed",MAX(0,N(S755)-T755),""))</f>
        <v/>
      </c>
      <c r="V755" s="49">
        <f>IF(B755="","",IF(O755&lt;&gt;"Completed",IF(T755&gt;0,"Deposit","—"),IF(U755&lt;=0.005,"Paid",IF(T755&gt;0,"Partial","Unpaid"))))</f>
        <v/>
      </c>
      <c r="W755" s="55">
        <f>IF(B755="","",IFERROR(1/(1/INDEX('STAFF &amp; TASKS'!$C$5:$C$24,MATCH(H755,'STAFF &amp; TASKS'!$A$5:$A$24,0))),PayRate))</f>
        <v/>
      </c>
      <c r="X755" s="55">
        <f>IF(B755="","",IF(OR(O755="Cancelled",O755="No-Show"),"",ROUND(R755*W755*(1+Burden),2)))</f>
        <v/>
      </c>
      <c r="Y755" s="55">
        <f>IF(B755="","",IF(OR(O755="Cancelled",O755="No-Show"),"",IF(N755&lt;&gt;"",N755,ROUND(R755*SupHr*IFERROR(INDEX('PRICING'!$G$7:$G$16,MATCH(F755,'PRICING'!$A$7:$A$16,0)),1),2))))</f>
        <v/>
      </c>
      <c r="Z755" s="98">
        <f>IF(B755="","",SUMIFS('MILEAGE'!$J$5:$J$1504,'MILEAGE'!$B$5:$B$1504,A755))</f>
        <v/>
      </c>
      <c r="AA755" s="55">
        <f>IF(B755="","",ROUND(Z755*MileRate,2))</f>
        <v/>
      </c>
      <c r="AB755" s="55">
        <f>IF(B755="","",SUMIFS('REVENUE'!$J$5:$J$1504,'REVENUE'!$B$5:$B$1504,A755))</f>
        <v/>
      </c>
      <c r="AC755" s="55">
        <f>IF(L755="","",IF(OR(O755="Cancelled",O755="No-Show"),"",L755-N(X755)-N(Y755)-AA755-AB755))</f>
        <v/>
      </c>
      <c r="AD755" s="99">
        <f>IF(OR(AC755="",N(L755)=0),"",AC755/L755)</f>
        <v/>
      </c>
      <c r="AE755" s="55">
        <f>IF(OR(AC755="",N(R755)=0),"",L755/R755)</f>
        <v/>
      </c>
      <c r="AF755" s="100">
        <f>IF(OR(N(K755)=0,N(J755)+N(Q755)=0),"",K755-IF(N(J755)&gt;0,J755,Q755))</f>
        <v/>
      </c>
      <c r="AG755" s="99">
        <f>IF(B755="","",IFERROR(AVERAGEIFS('QUALITY CONTROL'!$M$5:$M$304,'QUALITY CONTROL'!$B$5:$B$304,A755),""))</f>
        <v/>
      </c>
      <c r="AH755" s="51">
        <f>IF(B755="","",DATE(YEAR(B755),MONTH(B755),1))</f>
        <v/>
      </c>
      <c r="AI755" s="49">
        <f>IF(D755="","",IFERROR(INDEX('CUSTOMERS'!$E$5:$E$404,MATCH(D755,'CUSTOMERS'!$B$5:$B$404,0)),""))</f>
        <v/>
      </c>
      <c r="AJ755" s="49">
        <f>IF(B755="","",N(C755))</f>
        <v/>
      </c>
      <c r="AK755" s="49">
        <f>IF(OR(B755="",O755="Cancelled",O755="Rescheduled"),"",B755&amp;"|"&amp;(COUNTIFS('JOBS'!$B$5:$B$1504,B755,'JOBS'!$AJ$5:$AJ$1504,"&lt;"&amp;AJ755,'JOBS'!$O$5:$O$1504,"&lt;&gt;Cancelled",'JOBS'!$O$5:$O$1504,"&lt;&gt;Rescheduled")+COUNTIFS($B$5:B755,B755,$AJ$5:AJ755,AJ755,$O$5:O755,"&lt;&gt;Cancelled",$O$5:O755,"&lt;&gt;Rescheduled")))</f>
        <v/>
      </c>
      <c r="AL755" s="49">
        <f>IF(N(U755)&lt;=0.005,"",COUNTIFS('JOBS'!$U$5:$U$1504,"&gt;0.005",'JOBS'!$B$5:$B$1504,"&lt;"&amp;B755)+COUNTIFS($U$5:U755,"&gt;0.005",$B$5:B755,B755))</f>
        <v/>
      </c>
    </row>
    <row r="756">
      <c r="A756" s="46" t="inlineStr">
        <is>
          <t>J-0752</t>
        </is>
      </c>
      <c r="B756" s="47" t="n"/>
      <c r="C756" s="94" t="n"/>
      <c r="D756" s="38" t="n"/>
      <c r="E756" s="38" t="n"/>
      <c r="F756" s="38" t="n"/>
      <c r="G756" s="38" t="n"/>
      <c r="H756" s="38" t="n"/>
      <c r="I756" s="57" t="n"/>
      <c r="J756" s="95" t="n"/>
      <c r="K756" s="95" t="n"/>
      <c r="L756" s="48" t="n"/>
      <c r="M756" s="96" t="n"/>
      <c r="N756" s="48" t="n"/>
      <c r="O756" s="38" t="n"/>
      <c r="P756" s="38" t="n"/>
      <c r="Q756" s="97">
        <f>IF(OR(F756="",E756=""),"",IFERROR(IF(INDEX('PROPERTIES'!$F$5:$F$404,MATCH(E756,'PROPERTIES'!$B$5:$B$404,0))=0,"",ROUND((INDEX('PROPERTIES'!$F$5:$F$404,MATCH(E756,'PROPERTIES'!$B$5:$B$404,0))/INDEX('PRICING'!$C$7:$C$16,MATCH(F756,'PRICING'!$A$7:$A$16,0))+INDEX('PROPERTIES'!$G$5:$G$404,MATCH(E756,'PROPERTIES'!$B$5:$B$404,0))*INDEX('PRICING'!$D$7:$D$16,MATCH(F756,'PRICING'!$A$7:$A$16,0))/60+INDEX('PROPERTIES'!$H$5:$H$404,MATCH(E756,'PROPERTIES'!$B$5:$B$404,0))*INDEX('PRICING'!$E$7:$E$16,MATCH(F756,'PRICING'!$A$7:$A$16,0))/60+INDEX('PRICING'!$F$7:$F$16,MATCH(F756,'PRICING'!$A$7:$A$16,0))/60),2)),""))</f>
        <v/>
      </c>
      <c r="R756" s="97">
        <f>IF(B756="","",IF(N(K756)&gt;0,K756,IF(N(J756)&gt;0,J756,N(Q756))))</f>
        <v/>
      </c>
      <c r="S756" s="55">
        <f>IF(L756="","",ROUND(L756*(1+N(M756)),2))</f>
        <v/>
      </c>
      <c r="T756" s="55">
        <f>IF(B756="","",SUMIFS('REVENUE'!$C$5:$C$1504,'REVENUE'!$B$5:$B$1504,A756))</f>
        <v/>
      </c>
      <c r="U756" s="55">
        <f>IF(B756="","",IF(O756="Completed",MAX(0,N(S756)-T756),""))</f>
        <v/>
      </c>
      <c r="V756" s="49">
        <f>IF(B756="","",IF(O756&lt;&gt;"Completed",IF(T756&gt;0,"Deposit","—"),IF(U756&lt;=0.005,"Paid",IF(T756&gt;0,"Partial","Unpaid"))))</f>
        <v/>
      </c>
      <c r="W756" s="55">
        <f>IF(B756="","",IFERROR(1/(1/INDEX('STAFF &amp; TASKS'!$C$5:$C$24,MATCH(H756,'STAFF &amp; TASKS'!$A$5:$A$24,0))),PayRate))</f>
        <v/>
      </c>
      <c r="X756" s="55">
        <f>IF(B756="","",IF(OR(O756="Cancelled",O756="No-Show"),"",ROUND(R756*W756*(1+Burden),2)))</f>
        <v/>
      </c>
      <c r="Y756" s="55">
        <f>IF(B756="","",IF(OR(O756="Cancelled",O756="No-Show"),"",IF(N756&lt;&gt;"",N756,ROUND(R756*SupHr*IFERROR(INDEX('PRICING'!$G$7:$G$16,MATCH(F756,'PRICING'!$A$7:$A$16,0)),1),2))))</f>
        <v/>
      </c>
      <c r="Z756" s="98">
        <f>IF(B756="","",SUMIFS('MILEAGE'!$J$5:$J$1504,'MILEAGE'!$B$5:$B$1504,A756))</f>
        <v/>
      </c>
      <c r="AA756" s="55">
        <f>IF(B756="","",ROUND(Z756*MileRate,2))</f>
        <v/>
      </c>
      <c r="AB756" s="55">
        <f>IF(B756="","",SUMIFS('REVENUE'!$J$5:$J$1504,'REVENUE'!$B$5:$B$1504,A756))</f>
        <v/>
      </c>
      <c r="AC756" s="55">
        <f>IF(L756="","",IF(OR(O756="Cancelled",O756="No-Show"),"",L756-N(X756)-N(Y756)-AA756-AB756))</f>
        <v/>
      </c>
      <c r="AD756" s="99">
        <f>IF(OR(AC756="",N(L756)=0),"",AC756/L756)</f>
        <v/>
      </c>
      <c r="AE756" s="55">
        <f>IF(OR(AC756="",N(R756)=0),"",L756/R756)</f>
        <v/>
      </c>
      <c r="AF756" s="100">
        <f>IF(OR(N(K756)=0,N(J756)+N(Q756)=0),"",K756-IF(N(J756)&gt;0,J756,Q756))</f>
        <v/>
      </c>
      <c r="AG756" s="99">
        <f>IF(B756="","",IFERROR(AVERAGEIFS('QUALITY CONTROL'!$M$5:$M$304,'QUALITY CONTROL'!$B$5:$B$304,A756),""))</f>
        <v/>
      </c>
      <c r="AH756" s="51">
        <f>IF(B756="","",DATE(YEAR(B756),MONTH(B756),1))</f>
        <v/>
      </c>
      <c r="AI756" s="49">
        <f>IF(D756="","",IFERROR(INDEX('CUSTOMERS'!$E$5:$E$404,MATCH(D756,'CUSTOMERS'!$B$5:$B$404,0)),""))</f>
        <v/>
      </c>
      <c r="AJ756" s="49">
        <f>IF(B756="","",N(C756))</f>
        <v/>
      </c>
      <c r="AK756" s="49">
        <f>IF(OR(B756="",O756="Cancelled",O756="Rescheduled"),"",B756&amp;"|"&amp;(COUNTIFS('JOBS'!$B$5:$B$1504,B756,'JOBS'!$AJ$5:$AJ$1504,"&lt;"&amp;AJ756,'JOBS'!$O$5:$O$1504,"&lt;&gt;Cancelled",'JOBS'!$O$5:$O$1504,"&lt;&gt;Rescheduled")+COUNTIFS($B$5:B756,B756,$AJ$5:AJ756,AJ756,$O$5:O756,"&lt;&gt;Cancelled",$O$5:O756,"&lt;&gt;Rescheduled")))</f>
        <v/>
      </c>
      <c r="AL756" s="49">
        <f>IF(N(U756)&lt;=0.005,"",COUNTIFS('JOBS'!$U$5:$U$1504,"&gt;0.005",'JOBS'!$B$5:$B$1504,"&lt;"&amp;B756)+COUNTIFS($U$5:U756,"&gt;0.005",$B$5:B756,B756))</f>
        <v/>
      </c>
    </row>
    <row r="757">
      <c r="A757" s="46" t="inlineStr">
        <is>
          <t>J-0753</t>
        </is>
      </c>
      <c r="B757" s="47" t="n"/>
      <c r="C757" s="94" t="n"/>
      <c r="D757" s="38" t="n"/>
      <c r="E757" s="38" t="n"/>
      <c r="F757" s="38" t="n"/>
      <c r="G757" s="38" t="n"/>
      <c r="H757" s="38" t="n"/>
      <c r="I757" s="57" t="n"/>
      <c r="J757" s="95" t="n"/>
      <c r="K757" s="95" t="n"/>
      <c r="L757" s="48" t="n"/>
      <c r="M757" s="96" t="n"/>
      <c r="N757" s="48" t="n"/>
      <c r="O757" s="38" t="n"/>
      <c r="P757" s="38" t="n"/>
      <c r="Q757" s="97">
        <f>IF(OR(F757="",E757=""),"",IFERROR(IF(INDEX('PROPERTIES'!$F$5:$F$404,MATCH(E757,'PROPERTIES'!$B$5:$B$404,0))=0,"",ROUND((INDEX('PROPERTIES'!$F$5:$F$404,MATCH(E757,'PROPERTIES'!$B$5:$B$404,0))/INDEX('PRICING'!$C$7:$C$16,MATCH(F757,'PRICING'!$A$7:$A$16,0))+INDEX('PROPERTIES'!$G$5:$G$404,MATCH(E757,'PROPERTIES'!$B$5:$B$404,0))*INDEX('PRICING'!$D$7:$D$16,MATCH(F757,'PRICING'!$A$7:$A$16,0))/60+INDEX('PROPERTIES'!$H$5:$H$404,MATCH(E757,'PROPERTIES'!$B$5:$B$404,0))*INDEX('PRICING'!$E$7:$E$16,MATCH(F757,'PRICING'!$A$7:$A$16,0))/60+INDEX('PRICING'!$F$7:$F$16,MATCH(F757,'PRICING'!$A$7:$A$16,0))/60),2)),""))</f>
        <v/>
      </c>
      <c r="R757" s="97">
        <f>IF(B757="","",IF(N(K757)&gt;0,K757,IF(N(J757)&gt;0,J757,N(Q757))))</f>
        <v/>
      </c>
      <c r="S757" s="55">
        <f>IF(L757="","",ROUND(L757*(1+N(M757)),2))</f>
        <v/>
      </c>
      <c r="T757" s="55">
        <f>IF(B757="","",SUMIFS('REVENUE'!$C$5:$C$1504,'REVENUE'!$B$5:$B$1504,A757))</f>
        <v/>
      </c>
      <c r="U757" s="55">
        <f>IF(B757="","",IF(O757="Completed",MAX(0,N(S757)-T757),""))</f>
        <v/>
      </c>
      <c r="V757" s="49">
        <f>IF(B757="","",IF(O757&lt;&gt;"Completed",IF(T757&gt;0,"Deposit","—"),IF(U757&lt;=0.005,"Paid",IF(T757&gt;0,"Partial","Unpaid"))))</f>
        <v/>
      </c>
      <c r="W757" s="55">
        <f>IF(B757="","",IFERROR(1/(1/INDEX('STAFF &amp; TASKS'!$C$5:$C$24,MATCH(H757,'STAFF &amp; TASKS'!$A$5:$A$24,0))),PayRate))</f>
        <v/>
      </c>
      <c r="X757" s="55">
        <f>IF(B757="","",IF(OR(O757="Cancelled",O757="No-Show"),"",ROUND(R757*W757*(1+Burden),2)))</f>
        <v/>
      </c>
      <c r="Y757" s="55">
        <f>IF(B757="","",IF(OR(O757="Cancelled",O757="No-Show"),"",IF(N757&lt;&gt;"",N757,ROUND(R757*SupHr*IFERROR(INDEX('PRICING'!$G$7:$G$16,MATCH(F757,'PRICING'!$A$7:$A$16,0)),1),2))))</f>
        <v/>
      </c>
      <c r="Z757" s="98">
        <f>IF(B757="","",SUMIFS('MILEAGE'!$J$5:$J$1504,'MILEAGE'!$B$5:$B$1504,A757))</f>
        <v/>
      </c>
      <c r="AA757" s="55">
        <f>IF(B757="","",ROUND(Z757*MileRate,2))</f>
        <v/>
      </c>
      <c r="AB757" s="55">
        <f>IF(B757="","",SUMIFS('REVENUE'!$J$5:$J$1504,'REVENUE'!$B$5:$B$1504,A757))</f>
        <v/>
      </c>
      <c r="AC757" s="55">
        <f>IF(L757="","",IF(OR(O757="Cancelled",O757="No-Show"),"",L757-N(X757)-N(Y757)-AA757-AB757))</f>
        <v/>
      </c>
      <c r="AD757" s="99">
        <f>IF(OR(AC757="",N(L757)=0),"",AC757/L757)</f>
        <v/>
      </c>
      <c r="AE757" s="55">
        <f>IF(OR(AC757="",N(R757)=0),"",L757/R757)</f>
        <v/>
      </c>
      <c r="AF757" s="100">
        <f>IF(OR(N(K757)=0,N(J757)+N(Q757)=0),"",K757-IF(N(J757)&gt;0,J757,Q757))</f>
        <v/>
      </c>
      <c r="AG757" s="99">
        <f>IF(B757="","",IFERROR(AVERAGEIFS('QUALITY CONTROL'!$M$5:$M$304,'QUALITY CONTROL'!$B$5:$B$304,A757),""))</f>
        <v/>
      </c>
      <c r="AH757" s="51">
        <f>IF(B757="","",DATE(YEAR(B757),MONTH(B757),1))</f>
        <v/>
      </c>
      <c r="AI757" s="49">
        <f>IF(D757="","",IFERROR(INDEX('CUSTOMERS'!$E$5:$E$404,MATCH(D757,'CUSTOMERS'!$B$5:$B$404,0)),""))</f>
        <v/>
      </c>
      <c r="AJ757" s="49">
        <f>IF(B757="","",N(C757))</f>
        <v/>
      </c>
      <c r="AK757" s="49">
        <f>IF(OR(B757="",O757="Cancelled",O757="Rescheduled"),"",B757&amp;"|"&amp;(COUNTIFS('JOBS'!$B$5:$B$1504,B757,'JOBS'!$AJ$5:$AJ$1504,"&lt;"&amp;AJ757,'JOBS'!$O$5:$O$1504,"&lt;&gt;Cancelled",'JOBS'!$O$5:$O$1504,"&lt;&gt;Rescheduled")+COUNTIFS($B$5:B757,B757,$AJ$5:AJ757,AJ757,$O$5:O757,"&lt;&gt;Cancelled",$O$5:O757,"&lt;&gt;Rescheduled")))</f>
        <v/>
      </c>
      <c r="AL757" s="49">
        <f>IF(N(U757)&lt;=0.005,"",COUNTIFS('JOBS'!$U$5:$U$1504,"&gt;0.005",'JOBS'!$B$5:$B$1504,"&lt;"&amp;B757)+COUNTIFS($U$5:U757,"&gt;0.005",$B$5:B757,B757))</f>
        <v/>
      </c>
    </row>
    <row r="758">
      <c r="A758" s="46" t="inlineStr">
        <is>
          <t>J-0754</t>
        </is>
      </c>
      <c r="B758" s="47" t="n"/>
      <c r="C758" s="94" t="n"/>
      <c r="D758" s="38" t="n"/>
      <c r="E758" s="38" t="n"/>
      <c r="F758" s="38" t="n"/>
      <c r="G758" s="38" t="n"/>
      <c r="H758" s="38" t="n"/>
      <c r="I758" s="57" t="n"/>
      <c r="J758" s="95" t="n"/>
      <c r="K758" s="95" t="n"/>
      <c r="L758" s="48" t="n"/>
      <c r="M758" s="96" t="n"/>
      <c r="N758" s="48" t="n"/>
      <c r="O758" s="38" t="n"/>
      <c r="P758" s="38" t="n"/>
      <c r="Q758" s="97">
        <f>IF(OR(F758="",E758=""),"",IFERROR(IF(INDEX('PROPERTIES'!$F$5:$F$404,MATCH(E758,'PROPERTIES'!$B$5:$B$404,0))=0,"",ROUND((INDEX('PROPERTIES'!$F$5:$F$404,MATCH(E758,'PROPERTIES'!$B$5:$B$404,0))/INDEX('PRICING'!$C$7:$C$16,MATCH(F758,'PRICING'!$A$7:$A$16,0))+INDEX('PROPERTIES'!$G$5:$G$404,MATCH(E758,'PROPERTIES'!$B$5:$B$404,0))*INDEX('PRICING'!$D$7:$D$16,MATCH(F758,'PRICING'!$A$7:$A$16,0))/60+INDEX('PROPERTIES'!$H$5:$H$404,MATCH(E758,'PROPERTIES'!$B$5:$B$404,0))*INDEX('PRICING'!$E$7:$E$16,MATCH(F758,'PRICING'!$A$7:$A$16,0))/60+INDEX('PRICING'!$F$7:$F$16,MATCH(F758,'PRICING'!$A$7:$A$16,0))/60),2)),""))</f>
        <v/>
      </c>
      <c r="R758" s="97">
        <f>IF(B758="","",IF(N(K758)&gt;0,K758,IF(N(J758)&gt;0,J758,N(Q758))))</f>
        <v/>
      </c>
      <c r="S758" s="55">
        <f>IF(L758="","",ROUND(L758*(1+N(M758)),2))</f>
        <v/>
      </c>
      <c r="T758" s="55">
        <f>IF(B758="","",SUMIFS('REVENUE'!$C$5:$C$1504,'REVENUE'!$B$5:$B$1504,A758))</f>
        <v/>
      </c>
      <c r="U758" s="55">
        <f>IF(B758="","",IF(O758="Completed",MAX(0,N(S758)-T758),""))</f>
        <v/>
      </c>
      <c r="V758" s="49">
        <f>IF(B758="","",IF(O758&lt;&gt;"Completed",IF(T758&gt;0,"Deposit","—"),IF(U758&lt;=0.005,"Paid",IF(T758&gt;0,"Partial","Unpaid"))))</f>
        <v/>
      </c>
      <c r="W758" s="55">
        <f>IF(B758="","",IFERROR(1/(1/INDEX('STAFF &amp; TASKS'!$C$5:$C$24,MATCH(H758,'STAFF &amp; TASKS'!$A$5:$A$24,0))),PayRate))</f>
        <v/>
      </c>
      <c r="X758" s="55">
        <f>IF(B758="","",IF(OR(O758="Cancelled",O758="No-Show"),"",ROUND(R758*W758*(1+Burden),2)))</f>
        <v/>
      </c>
      <c r="Y758" s="55">
        <f>IF(B758="","",IF(OR(O758="Cancelled",O758="No-Show"),"",IF(N758&lt;&gt;"",N758,ROUND(R758*SupHr*IFERROR(INDEX('PRICING'!$G$7:$G$16,MATCH(F758,'PRICING'!$A$7:$A$16,0)),1),2))))</f>
        <v/>
      </c>
      <c r="Z758" s="98">
        <f>IF(B758="","",SUMIFS('MILEAGE'!$J$5:$J$1504,'MILEAGE'!$B$5:$B$1504,A758))</f>
        <v/>
      </c>
      <c r="AA758" s="55">
        <f>IF(B758="","",ROUND(Z758*MileRate,2))</f>
        <v/>
      </c>
      <c r="AB758" s="55">
        <f>IF(B758="","",SUMIFS('REVENUE'!$J$5:$J$1504,'REVENUE'!$B$5:$B$1504,A758))</f>
        <v/>
      </c>
      <c r="AC758" s="55">
        <f>IF(L758="","",IF(OR(O758="Cancelled",O758="No-Show"),"",L758-N(X758)-N(Y758)-AA758-AB758))</f>
        <v/>
      </c>
      <c r="AD758" s="99">
        <f>IF(OR(AC758="",N(L758)=0),"",AC758/L758)</f>
        <v/>
      </c>
      <c r="AE758" s="55">
        <f>IF(OR(AC758="",N(R758)=0),"",L758/R758)</f>
        <v/>
      </c>
      <c r="AF758" s="100">
        <f>IF(OR(N(K758)=0,N(J758)+N(Q758)=0),"",K758-IF(N(J758)&gt;0,J758,Q758))</f>
        <v/>
      </c>
      <c r="AG758" s="99">
        <f>IF(B758="","",IFERROR(AVERAGEIFS('QUALITY CONTROL'!$M$5:$M$304,'QUALITY CONTROL'!$B$5:$B$304,A758),""))</f>
        <v/>
      </c>
      <c r="AH758" s="51">
        <f>IF(B758="","",DATE(YEAR(B758),MONTH(B758),1))</f>
        <v/>
      </c>
      <c r="AI758" s="49">
        <f>IF(D758="","",IFERROR(INDEX('CUSTOMERS'!$E$5:$E$404,MATCH(D758,'CUSTOMERS'!$B$5:$B$404,0)),""))</f>
        <v/>
      </c>
      <c r="AJ758" s="49">
        <f>IF(B758="","",N(C758))</f>
        <v/>
      </c>
      <c r="AK758" s="49">
        <f>IF(OR(B758="",O758="Cancelled",O758="Rescheduled"),"",B758&amp;"|"&amp;(COUNTIFS('JOBS'!$B$5:$B$1504,B758,'JOBS'!$AJ$5:$AJ$1504,"&lt;"&amp;AJ758,'JOBS'!$O$5:$O$1504,"&lt;&gt;Cancelled",'JOBS'!$O$5:$O$1504,"&lt;&gt;Rescheduled")+COUNTIFS($B$5:B758,B758,$AJ$5:AJ758,AJ758,$O$5:O758,"&lt;&gt;Cancelled",$O$5:O758,"&lt;&gt;Rescheduled")))</f>
        <v/>
      </c>
      <c r="AL758" s="49">
        <f>IF(N(U758)&lt;=0.005,"",COUNTIFS('JOBS'!$U$5:$U$1504,"&gt;0.005",'JOBS'!$B$5:$B$1504,"&lt;"&amp;B758)+COUNTIFS($U$5:U758,"&gt;0.005",$B$5:B758,B758))</f>
        <v/>
      </c>
    </row>
    <row r="759">
      <c r="A759" s="46" t="inlineStr">
        <is>
          <t>J-0755</t>
        </is>
      </c>
      <c r="B759" s="47" t="n"/>
      <c r="C759" s="94" t="n"/>
      <c r="D759" s="38" t="n"/>
      <c r="E759" s="38" t="n"/>
      <c r="F759" s="38" t="n"/>
      <c r="G759" s="38" t="n"/>
      <c r="H759" s="38" t="n"/>
      <c r="I759" s="57" t="n"/>
      <c r="J759" s="95" t="n"/>
      <c r="K759" s="95" t="n"/>
      <c r="L759" s="48" t="n"/>
      <c r="M759" s="96" t="n"/>
      <c r="N759" s="48" t="n"/>
      <c r="O759" s="38" t="n"/>
      <c r="P759" s="38" t="n"/>
      <c r="Q759" s="97">
        <f>IF(OR(F759="",E759=""),"",IFERROR(IF(INDEX('PROPERTIES'!$F$5:$F$404,MATCH(E759,'PROPERTIES'!$B$5:$B$404,0))=0,"",ROUND((INDEX('PROPERTIES'!$F$5:$F$404,MATCH(E759,'PROPERTIES'!$B$5:$B$404,0))/INDEX('PRICING'!$C$7:$C$16,MATCH(F759,'PRICING'!$A$7:$A$16,0))+INDEX('PROPERTIES'!$G$5:$G$404,MATCH(E759,'PROPERTIES'!$B$5:$B$404,0))*INDEX('PRICING'!$D$7:$D$16,MATCH(F759,'PRICING'!$A$7:$A$16,0))/60+INDEX('PROPERTIES'!$H$5:$H$404,MATCH(E759,'PROPERTIES'!$B$5:$B$404,0))*INDEX('PRICING'!$E$7:$E$16,MATCH(F759,'PRICING'!$A$7:$A$16,0))/60+INDEX('PRICING'!$F$7:$F$16,MATCH(F759,'PRICING'!$A$7:$A$16,0))/60),2)),""))</f>
        <v/>
      </c>
      <c r="R759" s="97">
        <f>IF(B759="","",IF(N(K759)&gt;0,K759,IF(N(J759)&gt;0,J759,N(Q759))))</f>
        <v/>
      </c>
      <c r="S759" s="55">
        <f>IF(L759="","",ROUND(L759*(1+N(M759)),2))</f>
        <v/>
      </c>
      <c r="T759" s="55">
        <f>IF(B759="","",SUMIFS('REVENUE'!$C$5:$C$1504,'REVENUE'!$B$5:$B$1504,A759))</f>
        <v/>
      </c>
      <c r="U759" s="55">
        <f>IF(B759="","",IF(O759="Completed",MAX(0,N(S759)-T759),""))</f>
        <v/>
      </c>
      <c r="V759" s="49">
        <f>IF(B759="","",IF(O759&lt;&gt;"Completed",IF(T759&gt;0,"Deposit","—"),IF(U759&lt;=0.005,"Paid",IF(T759&gt;0,"Partial","Unpaid"))))</f>
        <v/>
      </c>
      <c r="W759" s="55">
        <f>IF(B759="","",IFERROR(1/(1/INDEX('STAFF &amp; TASKS'!$C$5:$C$24,MATCH(H759,'STAFF &amp; TASKS'!$A$5:$A$24,0))),PayRate))</f>
        <v/>
      </c>
      <c r="X759" s="55">
        <f>IF(B759="","",IF(OR(O759="Cancelled",O759="No-Show"),"",ROUND(R759*W759*(1+Burden),2)))</f>
        <v/>
      </c>
      <c r="Y759" s="55">
        <f>IF(B759="","",IF(OR(O759="Cancelled",O759="No-Show"),"",IF(N759&lt;&gt;"",N759,ROUND(R759*SupHr*IFERROR(INDEX('PRICING'!$G$7:$G$16,MATCH(F759,'PRICING'!$A$7:$A$16,0)),1),2))))</f>
        <v/>
      </c>
      <c r="Z759" s="98">
        <f>IF(B759="","",SUMIFS('MILEAGE'!$J$5:$J$1504,'MILEAGE'!$B$5:$B$1504,A759))</f>
        <v/>
      </c>
      <c r="AA759" s="55">
        <f>IF(B759="","",ROUND(Z759*MileRate,2))</f>
        <v/>
      </c>
      <c r="AB759" s="55">
        <f>IF(B759="","",SUMIFS('REVENUE'!$J$5:$J$1504,'REVENUE'!$B$5:$B$1504,A759))</f>
        <v/>
      </c>
      <c r="AC759" s="55">
        <f>IF(L759="","",IF(OR(O759="Cancelled",O759="No-Show"),"",L759-N(X759)-N(Y759)-AA759-AB759))</f>
        <v/>
      </c>
      <c r="AD759" s="99">
        <f>IF(OR(AC759="",N(L759)=0),"",AC759/L759)</f>
        <v/>
      </c>
      <c r="AE759" s="55">
        <f>IF(OR(AC759="",N(R759)=0),"",L759/R759)</f>
        <v/>
      </c>
      <c r="AF759" s="100">
        <f>IF(OR(N(K759)=0,N(J759)+N(Q759)=0),"",K759-IF(N(J759)&gt;0,J759,Q759))</f>
        <v/>
      </c>
      <c r="AG759" s="99">
        <f>IF(B759="","",IFERROR(AVERAGEIFS('QUALITY CONTROL'!$M$5:$M$304,'QUALITY CONTROL'!$B$5:$B$304,A759),""))</f>
        <v/>
      </c>
      <c r="AH759" s="51">
        <f>IF(B759="","",DATE(YEAR(B759),MONTH(B759),1))</f>
        <v/>
      </c>
      <c r="AI759" s="49">
        <f>IF(D759="","",IFERROR(INDEX('CUSTOMERS'!$E$5:$E$404,MATCH(D759,'CUSTOMERS'!$B$5:$B$404,0)),""))</f>
        <v/>
      </c>
      <c r="AJ759" s="49">
        <f>IF(B759="","",N(C759))</f>
        <v/>
      </c>
      <c r="AK759" s="49">
        <f>IF(OR(B759="",O759="Cancelled",O759="Rescheduled"),"",B759&amp;"|"&amp;(COUNTIFS('JOBS'!$B$5:$B$1504,B759,'JOBS'!$AJ$5:$AJ$1504,"&lt;"&amp;AJ759,'JOBS'!$O$5:$O$1504,"&lt;&gt;Cancelled",'JOBS'!$O$5:$O$1504,"&lt;&gt;Rescheduled")+COUNTIFS($B$5:B759,B759,$AJ$5:AJ759,AJ759,$O$5:O759,"&lt;&gt;Cancelled",$O$5:O759,"&lt;&gt;Rescheduled")))</f>
        <v/>
      </c>
      <c r="AL759" s="49">
        <f>IF(N(U759)&lt;=0.005,"",COUNTIFS('JOBS'!$U$5:$U$1504,"&gt;0.005",'JOBS'!$B$5:$B$1504,"&lt;"&amp;B759)+COUNTIFS($U$5:U759,"&gt;0.005",$B$5:B759,B759))</f>
        <v/>
      </c>
    </row>
    <row r="760">
      <c r="A760" s="46" t="inlineStr">
        <is>
          <t>J-0756</t>
        </is>
      </c>
      <c r="B760" s="47" t="n"/>
      <c r="C760" s="94" t="n"/>
      <c r="D760" s="38" t="n"/>
      <c r="E760" s="38" t="n"/>
      <c r="F760" s="38" t="n"/>
      <c r="G760" s="38" t="n"/>
      <c r="H760" s="38" t="n"/>
      <c r="I760" s="57" t="n"/>
      <c r="J760" s="95" t="n"/>
      <c r="K760" s="95" t="n"/>
      <c r="L760" s="48" t="n"/>
      <c r="M760" s="96" t="n"/>
      <c r="N760" s="48" t="n"/>
      <c r="O760" s="38" t="n"/>
      <c r="P760" s="38" t="n"/>
      <c r="Q760" s="97">
        <f>IF(OR(F760="",E760=""),"",IFERROR(IF(INDEX('PROPERTIES'!$F$5:$F$404,MATCH(E760,'PROPERTIES'!$B$5:$B$404,0))=0,"",ROUND((INDEX('PROPERTIES'!$F$5:$F$404,MATCH(E760,'PROPERTIES'!$B$5:$B$404,0))/INDEX('PRICING'!$C$7:$C$16,MATCH(F760,'PRICING'!$A$7:$A$16,0))+INDEX('PROPERTIES'!$G$5:$G$404,MATCH(E760,'PROPERTIES'!$B$5:$B$404,0))*INDEX('PRICING'!$D$7:$D$16,MATCH(F760,'PRICING'!$A$7:$A$16,0))/60+INDEX('PROPERTIES'!$H$5:$H$404,MATCH(E760,'PROPERTIES'!$B$5:$B$404,0))*INDEX('PRICING'!$E$7:$E$16,MATCH(F760,'PRICING'!$A$7:$A$16,0))/60+INDEX('PRICING'!$F$7:$F$16,MATCH(F760,'PRICING'!$A$7:$A$16,0))/60),2)),""))</f>
        <v/>
      </c>
      <c r="R760" s="97">
        <f>IF(B760="","",IF(N(K760)&gt;0,K760,IF(N(J760)&gt;0,J760,N(Q760))))</f>
        <v/>
      </c>
      <c r="S760" s="55">
        <f>IF(L760="","",ROUND(L760*(1+N(M760)),2))</f>
        <v/>
      </c>
      <c r="T760" s="55">
        <f>IF(B760="","",SUMIFS('REVENUE'!$C$5:$C$1504,'REVENUE'!$B$5:$B$1504,A760))</f>
        <v/>
      </c>
      <c r="U760" s="55">
        <f>IF(B760="","",IF(O760="Completed",MAX(0,N(S760)-T760),""))</f>
        <v/>
      </c>
      <c r="V760" s="49">
        <f>IF(B760="","",IF(O760&lt;&gt;"Completed",IF(T760&gt;0,"Deposit","—"),IF(U760&lt;=0.005,"Paid",IF(T760&gt;0,"Partial","Unpaid"))))</f>
        <v/>
      </c>
      <c r="W760" s="55">
        <f>IF(B760="","",IFERROR(1/(1/INDEX('STAFF &amp; TASKS'!$C$5:$C$24,MATCH(H760,'STAFF &amp; TASKS'!$A$5:$A$24,0))),PayRate))</f>
        <v/>
      </c>
      <c r="X760" s="55">
        <f>IF(B760="","",IF(OR(O760="Cancelled",O760="No-Show"),"",ROUND(R760*W760*(1+Burden),2)))</f>
        <v/>
      </c>
      <c r="Y760" s="55">
        <f>IF(B760="","",IF(OR(O760="Cancelled",O760="No-Show"),"",IF(N760&lt;&gt;"",N760,ROUND(R760*SupHr*IFERROR(INDEX('PRICING'!$G$7:$G$16,MATCH(F760,'PRICING'!$A$7:$A$16,0)),1),2))))</f>
        <v/>
      </c>
      <c r="Z760" s="98">
        <f>IF(B760="","",SUMIFS('MILEAGE'!$J$5:$J$1504,'MILEAGE'!$B$5:$B$1504,A760))</f>
        <v/>
      </c>
      <c r="AA760" s="55">
        <f>IF(B760="","",ROUND(Z760*MileRate,2))</f>
        <v/>
      </c>
      <c r="AB760" s="55">
        <f>IF(B760="","",SUMIFS('REVENUE'!$J$5:$J$1504,'REVENUE'!$B$5:$B$1504,A760))</f>
        <v/>
      </c>
      <c r="AC760" s="55">
        <f>IF(L760="","",IF(OR(O760="Cancelled",O760="No-Show"),"",L760-N(X760)-N(Y760)-AA760-AB760))</f>
        <v/>
      </c>
      <c r="AD760" s="99">
        <f>IF(OR(AC760="",N(L760)=0),"",AC760/L760)</f>
        <v/>
      </c>
      <c r="AE760" s="55">
        <f>IF(OR(AC760="",N(R760)=0),"",L760/R760)</f>
        <v/>
      </c>
      <c r="AF760" s="100">
        <f>IF(OR(N(K760)=0,N(J760)+N(Q760)=0),"",K760-IF(N(J760)&gt;0,J760,Q760))</f>
        <v/>
      </c>
      <c r="AG760" s="99">
        <f>IF(B760="","",IFERROR(AVERAGEIFS('QUALITY CONTROL'!$M$5:$M$304,'QUALITY CONTROL'!$B$5:$B$304,A760),""))</f>
        <v/>
      </c>
      <c r="AH760" s="51">
        <f>IF(B760="","",DATE(YEAR(B760),MONTH(B760),1))</f>
        <v/>
      </c>
      <c r="AI760" s="49">
        <f>IF(D760="","",IFERROR(INDEX('CUSTOMERS'!$E$5:$E$404,MATCH(D760,'CUSTOMERS'!$B$5:$B$404,0)),""))</f>
        <v/>
      </c>
      <c r="AJ760" s="49">
        <f>IF(B760="","",N(C760))</f>
        <v/>
      </c>
      <c r="AK760" s="49">
        <f>IF(OR(B760="",O760="Cancelled",O760="Rescheduled"),"",B760&amp;"|"&amp;(COUNTIFS('JOBS'!$B$5:$B$1504,B760,'JOBS'!$AJ$5:$AJ$1504,"&lt;"&amp;AJ760,'JOBS'!$O$5:$O$1504,"&lt;&gt;Cancelled",'JOBS'!$O$5:$O$1504,"&lt;&gt;Rescheduled")+COUNTIFS($B$5:B760,B760,$AJ$5:AJ760,AJ760,$O$5:O760,"&lt;&gt;Cancelled",$O$5:O760,"&lt;&gt;Rescheduled")))</f>
        <v/>
      </c>
      <c r="AL760" s="49">
        <f>IF(N(U760)&lt;=0.005,"",COUNTIFS('JOBS'!$U$5:$U$1504,"&gt;0.005",'JOBS'!$B$5:$B$1504,"&lt;"&amp;B760)+COUNTIFS($U$5:U760,"&gt;0.005",$B$5:B760,B760))</f>
        <v/>
      </c>
    </row>
    <row r="761">
      <c r="A761" s="46" t="inlineStr">
        <is>
          <t>J-0757</t>
        </is>
      </c>
      <c r="B761" s="47" t="n"/>
      <c r="C761" s="94" t="n"/>
      <c r="D761" s="38" t="n"/>
      <c r="E761" s="38" t="n"/>
      <c r="F761" s="38" t="n"/>
      <c r="G761" s="38" t="n"/>
      <c r="H761" s="38" t="n"/>
      <c r="I761" s="57" t="n"/>
      <c r="J761" s="95" t="n"/>
      <c r="K761" s="95" t="n"/>
      <c r="L761" s="48" t="n"/>
      <c r="M761" s="96" t="n"/>
      <c r="N761" s="48" t="n"/>
      <c r="O761" s="38" t="n"/>
      <c r="P761" s="38" t="n"/>
      <c r="Q761" s="97">
        <f>IF(OR(F761="",E761=""),"",IFERROR(IF(INDEX('PROPERTIES'!$F$5:$F$404,MATCH(E761,'PROPERTIES'!$B$5:$B$404,0))=0,"",ROUND((INDEX('PROPERTIES'!$F$5:$F$404,MATCH(E761,'PROPERTIES'!$B$5:$B$404,0))/INDEX('PRICING'!$C$7:$C$16,MATCH(F761,'PRICING'!$A$7:$A$16,0))+INDEX('PROPERTIES'!$G$5:$G$404,MATCH(E761,'PROPERTIES'!$B$5:$B$404,0))*INDEX('PRICING'!$D$7:$D$16,MATCH(F761,'PRICING'!$A$7:$A$16,0))/60+INDEX('PROPERTIES'!$H$5:$H$404,MATCH(E761,'PROPERTIES'!$B$5:$B$404,0))*INDEX('PRICING'!$E$7:$E$16,MATCH(F761,'PRICING'!$A$7:$A$16,0))/60+INDEX('PRICING'!$F$7:$F$16,MATCH(F761,'PRICING'!$A$7:$A$16,0))/60),2)),""))</f>
        <v/>
      </c>
      <c r="R761" s="97">
        <f>IF(B761="","",IF(N(K761)&gt;0,K761,IF(N(J761)&gt;0,J761,N(Q761))))</f>
        <v/>
      </c>
      <c r="S761" s="55">
        <f>IF(L761="","",ROUND(L761*(1+N(M761)),2))</f>
        <v/>
      </c>
      <c r="T761" s="55">
        <f>IF(B761="","",SUMIFS('REVENUE'!$C$5:$C$1504,'REVENUE'!$B$5:$B$1504,A761))</f>
        <v/>
      </c>
      <c r="U761" s="55">
        <f>IF(B761="","",IF(O761="Completed",MAX(0,N(S761)-T761),""))</f>
        <v/>
      </c>
      <c r="V761" s="49">
        <f>IF(B761="","",IF(O761&lt;&gt;"Completed",IF(T761&gt;0,"Deposit","—"),IF(U761&lt;=0.005,"Paid",IF(T761&gt;0,"Partial","Unpaid"))))</f>
        <v/>
      </c>
      <c r="W761" s="55">
        <f>IF(B761="","",IFERROR(1/(1/INDEX('STAFF &amp; TASKS'!$C$5:$C$24,MATCH(H761,'STAFF &amp; TASKS'!$A$5:$A$24,0))),PayRate))</f>
        <v/>
      </c>
      <c r="X761" s="55">
        <f>IF(B761="","",IF(OR(O761="Cancelled",O761="No-Show"),"",ROUND(R761*W761*(1+Burden),2)))</f>
        <v/>
      </c>
      <c r="Y761" s="55">
        <f>IF(B761="","",IF(OR(O761="Cancelled",O761="No-Show"),"",IF(N761&lt;&gt;"",N761,ROUND(R761*SupHr*IFERROR(INDEX('PRICING'!$G$7:$G$16,MATCH(F761,'PRICING'!$A$7:$A$16,0)),1),2))))</f>
        <v/>
      </c>
      <c r="Z761" s="98">
        <f>IF(B761="","",SUMIFS('MILEAGE'!$J$5:$J$1504,'MILEAGE'!$B$5:$B$1504,A761))</f>
        <v/>
      </c>
      <c r="AA761" s="55">
        <f>IF(B761="","",ROUND(Z761*MileRate,2))</f>
        <v/>
      </c>
      <c r="AB761" s="55">
        <f>IF(B761="","",SUMIFS('REVENUE'!$J$5:$J$1504,'REVENUE'!$B$5:$B$1504,A761))</f>
        <v/>
      </c>
      <c r="AC761" s="55">
        <f>IF(L761="","",IF(OR(O761="Cancelled",O761="No-Show"),"",L761-N(X761)-N(Y761)-AA761-AB761))</f>
        <v/>
      </c>
      <c r="AD761" s="99">
        <f>IF(OR(AC761="",N(L761)=0),"",AC761/L761)</f>
        <v/>
      </c>
      <c r="AE761" s="55">
        <f>IF(OR(AC761="",N(R761)=0),"",L761/R761)</f>
        <v/>
      </c>
      <c r="AF761" s="100">
        <f>IF(OR(N(K761)=0,N(J761)+N(Q761)=0),"",K761-IF(N(J761)&gt;0,J761,Q761))</f>
        <v/>
      </c>
      <c r="AG761" s="99">
        <f>IF(B761="","",IFERROR(AVERAGEIFS('QUALITY CONTROL'!$M$5:$M$304,'QUALITY CONTROL'!$B$5:$B$304,A761),""))</f>
        <v/>
      </c>
      <c r="AH761" s="51">
        <f>IF(B761="","",DATE(YEAR(B761),MONTH(B761),1))</f>
        <v/>
      </c>
      <c r="AI761" s="49">
        <f>IF(D761="","",IFERROR(INDEX('CUSTOMERS'!$E$5:$E$404,MATCH(D761,'CUSTOMERS'!$B$5:$B$404,0)),""))</f>
        <v/>
      </c>
      <c r="AJ761" s="49">
        <f>IF(B761="","",N(C761))</f>
        <v/>
      </c>
      <c r="AK761" s="49">
        <f>IF(OR(B761="",O761="Cancelled",O761="Rescheduled"),"",B761&amp;"|"&amp;(COUNTIFS('JOBS'!$B$5:$B$1504,B761,'JOBS'!$AJ$5:$AJ$1504,"&lt;"&amp;AJ761,'JOBS'!$O$5:$O$1504,"&lt;&gt;Cancelled",'JOBS'!$O$5:$O$1504,"&lt;&gt;Rescheduled")+COUNTIFS($B$5:B761,B761,$AJ$5:AJ761,AJ761,$O$5:O761,"&lt;&gt;Cancelled",$O$5:O761,"&lt;&gt;Rescheduled")))</f>
        <v/>
      </c>
      <c r="AL761" s="49">
        <f>IF(N(U761)&lt;=0.005,"",COUNTIFS('JOBS'!$U$5:$U$1504,"&gt;0.005",'JOBS'!$B$5:$B$1504,"&lt;"&amp;B761)+COUNTIFS($U$5:U761,"&gt;0.005",$B$5:B761,B761))</f>
        <v/>
      </c>
    </row>
    <row r="762">
      <c r="A762" s="46" t="inlineStr">
        <is>
          <t>J-0758</t>
        </is>
      </c>
      <c r="B762" s="47" t="n"/>
      <c r="C762" s="94" t="n"/>
      <c r="D762" s="38" t="n"/>
      <c r="E762" s="38" t="n"/>
      <c r="F762" s="38" t="n"/>
      <c r="G762" s="38" t="n"/>
      <c r="H762" s="38" t="n"/>
      <c r="I762" s="57" t="n"/>
      <c r="J762" s="95" t="n"/>
      <c r="K762" s="95" t="n"/>
      <c r="L762" s="48" t="n"/>
      <c r="M762" s="96" t="n"/>
      <c r="N762" s="48" t="n"/>
      <c r="O762" s="38" t="n"/>
      <c r="P762" s="38" t="n"/>
      <c r="Q762" s="97">
        <f>IF(OR(F762="",E762=""),"",IFERROR(IF(INDEX('PROPERTIES'!$F$5:$F$404,MATCH(E762,'PROPERTIES'!$B$5:$B$404,0))=0,"",ROUND((INDEX('PROPERTIES'!$F$5:$F$404,MATCH(E762,'PROPERTIES'!$B$5:$B$404,0))/INDEX('PRICING'!$C$7:$C$16,MATCH(F762,'PRICING'!$A$7:$A$16,0))+INDEX('PROPERTIES'!$G$5:$G$404,MATCH(E762,'PROPERTIES'!$B$5:$B$404,0))*INDEX('PRICING'!$D$7:$D$16,MATCH(F762,'PRICING'!$A$7:$A$16,0))/60+INDEX('PROPERTIES'!$H$5:$H$404,MATCH(E762,'PROPERTIES'!$B$5:$B$404,0))*INDEX('PRICING'!$E$7:$E$16,MATCH(F762,'PRICING'!$A$7:$A$16,0))/60+INDEX('PRICING'!$F$7:$F$16,MATCH(F762,'PRICING'!$A$7:$A$16,0))/60),2)),""))</f>
        <v/>
      </c>
      <c r="R762" s="97">
        <f>IF(B762="","",IF(N(K762)&gt;0,K762,IF(N(J762)&gt;0,J762,N(Q762))))</f>
        <v/>
      </c>
      <c r="S762" s="55">
        <f>IF(L762="","",ROUND(L762*(1+N(M762)),2))</f>
        <v/>
      </c>
      <c r="T762" s="55">
        <f>IF(B762="","",SUMIFS('REVENUE'!$C$5:$C$1504,'REVENUE'!$B$5:$B$1504,A762))</f>
        <v/>
      </c>
      <c r="U762" s="55">
        <f>IF(B762="","",IF(O762="Completed",MAX(0,N(S762)-T762),""))</f>
        <v/>
      </c>
      <c r="V762" s="49">
        <f>IF(B762="","",IF(O762&lt;&gt;"Completed",IF(T762&gt;0,"Deposit","—"),IF(U762&lt;=0.005,"Paid",IF(T762&gt;0,"Partial","Unpaid"))))</f>
        <v/>
      </c>
      <c r="W762" s="55">
        <f>IF(B762="","",IFERROR(1/(1/INDEX('STAFF &amp; TASKS'!$C$5:$C$24,MATCH(H762,'STAFF &amp; TASKS'!$A$5:$A$24,0))),PayRate))</f>
        <v/>
      </c>
      <c r="X762" s="55">
        <f>IF(B762="","",IF(OR(O762="Cancelled",O762="No-Show"),"",ROUND(R762*W762*(1+Burden),2)))</f>
        <v/>
      </c>
      <c r="Y762" s="55">
        <f>IF(B762="","",IF(OR(O762="Cancelled",O762="No-Show"),"",IF(N762&lt;&gt;"",N762,ROUND(R762*SupHr*IFERROR(INDEX('PRICING'!$G$7:$G$16,MATCH(F762,'PRICING'!$A$7:$A$16,0)),1),2))))</f>
        <v/>
      </c>
      <c r="Z762" s="98">
        <f>IF(B762="","",SUMIFS('MILEAGE'!$J$5:$J$1504,'MILEAGE'!$B$5:$B$1504,A762))</f>
        <v/>
      </c>
      <c r="AA762" s="55">
        <f>IF(B762="","",ROUND(Z762*MileRate,2))</f>
        <v/>
      </c>
      <c r="AB762" s="55">
        <f>IF(B762="","",SUMIFS('REVENUE'!$J$5:$J$1504,'REVENUE'!$B$5:$B$1504,A762))</f>
        <v/>
      </c>
      <c r="AC762" s="55">
        <f>IF(L762="","",IF(OR(O762="Cancelled",O762="No-Show"),"",L762-N(X762)-N(Y762)-AA762-AB762))</f>
        <v/>
      </c>
      <c r="AD762" s="99">
        <f>IF(OR(AC762="",N(L762)=0),"",AC762/L762)</f>
        <v/>
      </c>
      <c r="AE762" s="55">
        <f>IF(OR(AC762="",N(R762)=0),"",L762/R762)</f>
        <v/>
      </c>
      <c r="AF762" s="100">
        <f>IF(OR(N(K762)=0,N(J762)+N(Q762)=0),"",K762-IF(N(J762)&gt;0,J762,Q762))</f>
        <v/>
      </c>
      <c r="AG762" s="99">
        <f>IF(B762="","",IFERROR(AVERAGEIFS('QUALITY CONTROL'!$M$5:$M$304,'QUALITY CONTROL'!$B$5:$B$304,A762),""))</f>
        <v/>
      </c>
      <c r="AH762" s="51">
        <f>IF(B762="","",DATE(YEAR(B762),MONTH(B762),1))</f>
        <v/>
      </c>
      <c r="AI762" s="49">
        <f>IF(D762="","",IFERROR(INDEX('CUSTOMERS'!$E$5:$E$404,MATCH(D762,'CUSTOMERS'!$B$5:$B$404,0)),""))</f>
        <v/>
      </c>
      <c r="AJ762" s="49">
        <f>IF(B762="","",N(C762))</f>
        <v/>
      </c>
      <c r="AK762" s="49">
        <f>IF(OR(B762="",O762="Cancelled",O762="Rescheduled"),"",B762&amp;"|"&amp;(COUNTIFS('JOBS'!$B$5:$B$1504,B762,'JOBS'!$AJ$5:$AJ$1504,"&lt;"&amp;AJ762,'JOBS'!$O$5:$O$1504,"&lt;&gt;Cancelled",'JOBS'!$O$5:$O$1504,"&lt;&gt;Rescheduled")+COUNTIFS($B$5:B762,B762,$AJ$5:AJ762,AJ762,$O$5:O762,"&lt;&gt;Cancelled",$O$5:O762,"&lt;&gt;Rescheduled")))</f>
        <v/>
      </c>
      <c r="AL762" s="49">
        <f>IF(N(U762)&lt;=0.005,"",COUNTIFS('JOBS'!$U$5:$U$1504,"&gt;0.005",'JOBS'!$B$5:$B$1504,"&lt;"&amp;B762)+COUNTIFS($U$5:U762,"&gt;0.005",$B$5:B762,B762))</f>
        <v/>
      </c>
    </row>
    <row r="763">
      <c r="A763" s="46" t="inlineStr">
        <is>
          <t>J-0759</t>
        </is>
      </c>
      <c r="B763" s="47" t="n"/>
      <c r="C763" s="94" t="n"/>
      <c r="D763" s="38" t="n"/>
      <c r="E763" s="38" t="n"/>
      <c r="F763" s="38" t="n"/>
      <c r="G763" s="38" t="n"/>
      <c r="H763" s="38" t="n"/>
      <c r="I763" s="57" t="n"/>
      <c r="J763" s="95" t="n"/>
      <c r="K763" s="95" t="n"/>
      <c r="L763" s="48" t="n"/>
      <c r="M763" s="96" t="n"/>
      <c r="N763" s="48" t="n"/>
      <c r="O763" s="38" t="n"/>
      <c r="P763" s="38" t="n"/>
      <c r="Q763" s="97">
        <f>IF(OR(F763="",E763=""),"",IFERROR(IF(INDEX('PROPERTIES'!$F$5:$F$404,MATCH(E763,'PROPERTIES'!$B$5:$B$404,0))=0,"",ROUND((INDEX('PROPERTIES'!$F$5:$F$404,MATCH(E763,'PROPERTIES'!$B$5:$B$404,0))/INDEX('PRICING'!$C$7:$C$16,MATCH(F763,'PRICING'!$A$7:$A$16,0))+INDEX('PROPERTIES'!$G$5:$G$404,MATCH(E763,'PROPERTIES'!$B$5:$B$404,0))*INDEX('PRICING'!$D$7:$D$16,MATCH(F763,'PRICING'!$A$7:$A$16,0))/60+INDEX('PROPERTIES'!$H$5:$H$404,MATCH(E763,'PROPERTIES'!$B$5:$B$404,0))*INDEX('PRICING'!$E$7:$E$16,MATCH(F763,'PRICING'!$A$7:$A$16,0))/60+INDEX('PRICING'!$F$7:$F$16,MATCH(F763,'PRICING'!$A$7:$A$16,0))/60),2)),""))</f>
        <v/>
      </c>
      <c r="R763" s="97">
        <f>IF(B763="","",IF(N(K763)&gt;0,K763,IF(N(J763)&gt;0,J763,N(Q763))))</f>
        <v/>
      </c>
      <c r="S763" s="55">
        <f>IF(L763="","",ROUND(L763*(1+N(M763)),2))</f>
        <v/>
      </c>
      <c r="T763" s="55">
        <f>IF(B763="","",SUMIFS('REVENUE'!$C$5:$C$1504,'REVENUE'!$B$5:$B$1504,A763))</f>
        <v/>
      </c>
      <c r="U763" s="55">
        <f>IF(B763="","",IF(O763="Completed",MAX(0,N(S763)-T763),""))</f>
        <v/>
      </c>
      <c r="V763" s="49">
        <f>IF(B763="","",IF(O763&lt;&gt;"Completed",IF(T763&gt;0,"Deposit","—"),IF(U763&lt;=0.005,"Paid",IF(T763&gt;0,"Partial","Unpaid"))))</f>
        <v/>
      </c>
      <c r="W763" s="55">
        <f>IF(B763="","",IFERROR(1/(1/INDEX('STAFF &amp; TASKS'!$C$5:$C$24,MATCH(H763,'STAFF &amp; TASKS'!$A$5:$A$24,0))),PayRate))</f>
        <v/>
      </c>
      <c r="X763" s="55">
        <f>IF(B763="","",IF(OR(O763="Cancelled",O763="No-Show"),"",ROUND(R763*W763*(1+Burden),2)))</f>
        <v/>
      </c>
      <c r="Y763" s="55">
        <f>IF(B763="","",IF(OR(O763="Cancelled",O763="No-Show"),"",IF(N763&lt;&gt;"",N763,ROUND(R763*SupHr*IFERROR(INDEX('PRICING'!$G$7:$G$16,MATCH(F763,'PRICING'!$A$7:$A$16,0)),1),2))))</f>
        <v/>
      </c>
      <c r="Z763" s="98">
        <f>IF(B763="","",SUMIFS('MILEAGE'!$J$5:$J$1504,'MILEAGE'!$B$5:$B$1504,A763))</f>
        <v/>
      </c>
      <c r="AA763" s="55">
        <f>IF(B763="","",ROUND(Z763*MileRate,2))</f>
        <v/>
      </c>
      <c r="AB763" s="55">
        <f>IF(B763="","",SUMIFS('REVENUE'!$J$5:$J$1504,'REVENUE'!$B$5:$B$1504,A763))</f>
        <v/>
      </c>
      <c r="AC763" s="55">
        <f>IF(L763="","",IF(OR(O763="Cancelled",O763="No-Show"),"",L763-N(X763)-N(Y763)-AA763-AB763))</f>
        <v/>
      </c>
      <c r="AD763" s="99">
        <f>IF(OR(AC763="",N(L763)=0),"",AC763/L763)</f>
        <v/>
      </c>
      <c r="AE763" s="55">
        <f>IF(OR(AC763="",N(R763)=0),"",L763/R763)</f>
        <v/>
      </c>
      <c r="AF763" s="100">
        <f>IF(OR(N(K763)=0,N(J763)+N(Q763)=0),"",K763-IF(N(J763)&gt;0,J763,Q763))</f>
        <v/>
      </c>
      <c r="AG763" s="99">
        <f>IF(B763="","",IFERROR(AVERAGEIFS('QUALITY CONTROL'!$M$5:$M$304,'QUALITY CONTROL'!$B$5:$B$304,A763),""))</f>
        <v/>
      </c>
      <c r="AH763" s="51">
        <f>IF(B763="","",DATE(YEAR(B763),MONTH(B763),1))</f>
        <v/>
      </c>
      <c r="AI763" s="49">
        <f>IF(D763="","",IFERROR(INDEX('CUSTOMERS'!$E$5:$E$404,MATCH(D763,'CUSTOMERS'!$B$5:$B$404,0)),""))</f>
        <v/>
      </c>
      <c r="AJ763" s="49">
        <f>IF(B763="","",N(C763))</f>
        <v/>
      </c>
      <c r="AK763" s="49">
        <f>IF(OR(B763="",O763="Cancelled",O763="Rescheduled"),"",B763&amp;"|"&amp;(COUNTIFS('JOBS'!$B$5:$B$1504,B763,'JOBS'!$AJ$5:$AJ$1504,"&lt;"&amp;AJ763,'JOBS'!$O$5:$O$1504,"&lt;&gt;Cancelled",'JOBS'!$O$5:$O$1504,"&lt;&gt;Rescheduled")+COUNTIFS($B$5:B763,B763,$AJ$5:AJ763,AJ763,$O$5:O763,"&lt;&gt;Cancelled",$O$5:O763,"&lt;&gt;Rescheduled")))</f>
        <v/>
      </c>
      <c r="AL763" s="49">
        <f>IF(N(U763)&lt;=0.005,"",COUNTIFS('JOBS'!$U$5:$U$1504,"&gt;0.005",'JOBS'!$B$5:$B$1504,"&lt;"&amp;B763)+COUNTIFS($U$5:U763,"&gt;0.005",$B$5:B763,B763))</f>
        <v/>
      </c>
    </row>
    <row r="764">
      <c r="A764" s="46" t="inlineStr">
        <is>
          <t>J-0760</t>
        </is>
      </c>
      <c r="B764" s="47" t="n"/>
      <c r="C764" s="94" t="n"/>
      <c r="D764" s="38" t="n"/>
      <c r="E764" s="38" t="n"/>
      <c r="F764" s="38" t="n"/>
      <c r="G764" s="38" t="n"/>
      <c r="H764" s="38" t="n"/>
      <c r="I764" s="57" t="n"/>
      <c r="J764" s="95" t="n"/>
      <c r="K764" s="95" t="n"/>
      <c r="L764" s="48" t="n"/>
      <c r="M764" s="96" t="n"/>
      <c r="N764" s="48" t="n"/>
      <c r="O764" s="38" t="n"/>
      <c r="P764" s="38" t="n"/>
      <c r="Q764" s="97">
        <f>IF(OR(F764="",E764=""),"",IFERROR(IF(INDEX('PROPERTIES'!$F$5:$F$404,MATCH(E764,'PROPERTIES'!$B$5:$B$404,0))=0,"",ROUND((INDEX('PROPERTIES'!$F$5:$F$404,MATCH(E764,'PROPERTIES'!$B$5:$B$404,0))/INDEX('PRICING'!$C$7:$C$16,MATCH(F764,'PRICING'!$A$7:$A$16,0))+INDEX('PROPERTIES'!$G$5:$G$404,MATCH(E764,'PROPERTIES'!$B$5:$B$404,0))*INDEX('PRICING'!$D$7:$D$16,MATCH(F764,'PRICING'!$A$7:$A$16,0))/60+INDEX('PROPERTIES'!$H$5:$H$404,MATCH(E764,'PROPERTIES'!$B$5:$B$404,0))*INDEX('PRICING'!$E$7:$E$16,MATCH(F764,'PRICING'!$A$7:$A$16,0))/60+INDEX('PRICING'!$F$7:$F$16,MATCH(F764,'PRICING'!$A$7:$A$16,0))/60),2)),""))</f>
        <v/>
      </c>
      <c r="R764" s="97">
        <f>IF(B764="","",IF(N(K764)&gt;0,K764,IF(N(J764)&gt;0,J764,N(Q764))))</f>
        <v/>
      </c>
      <c r="S764" s="55">
        <f>IF(L764="","",ROUND(L764*(1+N(M764)),2))</f>
        <v/>
      </c>
      <c r="T764" s="55">
        <f>IF(B764="","",SUMIFS('REVENUE'!$C$5:$C$1504,'REVENUE'!$B$5:$B$1504,A764))</f>
        <v/>
      </c>
      <c r="U764" s="55">
        <f>IF(B764="","",IF(O764="Completed",MAX(0,N(S764)-T764),""))</f>
        <v/>
      </c>
      <c r="V764" s="49">
        <f>IF(B764="","",IF(O764&lt;&gt;"Completed",IF(T764&gt;0,"Deposit","—"),IF(U764&lt;=0.005,"Paid",IF(T764&gt;0,"Partial","Unpaid"))))</f>
        <v/>
      </c>
      <c r="W764" s="55">
        <f>IF(B764="","",IFERROR(1/(1/INDEX('STAFF &amp; TASKS'!$C$5:$C$24,MATCH(H764,'STAFF &amp; TASKS'!$A$5:$A$24,0))),PayRate))</f>
        <v/>
      </c>
      <c r="X764" s="55">
        <f>IF(B764="","",IF(OR(O764="Cancelled",O764="No-Show"),"",ROUND(R764*W764*(1+Burden),2)))</f>
        <v/>
      </c>
      <c r="Y764" s="55">
        <f>IF(B764="","",IF(OR(O764="Cancelled",O764="No-Show"),"",IF(N764&lt;&gt;"",N764,ROUND(R764*SupHr*IFERROR(INDEX('PRICING'!$G$7:$G$16,MATCH(F764,'PRICING'!$A$7:$A$16,0)),1),2))))</f>
        <v/>
      </c>
      <c r="Z764" s="98">
        <f>IF(B764="","",SUMIFS('MILEAGE'!$J$5:$J$1504,'MILEAGE'!$B$5:$B$1504,A764))</f>
        <v/>
      </c>
      <c r="AA764" s="55">
        <f>IF(B764="","",ROUND(Z764*MileRate,2))</f>
        <v/>
      </c>
      <c r="AB764" s="55">
        <f>IF(B764="","",SUMIFS('REVENUE'!$J$5:$J$1504,'REVENUE'!$B$5:$B$1504,A764))</f>
        <v/>
      </c>
      <c r="AC764" s="55">
        <f>IF(L764="","",IF(OR(O764="Cancelled",O764="No-Show"),"",L764-N(X764)-N(Y764)-AA764-AB764))</f>
        <v/>
      </c>
      <c r="AD764" s="99">
        <f>IF(OR(AC764="",N(L764)=0),"",AC764/L764)</f>
        <v/>
      </c>
      <c r="AE764" s="55">
        <f>IF(OR(AC764="",N(R764)=0),"",L764/R764)</f>
        <v/>
      </c>
      <c r="AF764" s="100">
        <f>IF(OR(N(K764)=0,N(J764)+N(Q764)=0),"",K764-IF(N(J764)&gt;0,J764,Q764))</f>
        <v/>
      </c>
      <c r="AG764" s="99">
        <f>IF(B764="","",IFERROR(AVERAGEIFS('QUALITY CONTROL'!$M$5:$M$304,'QUALITY CONTROL'!$B$5:$B$304,A764),""))</f>
        <v/>
      </c>
      <c r="AH764" s="51">
        <f>IF(B764="","",DATE(YEAR(B764),MONTH(B764),1))</f>
        <v/>
      </c>
      <c r="AI764" s="49">
        <f>IF(D764="","",IFERROR(INDEX('CUSTOMERS'!$E$5:$E$404,MATCH(D764,'CUSTOMERS'!$B$5:$B$404,0)),""))</f>
        <v/>
      </c>
      <c r="AJ764" s="49">
        <f>IF(B764="","",N(C764))</f>
        <v/>
      </c>
      <c r="AK764" s="49">
        <f>IF(OR(B764="",O764="Cancelled",O764="Rescheduled"),"",B764&amp;"|"&amp;(COUNTIFS('JOBS'!$B$5:$B$1504,B764,'JOBS'!$AJ$5:$AJ$1504,"&lt;"&amp;AJ764,'JOBS'!$O$5:$O$1504,"&lt;&gt;Cancelled",'JOBS'!$O$5:$O$1504,"&lt;&gt;Rescheduled")+COUNTIFS($B$5:B764,B764,$AJ$5:AJ764,AJ764,$O$5:O764,"&lt;&gt;Cancelled",$O$5:O764,"&lt;&gt;Rescheduled")))</f>
        <v/>
      </c>
      <c r="AL764" s="49">
        <f>IF(N(U764)&lt;=0.005,"",COUNTIFS('JOBS'!$U$5:$U$1504,"&gt;0.005",'JOBS'!$B$5:$B$1504,"&lt;"&amp;B764)+COUNTIFS($U$5:U764,"&gt;0.005",$B$5:B764,B764))</f>
        <v/>
      </c>
    </row>
    <row r="765">
      <c r="A765" s="46" t="inlineStr">
        <is>
          <t>J-0761</t>
        </is>
      </c>
      <c r="B765" s="47" t="n"/>
      <c r="C765" s="94" t="n"/>
      <c r="D765" s="38" t="n"/>
      <c r="E765" s="38" t="n"/>
      <c r="F765" s="38" t="n"/>
      <c r="G765" s="38" t="n"/>
      <c r="H765" s="38" t="n"/>
      <c r="I765" s="57" t="n"/>
      <c r="J765" s="95" t="n"/>
      <c r="K765" s="95" t="n"/>
      <c r="L765" s="48" t="n"/>
      <c r="M765" s="96" t="n"/>
      <c r="N765" s="48" t="n"/>
      <c r="O765" s="38" t="n"/>
      <c r="P765" s="38" t="n"/>
      <c r="Q765" s="97">
        <f>IF(OR(F765="",E765=""),"",IFERROR(IF(INDEX('PROPERTIES'!$F$5:$F$404,MATCH(E765,'PROPERTIES'!$B$5:$B$404,0))=0,"",ROUND((INDEX('PROPERTIES'!$F$5:$F$404,MATCH(E765,'PROPERTIES'!$B$5:$B$404,0))/INDEX('PRICING'!$C$7:$C$16,MATCH(F765,'PRICING'!$A$7:$A$16,0))+INDEX('PROPERTIES'!$G$5:$G$404,MATCH(E765,'PROPERTIES'!$B$5:$B$404,0))*INDEX('PRICING'!$D$7:$D$16,MATCH(F765,'PRICING'!$A$7:$A$16,0))/60+INDEX('PROPERTIES'!$H$5:$H$404,MATCH(E765,'PROPERTIES'!$B$5:$B$404,0))*INDEX('PRICING'!$E$7:$E$16,MATCH(F765,'PRICING'!$A$7:$A$16,0))/60+INDEX('PRICING'!$F$7:$F$16,MATCH(F765,'PRICING'!$A$7:$A$16,0))/60),2)),""))</f>
        <v/>
      </c>
      <c r="R765" s="97">
        <f>IF(B765="","",IF(N(K765)&gt;0,K765,IF(N(J765)&gt;0,J765,N(Q765))))</f>
        <v/>
      </c>
      <c r="S765" s="55">
        <f>IF(L765="","",ROUND(L765*(1+N(M765)),2))</f>
        <v/>
      </c>
      <c r="T765" s="55">
        <f>IF(B765="","",SUMIFS('REVENUE'!$C$5:$C$1504,'REVENUE'!$B$5:$B$1504,A765))</f>
        <v/>
      </c>
      <c r="U765" s="55">
        <f>IF(B765="","",IF(O765="Completed",MAX(0,N(S765)-T765),""))</f>
        <v/>
      </c>
      <c r="V765" s="49">
        <f>IF(B765="","",IF(O765&lt;&gt;"Completed",IF(T765&gt;0,"Deposit","—"),IF(U765&lt;=0.005,"Paid",IF(T765&gt;0,"Partial","Unpaid"))))</f>
        <v/>
      </c>
      <c r="W765" s="55">
        <f>IF(B765="","",IFERROR(1/(1/INDEX('STAFF &amp; TASKS'!$C$5:$C$24,MATCH(H765,'STAFF &amp; TASKS'!$A$5:$A$24,0))),PayRate))</f>
        <v/>
      </c>
      <c r="X765" s="55">
        <f>IF(B765="","",IF(OR(O765="Cancelled",O765="No-Show"),"",ROUND(R765*W765*(1+Burden),2)))</f>
        <v/>
      </c>
      <c r="Y765" s="55">
        <f>IF(B765="","",IF(OR(O765="Cancelled",O765="No-Show"),"",IF(N765&lt;&gt;"",N765,ROUND(R765*SupHr*IFERROR(INDEX('PRICING'!$G$7:$G$16,MATCH(F765,'PRICING'!$A$7:$A$16,0)),1),2))))</f>
        <v/>
      </c>
      <c r="Z765" s="98">
        <f>IF(B765="","",SUMIFS('MILEAGE'!$J$5:$J$1504,'MILEAGE'!$B$5:$B$1504,A765))</f>
        <v/>
      </c>
      <c r="AA765" s="55">
        <f>IF(B765="","",ROUND(Z765*MileRate,2))</f>
        <v/>
      </c>
      <c r="AB765" s="55">
        <f>IF(B765="","",SUMIFS('REVENUE'!$J$5:$J$1504,'REVENUE'!$B$5:$B$1504,A765))</f>
        <v/>
      </c>
      <c r="AC765" s="55">
        <f>IF(L765="","",IF(OR(O765="Cancelled",O765="No-Show"),"",L765-N(X765)-N(Y765)-AA765-AB765))</f>
        <v/>
      </c>
      <c r="AD765" s="99">
        <f>IF(OR(AC765="",N(L765)=0),"",AC765/L765)</f>
        <v/>
      </c>
      <c r="AE765" s="55">
        <f>IF(OR(AC765="",N(R765)=0),"",L765/R765)</f>
        <v/>
      </c>
      <c r="AF765" s="100">
        <f>IF(OR(N(K765)=0,N(J765)+N(Q765)=0),"",K765-IF(N(J765)&gt;0,J765,Q765))</f>
        <v/>
      </c>
      <c r="AG765" s="99">
        <f>IF(B765="","",IFERROR(AVERAGEIFS('QUALITY CONTROL'!$M$5:$M$304,'QUALITY CONTROL'!$B$5:$B$304,A765),""))</f>
        <v/>
      </c>
      <c r="AH765" s="51">
        <f>IF(B765="","",DATE(YEAR(B765),MONTH(B765),1))</f>
        <v/>
      </c>
      <c r="AI765" s="49">
        <f>IF(D765="","",IFERROR(INDEX('CUSTOMERS'!$E$5:$E$404,MATCH(D765,'CUSTOMERS'!$B$5:$B$404,0)),""))</f>
        <v/>
      </c>
      <c r="AJ765" s="49">
        <f>IF(B765="","",N(C765))</f>
        <v/>
      </c>
      <c r="AK765" s="49">
        <f>IF(OR(B765="",O765="Cancelled",O765="Rescheduled"),"",B765&amp;"|"&amp;(COUNTIFS('JOBS'!$B$5:$B$1504,B765,'JOBS'!$AJ$5:$AJ$1504,"&lt;"&amp;AJ765,'JOBS'!$O$5:$O$1504,"&lt;&gt;Cancelled",'JOBS'!$O$5:$O$1504,"&lt;&gt;Rescheduled")+COUNTIFS($B$5:B765,B765,$AJ$5:AJ765,AJ765,$O$5:O765,"&lt;&gt;Cancelled",$O$5:O765,"&lt;&gt;Rescheduled")))</f>
        <v/>
      </c>
      <c r="AL765" s="49">
        <f>IF(N(U765)&lt;=0.005,"",COUNTIFS('JOBS'!$U$5:$U$1504,"&gt;0.005",'JOBS'!$B$5:$B$1504,"&lt;"&amp;B765)+COUNTIFS($U$5:U765,"&gt;0.005",$B$5:B765,B765))</f>
        <v/>
      </c>
    </row>
    <row r="766">
      <c r="A766" s="46" t="inlineStr">
        <is>
          <t>J-0762</t>
        </is>
      </c>
      <c r="B766" s="47" t="n"/>
      <c r="C766" s="94" t="n"/>
      <c r="D766" s="38" t="n"/>
      <c r="E766" s="38" t="n"/>
      <c r="F766" s="38" t="n"/>
      <c r="G766" s="38" t="n"/>
      <c r="H766" s="38" t="n"/>
      <c r="I766" s="57" t="n"/>
      <c r="J766" s="95" t="n"/>
      <c r="K766" s="95" t="n"/>
      <c r="L766" s="48" t="n"/>
      <c r="M766" s="96" t="n"/>
      <c r="N766" s="48" t="n"/>
      <c r="O766" s="38" t="n"/>
      <c r="P766" s="38" t="n"/>
      <c r="Q766" s="97">
        <f>IF(OR(F766="",E766=""),"",IFERROR(IF(INDEX('PROPERTIES'!$F$5:$F$404,MATCH(E766,'PROPERTIES'!$B$5:$B$404,0))=0,"",ROUND((INDEX('PROPERTIES'!$F$5:$F$404,MATCH(E766,'PROPERTIES'!$B$5:$B$404,0))/INDEX('PRICING'!$C$7:$C$16,MATCH(F766,'PRICING'!$A$7:$A$16,0))+INDEX('PROPERTIES'!$G$5:$G$404,MATCH(E766,'PROPERTIES'!$B$5:$B$404,0))*INDEX('PRICING'!$D$7:$D$16,MATCH(F766,'PRICING'!$A$7:$A$16,0))/60+INDEX('PROPERTIES'!$H$5:$H$404,MATCH(E766,'PROPERTIES'!$B$5:$B$404,0))*INDEX('PRICING'!$E$7:$E$16,MATCH(F766,'PRICING'!$A$7:$A$16,0))/60+INDEX('PRICING'!$F$7:$F$16,MATCH(F766,'PRICING'!$A$7:$A$16,0))/60),2)),""))</f>
        <v/>
      </c>
      <c r="R766" s="97">
        <f>IF(B766="","",IF(N(K766)&gt;0,K766,IF(N(J766)&gt;0,J766,N(Q766))))</f>
        <v/>
      </c>
      <c r="S766" s="55">
        <f>IF(L766="","",ROUND(L766*(1+N(M766)),2))</f>
        <v/>
      </c>
      <c r="T766" s="55">
        <f>IF(B766="","",SUMIFS('REVENUE'!$C$5:$C$1504,'REVENUE'!$B$5:$B$1504,A766))</f>
        <v/>
      </c>
      <c r="U766" s="55">
        <f>IF(B766="","",IF(O766="Completed",MAX(0,N(S766)-T766),""))</f>
        <v/>
      </c>
      <c r="V766" s="49">
        <f>IF(B766="","",IF(O766&lt;&gt;"Completed",IF(T766&gt;0,"Deposit","—"),IF(U766&lt;=0.005,"Paid",IF(T766&gt;0,"Partial","Unpaid"))))</f>
        <v/>
      </c>
      <c r="W766" s="55">
        <f>IF(B766="","",IFERROR(1/(1/INDEX('STAFF &amp; TASKS'!$C$5:$C$24,MATCH(H766,'STAFF &amp; TASKS'!$A$5:$A$24,0))),PayRate))</f>
        <v/>
      </c>
      <c r="X766" s="55">
        <f>IF(B766="","",IF(OR(O766="Cancelled",O766="No-Show"),"",ROUND(R766*W766*(1+Burden),2)))</f>
        <v/>
      </c>
      <c r="Y766" s="55">
        <f>IF(B766="","",IF(OR(O766="Cancelled",O766="No-Show"),"",IF(N766&lt;&gt;"",N766,ROUND(R766*SupHr*IFERROR(INDEX('PRICING'!$G$7:$G$16,MATCH(F766,'PRICING'!$A$7:$A$16,0)),1),2))))</f>
        <v/>
      </c>
      <c r="Z766" s="98">
        <f>IF(B766="","",SUMIFS('MILEAGE'!$J$5:$J$1504,'MILEAGE'!$B$5:$B$1504,A766))</f>
        <v/>
      </c>
      <c r="AA766" s="55">
        <f>IF(B766="","",ROUND(Z766*MileRate,2))</f>
        <v/>
      </c>
      <c r="AB766" s="55">
        <f>IF(B766="","",SUMIFS('REVENUE'!$J$5:$J$1504,'REVENUE'!$B$5:$B$1504,A766))</f>
        <v/>
      </c>
      <c r="AC766" s="55">
        <f>IF(L766="","",IF(OR(O766="Cancelled",O766="No-Show"),"",L766-N(X766)-N(Y766)-AA766-AB766))</f>
        <v/>
      </c>
      <c r="AD766" s="99">
        <f>IF(OR(AC766="",N(L766)=0),"",AC766/L766)</f>
        <v/>
      </c>
      <c r="AE766" s="55">
        <f>IF(OR(AC766="",N(R766)=0),"",L766/R766)</f>
        <v/>
      </c>
      <c r="AF766" s="100">
        <f>IF(OR(N(K766)=0,N(J766)+N(Q766)=0),"",K766-IF(N(J766)&gt;0,J766,Q766))</f>
        <v/>
      </c>
      <c r="AG766" s="99">
        <f>IF(B766="","",IFERROR(AVERAGEIFS('QUALITY CONTROL'!$M$5:$M$304,'QUALITY CONTROL'!$B$5:$B$304,A766),""))</f>
        <v/>
      </c>
      <c r="AH766" s="51">
        <f>IF(B766="","",DATE(YEAR(B766),MONTH(B766),1))</f>
        <v/>
      </c>
      <c r="AI766" s="49">
        <f>IF(D766="","",IFERROR(INDEX('CUSTOMERS'!$E$5:$E$404,MATCH(D766,'CUSTOMERS'!$B$5:$B$404,0)),""))</f>
        <v/>
      </c>
      <c r="AJ766" s="49">
        <f>IF(B766="","",N(C766))</f>
        <v/>
      </c>
      <c r="AK766" s="49">
        <f>IF(OR(B766="",O766="Cancelled",O766="Rescheduled"),"",B766&amp;"|"&amp;(COUNTIFS('JOBS'!$B$5:$B$1504,B766,'JOBS'!$AJ$5:$AJ$1504,"&lt;"&amp;AJ766,'JOBS'!$O$5:$O$1504,"&lt;&gt;Cancelled",'JOBS'!$O$5:$O$1504,"&lt;&gt;Rescheduled")+COUNTIFS($B$5:B766,B766,$AJ$5:AJ766,AJ766,$O$5:O766,"&lt;&gt;Cancelled",$O$5:O766,"&lt;&gt;Rescheduled")))</f>
        <v/>
      </c>
      <c r="AL766" s="49">
        <f>IF(N(U766)&lt;=0.005,"",COUNTIFS('JOBS'!$U$5:$U$1504,"&gt;0.005",'JOBS'!$B$5:$B$1504,"&lt;"&amp;B766)+COUNTIFS($U$5:U766,"&gt;0.005",$B$5:B766,B766))</f>
        <v/>
      </c>
    </row>
    <row r="767">
      <c r="A767" s="46" t="inlineStr">
        <is>
          <t>J-0763</t>
        </is>
      </c>
      <c r="B767" s="47" t="n"/>
      <c r="C767" s="94" t="n"/>
      <c r="D767" s="38" t="n"/>
      <c r="E767" s="38" t="n"/>
      <c r="F767" s="38" t="n"/>
      <c r="G767" s="38" t="n"/>
      <c r="H767" s="38" t="n"/>
      <c r="I767" s="57" t="n"/>
      <c r="J767" s="95" t="n"/>
      <c r="K767" s="95" t="n"/>
      <c r="L767" s="48" t="n"/>
      <c r="M767" s="96" t="n"/>
      <c r="N767" s="48" t="n"/>
      <c r="O767" s="38" t="n"/>
      <c r="P767" s="38" t="n"/>
      <c r="Q767" s="97">
        <f>IF(OR(F767="",E767=""),"",IFERROR(IF(INDEX('PROPERTIES'!$F$5:$F$404,MATCH(E767,'PROPERTIES'!$B$5:$B$404,0))=0,"",ROUND((INDEX('PROPERTIES'!$F$5:$F$404,MATCH(E767,'PROPERTIES'!$B$5:$B$404,0))/INDEX('PRICING'!$C$7:$C$16,MATCH(F767,'PRICING'!$A$7:$A$16,0))+INDEX('PROPERTIES'!$G$5:$G$404,MATCH(E767,'PROPERTIES'!$B$5:$B$404,0))*INDEX('PRICING'!$D$7:$D$16,MATCH(F767,'PRICING'!$A$7:$A$16,0))/60+INDEX('PROPERTIES'!$H$5:$H$404,MATCH(E767,'PROPERTIES'!$B$5:$B$404,0))*INDEX('PRICING'!$E$7:$E$16,MATCH(F767,'PRICING'!$A$7:$A$16,0))/60+INDEX('PRICING'!$F$7:$F$16,MATCH(F767,'PRICING'!$A$7:$A$16,0))/60),2)),""))</f>
        <v/>
      </c>
      <c r="R767" s="97">
        <f>IF(B767="","",IF(N(K767)&gt;0,K767,IF(N(J767)&gt;0,J767,N(Q767))))</f>
        <v/>
      </c>
      <c r="S767" s="55">
        <f>IF(L767="","",ROUND(L767*(1+N(M767)),2))</f>
        <v/>
      </c>
      <c r="T767" s="55">
        <f>IF(B767="","",SUMIFS('REVENUE'!$C$5:$C$1504,'REVENUE'!$B$5:$B$1504,A767))</f>
        <v/>
      </c>
      <c r="U767" s="55">
        <f>IF(B767="","",IF(O767="Completed",MAX(0,N(S767)-T767),""))</f>
        <v/>
      </c>
      <c r="V767" s="49">
        <f>IF(B767="","",IF(O767&lt;&gt;"Completed",IF(T767&gt;0,"Deposit","—"),IF(U767&lt;=0.005,"Paid",IF(T767&gt;0,"Partial","Unpaid"))))</f>
        <v/>
      </c>
      <c r="W767" s="55">
        <f>IF(B767="","",IFERROR(1/(1/INDEX('STAFF &amp; TASKS'!$C$5:$C$24,MATCH(H767,'STAFF &amp; TASKS'!$A$5:$A$24,0))),PayRate))</f>
        <v/>
      </c>
      <c r="X767" s="55">
        <f>IF(B767="","",IF(OR(O767="Cancelled",O767="No-Show"),"",ROUND(R767*W767*(1+Burden),2)))</f>
        <v/>
      </c>
      <c r="Y767" s="55">
        <f>IF(B767="","",IF(OR(O767="Cancelled",O767="No-Show"),"",IF(N767&lt;&gt;"",N767,ROUND(R767*SupHr*IFERROR(INDEX('PRICING'!$G$7:$G$16,MATCH(F767,'PRICING'!$A$7:$A$16,0)),1),2))))</f>
        <v/>
      </c>
      <c r="Z767" s="98">
        <f>IF(B767="","",SUMIFS('MILEAGE'!$J$5:$J$1504,'MILEAGE'!$B$5:$B$1504,A767))</f>
        <v/>
      </c>
      <c r="AA767" s="55">
        <f>IF(B767="","",ROUND(Z767*MileRate,2))</f>
        <v/>
      </c>
      <c r="AB767" s="55">
        <f>IF(B767="","",SUMIFS('REVENUE'!$J$5:$J$1504,'REVENUE'!$B$5:$B$1504,A767))</f>
        <v/>
      </c>
      <c r="AC767" s="55">
        <f>IF(L767="","",IF(OR(O767="Cancelled",O767="No-Show"),"",L767-N(X767)-N(Y767)-AA767-AB767))</f>
        <v/>
      </c>
      <c r="AD767" s="99">
        <f>IF(OR(AC767="",N(L767)=0),"",AC767/L767)</f>
        <v/>
      </c>
      <c r="AE767" s="55">
        <f>IF(OR(AC767="",N(R767)=0),"",L767/R767)</f>
        <v/>
      </c>
      <c r="AF767" s="100">
        <f>IF(OR(N(K767)=0,N(J767)+N(Q767)=0),"",K767-IF(N(J767)&gt;0,J767,Q767))</f>
        <v/>
      </c>
      <c r="AG767" s="99">
        <f>IF(B767="","",IFERROR(AVERAGEIFS('QUALITY CONTROL'!$M$5:$M$304,'QUALITY CONTROL'!$B$5:$B$304,A767),""))</f>
        <v/>
      </c>
      <c r="AH767" s="51">
        <f>IF(B767="","",DATE(YEAR(B767),MONTH(B767),1))</f>
        <v/>
      </c>
      <c r="AI767" s="49">
        <f>IF(D767="","",IFERROR(INDEX('CUSTOMERS'!$E$5:$E$404,MATCH(D767,'CUSTOMERS'!$B$5:$B$404,0)),""))</f>
        <v/>
      </c>
      <c r="AJ767" s="49">
        <f>IF(B767="","",N(C767))</f>
        <v/>
      </c>
      <c r="AK767" s="49">
        <f>IF(OR(B767="",O767="Cancelled",O767="Rescheduled"),"",B767&amp;"|"&amp;(COUNTIFS('JOBS'!$B$5:$B$1504,B767,'JOBS'!$AJ$5:$AJ$1504,"&lt;"&amp;AJ767,'JOBS'!$O$5:$O$1504,"&lt;&gt;Cancelled",'JOBS'!$O$5:$O$1504,"&lt;&gt;Rescheduled")+COUNTIFS($B$5:B767,B767,$AJ$5:AJ767,AJ767,$O$5:O767,"&lt;&gt;Cancelled",$O$5:O767,"&lt;&gt;Rescheduled")))</f>
        <v/>
      </c>
      <c r="AL767" s="49">
        <f>IF(N(U767)&lt;=0.005,"",COUNTIFS('JOBS'!$U$5:$U$1504,"&gt;0.005",'JOBS'!$B$5:$B$1504,"&lt;"&amp;B767)+COUNTIFS($U$5:U767,"&gt;0.005",$B$5:B767,B767))</f>
        <v/>
      </c>
    </row>
    <row r="768">
      <c r="A768" s="46" t="inlineStr">
        <is>
          <t>J-0764</t>
        </is>
      </c>
      <c r="B768" s="47" t="n"/>
      <c r="C768" s="94" t="n"/>
      <c r="D768" s="38" t="n"/>
      <c r="E768" s="38" t="n"/>
      <c r="F768" s="38" t="n"/>
      <c r="G768" s="38" t="n"/>
      <c r="H768" s="38" t="n"/>
      <c r="I768" s="57" t="n"/>
      <c r="J768" s="95" t="n"/>
      <c r="K768" s="95" t="n"/>
      <c r="L768" s="48" t="n"/>
      <c r="M768" s="96" t="n"/>
      <c r="N768" s="48" t="n"/>
      <c r="O768" s="38" t="n"/>
      <c r="P768" s="38" t="n"/>
      <c r="Q768" s="97">
        <f>IF(OR(F768="",E768=""),"",IFERROR(IF(INDEX('PROPERTIES'!$F$5:$F$404,MATCH(E768,'PROPERTIES'!$B$5:$B$404,0))=0,"",ROUND((INDEX('PROPERTIES'!$F$5:$F$404,MATCH(E768,'PROPERTIES'!$B$5:$B$404,0))/INDEX('PRICING'!$C$7:$C$16,MATCH(F768,'PRICING'!$A$7:$A$16,0))+INDEX('PROPERTIES'!$G$5:$G$404,MATCH(E768,'PROPERTIES'!$B$5:$B$404,0))*INDEX('PRICING'!$D$7:$D$16,MATCH(F768,'PRICING'!$A$7:$A$16,0))/60+INDEX('PROPERTIES'!$H$5:$H$404,MATCH(E768,'PROPERTIES'!$B$5:$B$404,0))*INDEX('PRICING'!$E$7:$E$16,MATCH(F768,'PRICING'!$A$7:$A$16,0))/60+INDEX('PRICING'!$F$7:$F$16,MATCH(F768,'PRICING'!$A$7:$A$16,0))/60),2)),""))</f>
        <v/>
      </c>
      <c r="R768" s="97">
        <f>IF(B768="","",IF(N(K768)&gt;0,K768,IF(N(J768)&gt;0,J768,N(Q768))))</f>
        <v/>
      </c>
      <c r="S768" s="55">
        <f>IF(L768="","",ROUND(L768*(1+N(M768)),2))</f>
        <v/>
      </c>
      <c r="T768" s="55">
        <f>IF(B768="","",SUMIFS('REVENUE'!$C$5:$C$1504,'REVENUE'!$B$5:$B$1504,A768))</f>
        <v/>
      </c>
      <c r="U768" s="55">
        <f>IF(B768="","",IF(O768="Completed",MAX(0,N(S768)-T768),""))</f>
        <v/>
      </c>
      <c r="V768" s="49">
        <f>IF(B768="","",IF(O768&lt;&gt;"Completed",IF(T768&gt;0,"Deposit","—"),IF(U768&lt;=0.005,"Paid",IF(T768&gt;0,"Partial","Unpaid"))))</f>
        <v/>
      </c>
      <c r="W768" s="55">
        <f>IF(B768="","",IFERROR(1/(1/INDEX('STAFF &amp; TASKS'!$C$5:$C$24,MATCH(H768,'STAFF &amp; TASKS'!$A$5:$A$24,0))),PayRate))</f>
        <v/>
      </c>
      <c r="X768" s="55">
        <f>IF(B768="","",IF(OR(O768="Cancelled",O768="No-Show"),"",ROUND(R768*W768*(1+Burden),2)))</f>
        <v/>
      </c>
      <c r="Y768" s="55">
        <f>IF(B768="","",IF(OR(O768="Cancelled",O768="No-Show"),"",IF(N768&lt;&gt;"",N768,ROUND(R768*SupHr*IFERROR(INDEX('PRICING'!$G$7:$G$16,MATCH(F768,'PRICING'!$A$7:$A$16,0)),1),2))))</f>
        <v/>
      </c>
      <c r="Z768" s="98">
        <f>IF(B768="","",SUMIFS('MILEAGE'!$J$5:$J$1504,'MILEAGE'!$B$5:$B$1504,A768))</f>
        <v/>
      </c>
      <c r="AA768" s="55">
        <f>IF(B768="","",ROUND(Z768*MileRate,2))</f>
        <v/>
      </c>
      <c r="AB768" s="55">
        <f>IF(B768="","",SUMIFS('REVENUE'!$J$5:$J$1504,'REVENUE'!$B$5:$B$1504,A768))</f>
        <v/>
      </c>
      <c r="AC768" s="55">
        <f>IF(L768="","",IF(OR(O768="Cancelled",O768="No-Show"),"",L768-N(X768)-N(Y768)-AA768-AB768))</f>
        <v/>
      </c>
      <c r="AD768" s="99">
        <f>IF(OR(AC768="",N(L768)=0),"",AC768/L768)</f>
        <v/>
      </c>
      <c r="AE768" s="55">
        <f>IF(OR(AC768="",N(R768)=0),"",L768/R768)</f>
        <v/>
      </c>
      <c r="AF768" s="100">
        <f>IF(OR(N(K768)=0,N(J768)+N(Q768)=0),"",K768-IF(N(J768)&gt;0,J768,Q768))</f>
        <v/>
      </c>
      <c r="AG768" s="99">
        <f>IF(B768="","",IFERROR(AVERAGEIFS('QUALITY CONTROL'!$M$5:$M$304,'QUALITY CONTROL'!$B$5:$B$304,A768),""))</f>
        <v/>
      </c>
      <c r="AH768" s="51">
        <f>IF(B768="","",DATE(YEAR(B768),MONTH(B768),1))</f>
        <v/>
      </c>
      <c r="AI768" s="49">
        <f>IF(D768="","",IFERROR(INDEX('CUSTOMERS'!$E$5:$E$404,MATCH(D768,'CUSTOMERS'!$B$5:$B$404,0)),""))</f>
        <v/>
      </c>
      <c r="AJ768" s="49">
        <f>IF(B768="","",N(C768))</f>
        <v/>
      </c>
      <c r="AK768" s="49">
        <f>IF(OR(B768="",O768="Cancelled",O768="Rescheduled"),"",B768&amp;"|"&amp;(COUNTIFS('JOBS'!$B$5:$B$1504,B768,'JOBS'!$AJ$5:$AJ$1504,"&lt;"&amp;AJ768,'JOBS'!$O$5:$O$1504,"&lt;&gt;Cancelled",'JOBS'!$O$5:$O$1504,"&lt;&gt;Rescheduled")+COUNTIFS($B$5:B768,B768,$AJ$5:AJ768,AJ768,$O$5:O768,"&lt;&gt;Cancelled",$O$5:O768,"&lt;&gt;Rescheduled")))</f>
        <v/>
      </c>
      <c r="AL768" s="49">
        <f>IF(N(U768)&lt;=0.005,"",COUNTIFS('JOBS'!$U$5:$U$1504,"&gt;0.005",'JOBS'!$B$5:$B$1504,"&lt;"&amp;B768)+COUNTIFS($U$5:U768,"&gt;0.005",$B$5:B768,B768))</f>
        <v/>
      </c>
    </row>
    <row r="769">
      <c r="A769" s="46" t="inlineStr">
        <is>
          <t>J-0765</t>
        </is>
      </c>
      <c r="B769" s="47" t="n"/>
      <c r="C769" s="94" t="n"/>
      <c r="D769" s="38" t="n"/>
      <c r="E769" s="38" t="n"/>
      <c r="F769" s="38" t="n"/>
      <c r="G769" s="38" t="n"/>
      <c r="H769" s="38" t="n"/>
      <c r="I769" s="57" t="n"/>
      <c r="J769" s="95" t="n"/>
      <c r="K769" s="95" t="n"/>
      <c r="L769" s="48" t="n"/>
      <c r="M769" s="96" t="n"/>
      <c r="N769" s="48" t="n"/>
      <c r="O769" s="38" t="n"/>
      <c r="P769" s="38" t="n"/>
      <c r="Q769" s="97">
        <f>IF(OR(F769="",E769=""),"",IFERROR(IF(INDEX('PROPERTIES'!$F$5:$F$404,MATCH(E769,'PROPERTIES'!$B$5:$B$404,0))=0,"",ROUND((INDEX('PROPERTIES'!$F$5:$F$404,MATCH(E769,'PROPERTIES'!$B$5:$B$404,0))/INDEX('PRICING'!$C$7:$C$16,MATCH(F769,'PRICING'!$A$7:$A$16,0))+INDEX('PROPERTIES'!$G$5:$G$404,MATCH(E769,'PROPERTIES'!$B$5:$B$404,0))*INDEX('PRICING'!$D$7:$D$16,MATCH(F769,'PRICING'!$A$7:$A$16,0))/60+INDEX('PROPERTIES'!$H$5:$H$404,MATCH(E769,'PROPERTIES'!$B$5:$B$404,0))*INDEX('PRICING'!$E$7:$E$16,MATCH(F769,'PRICING'!$A$7:$A$16,0))/60+INDEX('PRICING'!$F$7:$F$16,MATCH(F769,'PRICING'!$A$7:$A$16,0))/60),2)),""))</f>
        <v/>
      </c>
      <c r="R769" s="97">
        <f>IF(B769="","",IF(N(K769)&gt;0,K769,IF(N(J769)&gt;0,J769,N(Q769))))</f>
        <v/>
      </c>
      <c r="S769" s="55">
        <f>IF(L769="","",ROUND(L769*(1+N(M769)),2))</f>
        <v/>
      </c>
      <c r="T769" s="55">
        <f>IF(B769="","",SUMIFS('REVENUE'!$C$5:$C$1504,'REVENUE'!$B$5:$B$1504,A769))</f>
        <v/>
      </c>
      <c r="U769" s="55">
        <f>IF(B769="","",IF(O769="Completed",MAX(0,N(S769)-T769),""))</f>
        <v/>
      </c>
      <c r="V769" s="49">
        <f>IF(B769="","",IF(O769&lt;&gt;"Completed",IF(T769&gt;0,"Deposit","—"),IF(U769&lt;=0.005,"Paid",IF(T769&gt;0,"Partial","Unpaid"))))</f>
        <v/>
      </c>
      <c r="W769" s="55">
        <f>IF(B769="","",IFERROR(1/(1/INDEX('STAFF &amp; TASKS'!$C$5:$C$24,MATCH(H769,'STAFF &amp; TASKS'!$A$5:$A$24,0))),PayRate))</f>
        <v/>
      </c>
      <c r="X769" s="55">
        <f>IF(B769="","",IF(OR(O769="Cancelled",O769="No-Show"),"",ROUND(R769*W769*(1+Burden),2)))</f>
        <v/>
      </c>
      <c r="Y769" s="55">
        <f>IF(B769="","",IF(OR(O769="Cancelled",O769="No-Show"),"",IF(N769&lt;&gt;"",N769,ROUND(R769*SupHr*IFERROR(INDEX('PRICING'!$G$7:$G$16,MATCH(F769,'PRICING'!$A$7:$A$16,0)),1),2))))</f>
        <v/>
      </c>
      <c r="Z769" s="98">
        <f>IF(B769="","",SUMIFS('MILEAGE'!$J$5:$J$1504,'MILEAGE'!$B$5:$B$1504,A769))</f>
        <v/>
      </c>
      <c r="AA769" s="55">
        <f>IF(B769="","",ROUND(Z769*MileRate,2))</f>
        <v/>
      </c>
      <c r="AB769" s="55">
        <f>IF(B769="","",SUMIFS('REVENUE'!$J$5:$J$1504,'REVENUE'!$B$5:$B$1504,A769))</f>
        <v/>
      </c>
      <c r="AC769" s="55">
        <f>IF(L769="","",IF(OR(O769="Cancelled",O769="No-Show"),"",L769-N(X769)-N(Y769)-AA769-AB769))</f>
        <v/>
      </c>
      <c r="AD769" s="99">
        <f>IF(OR(AC769="",N(L769)=0),"",AC769/L769)</f>
        <v/>
      </c>
      <c r="AE769" s="55">
        <f>IF(OR(AC769="",N(R769)=0),"",L769/R769)</f>
        <v/>
      </c>
      <c r="AF769" s="100">
        <f>IF(OR(N(K769)=0,N(J769)+N(Q769)=0),"",K769-IF(N(J769)&gt;0,J769,Q769))</f>
        <v/>
      </c>
      <c r="AG769" s="99">
        <f>IF(B769="","",IFERROR(AVERAGEIFS('QUALITY CONTROL'!$M$5:$M$304,'QUALITY CONTROL'!$B$5:$B$304,A769),""))</f>
        <v/>
      </c>
      <c r="AH769" s="51">
        <f>IF(B769="","",DATE(YEAR(B769),MONTH(B769),1))</f>
        <v/>
      </c>
      <c r="AI769" s="49">
        <f>IF(D769="","",IFERROR(INDEX('CUSTOMERS'!$E$5:$E$404,MATCH(D769,'CUSTOMERS'!$B$5:$B$404,0)),""))</f>
        <v/>
      </c>
      <c r="AJ769" s="49">
        <f>IF(B769="","",N(C769))</f>
        <v/>
      </c>
      <c r="AK769" s="49">
        <f>IF(OR(B769="",O769="Cancelled",O769="Rescheduled"),"",B769&amp;"|"&amp;(COUNTIFS('JOBS'!$B$5:$B$1504,B769,'JOBS'!$AJ$5:$AJ$1504,"&lt;"&amp;AJ769,'JOBS'!$O$5:$O$1504,"&lt;&gt;Cancelled",'JOBS'!$O$5:$O$1504,"&lt;&gt;Rescheduled")+COUNTIFS($B$5:B769,B769,$AJ$5:AJ769,AJ769,$O$5:O769,"&lt;&gt;Cancelled",$O$5:O769,"&lt;&gt;Rescheduled")))</f>
        <v/>
      </c>
      <c r="AL769" s="49">
        <f>IF(N(U769)&lt;=0.005,"",COUNTIFS('JOBS'!$U$5:$U$1504,"&gt;0.005",'JOBS'!$B$5:$B$1504,"&lt;"&amp;B769)+COUNTIFS($U$5:U769,"&gt;0.005",$B$5:B769,B769))</f>
        <v/>
      </c>
    </row>
    <row r="770">
      <c r="A770" s="46" t="inlineStr">
        <is>
          <t>J-0766</t>
        </is>
      </c>
      <c r="B770" s="47" t="n"/>
      <c r="C770" s="94" t="n"/>
      <c r="D770" s="38" t="n"/>
      <c r="E770" s="38" t="n"/>
      <c r="F770" s="38" t="n"/>
      <c r="G770" s="38" t="n"/>
      <c r="H770" s="38" t="n"/>
      <c r="I770" s="57" t="n"/>
      <c r="J770" s="95" t="n"/>
      <c r="K770" s="95" t="n"/>
      <c r="L770" s="48" t="n"/>
      <c r="M770" s="96" t="n"/>
      <c r="N770" s="48" t="n"/>
      <c r="O770" s="38" t="n"/>
      <c r="P770" s="38" t="n"/>
      <c r="Q770" s="97">
        <f>IF(OR(F770="",E770=""),"",IFERROR(IF(INDEX('PROPERTIES'!$F$5:$F$404,MATCH(E770,'PROPERTIES'!$B$5:$B$404,0))=0,"",ROUND((INDEX('PROPERTIES'!$F$5:$F$404,MATCH(E770,'PROPERTIES'!$B$5:$B$404,0))/INDEX('PRICING'!$C$7:$C$16,MATCH(F770,'PRICING'!$A$7:$A$16,0))+INDEX('PROPERTIES'!$G$5:$G$404,MATCH(E770,'PROPERTIES'!$B$5:$B$404,0))*INDEX('PRICING'!$D$7:$D$16,MATCH(F770,'PRICING'!$A$7:$A$16,0))/60+INDEX('PROPERTIES'!$H$5:$H$404,MATCH(E770,'PROPERTIES'!$B$5:$B$404,0))*INDEX('PRICING'!$E$7:$E$16,MATCH(F770,'PRICING'!$A$7:$A$16,0))/60+INDEX('PRICING'!$F$7:$F$16,MATCH(F770,'PRICING'!$A$7:$A$16,0))/60),2)),""))</f>
        <v/>
      </c>
      <c r="R770" s="97">
        <f>IF(B770="","",IF(N(K770)&gt;0,K770,IF(N(J770)&gt;0,J770,N(Q770))))</f>
        <v/>
      </c>
      <c r="S770" s="55">
        <f>IF(L770="","",ROUND(L770*(1+N(M770)),2))</f>
        <v/>
      </c>
      <c r="T770" s="55">
        <f>IF(B770="","",SUMIFS('REVENUE'!$C$5:$C$1504,'REVENUE'!$B$5:$B$1504,A770))</f>
        <v/>
      </c>
      <c r="U770" s="55">
        <f>IF(B770="","",IF(O770="Completed",MAX(0,N(S770)-T770),""))</f>
        <v/>
      </c>
      <c r="V770" s="49">
        <f>IF(B770="","",IF(O770&lt;&gt;"Completed",IF(T770&gt;0,"Deposit","—"),IF(U770&lt;=0.005,"Paid",IF(T770&gt;0,"Partial","Unpaid"))))</f>
        <v/>
      </c>
      <c r="W770" s="55">
        <f>IF(B770="","",IFERROR(1/(1/INDEX('STAFF &amp; TASKS'!$C$5:$C$24,MATCH(H770,'STAFF &amp; TASKS'!$A$5:$A$24,0))),PayRate))</f>
        <v/>
      </c>
      <c r="X770" s="55">
        <f>IF(B770="","",IF(OR(O770="Cancelled",O770="No-Show"),"",ROUND(R770*W770*(1+Burden),2)))</f>
        <v/>
      </c>
      <c r="Y770" s="55">
        <f>IF(B770="","",IF(OR(O770="Cancelled",O770="No-Show"),"",IF(N770&lt;&gt;"",N770,ROUND(R770*SupHr*IFERROR(INDEX('PRICING'!$G$7:$G$16,MATCH(F770,'PRICING'!$A$7:$A$16,0)),1),2))))</f>
        <v/>
      </c>
      <c r="Z770" s="98">
        <f>IF(B770="","",SUMIFS('MILEAGE'!$J$5:$J$1504,'MILEAGE'!$B$5:$B$1504,A770))</f>
        <v/>
      </c>
      <c r="AA770" s="55">
        <f>IF(B770="","",ROUND(Z770*MileRate,2))</f>
        <v/>
      </c>
      <c r="AB770" s="55">
        <f>IF(B770="","",SUMIFS('REVENUE'!$J$5:$J$1504,'REVENUE'!$B$5:$B$1504,A770))</f>
        <v/>
      </c>
      <c r="AC770" s="55">
        <f>IF(L770="","",IF(OR(O770="Cancelled",O770="No-Show"),"",L770-N(X770)-N(Y770)-AA770-AB770))</f>
        <v/>
      </c>
      <c r="AD770" s="99">
        <f>IF(OR(AC770="",N(L770)=0),"",AC770/L770)</f>
        <v/>
      </c>
      <c r="AE770" s="55">
        <f>IF(OR(AC770="",N(R770)=0),"",L770/R770)</f>
        <v/>
      </c>
      <c r="AF770" s="100">
        <f>IF(OR(N(K770)=0,N(J770)+N(Q770)=0),"",K770-IF(N(J770)&gt;0,J770,Q770))</f>
        <v/>
      </c>
      <c r="AG770" s="99">
        <f>IF(B770="","",IFERROR(AVERAGEIFS('QUALITY CONTROL'!$M$5:$M$304,'QUALITY CONTROL'!$B$5:$B$304,A770),""))</f>
        <v/>
      </c>
      <c r="AH770" s="51">
        <f>IF(B770="","",DATE(YEAR(B770),MONTH(B770),1))</f>
        <v/>
      </c>
      <c r="AI770" s="49">
        <f>IF(D770="","",IFERROR(INDEX('CUSTOMERS'!$E$5:$E$404,MATCH(D770,'CUSTOMERS'!$B$5:$B$404,0)),""))</f>
        <v/>
      </c>
      <c r="AJ770" s="49">
        <f>IF(B770="","",N(C770))</f>
        <v/>
      </c>
      <c r="AK770" s="49">
        <f>IF(OR(B770="",O770="Cancelled",O770="Rescheduled"),"",B770&amp;"|"&amp;(COUNTIFS('JOBS'!$B$5:$B$1504,B770,'JOBS'!$AJ$5:$AJ$1504,"&lt;"&amp;AJ770,'JOBS'!$O$5:$O$1504,"&lt;&gt;Cancelled",'JOBS'!$O$5:$O$1504,"&lt;&gt;Rescheduled")+COUNTIFS($B$5:B770,B770,$AJ$5:AJ770,AJ770,$O$5:O770,"&lt;&gt;Cancelled",$O$5:O770,"&lt;&gt;Rescheduled")))</f>
        <v/>
      </c>
      <c r="AL770" s="49">
        <f>IF(N(U770)&lt;=0.005,"",COUNTIFS('JOBS'!$U$5:$U$1504,"&gt;0.005",'JOBS'!$B$5:$B$1504,"&lt;"&amp;B770)+COUNTIFS($U$5:U770,"&gt;0.005",$B$5:B770,B770))</f>
        <v/>
      </c>
    </row>
    <row r="771">
      <c r="A771" s="46" t="inlineStr">
        <is>
          <t>J-0767</t>
        </is>
      </c>
      <c r="B771" s="47" t="n"/>
      <c r="C771" s="94" t="n"/>
      <c r="D771" s="38" t="n"/>
      <c r="E771" s="38" t="n"/>
      <c r="F771" s="38" t="n"/>
      <c r="G771" s="38" t="n"/>
      <c r="H771" s="38" t="n"/>
      <c r="I771" s="57" t="n"/>
      <c r="J771" s="95" t="n"/>
      <c r="K771" s="95" t="n"/>
      <c r="L771" s="48" t="n"/>
      <c r="M771" s="96" t="n"/>
      <c r="N771" s="48" t="n"/>
      <c r="O771" s="38" t="n"/>
      <c r="P771" s="38" t="n"/>
      <c r="Q771" s="97">
        <f>IF(OR(F771="",E771=""),"",IFERROR(IF(INDEX('PROPERTIES'!$F$5:$F$404,MATCH(E771,'PROPERTIES'!$B$5:$B$404,0))=0,"",ROUND((INDEX('PROPERTIES'!$F$5:$F$404,MATCH(E771,'PROPERTIES'!$B$5:$B$404,0))/INDEX('PRICING'!$C$7:$C$16,MATCH(F771,'PRICING'!$A$7:$A$16,0))+INDEX('PROPERTIES'!$G$5:$G$404,MATCH(E771,'PROPERTIES'!$B$5:$B$404,0))*INDEX('PRICING'!$D$7:$D$16,MATCH(F771,'PRICING'!$A$7:$A$16,0))/60+INDEX('PROPERTIES'!$H$5:$H$404,MATCH(E771,'PROPERTIES'!$B$5:$B$404,0))*INDEX('PRICING'!$E$7:$E$16,MATCH(F771,'PRICING'!$A$7:$A$16,0))/60+INDEX('PRICING'!$F$7:$F$16,MATCH(F771,'PRICING'!$A$7:$A$16,0))/60),2)),""))</f>
        <v/>
      </c>
      <c r="R771" s="97">
        <f>IF(B771="","",IF(N(K771)&gt;0,K771,IF(N(J771)&gt;0,J771,N(Q771))))</f>
        <v/>
      </c>
      <c r="S771" s="55">
        <f>IF(L771="","",ROUND(L771*(1+N(M771)),2))</f>
        <v/>
      </c>
      <c r="T771" s="55">
        <f>IF(B771="","",SUMIFS('REVENUE'!$C$5:$C$1504,'REVENUE'!$B$5:$B$1504,A771))</f>
        <v/>
      </c>
      <c r="U771" s="55">
        <f>IF(B771="","",IF(O771="Completed",MAX(0,N(S771)-T771),""))</f>
        <v/>
      </c>
      <c r="V771" s="49">
        <f>IF(B771="","",IF(O771&lt;&gt;"Completed",IF(T771&gt;0,"Deposit","—"),IF(U771&lt;=0.005,"Paid",IF(T771&gt;0,"Partial","Unpaid"))))</f>
        <v/>
      </c>
      <c r="W771" s="55">
        <f>IF(B771="","",IFERROR(1/(1/INDEX('STAFF &amp; TASKS'!$C$5:$C$24,MATCH(H771,'STAFF &amp; TASKS'!$A$5:$A$24,0))),PayRate))</f>
        <v/>
      </c>
      <c r="X771" s="55">
        <f>IF(B771="","",IF(OR(O771="Cancelled",O771="No-Show"),"",ROUND(R771*W771*(1+Burden),2)))</f>
        <v/>
      </c>
      <c r="Y771" s="55">
        <f>IF(B771="","",IF(OR(O771="Cancelled",O771="No-Show"),"",IF(N771&lt;&gt;"",N771,ROUND(R771*SupHr*IFERROR(INDEX('PRICING'!$G$7:$G$16,MATCH(F771,'PRICING'!$A$7:$A$16,0)),1),2))))</f>
        <v/>
      </c>
      <c r="Z771" s="98">
        <f>IF(B771="","",SUMIFS('MILEAGE'!$J$5:$J$1504,'MILEAGE'!$B$5:$B$1504,A771))</f>
        <v/>
      </c>
      <c r="AA771" s="55">
        <f>IF(B771="","",ROUND(Z771*MileRate,2))</f>
        <v/>
      </c>
      <c r="AB771" s="55">
        <f>IF(B771="","",SUMIFS('REVENUE'!$J$5:$J$1504,'REVENUE'!$B$5:$B$1504,A771))</f>
        <v/>
      </c>
      <c r="AC771" s="55">
        <f>IF(L771="","",IF(OR(O771="Cancelled",O771="No-Show"),"",L771-N(X771)-N(Y771)-AA771-AB771))</f>
        <v/>
      </c>
      <c r="AD771" s="99">
        <f>IF(OR(AC771="",N(L771)=0),"",AC771/L771)</f>
        <v/>
      </c>
      <c r="AE771" s="55">
        <f>IF(OR(AC771="",N(R771)=0),"",L771/R771)</f>
        <v/>
      </c>
      <c r="AF771" s="100">
        <f>IF(OR(N(K771)=0,N(J771)+N(Q771)=0),"",K771-IF(N(J771)&gt;0,J771,Q771))</f>
        <v/>
      </c>
      <c r="AG771" s="99">
        <f>IF(B771="","",IFERROR(AVERAGEIFS('QUALITY CONTROL'!$M$5:$M$304,'QUALITY CONTROL'!$B$5:$B$304,A771),""))</f>
        <v/>
      </c>
      <c r="AH771" s="51">
        <f>IF(B771="","",DATE(YEAR(B771),MONTH(B771),1))</f>
        <v/>
      </c>
      <c r="AI771" s="49">
        <f>IF(D771="","",IFERROR(INDEX('CUSTOMERS'!$E$5:$E$404,MATCH(D771,'CUSTOMERS'!$B$5:$B$404,0)),""))</f>
        <v/>
      </c>
      <c r="AJ771" s="49">
        <f>IF(B771="","",N(C771))</f>
        <v/>
      </c>
      <c r="AK771" s="49">
        <f>IF(OR(B771="",O771="Cancelled",O771="Rescheduled"),"",B771&amp;"|"&amp;(COUNTIFS('JOBS'!$B$5:$B$1504,B771,'JOBS'!$AJ$5:$AJ$1504,"&lt;"&amp;AJ771,'JOBS'!$O$5:$O$1504,"&lt;&gt;Cancelled",'JOBS'!$O$5:$O$1504,"&lt;&gt;Rescheduled")+COUNTIFS($B$5:B771,B771,$AJ$5:AJ771,AJ771,$O$5:O771,"&lt;&gt;Cancelled",$O$5:O771,"&lt;&gt;Rescheduled")))</f>
        <v/>
      </c>
      <c r="AL771" s="49">
        <f>IF(N(U771)&lt;=0.005,"",COUNTIFS('JOBS'!$U$5:$U$1504,"&gt;0.005",'JOBS'!$B$5:$B$1504,"&lt;"&amp;B771)+COUNTIFS($U$5:U771,"&gt;0.005",$B$5:B771,B771))</f>
        <v/>
      </c>
    </row>
    <row r="772">
      <c r="A772" s="46" t="inlineStr">
        <is>
          <t>J-0768</t>
        </is>
      </c>
      <c r="B772" s="47" t="n"/>
      <c r="C772" s="94" t="n"/>
      <c r="D772" s="38" t="n"/>
      <c r="E772" s="38" t="n"/>
      <c r="F772" s="38" t="n"/>
      <c r="G772" s="38" t="n"/>
      <c r="H772" s="38" t="n"/>
      <c r="I772" s="57" t="n"/>
      <c r="J772" s="95" t="n"/>
      <c r="K772" s="95" t="n"/>
      <c r="L772" s="48" t="n"/>
      <c r="M772" s="96" t="n"/>
      <c r="N772" s="48" t="n"/>
      <c r="O772" s="38" t="n"/>
      <c r="P772" s="38" t="n"/>
      <c r="Q772" s="97">
        <f>IF(OR(F772="",E772=""),"",IFERROR(IF(INDEX('PROPERTIES'!$F$5:$F$404,MATCH(E772,'PROPERTIES'!$B$5:$B$404,0))=0,"",ROUND((INDEX('PROPERTIES'!$F$5:$F$404,MATCH(E772,'PROPERTIES'!$B$5:$B$404,0))/INDEX('PRICING'!$C$7:$C$16,MATCH(F772,'PRICING'!$A$7:$A$16,0))+INDEX('PROPERTIES'!$G$5:$G$404,MATCH(E772,'PROPERTIES'!$B$5:$B$404,0))*INDEX('PRICING'!$D$7:$D$16,MATCH(F772,'PRICING'!$A$7:$A$16,0))/60+INDEX('PROPERTIES'!$H$5:$H$404,MATCH(E772,'PROPERTIES'!$B$5:$B$404,0))*INDEX('PRICING'!$E$7:$E$16,MATCH(F772,'PRICING'!$A$7:$A$16,0))/60+INDEX('PRICING'!$F$7:$F$16,MATCH(F772,'PRICING'!$A$7:$A$16,0))/60),2)),""))</f>
        <v/>
      </c>
      <c r="R772" s="97">
        <f>IF(B772="","",IF(N(K772)&gt;0,K772,IF(N(J772)&gt;0,J772,N(Q772))))</f>
        <v/>
      </c>
      <c r="S772" s="55">
        <f>IF(L772="","",ROUND(L772*(1+N(M772)),2))</f>
        <v/>
      </c>
      <c r="T772" s="55">
        <f>IF(B772="","",SUMIFS('REVENUE'!$C$5:$C$1504,'REVENUE'!$B$5:$B$1504,A772))</f>
        <v/>
      </c>
      <c r="U772" s="55">
        <f>IF(B772="","",IF(O772="Completed",MAX(0,N(S772)-T772),""))</f>
        <v/>
      </c>
      <c r="V772" s="49">
        <f>IF(B772="","",IF(O772&lt;&gt;"Completed",IF(T772&gt;0,"Deposit","—"),IF(U772&lt;=0.005,"Paid",IF(T772&gt;0,"Partial","Unpaid"))))</f>
        <v/>
      </c>
      <c r="W772" s="55">
        <f>IF(B772="","",IFERROR(1/(1/INDEX('STAFF &amp; TASKS'!$C$5:$C$24,MATCH(H772,'STAFF &amp; TASKS'!$A$5:$A$24,0))),PayRate))</f>
        <v/>
      </c>
      <c r="X772" s="55">
        <f>IF(B772="","",IF(OR(O772="Cancelled",O772="No-Show"),"",ROUND(R772*W772*(1+Burden),2)))</f>
        <v/>
      </c>
      <c r="Y772" s="55">
        <f>IF(B772="","",IF(OR(O772="Cancelled",O772="No-Show"),"",IF(N772&lt;&gt;"",N772,ROUND(R772*SupHr*IFERROR(INDEX('PRICING'!$G$7:$G$16,MATCH(F772,'PRICING'!$A$7:$A$16,0)),1),2))))</f>
        <v/>
      </c>
      <c r="Z772" s="98">
        <f>IF(B772="","",SUMIFS('MILEAGE'!$J$5:$J$1504,'MILEAGE'!$B$5:$B$1504,A772))</f>
        <v/>
      </c>
      <c r="AA772" s="55">
        <f>IF(B772="","",ROUND(Z772*MileRate,2))</f>
        <v/>
      </c>
      <c r="AB772" s="55">
        <f>IF(B772="","",SUMIFS('REVENUE'!$J$5:$J$1504,'REVENUE'!$B$5:$B$1504,A772))</f>
        <v/>
      </c>
      <c r="AC772" s="55">
        <f>IF(L772="","",IF(OR(O772="Cancelled",O772="No-Show"),"",L772-N(X772)-N(Y772)-AA772-AB772))</f>
        <v/>
      </c>
      <c r="AD772" s="99">
        <f>IF(OR(AC772="",N(L772)=0),"",AC772/L772)</f>
        <v/>
      </c>
      <c r="AE772" s="55">
        <f>IF(OR(AC772="",N(R772)=0),"",L772/R772)</f>
        <v/>
      </c>
      <c r="AF772" s="100">
        <f>IF(OR(N(K772)=0,N(J772)+N(Q772)=0),"",K772-IF(N(J772)&gt;0,J772,Q772))</f>
        <v/>
      </c>
      <c r="AG772" s="99">
        <f>IF(B772="","",IFERROR(AVERAGEIFS('QUALITY CONTROL'!$M$5:$M$304,'QUALITY CONTROL'!$B$5:$B$304,A772),""))</f>
        <v/>
      </c>
      <c r="AH772" s="51">
        <f>IF(B772="","",DATE(YEAR(B772),MONTH(B772),1))</f>
        <v/>
      </c>
      <c r="AI772" s="49">
        <f>IF(D772="","",IFERROR(INDEX('CUSTOMERS'!$E$5:$E$404,MATCH(D772,'CUSTOMERS'!$B$5:$B$404,0)),""))</f>
        <v/>
      </c>
      <c r="AJ772" s="49">
        <f>IF(B772="","",N(C772))</f>
        <v/>
      </c>
      <c r="AK772" s="49">
        <f>IF(OR(B772="",O772="Cancelled",O772="Rescheduled"),"",B772&amp;"|"&amp;(COUNTIFS('JOBS'!$B$5:$B$1504,B772,'JOBS'!$AJ$5:$AJ$1504,"&lt;"&amp;AJ772,'JOBS'!$O$5:$O$1504,"&lt;&gt;Cancelled",'JOBS'!$O$5:$O$1504,"&lt;&gt;Rescheduled")+COUNTIFS($B$5:B772,B772,$AJ$5:AJ772,AJ772,$O$5:O772,"&lt;&gt;Cancelled",$O$5:O772,"&lt;&gt;Rescheduled")))</f>
        <v/>
      </c>
      <c r="AL772" s="49">
        <f>IF(N(U772)&lt;=0.005,"",COUNTIFS('JOBS'!$U$5:$U$1504,"&gt;0.005",'JOBS'!$B$5:$B$1504,"&lt;"&amp;B772)+COUNTIFS($U$5:U772,"&gt;0.005",$B$5:B772,B772))</f>
        <v/>
      </c>
    </row>
    <row r="773">
      <c r="A773" s="46" t="inlineStr">
        <is>
          <t>J-0769</t>
        </is>
      </c>
      <c r="B773" s="47" t="n"/>
      <c r="C773" s="94" t="n"/>
      <c r="D773" s="38" t="n"/>
      <c r="E773" s="38" t="n"/>
      <c r="F773" s="38" t="n"/>
      <c r="G773" s="38" t="n"/>
      <c r="H773" s="38" t="n"/>
      <c r="I773" s="57" t="n"/>
      <c r="J773" s="95" t="n"/>
      <c r="K773" s="95" t="n"/>
      <c r="L773" s="48" t="n"/>
      <c r="M773" s="96" t="n"/>
      <c r="N773" s="48" t="n"/>
      <c r="O773" s="38" t="n"/>
      <c r="P773" s="38" t="n"/>
      <c r="Q773" s="97">
        <f>IF(OR(F773="",E773=""),"",IFERROR(IF(INDEX('PROPERTIES'!$F$5:$F$404,MATCH(E773,'PROPERTIES'!$B$5:$B$404,0))=0,"",ROUND((INDEX('PROPERTIES'!$F$5:$F$404,MATCH(E773,'PROPERTIES'!$B$5:$B$404,0))/INDEX('PRICING'!$C$7:$C$16,MATCH(F773,'PRICING'!$A$7:$A$16,0))+INDEX('PROPERTIES'!$G$5:$G$404,MATCH(E773,'PROPERTIES'!$B$5:$B$404,0))*INDEX('PRICING'!$D$7:$D$16,MATCH(F773,'PRICING'!$A$7:$A$16,0))/60+INDEX('PROPERTIES'!$H$5:$H$404,MATCH(E773,'PROPERTIES'!$B$5:$B$404,0))*INDEX('PRICING'!$E$7:$E$16,MATCH(F773,'PRICING'!$A$7:$A$16,0))/60+INDEX('PRICING'!$F$7:$F$16,MATCH(F773,'PRICING'!$A$7:$A$16,0))/60),2)),""))</f>
        <v/>
      </c>
      <c r="R773" s="97">
        <f>IF(B773="","",IF(N(K773)&gt;0,K773,IF(N(J773)&gt;0,J773,N(Q773))))</f>
        <v/>
      </c>
      <c r="S773" s="55">
        <f>IF(L773="","",ROUND(L773*(1+N(M773)),2))</f>
        <v/>
      </c>
      <c r="T773" s="55">
        <f>IF(B773="","",SUMIFS('REVENUE'!$C$5:$C$1504,'REVENUE'!$B$5:$B$1504,A773))</f>
        <v/>
      </c>
      <c r="U773" s="55">
        <f>IF(B773="","",IF(O773="Completed",MAX(0,N(S773)-T773),""))</f>
        <v/>
      </c>
      <c r="V773" s="49">
        <f>IF(B773="","",IF(O773&lt;&gt;"Completed",IF(T773&gt;0,"Deposit","—"),IF(U773&lt;=0.005,"Paid",IF(T773&gt;0,"Partial","Unpaid"))))</f>
        <v/>
      </c>
      <c r="W773" s="55">
        <f>IF(B773="","",IFERROR(1/(1/INDEX('STAFF &amp; TASKS'!$C$5:$C$24,MATCH(H773,'STAFF &amp; TASKS'!$A$5:$A$24,0))),PayRate))</f>
        <v/>
      </c>
      <c r="X773" s="55">
        <f>IF(B773="","",IF(OR(O773="Cancelled",O773="No-Show"),"",ROUND(R773*W773*(1+Burden),2)))</f>
        <v/>
      </c>
      <c r="Y773" s="55">
        <f>IF(B773="","",IF(OR(O773="Cancelled",O773="No-Show"),"",IF(N773&lt;&gt;"",N773,ROUND(R773*SupHr*IFERROR(INDEX('PRICING'!$G$7:$G$16,MATCH(F773,'PRICING'!$A$7:$A$16,0)),1),2))))</f>
        <v/>
      </c>
      <c r="Z773" s="98">
        <f>IF(B773="","",SUMIFS('MILEAGE'!$J$5:$J$1504,'MILEAGE'!$B$5:$B$1504,A773))</f>
        <v/>
      </c>
      <c r="AA773" s="55">
        <f>IF(B773="","",ROUND(Z773*MileRate,2))</f>
        <v/>
      </c>
      <c r="AB773" s="55">
        <f>IF(B773="","",SUMIFS('REVENUE'!$J$5:$J$1504,'REVENUE'!$B$5:$B$1504,A773))</f>
        <v/>
      </c>
      <c r="AC773" s="55">
        <f>IF(L773="","",IF(OR(O773="Cancelled",O773="No-Show"),"",L773-N(X773)-N(Y773)-AA773-AB773))</f>
        <v/>
      </c>
      <c r="AD773" s="99">
        <f>IF(OR(AC773="",N(L773)=0),"",AC773/L773)</f>
        <v/>
      </c>
      <c r="AE773" s="55">
        <f>IF(OR(AC773="",N(R773)=0),"",L773/R773)</f>
        <v/>
      </c>
      <c r="AF773" s="100">
        <f>IF(OR(N(K773)=0,N(J773)+N(Q773)=0),"",K773-IF(N(J773)&gt;0,J773,Q773))</f>
        <v/>
      </c>
      <c r="AG773" s="99">
        <f>IF(B773="","",IFERROR(AVERAGEIFS('QUALITY CONTROL'!$M$5:$M$304,'QUALITY CONTROL'!$B$5:$B$304,A773),""))</f>
        <v/>
      </c>
      <c r="AH773" s="51">
        <f>IF(B773="","",DATE(YEAR(B773),MONTH(B773),1))</f>
        <v/>
      </c>
      <c r="AI773" s="49">
        <f>IF(D773="","",IFERROR(INDEX('CUSTOMERS'!$E$5:$E$404,MATCH(D773,'CUSTOMERS'!$B$5:$B$404,0)),""))</f>
        <v/>
      </c>
      <c r="AJ773" s="49">
        <f>IF(B773="","",N(C773))</f>
        <v/>
      </c>
      <c r="AK773" s="49">
        <f>IF(OR(B773="",O773="Cancelled",O773="Rescheduled"),"",B773&amp;"|"&amp;(COUNTIFS('JOBS'!$B$5:$B$1504,B773,'JOBS'!$AJ$5:$AJ$1504,"&lt;"&amp;AJ773,'JOBS'!$O$5:$O$1504,"&lt;&gt;Cancelled",'JOBS'!$O$5:$O$1504,"&lt;&gt;Rescheduled")+COUNTIFS($B$5:B773,B773,$AJ$5:AJ773,AJ773,$O$5:O773,"&lt;&gt;Cancelled",$O$5:O773,"&lt;&gt;Rescheduled")))</f>
        <v/>
      </c>
      <c r="AL773" s="49">
        <f>IF(N(U773)&lt;=0.005,"",COUNTIFS('JOBS'!$U$5:$U$1504,"&gt;0.005",'JOBS'!$B$5:$B$1504,"&lt;"&amp;B773)+COUNTIFS($U$5:U773,"&gt;0.005",$B$5:B773,B773))</f>
        <v/>
      </c>
    </row>
    <row r="774">
      <c r="A774" s="46" t="inlineStr">
        <is>
          <t>J-0770</t>
        </is>
      </c>
      <c r="B774" s="47" t="n"/>
      <c r="C774" s="94" t="n"/>
      <c r="D774" s="38" t="n"/>
      <c r="E774" s="38" t="n"/>
      <c r="F774" s="38" t="n"/>
      <c r="G774" s="38" t="n"/>
      <c r="H774" s="38" t="n"/>
      <c r="I774" s="57" t="n"/>
      <c r="J774" s="95" t="n"/>
      <c r="K774" s="95" t="n"/>
      <c r="L774" s="48" t="n"/>
      <c r="M774" s="96" t="n"/>
      <c r="N774" s="48" t="n"/>
      <c r="O774" s="38" t="n"/>
      <c r="P774" s="38" t="n"/>
      <c r="Q774" s="97">
        <f>IF(OR(F774="",E774=""),"",IFERROR(IF(INDEX('PROPERTIES'!$F$5:$F$404,MATCH(E774,'PROPERTIES'!$B$5:$B$404,0))=0,"",ROUND((INDEX('PROPERTIES'!$F$5:$F$404,MATCH(E774,'PROPERTIES'!$B$5:$B$404,0))/INDEX('PRICING'!$C$7:$C$16,MATCH(F774,'PRICING'!$A$7:$A$16,0))+INDEX('PROPERTIES'!$G$5:$G$404,MATCH(E774,'PROPERTIES'!$B$5:$B$404,0))*INDEX('PRICING'!$D$7:$D$16,MATCH(F774,'PRICING'!$A$7:$A$16,0))/60+INDEX('PROPERTIES'!$H$5:$H$404,MATCH(E774,'PROPERTIES'!$B$5:$B$404,0))*INDEX('PRICING'!$E$7:$E$16,MATCH(F774,'PRICING'!$A$7:$A$16,0))/60+INDEX('PRICING'!$F$7:$F$16,MATCH(F774,'PRICING'!$A$7:$A$16,0))/60),2)),""))</f>
        <v/>
      </c>
      <c r="R774" s="97">
        <f>IF(B774="","",IF(N(K774)&gt;0,K774,IF(N(J774)&gt;0,J774,N(Q774))))</f>
        <v/>
      </c>
      <c r="S774" s="55">
        <f>IF(L774="","",ROUND(L774*(1+N(M774)),2))</f>
        <v/>
      </c>
      <c r="T774" s="55">
        <f>IF(B774="","",SUMIFS('REVENUE'!$C$5:$C$1504,'REVENUE'!$B$5:$B$1504,A774))</f>
        <v/>
      </c>
      <c r="U774" s="55">
        <f>IF(B774="","",IF(O774="Completed",MAX(0,N(S774)-T774),""))</f>
        <v/>
      </c>
      <c r="V774" s="49">
        <f>IF(B774="","",IF(O774&lt;&gt;"Completed",IF(T774&gt;0,"Deposit","—"),IF(U774&lt;=0.005,"Paid",IF(T774&gt;0,"Partial","Unpaid"))))</f>
        <v/>
      </c>
      <c r="W774" s="55">
        <f>IF(B774="","",IFERROR(1/(1/INDEX('STAFF &amp; TASKS'!$C$5:$C$24,MATCH(H774,'STAFF &amp; TASKS'!$A$5:$A$24,0))),PayRate))</f>
        <v/>
      </c>
      <c r="X774" s="55">
        <f>IF(B774="","",IF(OR(O774="Cancelled",O774="No-Show"),"",ROUND(R774*W774*(1+Burden),2)))</f>
        <v/>
      </c>
      <c r="Y774" s="55">
        <f>IF(B774="","",IF(OR(O774="Cancelled",O774="No-Show"),"",IF(N774&lt;&gt;"",N774,ROUND(R774*SupHr*IFERROR(INDEX('PRICING'!$G$7:$G$16,MATCH(F774,'PRICING'!$A$7:$A$16,0)),1),2))))</f>
        <v/>
      </c>
      <c r="Z774" s="98">
        <f>IF(B774="","",SUMIFS('MILEAGE'!$J$5:$J$1504,'MILEAGE'!$B$5:$B$1504,A774))</f>
        <v/>
      </c>
      <c r="AA774" s="55">
        <f>IF(B774="","",ROUND(Z774*MileRate,2))</f>
        <v/>
      </c>
      <c r="AB774" s="55">
        <f>IF(B774="","",SUMIFS('REVENUE'!$J$5:$J$1504,'REVENUE'!$B$5:$B$1504,A774))</f>
        <v/>
      </c>
      <c r="AC774" s="55">
        <f>IF(L774="","",IF(OR(O774="Cancelled",O774="No-Show"),"",L774-N(X774)-N(Y774)-AA774-AB774))</f>
        <v/>
      </c>
      <c r="AD774" s="99">
        <f>IF(OR(AC774="",N(L774)=0),"",AC774/L774)</f>
        <v/>
      </c>
      <c r="AE774" s="55">
        <f>IF(OR(AC774="",N(R774)=0),"",L774/R774)</f>
        <v/>
      </c>
      <c r="AF774" s="100">
        <f>IF(OR(N(K774)=0,N(J774)+N(Q774)=0),"",K774-IF(N(J774)&gt;0,J774,Q774))</f>
        <v/>
      </c>
      <c r="AG774" s="99">
        <f>IF(B774="","",IFERROR(AVERAGEIFS('QUALITY CONTROL'!$M$5:$M$304,'QUALITY CONTROL'!$B$5:$B$304,A774),""))</f>
        <v/>
      </c>
      <c r="AH774" s="51">
        <f>IF(B774="","",DATE(YEAR(B774),MONTH(B774),1))</f>
        <v/>
      </c>
      <c r="AI774" s="49">
        <f>IF(D774="","",IFERROR(INDEX('CUSTOMERS'!$E$5:$E$404,MATCH(D774,'CUSTOMERS'!$B$5:$B$404,0)),""))</f>
        <v/>
      </c>
      <c r="AJ774" s="49">
        <f>IF(B774="","",N(C774))</f>
        <v/>
      </c>
      <c r="AK774" s="49">
        <f>IF(OR(B774="",O774="Cancelled",O774="Rescheduled"),"",B774&amp;"|"&amp;(COUNTIFS('JOBS'!$B$5:$B$1504,B774,'JOBS'!$AJ$5:$AJ$1504,"&lt;"&amp;AJ774,'JOBS'!$O$5:$O$1504,"&lt;&gt;Cancelled",'JOBS'!$O$5:$O$1504,"&lt;&gt;Rescheduled")+COUNTIFS($B$5:B774,B774,$AJ$5:AJ774,AJ774,$O$5:O774,"&lt;&gt;Cancelled",$O$5:O774,"&lt;&gt;Rescheduled")))</f>
        <v/>
      </c>
      <c r="AL774" s="49">
        <f>IF(N(U774)&lt;=0.005,"",COUNTIFS('JOBS'!$U$5:$U$1504,"&gt;0.005",'JOBS'!$B$5:$B$1504,"&lt;"&amp;B774)+COUNTIFS($U$5:U774,"&gt;0.005",$B$5:B774,B774))</f>
        <v/>
      </c>
    </row>
    <row r="775">
      <c r="A775" s="46" t="inlineStr">
        <is>
          <t>J-0771</t>
        </is>
      </c>
      <c r="B775" s="47" t="n"/>
      <c r="C775" s="94" t="n"/>
      <c r="D775" s="38" t="n"/>
      <c r="E775" s="38" t="n"/>
      <c r="F775" s="38" t="n"/>
      <c r="G775" s="38" t="n"/>
      <c r="H775" s="38" t="n"/>
      <c r="I775" s="57" t="n"/>
      <c r="J775" s="95" t="n"/>
      <c r="K775" s="95" t="n"/>
      <c r="L775" s="48" t="n"/>
      <c r="M775" s="96" t="n"/>
      <c r="N775" s="48" t="n"/>
      <c r="O775" s="38" t="n"/>
      <c r="P775" s="38" t="n"/>
      <c r="Q775" s="97">
        <f>IF(OR(F775="",E775=""),"",IFERROR(IF(INDEX('PROPERTIES'!$F$5:$F$404,MATCH(E775,'PROPERTIES'!$B$5:$B$404,0))=0,"",ROUND((INDEX('PROPERTIES'!$F$5:$F$404,MATCH(E775,'PROPERTIES'!$B$5:$B$404,0))/INDEX('PRICING'!$C$7:$C$16,MATCH(F775,'PRICING'!$A$7:$A$16,0))+INDEX('PROPERTIES'!$G$5:$G$404,MATCH(E775,'PROPERTIES'!$B$5:$B$404,0))*INDEX('PRICING'!$D$7:$D$16,MATCH(F775,'PRICING'!$A$7:$A$16,0))/60+INDEX('PROPERTIES'!$H$5:$H$404,MATCH(E775,'PROPERTIES'!$B$5:$B$404,0))*INDEX('PRICING'!$E$7:$E$16,MATCH(F775,'PRICING'!$A$7:$A$16,0))/60+INDEX('PRICING'!$F$7:$F$16,MATCH(F775,'PRICING'!$A$7:$A$16,0))/60),2)),""))</f>
        <v/>
      </c>
      <c r="R775" s="97">
        <f>IF(B775="","",IF(N(K775)&gt;0,K775,IF(N(J775)&gt;0,J775,N(Q775))))</f>
        <v/>
      </c>
      <c r="S775" s="55">
        <f>IF(L775="","",ROUND(L775*(1+N(M775)),2))</f>
        <v/>
      </c>
      <c r="T775" s="55">
        <f>IF(B775="","",SUMIFS('REVENUE'!$C$5:$C$1504,'REVENUE'!$B$5:$B$1504,A775))</f>
        <v/>
      </c>
      <c r="U775" s="55">
        <f>IF(B775="","",IF(O775="Completed",MAX(0,N(S775)-T775),""))</f>
        <v/>
      </c>
      <c r="V775" s="49">
        <f>IF(B775="","",IF(O775&lt;&gt;"Completed",IF(T775&gt;0,"Deposit","—"),IF(U775&lt;=0.005,"Paid",IF(T775&gt;0,"Partial","Unpaid"))))</f>
        <v/>
      </c>
      <c r="W775" s="55">
        <f>IF(B775="","",IFERROR(1/(1/INDEX('STAFF &amp; TASKS'!$C$5:$C$24,MATCH(H775,'STAFF &amp; TASKS'!$A$5:$A$24,0))),PayRate))</f>
        <v/>
      </c>
      <c r="X775" s="55">
        <f>IF(B775="","",IF(OR(O775="Cancelled",O775="No-Show"),"",ROUND(R775*W775*(1+Burden),2)))</f>
        <v/>
      </c>
      <c r="Y775" s="55">
        <f>IF(B775="","",IF(OR(O775="Cancelled",O775="No-Show"),"",IF(N775&lt;&gt;"",N775,ROUND(R775*SupHr*IFERROR(INDEX('PRICING'!$G$7:$G$16,MATCH(F775,'PRICING'!$A$7:$A$16,0)),1),2))))</f>
        <v/>
      </c>
      <c r="Z775" s="98">
        <f>IF(B775="","",SUMIFS('MILEAGE'!$J$5:$J$1504,'MILEAGE'!$B$5:$B$1504,A775))</f>
        <v/>
      </c>
      <c r="AA775" s="55">
        <f>IF(B775="","",ROUND(Z775*MileRate,2))</f>
        <v/>
      </c>
      <c r="AB775" s="55">
        <f>IF(B775="","",SUMIFS('REVENUE'!$J$5:$J$1504,'REVENUE'!$B$5:$B$1504,A775))</f>
        <v/>
      </c>
      <c r="AC775" s="55">
        <f>IF(L775="","",IF(OR(O775="Cancelled",O775="No-Show"),"",L775-N(X775)-N(Y775)-AA775-AB775))</f>
        <v/>
      </c>
      <c r="AD775" s="99">
        <f>IF(OR(AC775="",N(L775)=0),"",AC775/L775)</f>
        <v/>
      </c>
      <c r="AE775" s="55">
        <f>IF(OR(AC775="",N(R775)=0),"",L775/R775)</f>
        <v/>
      </c>
      <c r="AF775" s="100">
        <f>IF(OR(N(K775)=0,N(J775)+N(Q775)=0),"",K775-IF(N(J775)&gt;0,J775,Q775))</f>
        <v/>
      </c>
      <c r="AG775" s="99">
        <f>IF(B775="","",IFERROR(AVERAGEIFS('QUALITY CONTROL'!$M$5:$M$304,'QUALITY CONTROL'!$B$5:$B$304,A775),""))</f>
        <v/>
      </c>
      <c r="AH775" s="51">
        <f>IF(B775="","",DATE(YEAR(B775),MONTH(B775),1))</f>
        <v/>
      </c>
      <c r="AI775" s="49">
        <f>IF(D775="","",IFERROR(INDEX('CUSTOMERS'!$E$5:$E$404,MATCH(D775,'CUSTOMERS'!$B$5:$B$404,0)),""))</f>
        <v/>
      </c>
      <c r="AJ775" s="49">
        <f>IF(B775="","",N(C775))</f>
        <v/>
      </c>
      <c r="AK775" s="49">
        <f>IF(OR(B775="",O775="Cancelled",O775="Rescheduled"),"",B775&amp;"|"&amp;(COUNTIFS('JOBS'!$B$5:$B$1504,B775,'JOBS'!$AJ$5:$AJ$1504,"&lt;"&amp;AJ775,'JOBS'!$O$5:$O$1504,"&lt;&gt;Cancelled",'JOBS'!$O$5:$O$1504,"&lt;&gt;Rescheduled")+COUNTIFS($B$5:B775,B775,$AJ$5:AJ775,AJ775,$O$5:O775,"&lt;&gt;Cancelled",$O$5:O775,"&lt;&gt;Rescheduled")))</f>
        <v/>
      </c>
      <c r="AL775" s="49">
        <f>IF(N(U775)&lt;=0.005,"",COUNTIFS('JOBS'!$U$5:$U$1504,"&gt;0.005",'JOBS'!$B$5:$B$1504,"&lt;"&amp;B775)+COUNTIFS($U$5:U775,"&gt;0.005",$B$5:B775,B775))</f>
        <v/>
      </c>
    </row>
    <row r="776">
      <c r="A776" s="46" t="inlineStr">
        <is>
          <t>J-0772</t>
        </is>
      </c>
      <c r="B776" s="47" t="n"/>
      <c r="C776" s="94" t="n"/>
      <c r="D776" s="38" t="n"/>
      <c r="E776" s="38" t="n"/>
      <c r="F776" s="38" t="n"/>
      <c r="G776" s="38" t="n"/>
      <c r="H776" s="38" t="n"/>
      <c r="I776" s="57" t="n"/>
      <c r="J776" s="95" t="n"/>
      <c r="K776" s="95" t="n"/>
      <c r="L776" s="48" t="n"/>
      <c r="M776" s="96" t="n"/>
      <c r="N776" s="48" t="n"/>
      <c r="O776" s="38" t="n"/>
      <c r="P776" s="38" t="n"/>
      <c r="Q776" s="97">
        <f>IF(OR(F776="",E776=""),"",IFERROR(IF(INDEX('PROPERTIES'!$F$5:$F$404,MATCH(E776,'PROPERTIES'!$B$5:$B$404,0))=0,"",ROUND((INDEX('PROPERTIES'!$F$5:$F$404,MATCH(E776,'PROPERTIES'!$B$5:$B$404,0))/INDEX('PRICING'!$C$7:$C$16,MATCH(F776,'PRICING'!$A$7:$A$16,0))+INDEX('PROPERTIES'!$G$5:$G$404,MATCH(E776,'PROPERTIES'!$B$5:$B$404,0))*INDEX('PRICING'!$D$7:$D$16,MATCH(F776,'PRICING'!$A$7:$A$16,0))/60+INDEX('PROPERTIES'!$H$5:$H$404,MATCH(E776,'PROPERTIES'!$B$5:$B$404,0))*INDEX('PRICING'!$E$7:$E$16,MATCH(F776,'PRICING'!$A$7:$A$16,0))/60+INDEX('PRICING'!$F$7:$F$16,MATCH(F776,'PRICING'!$A$7:$A$16,0))/60),2)),""))</f>
        <v/>
      </c>
      <c r="R776" s="97">
        <f>IF(B776="","",IF(N(K776)&gt;0,K776,IF(N(J776)&gt;0,J776,N(Q776))))</f>
        <v/>
      </c>
      <c r="S776" s="55">
        <f>IF(L776="","",ROUND(L776*(1+N(M776)),2))</f>
        <v/>
      </c>
      <c r="T776" s="55">
        <f>IF(B776="","",SUMIFS('REVENUE'!$C$5:$C$1504,'REVENUE'!$B$5:$B$1504,A776))</f>
        <v/>
      </c>
      <c r="U776" s="55">
        <f>IF(B776="","",IF(O776="Completed",MAX(0,N(S776)-T776),""))</f>
        <v/>
      </c>
      <c r="V776" s="49">
        <f>IF(B776="","",IF(O776&lt;&gt;"Completed",IF(T776&gt;0,"Deposit","—"),IF(U776&lt;=0.005,"Paid",IF(T776&gt;0,"Partial","Unpaid"))))</f>
        <v/>
      </c>
      <c r="W776" s="55">
        <f>IF(B776="","",IFERROR(1/(1/INDEX('STAFF &amp; TASKS'!$C$5:$C$24,MATCH(H776,'STAFF &amp; TASKS'!$A$5:$A$24,0))),PayRate))</f>
        <v/>
      </c>
      <c r="X776" s="55">
        <f>IF(B776="","",IF(OR(O776="Cancelled",O776="No-Show"),"",ROUND(R776*W776*(1+Burden),2)))</f>
        <v/>
      </c>
      <c r="Y776" s="55">
        <f>IF(B776="","",IF(OR(O776="Cancelled",O776="No-Show"),"",IF(N776&lt;&gt;"",N776,ROUND(R776*SupHr*IFERROR(INDEX('PRICING'!$G$7:$G$16,MATCH(F776,'PRICING'!$A$7:$A$16,0)),1),2))))</f>
        <v/>
      </c>
      <c r="Z776" s="98">
        <f>IF(B776="","",SUMIFS('MILEAGE'!$J$5:$J$1504,'MILEAGE'!$B$5:$B$1504,A776))</f>
        <v/>
      </c>
      <c r="AA776" s="55">
        <f>IF(B776="","",ROUND(Z776*MileRate,2))</f>
        <v/>
      </c>
      <c r="AB776" s="55">
        <f>IF(B776="","",SUMIFS('REVENUE'!$J$5:$J$1504,'REVENUE'!$B$5:$B$1504,A776))</f>
        <v/>
      </c>
      <c r="AC776" s="55">
        <f>IF(L776="","",IF(OR(O776="Cancelled",O776="No-Show"),"",L776-N(X776)-N(Y776)-AA776-AB776))</f>
        <v/>
      </c>
      <c r="AD776" s="99">
        <f>IF(OR(AC776="",N(L776)=0),"",AC776/L776)</f>
        <v/>
      </c>
      <c r="AE776" s="55">
        <f>IF(OR(AC776="",N(R776)=0),"",L776/R776)</f>
        <v/>
      </c>
      <c r="AF776" s="100">
        <f>IF(OR(N(K776)=0,N(J776)+N(Q776)=0),"",K776-IF(N(J776)&gt;0,J776,Q776))</f>
        <v/>
      </c>
      <c r="AG776" s="99">
        <f>IF(B776="","",IFERROR(AVERAGEIFS('QUALITY CONTROL'!$M$5:$M$304,'QUALITY CONTROL'!$B$5:$B$304,A776),""))</f>
        <v/>
      </c>
      <c r="AH776" s="51">
        <f>IF(B776="","",DATE(YEAR(B776),MONTH(B776),1))</f>
        <v/>
      </c>
      <c r="AI776" s="49">
        <f>IF(D776="","",IFERROR(INDEX('CUSTOMERS'!$E$5:$E$404,MATCH(D776,'CUSTOMERS'!$B$5:$B$404,0)),""))</f>
        <v/>
      </c>
      <c r="AJ776" s="49">
        <f>IF(B776="","",N(C776))</f>
        <v/>
      </c>
      <c r="AK776" s="49">
        <f>IF(OR(B776="",O776="Cancelled",O776="Rescheduled"),"",B776&amp;"|"&amp;(COUNTIFS('JOBS'!$B$5:$B$1504,B776,'JOBS'!$AJ$5:$AJ$1504,"&lt;"&amp;AJ776,'JOBS'!$O$5:$O$1504,"&lt;&gt;Cancelled",'JOBS'!$O$5:$O$1504,"&lt;&gt;Rescheduled")+COUNTIFS($B$5:B776,B776,$AJ$5:AJ776,AJ776,$O$5:O776,"&lt;&gt;Cancelled",$O$5:O776,"&lt;&gt;Rescheduled")))</f>
        <v/>
      </c>
      <c r="AL776" s="49">
        <f>IF(N(U776)&lt;=0.005,"",COUNTIFS('JOBS'!$U$5:$U$1504,"&gt;0.005",'JOBS'!$B$5:$B$1504,"&lt;"&amp;B776)+COUNTIFS($U$5:U776,"&gt;0.005",$B$5:B776,B776))</f>
        <v/>
      </c>
    </row>
    <row r="777">
      <c r="A777" s="46" t="inlineStr">
        <is>
          <t>J-0773</t>
        </is>
      </c>
      <c r="B777" s="47" t="n"/>
      <c r="C777" s="94" t="n"/>
      <c r="D777" s="38" t="n"/>
      <c r="E777" s="38" t="n"/>
      <c r="F777" s="38" t="n"/>
      <c r="G777" s="38" t="n"/>
      <c r="H777" s="38" t="n"/>
      <c r="I777" s="57" t="n"/>
      <c r="J777" s="95" t="n"/>
      <c r="K777" s="95" t="n"/>
      <c r="L777" s="48" t="n"/>
      <c r="M777" s="96" t="n"/>
      <c r="N777" s="48" t="n"/>
      <c r="O777" s="38" t="n"/>
      <c r="P777" s="38" t="n"/>
      <c r="Q777" s="97">
        <f>IF(OR(F777="",E777=""),"",IFERROR(IF(INDEX('PROPERTIES'!$F$5:$F$404,MATCH(E777,'PROPERTIES'!$B$5:$B$404,0))=0,"",ROUND((INDEX('PROPERTIES'!$F$5:$F$404,MATCH(E777,'PROPERTIES'!$B$5:$B$404,0))/INDEX('PRICING'!$C$7:$C$16,MATCH(F777,'PRICING'!$A$7:$A$16,0))+INDEX('PROPERTIES'!$G$5:$G$404,MATCH(E777,'PROPERTIES'!$B$5:$B$404,0))*INDEX('PRICING'!$D$7:$D$16,MATCH(F777,'PRICING'!$A$7:$A$16,0))/60+INDEX('PROPERTIES'!$H$5:$H$404,MATCH(E777,'PROPERTIES'!$B$5:$B$404,0))*INDEX('PRICING'!$E$7:$E$16,MATCH(F777,'PRICING'!$A$7:$A$16,0))/60+INDEX('PRICING'!$F$7:$F$16,MATCH(F777,'PRICING'!$A$7:$A$16,0))/60),2)),""))</f>
        <v/>
      </c>
      <c r="R777" s="97">
        <f>IF(B777="","",IF(N(K777)&gt;0,K777,IF(N(J777)&gt;0,J777,N(Q777))))</f>
        <v/>
      </c>
      <c r="S777" s="55">
        <f>IF(L777="","",ROUND(L777*(1+N(M777)),2))</f>
        <v/>
      </c>
      <c r="T777" s="55">
        <f>IF(B777="","",SUMIFS('REVENUE'!$C$5:$C$1504,'REVENUE'!$B$5:$B$1504,A777))</f>
        <v/>
      </c>
      <c r="U777" s="55">
        <f>IF(B777="","",IF(O777="Completed",MAX(0,N(S777)-T777),""))</f>
        <v/>
      </c>
      <c r="V777" s="49">
        <f>IF(B777="","",IF(O777&lt;&gt;"Completed",IF(T777&gt;0,"Deposit","—"),IF(U777&lt;=0.005,"Paid",IF(T777&gt;0,"Partial","Unpaid"))))</f>
        <v/>
      </c>
      <c r="W777" s="55">
        <f>IF(B777="","",IFERROR(1/(1/INDEX('STAFF &amp; TASKS'!$C$5:$C$24,MATCH(H777,'STAFF &amp; TASKS'!$A$5:$A$24,0))),PayRate))</f>
        <v/>
      </c>
      <c r="X777" s="55">
        <f>IF(B777="","",IF(OR(O777="Cancelled",O777="No-Show"),"",ROUND(R777*W777*(1+Burden),2)))</f>
        <v/>
      </c>
      <c r="Y777" s="55">
        <f>IF(B777="","",IF(OR(O777="Cancelled",O777="No-Show"),"",IF(N777&lt;&gt;"",N777,ROUND(R777*SupHr*IFERROR(INDEX('PRICING'!$G$7:$G$16,MATCH(F777,'PRICING'!$A$7:$A$16,0)),1),2))))</f>
        <v/>
      </c>
      <c r="Z777" s="98">
        <f>IF(B777="","",SUMIFS('MILEAGE'!$J$5:$J$1504,'MILEAGE'!$B$5:$B$1504,A777))</f>
        <v/>
      </c>
      <c r="AA777" s="55">
        <f>IF(B777="","",ROUND(Z777*MileRate,2))</f>
        <v/>
      </c>
      <c r="AB777" s="55">
        <f>IF(B777="","",SUMIFS('REVENUE'!$J$5:$J$1504,'REVENUE'!$B$5:$B$1504,A777))</f>
        <v/>
      </c>
      <c r="AC777" s="55">
        <f>IF(L777="","",IF(OR(O777="Cancelled",O777="No-Show"),"",L777-N(X777)-N(Y777)-AA777-AB777))</f>
        <v/>
      </c>
      <c r="AD777" s="99">
        <f>IF(OR(AC777="",N(L777)=0),"",AC777/L777)</f>
        <v/>
      </c>
      <c r="AE777" s="55">
        <f>IF(OR(AC777="",N(R777)=0),"",L777/R777)</f>
        <v/>
      </c>
      <c r="AF777" s="100">
        <f>IF(OR(N(K777)=0,N(J777)+N(Q777)=0),"",K777-IF(N(J777)&gt;0,J777,Q777))</f>
        <v/>
      </c>
      <c r="AG777" s="99">
        <f>IF(B777="","",IFERROR(AVERAGEIFS('QUALITY CONTROL'!$M$5:$M$304,'QUALITY CONTROL'!$B$5:$B$304,A777),""))</f>
        <v/>
      </c>
      <c r="AH777" s="51">
        <f>IF(B777="","",DATE(YEAR(B777),MONTH(B777),1))</f>
        <v/>
      </c>
      <c r="AI777" s="49">
        <f>IF(D777="","",IFERROR(INDEX('CUSTOMERS'!$E$5:$E$404,MATCH(D777,'CUSTOMERS'!$B$5:$B$404,0)),""))</f>
        <v/>
      </c>
      <c r="AJ777" s="49">
        <f>IF(B777="","",N(C777))</f>
        <v/>
      </c>
      <c r="AK777" s="49">
        <f>IF(OR(B777="",O777="Cancelled",O777="Rescheduled"),"",B777&amp;"|"&amp;(COUNTIFS('JOBS'!$B$5:$B$1504,B777,'JOBS'!$AJ$5:$AJ$1504,"&lt;"&amp;AJ777,'JOBS'!$O$5:$O$1504,"&lt;&gt;Cancelled",'JOBS'!$O$5:$O$1504,"&lt;&gt;Rescheduled")+COUNTIFS($B$5:B777,B777,$AJ$5:AJ777,AJ777,$O$5:O777,"&lt;&gt;Cancelled",$O$5:O777,"&lt;&gt;Rescheduled")))</f>
        <v/>
      </c>
      <c r="AL777" s="49">
        <f>IF(N(U777)&lt;=0.005,"",COUNTIFS('JOBS'!$U$5:$U$1504,"&gt;0.005",'JOBS'!$B$5:$B$1504,"&lt;"&amp;B777)+COUNTIFS($U$5:U777,"&gt;0.005",$B$5:B777,B777))</f>
        <v/>
      </c>
    </row>
    <row r="778">
      <c r="A778" s="46" t="inlineStr">
        <is>
          <t>J-0774</t>
        </is>
      </c>
      <c r="B778" s="47" t="n"/>
      <c r="C778" s="94" t="n"/>
      <c r="D778" s="38" t="n"/>
      <c r="E778" s="38" t="n"/>
      <c r="F778" s="38" t="n"/>
      <c r="G778" s="38" t="n"/>
      <c r="H778" s="38" t="n"/>
      <c r="I778" s="57" t="n"/>
      <c r="J778" s="95" t="n"/>
      <c r="K778" s="95" t="n"/>
      <c r="L778" s="48" t="n"/>
      <c r="M778" s="96" t="n"/>
      <c r="N778" s="48" t="n"/>
      <c r="O778" s="38" t="n"/>
      <c r="P778" s="38" t="n"/>
      <c r="Q778" s="97">
        <f>IF(OR(F778="",E778=""),"",IFERROR(IF(INDEX('PROPERTIES'!$F$5:$F$404,MATCH(E778,'PROPERTIES'!$B$5:$B$404,0))=0,"",ROUND((INDEX('PROPERTIES'!$F$5:$F$404,MATCH(E778,'PROPERTIES'!$B$5:$B$404,0))/INDEX('PRICING'!$C$7:$C$16,MATCH(F778,'PRICING'!$A$7:$A$16,0))+INDEX('PROPERTIES'!$G$5:$G$404,MATCH(E778,'PROPERTIES'!$B$5:$B$404,0))*INDEX('PRICING'!$D$7:$D$16,MATCH(F778,'PRICING'!$A$7:$A$16,0))/60+INDEX('PROPERTIES'!$H$5:$H$404,MATCH(E778,'PROPERTIES'!$B$5:$B$404,0))*INDEX('PRICING'!$E$7:$E$16,MATCH(F778,'PRICING'!$A$7:$A$16,0))/60+INDEX('PRICING'!$F$7:$F$16,MATCH(F778,'PRICING'!$A$7:$A$16,0))/60),2)),""))</f>
        <v/>
      </c>
      <c r="R778" s="97">
        <f>IF(B778="","",IF(N(K778)&gt;0,K778,IF(N(J778)&gt;0,J778,N(Q778))))</f>
        <v/>
      </c>
      <c r="S778" s="55">
        <f>IF(L778="","",ROUND(L778*(1+N(M778)),2))</f>
        <v/>
      </c>
      <c r="T778" s="55">
        <f>IF(B778="","",SUMIFS('REVENUE'!$C$5:$C$1504,'REVENUE'!$B$5:$B$1504,A778))</f>
        <v/>
      </c>
      <c r="U778" s="55">
        <f>IF(B778="","",IF(O778="Completed",MAX(0,N(S778)-T778),""))</f>
        <v/>
      </c>
      <c r="V778" s="49">
        <f>IF(B778="","",IF(O778&lt;&gt;"Completed",IF(T778&gt;0,"Deposit","—"),IF(U778&lt;=0.005,"Paid",IF(T778&gt;0,"Partial","Unpaid"))))</f>
        <v/>
      </c>
      <c r="W778" s="55">
        <f>IF(B778="","",IFERROR(1/(1/INDEX('STAFF &amp; TASKS'!$C$5:$C$24,MATCH(H778,'STAFF &amp; TASKS'!$A$5:$A$24,0))),PayRate))</f>
        <v/>
      </c>
      <c r="X778" s="55">
        <f>IF(B778="","",IF(OR(O778="Cancelled",O778="No-Show"),"",ROUND(R778*W778*(1+Burden),2)))</f>
        <v/>
      </c>
      <c r="Y778" s="55">
        <f>IF(B778="","",IF(OR(O778="Cancelled",O778="No-Show"),"",IF(N778&lt;&gt;"",N778,ROUND(R778*SupHr*IFERROR(INDEX('PRICING'!$G$7:$G$16,MATCH(F778,'PRICING'!$A$7:$A$16,0)),1),2))))</f>
        <v/>
      </c>
      <c r="Z778" s="98">
        <f>IF(B778="","",SUMIFS('MILEAGE'!$J$5:$J$1504,'MILEAGE'!$B$5:$B$1504,A778))</f>
        <v/>
      </c>
      <c r="AA778" s="55">
        <f>IF(B778="","",ROUND(Z778*MileRate,2))</f>
        <v/>
      </c>
      <c r="AB778" s="55">
        <f>IF(B778="","",SUMIFS('REVENUE'!$J$5:$J$1504,'REVENUE'!$B$5:$B$1504,A778))</f>
        <v/>
      </c>
      <c r="AC778" s="55">
        <f>IF(L778="","",IF(OR(O778="Cancelled",O778="No-Show"),"",L778-N(X778)-N(Y778)-AA778-AB778))</f>
        <v/>
      </c>
      <c r="AD778" s="99">
        <f>IF(OR(AC778="",N(L778)=0),"",AC778/L778)</f>
        <v/>
      </c>
      <c r="AE778" s="55">
        <f>IF(OR(AC778="",N(R778)=0),"",L778/R778)</f>
        <v/>
      </c>
      <c r="AF778" s="100">
        <f>IF(OR(N(K778)=0,N(J778)+N(Q778)=0),"",K778-IF(N(J778)&gt;0,J778,Q778))</f>
        <v/>
      </c>
      <c r="AG778" s="99">
        <f>IF(B778="","",IFERROR(AVERAGEIFS('QUALITY CONTROL'!$M$5:$M$304,'QUALITY CONTROL'!$B$5:$B$304,A778),""))</f>
        <v/>
      </c>
      <c r="AH778" s="51">
        <f>IF(B778="","",DATE(YEAR(B778),MONTH(B778),1))</f>
        <v/>
      </c>
      <c r="AI778" s="49">
        <f>IF(D778="","",IFERROR(INDEX('CUSTOMERS'!$E$5:$E$404,MATCH(D778,'CUSTOMERS'!$B$5:$B$404,0)),""))</f>
        <v/>
      </c>
      <c r="AJ778" s="49">
        <f>IF(B778="","",N(C778))</f>
        <v/>
      </c>
      <c r="AK778" s="49">
        <f>IF(OR(B778="",O778="Cancelled",O778="Rescheduled"),"",B778&amp;"|"&amp;(COUNTIFS('JOBS'!$B$5:$B$1504,B778,'JOBS'!$AJ$5:$AJ$1504,"&lt;"&amp;AJ778,'JOBS'!$O$5:$O$1504,"&lt;&gt;Cancelled",'JOBS'!$O$5:$O$1504,"&lt;&gt;Rescheduled")+COUNTIFS($B$5:B778,B778,$AJ$5:AJ778,AJ778,$O$5:O778,"&lt;&gt;Cancelled",$O$5:O778,"&lt;&gt;Rescheduled")))</f>
        <v/>
      </c>
      <c r="AL778" s="49">
        <f>IF(N(U778)&lt;=0.005,"",COUNTIFS('JOBS'!$U$5:$U$1504,"&gt;0.005",'JOBS'!$B$5:$B$1504,"&lt;"&amp;B778)+COUNTIFS($U$5:U778,"&gt;0.005",$B$5:B778,B778))</f>
        <v/>
      </c>
    </row>
    <row r="779">
      <c r="A779" s="46" t="inlineStr">
        <is>
          <t>J-0775</t>
        </is>
      </c>
      <c r="B779" s="47" t="n"/>
      <c r="C779" s="94" t="n"/>
      <c r="D779" s="38" t="n"/>
      <c r="E779" s="38" t="n"/>
      <c r="F779" s="38" t="n"/>
      <c r="G779" s="38" t="n"/>
      <c r="H779" s="38" t="n"/>
      <c r="I779" s="57" t="n"/>
      <c r="J779" s="95" t="n"/>
      <c r="K779" s="95" t="n"/>
      <c r="L779" s="48" t="n"/>
      <c r="M779" s="96" t="n"/>
      <c r="N779" s="48" t="n"/>
      <c r="O779" s="38" t="n"/>
      <c r="P779" s="38" t="n"/>
      <c r="Q779" s="97">
        <f>IF(OR(F779="",E779=""),"",IFERROR(IF(INDEX('PROPERTIES'!$F$5:$F$404,MATCH(E779,'PROPERTIES'!$B$5:$B$404,0))=0,"",ROUND((INDEX('PROPERTIES'!$F$5:$F$404,MATCH(E779,'PROPERTIES'!$B$5:$B$404,0))/INDEX('PRICING'!$C$7:$C$16,MATCH(F779,'PRICING'!$A$7:$A$16,0))+INDEX('PROPERTIES'!$G$5:$G$404,MATCH(E779,'PROPERTIES'!$B$5:$B$404,0))*INDEX('PRICING'!$D$7:$D$16,MATCH(F779,'PRICING'!$A$7:$A$16,0))/60+INDEX('PROPERTIES'!$H$5:$H$404,MATCH(E779,'PROPERTIES'!$B$5:$B$404,0))*INDEX('PRICING'!$E$7:$E$16,MATCH(F779,'PRICING'!$A$7:$A$16,0))/60+INDEX('PRICING'!$F$7:$F$16,MATCH(F779,'PRICING'!$A$7:$A$16,0))/60),2)),""))</f>
        <v/>
      </c>
      <c r="R779" s="97">
        <f>IF(B779="","",IF(N(K779)&gt;0,K779,IF(N(J779)&gt;0,J779,N(Q779))))</f>
        <v/>
      </c>
      <c r="S779" s="55">
        <f>IF(L779="","",ROUND(L779*(1+N(M779)),2))</f>
        <v/>
      </c>
      <c r="T779" s="55">
        <f>IF(B779="","",SUMIFS('REVENUE'!$C$5:$C$1504,'REVENUE'!$B$5:$B$1504,A779))</f>
        <v/>
      </c>
      <c r="U779" s="55">
        <f>IF(B779="","",IF(O779="Completed",MAX(0,N(S779)-T779),""))</f>
        <v/>
      </c>
      <c r="V779" s="49">
        <f>IF(B779="","",IF(O779&lt;&gt;"Completed",IF(T779&gt;0,"Deposit","—"),IF(U779&lt;=0.005,"Paid",IF(T779&gt;0,"Partial","Unpaid"))))</f>
        <v/>
      </c>
      <c r="W779" s="55">
        <f>IF(B779="","",IFERROR(1/(1/INDEX('STAFF &amp; TASKS'!$C$5:$C$24,MATCH(H779,'STAFF &amp; TASKS'!$A$5:$A$24,0))),PayRate))</f>
        <v/>
      </c>
      <c r="X779" s="55">
        <f>IF(B779="","",IF(OR(O779="Cancelled",O779="No-Show"),"",ROUND(R779*W779*(1+Burden),2)))</f>
        <v/>
      </c>
      <c r="Y779" s="55">
        <f>IF(B779="","",IF(OR(O779="Cancelled",O779="No-Show"),"",IF(N779&lt;&gt;"",N779,ROUND(R779*SupHr*IFERROR(INDEX('PRICING'!$G$7:$G$16,MATCH(F779,'PRICING'!$A$7:$A$16,0)),1),2))))</f>
        <v/>
      </c>
      <c r="Z779" s="98">
        <f>IF(B779="","",SUMIFS('MILEAGE'!$J$5:$J$1504,'MILEAGE'!$B$5:$B$1504,A779))</f>
        <v/>
      </c>
      <c r="AA779" s="55">
        <f>IF(B779="","",ROUND(Z779*MileRate,2))</f>
        <v/>
      </c>
      <c r="AB779" s="55">
        <f>IF(B779="","",SUMIFS('REVENUE'!$J$5:$J$1504,'REVENUE'!$B$5:$B$1504,A779))</f>
        <v/>
      </c>
      <c r="AC779" s="55">
        <f>IF(L779="","",IF(OR(O779="Cancelled",O779="No-Show"),"",L779-N(X779)-N(Y779)-AA779-AB779))</f>
        <v/>
      </c>
      <c r="AD779" s="99">
        <f>IF(OR(AC779="",N(L779)=0),"",AC779/L779)</f>
        <v/>
      </c>
      <c r="AE779" s="55">
        <f>IF(OR(AC779="",N(R779)=0),"",L779/R779)</f>
        <v/>
      </c>
      <c r="AF779" s="100">
        <f>IF(OR(N(K779)=0,N(J779)+N(Q779)=0),"",K779-IF(N(J779)&gt;0,J779,Q779))</f>
        <v/>
      </c>
      <c r="AG779" s="99">
        <f>IF(B779="","",IFERROR(AVERAGEIFS('QUALITY CONTROL'!$M$5:$M$304,'QUALITY CONTROL'!$B$5:$B$304,A779),""))</f>
        <v/>
      </c>
      <c r="AH779" s="51">
        <f>IF(B779="","",DATE(YEAR(B779),MONTH(B779),1))</f>
        <v/>
      </c>
      <c r="AI779" s="49">
        <f>IF(D779="","",IFERROR(INDEX('CUSTOMERS'!$E$5:$E$404,MATCH(D779,'CUSTOMERS'!$B$5:$B$404,0)),""))</f>
        <v/>
      </c>
      <c r="AJ779" s="49">
        <f>IF(B779="","",N(C779))</f>
        <v/>
      </c>
      <c r="AK779" s="49">
        <f>IF(OR(B779="",O779="Cancelled",O779="Rescheduled"),"",B779&amp;"|"&amp;(COUNTIFS('JOBS'!$B$5:$B$1504,B779,'JOBS'!$AJ$5:$AJ$1504,"&lt;"&amp;AJ779,'JOBS'!$O$5:$O$1504,"&lt;&gt;Cancelled",'JOBS'!$O$5:$O$1504,"&lt;&gt;Rescheduled")+COUNTIFS($B$5:B779,B779,$AJ$5:AJ779,AJ779,$O$5:O779,"&lt;&gt;Cancelled",$O$5:O779,"&lt;&gt;Rescheduled")))</f>
        <v/>
      </c>
      <c r="AL779" s="49">
        <f>IF(N(U779)&lt;=0.005,"",COUNTIFS('JOBS'!$U$5:$U$1504,"&gt;0.005",'JOBS'!$B$5:$B$1504,"&lt;"&amp;B779)+COUNTIFS($U$5:U779,"&gt;0.005",$B$5:B779,B779))</f>
        <v/>
      </c>
    </row>
    <row r="780">
      <c r="A780" s="46" t="inlineStr">
        <is>
          <t>J-0776</t>
        </is>
      </c>
      <c r="B780" s="47" t="n"/>
      <c r="C780" s="94" t="n"/>
      <c r="D780" s="38" t="n"/>
      <c r="E780" s="38" t="n"/>
      <c r="F780" s="38" t="n"/>
      <c r="G780" s="38" t="n"/>
      <c r="H780" s="38" t="n"/>
      <c r="I780" s="57" t="n"/>
      <c r="J780" s="95" t="n"/>
      <c r="K780" s="95" t="n"/>
      <c r="L780" s="48" t="n"/>
      <c r="M780" s="96" t="n"/>
      <c r="N780" s="48" t="n"/>
      <c r="O780" s="38" t="n"/>
      <c r="P780" s="38" t="n"/>
      <c r="Q780" s="97">
        <f>IF(OR(F780="",E780=""),"",IFERROR(IF(INDEX('PROPERTIES'!$F$5:$F$404,MATCH(E780,'PROPERTIES'!$B$5:$B$404,0))=0,"",ROUND((INDEX('PROPERTIES'!$F$5:$F$404,MATCH(E780,'PROPERTIES'!$B$5:$B$404,0))/INDEX('PRICING'!$C$7:$C$16,MATCH(F780,'PRICING'!$A$7:$A$16,0))+INDEX('PROPERTIES'!$G$5:$G$404,MATCH(E780,'PROPERTIES'!$B$5:$B$404,0))*INDEX('PRICING'!$D$7:$D$16,MATCH(F780,'PRICING'!$A$7:$A$16,0))/60+INDEX('PROPERTIES'!$H$5:$H$404,MATCH(E780,'PROPERTIES'!$B$5:$B$404,0))*INDEX('PRICING'!$E$7:$E$16,MATCH(F780,'PRICING'!$A$7:$A$16,0))/60+INDEX('PRICING'!$F$7:$F$16,MATCH(F780,'PRICING'!$A$7:$A$16,0))/60),2)),""))</f>
        <v/>
      </c>
      <c r="R780" s="97">
        <f>IF(B780="","",IF(N(K780)&gt;0,K780,IF(N(J780)&gt;0,J780,N(Q780))))</f>
        <v/>
      </c>
      <c r="S780" s="55">
        <f>IF(L780="","",ROUND(L780*(1+N(M780)),2))</f>
        <v/>
      </c>
      <c r="T780" s="55">
        <f>IF(B780="","",SUMIFS('REVENUE'!$C$5:$C$1504,'REVENUE'!$B$5:$B$1504,A780))</f>
        <v/>
      </c>
      <c r="U780" s="55">
        <f>IF(B780="","",IF(O780="Completed",MAX(0,N(S780)-T780),""))</f>
        <v/>
      </c>
      <c r="V780" s="49">
        <f>IF(B780="","",IF(O780&lt;&gt;"Completed",IF(T780&gt;0,"Deposit","—"),IF(U780&lt;=0.005,"Paid",IF(T780&gt;0,"Partial","Unpaid"))))</f>
        <v/>
      </c>
      <c r="W780" s="55">
        <f>IF(B780="","",IFERROR(1/(1/INDEX('STAFF &amp; TASKS'!$C$5:$C$24,MATCH(H780,'STAFF &amp; TASKS'!$A$5:$A$24,0))),PayRate))</f>
        <v/>
      </c>
      <c r="X780" s="55">
        <f>IF(B780="","",IF(OR(O780="Cancelled",O780="No-Show"),"",ROUND(R780*W780*(1+Burden),2)))</f>
        <v/>
      </c>
      <c r="Y780" s="55">
        <f>IF(B780="","",IF(OR(O780="Cancelled",O780="No-Show"),"",IF(N780&lt;&gt;"",N780,ROUND(R780*SupHr*IFERROR(INDEX('PRICING'!$G$7:$G$16,MATCH(F780,'PRICING'!$A$7:$A$16,0)),1),2))))</f>
        <v/>
      </c>
      <c r="Z780" s="98">
        <f>IF(B780="","",SUMIFS('MILEAGE'!$J$5:$J$1504,'MILEAGE'!$B$5:$B$1504,A780))</f>
        <v/>
      </c>
      <c r="AA780" s="55">
        <f>IF(B780="","",ROUND(Z780*MileRate,2))</f>
        <v/>
      </c>
      <c r="AB780" s="55">
        <f>IF(B780="","",SUMIFS('REVENUE'!$J$5:$J$1504,'REVENUE'!$B$5:$B$1504,A780))</f>
        <v/>
      </c>
      <c r="AC780" s="55">
        <f>IF(L780="","",IF(OR(O780="Cancelled",O780="No-Show"),"",L780-N(X780)-N(Y780)-AA780-AB780))</f>
        <v/>
      </c>
      <c r="AD780" s="99">
        <f>IF(OR(AC780="",N(L780)=0),"",AC780/L780)</f>
        <v/>
      </c>
      <c r="AE780" s="55">
        <f>IF(OR(AC780="",N(R780)=0),"",L780/R780)</f>
        <v/>
      </c>
      <c r="AF780" s="100">
        <f>IF(OR(N(K780)=0,N(J780)+N(Q780)=0),"",K780-IF(N(J780)&gt;0,J780,Q780))</f>
        <v/>
      </c>
      <c r="AG780" s="99">
        <f>IF(B780="","",IFERROR(AVERAGEIFS('QUALITY CONTROL'!$M$5:$M$304,'QUALITY CONTROL'!$B$5:$B$304,A780),""))</f>
        <v/>
      </c>
      <c r="AH780" s="51">
        <f>IF(B780="","",DATE(YEAR(B780),MONTH(B780),1))</f>
        <v/>
      </c>
      <c r="AI780" s="49">
        <f>IF(D780="","",IFERROR(INDEX('CUSTOMERS'!$E$5:$E$404,MATCH(D780,'CUSTOMERS'!$B$5:$B$404,0)),""))</f>
        <v/>
      </c>
      <c r="AJ780" s="49">
        <f>IF(B780="","",N(C780))</f>
        <v/>
      </c>
      <c r="AK780" s="49">
        <f>IF(OR(B780="",O780="Cancelled",O780="Rescheduled"),"",B780&amp;"|"&amp;(COUNTIFS('JOBS'!$B$5:$B$1504,B780,'JOBS'!$AJ$5:$AJ$1504,"&lt;"&amp;AJ780,'JOBS'!$O$5:$O$1504,"&lt;&gt;Cancelled",'JOBS'!$O$5:$O$1504,"&lt;&gt;Rescheduled")+COUNTIFS($B$5:B780,B780,$AJ$5:AJ780,AJ780,$O$5:O780,"&lt;&gt;Cancelled",$O$5:O780,"&lt;&gt;Rescheduled")))</f>
        <v/>
      </c>
      <c r="AL780" s="49">
        <f>IF(N(U780)&lt;=0.005,"",COUNTIFS('JOBS'!$U$5:$U$1504,"&gt;0.005",'JOBS'!$B$5:$B$1504,"&lt;"&amp;B780)+COUNTIFS($U$5:U780,"&gt;0.005",$B$5:B780,B780))</f>
        <v/>
      </c>
    </row>
    <row r="781">
      <c r="A781" s="46" t="inlineStr">
        <is>
          <t>J-0777</t>
        </is>
      </c>
      <c r="B781" s="47" t="n"/>
      <c r="C781" s="94" t="n"/>
      <c r="D781" s="38" t="n"/>
      <c r="E781" s="38" t="n"/>
      <c r="F781" s="38" t="n"/>
      <c r="G781" s="38" t="n"/>
      <c r="H781" s="38" t="n"/>
      <c r="I781" s="57" t="n"/>
      <c r="J781" s="95" t="n"/>
      <c r="K781" s="95" t="n"/>
      <c r="L781" s="48" t="n"/>
      <c r="M781" s="96" t="n"/>
      <c r="N781" s="48" t="n"/>
      <c r="O781" s="38" t="n"/>
      <c r="P781" s="38" t="n"/>
      <c r="Q781" s="97">
        <f>IF(OR(F781="",E781=""),"",IFERROR(IF(INDEX('PROPERTIES'!$F$5:$F$404,MATCH(E781,'PROPERTIES'!$B$5:$B$404,0))=0,"",ROUND((INDEX('PROPERTIES'!$F$5:$F$404,MATCH(E781,'PROPERTIES'!$B$5:$B$404,0))/INDEX('PRICING'!$C$7:$C$16,MATCH(F781,'PRICING'!$A$7:$A$16,0))+INDEX('PROPERTIES'!$G$5:$G$404,MATCH(E781,'PROPERTIES'!$B$5:$B$404,0))*INDEX('PRICING'!$D$7:$D$16,MATCH(F781,'PRICING'!$A$7:$A$16,0))/60+INDEX('PROPERTIES'!$H$5:$H$404,MATCH(E781,'PROPERTIES'!$B$5:$B$404,0))*INDEX('PRICING'!$E$7:$E$16,MATCH(F781,'PRICING'!$A$7:$A$16,0))/60+INDEX('PRICING'!$F$7:$F$16,MATCH(F781,'PRICING'!$A$7:$A$16,0))/60),2)),""))</f>
        <v/>
      </c>
      <c r="R781" s="97">
        <f>IF(B781="","",IF(N(K781)&gt;0,K781,IF(N(J781)&gt;0,J781,N(Q781))))</f>
        <v/>
      </c>
      <c r="S781" s="55">
        <f>IF(L781="","",ROUND(L781*(1+N(M781)),2))</f>
        <v/>
      </c>
      <c r="T781" s="55">
        <f>IF(B781="","",SUMIFS('REVENUE'!$C$5:$C$1504,'REVENUE'!$B$5:$B$1504,A781))</f>
        <v/>
      </c>
      <c r="U781" s="55">
        <f>IF(B781="","",IF(O781="Completed",MAX(0,N(S781)-T781),""))</f>
        <v/>
      </c>
      <c r="V781" s="49">
        <f>IF(B781="","",IF(O781&lt;&gt;"Completed",IF(T781&gt;0,"Deposit","—"),IF(U781&lt;=0.005,"Paid",IF(T781&gt;0,"Partial","Unpaid"))))</f>
        <v/>
      </c>
      <c r="W781" s="55">
        <f>IF(B781="","",IFERROR(1/(1/INDEX('STAFF &amp; TASKS'!$C$5:$C$24,MATCH(H781,'STAFF &amp; TASKS'!$A$5:$A$24,0))),PayRate))</f>
        <v/>
      </c>
      <c r="X781" s="55">
        <f>IF(B781="","",IF(OR(O781="Cancelled",O781="No-Show"),"",ROUND(R781*W781*(1+Burden),2)))</f>
        <v/>
      </c>
      <c r="Y781" s="55">
        <f>IF(B781="","",IF(OR(O781="Cancelled",O781="No-Show"),"",IF(N781&lt;&gt;"",N781,ROUND(R781*SupHr*IFERROR(INDEX('PRICING'!$G$7:$G$16,MATCH(F781,'PRICING'!$A$7:$A$16,0)),1),2))))</f>
        <v/>
      </c>
      <c r="Z781" s="98">
        <f>IF(B781="","",SUMIFS('MILEAGE'!$J$5:$J$1504,'MILEAGE'!$B$5:$B$1504,A781))</f>
        <v/>
      </c>
      <c r="AA781" s="55">
        <f>IF(B781="","",ROUND(Z781*MileRate,2))</f>
        <v/>
      </c>
      <c r="AB781" s="55">
        <f>IF(B781="","",SUMIFS('REVENUE'!$J$5:$J$1504,'REVENUE'!$B$5:$B$1504,A781))</f>
        <v/>
      </c>
      <c r="AC781" s="55">
        <f>IF(L781="","",IF(OR(O781="Cancelled",O781="No-Show"),"",L781-N(X781)-N(Y781)-AA781-AB781))</f>
        <v/>
      </c>
      <c r="AD781" s="99">
        <f>IF(OR(AC781="",N(L781)=0),"",AC781/L781)</f>
        <v/>
      </c>
      <c r="AE781" s="55">
        <f>IF(OR(AC781="",N(R781)=0),"",L781/R781)</f>
        <v/>
      </c>
      <c r="AF781" s="100">
        <f>IF(OR(N(K781)=0,N(J781)+N(Q781)=0),"",K781-IF(N(J781)&gt;0,J781,Q781))</f>
        <v/>
      </c>
      <c r="AG781" s="99">
        <f>IF(B781="","",IFERROR(AVERAGEIFS('QUALITY CONTROL'!$M$5:$M$304,'QUALITY CONTROL'!$B$5:$B$304,A781),""))</f>
        <v/>
      </c>
      <c r="AH781" s="51">
        <f>IF(B781="","",DATE(YEAR(B781),MONTH(B781),1))</f>
        <v/>
      </c>
      <c r="AI781" s="49">
        <f>IF(D781="","",IFERROR(INDEX('CUSTOMERS'!$E$5:$E$404,MATCH(D781,'CUSTOMERS'!$B$5:$B$404,0)),""))</f>
        <v/>
      </c>
      <c r="AJ781" s="49">
        <f>IF(B781="","",N(C781))</f>
        <v/>
      </c>
      <c r="AK781" s="49">
        <f>IF(OR(B781="",O781="Cancelled",O781="Rescheduled"),"",B781&amp;"|"&amp;(COUNTIFS('JOBS'!$B$5:$B$1504,B781,'JOBS'!$AJ$5:$AJ$1504,"&lt;"&amp;AJ781,'JOBS'!$O$5:$O$1504,"&lt;&gt;Cancelled",'JOBS'!$O$5:$O$1504,"&lt;&gt;Rescheduled")+COUNTIFS($B$5:B781,B781,$AJ$5:AJ781,AJ781,$O$5:O781,"&lt;&gt;Cancelled",$O$5:O781,"&lt;&gt;Rescheduled")))</f>
        <v/>
      </c>
      <c r="AL781" s="49">
        <f>IF(N(U781)&lt;=0.005,"",COUNTIFS('JOBS'!$U$5:$U$1504,"&gt;0.005",'JOBS'!$B$5:$B$1504,"&lt;"&amp;B781)+COUNTIFS($U$5:U781,"&gt;0.005",$B$5:B781,B781))</f>
        <v/>
      </c>
    </row>
    <row r="782">
      <c r="A782" s="46" t="inlineStr">
        <is>
          <t>J-0778</t>
        </is>
      </c>
      <c r="B782" s="47" t="n"/>
      <c r="C782" s="94" t="n"/>
      <c r="D782" s="38" t="n"/>
      <c r="E782" s="38" t="n"/>
      <c r="F782" s="38" t="n"/>
      <c r="G782" s="38" t="n"/>
      <c r="H782" s="38" t="n"/>
      <c r="I782" s="57" t="n"/>
      <c r="J782" s="95" t="n"/>
      <c r="K782" s="95" t="n"/>
      <c r="L782" s="48" t="n"/>
      <c r="M782" s="96" t="n"/>
      <c r="N782" s="48" t="n"/>
      <c r="O782" s="38" t="n"/>
      <c r="P782" s="38" t="n"/>
      <c r="Q782" s="97">
        <f>IF(OR(F782="",E782=""),"",IFERROR(IF(INDEX('PROPERTIES'!$F$5:$F$404,MATCH(E782,'PROPERTIES'!$B$5:$B$404,0))=0,"",ROUND((INDEX('PROPERTIES'!$F$5:$F$404,MATCH(E782,'PROPERTIES'!$B$5:$B$404,0))/INDEX('PRICING'!$C$7:$C$16,MATCH(F782,'PRICING'!$A$7:$A$16,0))+INDEX('PROPERTIES'!$G$5:$G$404,MATCH(E782,'PROPERTIES'!$B$5:$B$404,0))*INDEX('PRICING'!$D$7:$D$16,MATCH(F782,'PRICING'!$A$7:$A$16,0))/60+INDEX('PROPERTIES'!$H$5:$H$404,MATCH(E782,'PROPERTIES'!$B$5:$B$404,0))*INDEX('PRICING'!$E$7:$E$16,MATCH(F782,'PRICING'!$A$7:$A$16,0))/60+INDEX('PRICING'!$F$7:$F$16,MATCH(F782,'PRICING'!$A$7:$A$16,0))/60),2)),""))</f>
        <v/>
      </c>
      <c r="R782" s="97">
        <f>IF(B782="","",IF(N(K782)&gt;0,K782,IF(N(J782)&gt;0,J782,N(Q782))))</f>
        <v/>
      </c>
      <c r="S782" s="55">
        <f>IF(L782="","",ROUND(L782*(1+N(M782)),2))</f>
        <v/>
      </c>
      <c r="T782" s="55">
        <f>IF(B782="","",SUMIFS('REVENUE'!$C$5:$C$1504,'REVENUE'!$B$5:$B$1504,A782))</f>
        <v/>
      </c>
      <c r="U782" s="55">
        <f>IF(B782="","",IF(O782="Completed",MAX(0,N(S782)-T782),""))</f>
        <v/>
      </c>
      <c r="V782" s="49">
        <f>IF(B782="","",IF(O782&lt;&gt;"Completed",IF(T782&gt;0,"Deposit","—"),IF(U782&lt;=0.005,"Paid",IF(T782&gt;0,"Partial","Unpaid"))))</f>
        <v/>
      </c>
      <c r="W782" s="55">
        <f>IF(B782="","",IFERROR(1/(1/INDEX('STAFF &amp; TASKS'!$C$5:$C$24,MATCH(H782,'STAFF &amp; TASKS'!$A$5:$A$24,0))),PayRate))</f>
        <v/>
      </c>
      <c r="X782" s="55">
        <f>IF(B782="","",IF(OR(O782="Cancelled",O782="No-Show"),"",ROUND(R782*W782*(1+Burden),2)))</f>
        <v/>
      </c>
      <c r="Y782" s="55">
        <f>IF(B782="","",IF(OR(O782="Cancelled",O782="No-Show"),"",IF(N782&lt;&gt;"",N782,ROUND(R782*SupHr*IFERROR(INDEX('PRICING'!$G$7:$G$16,MATCH(F782,'PRICING'!$A$7:$A$16,0)),1),2))))</f>
        <v/>
      </c>
      <c r="Z782" s="98">
        <f>IF(B782="","",SUMIFS('MILEAGE'!$J$5:$J$1504,'MILEAGE'!$B$5:$B$1504,A782))</f>
        <v/>
      </c>
      <c r="AA782" s="55">
        <f>IF(B782="","",ROUND(Z782*MileRate,2))</f>
        <v/>
      </c>
      <c r="AB782" s="55">
        <f>IF(B782="","",SUMIFS('REVENUE'!$J$5:$J$1504,'REVENUE'!$B$5:$B$1504,A782))</f>
        <v/>
      </c>
      <c r="AC782" s="55">
        <f>IF(L782="","",IF(OR(O782="Cancelled",O782="No-Show"),"",L782-N(X782)-N(Y782)-AA782-AB782))</f>
        <v/>
      </c>
      <c r="AD782" s="99">
        <f>IF(OR(AC782="",N(L782)=0),"",AC782/L782)</f>
        <v/>
      </c>
      <c r="AE782" s="55">
        <f>IF(OR(AC782="",N(R782)=0),"",L782/R782)</f>
        <v/>
      </c>
      <c r="AF782" s="100">
        <f>IF(OR(N(K782)=0,N(J782)+N(Q782)=0),"",K782-IF(N(J782)&gt;0,J782,Q782))</f>
        <v/>
      </c>
      <c r="AG782" s="99">
        <f>IF(B782="","",IFERROR(AVERAGEIFS('QUALITY CONTROL'!$M$5:$M$304,'QUALITY CONTROL'!$B$5:$B$304,A782),""))</f>
        <v/>
      </c>
      <c r="AH782" s="51">
        <f>IF(B782="","",DATE(YEAR(B782),MONTH(B782),1))</f>
        <v/>
      </c>
      <c r="AI782" s="49">
        <f>IF(D782="","",IFERROR(INDEX('CUSTOMERS'!$E$5:$E$404,MATCH(D782,'CUSTOMERS'!$B$5:$B$404,0)),""))</f>
        <v/>
      </c>
      <c r="AJ782" s="49">
        <f>IF(B782="","",N(C782))</f>
        <v/>
      </c>
      <c r="AK782" s="49">
        <f>IF(OR(B782="",O782="Cancelled",O782="Rescheduled"),"",B782&amp;"|"&amp;(COUNTIFS('JOBS'!$B$5:$B$1504,B782,'JOBS'!$AJ$5:$AJ$1504,"&lt;"&amp;AJ782,'JOBS'!$O$5:$O$1504,"&lt;&gt;Cancelled",'JOBS'!$O$5:$O$1504,"&lt;&gt;Rescheduled")+COUNTIFS($B$5:B782,B782,$AJ$5:AJ782,AJ782,$O$5:O782,"&lt;&gt;Cancelled",$O$5:O782,"&lt;&gt;Rescheduled")))</f>
        <v/>
      </c>
      <c r="AL782" s="49">
        <f>IF(N(U782)&lt;=0.005,"",COUNTIFS('JOBS'!$U$5:$U$1504,"&gt;0.005",'JOBS'!$B$5:$B$1504,"&lt;"&amp;B782)+COUNTIFS($U$5:U782,"&gt;0.005",$B$5:B782,B782))</f>
        <v/>
      </c>
    </row>
    <row r="783">
      <c r="A783" s="46" t="inlineStr">
        <is>
          <t>J-0779</t>
        </is>
      </c>
      <c r="B783" s="47" t="n"/>
      <c r="C783" s="94" t="n"/>
      <c r="D783" s="38" t="n"/>
      <c r="E783" s="38" t="n"/>
      <c r="F783" s="38" t="n"/>
      <c r="G783" s="38" t="n"/>
      <c r="H783" s="38" t="n"/>
      <c r="I783" s="57" t="n"/>
      <c r="J783" s="95" t="n"/>
      <c r="K783" s="95" t="n"/>
      <c r="L783" s="48" t="n"/>
      <c r="M783" s="96" t="n"/>
      <c r="N783" s="48" t="n"/>
      <c r="O783" s="38" t="n"/>
      <c r="P783" s="38" t="n"/>
      <c r="Q783" s="97">
        <f>IF(OR(F783="",E783=""),"",IFERROR(IF(INDEX('PROPERTIES'!$F$5:$F$404,MATCH(E783,'PROPERTIES'!$B$5:$B$404,0))=0,"",ROUND((INDEX('PROPERTIES'!$F$5:$F$404,MATCH(E783,'PROPERTIES'!$B$5:$B$404,0))/INDEX('PRICING'!$C$7:$C$16,MATCH(F783,'PRICING'!$A$7:$A$16,0))+INDEX('PROPERTIES'!$G$5:$G$404,MATCH(E783,'PROPERTIES'!$B$5:$B$404,0))*INDEX('PRICING'!$D$7:$D$16,MATCH(F783,'PRICING'!$A$7:$A$16,0))/60+INDEX('PROPERTIES'!$H$5:$H$404,MATCH(E783,'PROPERTIES'!$B$5:$B$404,0))*INDEX('PRICING'!$E$7:$E$16,MATCH(F783,'PRICING'!$A$7:$A$16,0))/60+INDEX('PRICING'!$F$7:$F$16,MATCH(F783,'PRICING'!$A$7:$A$16,0))/60),2)),""))</f>
        <v/>
      </c>
      <c r="R783" s="97">
        <f>IF(B783="","",IF(N(K783)&gt;0,K783,IF(N(J783)&gt;0,J783,N(Q783))))</f>
        <v/>
      </c>
      <c r="S783" s="55">
        <f>IF(L783="","",ROUND(L783*(1+N(M783)),2))</f>
        <v/>
      </c>
      <c r="T783" s="55">
        <f>IF(B783="","",SUMIFS('REVENUE'!$C$5:$C$1504,'REVENUE'!$B$5:$B$1504,A783))</f>
        <v/>
      </c>
      <c r="U783" s="55">
        <f>IF(B783="","",IF(O783="Completed",MAX(0,N(S783)-T783),""))</f>
        <v/>
      </c>
      <c r="V783" s="49">
        <f>IF(B783="","",IF(O783&lt;&gt;"Completed",IF(T783&gt;0,"Deposit","—"),IF(U783&lt;=0.005,"Paid",IF(T783&gt;0,"Partial","Unpaid"))))</f>
        <v/>
      </c>
      <c r="W783" s="55">
        <f>IF(B783="","",IFERROR(1/(1/INDEX('STAFF &amp; TASKS'!$C$5:$C$24,MATCH(H783,'STAFF &amp; TASKS'!$A$5:$A$24,0))),PayRate))</f>
        <v/>
      </c>
      <c r="X783" s="55">
        <f>IF(B783="","",IF(OR(O783="Cancelled",O783="No-Show"),"",ROUND(R783*W783*(1+Burden),2)))</f>
        <v/>
      </c>
      <c r="Y783" s="55">
        <f>IF(B783="","",IF(OR(O783="Cancelled",O783="No-Show"),"",IF(N783&lt;&gt;"",N783,ROUND(R783*SupHr*IFERROR(INDEX('PRICING'!$G$7:$G$16,MATCH(F783,'PRICING'!$A$7:$A$16,0)),1),2))))</f>
        <v/>
      </c>
      <c r="Z783" s="98">
        <f>IF(B783="","",SUMIFS('MILEAGE'!$J$5:$J$1504,'MILEAGE'!$B$5:$B$1504,A783))</f>
        <v/>
      </c>
      <c r="AA783" s="55">
        <f>IF(B783="","",ROUND(Z783*MileRate,2))</f>
        <v/>
      </c>
      <c r="AB783" s="55">
        <f>IF(B783="","",SUMIFS('REVENUE'!$J$5:$J$1504,'REVENUE'!$B$5:$B$1504,A783))</f>
        <v/>
      </c>
      <c r="AC783" s="55">
        <f>IF(L783="","",IF(OR(O783="Cancelled",O783="No-Show"),"",L783-N(X783)-N(Y783)-AA783-AB783))</f>
        <v/>
      </c>
      <c r="AD783" s="99">
        <f>IF(OR(AC783="",N(L783)=0),"",AC783/L783)</f>
        <v/>
      </c>
      <c r="AE783" s="55">
        <f>IF(OR(AC783="",N(R783)=0),"",L783/R783)</f>
        <v/>
      </c>
      <c r="AF783" s="100">
        <f>IF(OR(N(K783)=0,N(J783)+N(Q783)=0),"",K783-IF(N(J783)&gt;0,J783,Q783))</f>
        <v/>
      </c>
      <c r="AG783" s="99">
        <f>IF(B783="","",IFERROR(AVERAGEIFS('QUALITY CONTROL'!$M$5:$M$304,'QUALITY CONTROL'!$B$5:$B$304,A783),""))</f>
        <v/>
      </c>
      <c r="AH783" s="51">
        <f>IF(B783="","",DATE(YEAR(B783),MONTH(B783),1))</f>
        <v/>
      </c>
      <c r="AI783" s="49">
        <f>IF(D783="","",IFERROR(INDEX('CUSTOMERS'!$E$5:$E$404,MATCH(D783,'CUSTOMERS'!$B$5:$B$404,0)),""))</f>
        <v/>
      </c>
      <c r="AJ783" s="49">
        <f>IF(B783="","",N(C783))</f>
        <v/>
      </c>
      <c r="AK783" s="49">
        <f>IF(OR(B783="",O783="Cancelled",O783="Rescheduled"),"",B783&amp;"|"&amp;(COUNTIFS('JOBS'!$B$5:$B$1504,B783,'JOBS'!$AJ$5:$AJ$1504,"&lt;"&amp;AJ783,'JOBS'!$O$5:$O$1504,"&lt;&gt;Cancelled",'JOBS'!$O$5:$O$1504,"&lt;&gt;Rescheduled")+COUNTIFS($B$5:B783,B783,$AJ$5:AJ783,AJ783,$O$5:O783,"&lt;&gt;Cancelled",$O$5:O783,"&lt;&gt;Rescheduled")))</f>
        <v/>
      </c>
      <c r="AL783" s="49">
        <f>IF(N(U783)&lt;=0.005,"",COUNTIFS('JOBS'!$U$5:$U$1504,"&gt;0.005",'JOBS'!$B$5:$B$1504,"&lt;"&amp;B783)+COUNTIFS($U$5:U783,"&gt;0.005",$B$5:B783,B783))</f>
        <v/>
      </c>
    </row>
    <row r="784">
      <c r="A784" s="46" t="inlineStr">
        <is>
          <t>J-0780</t>
        </is>
      </c>
      <c r="B784" s="47" t="n"/>
      <c r="C784" s="94" t="n"/>
      <c r="D784" s="38" t="n"/>
      <c r="E784" s="38" t="n"/>
      <c r="F784" s="38" t="n"/>
      <c r="G784" s="38" t="n"/>
      <c r="H784" s="38" t="n"/>
      <c r="I784" s="57" t="n"/>
      <c r="J784" s="95" t="n"/>
      <c r="K784" s="95" t="n"/>
      <c r="L784" s="48" t="n"/>
      <c r="M784" s="96" t="n"/>
      <c r="N784" s="48" t="n"/>
      <c r="O784" s="38" t="n"/>
      <c r="P784" s="38" t="n"/>
      <c r="Q784" s="97">
        <f>IF(OR(F784="",E784=""),"",IFERROR(IF(INDEX('PROPERTIES'!$F$5:$F$404,MATCH(E784,'PROPERTIES'!$B$5:$B$404,0))=0,"",ROUND((INDEX('PROPERTIES'!$F$5:$F$404,MATCH(E784,'PROPERTIES'!$B$5:$B$404,0))/INDEX('PRICING'!$C$7:$C$16,MATCH(F784,'PRICING'!$A$7:$A$16,0))+INDEX('PROPERTIES'!$G$5:$G$404,MATCH(E784,'PROPERTIES'!$B$5:$B$404,0))*INDEX('PRICING'!$D$7:$D$16,MATCH(F784,'PRICING'!$A$7:$A$16,0))/60+INDEX('PROPERTIES'!$H$5:$H$404,MATCH(E784,'PROPERTIES'!$B$5:$B$404,0))*INDEX('PRICING'!$E$7:$E$16,MATCH(F784,'PRICING'!$A$7:$A$16,0))/60+INDEX('PRICING'!$F$7:$F$16,MATCH(F784,'PRICING'!$A$7:$A$16,0))/60),2)),""))</f>
        <v/>
      </c>
      <c r="R784" s="97">
        <f>IF(B784="","",IF(N(K784)&gt;0,K784,IF(N(J784)&gt;0,J784,N(Q784))))</f>
        <v/>
      </c>
      <c r="S784" s="55">
        <f>IF(L784="","",ROUND(L784*(1+N(M784)),2))</f>
        <v/>
      </c>
      <c r="T784" s="55">
        <f>IF(B784="","",SUMIFS('REVENUE'!$C$5:$C$1504,'REVENUE'!$B$5:$B$1504,A784))</f>
        <v/>
      </c>
      <c r="U784" s="55">
        <f>IF(B784="","",IF(O784="Completed",MAX(0,N(S784)-T784),""))</f>
        <v/>
      </c>
      <c r="V784" s="49">
        <f>IF(B784="","",IF(O784&lt;&gt;"Completed",IF(T784&gt;0,"Deposit","—"),IF(U784&lt;=0.005,"Paid",IF(T784&gt;0,"Partial","Unpaid"))))</f>
        <v/>
      </c>
      <c r="W784" s="55">
        <f>IF(B784="","",IFERROR(1/(1/INDEX('STAFF &amp; TASKS'!$C$5:$C$24,MATCH(H784,'STAFF &amp; TASKS'!$A$5:$A$24,0))),PayRate))</f>
        <v/>
      </c>
      <c r="X784" s="55">
        <f>IF(B784="","",IF(OR(O784="Cancelled",O784="No-Show"),"",ROUND(R784*W784*(1+Burden),2)))</f>
        <v/>
      </c>
      <c r="Y784" s="55">
        <f>IF(B784="","",IF(OR(O784="Cancelled",O784="No-Show"),"",IF(N784&lt;&gt;"",N784,ROUND(R784*SupHr*IFERROR(INDEX('PRICING'!$G$7:$G$16,MATCH(F784,'PRICING'!$A$7:$A$16,0)),1),2))))</f>
        <v/>
      </c>
      <c r="Z784" s="98">
        <f>IF(B784="","",SUMIFS('MILEAGE'!$J$5:$J$1504,'MILEAGE'!$B$5:$B$1504,A784))</f>
        <v/>
      </c>
      <c r="AA784" s="55">
        <f>IF(B784="","",ROUND(Z784*MileRate,2))</f>
        <v/>
      </c>
      <c r="AB784" s="55">
        <f>IF(B784="","",SUMIFS('REVENUE'!$J$5:$J$1504,'REVENUE'!$B$5:$B$1504,A784))</f>
        <v/>
      </c>
      <c r="AC784" s="55">
        <f>IF(L784="","",IF(OR(O784="Cancelled",O784="No-Show"),"",L784-N(X784)-N(Y784)-AA784-AB784))</f>
        <v/>
      </c>
      <c r="AD784" s="99">
        <f>IF(OR(AC784="",N(L784)=0),"",AC784/L784)</f>
        <v/>
      </c>
      <c r="AE784" s="55">
        <f>IF(OR(AC784="",N(R784)=0),"",L784/R784)</f>
        <v/>
      </c>
      <c r="AF784" s="100">
        <f>IF(OR(N(K784)=0,N(J784)+N(Q784)=0),"",K784-IF(N(J784)&gt;0,J784,Q784))</f>
        <v/>
      </c>
      <c r="AG784" s="99">
        <f>IF(B784="","",IFERROR(AVERAGEIFS('QUALITY CONTROL'!$M$5:$M$304,'QUALITY CONTROL'!$B$5:$B$304,A784),""))</f>
        <v/>
      </c>
      <c r="AH784" s="51">
        <f>IF(B784="","",DATE(YEAR(B784),MONTH(B784),1))</f>
        <v/>
      </c>
      <c r="AI784" s="49">
        <f>IF(D784="","",IFERROR(INDEX('CUSTOMERS'!$E$5:$E$404,MATCH(D784,'CUSTOMERS'!$B$5:$B$404,0)),""))</f>
        <v/>
      </c>
      <c r="AJ784" s="49">
        <f>IF(B784="","",N(C784))</f>
        <v/>
      </c>
      <c r="AK784" s="49">
        <f>IF(OR(B784="",O784="Cancelled",O784="Rescheduled"),"",B784&amp;"|"&amp;(COUNTIFS('JOBS'!$B$5:$B$1504,B784,'JOBS'!$AJ$5:$AJ$1504,"&lt;"&amp;AJ784,'JOBS'!$O$5:$O$1504,"&lt;&gt;Cancelled",'JOBS'!$O$5:$O$1504,"&lt;&gt;Rescheduled")+COUNTIFS($B$5:B784,B784,$AJ$5:AJ784,AJ784,$O$5:O784,"&lt;&gt;Cancelled",$O$5:O784,"&lt;&gt;Rescheduled")))</f>
        <v/>
      </c>
      <c r="AL784" s="49">
        <f>IF(N(U784)&lt;=0.005,"",COUNTIFS('JOBS'!$U$5:$U$1504,"&gt;0.005",'JOBS'!$B$5:$B$1504,"&lt;"&amp;B784)+COUNTIFS($U$5:U784,"&gt;0.005",$B$5:B784,B784))</f>
        <v/>
      </c>
    </row>
    <row r="785">
      <c r="A785" s="46" t="inlineStr">
        <is>
          <t>J-0781</t>
        </is>
      </c>
      <c r="B785" s="47" t="n"/>
      <c r="C785" s="94" t="n"/>
      <c r="D785" s="38" t="n"/>
      <c r="E785" s="38" t="n"/>
      <c r="F785" s="38" t="n"/>
      <c r="G785" s="38" t="n"/>
      <c r="H785" s="38" t="n"/>
      <c r="I785" s="57" t="n"/>
      <c r="J785" s="95" t="n"/>
      <c r="K785" s="95" t="n"/>
      <c r="L785" s="48" t="n"/>
      <c r="M785" s="96" t="n"/>
      <c r="N785" s="48" t="n"/>
      <c r="O785" s="38" t="n"/>
      <c r="P785" s="38" t="n"/>
      <c r="Q785" s="97">
        <f>IF(OR(F785="",E785=""),"",IFERROR(IF(INDEX('PROPERTIES'!$F$5:$F$404,MATCH(E785,'PROPERTIES'!$B$5:$B$404,0))=0,"",ROUND((INDEX('PROPERTIES'!$F$5:$F$404,MATCH(E785,'PROPERTIES'!$B$5:$B$404,0))/INDEX('PRICING'!$C$7:$C$16,MATCH(F785,'PRICING'!$A$7:$A$16,0))+INDEX('PROPERTIES'!$G$5:$G$404,MATCH(E785,'PROPERTIES'!$B$5:$B$404,0))*INDEX('PRICING'!$D$7:$D$16,MATCH(F785,'PRICING'!$A$7:$A$16,0))/60+INDEX('PROPERTIES'!$H$5:$H$404,MATCH(E785,'PROPERTIES'!$B$5:$B$404,0))*INDEX('PRICING'!$E$7:$E$16,MATCH(F785,'PRICING'!$A$7:$A$16,0))/60+INDEX('PRICING'!$F$7:$F$16,MATCH(F785,'PRICING'!$A$7:$A$16,0))/60),2)),""))</f>
        <v/>
      </c>
      <c r="R785" s="97">
        <f>IF(B785="","",IF(N(K785)&gt;0,K785,IF(N(J785)&gt;0,J785,N(Q785))))</f>
        <v/>
      </c>
      <c r="S785" s="55">
        <f>IF(L785="","",ROUND(L785*(1+N(M785)),2))</f>
        <v/>
      </c>
      <c r="T785" s="55">
        <f>IF(B785="","",SUMIFS('REVENUE'!$C$5:$C$1504,'REVENUE'!$B$5:$B$1504,A785))</f>
        <v/>
      </c>
      <c r="U785" s="55">
        <f>IF(B785="","",IF(O785="Completed",MAX(0,N(S785)-T785),""))</f>
        <v/>
      </c>
      <c r="V785" s="49">
        <f>IF(B785="","",IF(O785&lt;&gt;"Completed",IF(T785&gt;0,"Deposit","—"),IF(U785&lt;=0.005,"Paid",IF(T785&gt;0,"Partial","Unpaid"))))</f>
        <v/>
      </c>
      <c r="W785" s="55">
        <f>IF(B785="","",IFERROR(1/(1/INDEX('STAFF &amp; TASKS'!$C$5:$C$24,MATCH(H785,'STAFF &amp; TASKS'!$A$5:$A$24,0))),PayRate))</f>
        <v/>
      </c>
      <c r="X785" s="55">
        <f>IF(B785="","",IF(OR(O785="Cancelled",O785="No-Show"),"",ROUND(R785*W785*(1+Burden),2)))</f>
        <v/>
      </c>
      <c r="Y785" s="55">
        <f>IF(B785="","",IF(OR(O785="Cancelled",O785="No-Show"),"",IF(N785&lt;&gt;"",N785,ROUND(R785*SupHr*IFERROR(INDEX('PRICING'!$G$7:$G$16,MATCH(F785,'PRICING'!$A$7:$A$16,0)),1),2))))</f>
        <v/>
      </c>
      <c r="Z785" s="98">
        <f>IF(B785="","",SUMIFS('MILEAGE'!$J$5:$J$1504,'MILEAGE'!$B$5:$B$1504,A785))</f>
        <v/>
      </c>
      <c r="AA785" s="55">
        <f>IF(B785="","",ROUND(Z785*MileRate,2))</f>
        <v/>
      </c>
      <c r="AB785" s="55">
        <f>IF(B785="","",SUMIFS('REVENUE'!$J$5:$J$1504,'REVENUE'!$B$5:$B$1504,A785))</f>
        <v/>
      </c>
      <c r="AC785" s="55">
        <f>IF(L785="","",IF(OR(O785="Cancelled",O785="No-Show"),"",L785-N(X785)-N(Y785)-AA785-AB785))</f>
        <v/>
      </c>
      <c r="AD785" s="99">
        <f>IF(OR(AC785="",N(L785)=0),"",AC785/L785)</f>
        <v/>
      </c>
      <c r="AE785" s="55">
        <f>IF(OR(AC785="",N(R785)=0),"",L785/R785)</f>
        <v/>
      </c>
      <c r="AF785" s="100">
        <f>IF(OR(N(K785)=0,N(J785)+N(Q785)=0),"",K785-IF(N(J785)&gt;0,J785,Q785))</f>
        <v/>
      </c>
      <c r="AG785" s="99">
        <f>IF(B785="","",IFERROR(AVERAGEIFS('QUALITY CONTROL'!$M$5:$M$304,'QUALITY CONTROL'!$B$5:$B$304,A785),""))</f>
        <v/>
      </c>
      <c r="AH785" s="51">
        <f>IF(B785="","",DATE(YEAR(B785),MONTH(B785),1))</f>
        <v/>
      </c>
      <c r="AI785" s="49">
        <f>IF(D785="","",IFERROR(INDEX('CUSTOMERS'!$E$5:$E$404,MATCH(D785,'CUSTOMERS'!$B$5:$B$404,0)),""))</f>
        <v/>
      </c>
      <c r="AJ785" s="49">
        <f>IF(B785="","",N(C785))</f>
        <v/>
      </c>
      <c r="AK785" s="49">
        <f>IF(OR(B785="",O785="Cancelled",O785="Rescheduled"),"",B785&amp;"|"&amp;(COUNTIFS('JOBS'!$B$5:$B$1504,B785,'JOBS'!$AJ$5:$AJ$1504,"&lt;"&amp;AJ785,'JOBS'!$O$5:$O$1504,"&lt;&gt;Cancelled",'JOBS'!$O$5:$O$1504,"&lt;&gt;Rescheduled")+COUNTIFS($B$5:B785,B785,$AJ$5:AJ785,AJ785,$O$5:O785,"&lt;&gt;Cancelled",$O$5:O785,"&lt;&gt;Rescheduled")))</f>
        <v/>
      </c>
      <c r="AL785" s="49">
        <f>IF(N(U785)&lt;=0.005,"",COUNTIFS('JOBS'!$U$5:$U$1504,"&gt;0.005",'JOBS'!$B$5:$B$1504,"&lt;"&amp;B785)+COUNTIFS($U$5:U785,"&gt;0.005",$B$5:B785,B785))</f>
        <v/>
      </c>
    </row>
    <row r="786">
      <c r="A786" s="46" t="inlineStr">
        <is>
          <t>J-0782</t>
        </is>
      </c>
      <c r="B786" s="47" t="n"/>
      <c r="C786" s="94" t="n"/>
      <c r="D786" s="38" t="n"/>
      <c r="E786" s="38" t="n"/>
      <c r="F786" s="38" t="n"/>
      <c r="G786" s="38" t="n"/>
      <c r="H786" s="38" t="n"/>
      <c r="I786" s="57" t="n"/>
      <c r="J786" s="95" t="n"/>
      <c r="K786" s="95" t="n"/>
      <c r="L786" s="48" t="n"/>
      <c r="M786" s="96" t="n"/>
      <c r="N786" s="48" t="n"/>
      <c r="O786" s="38" t="n"/>
      <c r="P786" s="38" t="n"/>
      <c r="Q786" s="97">
        <f>IF(OR(F786="",E786=""),"",IFERROR(IF(INDEX('PROPERTIES'!$F$5:$F$404,MATCH(E786,'PROPERTIES'!$B$5:$B$404,0))=0,"",ROUND((INDEX('PROPERTIES'!$F$5:$F$404,MATCH(E786,'PROPERTIES'!$B$5:$B$404,0))/INDEX('PRICING'!$C$7:$C$16,MATCH(F786,'PRICING'!$A$7:$A$16,0))+INDEX('PROPERTIES'!$G$5:$G$404,MATCH(E786,'PROPERTIES'!$B$5:$B$404,0))*INDEX('PRICING'!$D$7:$D$16,MATCH(F786,'PRICING'!$A$7:$A$16,0))/60+INDEX('PROPERTIES'!$H$5:$H$404,MATCH(E786,'PROPERTIES'!$B$5:$B$404,0))*INDEX('PRICING'!$E$7:$E$16,MATCH(F786,'PRICING'!$A$7:$A$16,0))/60+INDEX('PRICING'!$F$7:$F$16,MATCH(F786,'PRICING'!$A$7:$A$16,0))/60),2)),""))</f>
        <v/>
      </c>
      <c r="R786" s="97">
        <f>IF(B786="","",IF(N(K786)&gt;0,K786,IF(N(J786)&gt;0,J786,N(Q786))))</f>
        <v/>
      </c>
      <c r="S786" s="55">
        <f>IF(L786="","",ROUND(L786*(1+N(M786)),2))</f>
        <v/>
      </c>
      <c r="T786" s="55">
        <f>IF(B786="","",SUMIFS('REVENUE'!$C$5:$C$1504,'REVENUE'!$B$5:$B$1504,A786))</f>
        <v/>
      </c>
      <c r="U786" s="55">
        <f>IF(B786="","",IF(O786="Completed",MAX(0,N(S786)-T786),""))</f>
        <v/>
      </c>
      <c r="V786" s="49">
        <f>IF(B786="","",IF(O786&lt;&gt;"Completed",IF(T786&gt;0,"Deposit","—"),IF(U786&lt;=0.005,"Paid",IF(T786&gt;0,"Partial","Unpaid"))))</f>
        <v/>
      </c>
      <c r="W786" s="55">
        <f>IF(B786="","",IFERROR(1/(1/INDEX('STAFF &amp; TASKS'!$C$5:$C$24,MATCH(H786,'STAFF &amp; TASKS'!$A$5:$A$24,0))),PayRate))</f>
        <v/>
      </c>
      <c r="X786" s="55">
        <f>IF(B786="","",IF(OR(O786="Cancelled",O786="No-Show"),"",ROUND(R786*W786*(1+Burden),2)))</f>
        <v/>
      </c>
      <c r="Y786" s="55">
        <f>IF(B786="","",IF(OR(O786="Cancelled",O786="No-Show"),"",IF(N786&lt;&gt;"",N786,ROUND(R786*SupHr*IFERROR(INDEX('PRICING'!$G$7:$G$16,MATCH(F786,'PRICING'!$A$7:$A$16,0)),1),2))))</f>
        <v/>
      </c>
      <c r="Z786" s="98">
        <f>IF(B786="","",SUMIFS('MILEAGE'!$J$5:$J$1504,'MILEAGE'!$B$5:$B$1504,A786))</f>
        <v/>
      </c>
      <c r="AA786" s="55">
        <f>IF(B786="","",ROUND(Z786*MileRate,2))</f>
        <v/>
      </c>
      <c r="AB786" s="55">
        <f>IF(B786="","",SUMIFS('REVENUE'!$J$5:$J$1504,'REVENUE'!$B$5:$B$1504,A786))</f>
        <v/>
      </c>
      <c r="AC786" s="55">
        <f>IF(L786="","",IF(OR(O786="Cancelled",O786="No-Show"),"",L786-N(X786)-N(Y786)-AA786-AB786))</f>
        <v/>
      </c>
      <c r="AD786" s="99">
        <f>IF(OR(AC786="",N(L786)=0),"",AC786/L786)</f>
        <v/>
      </c>
      <c r="AE786" s="55">
        <f>IF(OR(AC786="",N(R786)=0),"",L786/R786)</f>
        <v/>
      </c>
      <c r="AF786" s="100">
        <f>IF(OR(N(K786)=0,N(J786)+N(Q786)=0),"",K786-IF(N(J786)&gt;0,J786,Q786))</f>
        <v/>
      </c>
      <c r="AG786" s="99">
        <f>IF(B786="","",IFERROR(AVERAGEIFS('QUALITY CONTROL'!$M$5:$M$304,'QUALITY CONTROL'!$B$5:$B$304,A786),""))</f>
        <v/>
      </c>
      <c r="AH786" s="51">
        <f>IF(B786="","",DATE(YEAR(B786),MONTH(B786),1))</f>
        <v/>
      </c>
      <c r="AI786" s="49">
        <f>IF(D786="","",IFERROR(INDEX('CUSTOMERS'!$E$5:$E$404,MATCH(D786,'CUSTOMERS'!$B$5:$B$404,0)),""))</f>
        <v/>
      </c>
      <c r="AJ786" s="49">
        <f>IF(B786="","",N(C786))</f>
        <v/>
      </c>
      <c r="AK786" s="49">
        <f>IF(OR(B786="",O786="Cancelled",O786="Rescheduled"),"",B786&amp;"|"&amp;(COUNTIFS('JOBS'!$B$5:$B$1504,B786,'JOBS'!$AJ$5:$AJ$1504,"&lt;"&amp;AJ786,'JOBS'!$O$5:$O$1504,"&lt;&gt;Cancelled",'JOBS'!$O$5:$O$1504,"&lt;&gt;Rescheduled")+COUNTIFS($B$5:B786,B786,$AJ$5:AJ786,AJ786,$O$5:O786,"&lt;&gt;Cancelled",$O$5:O786,"&lt;&gt;Rescheduled")))</f>
        <v/>
      </c>
      <c r="AL786" s="49">
        <f>IF(N(U786)&lt;=0.005,"",COUNTIFS('JOBS'!$U$5:$U$1504,"&gt;0.005",'JOBS'!$B$5:$B$1504,"&lt;"&amp;B786)+COUNTIFS($U$5:U786,"&gt;0.005",$B$5:B786,B786))</f>
        <v/>
      </c>
    </row>
    <row r="787">
      <c r="A787" s="46" t="inlineStr">
        <is>
          <t>J-0783</t>
        </is>
      </c>
      <c r="B787" s="47" t="n"/>
      <c r="C787" s="94" t="n"/>
      <c r="D787" s="38" t="n"/>
      <c r="E787" s="38" t="n"/>
      <c r="F787" s="38" t="n"/>
      <c r="G787" s="38" t="n"/>
      <c r="H787" s="38" t="n"/>
      <c r="I787" s="57" t="n"/>
      <c r="J787" s="95" t="n"/>
      <c r="K787" s="95" t="n"/>
      <c r="L787" s="48" t="n"/>
      <c r="M787" s="96" t="n"/>
      <c r="N787" s="48" t="n"/>
      <c r="O787" s="38" t="n"/>
      <c r="P787" s="38" t="n"/>
      <c r="Q787" s="97">
        <f>IF(OR(F787="",E787=""),"",IFERROR(IF(INDEX('PROPERTIES'!$F$5:$F$404,MATCH(E787,'PROPERTIES'!$B$5:$B$404,0))=0,"",ROUND((INDEX('PROPERTIES'!$F$5:$F$404,MATCH(E787,'PROPERTIES'!$B$5:$B$404,0))/INDEX('PRICING'!$C$7:$C$16,MATCH(F787,'PRICING'!$A$7:$A$16,0))+INDEX('PROPERTIES'!$G$5:$G$404,MATCH(E787,'PROPERTIES'!$B$5:$B$404,0))*INDEX('PRICING'!$D$7:$D$16,MATCH(F787,'PRICING'!$A$7:$A$16,0))/60+INDEX('PROPERTIES'!$H$5:$H$404,MATCH(E787,'PROPERTIES'!$B$5:$B$404,0))*INDEX('PRICING'!$E$7:$E$16,MATCH(F787,'PRICING'!$A$7:$A$16,0))/60+INDEX('PRICING'!$F$7:$F$16,MATCH(F787,'PRICING'!$A$7:$A$16,0))/60),2)),""))</f>
        <v/>
      </c>
      <c r="R787" s="97">
        <f>IF(B787="","",IF(N(K787)&gt;0,K787,IF(N(J787)&gt;0,J787,N(Q787))))</f>
        <v/>
      </c>
      <c r="S787" s="55">
        <f>IF(L787="","",ROUND(L787*(1+N(M787)),2))</f>
        <v/>
      </c>
      <c r="T787" s="55">
        <f>IF(B787="","",SUMIFS('REVENUE'!$C$5:$C$1504,'REVENUE'!$B$5:$B$1504,A787))</f>
        <v/>
      </c>
      <c r="U787" s="55">
        <f>IF(B787="","",IF(O787="Completed",MAX(0,N(S787)-T787),""))</f>
        <v/>
      </c>
      <c r="V787" s="49">
        <f>IF(B787="","",IF(O787&lt;&gt;"Completed",IF(T787&gt;0,"Deposit","—"),IF(U787&lt;=0.005,"Paid",IF(T787&gt;0,"Partial","Unpaid"))))</f>
        <v/>
      </c>
      <c r="W787" s="55">
        <f>IF(B787="","",IFERROR(1/(1/INDEX('STAFF &amp; TASKS'!$C$5:$C$24,MATCH(H787,'STAFF &amp; TASKS'!$A$5:$A$24,0))),PayRate))</f>
        <v/>
      </c>
      <c r="X787" s="55">
        <f>IF(B787="","",IF(OR(O787="Cancelled",O787="No-Show"),"",ROUND(R787*W787*(1+Burden),2)))</f>
        <v/>
      </c>
      <c r="Y787" s="55">
        <f>IF(B787="","",IF(OR(O787="Cancelled",O787="No-Show"),"",IF(N787&lt;&gt;"",N787,ROUND(R787*SupHr*IFERROR(INDEX('PRICING'!$G$7:$G$16,MATCH(F787,'PRICING'!$A$7:$A$16,0)),1),2))))</f>
        <v/>
      </c>
      <c r="Z787" s="98">
        <f>IF(B787="","",SUMIFS('MILEAGE'!$J$5:$J$1504,'MILEAGE'!$B$5:$B$1504,A787))</f>
        <v/>
      </c>
      <c r="AA787" s="55">
        <f>IF(B787="","",ROUND(Z787*MileRate,2))</f>
        <v/>
      </c>
      <c r="AB787" s="55">
        <f>IF(B787="","",SUMIFS('REVENUE'!$J$5:$J$1504,'REVENUE'!$B$5:$B$1504,A787))</f>
        <v/>
      </c>
      <c r="AC787" s="55">
        <f>IF(L787="","",IF(OR(O787="Cancelled",O787="No-Show"),"",L787-N(X787)-N(Y787)-AA787-AB787))</f>
        <v/>
      </c>
      <c r="AD787" s="99">
        <f>IF(OR(AC787="",N(L787)=0),"",AC787/L787)</f>
        <v/>
      </c>
      <c r="AE787" s="55">
        <f>IF(OR(AC787="",N(R787)=0),"",L787/R787)</f>
        <v/>
      </c>
      <c r="AF787" s="100">
        <f>IF(OR(N(K787)=0,N(J787)+N(Q787)=0),"",K787-IF(N(J787)&gt;0,J787,Q787))</f>
        <v/>
      </c>
      <c r="AG787" s="99">
        <f>IF(B787="","",IFERROR(AVERAGEIFS('QUALITY CONTROL'!$M$5:$M$304,'QUALITY CONTROL'!$B$5:$B$304,A787),""))</f>
        <v/>
      </c>
      <c r="AH787" s="51">
        <f>IF(B787="","",DATE(YEAR(B787),MONTH(B787),1))</f>
        <v/>
      </c>
      <c r="AI787" s="49">
        <f>IF(D787="","",IFERROR(INDEX('CUSTOMERS'!$E$5:$E$404,MATCH(D787,'CUSTOMERS'!$B$5:$B$404,0)),""))</f>
        <v/>
      </c>
      <c r="AJ787" s="49">
        <f>IF(B787="","",N(C787))</f>
        <v/>
      </c>
      <c r="AK787" s="49">
        <f>IF(OR(B787="",O787="Cancelled",O787="Rescheduled"),"",B787&amp;"|"&amp;(COUNTIFS('JOBS'!$B$5:$B$1504,B787,'JOBS'!$AJ$5:$AJ$1504,"&lt;"&amp;AJ787,'JOBS'!$O$5:$O$1504,"&lt;&gt;Cancelled",'JOBS'!$O$5:$O$1504,"&lt;&gt;Rescheduled")+COUNTIFS($B$5:B787,B787,$AJ$5:AJ787,AJ787,$O$5:O787,"&lt;&gt;Cancelled",$O$5:O787,"&lt;&gt;Rescheduled")))</f>
        <v/>
      </c>
      <c r="AL787" s="49">
        <f>IF(N(U787)&lt;=0.005,"",COUNTIFS('JOBS'!$U$5:$U$1504,"&gt;0.005",'JOBS'!$B$5:$B$1504,"&lt;"&amp;B787)+COUNTIFS($U$5:U787,"&gt;0.005",$B$5:B787,B787))</f>
        <v/>
      </c>
    </row>
    <row r="788">
      <c r="A788" s="46" t="inlineStr">
        <is>
          <t>J-0784</t>
        </is>
      </c>
      <c r="B788" s="47" t="n"/>
      <c r="C788" s="94" t="n"/>
      <c r="D788" s="38" t="n"/>
      <c r="E788" s="38" t="n"/>
      <c r="F788" s="38" t="n"/>
      <c r="G788" s="38" t="n"/>
      <c r="H788" s="38" t="n"/>
      <c r="I788" s="57" t="n"/>
      <c r="J788" s="95" t="n"/>
      <c r="K788" s="95" t="n"/>
      <c r="L788" s="48" t="n"/>
      <c r="M788" s="96" t="n"/>
      <c r="N788" s="48" t="n"/>
      <c r="O788" s="38" t="n"/>
      <c r="P788" s="38" t="n"/>
      <c r="Q788" s="97">
        <f>IF(OR(F788="",E788=""),"",IFERROR(IF(INDEX('PROPERTIES'!$F$5:$F$404,MATCH(E788,'PROPERTIES'!$B$5:$B$404,0))=0,"",ROUND((INDEX('PROPERTIES'!$F$5:$F$404,MATCH(E788,'PROPERTIES'!$B$5:$B$404,0))/INDEX('PRICING'!$C$7:$C$16,MATCH(F788,'PRICING'!$A$7:$A$16,0))+INDEX('PROPERTIES'!$G$5:$G$404,MATCH(E788,'PROPERTIES'!$B$5:$B$404,0))*INDEX('PRICING'!$D$7:$D$16,MATCH(F788,'PRICING'!$A$7:$A$16,0))/60+INDEX('PROPERTIES'!$H$5:$H$404,MATCH(E788,'PROPERTIES'!$B$5:$B$404,0))*INDEX('PRICING'!$E$7:$E$16,MATCH(F788,'PRICING'!$A$7:$A$16,0))/60+INDEX('PRICING'!$F$7:$F$16,MATCH(F788,'PRICING'!$A$7:$A$16,0))/60),2)),""))</f>
        <v/>
      </c>
      <c r="R788" s="97">
        <f>IF(B788="","",IF(N(K788)&gt;0,K788,IF(N(J788)&gt;0,J788,N(Q788))))</f>
        <v/>
      </c>
      <c r="S788" s="55">
        <f>IF(L788="","",ROUND(L788*(1+N(M788)),2))</f>
        <v/>
      </c>
      <c r="T788" s="55">
        <f>IF(B788="","",SUMIFS('REVENUE'!$C$5:$C$1504,'REVENUE'!$B$5:$B$1504,A788))</f>
        <v/>
      </c>
      <c r="U788" s="55">
        <f>IF(B788="","",IF(O788="Completed",MAX(0,N(S788)-T788),""))</f>
        <v/>
      </c>
      <c r="V788" s="49">
        <f>IF(B788="","",IF(O788&lt;&gt;"Completed",IF(T788&gt;0,"Deposit","—"),IF(U788&lt;=0.005,"Paid",IF(T788&gt;0,"Partial","Unpaid"))))</f>
        <v/>
      </c>
      <c r="W788" s="55">
        <f>IF(B788="","",IFERROR(1/(1/INDEX('STAFF &amp; TASKS'!$C$5:$C$24,MATCH(H788,'STAFF &amp; TASKS'!$A$5:$A$24,0))),PayRate))</f>
        <v/>
      </c>
      <c r="X788" s="55">
        <f>IF(B788="","",IF(OR(O788="Cancelled",O788="No-Show"),"",ROUND(R788*W788*(1+Burden),2)))</f>
        <v/>
      </c>
      <c r="Y788" s="55">
        <f>IF(B788="","",IF(OR(O788="Cancelled",O788="No-Show"),"",IF(N788&lt;&gt;"",N788,ROUND(R788*SupHr*IFERROR(INDEX('PRICING'!$G$7:$G$16,MATCH(F788,'PRICING'!$A$7:$A$16,0)),1),2))))</f>
        <v/>
      </c>
      <c r="Z788" s="98">
        <f>IF(B788="","",SUMIFS('MILEAGE'!$J$5:$J$1504,'MILEAGE'!$B$5:$B$1504,A788))</f>
        <v/>
      </c>
      <c r="AA788" s="55">
        <f>IF(B788="","",ROUND(Z788*MileRate,2))</f>
        <v/>
      </c>
      <c r="AB788" s="55">
        <f>IF(B788="","",SUMIFS('REVENUE'!$J$5:$J$1504,'REVENUE'!$B$5:$B$1504,A788))</f>
        <v/>
      </c>
      <c r="AC788" s="55">
        <f>IF(L788="","",IF(OR(O788="Cancelled",O788="No-Show"),"",L788-N(X788)-N(Y788)-AA788-AB788))</f>
        <v/>
      </c>
      <c r="AD788" s="99">
        <f>IF(OR(AC788="",N(L788)=0),"",AC788/L788)</f>
        <v/>
      </c>
      <c r="AE788" s="55">
        <f>IF(OR(AC788="",N(R788)=0),"",L788/R788)</f>
        <v/>
      </c>
      <c r="AF788" s="100">
        <f>IF(OR(N(K788)=0,N(J788)+N(Q788)=0),"",K788-IF(N(J788)&gt;0,J788,Q788))</f>
        <v/>
      </c>
      <c r="AG788" s="99">
        <f>IF(B788="","",IFERROR(AVERAGEIFS('QUALITY CONTROL'!$M$5:$M$304,'QUALITY CONTROL'!$B$5:$B$304,A788),""))</f>
        <v/>
      </c>
      <c r="AH788" s="51">
        <f>IF(B788="","",DATE(YEAR(B788),MONTH(B788),1))</f>
        <v/>
      </c>
      <c r="AI788" s="49">
        <f>IF(D788="","",IFERROR(INDEX('CUSTOMERS'!$E$5:$E$404,MATCH(D788,'CUSTOMERS'!$B$5:$B$404,0)),""))</f>
        <v/>
      </c>
      <c r="AJ788" s="49">
        <f>IF(B788="","",N(C788))</f>
        <v/>
      </c>
      <c r="AK788" s="49">
        <f>IF(OR(B788="",O788="Cancelled",O788="Rescheduled"),"",B788&amp;"|"&amp;(COUNTIFS('JOBS'!$B$5:$B$1504,B788,'JOBS'!$AJ$5:$AJ$1504,"&lt;"&amp;AJ788,'JOBS'!$O$5:$O$1504,"&lt;&gt;Cancelled",'JOBS'!$O$5:$O$1504,"&lt;&gt;Rescheduled")+COUNTIFS($B$5:B788,B788,$AJ$5:AJ788,AJ788,$O$5:O788,"&lt;&gt;Cancelled",$O$5:O788,"&lt;&gt;Rescheduled")))</f>
        <v/>
      </c>
      <c r="AL788" s="49">
        <f>IF(N(U788)&lt;=0.005,"",COUNTIFS('JOBS'!$U$5:$U$1504,"&gt;0.005",'JOBS'!$B$5:$B$1504,"&lt;"&amp;B788)+COUNTIFS($U$5:U788,"&gt;0.005",$B$5:B788,B788))</f>
        <v/>
      </c>
    </row>
    <row r="789">
      <c r="A789" s="46" t="inlineStr">
        <is>
          <t>J-0785</t>
        </is>
      </c>
      <c r="B789" s="47" t="n"/>
      <c r="C789" s="94" t="n"/>
      <c r="D789" s="38" t="n"/>
      <c r="E789" s="38" t="n"/>
      <c r="F789" s="38" t="n"/>
      <c r="G789" s="38" t="n"/>
      <c r="H789" s="38" t="n"/>
      <c r="I789" s="57" t="n"/>
      <c r="J789" s="95" t="n"/>
      <c r="K789" s="95" t="n"/>
      <c r="L789" s="48" t="n"/>
      <c r="M789" s="96" t="n"/>
      <c r="N789" s="48" t="n"/>
      <c r="O789" s="38" t="n"/>
      <c r="P789" s="38" t="n"/>
      <c r="Q789" s="97">
        <f>IF(OR(F789="",E789=""),"",IFERROR(IF(INDEX('PROPERTIES'!$F$5:$F$404,MATCH(E789,'PROPERTIES'!$B$5:$B$404,0))=0,"",ROUND((INDEX('PROPERTIES'!$F$5:$F$404,MATCH(E789,'PROPERTIES'!$B$5:$B$404,0))/INDEX('PRICING'!$C$7:$C$16,MATCH(F789,'PRICING'!$A$7:$A$16,0))+INDEX('PROPERTIES'!$G$5:$G$404,MATCH(E789,'PROPERTIES'!$B$5:$B$404,0))*INDEX('PRICING'!$D$7:$D$16,MATCH(F789,'PRICING'!$A$7:$A$16,0))/60+INDEX('PROPERTIES'!$H$5:$H$404,MATCH(E789,'PROPERTIES'!$B$5:$B$404,0))*INDEX('PRICING'!$E$7:$E$16,MATCH(F789,'PRICING'!$A$7:$A$16,0))/60+INDEX('PRICING'!$F$7:$F$16,MATCH(F789,'PRICING'!$A$7:$A$16,0))/60),2)),""))</f>
        <v/>
      </c>
      <c r="R789" s="97">
        <f>IF(B789="","",IF(N(K789)&gt;0,K789,IF(N(J789)&gt;0,J789,N(Q789))))</f>
        <v/>
      </c>
      <c r="S789" s="55">
        <f>IF(L789="","",ROUND(L789*(1+N(M789)),2))</f>
        <v/>
      </c>
      <c r="T789" s="55">
        <f>IF(B789="","",SUMIFS('REVENUE'!$C$5:$C$1504,'REVENUE'!$B$5:$B$1504,A789))</f>
        <v/>
      </c>
      <c r="U789" s="55">
        <f>IF(B789="","",IF(O789="Completed",MAX(0,N(S789)-T789),""))</f>
        <v/>
      </c>
      <c r="V789" s="49">
        <f>IF(B789="","",IF(O789&lt;&gt;"Completed",IF(T789&gt;0,"Deposit","—"),IF(U789&lt;=0.005,"Paid",IF(T789&gt;0,"Partial","Unpaid"))))</f>
        <v/>
      </c>
      <c r="W789" s="55">
        <f>IF(B789="","",IFERROR(1/(1/INDEX('STAFF &amp; TASKS'!$C$5:$C$24,MATCH(H789,'STAFF &amp; TASKS'!$A$5:$A$24,0))),PayRate))</f>
        <v/>
      </c>
      <c r="X789" s="55">
        <f>IF(B789="","",IF(OR(O789="Cancelled",O789="No-Show"),"",ROUND(R789*W789*(1+Burden),2)))</f>
        <v/>
      </c>
      <c r="Y789" s="55">
        <f>IF(B789="","",IF(OR(O789="Cancelled",O789="No-Show"),"",IF(N789&lt;&gt;"",N789,ROUND(R789*SupHr*IFERROR(INDEX('PRICING'!$G$7:$G$16,MATCH(F789,'PRICING'!$A$7:$A$16,0)),1),2))))</f>
        <v/>
      </c>
      <c r="Z789" s="98">
        <f>IF(B789="","",SUMIFS('MILEAGE'!$J$5:$J$1504,'MILEAGE'!$B$5:$B$1504,A789))</f>
        <v/>
      </c>
      <c r="AA789" s="55">
        <f>IF(B789="","",ROUND(Z789*MileRate,2))</f>
        <v/>
      </c>
      <c r="AB789" s="55">
        <f>IF(B789="","",SUMIFS('REVENUE'!$J$5:$J$1504,'REVENUE'!$B$5:$B$1504,A789))</f>
        <v/>
      </c>
      <c r="AC789" s="55">
        <f>IF(L789="","",IF(OR(O789="Cancelled",O789="No-Show"),"",L789-N(X789)-N(Y789)-AA789-AB789))</f>
        <v/>
      </c>
      <c r="AD789" s="99">
        <f>IF(OR(AC789="",N(L789)=0),"",AC789/L789)</f>
        <v/>
      </c>
      <c r="AE789" s="55">
        <f>IF(OR(AC789="",N(R789)=0),"",L789/R789)</f>
        <v/>
      </c>
      <c r="AF789" s="100">
        <f>IF(OR(N(K789)=0,N(J789)+N(Q789)=0),"",K789-IF(N(J789)&gt;0,J789,Q789))</f>
        <v/>
      </c>
      <c r="AG789" s="99">
        <f>IF(B789="","",IFERROR(AVERAGEIFS('QUALITY CONTROL'!$M$5:$M$304,'QUALITY CONTROL'!$B$5:$B$304,A789),""))</f>
        <v/>
      </c>
      <c r="AH789" s="51">
        <f>IF(B789="","",DATE(YEAR(B789),MONTH(B789),1))</f>
        <v/>
      </c>
      <c r="AI789" s="49">
        <f>IF(D789="","",IFERROR(INDEX('CUSTOMERS'!$E$5:$E$404,MATCH(D789,'CUSTOMERS'!$B$5:$B$404,0)),""))</f>
        <v/>
      </c>
      <c r="AJ789" s="49">
        <f>IF(B789="","",N(C789))</f>
        <v/>
      </c>
      <c r="AK789" s="49">
        <f>IF(OR(B789="",O789="Cancelled",O789="Rescheduled"),"",B789&amp;"|"&amp;(COUNTIFS('JOBS'!$B$5:$B$1504,B789,'JOBS'!$AJ$5:$AJ$1504,"&lt;"&amp;AJ789,'JOBS'!$O$5:$O$1504,"&lt;&gt;Cancelled",'JOBS'!$O$5:$O$1504,"&lt;&gt;Rescheduled")+COUNTIFS($B$5:B789,B789,$AJ$5:AJ789,AJ789,$O$5:O789,"&lt;&gt;Cancelled",$O$5:O789,"&lt;&gt;Rescheduled")))</f>
        <v/>
      </c>
      <c r="AL789" s="49">
        <f>IF(N(U789)&lt;=0.005,"",COUNTIFS('JOBS'!$U$5:$U$1504,"&gt;0.005",'JOBS'!$B$5:$B$1504,"&lt;"&amp;B789)+COUNTIFS($U$5:U789,"&gt;0.005",$B$5:B789,B789))</f>
        <v/>
      </c>
    </row>
    <row r="790">
      <c r="A790" s="46" t="inlineStr">
        <is>
          <t>J-0786</t>
        </is>
      </c>
      <c r="B790" s="47" t="n"/>
      <c r="C790" s="94" t="n"/>
      <c r="D790" s="38" t="n"/>
      <c r="E790" s="38" t="n"/>
      <c r="F790" s="38" t="n"/>
      <c r="G790" s="38" t="n"/>
      <c r="H790" s="38" t="n"/>
      <c r="I790" s="57" t="n"/>
      <c r="J790" s="95" t="n"/>
      <c r="K790" s="95" t="n"/>
      <c r="L790" s="48" t="n"/>
      <c r="M790" s="96" t="n"/>
      <c r="N790" s="48" t="n"/>
      <c r="O790" s="38" t="n"/>
      <c r="P790" s="38" t="n"/>
      <c r="Q790" s="97">
        <f>IF(OR(F790="",E790=""),"",IFERROR(IF(INDEX('PROPERTIES'!$F$5:$F$404,MATCH(E790,'PROPERTIES'!$B$5:$B$404,0))=0,"",ROUND((INDEX('PROPERTIES'!$F$5:$F$404,MATCH(E790,'PROPERTIES'!$B$5:$B$404,0))/INDEX('PRICING'!$C$7:$C$16,MATCH(F790,'PRICING'!$A$7:$A$16,0))+INDEX('PROPERTIES'!$G$5:$G$404,MATCH(E790,'PROPERTIES'!$B$5:$B$404,0))*INDEX('PRICING'!$D$7:$D$16,MATCH(F790,'PRICING'!$A$7:$A$16,0))/60+INDEX('PROPERTIES'!$H$5:$H$404,MATCH(E790,'PROPERTIES'!$B$5:$B$404,0))*INDEX('PRICING'!$E$7:$E$16,MATCH(F790,'PRICING'!$A$7:$A$16,0))/60+INDEX('PRICING'!$F$7:$F$16,MATCH(F790,'PRICING'!$A$7:$A$16,0))/60),2)),""))</f>
        <v/>
      </c>
      <c r="R790" s="97">
        <f>IF(B790="","",IF(N(K790)&gt;0,K790,IF(N(J790)&gt;0,J790,N(Q790))))</f>
        <v/>
      </c>
      <c r="S790" s="55">
        <f>IF(L790="","",ROUND(L790*(1+N(M790)),2))</f>
        <v/>
      </c>
      <c r="T790" s="55">
        <f>IF(B790="","",SUMIFS('REVENUE'!$C$5:$C$1504,'REVENUE'!$B$5:$B$1504,A790))</f>
        <v/>
      </c>
      <c r="U790" s="55">
        <f>IF(B790="","",IF(O790="Completed",MAX(0,N(S790)-T790),""))</f>
        <v/>
      </c>
      <c r="V790" s="49">
        <f>IF(B790="","",IF(O790&lt;&gt;"Completed",IF(T790&gt;0,"Deposit","—"),IF(U790&lt;=0.005,"Paid",IF(T790&gt;0,"Partial","Unpaid"))))</f>
        <v/>
      </c>
      <c r="W790" s="55">
        <f>IF(B790="","",IFERROR(1/(1/INDEX('STAFF &amp; TASKS'!$C$5:$C$24,MATCH(H790,'STAFF &amp; TASKS'!$A$5:$A$24,0))),PayRate))</f>
        <v/>
      </c>
      <c r="X790" s="55">
        <f>IF(B790="","",IF(OR(O790="Cancelled",O790="No-Show"),"",ROUND(R790*W790*(1+Burden),2)))</f>
        <v/>
      </c>
      <c r="Y790" s="55">
        <f>IF(B790="","",IF(OR(O790="Cancelled",O790="No-Show"),"",IF(N790&lt;&gt;"",N790,ROUND(R790*SupHr*IFERROR(INDEX('PRICING'!$G$7:$G$16,MATCH(F790,'PRICING'!$A$7:$A$16,0)),1),2))))</f>
        <v/>
      </c>
      <c r="Z790" s="98">
        <f>IF(B790="","",SUMIFS('MILEAGE'!$J$5:$J$1504,'MILEAGE'!$B$5:$B$1504,A790))</f>
        <v/>
      </c>
      <c r="AA790" s="55">
        <f>IF(B790="","",ROUND(Z790*MileRate,2))</f>
        <v/>
      </c>
      <c r="AB790" s="55">
        <f>IF(B790="","",SUMIFS('REVENUE'!$J$5:$J$1504,'REVENUE'!$B$5:$B$1504,A790))</f>
        <v/>
      </c>
      <c r="AC790" s="55">
        <f>IF(L790="","",IF(OR(O790="Cancelled",O790="No-Show"),"",L790-N(X790)-N(Y790)-AA790-AB790))</f>
        <v/>
      </c>
      <c r="AD790" s="99">
        <f>IF(OR(AC790="",N(L790)=0),"",AC790/L790)</f>
        <v/>
      </c>
      <c r="AE790" s="55">
        <f>IF(OR(AC790="",N(R790)=0),"",L790/R790)</f>
        <v/>
      </c>
      <c r="AF790" s="100">
        <f>IF(OR(N(K790)=0,N(J790)+N(Q790)=0),"",K790-IF(N(J790)&gt;0,J790,Q790))</f>
        <v/>
      </c>
      <c r="AG790" s="99">
        <f>IF(B790="","",IFERROR(AVERAGEIFS('QUALITY CONTROL'!$M$5:$M$304,'QUALITY CONTROL'!$B$5:$B$304,A790),""))</f>
        <v/>
      </c>
      <c r="AH790" s="51">
        <f>IF(B790="","",DATE(YEAR(B790),MONTH(B790),1))</f>
        <v/>
      </c>
      <c r="AI790" s="49">
        <f>IF(D790="","",IFERROR(INDEX('CUSTOMERS'!$E$5:$E$404,MATCH(D790,'CUSTOMERS'!$B$5:$B$404,0)),""))</f>
        <v/>
      </c>
      <c r="AJ790" s="49">
        <f>IF(B790="","",N(C790))</f>
        <v/>
      </c>
      <c r="AK790" s="49">
        <f>IF(OR(B790="",O790="Cancelled",O790="Rescheduled"),"",B790&amp;"|"&amp;(COUNTIFS('JOBS'!$B$5:$B$1504,B790,'JOBS'!$AJ$5:$AJ$1504,"&lt;"&amp;AJ790,'JOBS'!$O$5:$O$1504,"&lt;&gt;Cancelled",'JOBS'!$O$5:$O$1504,"&lt;&gt;Rescheduled")+COUNTIFS($B$5:B790,B790,$AJ$5:AJ790,AJ790,$O$5:O790,"&lt;&gt;Cancelled",$O$5:O790,"&lt;&gt;Rescheduled")))</f>
        <v/>
      </c>
      <c r="AL790" s="49">
        <f>IF(N(U790)&lt;=0.005,"",COUNTIFS('JOBS'!$U$5:$U$1504,"&gt;0.005",'JOBS'!$B$5:$B$1504,"&lt;"&amp;B790)+COUNTIFS($U$5:U790,"&gt;0.005",$B$5:B790,B790))</f>
        <v/>
      </c>
    </row>
    <row r="791">
      <c r="A791" s="46" t="inlineStr">
        <is>
          <t>J-0787</t>
        </is>
      </c>
      <c r="B791" s="47" t="n"/>
      <c r="C791" s="94" t="n"/>
      <c r="D791" s="38" t="n"/>
      <c r="E791" s="38" t="n"/>
      <c r="F791" s="38" t="n"/>
      <c r="G791" s="38" t="n"/>
      <c r="H791" s="38" t="n"/>
      <c r="I791" s="57" t="n"/>
      <c r="J791" s="95" t="n"/>
      <c r="K791" s="95" t="n"/>
      <c r="L791" s="48" t="n"/>
      <c r="M791" s="96" t="n"/>
      <c r="N791" s="48" t="n"/>
      <c r="O791" s="38" t="n"/>
      <c r="P791" s="38" t="n"/>
      <c r="Q791" s="97">
        <f>IF(OR(F791="",E791=""),"",IFERROR(IF(INDEX('PROPERTIES'!$F$5:$F$404,MATCH(E791,'PROPERTIES'!$B$5:$B$404,0))=0,"",ROUND((INDEX('PROPERTIES'!$F$5:$F$404,MATCH(E791,'PROPERTIES'!$B$5:$B$404,0))/INDEX('PRICING'!$C$7:$C$16,MATCH(F791,'PRICING'!$A$7:$A$16,0))+INDEX('PROPERTIES'!$G$5:$G$404,MATCH(E791,'PROPERTIES'!$B$5:$B$404,0))*INDEX('PRICING'!$D$7:$D$16,MATCH(F791,'PRICING'!$A$7:$A$16,0))/60+INDEX('PROPERTIES'!$H$5:$H$404,MATCH(E791,'PROPERTIES'!$B$5:$B$404,0))*INDEX('PRICING'!$E$7:$E$16,MATCH(F791,'PRICING'!$A$7:$A$16,0))/60+INDEX('PRICING'!$F$7:$F$16,MATCH(F791,'PRICING'!$A$7:$A$16,0))/60),2)),""))</f>
        <v/>
      </c>
      <c r="R791" s="97">
        <f>IF(B791="","",IF(N(K791)&gt;0,K791,IF(N(J791)&gt;0,J791,N(Q791))))</f>
        <v/>
      </c>
      <c r="S791" s="55">
        <f>IF(L791="","",ROUND(L791*(1+N(M791)),2))</f>
        <v/>
      </c>
      <c r="T791" s="55">
        <f>IF(B791="","",SUMIFS('REVENUE'!$C$5:$C$1504,'REVENUE'!$B$5:$B$1504,A791))</f>
        <v/>
      </c>
      <c r="U791" s="55">
        <f>IF(B791="","",IF(O791="Completed",MAX(0,N(S791)-T791),""))</f>
        <v/>
      </c>
      <c r="V791" s="49">
        <f>IF(B791="","",IF(O791&lt;&gt;"Completed",IF(T791&gt;0,"Deposit","—"),IF(U791&lt;=0.005,"Paid",IF(T791&gt;0,"Partial","Unpaid"))))</f>
        <v/>
      </c>
      <c r="W791" s="55">
        <f>IF(B791="","",IFERROR(1/(1/INDEX('STAFF &amp; TASKS'!$C$5:$C$24,MATCH(H791,'STAFF &amp; TASKS'!$A$5:$A$24,0))),PayRate))</f>
        <v/>
      </c>
      <c r="X791" s="55">
        <f>IF(B791="","",IF(OR(O791="Cancelled",O791="No-Show"),"",ROUND(R791*W791*(1+Burden),2)))</f>
        <v/>
      </c>
      <c r="Y791" s="55">
        <f>IF(B791="","",IF(OR(O791="Cancelled",O791="No-Show"),"",IF(N791&lt;&gt;"",N791,ROUND(R791*SupHr*IFERROR(INDEX('PRICING'!$G$7:$G$16,MATCH(F791,'PRICING'!$A$7:$A$16,0)),1),2))))</f>
        <v/>
      </c>
      <c r="Z791" s="98">
        <f>IF(B791="","",SUMIFS('MILEAGE'!$J$5:$J$1504,'MILEAGE'!$B$5:$B$1504,A791))</f>
        <v/>
      </c>
      <c r="AA791" s="55">
        <f>IF(B791="","",ROUND(Z791*MileRate,2))</f>
        <v/>
      </c>
      <c r="AB791" s="55">
        <f>IF(B791="","",SUMIFS('REVENUE'!$J$5:$J$1504,'REVENUE'!$B$5:$B$1504,A791))</f>
        <v/>
      </c>
      <c r="AC791" s="55">
        <f>IF(L791="","",IF(OR(O791="Cancelled",O791="No-Show"),"",L791-N(X791)-N(Y791)-AA791-AB791))</f>
        <v/>
      </c>
      <c r="AD791" s="99">
        <f>IF(OR(AC791="",N(L791)=0),"",AC791/L791)</f>
        <v/>
      </c>
      <c r="AE791" s="55">
        <f>IF(OR(AC791="",N(R791)=0),"",L791/R791)</f>
        <v/>
      </c>
      <c r="AF791" s="100">
        <f>IF(OR(N(K791)=0,N(J791)+N(Q791)=0),"",K791-IF(N(J791)&gt;0,J791,Q791))</f>
        <v/>
      </c>
      <c r="AG791" s="99">
        <f>IF(B791="","",IFERROR(AVERAGEIFS('QUALITY CONTROL'!$M$5:$M$304,'QUALITY CONTROL'!$B$5:$B$304,A791),""))</f>
        <v/>
      </c>
      <c r="AH791" s="51">
        <f>IF(B791="","",DATE(YEAR(B791),MONTH(B791),1))</f>
        <v/>
      </c>
      <c r="AI791" s="49">
        <f>IF(D791="","",IFERROR(INDEX('CUSTOMERS'!$E$5:$E$404,MATCH(D791,'CUSTOMERS'!$B$5:$B$404,0)),""))</f>
        <v/>
      </c>
      <c r="AJ791" s="49">
        <f>IF(B791="","",N(C791))</f>
        <v/>
      </c>
      <c r="AK791" s="49">
        <f>IF(OR(B791="",O791="Cancelled",O791="Rescheduled"),"",B791&amp;"|"&amp;(COUNTIFS('JOBS'!$B$5:$B$1504,B791,'JOBS'!$AJ$5:$AJ$1504,"&lt;"&amp;AJ791,'JOBS'!$O$5:$O$1504,"&lt;&gt;Cancelled",'JOBS'!$O$5:$O$1504,"&lt;&gt;Rescheduled")+COUNTIFS($B$5:B791,B791,$AJ$5:AJ791,AJ791,$O$5:O791,"&lt;&gt;Cancelled",$O$5:O791,"&lt;&gt;Rescheduled")))</f>
        <v/>
      </c>
      <c r="AL791" s="49">
        <f>IF(N(U791)&lt;=0.005,"",COUNTIFS('JOBS'!$U$5:$U$1504,"&gt;0.005",'JOBS'!$B$5:$B$1504,"&lt;"&amp;B791)+COUNTIFS($U$5:U791,"&gt;0.005",$B$5:B791,B791))</f>
        <v/>
      </c>
    </row>
    <row r="792">
      <c r="A792" s="46" t="inlineStr">
        <is>
          <t>J-0788</t>
        </is>
      </c>
      <c r="B792" s="47" t="n"/>
      <c r="C792" s="94" t="n"/>
      <c r="D792" s="38" t="n"/>
      <c r="E792" s="38" t="n"/>
      <c r="F792" s="38" t="n"/>
      <c r="G792" s="38" t="n"/>
      <c r="H792" s="38" t="n"/>
      <c r="I792" s="57" t="n"/>
      <c r="J792" s="95" t="n"/>
      <c r="K792" s="95" t="n"/>
      <c r="L792" s="48" t="n"/>
      <c r="M792" s="96" t="n"/>
      <c r="N792" s="48" t="n"/>
      <c r="O792" s="38" t="n"/>
      <c r="P792" s="38" t="n"/>
      <c r="Q792" s="97">
        <f>IF(OR(F792="",E792=""),"",IFERROR(IF(INDEX('PROPERTIES'!$F$5:$F$404,MATCH(E792,'PROPERTIES'!$B$5:$B$404,0))=0,"",ROUND((INDEX('PROPERTIES'!$F$5:$F$404,MATCH(E792,'PROPERTIES'!$B$5:$B$404,0))/INDEX('PRICING'!$C$7:$C$16,MATCH(F792,'PRICING'!$A$7:$A$16,0))+INDEX('PROPERTIES'!$G$5:$G$404,MATCH(E792,'PROPERTIES'!$B$5:$B$404,0))*INDEX('PRICING'!$D$7:$D$16,MATCH(F792,'PRICING'!$A$7:$A$16,0))/60+INDEX('PROPERTIES'!$H$5:$H$404,MATCH(E792,'PROPERTIES'!$B$5:$B$404,0))*INDEX('PRICING'!$E$7:$E$16,MATCH(F792,'PRICING'!$A$7:$A$16,0))/60+INDEX('PRICING'!$F$7:$F$16,MATCH(F792,'PRICING'!$A$7:$A$16,0))/60),2)),""))</f>
        <v/>
      </c>
      <c r="R792" s="97">
        <f>IF(B792="","",IF(N(K792)&gt;0,K792,IF(N(J792)&gt;0,J792,N(Q792))))</f>
        <v/>
      </c>
      <c r="S792" s="55">
        <f>IF(L792="","",ROUND(L792*(1+N(M792)),2))</f>
        <v/>
      </c>
      <c r="T792" s="55">
        <f>IF(B792="","",SUMIFS('REVENUE'!$C$5:$C$1504,'REVENUE'!$B$5:$B$1504,A792))</f>
        <v/>
      </c>
      <c r="U792" s="55">
        <f>IF(B792="","",IF(O792="Completed",MAX(0,N(S792)-T792),""))</f>
        <v/>
      </c>
      <c r="V792" s="49">
        <f>IF(B792="","",IF(O792&lt;&gt;"Completed",IF(T792&gt;0,"Deposit","—"),IF(U792&lt;=0.005,"Paid",IF(T792&gt;0,"Partial","Unpaid"))))</f>
        <v/>
      </c>
      <c r="W792" s="55">
        <f>IF(B792="","",IFERROR(1/(1/INDEX('STAFF &amp; TASKS'!$C$5:$C$24,MATCH(H792,'STAFF &amp; TASKS'!$A$5:$A$24,0))),PayRate))</f>
        <v/>
      </c>
      <c r="X792" s="55">
        <f>IF(B792="","",IF(OR(O792="Cancelled",O792="No-Show"),"",ROUND(R792*W792*(1+Burden),2)))</f>
        <v/>
      </c>
      <c r="Y792" s="55">
        <f>IF(B792="","",IF(OR(O792="Cancelled",O792="No-Show"),"",IF(N792&lt;&gt;"",N792,ROUND(R792*SupHr*IFERROR(INDEX('PRICING'!$G$7:$G$16,MATCH(F792,'PRICING'!$A$7:$A$16,0)),1),2))))</f>
        <v/>
      </c>
      <c r="Z792" s="98">
        <f>IF(B792="","",SUMIFS('MILEAGE'!$J$5:$J$1504,'MILEAGE'!$B$5:$B$1504,A792))</f>
        <v/>
      </c>
      <c r="AA792" s="55">
        <f>IF(B792="","",ROUND(Z792*MileRate,2))</f>
        <v/>
      </c>
      <c r="AB792" s="55">
        <f>IF(B792="","",SUMIFS('REVENUE'!$J$5:$J$1504,'REVENUE'!$B$5:$B$1504,A792))</f>
        <v/>
      </c>
      <c r="AC792" s="55">
        <f>IF(L792="","",IF(OR(O792="Cancelled",O792="No-Show"),"",L792-N(X792)-N(Y792)-AA792-AB792))</f>
        <v/>
      </c>
      <c r="AD792" s="99">
        <f>IF(OR(AC792="",N(L792)=0),"",AC792/L792)</f>
        <v/>
      </c>
      <c r="AE792" s="55">
        <f>IF(OR(AC792="",N(R792)=0),"",L792/R792)</f>
        <v/>
      </c>
      <c r="AF792" s="100">
        <f>IF(OR(N(K792)=0,N(J792)+N(Q792)=0),"",K792-IF(N(J792)&gt;0,J792,Q792))</f>
        <v/>
      </c>
      <c r="AG792" s="99">
        <f>IF(B792="","",IFERROR(AVERAGEIFS('QUALITY CONTROL'!$M$5:$M$304,'QUALITY CONTROL'!$B$5:$B$304,A792),""))</f>
        <v/>
      </c>
      <c r="AH792" s="51">
        <f>IF(B792="","",DATE(YEAR(B792),MONTH(B792),1))</f>
        <v/>
      </c>
      <c r="AI792" s="49">
        <f>IF(D792="","",IFERROR(INDEX('CUSTOMERS'!$E$5:$E$404,MATCH(D792,'CUSTOMERS'!$B$5:$B$404,0)),""))</f>
        <v/>
      </c>
      <c r="AJ792" s="49">
        <f>IF(B792="","",N(C792))</f>
        <v/>
      </c>
      <c r="AK792" s="49">
        <f>IF(OR(B792="",O792="Cancelled",O792="Rescheduled"),"",B792&amp;"|"&amp;(COUNTIFS('JOBS'!$B$5:$B$1504,B792,'JOBS'!$AJ$5:$AJ$1504,"&lt;"&amp;AJ792,'JOBS'!$O$5:$O$1504,"&lt;&gt;Cancelled",'JOBS'!$O$5:$O$1504,"&lt;&gt;Rescheduled")+COUNTIFS($B$5:B792,B792,$AJ$5:AJ792,AJ792,$O$5:O792,"&lt;&gt;Cancelled",$O$5:O792,"&lt;&gt;Rescheduled")))</f>
        <v/>
      </c>
      <c r="AL792" s="49">
        <f>IF(N(U792)&lt;=0.005,"",COUNTIFS('JOBS'!$U$5:$U$1504,"&gt;0.005",'JOBS'!$B$5:$B$1504,"&lt;"&amp;B792)+COUNTIFS($U$5:U792,"&gt;0.005",$B$5:B792,B792))</f>
        <v/>
      </c>
    </row>
    <row r="793">
      <c r="A793" s="46" t="inlineStr">
        <is>
          <t>J-0789</t>
        </is>
      </c>
      <c r="B793" s="47" t="n"/>
      <c r="C793" s="94" t="n"/>
      <c r="D793" s="38" t="n"/>
      <c r="E793" s="38" t="n"/>
      <c r="F793" s="38" t="n"/>
      <c r="G793" s="38" t="n"/>
      <c r="H793" s="38" t="n"/>
      <c r="I793" s="57" t="n"/>
      <c r="J793" s="95" t="n"/>
      <c r="K793" s="95" t="n"/>
      <c r="L793" s="48" t="n"/>
      <c r="M793" s="96" t="n"/>
      <c r="N793" s="48" t="n"/>
      <c r="O793" s="38" t="n"/>
      <c r="P793" s="38" t="n"/>
      <c r="Q793" s="97">
        <f>IF(OR(F793="",E793=""),"",IFERROR(IF(INDEX('PROPERTIES'!$F$5:$F$404,MATCH(E793,'PROPERTIES'!$B$5:$B$404,0))=0,"",ROUND((INDEX('PROPERTIES'!$F$5:$F$404,MATCH(E793,'PROPERTIES'!$B$5:$B$404,0))/INDEX('PRICING'!$C$7:$C$16,MATCH(F793,'PRICING'!$A$7:$A$16,0))+INDEX('PROPERTIES'!$G$5:$G$404,MATCH(E793,'PROPERTIES'!$B$5:$B$404,0))*INDEX('PRICING'!$D$7:$D$16,MATCH(F793,'PRICING'!$A$7:$A$16,0))/60+INDEX('PROPERTIES'!$H$5:$H$404,MATCH(E793,'PROPERTIES'!$B$5:$B$404,0))*INDEX('PRICING'!$E$7:$E$16,MATCH(F793,'PRICING'!$A$7:$A$16,0))/60+INDEX('PRICING'!$F$7:$F$16,MATCH(F793,'PRICING'!$A$7:$A$16,0))/60),2)),""))</f>
        <v/>
      </c>
      <c r="R793" s="97">
        <f>IF(B793="","",IF(N(K793)&gt;0,K793,IF(N(J793)&gt;0,J793,N(Q793))))</f>
        <v/>
      </c>
      <c r="S793" s="55">
        <f>IF(L793="","",ROUND(L793*(1+N(M793)),2))</f>
        <v/>
      </c>
      <c r="T793" s="55">
        <f>IF(B793="","",SUMIFS('REVENUE'!$C$5:$C$1504,'REVENUE'!$B$5:$B$1504,A793))</f>
        <v/>
      </c>
      <c r="U793" s="55">
        <f>IF(B793="","",IF(O793="Completed",MAX(0,N(S793)-T793),""))</f>
        <v/>
      </c>
      <c r="V793" s="49">
        <f>IF(B793="","",IF(O793&lt;&gt;"Completed",IF(T793&gt;0,"Deposit","—"),IF(U793&lt;=0.005,"Paid",IF(T793&gt;0,"Partial","Unpaid"))))</f>
        <v/>
      </c>
      <c r="W793" s="55">
        <f>IF(B793="","",IFERROR(1/(1/INDEX('STAFF &amp; TASKS'!$C$5:$C$24,MATCH(H793,'STAFF &amp; TASKS'!$A$5:$A$24,0))),PayRate))</f>
        <v/>
      </c>
      <c r="X793" s="55">
        <f>IF(B793="","",IF(OR(O793="Cancelled",O793="No-Show"),"",ROUND(R793*W793*(1+Burden),2)))</f>
        <v/>
      </c>
      <c r="Y793" s="55">
        <f>IF(B793="","",IF(OR(O793="Cancelled",O793="No-Show"),"",IF(N793&lt;&gt;"",N793,ROUND(R793*SupHr*IFERROR(INDEX('PRICING'!$G$7:$G$16,MATCH(F793,'PRICING'!$A$7:$A$16,0)),1),2))))</f>
        <v/>
      </c>
      <c r="Z793" s="98">
        <f>IF(B793="","",SUMIFS('MILEAGE'!$J$5:$J$1504,'MILEAGE'!$B$5:$B$1504,A793))</f>
        <v/>
      </c>
      <c r="AA793" s="55">
        <f>IF(B793="","",ROUND(Z793*MileRate,2))</f>
        <v/>
      </c>
      <c r="AB793" s="55">
        <f>IF(B793="","",SUMIFS('REVENUE'!$J$5:$J$1504,'REVENUE'!$B$5:$B$1504,A793))</f>
        <v/>
      </c>
      <c r="AC793" s="55">
        <f>IF(L793="","",IF(OR(O793="Cancelled",O793="No-Show"),"",L793-N(X793)-N(Y793)-AA793-AB793))</f>
        <v/>
      </c>
      <c r="AD793" s="99">
        <f>IF(OR(AC793="",N(L793)=0),"",AC793/L793)</f>
        <v/>
      </c>
      <c r="AE793" s="55">
        <f>IF(OR(AC793="",N(R793)=0),"",L793/R793)</f>
        <v/>
      </c>
      <c r="AF793" s="100">
        <f>IF(OR(N(K793)=0,N(J793)+N(Q793)=0),"",K793-IF(N(J793)&gt;0,J793,Q793))</f>
        <v/>
      </c>
      <c r="AG793" s="99">
        <f>IF(B793="","",IFERROR(AVERAGEIFS('QUALITY CONTROL'!$M$5:$M$304,'QUALITY CONTROL'!$B$5:$B$304,A793),""))</f>
        <v/>
      </c>
      <c r="AH793" s="51">
        <f>IF(B793="","",DATE(YEAR(B793),MONTH(B793),1))</f>
        <v/>
      </c>
      <c r="AI793" s="49">
        <f>IF(D793="","",IFERROR(INDEX('CUSTOMERS'!$E$5:$E$404,MATCH(D793,'CUSTOMERS'!$B$5:$B$404,0)),""))</f>
        <v/>
      </c>
      <c r="AJ793" s="49">
        <f>IF(B793="","",N(C793))</f>
        <v/>
      </c>
      <c r="AK793" s="49">
        <f>IF(OR(B793="",O793="Cancelled",O793="Rescheduled"),"",B793&amp;"|"&amp;(COUNTIFS('JOBS'!$B$5:$B$1504,B793,'JOBS'!$AJ$5:$AJ$1504,"&lt;"&amp;AJ793,'JOBS'!$O$5:$O$1504,"&lt;&gt;Cancelled",'JOBS'!$O$5:$O$1504,"&lt;&gt;Rescheduled")+COUNTIFS($B$5:B793,B793,$AJ$5:AJ793,AJ793,$O$5:O793,"&lt;&gt;Cancelled",$O$5:O793,"&lt;&gt;Rescheduled")))</f>
        <v/>
      </c>
      <c r="AL793" s="49">
        <f>IF(N(U793)&lt;=0.005,"",COUNTIFS('JOBS'!$U$5:$U$1504,"&gt;0.005",'JOBS'!$B$5:$B$1504,"&lt;"&amp;B793)+COUNTIFS($U$5:U793,"&gt;0.005",$B$5:B793,B793))</f>
        <v/>
      </c>
    </row>
    <row r="794">
      <c r="A794" s="46" t="inlineStr">
        <is>
          <t>J-0790</t>
        </is>
      </c>
      <c r="B794" s="47" t="n"/>
      <c r="C794" s="94" t="n"/>
      <c r="D794" s="38" t="n"/>
      <c r="E794" s="38" t="n"/>
      <c r="F794" s="38" t="n"/>
      <c r="G794" s="38" t="n"/>
      <c r="H794" s="38" t="n"/>
      <c r="I794" s="57" t="n"/>
      <c r="J794" s="95" t="n"/>
      <c r="K794" s="95" t="n"/>
      <c r="L794" s="48" t="n"/>
      <c r="M794" s="96" t="n"/>
      <c r="N794" s="48" t="n"/>
      <c r="O794" s="38" t="n"/>
      <c r="P794" s="38" t="n"/>
      <c r="Q794" s="97">
        <f>IF(OR(F794="",E794=""),"",IFERROR(IF(INDEX('PROPERTIES'!$F$5:$F$404,MATCH(E794,'PROPERTIES'!$B$5:$B$404,0))=0,"",ROUND((INDEX('PROPERTIES'!$F$5:$F$404,MATCH(E794,'PROPERTIES'!$B$5:$B$404,0))/INDEX('PRICING'!$C$7:$C$16,MATCH(F794,'PRICING'!$A$7:$A$16,0))+INDEX('PROPERTIES'!$G$5:$G$404,MATCH(E794,'PROPERTIES'!$B$5:$B$404,0))*INDEX('PRICING'!$D$7:$D$16,MATCH(F794,'PRICING'!$A$7:$A$16,0))/60+INDEX('PROPERTIES'!$H$5:$H$404,MATCH(E794,'PROPERTIES'!$B$5:$B$404,0))*INDEX('PRICING'!$E$7:$E$16,MATCH(F794,'PRICING'!$A$7:$A$16,0))/60+INDEX('PRICING'!$F$7:$F$16,MATCH(F794,'PRICING'!$A$7:$A$16,0))/60),2)),""))</f>
        <v/>
      </c>
      <c r="R794" s="97">
        <f>IF(B794="","",IF(N(K794)&gt;0,K794,IF(N(J794)&gt;0,J794,N(Q794))))</f>
        <v/>
      </c>
      <c r="S794" s="55">
        <f>IF(L794="","",ROUND(L794*(1+N(M794)),2))</f>
        <v/>
      </c>
      <c r="T794" s="55">
        <f>IF(B794="","",SUMIFS('REVENUE'!$C$5:$C$1504,'REVENUE'!$B$5:$B$1504,A794))</f>
        <v/>
      </c>
      <c r="U794" s="55">
        <f>IF(B794="","",IF(O794="Completed",MAX(0,N(S794)-T794),""))</f>
        <v/>
      </c>
      <c r="V794" s="49">
        <f>IF(B794="","",IF(O794&lt;&gt;"Completed",IF(T794&gt;0,"Deposit","—"),IF(U794&lt;=0.005,"Paid",IF(T794&gt;0,"Partial","Unpaid"))))</f>
        <v/>
      </c>
      <c r="W794" s="55">
        <f>IF(B794="","",IFERROR(1/(1/INDEX('STAFF &amp; TASKS'!$C$5:$C$24,MATCH(H794,'STAFF &amp; TASKS'!$A$5:$A$24,0))),PayRate))</f>
        <v/>
      </c>
      <c r="X794" s="55">
        <f>IF(B794="","",IF(OR(O794="Cancelled",O794="No-Show"),"",ROUND(R794*W794*(1+Burden),2)))</f>
        <v/>
      </c>
      <c r="Y794" s="55">
        <f>IF(B794="","",IF(OR(O794="Cancelled",O794="No-Show"),"",IF(N794&lt;&gt;"",N794,ROUND(R794*SupHr*IFERROR(INDEX('PRICING'!$G$7:$G$16,MATCH(F794,'PRICING'!$A$7:$A$16,0)),1),2))))</f>
        <v/>
      </c>
      <c r="Z794" s="98">
        <f>IF(B794="","",SUMIFS('MILEAGE'!$J$5:$J$1504,'MILEAGE'!$B$5:$B$1504,A794))</f>
        <v/>
      </c>
      <c r="AA794" s="55">
        <f>IF(B794="","",ROUND(Z794*MileRate,2))</f>
        <v/>
      </c>
      <c r="AB794" s="55">
        <f>IF(B794="","",SUMIFS('REVENUE'!$J$5:$J$1504,'REVENUE'!$B$5:$B$1504,A794))</f>
        <v/>
      </c>
      <c r="AC794" s="55">
        <f>IF(L794="","",IF(OR(O794="Cancelled",O794="No-Show"),"",L794-N(X794)-N(Y794)-AA794-AB794))</f>
        <v/>
      </c>
      <c r="AD794" s="99">
        <f>IF(OR(AC794="",N(L794)=0),"",AC794/L794)</f>
        <v/>
      </c>
      <c r="AE794" s="55">
        <f>IF(OR(AC794="",N(R794)=0),"",L794/R794)</f>
        <v/>
      </c>
      <c r="AF794" s="100">
        <f>IF(OR(N(K794)=0,N(J794)+N(Q794)=0),"",K794-IF(N(J794)&gt;0,J794,Q794))</f>
        <v/>
      </c>
      <c r="AG794" s="99">
        <f>IF(B794="","",IFERROR(AVERAGEIFS('QUALITY CONTROL'!$M$5:$M$304,'QUALITY CONTROL'!$B$5:$B$304,A794),""))</f>
        <v/>
      </c>
      <c r="AH794" s="51">
        <f>IF(B794="","",DATE(YEAR(B794),MONTH(B794),1))</f>
        <v/>
      </c>
      <c r="AI794" s="49">
        <f>IF(D794="","",IFERROR(INDEX('CUSTOMERS'!$E$5:$E$404,MATCH(D794,'CUSTOMERS'!$B$5:$B$404,0)),""))</f>
        <v/>
      </c>
      <c r="AJ794" s="49">
        <f>IF(B794="","",N(C794))</f>
        <v/>
      </c>
      <c r="AK794" s="49">
        <f>IF(OR(B794="",O794="Cancelled",O794="Rescheduled"),"",B794&amp;"|"&amp;(COUNTIFS('JOBS'!$B$5:$B$1504,B794,'JOBS'!$AJ$5:$AJ$1504,"&lt;"&amp;AJ794,'JOBS'!$O$5:$O$1504,"&lt;&gt;Cancelled",'JOBS'!$O$5:$O$1504,"&lt;&gt;Rescheduled")+COUNTIFS($B$5:B794,B794,$AJ$5:AJ794,AJ794,$O$5:O794,"&lt;&gt;Cancelled",$O$5:O794,"&lt;&gt;Rescheduled")))</f>
        <v/>
      </c>
      <c r="AL794" s="49">
        <f>IF(N(U794)&lt;=0.005,"",COUNTIFS('JOBS'!$U$5:$U$1504,"&gt;0.005",'JOBS'!$B$5:$B$1504,"&lt;"&amp;B794)+COUNTIFS($U$5:U794,"&gt;0.005",$B$5:B794,B794))</f>
        <v/>
      </c>
    </row>
    <row r="795">
      <c r="A795" s="46" t="inlineStr">
        <is>
          <t>J-0791</t>
        </is>
      </c>
      <c r="B795" s="47" t="n"/>
      <c r="C795" s="94" t="n"/>
      <c r="D795" s="38" t="n"/>
      <c r="E795" s="38" t="n"/>
      <c r="F795" s="38" t="n"/>
      <c r="G795" s="38" t="n"/>
      <c r="H795" s="38" t="n"/>
      <c r="I795" s="57" t="n"/>
      <c r="J795" s="95" t="n"/>
      <c r="K795" s="95" t="n"/>
      <c r="L795" s="48" t="n"/>
      <c r="M795" s="96" t="n"/>
      <c r="N795" s="48" t="n"/>
      <c r="O795" s="38" t="n"/>
      <c r="P795" s="38" t="n"/>
      <c r="Q795" s="97">
        <f>IF(OR(F795="",E795=""),"",IFERROR(IF(INDEX('PROPERTIES'!$F$5:$F$404,MATCH(E795,'PROPERTIES'!$B$5:$B$404,0))=0,"",ROUND((INDEX('PROPERTIES'!$F$5:$F$404,MATCH(E795,'PROPERTIES'!$B$5:$B$404,0))/INDEX('PRICING'!$C$7:$C$16,MATCH(F795,'PRICING'!$A$7:$A$16,0))+INDEX('PROPERTIES'!$G$5:$G$404,MATCH(E795,'PROPERTIES'!$B$5:$B$404,0))*INDEX('PRICING'!$D$7:$D$16,MATCH(F795,'PRICING'!$A$7:$A$16,0))/60+INDEX('PROPERTIES'!$H$5:$H$404,MATCH(E795,'PROPERTIES'!$B$5:$B$404,0))*INDEX('PRICING'!$E$7:$E$16,MATCH(F795,'PRICING'!$A$7:$A$16,0))/60+INDEX('PRICING'!$F$7:$F$16,MATCH(F795,'PRICING'!$A$7:$A$16,0))/60),2)),""))</f>
        <v/>
      </c>
      <c r="R795" s="97">
        <f>IF(B795="","",IF(N(K795)&gt;0,K795,IF(N(J795)&gt;0,J795,N(Q795))))</f>
        <v/>
      </c>
      <c r="S795" s="55">
        <f>IF(L795="","",ROUND(L795*(1+N(M795)),2))</f>
        <v/>
      </c>
      <c r="T795" s="55">
        <f>IF(B795="","",SUMIFS('REVENUE'!$C$5:$C$1504,'REVENUE'!$B$5:$B$1504,A795))</f>
        <v/>
      </c>
      <c r="U795" s="55">
        <f>IF(B795="","",IF(O795="Completed",MAX(0,N(S795)-T795),""))</f>
        <v/>
      </c>
      <c r="V795" s="49">
        <f>IF(B795="","",IF(O795&lt;&gt;"Completed",IF(T795&gt;0,"Deposit","—"),IF(U795&lt;=0.005,"Paid",IF(T795&gt;0,"Partial","Unpaid"))))</f>
        <v/>
      </c>
      <c r="W795" s="55">
        <f>IF(B795="","",IFERROR(1/(1/INDEX('STAFF &amp; TASKS'!$C$5:$C$24,MATCH(H795,'STAFF &amp; TASKS'!$A$5:$A$24,0))),PayRate))</f>
        <v/>
      </c>
      <c r="X795" s="55">
        <f>IF(B795="","",IF(OR(O795="Cancelled",O795="No-Show"),"",ROUND(R795*W795*(1+Burden),2)))</f>
        <v/>
      </c>
      <c r="Y795" s="55">
        <f>IF(B795="","",IF(OR(O795="Cancelled",O795="No-Show"),"",IF(N795&lt;&gt;"",N795,ROUND(R795*SupHr*IFERROR(INDEX('PRICING'!$G$7:$G$16,MATCH(F795,'PRICING'!$A$7:$A$16,0)),1),2))))</f>
        <v/>
      </c>
      <c r="Z795" s="98">
        <f>IF(B795="","",SUMIFS('MILEAGE'!$J$5:$J$1504,'MILEAGE'!$B$5:$B$1504,A795))</f>
        <v/>
      </c>
      <c r="AA795" s="55">
        <f>IF(B795="","",ROUND(Z795*MileRate,2))</f>
        <v/>
      </c>
      <c r="AB795" s="55">
        <f>IF(B795="","",SUMIFS('REVENUE'!$J$5:$J$1504,'REVENUE'!$B$5:$B$1504,A795))</f>
        <v/>
      </c>
      <c r="AC795" s="55">
        <f>IF(L795="","",IF(OR(O795="Cancelled",O795="No-Show"),"",L795-N(X795)-N(Y795)-AA795-AB795))</f>
        <v/>
      </c>
      <c r="AD795" s="99">
        <f>IF(OR(AC795="",N(L795)=0),"",AC795/L795)</f>
        <v/>
      </c>
      <c r="AE795" s="55">
        <f>IF(OR(AC795="",N(R795)=0),"",L795/R795)</f>
        <v/>
      </c>
      <c r="AF795" s="100">
        <f>IF(OR(N(K795)=0,N(J795)+N(Q795)=0),"",K795-IF(N(J795)&gt;0,J795,Q795))</f>
        <v/>
      </c>
      <c r="AG795" s="99">
        <f>IF(B795="","",IFERROR(AVERAGEIFS('QUALITY CONTROL'!$M$5:$M$304,'QUALITY CONTROL'!$B$5:$B$304,A795),""))</f>
        <v/>
      </c>
      <c r="AH795" s="51">
        <f>IF(B795="","",DATE(YEAR(B795),MONTH(B795),1))</f>
        <v/>
      </c>
      <c r="AI795" s="49">
        <f>IF(D795="","",IFERROR(INDEX('CUSTOMERS'!$E$5:$E$404,MATCH(D795,'CUSTOMERS'!$B$5:$B$404,0)),""))</f>
        <v/>
      </c>
      <c r="AJ795" s="49">
        <f>IF(B795="","",N(C795))</f>
        <v/>
      </c>
      <c r="AK795" s="49">
        <f>IF(OR(B795="",O795="Cancelled",O795="Rescheduled"),"",B795&amp;"|"&amp;(COUNTIFS('JOBS'!$B$5:$B$1504,B795,'JOBS'!$AJ$5:$AJ$1504,"&lt;"&amp;AJ795,'JOBS'!$O$5:$O$1504,"&lt;&gt;Cancelled",'JOBS'!$O$5:$O$1504,"&lt;&gt;Rescheduled")+COUNTIFS($B$5:B795,B795,$AJ$5:AJ795,AJ795,$O$5:O795,"&lt;&gt;Cancelled",$O$5:O795,"&lt;&gt;Rescheduled")))</f>
        <v/>
      </c>
      <c r="AL795" s="49">
        <f>IF(N(U795)&lt;=0.005,"",COUNTIFS('JOBS'!$U$5:$U$1504,"&gt;0.005",'JOBS'!$B$5:$B$1504,"&lt;"&amp;B795)+COUNTIFS($U$5:U795,"&gt;0.005",$B$5:B795,B795))</f>
        <v/>
      </c>
    </row>
    <row r="796">
      <c r="A796" s="46" t="inlineStr">
        <is>
          <t>J-0792</t>
        </is>
      </c>
      <c r="B796" s="47" t="n"/>
      <c r="C796" s="94" t="n"/>
      <c r="D796" s="38" t="n"/>
      <c r="E796" s="38" t="n"/>
      <c r="F796" s="38" t="n"/>
      <c r="G796" s="38" t="n"/>
      <c r="H796" s="38" t="n"/>
      <c r="I796" s="57" t="n"/>
      <c r="J796" s="95" t="n"/>
      <c r="K796" s="95" t="n"/>
      <c r="L796" s="48" t="n"/>
      <c r="M796" s="96" t="n"/>
      <c r="N796" s="48" t="n"/>
      <c r="O796" s="38" t="n"/>
      <c r="P796" s="38" t="n"/>
      <c r="Q796" s="97">
        <f>IF(OR(F796="",E796=""),"",IFERROR(IF(INDEX('PROPERTIES'!$F$5:$F$404,MATCH(E796,'PROPERTIES'!$B$5:$B$404,0))=0,"",ROUND((INDEX('PROPERTIES'!$F$5:$F$404,MATCH(E796,'PROPERTIES'!$B$5:$B$404,0))/INDEX('PRICING'!$C$7:$C$16,MATCH(F796,'PRICING'!$A$7:$A$16,0))+INDEX('PROPERTIES'!$G$5:$G$404,MATCH(E796,'PROPERTIES'!$B$5:$B$404,0))*INDEX('PRICING'!$D$7:$D$16,MATCH(F796,'PRICING'!$A$7:$A$16,0))/60+INDEX('PROPERTIES'!$H$5:$H$404,MATCH(E796,'PROPERTIES'!$B$5:$B$404,0))*INDEX('PRICING'!$E$7:$E$16,MATCH(F796,'PRICING'!$A$7:$A$16,0))/60+INDEX('PRICING'!$F$7:$F$16,MATCH(F796,'PRICING'!$A$7:$A$16,0))/60),2)),""))</f>
        <v/>
      </c>
      <c r="R796" s="97">
        <f>IF(B796="","",IF(N(K796)&gt;0,K796,IF(N(J796)&gt;0,J796,N(Q796))))</f>
        <v/>
      </c>
      <c r="S796" s="55">
        <f>IF(L796="","",ROUND(L796*(1+N(M796)),2))</f>
        <v/>
      </c>
      <c r="T796" s="55">
        <f>IF(B796="","",SUMIFS('REVENUE'!$C$5:$C$1504,'REVENUE'!$B$5:$B$1504,A796))</f>
        <v/>
      </c>
      <c r="U796" s="55">
        <f>IF(B796="","",IF(O796="Completed",MAX(0,N(S796)-T796),""))</f>
        <v/>
      </c>
      <c r="V796" s="49">
        <f>IF(B796="","",IF(O796&lt;&gt;"Completed",IF(T796&gt;0,"Deposit","—"),IF(U796&lt;=0.005,"Paid",IF(T796&gt;0,"Partial","Unpaid"))))</f>
        <v/>
      </c>
      <c r="W796" s="55">
        <f>IF(B796="","",IFERROR(1/(1/INDEX('STAFF &amp; TASKS'!$C$5:$C$24,MATCH(H796,'STAFF &amp; TASKS'!$A$5:$A$24,0))),PayRate))</f>
        <v/>
      </c>
      <c r="X796" s="55">
        <f>IF(B796="","",IF(OR(O796="Cancelled",O796="No-Show"),"",ROUND(R796*W796*(1+Burden),2)))</f>
        <v/>
      </c>
      <c r="Y796" s="55">
        <f>IF(B796="","",IF(OR(O796="Cancelled",O796="No-Show"),"",IF(N796&lt;&gt;"",N796,ROUND(R796*SupHr*IFERROR(INDEX('PRICING'!$G$7:$G$16,MATCH(F796,'PRICING'!$A$7:$A$16,0)),1),2))))</f>
        <v/>
      </c>
      <c r="Z796" s="98">
        <f>IF(B796="","",SUMIFS('MILEAGE'!$J$5:$J$1504,'MILEAGE'!$B$5:$B$1504,A796))</f>
        <v/>
      </c>
      <c r="AA796" s="55">
        <f>IF(B796="","",ROUND(Z796*MileRate,2))</f>
        <v/>
      </c>
      <c r="AB796" s="55">
        <f>IF(B796="","",SUMIFS('REVENUE'!$J$5:$J$1504,'REVENUE'!$B$5:$B$1504,A796))</f>
        <v/>
      </c>
      <c r="AC796" s="55">
        <f>IF(L796="","",IF(OR(O796="Cancelled",O796="No-Show"),"",L796-N(X796)-N(Y796)-AA796-AB796))</f>
        <v/>
      </c>
      <c r="AD796" s="99">
        <f>IF(OR(AC796="",N(L796)=0),"",AC796/L796)</f>
        <v/>
      </c>
      <c r="AE796" s="55">
        <f>IF(OR(AC796="",N(R796)=0),"",L796/R796)</f>
        <v/>
      </c>
      <c r="AF796" s="100">
        <f>IF(OR(N(K796)=0,N(J796)+N(Q796)=0),"",K796-IF(N(J796)&gt;0,J796,Q796))</f>
        <v/>
      </c>
      <c r="AG796" s="99">
        <f>IF(B796="","",IFERROR(AVERAGEIFS('QUALITY CONTROL'!$M$5:$M$304,'QUALITY CONTROL'!$B$5:$B$304,A796),""))</f>
        <v/>
      </c>
      <c r="AH796" s="51">
        <f>IF(B796="","",DATE(YEAR(B796),MONTH(B796),1))</f>
        <v/>
      </c>
      <c r="AI796" s="49">
        <f>IF(D796="","",IFERROR(INDEX('CUSTOMERS'!$E$5:$E$404,MATCH(D796,'CUSTOMERS'!$B$5:$B$404,0)),""))</f>
        <v/>
      </c>
      <c r="AJ796" s="49">
        <f>IF(B796="","",N(C796))</f>
        <v/>
      </c>
      <c r="AK796" s="49">
        <f>IF(OR(B796="",O796="Cancelled",O796="Rescheduled"),"",B796&amp;"|"&amp;(COUNTIFS('JOBS'!$B$5:$B$1504,B796,'JOBS'!$AJ$5:$AJ$1504,"&lt;"&amp;AJ796,'JOBS'!$O$5:$O$1504,"&lt;&gt;Cancelled",'JOBS'!$O$5:$O$1504,"&lt;&gt;Rescheduled")+COUNTIFS($B$5:B796,B796,$AJ$5:AJ796,AJ796,$O$5:O796,"&lt;&gt;Cancelled",$O$5:O796,"&lt;&gt;Rescheduled")))</f>
        <v/>
      </c>
      <c r="AL796" s="49">
        <f>IF(N(U796)&lt;=0.005,"",COUNTIFS('JOBS'!$U$5:$U$1504,"&gt;0.005",'JOBS'!$B$5:$B$1504,"&lt;"&amp;B796)+COUNTIFS($U$5:U796,"&gt;0.005",$B$5:B796,B796))</f>
        <v/>
      </c>
    </row>
    <row r="797">
      <c r="A797" s="46" t="inlineStr">
        <is>
          <t>J-0793</t>
        </is>
      </c>
      <c r="B797" s="47" t="n"/>
      <c r="C797" s="94" t="n"/>
      <c r="D797" s="38" t="n"/>
      <c r="E797" s="38" t="n"/>
      <c r="F797" s="38" t="n"/>
      <c r="G797" s="38" t="n"/>
      <c r="H797" s="38" t="n"/>
      <c r="I797" s="57" t="n"/>
      <c r="J797" s="95" t="n"/>
      <c r="K797" s="95" t="n"/>
      <c r="L797" s="48" t="n"/>
      <c r="M797" s="96" t="n"/>
      <c r="N797" s="48" t="n"/>
      <c r="O797" s="38" t="n"/>
      <c r="P797" s="38" t="n"/>
      <c r="Q797" s="97">
        <f>IF(OR(F797="",E797=""),"",IFERROR(IF(INDEX('PROPERTIES'!$F$5:$F$404,MATCH(E797,'PROPERTIES'!$B$5:$B$404,0))=0,"",ROUND((INDEX('PROPERTIES'!$F$5:$F$404,MATCH(E797,'PROPERTIES'!$B$5:$B$404,0))/INDEX('PRICING'!$C$7:$C$16,MATCH(F797,'PRICING'!$A$7:$A$16,0))+INDEX('PROPERTIES'!$G$5:$G$404,MATCH(E797,'PROPERTIES'!$B$5:$B$404,0))*INDEX('PRICING'!$D$7:$D$16,MATCH(F797,'PRICING'!$A$7:$A$16,0))/60+INDEX('PROPERTIES'!$H$5:$H$404,MATCH(E797,'PROPERTIES'!$B$5:$B$404,0))*INDEX('PRICING'!$E$7:$E$16,MATCH(F797,'PRICING'!$A$7:$A$16,0))/60+INDEX('PRICING'!$F$7:$F$16,MATCH(F797,'PRICING'!$A$7:$A$16,0))/60),2)),""))</f>
        <v/>
      </c>
      <c r="R797" s="97">
        <f>IF(B797="","",IF(N(K797)&gt;0,K797,IF(N(J797)&gt;0,J797,N(Q797))))</f>
        <v/>
      </c>
      <c r="S797" s="55">
        <f>IF(L797="","",ROUND(L797*(1+N(M797)),2))</f>
        <v/>
      </c>
      <c r="T797" s="55">
        <f>IF(B797="","",SUMIFS('REVENUE'!$C$5:$C$1504,'REVENUE'!$B$5:$B$1504,A797))</f>
        <v/>
      </c>
      <c r="U797" s="55">
        <f>IF(B797="","",IF(O797="Completed",MAX(0,N(S797)-T797),""))</f>
        <v/>
      </c>
      <c r="V797" s="49">
        <f>IF(B797="","",IF(O797&lt;&gt;"Completed",IF(T797&gt;0,"Deposit","—"),IF(U797&lt;=0.005,"Paid",IF(T797&gt;0,"Partial","Unpaid"))))</f>
        <v/>
      </c>
      <c r="W797" s="55">
        <f>IF(B797="","",IFERROR(1/(1/INDEX('STAFF &amp; TASKS'!$C$5:$C$24,MATCH(H797,'STAFF &amp; TASKS'!$A$5:$A$24,0))),PayRate))</f>
        <v/>
      </c>
      <c r="X797" s="55">
        <f>IF(B797="","",IF(OR(O797="Cancelled",O797="No-Show"),"",ROUND(R797*W797*(1+Burden),2)))</f>
        <v/>
      </c>
      <c r="Y797" s="55">
        <f>IF(B797="","",IF(OR(O797="Cancelled",O797="No-Show"),"",IF(N797&lt;&gt;"",N797,ROUND(R797*SupHr*IFERROR(INDEX('PRICING'!$G$7:$G$16,MATCH(F797,'PRICING'!$A$7:$A$16,0)),1),2))))</f>
        <v/>
      </c>
      <c r="Z797" s="98">
        <f>IF(B797="","",SUMIFS('MILEAGE'!$J$5:$J$1504,'MILEAGE'!$B$5:$B$1504,A797))</f>
        <v/>
      </c>
      <c r="AA797" s="55">
        <f>IF(B797="","",ROUND(Z797*MileRate,2))</f>
        <v/>
      </c>
      <c r="AB797" s="55">
        <f>IF(B797="","",SUMIFS('REVENUE'!$J$5:$J$1504,'REVENUE'!$B$5:$B$1504,A797))</f>
        <v/>
      </c>
      <c r="AC797" s="55">
        <f>IF(L797="","",IF(OR(O797="Cancelled",O797="No-Show"),"",L797-N(X797)-N(Y797)-AA797-AB797))</f>
        <v/>
      </c>
      <c r="AD797" s="99">
        <f>IF(OR(AC797="",N(L797)=0),"",AC797/L797)</f>
        <v/>
      </c>
      <c r="AE797" s="55">
        <f>IF(OR(AC797="",N(R797)=0),"",L797/R797)</f>
        <v/>
      </c>
      <c r="AF797" s="100">
        <f>IF(OR(N(K797)=0,N(J797)+N(Q797)=0),"",K797-IF(N(J797)&gt;0,J797,Q797))</f>
        <v/>
      </c>
      <c r="AG797" s="99">
        <f>IF(B797="","",IFERROR(AVERAGEIFS('QUALITY CONTROL'!$M$5:$M$304,'QUALITY CONTROL'!$B$5:$B$304,A797),""))</f>
        <v/>
      </c>
      <c r="AH797" s="51">
        <f>IF(B797="","",DATE(YEAR(B797),MONTH(B797),1))</f>
        <v/>
      </c>
      <c r="AI797" s="49">
        <f>IF(D797="","",IFERROR(INDEX('CUSTOMERS'!$E$5:$E$404,MATCH(D797,'CUSTOMERS'!$B$5:$B$404,0)),""))</f>
        <v/>
      </c>
      <c r="AJ797" s="49">
        <f>IF(B797="","",N(C797))</f>
        <v/>
      </c>
      <c r="AK797" s="49">
        <f>IF(OR(B797="",O797="Cancelled",O797="Rescheduled"),"",B797&amp;"|"&amp;(COUNTIFS('JOBS'!$B$5:$B$1504,B797,'JOBS'!$AJ$5:$AJ$1504,"&lt;"&amp;AJ797,'JOBS'!$O$5:$O$1504,"&lt;&gt;Cancelled",'JOBS'!$O$5:$O$1504,"&lt;&gt;Rescheduled")+COUNTIFS($B$5:B797,B797,$AJ$5:AJ797,AJ797,$O$5:O797,"&lt;&gt;Cancelled",$O$5:O797,"&lt;&gt;Rescheduled")))</f>
        <v/>
      </c>
      <c r="AL797" s="49">
        <f>IF(N(U797)&lt;=0.005,"",COUNTIFS('JOBS'!$U$5:$U$1504,"&gt;0.005",'JOBS'!$B$5:$B$1504,"&lt;"&amp;B797)+COUNTIFS($U$5:U797,"&gt;0.005",$B$5:B797,B797))</f>
        <v/>
      </c>
    </row>
    <row r="798">
      <c r="A798" s="46" t="inlineStr">
        <is>
          <t>J-0794</t>
        </is>
      </c>
      <c r="B798" s="47" t="n"/>
      <c r="C798" s="94" t="n"/>
      <c r="D798" s="38" t="n"/>
      <c r="E798" s="38" t="n"/>
      <c r="F798" s="38" t="n"/>
      <c r="G798" s="38" t="n"/>
      <c r="H798" s="38" t="n"/>
      <c r="I798" s="57" t="n"/>
      <c r="J798" s="95" t="n"/>
      <c r="K798" s="95" t="n"/>
      <c r="L798" s="48" t="n"/>
      <c r="M798" s="96" t="n"/>
      <c r="N798" s="48" t="n"/>
      <c r="O798" s="38" t="n"/>
      <c r="P798" s="38" t="n"/>
      <c r="Q798" s="97">
        <f>IF(OR(F798="",E798=""),"",IFERROR(IF(INDEX('PROPERTIES'!$F$5:$F$404,MATCH(E798,'PROPERTIES'!$B$5:$B$404,0))=0,"",ROUND((INDEX('PROPERTIES'!$F$5:$F$404,MATCH(E798,'PROPERTIES'!$B$5:$B$404,0))/INDEX('PRICING'!$C$7:$C$16,MATCH(F798,'PRICING'!$A$7:$A$16,0))+INDEX('PROPERTIES'!$G$5:$G$404,MATCH(E798,'PROPERTIES'!$B$5:$B$404,0))*INDEX('PRICING'!$D$7:$D$16,MATCH(F798,'PRICING'!$A$7:$A$16,0))/60+INDEX('PROPERTIES'!$H$5:$H$404,MATCH(E798,'PROPERTIES'!$B$5:$B$404,0))*INDEX('PRICING'!$E$7:$E$16,MATCH(F798,'PRICING'!$A$7:$A$16,0))/60+INDEX('PRICING'!$F$7:$F$16,MATCH(F798,'PRICING'!$A$7:$A$16,0))/60),2)),""))</f>
        <v/>
      </c>
      <c r="R798" s="97">
        <f>IF(B798="","",IF(N(K798)&gt;0,K798,IF(N(J798)&gt;0,J798,N(Q798))))</f>
        <v/>
      </c>
      <c r="S798" s="55">
        <f>IF(L798="","",ROUND(L798*(1+N(M798)),2))</f>
        <v/>
      </c>
      <c r="T798" s="55">
        <f>IF(B798="","",SUMIFS('REVENUE'!$C$5:$C$1504,'REVENUE'!$B$5:$B$1504,A798))</f>
        <v/>
      </c>
      <c r="U798" s="55">
        <f>IF(B798="","",IF(O798="Completed",MAX(0,N(S798)-T798),""))</f>
        <v/>
      </c>
      <c r="V798" s="49">
        <f>IF(B798="","",IF(O798&lt;&gt;"Completed",IF(T798&gt;0,"Deposit","—"),IF(U798&lt;=0.005,"Paid",IF(T798&gt;0,"Partial","Unpaid"))))</f>
        <v/>
      </c>
      <c r="W798" s="55">
        <f>IF(B798="","",IFERROR(1/(1/INDEX('STAFF &amp; TASKS'!$C$5:$C$24,MATCH(H798,'STAFF &amp; TASKS'!$A$5:$A$24,0))),PayRate))</f>
        <v/>
      </c>
      <c r="X798" s="55">
        <f>IF(B798="","",IF(OR(O798="Cancelled",O798="No-Show"),"",ROUND(R798*W798*(1+Burden),2)))</f>
        <v/>
      </c>
      <c r="Y798" s="55">
        <f>IF(B798="","",IF(OR(O798="Cancelled",O798="No-Show"),"",IF(N798&lt;&gt;"",N798,ROUND(R798*SupHr*IFERROR(INDEX('PRICING'!$G$7:$G$16,MATCH(F798,'PRICING'!$A$7:$A$16,0)),1),2))))</f>
        <v/>
      </c>
      <c r="Z798" s="98">
        <f>IF(B798="","",SUMIFS('MILEAGE'!$J$5:$J$1504,'MILEAGE'!$B$5:$B$1504,A798))</f>
        <v/>
      </c>
      <c r="AA798" s="55">
        <f>IF(B798="","",ROUND(Z798*MileRate,2))</f>
        <v/>
      </c>
      <c r="AB798" s="55">
        <f>IF(B798="","",SUMIFS('REVENUE'!$J$5:$J$1504,'REVENUE'!$B$5:$B$1504,A798))</f>
        <v/>
      </c>
      <c r="AC798" s="55">
        <f>IF(L798="","",IF(OR(O798="Cancelled",O798="No-Show"),"",L798-N(X798)-N(Y798)-AA798-AB798))</f>
        <v/>
      </c>
      <c r="AD798" s="99">
        <f>IF(OR(AC798="",N(L798)=0),"",AC798/L798)</f>
        <v/>
      </c>
      <c r="AE798" s="55">
        <f>IF(OR(AC798="",N(R798)=0),"",L798/R798)</f>
        <v/>
      </c>
      <c r="AF798" s="100">
        <f>IF(OR(N(K798)=0,N(J798)+N(Q798)=0),"",K798-IF(N(J798)&gt;0,J798,Q798))</f>
        <v/>
      </c>
      <c r="AG798" s="99">
        <f>IF(B798="","",IFERROR(AVERAGEIFS('QUALITY CONTROL'!$M$5:$M$304,'QUALITY CONTROL'!$B$5:$B$304,A798),""))</f>
        <v/>
      </c>
      <c r="AH798" s="51">
        <f>IF(B798="","",DATE(YEAR(B798),MONTH(B798),1))</f>
        <v/>
      </c>
      <c r="AI798" s="49">
        <f>IF(D798="","",IFERROR(INDEX('CUSTOMERS'!$E$5:$E$404,MATCH(D798,'CUSTOMERS'!$B$5:$B$404,0)),""))</f>
        <v/>
      </c>
      <c r="AJ798" s="49">
        <f>IF(B798="","",N(C798))</f>
        <v/>
      </c>
      <c r="AK798" s="49">
        <f>IF(OR(B798="",O798="Cancelled",O798="Rescheduled"),"",B798&amp;"|"&amp;(COUNTIFS('JOBS'!$B$5:$B$1504,B798,'JOBS'!$AJ$5:$AJ$1504,"&lt;"&amp;AJ798,'JOBS'!$O$5:$O$1504,"&lt;&gt;Cancelled",'JOBS'!$O$5:$O$1504,"&lt;&gt;Rescheduled")+COUNTIFS($B$5:B798,B798,$AJ$5:AJ798,AJ798,$O$5:O798,"&lt;&gt;Cancelled",$O$5:O798,"&lt;&gt;Rescheduled")))</f>
        <v/>
      </c>
      <c r="AL798" s="49">
        <f>IF(N(U798)&lt;=0.005,"",COUNTIFS('JOBS'!$U$5:$U$1504,"&gt;0.005",'JOBS'!$B$5:$B$1504,"&lt;"&amp;B798)+COUNTIFS($U$5:U798,"&gt;0.005",$B$5:B798,B798))</f>
        <v/>
      </c>
    </row>
    <row r="799">
      <c r="A799" s="46" t="inlineStr">
        <is>
          <t>J-0795</t>
        </is>
      </c>
      <c r="B799" s="47" t="n"/>
      <c r="C799" s="94" t="n"/>
      <c r="D799" s="38" t="n"/>
      <c r="E799" s="38" t="n"/>
      <c r="F799" s="38" t="n"/>
      <c r="G799" s="38" t="n"/>
      <c r="H799" s="38" t="n"/>
      <c r="I799" s="57" t="n"/>
      <c r="J799" s="95" t="n"/>
      <c r="K799" s="95" t="n"/>
      <c r="L799" s="48" t="n"/>
      <c r="M799" s="96" t="n"/>
      <c r="N799" s="48" t="n"/>
      <c r="O799" s="38" t="n"/>
      <c r="P799" s="38" t="n"/>
      <c r="Q799" s="97">
        <f>IF(OR(F799="",E799=""),"",IFERROR(IF(INDEX('PROPERTIES'!$F$5:$F$404,MATCH(E799,'PROPERTIES'!$B$5:$B$404,0))=0,"",ROUND((INDEX('PROPERTIES'!$F$5:$F$404,MATCH(E799,'PROPERTIES'!$B$5:$B$404,0))/INDEX('PRICING'!$C$7:$C$16,MATCH(F799,'PRICING'!$A$7:$A$16,0))+INDEX('PROPERTIES'!$G$5:$G$404,MATCH(E799,'PROPERTIES'!$B$5:$B$404,0))*INDEX('PRICING'!$D$7:$D$16,MATCH(F799,'PRICING'!$A$7:$A$16,0))/60+INDEX('PROPERTIES'!$H$5:$H$404,MATCH(E799,'PROPERTIES'!$B$5:$B$404,0))*INDEX('PRICING'!$E$7:$E$16,MATCH(F799,'PRICING'!$A$7:$A$16,0))/60+INDEX('PRICING'!$F$7:$F$16,MATCH(F799,'PRICING'!$A$7:$A$16,0))/60),2)),""))</f>
        <v/>
      </c>
      <c r="R799" s="97">
        <f>IF(B799="","",IF(N(K799)&gt;0,K799,IF(N(J799)&gt;0,J799,N(Q799))))</f>
        <v/>
      </c>
      <c r="S799" s="55">
        <f>IF(L799="","",ROUND(L799*(1+N(M799)),2))</f>
        <v/>
      </c>
      <c r="T799" s="55">
        <f>IF(B799="","",SUMIFS('REVENUE'!$C$5:$C$1504,'REVENUE'!$B$5:$B$1504,A799))</f>
        <v/>
      </c>
      <c r="U799" s="55">
        <f>IF(B799="","",IF(O799="Completed",MAX(0,N(S799)-T799),""))</f>
        <v/>
      </c>
      <c r="V799" s="49">
        <f>IF(B799="","",IF(O799&lt;&gt;"Completed",IF(T799&gt;0,"Deposit","—"),IF(U799&lt;=0.005,"Paid",IF(T799&gt;0,"Partial","Unpaid"))))</f>
        <v/>
      </c>
      <c r="W799" s="55">
        <f>IF(B799="","",IFERROR(1/(1/INDEX('STAFF &amp; TASKS'!$C$5:$C$24,MATCH(H799,'STAFF &amp; TASKS'!$A$5:$A$24,0))),PayRate))</f>
        <v/>
      </c>
      <c r="X799" s="55">
        <f>IF(B799="","",IF(OR(O799="Cancelled",O799="No-Show"),"",ROUND(R799*W799*(1+Burden),2)))</f>
        <v/>
      </c>
      <c r="Y799" s="55">
        <f>IF(B799="","",IF(OR(O799="Cancelled",O799="No-Show"),"",IF(N799&lt;&gt;"",N799,ROUND(R799*SupHr*IFERROR(INDEX('PRICING'!$G$7:$G$16,MATCH(F799,'PRICING'!$A$7:$A$16,0)),1),2))))</f>
        <v/>
      </c>
      <c r="Z799" s="98">
        <f>IF(B799="","",SUMIFS('MILEAGE'!$J$5:$J$1504,'MILEAGE'!$B$5:$B$1504,A799))</f>
        <v/>
      </c>
      <c r="AA799" s="55">
        <f>IF(B799="","",ROUND(Z799*MileRate,2))</f>
        <v/>
      </c>
      <c r="AB799" s="55">
        <f>IF(B799="","",SUMIFS('REVENUE'!$J$5:$J$1504,'REVENUE'!$B$5:$B$1504,A799))</f>
        <v/>
      </c>
      <c r="AC799" s="55">
        <f>IF(L799="","",IF(OR(O799="Cancelled",O799="No-Show"),"",L799-N(X799)-N(Y799)-AA799-AB799))</f>
        <v/>
      </c>
      <c r="AD799" s="99">
        <f>IF(OR(AC799="",N(L799)=0),"",AC799/L799)</f>
        <v/>
      </c>
      <c r="AE799" s="55">
        <f>IF(OR(AC799="",N(R799)=0),"",L799/R799)</f>
        <v/>
      </c>
      <c r="AF799" s="100">
        <f>IF(OR(N(K799)=0,N(J799)+N(Q799)=0),"",K799-IF(N(J799)&gt;0,J799,Q799))</f>
        <v/>
      </c>
      <c r="AG799" s="99">
        <f>IF(B799="","",IFERROR(AVERAGEIFS('QUALITY CONTROL'!$M$5:$M$304,'QUALITY CONTROL'!$B$5:$B$304,A799),""))</f>
        <v/>
      </c>
      <c r="AH799" s="51">
        <f>IF(B799="","",DATE(YEAR(B799),MONTH(B799),1))</f>
        <v/>
      </c>
      <c r="AI799" s="49">
        <f>IF(D799="","",IFERROR(INDEX('CUSTOMERS'!$E$5:$E$404,MATCH(D799,'CUSTOMERS'!$B$5:$B$404,0)),""))</f>
        <v/>
      </c>
      <c r="AJ799" s="49">
        <f>IF(B799="","",N(C799))</f>
        <v/>
      </c>
      <c r="AK799" s="49">
        <f>IF(OR(B799="",O799="Cancelled",O799="Rescheduled"),"",B799&amp;"|"&amp;(COUNTIFS('JOBS'!$B$5:$B$1504,B799,'JOBS'!$AJ$5:$AJ$1504,"&lt;"&amp;AJ799,'JOBS'!$O$5:$O$1504,"&lt;&gt;Cancelled",'JOBS'!$O$5:$O$1504,"&lt;&gt;Rescheduled")+COUNTIFS($B$5:B799,B799,$AJ$5:AJ799,AJ799,$O$5:O799,"&lt;&gt;Cancelled",$O$5:O799,"&lt;&gt;Rescheduled")))</f>
        <v/>
      </c>
      <c r="AL799" s="49">
        <f>IF(N(U799)&lt;=0.005,"",COUNTIFS('JOBS'!$U$5:$U$1504,"&gt;0.005",'JOBS'!$B$5:$B$1504,"&lt;"&amp;B799)+COUNTIFS($U$5:U799,"&gt;0.005",$B$5:B799,B799))</f>
        <v/>
      </c>
    </row>
    <row r="800">
      <c r="A800" s="46" t="inlineStr">
        <is>
          <t>J-0796</t>
        </is>
      </c>
      <c r="B800" s="47" t="n"/>
      <c r="C800" s="94" t="n"/>
      <c r="D800" s="38" t="n"/>
      <c r="E800" s="38" t="n"/>
      <c r="F800" s="38" t="n"/>
      <c r="G800" s="38" t="n"/>
      <c r="H800" s="38" t="n"/>
      <c r="I800" s="57" t="n"/>
      <c r="J800" s="95" t="n"/>
      <c r="K800" s="95" t="n"/>
      <c r="L800" s="48" t="n"/>
      <c r="M800" s="96" t="n"/>
      <c r="N800" s="48" t="n"/>
      <c r="O800" s="38" t="n"/>
      <c r="P800" s="38" t="n"/>
      <c r="Q800" s="97">
        <f>IF(OR(F800="",E800=""),"",IFERROR(IF(INDEX('PROPERTIES'!$F$5:$F$404,MATCH(E800,'PROPERTIES'!$B$5:$B$404,0))=0,"",ROUND((INDEX('PROPERTIES'!$F$5:$F$404,MATCH(E800,'PROPERTIES'!$B$5:$B$404,0))/INDEX('PRICING'!$C$7:$C$16,MATCH(F800,'PRICING'!$A$7:$A$16,0))+INDEX('PROPERTIES'!$G$5:$G$404,MATCH(E800,'PROPERTIES'!$B$5:$B$404,0))*INDEX('PRICING'!$D$7:$D$16,MATCH(F800,'PRICING'!$A$7:$A$16,0))/60+INDEX('PROPERTIES'!$H$5:$H$404,MATCH(E800,'PROPERTIES'!$B$5:$B$404,0))*INDEX('PRICING'!$E$7:$E$16,MATCH(F800,'PRICING'!$A$7:$A$16,0))/60+INDEX('PRICING'!$F$7:$F$16,MATCH(F800,'PRICING'!$A$7:$A$16,0))/60),2)),""))</f>
        <v/>
      </c>
      <c r="R800" s="97">
        <f>IF(B800="","",IF(N(K800)&gt;0,K800,IF(N(J800)&gt;0,J800,N(Q800))))</f>
        <v/>
      </c>
      <c r="S800" s="55">
        <f>IF(L800="","",ROUND(L800*(1+N(M800)),2))</f>
        <v/>
      </c>
      <c r="T800" s="55">
        <f>IF(B800="","",SUMIFS('REVENUE'!$C$5:$C$1504,'REVENUE'!$B$5:$B$1504,A800))</f>
        <v/>
      </c>
      <c r="U800" s="55">
        <f>IF(B800="","",IF(O800="Completed",MAX(0,N(S800)-T800),""))</f>
        <v/>
      </c>
      <c r="V800" s="49">
        <f>IF(B800="","",IF(O800&lt;&gt;"Completed",IF(T800&gt;0,"Deposit","—"),IF(U800&lt;=0.005,"Paid",IF(T800&gt;0,"Partial","Unpaid"))))</f>
        <v/>
      </c>
      <c r="W800" s="55">
        <f>IF(B800="","",IFERROR(1/(1/INDEX('STAFF &amp; TASKS'!$C$5:$C$24,MATCH(H800,'STAFF &amp; TASKS'!$A$5:$A$24,0))),PayRate))</f>
        <v/>
      </c>
      <c r="X800" s="55">
        <f>IF(B800="","",IF(OR(O800="Cancelled",O800="No-Show"),"",ROUND(R800*W800*(1+Burden),2)))</f>
        <v/>
      </c>
      <c r="Y800" s="55">
        <f>IF(B800="","",IF(OR(O800="Cancelled",O800="No-Show"),"",IF(N800&lt;&gt;"",N800,ROUND(R800*SupHr*IFERROR(INDEX('PRICING'!$G$7:$G$16,MATCH(F800,'PRICING'!$A$7:$A$16,0)),1),2))))</f>
        <v/>
      </c>
      <c r="Z800" s="98">
        <f>IF(B800="","",SUMIFS('MILEAGE'!$J$5:$J$1504,'MILEAGE'!$B$5:$B$1504,A800))</f>
        <v/>
      </c>
      <c r="AA800" s="55">
        <f>IF(B800="","",ROUND(Z800*MileRate,2))</f>
        <v/>
      </c>
      <c r="AB800" s="55">
        <f>IF(B800="","",SUMIFS('REVENUE'!$J$5:$J$1504,'REVENUE'!$B$5:$B$1504,A800))</f>
        <v/>
      </c>
      <c r="AC800" s="55">
        <f>IF(L800="","",IF(OR(O800="Cancelled",O800="No-Show"),"",L800-N(X800)-N(Y800)-AA800-AB800))</f>
        <v/>
      </c>
      <c r="AD800" s="99">
        <f>IF(OR(AC800="",N(L800)=0),"",AC800/L800)</f>
        <v/>
      </c>
      <c r="AE800" s="55">
        <f>IF(OR(AC800="",N(R800)=0),"",L800/R800)</f>
        <v/>
      </c>
      <c r="AF800" s="100">
        <f>IF(OR(N(K800)=0,N(J800)+N(Q800)=0),"",K800-IF(N(J800)&gt;0,J800,Q800))</f>
        <v/>
      </c>
      <c r="AG800" s="99">
        <f>IF(B800="","",IFERROR(AVERAGEIFS('QUALITY CONTROL'!$M$5:$M$304,'QUALITY CONTROL'!$B$5:$B$304,A800),""))</f>
        <v/>
      </c>
      <c r="AH800" s="51">
        <f>IF(B800="","",DATE(YEAR(B800),MONTH(B800),1))</f>
        <v/>
      </c>
      <c r="AI800" s="49">
        <f>IF(D800="","",IFERROR(INDEX('CUSTOMERS'!$E$5:$E$404,MATCH(D800,'CUSTOMERS'!$B$5:$B$404,0)),""))</f>
        <v/>
      </c>
      <c r="AJ800" s="49">
        <f>IF(B800="","",N(C800))</f>
        <v/>
      </c>
      <c r="AK800" s="49">
        <f>IF(OR(B800="",O800="Cancelled",O800="Rescheduled"),"",B800&amp;"|"&amp;(COUNTIFS('JOBS'!$B$5:$B$1504,B800,'JOBS'!$AJ$5:$AJ$1504,"&lt;"&amp;AJ800,'JOBS'!$O$5:$O$1504,"&lt;&gt;Cancelled",'JOBS'!$O$5:$O$1504,"&lt;&gt;Rescheduled")+COUNTIFS($B$5:B800,B800,$AJ$5:AJ800,AJ800,$O$5:O800,"&lt;&gt;Cancelled",$O$5:O800,"&lt;&gt;Rescheduled")))</f>
        <v/>
      </c>
      <c r="AL800" s="49">
        <f>IF(N(U800)&lt;=0.005,"",COUNTIFS('JOBS'!$U$5:$U$1504,"&gt;0.005",'JOBS'!$B$5:$B$1504,"&lt;"&amp;B800)+COUNTIFS($U$5:U800,"&gt;0.005",$B$5:B800,B800))</f>
        <v/>
      </c>
    </row>
    <row r="801">
      <c r="A801" s="46" t="inlineStr">
        <is>
          <t>J-0797</t>
        </is>
      </c>
      <c r="B801" s="47" t="n"/>
      <c r="C801" s="94" t="n"/>
      <c r="D801" s="38" t="n"/>
      <c r="E801" s="38" t="n"/>
      <c r="F801" s="38" t="n"/>
      <c r="G801" s="38" t="n"/>
      <c r="H801" s="38" t="n"/>
      <c r="I801" s="57" t="n"/>
      <c r="J801" s="95" t="n"/>
      <c r="K801" s="95" t="n"/>
      <c r="L801" s="48" t="n"/>
      <c r="M801" s="96" t="n"/>
      <c r="N801" s="48" t="n"/>
      <c r="O801" s="38" t="n"/>
      <c r="P801" s="38" t="n"/>
      <c r="Q801" s="97">
        <f>IF(OR(F801="",E801=""),"",IFERROR(IF(INDEX('PROPERTIES'!$F$5:$F$404,MATCH(E801,'PROPERTIES'!$B$5:$B$404,0))=0,"",ROUND((INDEX('PROPERTIES'!$F$5:$F$404,MATCH(E801,'PROPERTIES'!$B$5:$B$404,0))/INDEX('PRICING'!$C$7:$C$16,MATCH(F801,'PRICING'!$A$7:$A$16,0))+INDEX('PROPERTIES'!$G$5:$G$404,MATCH(E801,'PROPERTIES'!$B$5:$B$404,0))*INDEX('PRICING'!$D$7:$D$16,MATCH(F801,'PRICING'!$A$7:$A$16,0))/60+INDEX('PROPERTIES'!$H$5:$H$404,MATCH(E801,'PROPERTIES'!$B$5:$B$404,0))*INDEX('PRICING'!$E$7:$E$16,MATCH(F801,'PRICING'!$A$7:$A$16,0))/60+INDEX('PRICING'!$F$7:$F$16,MATCH(F801,'PRICING'!$A$7:$A$16,0))/60),2)),""))</f>
        <v/>
      </c>
      <c r="R801" s="97">
        <f>IF(B801="","",IF(N(K801)&gt;0,K801,IF(N(J801)&gt;0,J801,N(Q801))))</f>
        <v/>
      </c>
      <c r="S801" s="55">
        <f>IF(L801="","",ROUND(L801*(1+N(M801)),2))</f>
        <v/>
      </c>
      <c r="T801" s="55">
        <f>IF(B801="","",SUMIFS('REVENUE'!$C$5:$C$1504,'REVENUE'!$B$5:$B$1504,A801))</f>
        <v/>
      </c>
      <c r="U801" s="55">
        <f>IF(B801="","",IF(O801="Completed",MAX(0,N(S801)-T801),""))</f>
        <v/>
      </c>
      <c r="V801" s="49">
        <f>IF(B801="","",IF(O801&lt;&gt;"Completed",IF(T801&gt;0,"Deposit","—"),IF(U801&lt;=0.005,"Paid",IF(T801&gt;0,"Partial","Unpaid"))))</f>
        <v/>
      </c>
      <c r="W801" s="55">
        <f>IF(B801="","",IFERROR(1/(1/INDEX('STAFF &amp; TASKS'!$C$5:$C$24,MATCH(H801,'STAFF &amp; TASKS'!$A$5:$A$24,0))),PayRate))</f>
        <v/>
      </c>
      <c r="X801" s="55">
        <f>IF(B801="","",IF(OR(O801="Cancelled",O801="No-Show"),"",ROUND(R801*W801*(1+Burden),2)))</f>
        <v/>
      </c>
      <c r="Y801" s="55">
        <f>IF(B801="","",IF(OR(O801="Cancelled",O801="No-Show"),"",IF(N801&lt;&gt;"",N801,ROUND(R801*SupHr*IFERROR(INDEX('PRICING'!$G$7:$G$16,MATCH(F801,'PRICING'!$A$7:$A$16,0)),1),2))))</f>
        <v/>
      </c>
      <c r="Z801" s="98">
        <f>IF(B801="","",SUMIFS('MILEAGE'!$J$5:$J$1504,'MILEAGE'!$B$5:$B$1504,A801))</f>
        <v/>
      </c>
      <c r="AA801" s="55">
        <f>IF(B801="","",ROUND(Z801*MileRate,2))</f>
        <v/>
      </c>
      <c r="AB801" s="55">
        <f>IF(B801="","",SUMIFS('REVENUE'!$J$5:$J$1504,'REVENUE'!$B$5:$B$1504,A801))</f>
        <v/>
      </c>
      <c r="AC801" s="55">
        <f>IF(L801="","",IF(OR(O801="Cancelled",O801="No-Show"),"",L801-N(X801)-N(Y801)-AA801-AB801))</f>
        <v/>
      </c>
      <c r="AD801" s="99">
        <f>IF(OR(AC801="",N(L801)=0),"",AC801/L801)</f>
        <v/>
      </c>
      <c r="AE801" s="55">
        <f>IF(OR(AC801="",N(R801)=0),"",L801/R801)</f>
        <v/>
      </c>
      <c r="AF801" s="100">
        <f>IF(OR(N(K801)=0,N(J801)+N(Q801)=0),"",K801-IF(N(J801)&gt;0,J801,Q801))</f>
        <v/>
      </c>
      <c r="AG801" s="99">
        <f>IF(B801="","",IFERROR(AVERAGEIFS('QUALITY CONTROL'!$M$5:$M$304,'QUALITY CONTROL'!$B$5:$B$304,A801),""))</f>
        <v/>
      </c>
      <c r="AH801" s="51">
        <f>IF(B801="","",DATE(YEAR(B801),MONTH(B801),1))</f>
        <v/>
      </c>
      <c r="AI801" s="49">
        <f>IF(D801="","",IFERROR(INDEX('CUSTOMERS'!$E$5:$E$404,MATCH(D801,'CUSTOMERS'!$B$5:$B$404,0)),""))</f>
        <v/>
      </c>
      <c r="AJ801" s="49">
        <f>IF(B801="","",N(C801))</f>
        <v/>
      </c>
      <c r="AK801" s="49">
        <f>IF(OR(B801="",O801="Cancelled",O801="Rescheduled"),"",B801&amp;"|"&amp;(COUNTIFS('JOBS'!$B$5:$B$1504,B801,'JOBS'!$AJ$5:$AJ$1504,"&lt;"&amp;AJ801,'JOBS'!$O$5:$O$1504,"&lt;&gt;Cancelled",'JOBS'!$O$5:$O$1504,"&lt;&gt;Rescheduled")+COUNTIFS($B$5:B801,B801,$AJ$5:AJ801,AJ801,$O$5:O801,"&lt;&gt;Cancelled",$O$5:O801,"&lt;&gt;Rescheduled")))</f>
        <v/>
      </c>
      <c r="AL801" s="49">
        <f>IF(N(U801)&lt;=0.005,"",COUNTIFS('JOBS'!$U$5:$U$1504,"&gt;0.005",'JOBS'!$B$5:$B$1504,"&lt;"&amp;B801)+COUNTIFS($U$5:U801,"&gt;0.005",$B$5:B801,B801))</f>
        <v/>
      </c>
    </row>
    <row r="802">
      <c r="A802" s="46" t="inlineStr">
        <is>
          <t>J-0798</t>
        </is>
      </c>
      <c r="B802" s="47" t="n"/>
      <c r="C802" s="94" t="n"/>
      <c r="D802" s="38" t="n"/>
      <c r="E802" s="38" t="n"/>
      <c r="F802" s="38" t="n"/>
      <c r="G802" s="38" t="n"/>
      <c r="H802" s="38" t="n"/>
      <c r="I802" s="57" t="n"/>
      <c r="J802" s="95" t="n"/>
      <c r="K802" s="95" t="n"/>
      <c r="L802" s="48" t="n"/>
      <c r="M802" s="96" t="n"/>
      <c r="N802" s="48" t="n"/>
      <c r="O802" s="38" t="n"/>
      <c r="P802" s="38" t="n"/>
      <c r="Q802" s="97">
        <f>IF(OR(F802="",E802=""),"",IFERROR(IF(INDEX('PROPERTIES'!$F$5:$F$404,MATCH(E802,'PROPERTIES'!$B$5:$B$404,0))=0,"",ROUND((INDEX('PROPERTIES'!$F$5:$F$404,MATCH(E802,'PROPERTIES'!$B$5:$B$404,0))/INDEX('PRICING'!$C$7:$C$16,MATCH(F802,'PRICING'!$A$7:$A$16,0))+INDEX('PROPERTIES'!$G$5:$G$404,MATCH(E802,'PROPERTIES'!$B$5:$B$404,0))*INDEX('PRICING'!$D$7:$D$16,MATCH(F802,'PRICING'!$A$7:$A$16,0))/60+INDEX('PROPERTIES'!$H$5:$H$404,MATCH(E802,'PROPERTIES'!$B$5:$B$404,0))*INDEX('PRICING'!$E$7:$E$16,MATCH(F802,'PRICING'!$A$7:$A$16,0))/60+INDEX('PRICING'!$F$7:$F$16,MATCH(F802,'PRICING'!$A$7:$A$16,0))/60),2)),""))</f>
        <v/>
      </c>
      <c r="R802" s="97">
        <f>IF(B802="","",IF(N(K802)&gt;0,K802,IF(N(J802)&gt;0,J802,N(Q802))))</f>
        <v/>
      </c>
      <c r="S802" s="55">
        <f>IF(L802="","",ROUND(L802*(1+N(M802)),2))</f>
        <v/>
      </c>
      <c r="T802" s="55">
        <f>IF(B802="","",SUMIFS('REVENUE'!$C$5:$C$1504,'REVENUE'!$B$5:$B$1504,A802))</f>
        <v/>
      </c>
      <c r="U802" s="55">
        <f>IF(B802="","",IF(O802="Completed",MAX(0,N(S802)-T802),""))</f>
        <v/>
      </c>
      <c r="V802" s="49">
        <f>IF(B802="","",IF(O802&lt;&gt;"Completed",IF(T802&gt;0,"Deposit","—"),IF(U802&lt;=0.005,"Paid",IF(T802&gt;0,"Partial","Unpaid"))))</f>
        <v/>
      </c>
      <c r="W802" s="55">
        <f>IF(B802="","",IFERROR(1/(1/INDEX('STAFF &amp; TASKS'!$C$5:$C$24,MATCH(H802,'STAFF &amp; TASKS'!$A$5:$A$24,0))),PayRate))</f>
        <v/>
      </c>
      <c r="X802" s="55">
        <f>IF(B802="","",IF(OR(O802="Cancelled",O802="No-Show"),"",ROUND(R802*W802*(1+Burden),2)))</f>
        <v/>
      </c>
      <c r="Y802" s="55">
        <f>IF(B802="","",IF(OR(O802="Cancelled",O802="No-Show"),"",IF(N802&lt;&gt;"",N802,ROUND(R802*SupHr*IFERROR(INDEX('PRICING'!$G$7:$G$16,MATCH(F802,'PRICING'!$A$7:$A$16,0)),1),2))))</f>
        <v/>
      </c>
      <c r="Z802" s="98">
        <f>IF(B802="","",SUMIFS('MILEAGE'!$J$5:$J$1504,'MILEAGE'!$B$5:$B$1504,A802))</f>
        <v/>
      </c>
      <c r="AA802" s="55">
        <f>IF(B802="","",ROUND(Z802*MileRate,2))</f>
        <v/>
      </c>
      <c r="AB802" s="55">
        <f>IF(B802="","",SUMIFS('REVENUE'!$J$5:$J$1504,'REVENUE'!$B$5:$B$1504,A802))</f>
        <v/>
      </c>
      <c r="AC802" s="55">
        <f>IF(L802="","",IF(OR(O802="Cancelled",O802="No-Show"),"",L802-N(X802)-N(Y802)-AA802-AB802))</f>
        <v/>
      </c>
      <c r="AD802" s="99">
        <f>IF(OR(AC802="",N(L802)=0),"",AC802/L802)</f>
        <v/>
      </c>
      <c r="AE802" s="55">
        <f>IF(OR(AC802="",N(R802)=0),"",L802/R802)</f>
        <v/>
      </c>
      <c r="AF802" s="100">
        <f>IF(OR(N(K802)=0,N(J802)+N(Q802)=0),"",K802-IF(N(J802)&gt;0,J802,Q802))</f>
        <v/>
      </c>
      <c r="AG802" s="99">
        <f>IF(B802="","",IFERROR(AVERAGEIFS('QUALITY CONTROL'!$M$5:$M$304,'QUALITY CONTROL'!$B$5:$B$304,A802),""))</f>
        <v/>
      </c>
      <c r="AH802" s="51">
        <f>IF(B802="","",DATE(YEAR(B802),MONTH(B802),1))</f>
        <v/>
      </c>
      <c r="AI802" s="49">
        <f>IF(D802="","",IFERROR(INDEX('CUSTOMERS'!$E$5:$E$404,MATCH(D802,'CUSTOMERS'!$B$5:$B$404,0)),""))</f>
        <v/>
      </c>
      <c r="AJ802" s="49">
        <f>IF(B802="","",N(C802))</f>
        <v/>
      </c>
      <c r="AK802" s="49">
        <f>IF(OR(B802="",O802="Cancelled",O802="Rescheduled"),"",B802&amp;"|"&amp;(COUNTIFS('JOBS'!$B$5:$B$1504,B802,'JOBS'!$AJ$5:$AJ$1504,"&lt;"&amp;AJ802,'JOBS'!$O$5:$O$1504,"&lt;&gt;Cancelled",'JOBS'!$O$5:$O$1504,"&lt;&gt;Rescheduled")+COUNTIFS($B$5:B802,B802,$AJ$5:AJ802,AJ802,$O$5:O802,"&lt;&gt;Cancelled",$O$5:O802,"&lt;&gt;Rescheduled")))</f>
        <v/>
      </c>
      <c r="AL802" s="49">
        <f>IF(N(U802)&lt;=0.005,"",COUNTIFS('JOBS'!$U$5:$U$1504,"&gt;0.005",'JOBS'!$B$5:$B$1504,"&lt;"&amp;B802)+COUNTIFS($U$5:U802,"&gt;0.005",$B$5:B802,B802))</f>
        <v/>
      </c>
    </row>
    <row r="803">
      <c r="A803" s="46" t="inlineStr">
        <is>
          <t>J-0799</t>
        </is>
      </c>
      <c r="B803" s="47" t="n"/>
      <c r="C803" s="94" t="n"/>
      <c r="D803" s="38" t="n"/>
      <c r="E803" s="38" t="n"/>
      <c r="F803" s="38" t="n"/>
      <c r="G803" s="38" t="n"/>
      <c r="H803" s="38" t="n"/>
      <c r="I803" s="57" t="n"/>
      <c r="J803" s="95" t="n"/>
      <c r="K803" s="95" t="n"/>
      <c r="L803" s="48" t="n"/>
      <c r="M803" s="96" t="n"/>
      <c r="N803" s="48" t="n"/>
      <c r="O803" s="38" t="n"/>
      <c r="P803" s="38" t="n"/>
      <c r="Q803" s="97">
        <f>IF(OR(F803="",E803=""),"",IFERROR(IF(INDEX('PROPERTIES'!$F$5:$F$404,MATCH(E803,'PROPERTIES'!$B$5:$B$404,0))=0,"",ROUND((INDEX('PROPERTIES'!$F$5:$F$404,MATCH(E803,'PROPERTIES'!$B$5:$B$404,0))/INDEX('PRICING'!$C$7:$C$16,MATCH(F803,'PRICING'!$A$7:$A$16,0))+INDEX('PROPERTIES'!$G$5:$G$404,MATCH(E803,'PROPERTIES'!$B$5:$B$404,0))*INDEX('PRICING'!$D$7:$D$16,MATCH(F803,'PRICING'!$A$7:$A$16,0))/60+INDEX('PROPERTIES'!$H$5:$H$404,MATCH(E803,'PROPERTIES'!$B$5:$B$404,0))*INDEX('PRICING'!$E$7:$E$16,MATCH(F803,'PRICING'!$A$7:$A$16,0))/60+INDEX('PRICING'!$F$7:$F$16,MATCH(F803,'PRICING'!$A$7:$A$16,0))/60),2)),""))</f>
        <v/>
      </c>
      <c r="R803" s="97">
        <f>IF(B803="","",IF(N(K803)&gt;0,K803,IF(N(J803)&gt;0,J803,N(Q803))))</f>
        <v/>
      </c>
      <c r="S803" s="55">
        <f>IF(L803="","",ROUND(L803*(1+N(M803)),2))</f>
        <v/>
      </c>
      <c r="T803" s="55">
        <f>IF(B803="","",SUMIFS('REVENUE'!$C$5:$C$1504,'REVENUE'!$B$5:$B$1504,A803))</f>
        <v/>
      </c>
      <c r="U803" s="55">
        <f>IF(B803="","",IF(O803="Completed",MAX(0,N(S803)-T803),""))</f>
        <v/>
      </c>
      <c r="V803" s="49">
        <f>IF(B803="","",IF(O803&lt;&gt;"Completed",IF(T803&gt;0,"Deposit","—"),IF(U803&lt;=0.005,"Paid",IF(T803&gt;0,"Partial","Unpaid"))))</f>
        <v/>
      </c>
      <c r="W803" s="55">
        <f>IF(B803="","",IFERROR(1/(1/INDEX('STAFF &amp; TASKS'!$C$5:$C$24,MATCH(H803,'STAFF &amp; TASKS'!$A$5:$A$24,0))),PayRate))</f>
        <v/>
      </c>
      <c r="X803" s="55">
        <f>IF(B803="","",IF(OR(O803="Cancelled",O803="No-Show"),"",ROUND(R803*W803*(1+Burden),2)))</f>
        <v/>
      </c>
      <c r="Y803" s="55">
        <f>IF(B803="","",IF(OR(O803="Cancelled",O803="No-Show"),"",IF(N803&lt;&gt;"",N803,ROUND(R803*SupHr*IFERROR(INDEX('PRICING'!$G$7:$G$16,MATCH(F803,'PRICING'!$A$7:$A$16,0)),1),2))))</f>
        <v/>
      </c>
      <c r="Z803" s="98">
        <f>IF(B803="","",SUMIFS('MILEAGE'!$J$5:$J$1504,'MILEAGE'!$B$5:$B$1504,A803))</f>
        <v/>
      </c>
      <c r="AA803" s="55">
        <f>IF(B803="","",ROUND(Z803*MileRate,2))</f>
        <v/>
      </c>
      <c r="AB803" s="55">
        <f>IF(B803="","",SUMIFS('REVENUE'!$J$5:$J$1504,'REVENUE'!$B$5:$B$1504,A803))</f>
        <v/>
      </c>
      <c r="AC803" s="55">
        <f>IF(L803="","",IF(OR(O803="Cancelled",O803="No-Show"),"",L803-N(X803)-N(Y803)-AA803-AB803))</f>
        <v/>
      </c>
      <c r="AD803" s="99">
        <f>IF(OR(AC803="",N(L803)=0),"",AC803/L803)</f>
        <v/>
      </c>
      <c r="AE803" s="55">
        <f>IF(OR(AC803="",N(R803)=0),"",L803/R803)</f>
        <v/>
      </c>
      <c r="AF803" s="100">
        <f>IF(OR(N(K803)=0,N(J803)+N(Q803)=0),"",K803-IF(N(J803)&gt;0,J803,Q803))</f>
        <v/>
      </c>
      <c r="AG803" s="99">
        <f>IF(B803="","",IFERROR(AVERAGEIFS('QUALITY CONTROL'!$M$5:$M$304,'QUALITY CONTROL'!$B$5:$B$304,A803),""))</f>
        <v/>
      </c>
      <c r="AH803" s="51">
        <f>IF(B803="","",DATE(YEAR(B803),MONTH(B803),1))</f>
        <v/>
      </c>
      <c r="AI803" s="49">
        <f>IF(D803="","",IFERROR(INDEX('CUSTOMERS'!$E$5:$E$404,MATCH(D803,'CUSTOMERS'!$B$5:$B$404,0)),""))</f>
        <v/>
      </c>
      <c r="AJ803" s="49">
        <f>IF(B803="","",N(C803))</f>
        <v/>
      </c>
      <c r="AK803" s="49">
        <f>IF(OR(B803="",O803="Cancelled",O803="Rescheduled"),"",B803&amp;"|"&amp;(COUNTIFS('JOBS'!$B$5:$B$1504,B803,'JOBS'!$AJ$5:$AJ$1504,"&lt;"&amp;AJ803,'JOBS'!$O$5:$O$1504,"&lt;&gt;Cancelled",'JOBS'!$O$5:$O$1504,"&lt;&gt;Rescheduled")+COUNTIFS($B$5:B803,B803,$AJ$5:AJ803,AJ803,$O$5:O803,"&lt;&gt;Cancelled",$O$5:O803,"&lt;&gt;Rescheduled")))</f>
        <v/>
      </c>
      <c r="AL803" s="49">
        <f>IF(N(U803)&lt;=0.005,"",COUNTIFS('JOBS'!$U$5:$U$1504,"&gt;0.005",'JOBS'!$B$5:$B$1504,"&lt;"&amp;B803)+COUNTIFS($U$5:U803,"&gt;0.005",$B$5:B803,B803))</f>
        <v/>
      </c>
    </row>
    <row r="804">
      <c r="A804" s="46" t="inlineStr">
        <is>
          <t>J-0800</t>
        </is>
      </c>
      <c r="B804" s="47" t="n"/>
      <c r="C804" s="94" t="n"/>
      <c r="D804" s="38" t="n"/>
      <c r="E804" s="38" t="n"/>
      <c r="F804" s="38" t="n"/>
      <c r="G804" s="38" t="n"/>
      <c r="H804" s="38" t="n"/>
      <c r="I804" s="57" t="n"/>
      <c r="J804" s="95" t="n"/>
      <c r="K804" s="95" t="n"/>
      <c r="L804" s="48" t="n"/>
      <c r="M804" s="96" t="n"/>
      <c r="N804" s="48" t="n"/>
      <c r="O804" s="38" t="n"/>
      <c r="P804" s="38" t="n"/>
      <c r="Q804" s="97">
        <f>IF(OR(F804="",E804=""),"",IFERROR(IF(INDEX('PROPERTIES'!$F$5:$F$404,MATCH(E804,'PROPERTIES'!$B$5:$B$404,0))=0,"",ROUND((INDEX('PROPERTIES'!$F$5:$F$404,MATCH(E804,'PROPERTIES'!$B$5:$B$404,0))/INDEX('PRICING'!$C$7:$C$16,MATCH(F804,'PRICING'!$A$7:$A$16,0))+INDEX('PROPERTIES'!$G$5:$G$404,MATCH(E804,'PROPERTIES'!$B$5:$B$404,0))*INDEX('PRICING'!$D$7:$D$16,MATCH(F804,'PRICING'!$A$7:$A$16,0))/60+INDEX('PROPERTIES'!$H$5:$H$404,MATCH(E804,'PROPERTIES'!$B$5:$B$404,0))*INDEX('PRICING'!$E$7:$E$16,MATCH(F804,'PRICING'!$A$7:$A$16,0))/60+INDEX('PRICING'!$F$7:$F$16,MATCH(F804,'PRICING'!$A$7:$A$16,0))/60),2)),""))</f>
        <v/>
      </c>
      <c r="R804" s="97">
        <f>IF(B804="","",IF(N(K804)&gt;0,K804,IF(N(J804)&gt;0,J804,N(Q804))))</f>
        <v/>
      </c>
      <c r="S804" s="55">
        <f>IF(L804="","",ROUND(L804*(1+N(M804)),2))</f>
        <v/>
      </c>
      <c r="T804" s="55">
        <f>IF(B804="","",SUMIFS('REVENUE'!$C$5:$C$1504,'REVENUE'!$B$5:$B$1504,A804))</f>
        <v/>
      </c>
      <c r="U804" s="55">
        <f>IF(B804="","",IF(O804="Completed",MAX(0,N(S804)-T804),""))</f>
        <v/>
      </c>
      <c r="V804" s="49">
        <f>IF(B804="","",IF(O804&lt;&gt;"Completed",IF(T804&gt;0,"Deposit","—"),IF(U804&lt;=0.005,"Paid",IF(T804&gt;0,"Partial","Unpaid"))))</f>
        <v/>
      </c>
      <c r="W804" s="55">
        <f>IF(B804="","",IFERROR(1/(1/INDEX('STAFF &amp; TASKS'!$C$5:$C$24,MATCH(H804,'STAFF &amp; TASKS'!$A$5:$A$24,0))),PayRate))</f>
        <v/>
      </c>
      <c r="X804" s="55">
        <f>IF(B804="","",IF(OR(O804="Cancelled",O804="No-Show"),"",ROUND(R804*W804*(1+Burden),2)))</f>
        <v/>
      </c>
      <c r="Y804" s="55">
        <f>IF(B804="","",IF(OR(O804="Cancelled",O804="No-Show"),"",IF(N804&lt;&gt;"",N804,ROUND(R804*SupHr*IFERROR(INDEX('PRICING'!$G$7:$G$16,MATCH(F804,'PRICING'!$A$7:$A$16,0)),1),2))))</f>
        <v/>
      </c>
      <c r="Z804" s="98">
        <f>IF(B804="","",SUMIFS('MILEAGE'!$J$5:$J$1504,'MILEAGE'!$B$5:$B$1504,A804))</f>
        <v/>
      </c>
      <c r="AA804" s="55">
        <f>IF(B804="","",ROUND(Z804*MileRate,2))</f>
        <v/>
      </c>
      <c r="AB804" s="55">
        <f>IF(B804="","",SUMIFS('REVENUE'!$J$5:$J$1504,'REVENUE'!$B$5:$B$1504,A804))</f>
        <v/>
      </c>
      <c r="AC804" s="55">
        <f>IF(L804="","",IF(OR(O804="Cancelled",O804="No-Show"),"",L804-N(X804)-N(Y804)-AA804-AB804))</f>
        <v/>
      </c>
      <c r="AD804" s="99">
        <f>IF(OR(AC804="",N(L804)=0),"",AC804/L804)</f>
        <v/>
      </c>
      <c r="AE804" s="55">
        <f>IF(OR(AC804="",N(R804)=0),"",L804/R804)</f>
        <v/>
      </c>
      <c r="AF804" s="100">
        <f>IF(OR(N(K804)=0,N(J804)+N(Q804)=0),"",K804-IF(N(J804)&gt;0,J804,Q804))</f>
        <v/>
      </c>
      <c r="AG804" s="99">
        <f>IF(B804="","",IFERROR(AVERAGEIFS('QUALITY CONTROL'!$M$5:$M$304,'QUALITY CONTROL'!$B$5:$B$304,A804),""))</f>
        <v/>
      </c>
      <c r="AH804" s="51">
        <f>IF(B804="","",DATE(YEAR(B804),MONTH(B804),1))</f>
        <v/>
      </c>
      <c r="AI804" s="49">
        <f>IF(D804="","",IFERROR(INDEX('CUSTOMERS'!$E$5:$E$404,MATCH(D804,'CUSTOMERS'!$B$5:$B$404,0)),""))</f>
        <v/>
      </c>
      <c r="AJ804" s="49">
        <f>IF(B804="","",N(C804))</f>
        <v/>
      </c>
      <c r="AK804" s="49">
        <f>IF(OR(B804="",O804="Cancelled",O804="Rescheduled"),"",B804&amp;"|"&amp;(COUNTIFS('JOBS'!$B$5:$B$1504,B804,'JOBS'!$AJ$5:$AJ$1504,"&lt;"&amp;AJ804,'JOBS'!$O$5:$O$1504,"&lt;&gt;Cancelled",'JOBS'!$O$5:$O$1504,"&lt;&gt;Rescheduled")+COUNTIFS($B$5:B804,B804,$AJ$5:AJ804,AJ804,$O$5:O804,"&lt;&gt;Cancelled",$O$5:O804,"&lt;&gt;Rescheduled")))</f>
        <v/>
      </c>
      <c r="AL804" s="49">
        <f>IF(N(U804)&lt;=0.005,"",COUNTIFS('JOBS'!$U$5:$U$1504,"&gt;0.005",'JOBS'!$B$5:$B$1504,"&lt;"&amp;B804)+COUNTIFS($U$5:U804,"&gt;0.005",$B$5:B804,B804))</f>
        <v/>
      </c>
    </row>
    <row r="805">
      <c r="A805" s="46" t="inlineStr">
        <is>
          <t>J-0801</t>
        </is>
      </c>
      <c r="B805" s="47" t="n"/>
      <c r="C805" s="94" t="n"/>
      <c r="D805" s="38" t="n"/>
      <c r="E805" s="38" t="n"/>
      <c r="F805" s="38" t="n"/>
      <c r="G805" s="38" t="n"/>
      <c r="H805" s="38" t="n"/>
      <c r="I805" s="57" t="n"/>
      <c r="J805" s="95" t="n"/>
      <c r="K805" s="95" t="n"/>
      <c r="L805" s="48" t="n"/>
      <c r="M805" s="96" t="n"/>
      <c r="N805" s="48" t="n"/>
      <c r="O805" s="38" t="n"/>
      <c r="P805" s="38" t="n"/>
      <c r="Q805" s="97">
        <f>IF(OR(F805="",E805=""),"",IFERROR(IF(INDEX('PROPERTIES'!$F$5:$F$404,MATCH(E805,'PROPERTIES'!$B$5:$B$404,0))=0,"",ROUND((INDEX('PROPERTIES'!$F$5:$F$404,MATCH(E805,'PROPERTIES'!$B$5:$B$404,0))/INDEX('PRICING'!$C$7:$C$16,MATCH(F805,'PRICING'!$A$7:$A$16,0))+INDEX('PROPERTIES'!$G$5:$G$404,MATCH(E805,'PROPERTIES'!$B$5:$B$404,0))*INDEX('PRICING'!$D$7:$D$16,MATCH(F805,'PRICING'!$A$7:$A$16,0))/60+INDEX('PROPERTIES'!$H$5:$H$404,MATCH(E805,'PROPERTIES'!$B$5:$B$404,0))*INDEX('PRICING'!$E$7:$E$16,MATCH(F805,'PRICING'!$A$7:$A$16,0))/60+INDEX('PRICING'!$F$7:$F$16,MATCH(F805,'PRICING'!$A$7:$A$16,0))/60),2)),""))</f>
        <v/>
      </c>
      <c r="R805" s="97">
        <f>IF(B805="","",IF(N(K805)&gt;0,K805,IF(N(J805)&gt;0,J805,N(Q805))))</f>
        <v/>
      </c>
      <c r="S805" s="55">
        <f>IF(L805="","",ROUND(L805*(1+N(M805)),2))</f>
        <v/>
      </c>
      <c r="T805" s="55">
        <f>IF(B805="","",SUMIFS('REVENUE'!$C$5:$C$1504,'REVENUE'!$B$5:$B$1504,A805))</f>
        <v/>
      </c>
      <c r="U805" s="55">
        <f>IF(B805="","",IF(O805="Completed",MAX(0,N(S805)-T805),""))</f>
        <v/>
      </c>
      <c r="V805" s="49">
        <f>IF(B805="","",IF(O805&lt;&gt;"Completed",IF(T805&gt;0,"Deposit","—"),IF(U805&lt;=0.005,"Paid",IF(T805&gt;0,"Partial","Unpaid"))))</f>
        <v/>
      </c>
      <c r="W805" s="55">
        <f>IF(B805="","",IFERROR(1/(1/INDEX('STAFF &amp; TASKS'!$C$5:$C$24,MATCH(H805,'STAFF &amp; TASKS'!$A$5:$A$24,0))),PayRate))</f>
        <v/>
      </c>
      <c r="X805" s="55">
        <f>IF(B805="","",IF(OR(O805="Cancelled",O805="No-Show"),"",ROUND(R805*W805*(1+Burden),2)))</f>
        <v/>
      </c>
      <c r="Y805" s="55">
        <f>IF(B805="","",IF(OR(O805="Cancelled",O805="No-Show"),"",IF(N805&lt;&gt;"",N805,ROUND(R805*SupHr*IFERROR(INDEX('PRICING'!$G$7:$G$16,MATCH(F805,'PRICING'!$A$7:$A$16,0)),1),2))))</f>
        <v/>
      </c>
      <c r="Z805" s="98">
        <f>IF(B805="","",SUMIFS('MILEAGE'!$J$5:$J$1504,'MILEAGE'!$B$5:$B$1504,A805))</f>
        <v/>
      </c>
      <c r="AA805" s="55">
        <f>IF(B805="","",ROUND(Z805*MileRate,2))</f>
        <v/>
      </c>
      <c r="AB805" s="55">
        <f>IF(B805="","",SUMIFS('REVENUE'!$J$5:$J$1504,'REVENUE'!$B$5:$B$1504,A805))</f>
        <v/>
      </c>
      <c r="AC805" s="55">
        <f>IF(L805="","",IF(OR(O805="Cancelled",O805="No-Show"),"",L805-N(X805)-N(Y805)-AA805-AB805))</f>
        <v/>
      </c>
      <c r="AD805" s="99">
        <f>IF(OR(AC805="",N(L805)=0),"",AC805/L805)</f>
        <v/>
      </c>
      <c r="AE805" s="55">
        <f>IF(OR(AC805="",N(R805)=0),"",L805/R805)</f>
        <v/>
      </c>
      <c r="AF805" s="100">
        <f>IF(OR(N(K805)=0,N(J805)+N(Q805)=0),"",K805-IF(N(J805)&gt;0,J805,Q805))</f>
        <v/>
      </c>
      <c r="AG805" s="99">
        <f>IF(B805="","",IFERROR(AVERAGEIFS('QUALITY CONTROL'!$M$5:$M$304,'QUALITY CONTROL'!$B$5:$B$304,A805),""))</f>
        <v/>
      </c>
      <c r="AH805" s="51">
        <f>IF(B805="","",DATE(YEAR(B805),MONTH(B805),1))</f>
        <v/>
      </c>
      <c r="AI805" s="49">
        <f>IF(D805="","",IFERROR(INDEX('CUSTOMERS'!$E$5:$E$404,MATCH(D805,'CUSTOMERS'!$B$5:$B$404,0)),""))</f>
        <v/>
      </c>
      <c r="AJ805" s="49">
        <f>IF(B805="","",N(C805))</f>
        <v/>
      </c>
      <c r="AK805" s="49">
        <f>IF(OR(B805="",O805="Cancelled",O805="Rescheduled"),"",B805&amp;"|"&amp;(COUNTIFS('JOBS'!$B$5:$B$1504,B805,'JOBS'!$AJ$5:$AJ$1504,"&lt;"&amp;AJ805,'JOBS'!$O$5:$O$1504,"&lt;&gt;Cancelled",'JOBS'!$O$5:$O$1504,"&lt;&gt;Rescheduled")+COUNTIFS($B$5:B805,B805,$AJ$5:AJ805,AJ805,$O$5:O805,"&lt;&gt;Cancelled",$O$5:O805,"&lt;&gt;Rescheduled")))</f>
        <v/>
      </c>
      <c r="AL805" s="49">
        <f>IF(N(U805)&lt;=0.005,"",COUNTIFS('JOBS'!$U$5:$U$1504,"&gt;0.005",'JOBS'!$B$5:$B$1504,"&lt;"&amp;B805)+COUNTIFS($U$5:U805,"&gt;0.005",$B$5:B805,B805))</f>
        <v/>
      </c>
    </row>
    <row r="806">
      <c r="A806" s="46" t="inlineStr">
        <is>
          <t>J-0802</t>
        </is>
      </c>
      <c r="B806" s="47" t="n"/>
      <c r="C806" s="94" t="n"/>
      <c r="D806" s="38" t="n"/>
      <c r="E806" s="38" t="n"/>
      <c r="F806" s="38" t="n"/>
      <c r="G806" s="38" t="n"/>
      <c r="H806" s="38" t="n"/>
      <c r="I806" s="57" t="n"/>
      <c r="J806" s="95" t="n"/>
      <c r="K806" s="95" t="n"/>
      <c r="L806" s="48" t="n"/>
      <c r="M806" s="96" t="n"/>
      <c r="N806" s="48" t="n"/>
      <c r="O806" s="38" t="n"/>
      <c r="P806" s="38" t="n"/>
      <c r="Q806" s="97">
        <f>IF(OR(F806="",E806=""),"",IFERROR(IF(INDEX('PROPERTIES'!$F$5:$F$404,MATCH(E806,'PROPERTIES'!$B$5:$B$404,0))=0,"",ROUND((INDEX('PROPERTIES'!$F$5:$F$404,MATCH(E806,'PROPERTIES'!$B$5:$B$404,0))/INDEX('PRICING'!$C$7:$C$16,MATCH(F806,'PRICING'!$A$7:$A$16,0))+INDEX('PROPERTIES'!$G$5:$G$404,MATCH(E806,'PROPERTIES'!$B$5:$B$404,0))*INDEX('PRICING'!$D$7:$D$16,MATCH(F806,'PRICING'!$A$7:$A$16,0))/60+INDEX('PROPERTIES'!$H$5:$H$404,MATCH(E806,'PROPERTIES'!$B$5:$B$404,0))*INDEX('PRICING'!$E$7:$E$16,MATCH(F806,'PRICING'!$A$7:$A$16,0))/60+INDEX('PRICING'!$F$7:$F$16,MATCH(F806,'PRICING'!$A$7:$A$16,0))/60),2)),""))</f>
        <v/>
      </c>
      <c r="R806" s="97">
        <f>IF(B806="","",IF(N(K806)&gt;0,K806,IF(N(J806)&gt;0,J806,N(Q806))))</f>
        <v/>
      </c>
      <c r="S806" s="55">
        <f>IF(L806="","",ROUND(L806*(1+N(M806)),2))</f>
        <v/>
      </c>
      <c r="T806" s="55">
        <f>IF(B806="","",SUMIFS('REVENUE'!$C$5:$C$1504,'REVENUE'!$B$5:$B$1504,A806))</f>
        <v/>
      </c>
      <c r="U806" s="55">
        <f>IF(B806="","",IF(O806="Completed",MAX(0,N(S806)-T806),""))</f>
        <v/>
      </c>
      <c r="V806" s="49">
        <f>IF(B806="","",IF(O806&lt;&gt;"Completed",IF(T806&gt;0,"Deposit","—"),IF(U806&lt;=0.005,"Paid",IF(T806&gt;0,"Partial","Unpaid"))))</f>
        <v/>
      </c>
      <c r="W806" s="55">
        <f>IF(B806="","",IFERROR(1/(1/INDEX('STAFF &amp; TASKS'!$C$5:$C$24,MATCH(H806,'STAFF &amp; TASKS'!$A$5:$A$24,0))),PayRate))</f>
        <v/>
      </c>
      <c r="X806" s="55">
        <f>IF(B806="","",IF(OR(O806="Cancelled",O806="No-Show"),"",ROUND(R806*W806*(1+Burden),2)))</f>
        <v/>
      </c>
      <c r="Y806" s="55">
        <f>IF(B806="","",IF(OR(O806="Cancelled",O806="No-Show"),"",IF(N806&lt;&gt;"",N806,ROUND(R806*SupHr*IFERROR(INDEX('PRICING'!$G$7:$G$16,MATCH(F806,'PRICING'!$A$7:$A$16,0)),1),2))))</f>
        <v/>
      </c>
      <c r="Z806" s="98">
        <f>IF(B806="","",SUMIFS('MILEAGE'!$J$5:$J$1504,'MILEAGE'!$B$5:$B$1504,A806))</f>
        <v/>
      </c>
      <c r="AA806" s="55">
        <f>IF(B806="","",ROUND(Z806*MileRate,2))</f>
        <v/>
      </c>
      <c r="AB806" s="55">
        <f>IF(B806="","",SUMIFS('REVENUE'!$J$5:$J$1504,'REVENUE'!$B$5:$B$1504,A806))</f>
        <v/>
      </c>
      <c r="AC806" s="55">
        <f>IF(L806="","",IF(OR(O806="Cancelled",O806="No-Show"),"",L806-N(X806)-N(Y806)-AA806-AB806))</f>
        <v/>
      </c>
      <c r="AD806" s="99">
        <f>IF(OR(AC806="",N(L806)=0),"",AC806/L806)</f>
        <v/>
      </c>
      <c r="AE806" s="55">
        <f>IF(OR(AC806="",N(R806)=0),"",L806/R806)</f>
        <v/>
      </c>
      <c r="AF806" s="100">
        <f>IF(OR(N(K806)=0,N(J806)+N(Q806)=0),"",K806-IF(N(J806)&gt;0,J806,Q806))</f>
        <v/>
      </c>
      <c r="AG806" s="99">
        <f>IF(B806="","",IFERROR(AVERAGEIFS('QUALITY CONTROL'!$M$5:$M$304,'QUALITY CONTROL'!$B$5:$B$304,A806),""))</f>
        <v/>
      </c>
      <c r="AH806" s="51">
        <f>IF(B806="","",DATE(YEAR(B806),MONTH(B806),1))</f>
        <v/>
      </c>
      <c r="AI806" s="49">
        <f>IF(D806="","",IFERROR(INDEX('CUSTOMERS'!$E$5:$E$404,MATCH(D806,'CUSTOMERS'!$B$5:$B$404,0)),""))</f>
        <v/>
      </c>
      <c r="AJ806" s="49">
        <f>IF(B806="","",N(C806))</f>
        <v/>
      </c>
      <c r="AK806" s="49">
        <f>IF(OR(B806="",O806="Cancelled",O806="Rescheduled"),"",B806&amp;"|"&amp;(COUNTIFS('JOBS'!$B$5:$B$1504,B806,'JOBS'!$AJ$5:$AJ$1504,"&lt;"&amp;AJ806,'JOBS'!$O$5:$O$1504,"&lt;&gt;Cancelled",'JOBS'!$O$5:$O$1504,"&lt;&gt;Rescheduled")+COUNTIFS($B$5:B806,B806,$AJ$5:AJ806,AJ806,$O$5:O806,"&lt;&gt;Cancelled",$O$5:O806,"&lt;&gt;Rescheduled")))</f>
        <v/>
      </c>
      <c r="AL806" s="49">
        <f>IF(N(U806)&lt;=0.005,"",COUNTIFS('JOBS'!$U$5:$U$1504,"&gt;0.005",'JOBS'!$B$5:$B$1504,"&lt;"&amp;B806)+COUNTIFS($U$5:U806,"&gt;0.005",$B$5:B806,B806))</f>
        <v/>
      </c>
    </row>
    <row r="807">
      <c r="A807" s="46" t="inlineStr">
        <is>
          <t>J-0803</t>
        </is>
      </c>
      <c r="B807" s="47" t="n"/>
      <c r="C807" s="94" t="n"/>
      <c r="D807" s="38" t="n"/>
      <c r="E807" s="38" t="n"/>
      <c r="F807" s="38" t="n"/>
      <c r="G807" s="38" t="n"/>
      <c r="H807" s="38" t="n"/>
      <c r="I807" s="57" t="n"/>
      <c r="J807" s="95" t="n"/>
      <c r="K807" s="95" t="n"/>
      <c r="L807" s="48" t="n"/>
      <c r="M807" s="96" t="n"/>
      <c r="N807" s="48" t="n"/>
      <c r="O807" s="38" t="n"/>
      <c r="P807" s="38" t="n"/>
      <c r="Q807" s="97">
        <f>IF(OR(F807="",E807=""),"",IFERROR(IF(INDEX('PROPERTIES'!$F$5:$F$404,MATCH(E807,'PROPERTIES'!$B$5:$B$404,0))=0,"",ROUND((INDEX('PROPERTIES'!$F$5:$F$404,MATCH(E807,'PROPERTIES'!$B$5:$B$404,0))/INDEX('PRICING'!$C$7:$C$16,MATCH(F807,'PRICING'!$A$7:$A$16,0))+INDEX('PROPERTIES'!$G$5:$G$404,MATCH(E807,'PROPERTIES'!$B$5:$B$404,0))*INDEX('PRICING'!$D$7:$D$16,MATCH(F807,'PRICING'!$A$7:$A$16,0))/60+INDEX('PROPERTIES'!$H$5:$H$404,MATCH(E807,'PROPERTIES'!$B$5:$B$404,0))*INDEX('PRICING'!$E$7:$E$16,MATCH(F807,'PRICING'!$A$7:$A$16,0))/60+INDEX('PRICING'!$F$7:$F$16,MATCH(F807,'PRICING'!$A$7:$A$16,0))/60),2)),""))</f>
        <v/>
      </c>
      <c r="R807" s="97">
        <f>IF(B807="","",IF(N(K807)&gt;0,K807,IF(N(J807)&gt;0,J807,N(Q807))))</f>
        <v/>
      </c>
      <c r="S807" s="55">
        <f>IF(L807="","",ROUND(L807*(1+N(M807)),2))</f>
        <v/>
      </c>
      <c r="T807" s="55">
        <f>IF(B807="","",SUMIFS('REVENUE'!$C$5:$C$1504,'REVENUE'!$B$5:$B$1504,A807))</f>
        <v/>
      </c>
      <c r="U807" s="55">
        <f>IF(B807="","",IF(O807="Completed",MAX(0,N(S807)-T807),""))</f>
        <v/>
      </c>
      <c r="V807" s="49">
        <f>IF(B807="","",IF(O807&lt;&gt;"Completed",IF(T807&gt;0,"Deposit","—"),IF(U807&lt;=0.005,"Paid",IF(T807&gt;0,"Partial","Unpaid"))))</f>
        <v/>
      </c>
      <c r="W807" s="55">
        <f>IF(B807="","",IFERROR(1/(1/INDEX('STAFF &amp; TASKS'!$C$5:$C$24,MATCH(H807,'STAFF &amp; TASKS'!$A$5:$A$24,0))),PayRate))</f>
        <v/>
      </c>
      <c r="X807" s="55">
        <f>IF(B807="","",IF(OR(O807="Cancelled",O807="No-Show"),"",ROUND(R807*W807*(1+Burden),2)))</f>
        <v/>
      </c>
      <c r="Y807" s="55">
        <f>IF(B807="","",IF(OR(O807="Cancelled",O807="No-Show"),"",IF(N807&lt;&gt;"",N807,ROUND(R807*SupHr*IFERROR(INDEX('PRICING'!$G$7:$G$16,MATCH(F807,'PRICING'!$A$7:$A$16,0)),1),2))))</f>
        <v/>
      </c>
      <c r="Z807" s="98">
        <f>IF(B807="","",SUMIFS('MILEAGE'!$J$5:$J$1504,'MILEAGE'!$B$5:$B$1504,A807))</f>
        <v/>
      </c>
      <c r="AA807" s="55">
        <f>IF(B807="","",ROUND(Z807*MileRate,2))</f>
        <v/>
      </c>
      <c r="AB807" s="55">
        <f>IF(B807="","",SUMIFS('REVENUE'!$J$5:$J$1504,'REVENUE'!$B$5:$B$1504,A807))</f>
        <v/>
      </c>
      <c r="AC807" s="55">
        <f>IF(L807="","",IF(OR(O807="Cancelled",O807="No-Show"),"",L807-N(X807)-N(Y807)-AA807-AB807))</f>
        <v/>
      </c>
      <c r="AD807" s="99">
        <f>IF(OR(AC807="",N(L807)=0),"",AC807/L807)</f>
        <v/>
      </c>
      <c r="AE807" s="55">
        <f>IF(OR(AC807="",N(R807)=0),"",L807/R807)</f>
        <v/>
      </c>
      <c r="AF807" s="100">
        <f>IF(OR(N(K807)=0,N(J807)+N(Q807)=0),"",K807-IF(N(J807)&gt;0,J807,Q807))</f>
        <v/>
      </c>
      <c r="AG807" s="99">
        <f>IF(B807="","",IFERROR(AVERAGEIFS('QUALITY CONTROL'!$M$5:$M$304,'QUALITY CONTROL'!$B$5:$B$304,A807),""))</f>
        <v/>
      </c>
      <c r="AH807" s="51">
        <f>IF(B807="","",DATE(YEAR(B807),MONTH(B807),1))</f>
        <v/>
      </c>
      <c r="AI807" s="49">
        <f>IF(D807="","",IFERROR(INDEX('CUSTOMERS'!$E$5:$E$404,MATCH(D807,'CUSTOMERS'!$B$5:$B$404,0)),""))</f>
        <v/>
      </c>
      <c r="AJ807" s="49">
        <f>IF(B807="","",N(C807))</f>
        <v/>
      </c>
      <c r="AK807" s="49">
        <f>IF(OR(B807="",O807="Cancelled",O807="Rescheduled"),"",B807&amp;"|"&amp;(COUNTIFS('JOBS'!$B$5:$B$1504,B807,'JOBS'!$AJ$5:$AJ$1504,"&lt;"&amp;AJ807,'JOBS'!$O$5:$O$1504,"&lt;&gt;Cancelled",'JOBS'!$O$5:$O$1504,"&lt;&gt;Rescheduled")+COUNTIFS($B$5:B807,B807,$AJ$5:AJ807,AJ807,$O$5:O807,"&lt;&gt;Cancelled",$O$5:O807,"&lt;&gt;Rescheduled")))</f>
        <v/>
      </c>
      <c r="AL807" s="49">
        <f>IF(N(U807)&lt;=0.005,"",COUNTIFS('JOBS'!$U$5:$U$1504,"&gt;0.005",'JOBS'!$B$5:$B$1504,"&lt;"&amp;B807)+COUNTIFS($U$5:U807,"&gt;0.005",$B$5:B807,B807))</f>
        <v/>
      </c>
    </row>
    <row r="808">
      <c r="A808" s="46" t="inlineStr">
        <is>
          <t>J-0804</t>
        </is>
      </c>
      <c r="B808" s="47" t="n"/>
      <c r="C808" s="94" t="n"/>
      <c r="D808" s="38" t="n"/>
      <c r="E808" s="38" t="n"/>
      <c r="F808" s="38" t="n"/>
      <c r="G808" s="38" t="n"/>
      <c r="H808" s="38" t="n"/>
      <c r="I808" s="57" t="n"/>
      <c r="J808" s="95" t="n"/>
      <c r="K808" s="95" t="n"/>
      <c r="L808" s="48" t="n"/>
      <c r="M808" s="96" t="n"/>
      <c r="N808" s="48" t="n"/>
      <c r="O808" s="38" t="n"/>
      <c r="P808" s="38" t="n"/>
      <c r="Q808" s="97">
        <f>IF(OR(F808="",E808=""),"",IFERROR(IF(INDEX('PROPERTIES'!$F$5:$F$404,MATCH(E808,'PROPERTIES'!$B$5:$B$404,0))=0,"",ROUND((INDEX('PROPERTIES'!$F$5:$F$404,MATCH(E808,'PROPERTIES'!$B$5:$B$404,0))/INDEX('PRICING'!$C$7:$C$16,MATCH(F808,'PRICING'!$A$7:$A$16,0))+INDEX('PROPERTIES'!$G$5:$G$404,MATCH(E808,'PROPERTIES'!$B$5:$B$404,0))*INDEX('PRICING'!$D$7:$D$16,MATCH(F808,'PRICING'!$A$7:$A$16,0))/60+INDEX('PROPERTIES'!$H$5:$H$404,MATCH(E808,'PROPERTIES'!$B$5:$B$404,0))*INDEX('PRICING'!$E$7:$E$16,MATCH(F808,'PRICING'!$A$7:$A$16,0))/60+INDEX('PRICING'!$F$7:$F$16,MATCH(F808,'PRICING'!$A$7:$A$16,0))/60),2)),""))</f>
        <v/>
      </c>
      <c r="R808" s="97">
        <f>IF(B808="","",IF(N(K808)&gt;0,K808,IF(N(J808)&gt;0,J808,N(Q808))))</f>
        <v/>
      </c>
      <c r="S808" s="55">
        <f>IF(L808="","",ROUND(L808*(1+N(M808)),2))</f>
        <v/>
      </c>
      <c r="T808" s="55">
        <f>IF(B808="","",SUMIFS('REVENUE'!$C$5:$C$1504,'REVENUE'!$B$5:$B$1504,A808))</f>
        <v/>
      </c>
      <c r="U808" s="55">
        <f>IF(B808="","",IF(O808="Completed",MAX(0,N(S808)-T808),""))</f>
        <v/>
      </c>
      <c r="V808" s="49">
        <f>IF(B808="","",IF(O808&lt;&gt;"Completed",IF(T808&gt;0,"Deposit","—"),IF(U808&lt;=0.005,"Paid",IF(T808&gt;0,"Partial","Unpaid"))))</f>
        <v/>
      </c>
      <c r="W808" s="55">
        <f>IF(B808="","",IFERROR(1/(1/INDEX('STAFF &amp; TASKS'!$C$5:$C$24,MATCH(H808,'STAFF &amp; TASKS'!$A$5:$A$24,0))),PayRate))</f>
        <v/>
      </c>
      <c r="X808" s="55">
        <f>IF(B808="","",IF(OR(O808="Cancelled",O808="No-Show"),"",ROUND(R808*W808*(1+Burden),2)))</f>
        <v/>
      </c>
      <c r="Y808" s="55">
        <f>IF(B808="","",IF(OR(O808="Cancelled",O808="No-Show"),"",IF(N808&lt;&gt;"",N808,ROUND(R808*SupHr*IFERROR(INDEX('PRICING'!$G$7:$G$16,MATCH(F808,'PRICING'!$A$7:$A$16,0)),1),2))))</f>
        <v/>
      </c>
      <c r="Z808" s="98">
        <f>IF(B808="","",SUMIFS('MILEAGE'!$J$5:$J$1504,'MILEAGE'!$B$5:$B$1504,A808))</f>
        <v/>
      </c>
      <c r="AA808" s="55">
        <f>IF(B808="","",ROUND(Z808*MileRate,2))</f>
        <v/>
      </c>
      <c r="AB808" s="55">
        <f>IF(B808="","",SUMIFS('REVENUE'!$J$5:$J$1504,'REVENUE'!$B$5:$B$1504,A808))</f>
        <v/>
      </c>
      <c r="AC808" s="55">
        <f>IF(L808="","",IF(OR(O808="Cancelled",O808="No-Show"),"",L808-N(X808)-N(Y808)-AA808-AB808))</f>
        <v/>
      </c>
      <c r="AD808" s="99">
        <f>IF(OR(AC808="",N(L808)=0),"",AC808/L808)</f>
        <v/>
      </c>
      <c r="AE808" s="55">
        <f>IF(OR(AC808="",N(R808)=0),"",L808/R808)</f>
        <v/>
      </c>
      <c r="AF808" s="100">
        <f>IF(OR(N(K808)=0,N(J808)+N(Q808)=0),"",K808-IF(N(J808)&gt;0,J808,Q808))</f>
        <v/>
      </c>
      <c r="AG808" s="99">
        <f>IF(B808="","",IFERROR(AVERAGEIFS('QUALITY CONTROL'!$M$5:$M$304,'QUALITY CONTROL'!$B$5:$B$304,A808),""))</f>
        <v/>
      </c>
      <c r="AH808" s="51">
        <f>IF(B808="","",DATE(YEAR(B808),MONTH(B808),1))</f>
        <v/>
      </c>
      <c r="AI808" s="49">
        <f>IF(D808="","",IFERROR(INDEX('CUSTOMERS'!$E$5:$E$404,MATCH(D808,'CUSTOMERS'!$B$5:$B$404,0)),""))</f>
        <v/>
      </c>
      <c r="AJ808" s="49">
        <f>IF(B808="","",N(C808))</f>
        <v/>
      </c>
      <c r="AK808" s="49">
        <f>IF(OR(B808="",O808="Cancelled",O808="Rescheduled"),"",B808&amp;"|"&amp;(COUNTIFS('JOBS'!$B$5:$B$1504,B808,'JOBS'!$AJ$5:$AJ$1504,"&lt;"&amp;AJ808,'JOBS'!$O$5:$O$1504,"&lt;&gt;Cancelled",'JOBS'!$O$5:$O$1504,"&lt;&gt;Rescheduled")+COUNTIFS($B$5:B808,B808,$AJ$5:AJ808,AJ808,$O$5:O808,"&lt;&gt;Cancelled",$O$5:O808,"&lt;&gt;Rescheduled")))</f>
        <v/>
      </c>
      <c r="AL808" s="49">
        <f>IF(N(U808)&lt;=0.005,"",COUNTIFS('JOBS'!$U$5:$U$1504,"&gt;0.005",'JOBS'!$B$5:$B$1504,"&lt;"&amp;B808)+COUNTIFS($U$5:U808,"&gt;0.005",$B$5:B808,B808))</f>
        <v/>
      </c>
    </row>
    <row r="809">
      <c r="A809" s="46" t="inlineStr">
        <is>
          <t>J-0805</t>
        </is>
      </c>
      <c r="B809" s="47" t="n"/>
      <c r="C809" s="94" t="n"/>
      <c r="D809" s="38" t="n"/>
      <c r="E809" s="38" t="n"/>
      <c r="F809" s="38" t="n"/>
      <c r="G809" s="38" t="n"/>
      <c r="H809" s="38" t="n"/>
      <c r="I809" s="57" t="n"/>
      <c r="J809" s="95" t="n"/>
      <c r="K809" s="95" t="n"/>
      <c r="L809" s="48" t="n"/>
      <c r="M809" s="96" t="n"/>
      <c r="N809" s="48" t="n"/>
      <c r="O809" s="38" t="n"/>
      <c r="P809" s="38" t="n"/>
      <c r="Q809" s="97">
        <f>IF(OR(F809="",E809=""),"",IFERROR(IF(INDEX('PROPERTIES'!$F$5:$F$404,MATCH(E809,'PROPERTIES'!$B$5:$B$404,0))=0,"",ROUND((INDEX('PROPERTIES'!$F$5:$F$404,MATCH(E809,'PROPERTIES'!$B$5:$B$404,0))/INDEX('PRICING'!$C$7:$C$16,MATCH(F809,'PRICING'!$A$7:$A$16,0))+INDEX('PROPERTIES'!$G$5:$G$404,MATCH(E809,'PROPERTIES'!$B$5:$B$404,0))*INDEX('PRICING'!$D$7:$D$16,MATCH(F809,'PRICING'!$A$7:$A$16,0))/60+INDEX('PROPERTIES'!$H$5:$H$404,MATCH(E809,'PROPERTIES'!$B$5:$B$404,0))*INDEX('PRICING'!$E$7:$E$16,MATCH(F809,'PRICING'!$A$7:$A$16,0))/60+INDEX('PRICING'!$F$7:$F$16,MATCH(F809,'PRICING'!$A$7:$A$16,0))/60),2)),""))</f>
        <v/>
      </c>
      <c r="R809" s="97">
        <f>IF(B809="","",IF(N(K809)&gt;0,K809,IF(N(J809)&gt;0,J809,N(Q809))))</f>
        <v/>
      </c>
      <c r="S809" s="55">
        <f>IF(L809="","",ROUND(L809*(1+N(M809)),2))</f>
        <v/>
      </c>
      <c r="T809" s="55">
        <f>IF(B809="","",SUMIFS('REVENUE'!$C$5:$C$1504,'REVENUE'!$B$5:$B$1504,A809))</f>
        <v/>
      </c>
      <c r="U809" s="55">
        <f>IF(B809="","",IF(O809="Completed",MAX(0,N(S809)-T809),""))</f>
        <v/>
      </c>
      <c r="V809" s="49">
        <f>IF(B809="","",IF(O809&lt;&gt;"Completed",IF(T809&gt;0,"Deposit","—"),IF(U809&lt;=0.005,"Paid",IF(T809&gt;0,"Partial","Unpaid"))))</f>
        <v/>
      </c>
      <c r="W809" s="55">
        <f>IF(B809="","",IFERROR(1/(1/INDEX('STAFF &amp; TASKS'!$C$5:$C$24,MATCH(H809,'STAFF &amp; TASKS'!$A$5:$A$24,0))),PayRate))</f>
        <v/>
      </c>
      <c r="X809" s="55">
        <f>IF(B809="","",IF(OR(O809="Cancelled",O809="No-Show"),"",ROUND(R809*W809*(1+Burden),2)))</f>
        <v/>
      </c>
      <c r="Y809" s="55">
        <f>IF(B809="","",IF(OR(O809="Cancelled",O809="No-Show"),"",IF(N809&lt;&gt;"",N809,ROUND(R809*SupHr*IFERROR(INDEX('PRICING'!$G$7:$G$16,MATCH(F809,'PRICING'!$A$7:$A$16,0)),1),2))))</f>
        <v/>
      </c>
      <c r="Z809" s="98">
        <f>IF(B809="","",SUMIFS('MILEAGE'!$J$5:$J$1504,'MILEAGE'!$B$5:$B$1504,A809))</f>
        <v/>
      </c>
      <c r="AA809" s="55">
        <f>IF(B809="","",ROUND(Z809*MileRate,2))</f>
        <v/>
      </c>
      <c r="AB809" s="55">
        <f>IF(B809="","",SUMIFS('REVENUE'!$J$5:$J$1504,'REVENUE'!$B$5:$B$1504,A809))</f>
        <v/>
      </c>
      <c r="AC809" s="55">
        <f>IF(L809="","",IF(OR(O809="Cancelled",O809="No-Show"),"",L809-N(X809)-N(Y809)-AA809-AB809))</f>
        <v/>
      </c>
      <c r="AD809" s="99">
        <f>IF(OR(AC809="",N(L809)=0),"",AC809/L809)</f>
        <v/>
      </c>
      <c r="AE809" s="55">
        <f>IF(OR(AC809="",N(R809)=0),"",L809/R809)</f>
        <v/>
      </c>
      <c r="AF809" s="100">
        <f>IF(OR(N(K809)=0,N(J809)+N(Q809)=0),"",K809-IF(N(J809)&gt;0,J809,Q809))</f>
        <v/>
      </c>
      <c r="AG809" s="99">
        <f>IF(B809="","",IFERROR(AVERAGEIFS('QUALITY CONTROL'!$M$5:$M$304,'QUALITY CONTROL'!$B$5:$B$304,A809),""))</f>
        <v/>
      </c>
      <c r="AH809" s="51">
        <f>IF(B809="","",DATE(YEAR(B809),MONTH(B809),1))</f>
        <v/>
      </c>
      <c r="AI809" s="49">
        <f>IF(D809="","",IFERROR(INDEX('CUSTOMERS'!$E$5:$E$404,MATCH(D809,'CUSTOMERS'!$B$5:$B$404,0)),""))</f>
        <v/>
      </c>
      <c r="AJ809" s="49">
        <f>IF(B809="","",N(C809))</f>
        <v/>
      </c>
      <c r="AK809" s="49">
        <f>IF(OR(B809="",O809="Cancelled",O809="Rescheduled"),"",B809&amp;"|"&amp;(COUNTIFS('JOBS'!$B$5:$B$1504,B809,'JOBS'!$AJ$5:$AJ$1504,"&lt;"&amp;AJ809,'JOBS'!$O$5:$O$1504,"&lt;&gt;Cancelled",'JOBS'!$O$5:$O$1504,"&lt;&gt;Rescheduled")+COUNTIFS($B$5:B809,B809,$AJ$5:AJ809,AJ809,$O$5:O809,"&lt;&gt;Cancelled",$O$5:O809,"&lt;&gt;Rescheduled")))</f>
        <v/>
      </c>
      <c r="AL809" s="49">
        <f>IF(N(U809)&lt;=0.005,"",COUNTIFS('JOBS'!$U$5:$U$1504,"&gt;0.005",'JOBS'!$B$5:$B$1504,"&lt;"&amp;B809)+COUNTIFS($U$5:U809,"&gt;0.005",$B$5:B809,B809))</f>
        <v/>
      </c>
    </row>
    <row r="810">
      <c r="A810" s="46" t="inlineStr">
        <is>
          <t>J-0806</t>
        </is>
      </c>
      <c r="B810" s="47" t="n"/>
      <c r="C810" s="94" t="n"/>
      <c r="D810" s="38" t="n"/>
      <c r="E810" s="38" t="n"/>
      <c r="F810" s="38" t="n"/>
      <c r="G810" s="38" t="n"/>
      <c r="H810" s="38" t="n"/>
      <c r="I810" s="57" t="n"/>
      <c r="J810" s="95" t="n"/>
      <c r="K810" s="95" t="n"/>
      <c r="L810" s="48" t="n"/>
      <c r="M810" s="96" t="n"/>
      <c r="N810" s="48" t="n"/>
      <c r="O810" s="38" t="n"/>
      <c r="P810" s="38" t="n"/>
      <c r="Q810" s="97">
        <f>IF(OR(F810="",E810=""),"",IFERROR(IF(INDEX('PROPERTIES'!$F$5:$F$404,MATCH(E810,'PROPERTIES'!$B$5:$B$404,0))=0,"",ROUND((INDEX('PROPERTIES'!$F$5:$F$404,MATCH(E810,'PROPERTIES'!$B$5:$B$404,0))/INDEX('PRICING'!$C$7:$C$16,MATCH(F810,'PRICING'!$A$7:$A$16,0))+INDEX('PROPERTIES'!$G$5:$G$404,MATCH(E810,'PROPERTIES'!$B$5:$B$404,0))*INDEX('PRICING'!$D$7:$D$16,MATCH(F810,'PRICING'!$A$7:$A$16,0))/60+INDEX('PROPERTIES'!$H$5:$H$404,MATCH(E810,'PROPERTIES'!$B$5:$B$404,0))*INDEX('PRICING'!$E$7:$E$16,MATCH(F810,'PRICING'!$A$7:$A$16,0))/60+INDEX('PRICING'!$F$7:$F$16,MATCH(F810,'PRICING'!$A$7:$A$16,0))/60),2)),""))</f>
        <v/>
      </c>
      <c r="R810" s="97">
        <f>IF(B810="","",IF(N(K810)&gt;0,K810,IF(N(J810)&gt;0,J810,N(Q810))))</f>
        <v/>
      </c>
      <c r="S810" s="55">
        <f>IF(L810="","",ROUND(L810*(1+N(M810)),2))</f>
        <v/>
      </c>
      <c r="T810" s="55">
        <f>IF(B810="","",SUMIFS('REVENUE'!$C$5:$C$1504,'REVENUE'!$B$5:$B$1504,A810))</f>
        <v/>
      </c>
      <c r="U810" s="55">
        <f>IF(B810="","",IF(O810="Completed",MAX(0,N(S810)-T810),""))</f>
        <v/>
      </c>
      <c r="V810" s="49">
        <f>IF(B810="","",IF(O810&lt;&gt;"Completed",IF(T810&gt;0,"Deposit","—"),IF(U810&lt;=0.005,"Paid",IF(T810&gt;0,"Partial","Unpaid"))))</f>
        <v/>
      </c>
      <c r="W810" s="55">
        <f>IF(B810="","",IFERROR(1/(1/INDEX('STAFF &amp; TASKS'!$C$5:$C$24,MATCH(H810,'STAFF &amp; TASKS'!$A$5:$A$24,0))),PayRate))</f>
        <v/>
      </c>
      <c r="X810" s="55">
        <f>IF(B810="","",IF(OR(O810="Cancelled",O810="No-Show"),"",ROUND(R810*W810*(1+Burden),2)))</f>
        <v/>
      </c>
      <c r="Y810" s="55">
        <f>IF(B810="","",IF(OR(O810="Cancelled",O810="No-Show"),"",IF(N810&lt;&gt;"",N810,ROUND(R810*SupHr*IFERROR(INDEX('PRICING'!$G$7:$G$16,MATCH(F810,'PRICING'!$A$7:$A$16,0)),1),2))))</f>
        <v/>
      </c>
      <c r="Z810" s="98">
        <f>IF(B810="","",SUMIFS('MILEAGE'!$J$5:$J$1504,'MILEAGE'!$B$5:$B$1504,A810))</f>
        <v/>
      </c>
      <c r="AA810" s="55">
        <f>IF(B810="","",ROUND(Z810*MileRate,2))</f>
        <v/>
      </c>
      <c r="AB810" s="55">
        <f>IF(B810="","",SUMIFS('REVENUE'!$J$5:$J$1504,'REVENUE'!$B$5:$B$1504,A810))</f>
        <v/>
      </c>
      <c r="AC810" s="55">
        <f>IF(L810="","",IF(OR(O810="Cancelled",O810="No-Show"),"",L810-N(X810)-N(Y810)-AA810-AB810))</f>
        <v/>
      </c>
      <c r="AD810" s="99">
        <f>IF(OR(AC810="",N(L810)=0),"",AC810/L810)</f>
        <v/>
      </c>
      <c r="AE810" s="55">
        <f>IF(OR(AC810="",N(R810)=0),"",L810/R810)</f>
        <v/>
      </c>
      <c r="AF810" s="100">
        <f>IF(OR(N(K810)=0,N(J810)+N(Q810)=0),"",K810-IF(N(J810)&gt;0,J810,Q810))</f>
        <v/>
      </c>
      <c r="AG810" s="99">
        <f>IF(B810="","",IFERROR(AVERAGEIFS('QUALITY CONTROL'!$M$5:$M$304,'QUALITY CONTROL'!$B$5:$B$304,A810),""))</f>
        <v/>
      </c>
      <c r="AH810" s="51">
        <f>IF(B810="","",DATE(YEAR(B810),MONTH(B810),1))</f>
        <v/>
      </c>
      <c r="AI810" s="49">
        <f>IF(D810="","",IFERROR(INDEX('CUSTOMERS'!$E$5:$E$404,MATCH(D810,'CUSTOMERS'!$B$5:$B$404,0)),""))</f>
        <v/>
      </c>
      <c r="AJ810" s="49">
        <f>IF(B810="","",N(C810))</f>
        <v/>
      </c>
      <c r="AK810" s="49">
        <f>IF(OR(B810="",O810="Cancelled",O810="Rescheduled"),"",B810&amp;"|"&amp;(COUNTIFS('JOBS'!$B$5:$B$1504,B810,'JOBS'!$AJ$5:$AJ$1504,"&lt;"&amp;AJ810,'JOBS'!$O$5:$O$1504,"&lt;&gt;Cancelled",'JOBS'!$O$5:$O$1504,"&lt;&gt;Rescheduled")+COUNTIFS($B$5:B810,B810,$AJ$5:AJ810,AJ810,$O$5:O810,"&lt;&gt;Cancelled",$O$5:O810,"&lt;&gt;Rescheduled")))</f>
        <v/>
      </c>
      <c r="AL810" s="49">
        <f>IF(N(U810)&lt;=0.005,"",COUNTIFS('JOBS'!$U$5:$U$1504,"&gt;0.005",'JOBS'!$B$5:$B$1504,"&lt;"&amp;B810)+COUNTIFS($U$5:U810,"&gt;0.005",$B$5:B810,B810))</f>
        <v/>
      </c>
    </row>
    <row r="811">
      <c r="A811" s="46" t="inlineStr">
        <is>
          <t>J-0807</t>
        </is>
      </c>
      <c r="B811" s="47" t="n"/>
      <c r="C811" s="94" t="n"/>
      <c r="D811" s="38" t="n"/>
      <c r="E811" s="38" t="n"/>
      <c r="F811" s="38" t="n"/>
      <c r="G811" s="38" t="n"/>
      <c r="H811" s="38" t="n"/>
      <c r="I811" s="57" t="n"/>
      <c r="J811" s="95" t="n"/>
      <c r="K811" s="95" t="n"/>
      <c r="L811" s="48" t="n"/>
      <c r="M811" s="96" t="n"/>
      <c r="N811" s="48" t="n"/>
      <c r="O811" s="38" t="n"/>
      <c r="P811" s="38" t="n"/>
      <c r="Q811" s="97">
        <f>IF(OR(F811="",E811=""),"",IFERROR(IF(INDEX('PROPERTIES'!$F$5:$F$404,MATCH(E811,'PROPERTIES'!$B$5:$B$404,0))=0,"",ROUND((INDEX('PROPERTIES'!$F$5:$F$404,MATCH(E811,'PROPERTIES'!$B$5:$B$404,0))/INDEX('PRICING'!$C$7:$C$16,MATCH(F811,'PRICING'!$A$7:$A$16,0))+INDEX('PROPERTIES'!$G$5:$G$404,MATCH(E811,'PROPERTIES'!$B$5:$B$404,0))*INDEX('PRICING'!$D$7:$D$16,MATCH(F811,'PRICING'!$A$7:$A$16,0))/60+INDEX('PROPERTIES'!$H$5:$H$404,MATCH(E811,'PROPERTIES'!$B$5:$B$404,0))*INDEX('PRICING'!$E$7:$E$16,MATCH(F811,'PRICING'!$A$7:$A$16,0))/60+INDEX('PRICING'!$F$7:$F$16,MATCH(F811,'PRICING'!$A$7:$A$16,0))/60),2)),""))</f>
        <v/>
      </c>
      <c r="R811" s="97">
        <f>IF(B811="","",IF(N(K811)&gt;0,K811,IF(N(J811)&gt;0,J811,N(Q811))))</f>
        <v/>
      </c>
      <c r="S811" s="55">
        <f>IF(L811="","",ROUND(L811*(1+N(M811)),2))</f>
        <v/>
      </c>
      <c r="T811" s="55">
        <f>IF(B811="","",SUMIFS('REVENUE'!$C$5:$C$1504,'REVENUE'!$B$5:$B$1504,A811))</f>
        <v/>
      </c>
      <c r="U811" s="55">
        <f>IF(B811="","",IF(O811="Completed",MAX(0,N(S811)-T811),""))</f>
        <v/>
      </c>
      <c r="V811" s="49">
        <f>IF(B811="","",IF(O811&lt;&gt;"Completed",IF(T811&gt;0,"Deposit","—"),IF(U811&lt;=0.005,"Paid",IF(T811&gt;0,"Partial","Unpaid"))))</f>
        <v/>
      </c>
      <c r="W811" s="55">
        <f>IF(B811="","",IFERROR(1/(1/INDEX('STAFF &amp; TASKS'!$C$5:$C$24,MATCH(H811,'STAFF &amp; TASKS'!$A$5:$A$24,0))),PayRate))</f>
        <v/>
      </c>
      <c r="X811" s="55">
        <f>IF(B811="","",IF(OR(O811="Cancelled",O811="No-Show"),"",ROUND(R811*W811*(1+Burden),2)))</f>
        <v/>
      </c>
      <c r="Y811" s="55">
        <f>IF(B811="","",IF(OR(O811="Cancelled",O811="No-Show"),"",IF(N811&lt;&gt;"",N811,ROUND(R811*SupHr*IFERROR(INDEX('PRICING'!$G$7:$G$16,MATCH(F811,'PRICING'!$A$7:$A$16,0)),1),2))))</f>
        <v/>
      </c>
      <c r="Z811" s="98">
        <f>IF(B811="","",SUMIFS('MILEAGE'!$J$5:$J$1504,'MILEAGE'!$B$5:$B$1504,A811))</f>
        <v/>
      </c>
      <c r="AA811" s="55">
        <f>IF(B811="","",ROUND(Z811*MileRate,2))</f>
        <v/>
      </c>
      <c r="AB811" s="55">
        <f>IF(B811="","",SUMIFS('REVENUE'!$J$5:$J$1504,'REVENUE'!$B$5:$B$1504,A811))</f>
        <v/>
      </c>
      <c r="AC811" s="55">
        <f>IF(L811="","",IF(OR(O811="Cancelled",O811="No-Show"),"",L811-N(X811)-N(Y811)-AA811-AB811))</f>
        <v/>
      </c>
      <c r="AD811" s="99">
        <f>IF(OR(AC811="",N(L811)=0),"",AC811/L811)</f>
        <v/>
      </c>
      <c r="AE811" s="55">
        <f>IF(OR(AC811="",N(R811)=0),"",L811/R811)</f>
        <v/>
      </c>
      <c r="AF811" s="100">
        <f>IF(OR(N(K811)=0,N(J811)+N(Q811)=0),"",K811-IF(N(J811)&gt;0,J811,Q811))</f>
        <v/>
      </c>
      <c r="AG811" s="99">
        <f>IF(B811="","",IFERROR(AVERAGEIFS('QUALITY CONTROL'!$M$5:$M$304,'QUALITY CONTROL'!$B$5:$B$304,A811),""))</f>
        <v/>
      </c>
      <c r="AH811" s="51">
        <f>IF(B811="","",DATE(YEAR(B811),MONTH(B811),1))</f>
        <v/>
      </c>
      <c r="AI811" s="49">
        <f>IF(D811="","",IFERROR(INDEX('CUSTOMERS'!$E$5:$E$404,MATCH(D811,'CUSTOMERS'!$B$5:$B$404,0)),""))</f>
        <v/>
      </c>
      <c r="AJ811" s="49">
        <f>IF(B811="","",N(C811))</f>
        <v/>
      </c>
      <c r="AK811" s="49">
        <f>IF(OR(B811="",O811="Cancelled",O811="Rescheduled"),"",B811&amp;"|"&amp;(COUNTIFS('JOBS'!$B$5:$B$1504,B811,'JOBS'!$AJ$5:$AJ$1504,"&lt;"&amp;AJ811,'JOBS'!$O$5:$O$1504,"&lt;&gt;Cancelled",'JOBS'!$O$5:$O$1504,"&lt;&gt;Rescheduled")+COUNTIFS($B$5:B811,B811,$AJ$5:AJ811,AJ811,$O$5:O811,"&lt;&gt;Cancelled",$O$5:O811,"&lt;&gt;Rescheduled")))</f>
        <v/>
      </c>
      <c r="AL811" s="49">
        <f>IF(N(U811)&lt;=0.005,"",COUNTIFS('JOBS'!$U$5:$U$1504,"&gt;0.005",'JOBS'!$B$5:$B$1504,"&lt;"&amp;B811)+COUNTIFS($U$5:U811,"&gt;0.005",$B$5:B811,B811))</f>
        <v/>
      </c>
    </row>
    <row r="812">
      <c r="A812" s="46" t="inlineStr">
        <is>
          <t>J-0808</t>
        </is>
      </c>
      <c r="B812" s="47" t="n"/>
      <c r="C812" s="94" t="n"/>
      <c r="D812" s="38" t="n"/>
      <c r="E812" s="38" t="n"/>
      <c r="F812" s="38" t="n"/>
      <c r="G812" s="38" t="n"/>
      <c r="H812" s="38" t="n"/>
      <c r="I812" s="57" t="n"/>
      <c r="J812" s="95" t="n"/>
      <c r="K812" s="95" t="n"/>
      <c r="L812" s="48" t="n"/>
      <c r="M812" s="96" t="n"/>
      <c r="N812" s="48" t="n"/>
      <c r="O812" s="38" t="n"/>
      <c r="P812" s="38" t="n"/>
      <c r="Q812" s="97">
        <f>IF(OR(F812="",E812=""),"",IFERROR(IF(INDEX('PROPERTIES'!$F$5:$F$404,MATCH(E812,'PROPERTIES'!$B$5:$B$404,0))=0,"",ROUND((INDEX('PROPERTIES'!$F$5:$F$404,MATCH(E812,'PROPERTIES'!$B$5:$B$404,0))/INDEX('PRICING'!$C$7:$C$16,MATCH(F812,'PRICING'!$A$7:$A$16,0))+INDEX('PROPERTIES'!$G$5:$G$404,MATCH(E812,'PROPERTIES'!$B$5:$B$404,0))*INDEX('PRICING'!$D$7:$D$16,MATCH(F812,'PRICING'!$A$7:$A$16,0))/60+INDEX('PROPERTIES'!$H$5:$H$404,MATCH(E812,'PROPERTIES'!$B$5:$B$404,0))*INDEX('PRICING'!$E$7:$E$16,MATCH(F812,'PRICING'!$A$7:$A$16,0))/60+INDEX('PRICING'!$F$7:$F$16,MATCH(F812,'PRICING'!$A$7:$A$16,0))/60),2)),""))</f>
        <v/>
      </c>
      <c r="R812" s="97">
        <f>IF(B812="","",IF(N(K812)&gt;0,K812,IF(N(J812)&gt;0,J812,N(Q812))))</f>
        <v/>
      </c>
      <c r="S812" s="55">
        <f>IF(L812="","",ROUND(L812*(1+N(M812)),2))</f>
        <v/>
      </c>
      <c r="T812" s="55">
        <f>IF(B812="","",SUMIFS('REVENUE'!$C$5:$C$1504,'REVENUE'!$B$5:$B$1504,A812))</f>
        <v/>
      </c>
      <c r="U812" s="55">
        <f>IF(B812="","",IF(O812="Completed",MAX(0,N(S812)-T812),""))</f>
        <v/>
      </c>
      <c r="V812" s="49">
        <f>IF(B812="","",IF(O812&lt;&gt;"Completed",IF(T812&gt;0,"Deposit","—"),IF(U812&lt;=0.005,"Paid",IF(T812&gt;0,"Partial","Unpaid"))))</f>
        <v/>
      </c>
      <c r="W812" s="55">
        <f>IF(B812="","",IFERROR(1/(1/INDEX('STAFF &amp; TASKS'!$C$5:$C$24,MATCH(H812,'STAFF &amp; TASKS'!$A$5:$A$24,0))),PayRate))</f>
        <v/>
      </c>
      <c r="X812" s="55">
        <f>IF(B812="","",IF(OR(O812="Cancelled",O812="No-Show"),"",ROUND(R812*W812*(1+Burden),2)))</f>
        <v/>
      </c>
      <c r="Y812" s="55">
        <f>IF(B812="","",IF(OR(O812="Cancelled",O812="No-Show"),"",IF(N812&lt;&gt;"",N812,ROUND(R812*SupHr*IFERROR(INDEX('PRICING'!$G$7:$G$16,MATCH(F812,'PRICING'!$A$7:$A$16,0)),1),2))))</f>
        <v/>
      </c>
      <c r="Z812" s="98">
        <f>IF(B812="","",SUMIFS('MILEAGE'!$J$5:$J$1504,'MILEAGE'!$B$5:$B$1504,A812))</f>
        <v/>
      </c>
      <c r="AA812" s="55">
        <f>IF(B812="","",ROUND(Z812*MileRate,2))</f>
        <v/>
      </c>
      <c r="AB812" s="55">
        <f>IF(B812="","",SUMIFS('REVENUE'!$J$5:$J$1504,'REVENUE'!$B$5:$B$1504,A812))</f>
        <v/>
      </c>
      <c r="AC812" s="55">
        <f>IF(L812="","",IF(OR(O812="Cancelled",O812="No-Show"),"",L812-N(X812)-N(Y812)-AA812-AB812))</f>
        <v/>
      </c>
      <c r="AD812" s="99">
        <f>IF(OR(AC812="",N(L812)=0),"",AC812/L812)</f>
        <v/>
      </c>
      <c r="AE812" s="55">
        <f>IF(OR(AC812="",N(R812)=0),"",L812/R812)</f>
        <v/>
      </c>
      <c r="AF812" s="100">
        <f>IF(OR(N(K812)=0,N(J812)+N(Q812)=0),"",K812-IF(N(J812)&gt;0,J812,Q812))</f>
        <v/>
      </c>
      <c r="AG812" s="99">
        <f>IF(B812="","",IFERROR(AVERAGEIFS('QUALITY CONTROL'!$M$5:$M$304,'QUALITY CONTROL'!$B$5:$B$304,A812),""))</f>
        <v/>
      </c>
      <c r="AH812" s="51">
        <f>IF(B812="","",DATE(YEAR(B812),MONTH(B812),1))</f>
        <v/>
      </c>
      <c r="AI812" s="49">
        <f>IF(D812="","",IFERROR(INDEX('CUSTOMERS'!$E$5:$E$404,MATCH(D812,'CUSTOMERS'!$B$5:$B$404,0)),""))</f>
        <v/>
      </c>
      <c r="AJ812" s="49">
        <f>IF(B812="","",N(C812))</f>
        <v/>
      </c>
      <c r="AK812" s="49">
        <f>IF(OR(B812="",O812="Cancelled",O812="Rescheduled"),"",B812&amp;"|"&amp;(COUNTIFS('JOBS'!$B$5:$B$1504,B812,'JOBS'!$AJ$5:$AJ$1504,"&lt;"&amp;AJ812,'JOBS'!$O$5:$O$1504,"&lt;&gt;Cancelled",'JOBS'!$O$5:$O$1504,"&lt;&gt;Rescheduled")+COUNTIFS($B$5:B812,B812,$AJ$5:AJ812,AJ812,$O$5:O812,"&lt;&gt;Cancelled",$O$5:O812,"&lt;&gt;Rescheduled")))</f>
        <v/>
      </c>
      <c r="AL812" s="49">
        <f>IF(N(U812)&lt;=0.005,"",COUNTIFS('JOBS'!$U$5:$U$1504,"&gt;0.005",'JOBS'!$B$5:$B$1504,"&lt;"&amp;B812)+COUNTIFS($U$5:U812,"&gt;0.005",$B$5:B812,B812))</f>
        <v/>
      </c>
    </row>
    <row r="813">
      <c r="A813" s="46" t="inlineStr">
        <is>
          <t>J-0809</t>
        </is>
      </c>
      <c r="B813" s="47" t="n"/>
      <c r="C813" s="94" t="n"/>
      <c r="D813" s="38" t="n"/>
      <c r="E813" s="38" t="n"/>
      <c r="F813" s="38" t="n"/>
      <c r="G813" s="38" t="n"/>
      <c r="H813" s="38" t="n"/>
      <c r="I813" s="57" t="n"/>
      <c r="J813" s="95" t="n"/>
      <c r="K813" s="95" t="n"/>
      <c r="L813" s="48" t="n"/>
      <c r="M813" s="96" t="n"/>
      <c r="N813" s="48" t="n"/>
      <c r="O813" s="38" t="n"/>
      <c r="P813" s="38" t="n"/>
      <c r="Q813" s="97">
        <f>IF(OR(F813="",E813=""),"",IFERROR(IF(INDEX('PROPERTIES'!$F$5:$F$404,MATCH(E813,'PROPERTIES'!$B$5:$B$404,0))=0,"",ROUND((INDEX('PROPERTIES'!$F$5:$F$404,MATCH(E813,'PROPERTIES'!$B$5:$B$404,0))/INDEX('PRICING'!$C$7:$C$16,MATCH(F813,'PRICING'!$A$7:$A$16,0))+INDEX('PROPERTIES'!$G$5:$G$404,MATCH(E813,'PROPERTIES'!$B$5:$B$404,0))*INDEX('PRICING'!$D$7:$D$16,MATCH(F813,'PRICING'!$A$7:$A$16,0))/60+INDEX('PROPERTIES'!$H$5:$H$404,MATCH(E813,'PROPERTIES'!$B$5:$B$404,0))*INDEX('PRICING'!$E$7:$E$16,MATCH(F813,'PRICING'!$A$7:$A$16,0))/60+INDEX('PRICING'!$F$7:$F$16,MATCH(F813,'PRICING'!$A$7:$A$16,0))/60),2)),""))</f>
        <v/>
      </c>
      <c r="R813" s="97">
        <f>IF(B813="","",IF(N(K813)&gt;0,K813,IF(N(J813)&gt;0,J813,N(Q813))))</f>
        <v/>
      </c>
      <c r="S813" s="55">
        <f>IF(L813="","",ROUND(L813*(1+N(M813)),2))</f>
        <v/>
      </c>
      <c r="T813" s="55">
        <f>IF(B813="","",SUMIFS('REVENUE'!$C$5:$C$1504,'REVENUE'!$B$5:$B$1504,A813))</f>
        <v/>
      </c>
      <c r="U813" s="55">
        <f>IF(B813="","",IF(O813="Completed",MAX(0,N(S813)-T813),""))</f>
        <v/>
      </c>
      <c r="V813" s="49">
        <f>IF(B813="","",IF(O813&lt;&gt;"Completed",IF(T813&gt;0,"Deposit","—"),IF(U813&lt;=0.005,"Paid",IF(T813&gt;0,"Partial","Unpaid"))))</f>
        <v/>
      </c>
      <c r="W813" s="55">
        <f>IF(B813="","",IFERROR(1/(1/INDEX('STAFF &amp; TASKS'!$C$5:$C$24,MATCH(H813,'STAFF &amp; TASKS'!$A$5:$A$24,0))),PayRate))</f>
        <v/>
      </c>
      <c r="X813" s="55">
        <f>IF(B813="","",IF(OR(O813="Cancelled",O813="No-Show"),"",ROUND(R813*W813*(1+Burden),2)))</f>
        <v/>
      </c>
      <c r="Y813" s="55">
        <f>IF(B813="","",IF(OR(O813="Cancelled",O813="No-Show"),"",IF(N813&lt;&gt;"",N813,ROUND(R813*SupHr*IFERROR(INDEX('PRICING'!$G$7:$G$16,MATCH(F813,'PRICING'!$A$7:$A$16,0)),1),2))))</f>
        <v/>
      </c>
      <c r="Z813" s="98">
        <f>IF(B813="","",SUMIFS('MILEAGE'!$J$5:$J$1504,'MILEAGE'!$B$5:$B$1504,A813))</f>
        <v/>
      </c>
      <c r="AA813" s="55">
        <f>IF(B813="","",ROUND(Z813*MileRate,2))</f>
        <v/>
      </c>
      <c r="AB813" s="55">
        <f>IF(B813="","",SUMIFS('REVENUE'!$J$5:$J$1504,'REVENUE'!$B$5:$B$1504,A813))</f>
        <v/>
      </c>
      <c r="AC813" s="55">
        <f>IF(L813="","",IF(OR(O813="Cancelled",O813="No-Show"),"",L813-N(X813)-N(Y813)-AA813-AB813))</f>
        <v/>
      </c>
      <c r="AD813" s="99">
        <f>IF(OR(AC813="",N(L813)=0),"",AC813/L813)</f>
        <v/>
      </c>
      <c r="AE813" s="55">
        <f>IF(OR(AC813="",N(R813)=0),"",L813/R813)</f>
        <v/>
      </c>
      <c r="AF813" s="100">
        <f>IF(OR(N(K813)=0,N(J813)+N(Q813)=0),"",K813-IF(N(J813)&gt;0,J813,Q813))</f>
        <v/>
      </c>
      <c r="AG813" s="99">
        <f>IF(B813="","",IFERROR(AVERAGEIFS('QUALITY CONTROL'!$M$5:$M$304,'QUALITY CONTROL'!$B$5:$B$304,A813),""))</f>
        <v/>
      </c>
      <c r="AH813" s="51">
        <f>IF(B813="","",DATE(YEAR(B813),MONTH(B813),1))</f>
        <v/>
      </c>
      <c r="AI813" s="49">
        <f>IF(D813="","",IFERROR(INDEX('CUSTOMERS'!$E$5:$E$404,MATCH(D813,'CUSTOMERS'!$B$5:$B$404,0)),""))</f>
        <v/>
      </c>
      <c r="AJ813" s="49">
        <f>IF(B813="","",N(C813))</f>
        <v/>
      </c>
      <c r="AK813" s="49">
        <f>IF(OR(B813="",O813="Cancelled",O813="Rescheduled"),"",B813&amp;"|"&amp;(COUNTIFS('JOBS'!$B$5:$B$1504,B813,'JOBS'!$AJ$5:$AJ$1504,"&lt;"&amp;AJ813,'JOBS'!$O$5:$O$1504,"&lt;&gt;Cancelled",'JOBS'!$O$5:$O$1504,"&lt;&gt;Rescheduled")+COUNTIFS($B$5:B813,B813,$AJ$5:AJ813,AJ813,$O$5:O813,"&lt;&gt;Cancelled",$O$5:O813,"&lt;&gt;Rescheduled")))</f>
        <v/>
      </c>
      <c r="AL813" s="49">
        <f>IF(N(U813)&lt;=0.005,"",COUNTIFS('JOBS'!$U$5:$U$1504,"&gt;0.005",'JOBS'!$B$5:$B$1504,"&lt;"&amp;B813)+COUNTIFS($U$5:U813,"&gt;0.005",$B$5:B813,B813))</f>
        <v/>
      </c>
    </row>
    <row r="814">
      <c r="A814" s="46" t="inlineStr">
        <is>
          <t>J-0810</t>
        </is>
      </c>
      <c r="B814" s="47" t="n"/>
      <c r="C814" s="94" t="n"/>
      <c r="D814" s="38" t="n"/>
      <c r="E814" s="38" t="n"/>
      <c r="F814" s="38" t="n"/>
      <c r="G814" s="38" t="n"/>
      <c r="H814" s="38" t="n"/>
      <c r="I814" s="57" t="n"/>
      <c r="J814" s="95" t="n"/>
      <c r="K814" s="95" t="n"/>
      <c r="L814" s="48" t="n"/>
      <c r="M814" s="96" t="n"/>
      <c r="N814" s="48" t="n"/>
      <c r="O814" s="38" t="n"/>
      <c r="P814" s="38" t="n"/>
      <c r="Q814" s="97">
        <f>IF(OR(F814="",E814=""),"",IFERROR(IF(INDEX('PROPERTIES'!$F$5:$F$404,MATCH(E814,'PROPERTIES'!$B$5:$B$404,0))=0,"",ROUND((INDEX('PROPERTIES'!$F$5:$F$404,MATCH(E814,'PROPERTIES'!$B$5:$B$404,0))/INDEX('PRICING'!$C$7:$C$16,MATCH(F814,'PRICING'!$A$7:$A$16,0))+INDEX('PROPERTIES'!$G$5:$G$404,MATCH(E814,'PROPERTIES'!$B$5:$B$404,0))*INDEX('PRICING'!$D$7:$D$16,MATCH(F814,'PRICING'!$A$7:$A$16,0))/60+INDEX('PROPERTIES'!$H$5:$H$404,MATCH(E814,'PROPERTIES'!$B$5:$B$404,0))*INDEX('PRICING'!$E$7:$E$16,MATCH(F814,'PRICING'!$A$7:$A$16,0))/60+INDEX('PRICING'!$F$7:$F$16,MATCH(F814,'PRICING'!$A$7:$A$16,0))/60),2)),""))</f>
        <v/>
      </c>
      <c r="R814" s="97">
        <f>IF(B814="","",IF(N(K814)&gt;0,K814,IF(N(J814)&gt;0,J814,N(Q814))))</f>
        <v/>
      </c>
      <c r="S814" s="55">
        <f>IF(L814="","",ROUND(L814*(1+N(M814)),2))</f>
        <v/>
      </c>
      <c r="T814" s="55">
        <f>IF(B814="","",SUMIFS('REVENUE'!$C$5:$C$1504,'REVENUE'!$B$5:$B$1504,A814))</f>
        <v/>
      </c>
      <c r="U814" s="55">
        <f>IF(B814="","",IF(O814="Completed",MAX(0,N(S814)-T814),""))</f>
        <v/>
      </c>
      <c r="V814" s="49">
        <f>IF(B814="","",IF(O814&lt;&gt;"Completed",IF(T814&gt;0,"Deposit","—"),IF(U814&lt;=0.005,"Paid",IF(T814&gt;0,"Partial","Unpaid"))))</f>
        <v/>
      </c>
      <c r="W814" s="55">
        <f>IF(B814="","",IFERROR(1/(1/INDEX('STAFF &amp; TASKS'!$C$5:$C$24,MATCH(H814,'STAFF &amp; TASKS'!$A$5:$A$24,0))),PayRate))</f>
        <v/>
      </c>
      <c r="X814" s="55">
        <f>IF(B814="","",IF(OR(O814="Cancelled",O814="No-Show"),"",ROUND(R814*W814*(1+Burden),2)))</f>
        <v/>
      </c>
      <c r="Y814" s="55">
        <f>IF(B814="","",IF(OR(O814="Cancelled",O814="No-Show"),"",IF(N814&lt;&gt;"",N814,ROUND(R814*SupHr*IFERROR(INDEX('PRICING'!$G$7:$G$16,MATCH(F814,'PRICING'!$A$7:$A$16,0)),1),2))))</f>
        <v/>
      </c>
      <c r="Z814" s="98">
        <f>IF(B814="","",SUMIFS('MILEAGE'!$J$5:$J$1504,'MILEAGE'!$B$5:$B$1504,A814))</f>
        <v/>
      </c>
      <c r="AA814" s="55">
        <f>IF(B814="","",ROUND(Z814*MileRate,2))</f>
        <v/>
      </c>
      <c r="AB814" s="55">
        <f>IF(B814="","",SUMIFS('REVENUE'!$J$5:$J$1504,'REVENUE'!$B$5:$B$1504,A814))</f>
        <v/>
      </c>
      <c r="AC814" s="55">
        <f>IF(L814="","",IF(OR(O814="Cancelled",O814="No-Show"),"",L814-N(X814)-N(Y814)-AA814-AB814))</f>
        <v/>
      </c>
      <c r="AD814" s="99">
        <f>IF(OR(AC814="",N(L814)=0),"",AC814/L814)</f>
        <v/>
      </c>
      <c r="AE814" s="55">
        <f>IF(OR(AC814="",N(R814)=0),"",L814/R814)</f>
        <v/>
      </c>
      <c r="AF814" s="100">
        <f>IF(OR(N(K814)=0,N(J814)+N(Q814)=0),"",K814-IF(N(J814)&gt;0,J814,Q814))</f>
        <v/>
      </c>
      <c r="AG814" s="99">
        <f>IF(B814="","",IFERROR(AVERAGEIFS('QUALITY CONTROL'!$M$5:$M$304,'QUALITY CONTROL'!$B$5:$B$304,A814),""))</f>
        <v/>
      </c>
      <c r="AH814" s="51">
        <f>IF(B814="","",DATE(YEAR(B814),MONTH(B814),1))</f>
        <v/>
      </c>
      <c r="AI814" s="49">
        <f>IF(D814="","",IFERROR(INDEX('CUSTOMERS'!$E$5:$E$404,MATCH(D814,'CUSTOMERS'!$B$5:$B$404,0)),""))</f>
        <v/>
      </c>
      <c r="AJ814" s="49">
        <f>IF(B814="","",N(C814))</f>
        <v/>
      </c>
      <c r="AK814" s="49">
        <f>IF(OR(B814="",O814="Cancelled",O814="Rescheduled"),"",B814&amp;"|"&amp;(COUNTIFS('JOBS'!$B$5:$B$1504,B814,'JOBS'!$AJ$5:$AJ$1504,"&lt;"&amp;AJ814,'JOBS'!$O$5:$O$1504,"&lt;&gt;Cancelled",'JOBS'!$O$5:$O$1504,"&lt;&gt;Rescheduled")+COUNTIFS($B$5:B814,B814,$AJ$5:AJ814,AJ814,$O$5:O814,"&lt;&gt;Cancelled",$O$5:O814,"&lt;&gt;Rescheduled")))</f>
        <v/>
      </c>
      <c r="AL814" s="49">
        <f>IF(N(U814)&lt;=0.005,"",COUNTIFS('JOBS'!$U$5:$U$1504,"&gt;0.005",'JOBS'!$B$5:$B$1504,"&lt;"&amp;B814)+COUNTIFS($U$5:U814,"&gt;0.005",$B$5:B814,B814))</f>
        <v/>
      </c>
    </row>
    <row r="815">
      <c r="A815" s="46" t="inlineStr">
        <is>
          <t>J-0811</t>
        </is>
      </c>
      <c r="B815" s="47" t="n"/>
      <c r="C815" s="94" t="n"/>
      <c r="D815" s="38" t="n"/>
      <c r="E815" s="38" t="n"/>
      <c r="F815" s="38" t="n"/>
      <c r="G815" s="38" t="n"/>
      <c r="H815" s="38" t="n"/>
      <c r="I815" s="57" t="n"/>
      <c r="J815" s="95" t="n"/>
      <c r="K815" s="95" t="n"/>
      <c r="L815" s="48" t="n"/>
      <c r="M815" s="96" t="n"/>
      <c r="N815" s="48" t="n"/>
      <c r="O815" s="38" t="n"/>
      <c r="P815" s="38" t="n"/>
      <c r="Q815" s="97">
        <f>IF(OR(F815="",E815=""),"",IFERROR(IF(INDEX('PROPERTIES'!$F$5:$F$404,MATCH(E815,'PROPERTIES'!$B$5:$B$404,0))=0,"",ROUND((INDEX('PROPERTIES'!$F$5:$F$404,MATCH(E815,'PROPERTIES'!$B$5:$B$404,0))/INDEX('PRICING'!$C$7:$C$16,MATCH(F815,'PRICING'!$A$7:$A$16,0))+INDEX('PROPERTIES'!$G$5:$G$404,MATCH(E815,'PROPERTIES'!$B$5:$B$404,0))*INDEX('PRICING'!$D$7:$D$16,MATCH(F815,'PRICING'!$A$7:$A$16,0))/60+INDEX('PROPERTIES'!$H$5:$H$404,MATCH(E815,'PROPERTIES'!$B$5:$B$404,0))*INDEX('PRICING'!$E$7:$E$16,MATCH(F815,'PRICING'!$A$7:$A$16,0))/60+INDEX('PRICING'!$F$7:$F$16,MATCH(F815,'PRICING'!$A$7:$A$16,0))/60),2)),""))</f>
        <v/>
      </c>
      <c r="R815" s="97">
        <f>IF(B815="","",IF(N(K815)&gt;0,K815,IF(N(J815)&gt;0,J815,N(Q815))))</f>
        <v/>
      </c>
      <c r="S815" s="55">
        <f>IF(L815="","",ROUND(L815*(1+N(M815)),2))</f>
        <v/>
      </c>
      <c r="T815" s="55">
        <f>IF(B815="","",SUMIFS('REVENUE'!$C$5:$C$1504,'REVENUE'!$B$5:$B$1504,A815))</f>
        <v/>
      </c>
      <c r="U815" s="55">
        <f>IF(B815="","",IF(O815="Completed",MAX(0,N(S815)-T815),""))</f>
        <v/>
      </c>
      <c r="V815" s="49">
        <f>IF(B815="","",IF(O815&lt;&gt;"Completed",IF(T815&gt;0,"Deposit","—"),IF(U815&lt;=0.005,"Paid",IF(T815&gt;0,"Partial","Unpaid"))))</f>
        <v/>
      </c>
      <c r="W815" s="55">
        <f>IF(B815="","",IFERROR(1/(1/INDEX('STAFF &amp; TASKS'!$C$5:$C$24,MATCH(H815,'STAFF &amp; TASKS'!$A$5:$A$24,0))),PayRate))</f>
        <v/>
      </c>
      <c r="X815" s="55">
        <f>IF(B815="","",IF(OR(O815="Cancelled",O815="No-Show"),"",ROUND(R815*W815*(1+Burden),2)))</f>
        <v/>
      </c>
      <c r="Y815" s="55">
        <f>IF(B815="","",IF(OR(O815="Cancelled",O815="No-Show"),"",IF(N815&lt;&gt;"",N815,ROUND(R815*SupHr*IFERROR(INDEX('PRICING'!$G$7:$G$16,MATCH(F815,'PRICING'!$A$7:$A$16,0)),1),2))))</f>
        <v/>
      </c>
      <c r="Z815" s="98">
        <f>IF(B815="","",SUMIFS('MILEAGE'!$J$5:$J$1504,'MILEAGE'!$B$5:$B$1504,A815))</f>
        <v/>
      </c>
      <c r="AA815" s="55">
        <f>IF(B815="","",ROUND(Z815*MileRate,2))</f>
        <v/>
      </c>
      <c r="AB815" s="55">
        <f>IF(B815="","",SUMIFS('REVENUE'!$J$5:$J$1504,'REVENUE'!$B$5:$B$1504,A815))</f>
        <v/>
      </c>
      <c r="AC815" s="55">
        <f>IF(L815="","",IF(OR(O815="Cancelled",O815="No-Show"),"",L815-N(X815)-N(Y815)-AA815-AB815))</f>
        <v/>
      </c>
      <c r="AD815" s="99">
        <f>IF(OR(AC815="",N(L815)=0),"",AC815/L815)</f>
        <v/>
      </c>
      <c r="AE815" s="55">
        <f>IF(OR(AC815="",N(R815)=0),"",L815/R815)</f>
        <v/>
      </c>
      <c r="AF815" s="100">
        <f>IF(OR(N(K815)=0,N(J815)+N(Q815)=0),"",K815-IF(N(J815)&gt;0,J815,Q815))</f>
        <v/>
      </c>
      <c r="AG815" s="99">
        <f>IF(B815="","",IFERROR(AVERAGEIFS('QUALITY CONTROL'!$M$5:$M$304,'QUALITY CONTROL'!$B$5:$B$304,A815),""))</f>
        <v/>
      </c>
      <c r="AH815" s="51">
        <f>IF(B815="","",DATE(YEAR(B815),MONTH(B815),1))</f>
        <v/>
      </c>
      <c r="AI815" s="49">
        <f>IF(D815="","",IFERROR(INDEX('CUSTOMERS'!$E$5:$E$404,MATCH(D815,'CUSTOMERS'!$B$5:$B$404,0)),""))</f>
        <v/>
      </c>
      <c r="AJ815" s="49">
        <f>IF(B815="","",N(C815))</f>
        <v/>
      </c>
      <c r="AK815" s="49">
        <f>IF(OR(B815="",O815="Cancelled",O815="Rescheduled"),"",B815&amp;"|"&amp;(COUNTIFS('JOBS'!$B$5:$B$1504,B815,'JOBS'!$AJ$5:$AJ$1504,"&lt;"&amp;AJ815,'JOBS'!$O$5:$O$1504,"&lt;&gt;Cancelled",'JOBS'!$O$5:$O$1504,"&lt;&gt;Rescheduled")+COUNTIFS($B$5:B815,B815,$AJ$5:AJ815,AJ815,$O$5:O815,"&lt;&gt;Cancelled",$O$5:O815,"&lt;&gt;Rescheduled")))</f>
        <v/>
      </c>
      <c r="AL815" s="49">
        <f>IF(N(U815)&lt;=0.005,"",COUNTIFS('JOBS'!$U$5:$U$1504,"&gt;0.005",'JOBS'!$B$5:$B$1504,"&lt;"&amp;B815)+COUNTIFS($U$5:U815,"&gt;0.005",$B$5:B815,B815))</f>
        <v/>
      </c>
    </row>
    <row r="816">
      <c r="A816" s="46" t="inlineStr">
        <is>
          <t>J-0812</t>
        </is>
      </c>
      <c r="B816" s="47" t="n"/>
      <c r="C816" s="94" t="n"/>
      <c r="D816" s="38" t="n"/>
      <c r="E816" s="38" t="n"/>
      <c r="F816" s="38" t="n"/>
      <c r="G816" s="38" t="n"/>
      <c r="H816" s="38" t="n"/>
      <c r="I816" s="57" t="n"/>
      <c r="J816" s="95" t="n"/>
      <c r="K816" s="95" t="n"/>
      <c r="L816" s="48" t="n"/>
      <c r="M816" s="96" t="n"/>
      <c r="N816" s="48" t="n"/>
      <c r="O816" s="38" t="n"/>
      <c r="P816" s="38" t="n"/>
      <c r="Q816" s="97">
        <f>IF(OR(F816="",E816=""),"",IFERROR(IF(INDEX('PROPERTIES'!$F$5:$F$404,MATCH(E816,'PROPERTIES'!$B$5:$B$404,0))=0,"",ROUND((INDEX('PROPERTIES'!$F$5:$F$404,MATCH(E816,'PROPERTIES'!$B$5:$B$404,0))/INDEX('PRICING'!$C$7:$C$16,MATCH(F816,'PRICING'!$A$7:$A$16,0))+INDEX('PROPERTIES'!$G$5:$G$404,MATCH(E816,'PROPERTIES'!$B$5:$B$404,0))*INDEX('PRICING'!$D$7:$D$16,MATCH(F816,'PRICING'!$A$7:$A$16,0))/60+INDEX('PROPERTIES'!$H$5:$H$404,MATCH(E816,'PROPERTIES'!$B$5:$B$404,0))*INDEX('PRICING'!$E$7:$E$16,MATCH(F816,'PRICING'!$A$7:$A$16,0))/60+INDEX('PRICING'!$F$7:$F$16,MATCH(F816,'PRICING'!$A$7:$A$16,0))/60),2)),""))</f>
        <v/>
      </c>
      <c r="R816" s="97">
        <f>IF(B816="","",IF(N(K816)&gt;0,K816,IF(N(J816)&gt;0,J816,N(Q816))))</f>
        <v/>
      </c>
      <c r="S816" s="55">
        <f>IF(L816="","",ROUND(L816*(1+N(M816)),2))</f>
        <v/>
      </c>
      <c r="T816" s="55">
        <f>IF(B816="","",SUMIFS('REVENUE'!$C$5:$C$1504,'REVENUE'!$B$5:$B$1504,A816))</f>
        <v/>
      </c>
      <c r="U816" s="55">
        <f>IF(B816="","",IF(O816="Completed",MAX(0,N(S816)-T816),""))</f>
        <v/>
      </c>
      <c r="V816" s="49">
        <f>IF(B816="","",IF(O816&lt;&gt;"Completed",IF(T816&gt;0,"Deposit","—"),IF(U816&lt;=0.005,"Paid",IF(T816&gt;0,"Partial","Unpaid"))))</f>
        <v/>
      </c>
      <c r="W816" s="55">
        <f>IF(B816="","",IFERROR(1/(1/INDEX('STAFF &amp; TASKS'!$C$5:$C$24,MATCH(H816,'STAFF &amp; TASKS'!$A$5:$A$24,0))),PayRate))</f>
        <v/>
      </c>
      <c r="X816" s="55">
        <f>IF(B816="","",IF(OR(O816="Cancelled",O816="No-Show"),"",ROUND(R816*W816*(1+Burden),2)))</f>
        <v/>
      </c>
      <c r="Y816" s="55">
        <f>IF(B816="","",IF(OR(O816="Cancelled",O816="No-Show"),"",IF(N816&lt;&gt;"",N816,ROUND(R816*SupHr*IFERROR(INDEX('PRICING'!$G$7:$G$16,MATCH(F816,'PRICING'!$A$7:$A$16,0)),1),2))))</f>
        <v/>
      </c>
      <c r="Z816" s="98">
        <f>IF(B816="","",SUMIFS('MILEAGE'!$J$5:$J$1504,'MILEAGE'!$B$5:$B$1504,A816))</f>
        <v/>
      </c>
      <c r="AA816" s="55">
        <f>IF(B816="","",ROUND(Z816*MileRate,2))</f>
        <v/>
      </c>
      <c r="AB816" s="55">
        <f>IF(B816="","",SUMIFS('REVENUE'!$J$5:$J$1504,'REVENUE'!$B$5:$B$1504,A816))</f>
        <v/>
      </c>
      <c r="AC816" s="55">
        <f>IF(L816="","",IF(OR(O816="Cancelled",O816="No-Show"),"",L816-N(X816)-N(Y816)-AA816-AB816))</f>
        <v/>
      </c>
      <c r="AD816" s="99">
        <f>IF(OR(AC816="",N(L816)=0),"",AC816/L816)</f>
        <v/>
      </c>
      <c r="AE816" s="55">
        <f>IF(OR(AC816="",N(R816)=0),"",L816/R816)</f>
        <v/>
      </c>
      <c r="AF816" s="100">
        <f>IF(OR(N(K816)=0,N(J816)+N(Q816)=0),"",K816-IF(N(J816)&gt;0,J816,Q816))</f>
        <v/>
      </c>
      <c r="AG816" s="99">
        <f>IF(B816="","",IFERROR(AVERAGEIFS('QUALITY CONTROL'!$M$5:$M$304,'QUALITY CONTROL'!$B$5:$B$304,A816),""))</f>
        <v/>
      </c>
      <c r="AH816" s="51">
        <f>IF(B816="","",DATE(YEAR(B816),MONTH(B816),1))</f>
        <v/>
      </c>
      <c r="AI816" s="49">
        <f>IF(D816="","",IFERROR(INDEX('CUSTOMERS'!$E$5:$E$404,MATCH(D816,'CUSTOMERS'!$B$5:$B$404,0)),""))</f>
        <v/>
      </c>
      <c r="AJ816" s="49">
        <f>IF(B816="","",N(C816))</f>
        <v/>
      </c>
      <c r="AK816" s="49">
        <f>IF(OR(B816="",O816="Cancelled",O816="Rescheduled"),"",B816&amp;"|"&amp;(COUNTIFS('JOBS'!$B$5:$B$1504,B816,'JOBS'!$AJ$5:$AJ$1504,"&lt;"&amp;AJ816,'JOBS'!$O$5:$O$1504,"&lt;&gt;Cancelled",'JOBS'!$O$5:$O$1504,"&lt;&gt;Rescheduled")+COUNTIFS($B$5:B816,B816,$AJ$5:AJ816,AJ816,$O$5:O816,"&lt;&gt;Cancelled",$O$5:O816,"&lt;&gt;Rescheduled")))</f>
        <v/>
      </c>
      <c r="AL816" s="49">
        <f>IF(N(U816)&lt;=0.005,"",COUNTIFS('JOBS'!$U$5:$U$1504,"&gt;0.005",'JOBS'!$B$5:$B$1504,"&lt;"&amp;B816)+COUNTIFS($U$5:U816,"&gt;0.005",$B$5:B816,B816))</f>
        <v/>
      </c>
    </row>
    <row r="817">
      <c r="A817" s="46" t="inlineStr">
        <is>
          <t>J-0813</t>
        </is>
      </c>
      <c r="B817" s="47" t="n"/>
      <c r="C817" s="94" t="n"/>
      <c r="D817" s="38" t="n"/>
      <c r="E817" s="38" t="n"/>
      <c r="F817" s="38" t="n"/>
      <c r="G817" s="38" t="n"/>
      <c r="H817" s="38" t="n"/>
      <c r="I817" s="57" t="n"/>
      <c r="J817" s="95" t="n"/>
      <c r="K817" s="95" t="n"/>
      <c r="L817" s="48" t="n"/>
      <c r="M817" s="96" t="n"/>
      <c r="N817" s="48" t="n"/>
      <c r="O817" s="38" t="n"/>
      <c r="P817" s="38" t="n"/>
      <c r="Q817" s="97">
        <f>IF(OR(F817="",E817=""),"",IFERROR(IF(INDEX('PROPERTIES'!$F$5:$F$404,MATCH(E817,'PROPERTIES'!$B$5:$B$404,0))=0,"",ROUND((INDEX('PROPERTIES'!$F$5:$F$404,MATCH(E817,'PROPERTIES'!$B$5:$B$404,0))/INDEX('PRICING'!$C$7:$C$16,MATCH(F817,'PRICING'!$A$7:$A$16,0))+INDEX('PROPERTIES'!$G$5:$G$404,MATCH(E817,'PROPERTIES'!$B$5:$B$404,0))*INDEX('PRICING'!$D$7:$D$16,MATCH(F817,'PRICING'!$A$7:$A$16,0))/60+INDEX('PROPERTIES'!$H$5:$H$404,MATCH(E817,'PROPERTIES'!$B$5:$B$404,0))*INDEX('PRICING'!$E$7:$E$16,MATCH(F817,'PRICING'!$A$7:$A$16,0))/60+INDEX('PRICING'!$F$7:$F$16,MATCH(F817,'PRICING'!$A$7:$A$16,0))/60),2)),""))</f>
        <v/>
      </c>
      <c r="R817" s="97">
        <f>IF(B817="","",IF(N(K817)&gt;0,K817,IF(N(J817)&gt;0,J817,N(Q817))))</f>
        <v/>
      </c>
      <c r="S817" s="55">
        <f>IF(L817="","",ROUND(L817*(1+N(M817)),2))</f>
        <v/>
      </c>
      <c r="T817" s="55">
        <f>IF(B817="","",SUMIFS('REVENUE'!$C$5:$C$1504,'REVENUE'!$B$5:$B$1504,A817))</f>
        <v/>
      </c>
      <c r="U817" s="55">
        <f>IF(B817="","",IF(O817="Completed",MAX(0,N(S817)-T817),""))</f>
        <v/>
      </c>
      <c r="V817" s="49">
        <f>IF(B817="","",IF(O817&lt;&gt;"Completed",IF(T817&gt;0,"Deposit","—"),IF(U817&lt;=0.005,"Paid",IF(T817&gt;0,"Partial","Unpaid"))))</f>
        <v/>
      </c>
      <c r="W817" s="55">
        <f>IF(B817="","",IFERROR(1/(1/INDEX('STAFF &amp; TASKS'!$C$5:$C$24,MATCH(H817,'STAFF &amp; TASKS'!$A$5:$A$24,0))),PayRate))</f>
        <v/>
      </c>
      <c r="X817" s="55">
        <f>IF(B817="","",IF(OR(O817="Cancelled",O817="No-Show"),"",ROUND(R817*W817*(1+Burden),2)))</f>
        <v/>
      </c>
      <c r="Y817" s="55">
        <f>IF(B817="","",IF(OR(O817="Cancelled",O817="No-Show"),"",IF(N817&lt;&gt;"",N817,ROUND(R817*SupHr*IFERROR(INDEX('PRICING'!$G$7:$G$16,MATCH(F817,'PRICING'!$A$7:$A$16,0)),1),2))))</f>
        <v/>
      </c>
      <c r="Z817" s="98">
        <f>IF(B817="","",SUMIFS('MILEAGE'!$J$5:$J$1504,'MILEAGE'!$B$5:$B$1504,A817))</f>
        <v/>
      </c>
      <c r="AA817" s="55">
        <f>IF(B817="","",ROUND(Z817*MileRate,2))</f>
        <v/>
      </c>
      <c r="AB817" s="55">
        <f>IF(B817="","",SUMIFS('REVENUE'!$J$5:$J$1504,'REVENUE'!$B$5:$B$1504,A817))</f>
        <v/>
      </c>
      <c r="AC817" s="55">
        <f>IF(L817="","",IF(OR(O817="Cancelled",O817="No-Show"),"",L817-N(X817)-N(Y817)-AA817-AB817))</f>
        <v/>
      </c>
      <c r="AD817" s="99">
        <f>IF(OR(AC817="",N(L817)=0),"",AC817/L817)</f>
        <v/>
      </c>
      <c r="AE817" s="55">
        <f>IF(OR(AC817="",N(R817)=0),"",L817/R817)</f>
        <v/>
      </c>
      <c r="AF817" s="100">
        <f>IF(OR(N(K817)=0,N(J817)+N(Q817)=0),"",K817-IF(N(J817)&gt;0,J817,Q817))</f>
        <v/>
      </c>
      <c r="AG817" s="99">
        <f>IF(B817="","",IFERROR(AVERAGEIFS('QUALITY CONTROL'!$M$5:$M$304,'QUALITY CONTROL'!$B$5:$B$304,A817),""))</f>
        <v/>
      </c>
      <c r="AH817" s="51">
        <f>IF(B817="","",DATE(YEAR(B817),MONTH(B817),1))</f>
        <v/>
      </c>
      <c r="AI817" s="49">
        <f>IF(D817="","",IFERROR(INDEX('CUSTOMERS'!$E$5:$E$404,MATCH(D817,'CUSTOMERS'!$B$5:$B$404,0)),""))</f>
        <v/>
      </c>
      <c r="AJ817" s="49">
        <f>IF(B817="","",N(C817))</f>
        <v/>
      </c>
      <c r="AK817" s="49">
        <f>IF(OR(B817="",O817="Cancelled",O817="Rescheduled"),"",B817&amp;"|"&amp;(COUNTIFS('JOBS'!$B$5:$B$1504,B817,'JOBS'!$AJ$5:$AJ$1504,"&lt;"&amp;AJ817,'JOBS'!$O$5:$O$1504,"&lt;&gt;Cancelled",'JOBS'!$O$5:$O$1504,"&lt;&gt;Rescheduled")+COUNTIFS($B$5:B817,B817,$AJ$5:AJ817,AJ817,$O$5:O817,"&lt;&gt;Cancelled",$O$5:O817,"&lt;&gt;Rescheduled")))</f>
        <v/>
      </c>
      <c r="AL817" s="49">
        <f>IF(N(U817)&lt;=0.005,"",COUNTIFS('JOBS'!$U$5:$U$1504,"&gt;0.005",'JOBS'!$B$5:$B$1504,"&lt;"&amp;B817)+COUNTIFS($U$5:U817,"&gt;0.005",$B$5:B817,B817))</f>
        <v/>
      </c>
    </row>
    <row r="818">
      <c r="A818" s="46" t="inlineStr">
        <is>
          <t>J-0814</t>
        </is>
      </c>
      <c r="B818" s="47" t="n"/>
      <c r="C818" s="94" t="n"/>
      <c r="D818" s="38" t="n"/>
      <c r="E818" s="38" t="n"/>
      <c r="F818" s="38" t="n"/>
      <c r="G818" s="38" t="n"/>
      <c r="H818" s="38" t="n"/>
      <c r="I818" s="57" t="n"/>
      <c r="J818" s="95" t="n"/>
      <c r="K818" s="95" t="n"/>
      <c r="L818" s="48" t="n"/>
      <c r="M818" s="96" t="n"/>
      <c r="N818" s="48" t="n"/>
      <c r="O818" s="38" t="n"/>
      <c r="P818" s="38" t="n"/>
      <c r="Q818" s="97">
        <f>IF(OR(F818="",E818=""),"",IFERROR(IF(INDEX('PROPERTIES'!$F$5:$F$404,MATCH(E818,'PROPERTIES'!$B$5:$B$404,0))=0,"",ROUND((INDEX('PROPERTIES'!$F$5:$F$404,MATCH(E818,'PROPERTIES'!$B$5:$B$404,0))/INDEX('PRICING'!$C$7:$C$16,MATCH(F818,'PRICING'!$A$7:$A$16,0))+INDEX('PROPERTIES'!$G$5:$G$404,MATCH(E818,'PROPERTIES'!$B$5:$B$404,0))*INDEX('PRICING'!$D$7:$D$16,MATCH(F818,'PRICING'!$A$7:$A$16,0))/60+INDEX('PROPERTIES'!$H$5:$H$404,MATCH(E818,'PROPERTIES'!$B$5:$B$404,0))*INDEX('PRICING'!$E$7:$E$16,MATCH(F818,'PRICING'!$A$7:$A$16,0))/60+INDEX('PRICING'!$F$7:$F$16,MATCH(F818,'PRICING'!$A$7:$A$16,0))/60),2)),""))</f>
        <v/>
      </c>
      <c r="R818" s="97">
        <f>IF(B818="","",IF(N(K818)&gt;0,K818,IF(N(J818)&gt;0,J818,N(Q818))))</f>
        <v/>
      </c>
      <c r="S818" s="55">
        <f>IF(L818="","",ROUND(L818*(1+N(M818)),2))</f>
        <v/>
      </c>
      <c r="T818" s="55">
        <f>IF(B818="","",SUMIFS('REVENUE'!$C$5:$C$1504,'REVENUE'!$B$5:$B$1504,A818))</f>
        <v/>
      </c>
      <c r="U818" s="55">
        <f>IF(B818="","",IF(O818="Completed",MAX(0,N(S818)-T818),""))</f>
        <v/>
      </c>
      <c r="V818" s="49">
        <f>IF(B818="","",IF(O818&lt;&gt;"Completed",IF(T818&gt;0,"Deposit","—"),IF(U818&lt;=0.005,"Paid",IF(T818&gt;0,"Partial","Unpaid"))))</f>
        <v/>
      </c>
      <c r="W818" s="55">
        <f>IF(B818="","",IFERROR(1/(1/INDEX('STAFF &amp; TASKS'!$C$5:$C$24,MATCH(H818,'STAFF &amp; TASKS'!$A$5:$A$24,0))),PayRate))</f>
        <v/>
      </c>
      <c r="X818" s="55">
        <f>IF(B818="","",IF(OR(O818="Cancelled",O818="No-Show"),"",ROUND(R818*W818*(1+Burden),2)))</f>
        <v/>
      </c>
      <c r="Y818" s="55">
        <f>IF(B818="","",IF(OR(O818="Cancelled",O818="No-Show"),"",IF(N818&lt;&gt;"",N818,ROUND(R818*SupHr*IFERROR(INDEX('PRICING'!$G$7:$G$16,MATCH(F818,'PRICING'!$A$7:$A$16,0)),1),2))))</f>
        <v/>
      </c>
      <c r="Z818" s="98">
        <f>IF(B818="","",SUMIFS('MILEAGE'!$J$5:$J$1504,'MILEAGE'!$B$5:$B$1504,A818))</f>
        <v/>
      </c>
      <c r="AA818" s="55">
        <f>IF(B818="","",ROUND(Z818*MileRate,2))</f>
        <v/>
      </c>
      <c r="AB818" s="55">
        <f>IF(B818="","",SUMIFS('REVENUE'!$J$5:$J$1504,'REVENUE'!$B$5:$B$1504,A818))</f>
        <v/>
      </c>
      <c r="AC818" s="55">
        <f>IF(L818="","",IF(OR(O818="Cancelled",O818="No-Show"),"",L818-N(X818)-N(Y818)-AA818-AB818))</f>
        <v/>
      </c>
      <c r="AD818" s="99">
        <f>IF(OR(AC818="",N(L818)=0),"",AC818/L818)</f>
        <v/>
      </c>
      <c r="AE818" s="55">
        <f>IF(OR(AC818="",N(R818)=0),"",L818/R818)</f>
        <v/>
      </c>
      <c r="AF818" s="100">
        <f>IF(OR(N(K818)=0,N(J818)+N(Q818)=0),"",K818-IF(N(J818)&gt;0,J818,Q818))</f>
        <v/>
      </c>
      <c r="AG818" s="99">
        <f>IF(B818="","",IFERROR(AVERAGEIFS('QUALITY CONTROL'!$M$5:$M$304,'QUALITY CONTROL'!$B$5:$B$304,A818),""))</f>
        <v/>
      </c>
      <c r="AH818" s="51">
        <f>IF(B818="","",DATE(YEAR(B818),MONTH(B818),1))</f>
        <v/>
      </c>
      <c r="AI818" s="49">
        <f>IF(D818="","",IFERROR(INDEX('CUSTOMERS'!$E$5:$E$404,MATCH(D818,'CUSTOMERS'!$B$5:$B$404,0)),""))</f>
        <v/>
      </c>
      <c r="AJ818" s="49">
        <f>IF(B818="","",N(C818))</f>
        <v/>
      </c>
      <c r="AK818" s="49">
        <f>IF(OR(B818="",O818="Cancelled",O818="Rescheduled"),"",B818&amp;"|"&amp;(COUNTIFS('JOBS'!$B$5:$B$1504,B818,'JOBS'!$AJ$5:$AJ$1504,"&lt;"&amp;AJ818,'JOBS'!$O$5:$O$1504,"&lt;&gt;Cancelled",'JOBS'!$O$5:$O$1504,"&lt;&gt;Rescheduled")+COUNTIFS($B$5:B818,B818,$AJ$5:AJ818,AJ818,$O$5:O818,"&lt;&gt;Cancelled",$O$5:O818,"&lt;&gt;Rescheduled")))</f>
        <v/>
      </c>
      <c r="AL818" s="49">
        <f>IF(N(U818)&lt;=0.005,"",COUNTIFS('JOBS'!$U$5:$U$1504,"&gt;0.005",'JOBS'!$B$5:$B$1504,"&lt;"&amp;B818)+COUNTIFS($U$5:U818,"&gt;0.005",$B$5:B818,B818))</f>
        <v/>
      </c>
    </row>
    <row r="819">
      <c r="A819" s="46" t="inlineStr">
        <is>
          <t>J-0815</t>
        </is>
      </c>
      <c r="B819" s="47" t="n"/>
      <c r="C819" s="94" t="n"/>
      <c r="D819" s="38" t="n"/>
      <c r="E819" s="38" t="n"/>
      <c r="F819" s="38" t="n"/>
      <c r="G819" s="38" t="n"/>
      <c r="H819" s="38" t="n"/>
      <c r="I819" s="57" t="n"/>
      <c r="J819" s="95" t="n"/>
      <c r="K819" s="95" t="n"/>
      <c r="L819" s="48" t="n"/>
      <c r="M819" s="96" t="n"/>
      <c r="N819" s="48" t="n"/>
      <c r="O819" s="38" t="n"/>
      <c r="P819" s="38" t="n"/>
      <c r="Q819" s="97">
        <f>IF(OR(F819="",E819=""),"",IFERROR(IF(INDEX('PROPERTIES'!$F$5:$F$404,MATCH(E819,'PROPERTIES'!$B$5:$B$404,0))=0,"",ROUND((INDEX('PROPERTIES'!$F$5:$F$404,MATCH(E819,'PROPERTIES'!$B$5:$B$404,0))/INDEX('PRICING'!$C$7:$C$16,MATCH(F819,'PRICING'!$A$7:$A$16,0))+INDEX('PROPERTIES'!$G$5:$G$404,MATCH(E819,'PROPERTIES'!$B$5:$B$404,0))*INDEX('PRICING'!$D$7:$D$16,MATCH(F819,'PRICING'!$A$7:$A$16,0))/60+INDEX('PROPERTIES'!$H$5:$H$404,MATCH(E819,'PROPERTIES'!$B$5:$B$404,0))*INDEX('PRICING'!$E$7:$E$16,MATCH(F819,'PRICING'!$A$7:$A$16,0))/60+INDEX('PRICING'!$F$7:$F$16,MATCH(F819,'PRICING'!$A$7:$A$16,0))/60),2)),""))</f>
        <v/>
      </c>
      <c r="R819" s="97">
        <f>IF(B819="","",IF(N(K819)&gt;0,K819,IF(N(J819)&gt;0,J819,N(Q819))))</f>
        <v/>
      </c>
      <c r="S819" s="55">
        <f>IF(L819="","",ROUND(L819*(1+N(M819)),2))</f>
        <v/>
      </c>
      <c r="T819" s="55">
        <f>IF(B819="","",SUMIFS('REVENUE'!$C$5:$C$1504,'REVENUE'!$B$5:$B$1504,A819))</f>
        <v/>
      </c>
      <c r="U819" s="55">
        <f>IF(B819="","",IF(O819="Completed",MAX(0,N(S819)-T819),""))</f>
        <v/>
      </c>
      <c r="V819" s="49">
        <f>IF(B819="","",IF(O819&lt;&gt;"Completed",IF(T819&gt;0,"Deposit","—"),IF(U819&lt;=0.005,"Paid",IF(T819&gt;0,"Partial","Unpaid"))))</f>
        <v/>
      </c>
      <c r="W819" s="55">
        <f>IF(B819="","",IFERROR(1/(1/INDEX('STAFF &amp; TASKS'!$C$5:$C$24,MATCH(H819,'STAFF &amp; TASKS'!$A$5:$A$24,0))),PayRate))</f>
        <v/>
      </c>
      <c r="X819" s="55">
        <f>IF(B819="","",IF(OR(O819="Cancelled",O819="No-Show"),"",ROUND(R819*W819*(1+Burden),2)))</f>
        <v/>
      </c>
      <c r="Y819" s="55">
        <f>IF(B819="","",IF(OR(O819="Cancelled",O819="No-Show"),"",IF(N819&lt;&gt;"",N819,ROUND(R819*SupHr*IFERROR(INDEX('PRICING'!$G$7:$G$16,MATCH(F819,'PRICING'!$A$7:$A$16,0)),1),2))))</f>
        <v/>
      </c>
      <c r="Z819" s="98">
        <f>IF(B819="","",SUMIFS('MILEAGE'!$J$5:$J$1504,'MILEAGE'!$B$5:$B$1504,A819))</f>
        <v/>
      </c>
      <c r="AA819" s="55">
        <f>IF(B819="","",ROUND(Z819*MileRate,2))</f>
        <v/>
      </c>
      <c r="AB819" s="55">
        <f>IF(B819="","",SUMIFS('REVENUE'!$J$5:$J$1504,'REVENUE'!$B$5:$B$1504,A819))</f>
        <v/>
      </c>
      <c r="AC819" s="55">
        <f>IF(L819="","",IF(OR(O819="Cancelled",O819="No-Show"),"",L819-N(X819)-N(Y819)-AA819-AB819))</f>
        <v/>
      </c>
      <c r="AD819" s="99">
        <f>IF(OR(AC819="",N(L819)=0),"",AC819/L819)</f>
        <v/>
      </c>
      <c r="AE819" s="55">
        <f>IF(OR(AC819="",N(R819)=0),"",L819/R819)</f>
        <v/>
      </c>
      <c r="AF819" s="100">
        <f>IF(OR(N(K819)=0,N(J819)+N(Q819)=0),"",K819-IF(N(J819)&gt;0,J819,Q819))</f>
        <v/>
      </c>
      <c r="AG819" s="99">
        <f>IF(B819="","",IFERROR(AVERAGEIFS('QUALITY CONTROL'!$M$5:$M$304,'QUALITY CONTROL'!$B$5:$B$304,A819),""))</f>
        <v/>
      </c>
      <c r="AH819" s="51">
        <f>IF(B819="","",DATE(YEAR(B819),MONTH(B819),1))</f>
        <v/>
      </c>
      <c r="AI819" s="49">
        <f>IF(D819="","",IFERROR(INDEX('CUSTOMERS'!$E$5:$E$404,MATCH(D819,'CUSTOMERS'!$B$5:$B$404,0)),""))</f>
        <v/>
      </c>
      <c r="AJ819" s="49">
        <f>IF(B819="","",N(C819))</f>
        <v/>
      </c>
      <c r="AK819" s="49">
        <f>IF(OR(B819="",O819="Cancelled",O819="Rescheduled"),"",B819&amp;"|"&amp;(COUNTIFS('JOBS'!$B$5:$B$1504,B819,'JOBS'!$AJ$5:$AJ$1504,"&lt;"&amp;AJ819,'JOBS'!$O$5:$O$1504,"&lt;&gt;Cancelled",'JOBS'!$O$5:$O$1504,"&lt;&gt;Rescheduled")+COUNTIFS($B$5:B819,B819,$AJ$5:AJ819,AJ819,$O$5:O819,"&lt;&gt;Cancelled",$O$5:O819,"&lt;&gt;Rescheduled")))</f>
        <v/>
      </c>
      <c r="AL819" s="49">
        <f>IF(N(U819)&lt;=0.005,"",COUNTIFS('JOBS'!$U$5:$U$1504,"&gt;0.005",'JOBS'!$B$5:$B$1504,"&lt;"&amp;B819)+COUNTIFS($U$5:U819,"&gt;0.005",$B$5:B819,B819))</f>
        <v/>
      </c>
    </row>
    <row r="820">
      <c r="A820" s="46" t="inlineStr">
        <is>
          <t>J-0816</t>
        </is>
      </c>
      <c r="B820" s="47" t="n"/>
      <c r="C820" s="94" t="n"/>
      <c r="D820" s="38" t="n"/>
      <c r="E820" s="38" t="n"/>
      <c r="F820" s="38" t="n"/>
      <c r="G820" s="38" t="n"/>
      <c r="H820" s="38" t="n"/>
      <c r="I820" s="57" t="n"/>
      <c r="J820" s="95" t="n"/>
      <c r="K820" s="95" t="n"/>
      <c r="L820" s="48" t="n"/>
      <c r="M820" s="96" t="n"/>
      <c r="N820" s="48" t="n"/>
      <c r="O820" s="38" t="n"/>
      <c r="P820" s="38" t="n"/>
      <c r="Q820" s="97">
        <f>IF(OR(F820="",E820=""),"",IFERROR(IF(INDEX('PROPERTIES'!$F$5:$F$404,MATCH(E820,'PROPERTIES'!$B$5:$B$404,0))=0,"",ROUND((INDEX('PROPERTIES'!$F$5:$F$404,MATCH(E820,'PROPERTIES'!$B$5:$B$404,0))/INDEX('PRICING'!$C$7:$C$16,MATCH(F820,'PRICING'!$A$7:$A$16,0))+INDEX('PROPERTIES'!$G$5:$G$404,MATCH(E820,'PROPERTIES'!$B$5:$B$404,0))*INDEX('PRICING'!$D$7:$D$16,MATCH(F820,'PRICING'!$A$7:$A$16,0))/60+INDEX('PROPERTIES'!$H$5:$H$404,MATCH(E820,'PROPERTIES'!$B$5:$B$404,0))*INDEX('PRICING'!$E$7:$E$16,MATCH(F820,'PRICING'!$A$7:$A$16,0))/60+INDEX('PRICING'!$F$7:$F$16,MATCH(F820,'PRICING'!$A$7:$A$16,0))/60),2)),""))</f>
        <v/>
      </c>
      <c r="R820" s="97">
        <f>IF(B820="","",IF(N(K820)&gt;0,K820,IF(N(J820)&gt;0,J820,N(Q820))))</f>
        <v/>
      </c>
      <c r="S820" s="55">
        <f>IF(L820="","",ROUND(L820*(1+N(M820)),2))</f>
        <v/>
      </c>
      <c r="T820" s="55">
        <f>IF(B820="","",SUMIFS('REVENUE'!$C$5:$C$1504,'REVENUE'!$B$5:$B$1504,A820))</f>
        <v/>
      </c>
      <c r="U820" s="55">
        <f>IF(B820="","",IF(O820="Completed",MAX(0,N(S820)-T820),""))</f>
        <v/>
      </c>
      <c r="V820" s="49">
        <f>IF(B820="","",IF(O820&lt;&gt;"Completed",IF(T820&gt;0,"Deposit","—"),IF(U820&lt;=0.005,"Paid",IF(T820&gt;0,"Partial","Unpaid"))))</f>
        <v/>
      </c>
      <c r="W820" s="55">
        <f>IF(B820="","",IFERROR(1/(1/INDEX('STAFF &amp; TASKS'!$C$5:$C$24,MATCH(H820,'STAFF &amp; TASKS'!$A$5:$A$24,0))),PayRate))</f>
        <v/>
      </c>
      <c r="X820" s="55">
        <f>IF(B820="","",IF(OR(O820="Cancelled",O820="No-Show"),"",ROUND(R820*W820*(1+Burden),2)))</f>
        <v/>
      </c>
      <c r="Y820" s="55">
        <f>IF(B820="","",IF(OR(O820="Cancelled",O820="No-Show"),"",IF(N820&lt;&gt;"",N820,ROUND(R820*SupHr*IFERROR(INDEX('PRICING'!$G$7:$G$16,MATCH(F820,'PRICING'!$A$7:$A$16,0)),1),2))))</f>
        <v/>
      </c>
      <c r="Z820" s="98">
        <f>IF(B820="","",SUMIFS('MILEAGE'!$J$5:$J$1504,'MILEAGE'!$B$5:$B$1504,A820))</f>
        <v/>
      </c>
      <c r="AA820" s="55">
        <f>IF(B820="","",ROUND(Z820*MileRate,2))</f>
        <v/>
      </c>
      <c r="AB820" s="55">
        <f>IF(B820="","",SUMIFS('REVENUE'!$J$5:$J$1504,'REVENUE'!$B$5:$B$1504,A820))</f>
        <v/>
      </c>
      <c r="AC820" s="55">
        <f>IF(L820="","",IF(OR(O820="Cancelled",O820="No-Show"),"",L820-N(X820)-N(Y820)-AA820-AB820))</f>
        <v/>
      </c>
      <c r="AD820" s="99">
        <f>IF(OR(AC820="",N(L820)=0),"",AC820/L820)</f>
        <v/>
      </c>
      <c r="AE820" s="55">
        <f>IF(OR(AC820="",N(R820)=0),"",L820/R820)</f>
        <v/>
      </c>
      <c r="AF820" s="100">
        <f>IF(OR(N(K820)=0,N(J820)+N(Q820)=0),"",K820-IF(N(J820)&gt;0,J820,Q820))</f>
        <v/>
      </c>
      <c r="AG820" s="99">
        <f>IF(B820="","",IFERROR(AVERAGEIFS('QUALITY CONTROL'!$M$5:$M$304,'QUALITY CONTROL'!$B$5:$B$304,A820),""))</f>
        <v/>
      </c>
      <c r="AH820" s="51">
        <f>IF(B820="","",DATE(YEAR(B820),MONTH(B820),1))</f>
        <v/>
      </c>
      <c r="AI820" s="49">
        <f>IF(D820="","",IFERROR(INDEX('CUSTOMERS'!$E$5:$E$404,MATCH(D820,'CUSTOMERS'!$B$5:$B$404,0)),""))</f>
        <v/>
      </c>
      <c r="AJ820" s="49">
        <f>IF(B820="","",N(C820))</f>
        <v/>
      </c>
      <c r="AK820" s="49">
        <f>IF(OR(B820="",O820="Cancelled",O820="Rescheduled"),"",B820&amp;"|"&amp;(COUNTIFS('JOBS'!$B$5:$B$1504,B820,'JOBS'!$AJ$5:$AJ$1504,"&lt;"&amp;AJ820,'JOBS'!$O$5:$O$1504,"&lt;&gt;Cancelled",'JOBS'!$O$5:$O$1504,"&lt;&gt;Rescheduled")+COUNTIFS($B$5:B820,B820,$AJ$5:AJ820,AJ820,$O$5:O820,"&lt;&gt;Cancelled",$O$5:O820,"&lt;&gt;Rescheduled")))</f>
        <v/>
      </c>
      <c r="AL820" s="49">
        <f>IF(N(U820)&lt;=0.005,"",COUNTIFS('JOBS'!$U$5:$U$1504,"&gt;0.005",'JOBS'!$B$5:$B$1504,"&lt;"&amp;B820)+COUNTIFS($U$5:U820,"&gt;0.005",$B$5:B820,B820))</f>
        <v/>
      </c>
    </row>
    <row r="821">
      <c r="A821" s="46" t="inlineStr">
        <is>
          <t>J-0817</t>
        </is>
      </c>
      <c r="B821" s="47" t="n"/>
      <c r="C821" s="94" t="n"/>
      <c r="D821" s="38" t="n"/>
      <c r="E821" s="38" t="n"/>
      <c r="F821" s="38" t="n"/>
      <c r="G821" s="38" t="n"/>
      <c r="H821" s="38" t="n"/>
      <c r="I821" s="57" t="n"/>
      <c r="J821" s="95" t="n"/>
      <c r="K821" s="95" t="n"/>
      <c r="L821" s="48" t="n"/>
      <c r="M821" s="96" t="n"/>
      <c r="N821" s="48" t="n"/>
      <c r="O821" s="38" t="n"/>
      <c r="P821" s="38" t="n"/>
      <c r="Q821" s="97">
        <f>IF(OR(F821="",E821=""),"",IFERROR(IF(INDEX('PROPERTIES'!$F$5:$F$404,MATCH(E821,'PROPERTIES'!$B$5:$B$404,0))=0,"",ROUND((INDEX('PROPERTIES'!$F$5:$F$404,MATCH(E821,'PROPERTIES'!$B$5:$B$404,0))/INDEX('PRICING'!$C$7:$C$16,MATCH(F821,'PRICING'!$A$7:$A$16,0))+INDEX('PROPERTIES'!$G$5:$G$404,MATCH(E821,'PROPERTIES'!$B$5:$B$404,0))*INDEX('PRICING'!$D$7:$D$16,MATCH(F821,'PRICING'!$A$7:$A$16,0))/60+INDEX('PROPERTIES'!$H$5:$H$404,MATCH(E821,'PROPERTIES'!$B$5:$B$404,0))*INDEX('PRICING'!$E$7:$E$16,MATCH(F821,'PRICING'!$A$7:$A$16,0))/60+INDEX('PRICING'!$F$7:$F$16,MATCH(F821,'PRICING'!$A$7:$A$16,0))/60),2)),""))</f>
        <v/>
      </c>
      <c r="R821" s="97">
        <f>IF(B821="","",IF(N(K821)&gt;0,K821,IF(N(J821)&gt;0,J821,N(Q821))))</f>
        <v/>
      </c>
      <c r="S821" s="55">
        <f>IF(L821="","",ROUND(L821*(1+N(M821)),2))</f>
        <v/>
      </c>
      <c r="T821" s="55">
        <f>IF(B821="","",SUMIFS('REVENUE'!$C$5:$C$1504,'REVENUE'!$B$5:$B$1504,A821))</f>
        <v/>
      </c>
      <c r="U821" s="55">
        <f>IF(B821="","",IF(O821="Completed",MAX(0,N(S821)-T821),""))</f>
        <v/>
      </c>
      <c r="V821" s="49">
        <f>IF(B821="","",IF(O821&lt;&gt;"Completed",IF(T821&gt;0,"Deposit","—"),IF(U821&lt;=0.005,"Paid",IF(T821&gt;0,"Partial","Unpaid"))))</f>
        <v/>
      </c>
      <c r="W821" s="55">
        <f>IF(B821="","",IFERROR(1/(1/INDEX('STAFF &amp; TASKS'!$C$5:$C$24,MATCH(H821,'STAFF &amp; TASKS'!$A$5:$A$24,0))),PayRate))</f>
        <v/>
      </c>
      <c r="X821" s="55">
        <f>IF(B821="","",IF(OR(O821="Cancelled",O821="No-Show"),"",ROUND(R821*W821*(1+Burden),2)))</f>
        <v/>
      </c>
      <c r="Y821" s="55">
        <f>IF(B821="","",IF(OR(O821="Cancelled",O821="No-Show"),"",IF(N821&lt;&gt;"",N821,ROUND(R821*SupHr*IFERROR(INDEX('PRICING'!$G$7:$G$16,MATCH(F821,'PRICING'!$A$7:$A$16,0)),1),2))))</f>
        <v/>
      </c>
      <c r="Z821" s="98">
        <f>IF(B821="","",SUMIFS('MILEAGE'!$J$5:$J$1504,'MILEAGE'!$B$5:$B$1504,A821))</f>
        <v/>
      </c>
      <c r="AA821" s="55">
        <f>IF(B821="","",ROUND(Z821*MileRate,2))</f>
        <v/>
      </c>
      <c r="AB821" s="55">
        <f>IF(B821="","",SUMIFS('REVENUE'!$J$5:$J$1504,'REVENUE'!$B$5:$B$1504,A821))</f>
        <v/>
      </c>
      <c r="AC821" s="55">
        <f>IF(L821="","",IF(OR(O821="Cancelled",O821="No-Show"),"",L821-N(X821)-N(Y821)-AA821-AB821))</f>
        <v/>
      </c>
      <c r="AD821" s="99">
        <f>IF(OR(AC821="",N(L821)=0),"",AC821/L821)</f>
        <v/>
      </c>
      <c r="AE821" s="55">
        <f>IF(OR(AC821="",N(R821)=0),"",L821/R821)</f>
        <v/>
      </c>
      <c r="AF821" s="100">
        <f>IF(OR(N(K821)=0,N(J821)+N(Q821)=0),"",K821-IF(N(J821)&gt;0,J821,Q821))</f>
        <v/>
      </c>
      <c r="AG821" s="99">
        <f>IF(B821="","",IFERROR(AVERAGEIFS('QUALITY CONTROL'!$M$5:$M$304,'QUALITY CONTROL'!$B$5:$B$304,A821),""))</f>
        <v/>
      </c>
      <c r="AH821" s="51">
        <f>IF(B821="","",DATE(YEAR(B821),MONTH(B821),1))</f>
        <v/>
      </c>
      <c r="AI821" s="49">
        <f>IF(D821="","",IFERROR(INDEX('CUSTOMERS'!$E$5:$E$404,MATCH(D821,'CUSTOMERS'!$B$5:$B$404,0)),""))</f>
        <v/>
      </c>
      <c r="AJ821" s="49">
        <f>IF(B821="","",N(C821))</f>
        <v/>
      </c>
      <c r="AK821" s="49">
        <f>IF(OR(B821="",O821="Cancelled",O821="Rescheduled"),"",B821&amp;"|"&amp;(COUNTIFS('JOBS'!$B$5:$B$1504,B821,'JOBS'!$AJ$5:$AJ$1504,"&lt;"&amp;AJ821,'JOBS'!$O$5:$O$1504,"&lt;&gt;Cancelled",'JOBS'!$O$5:$O$1504,"&lt;&gt;Rescheduled")+COUNTIFS($B$5:B821,B821,$AJ$5:AJ821,AJ821,$O$5:O821,"&lt;&gt;Cancelled",$O$5:O821,"&lt;&gt;Rescheduled")))</f>
        <v/>
      </c>
      <c r="AL821" s="49">
        <f>IF(N(U821)&lt;=0.005,"",COUNTIFS('JOBS'!$U$5:$U$1504,"&gt;0.005",'JOBS'!$B$5:$B$1504,"&lt;"&amp;B821)+COUNTIFS($U$5:U821,"&gt;0.005",$B$5:B821,B821))</f>
        <v/>
      </c>
    </row>
    <row r="822">
      <c r="A822" s="46" t="inlineStr">
        <is>
          <t>J-0818</t>
        </is>
      </c>
      <c r="B822" s="47" t="n"/>
      <c r="C822" s="94" t="n"/>
      <c r="D822" s="38" t="n"/>
      <c r="E822" s="38" t="n"/>
      <c r="F822" s="38" t="n"/>
      <c r="G822" s="38" t="n"/>
      <c r="H822" s="38" t="n"/>
      <c r="I822" s="57" t="n"/>
      <c r="J822" s="95" t="n"/>
      <c r="K822" s="95" t="n"/>
      <c r="L822" s="48" t="n"/>
      <c r="M822" s="96" t="n"/>
      <c r="N822" s="48" t="n"/>
      <c r="O822" s="38" t="n"/>
      <c r="P822" s="38" t="n"/>
      <c r="Q822" s="97">
        <f>IF(OR(F822="",E822=""),"",IFERROR(IF(INDEX('PROPERTIES'!$F$5:$F$404,MATCH(E822,'PROPERTIES'!$B$5:$B$404,0))=0,"",ROUND((INDEX('PROPERTIES'!$F$5:$F$404,MATCH(E822,'PROPERTIES'!$B$5:$B$404,0))/INDEX('PRICING'!$C$7:$C$16,MATCH(F822,'PRICING'!$A$7:$A$16,0))+INDEX('PROPERTIES'!$G$5:$G$404,MATCH(E822,'PROPERTIES'!$B$5:$B$404,0))*INDEX('PRICING'!$D$7:$D$16,MATCH(F822,'PRICING'!$A$7:$A$16,0))/60+INDEX('PROPERTIES'!$H$5:$H$404,MATCH(E822,'PROPERTIES'!$B$5:$B$404,0))*INDEX('PRICING'!$E$7:$E$16,MATCH(F822,'PRICING'!$A$7:$A$16,0))/60+INDEX('PRICING'!$F$7:$F$16,MATCH(F822,'PRICING'!$A$7:$A$16,0))/60),2)),""))</f>
        <v/>
      </c>
      <c r="R822" s="97">
        <f>IF(B822="","",IF(N(K822)&gt;0,K822,IF(N(J822)&gt;0,J822,N(Q822))))</f>
        <v/>
      </c>
      <c r="S822" s="55">
        <f>IF(L822="","",ROUND(L822*(1+N(M822)),2))</f>
        <v/>
      </c>
      <c r="T822" s="55">
        <f>IF(B822="","",SUMIFS('REVENUE'!$C$5:$C$1504,'REVENUE'!$B$5:$B$1504,A822))</f>
        <v/>
      </c>
      <c r="U822" s="55">
        <f>IF(B822="","",IF(O822="Completed",MAX(0,N(S822)-T822),""))</f>
        <v/>
      </c>
      <c r="V822" s="49">
        <f>IF(B822="","",IF(O822&lt;&gt;"Completed",IF(T822&gt;0,"Deposit","—"),IF(U822&lt;=0.005,"Paid",IF(T822&gt;0,"Partial","Unpaid"))))</f>
        <v/>
      </c>
      <c r="W822" s="55">
        <f>IF(B822="","",IFERROR(1/(1/INDEX('STAFF &amp; TASKS'!$C$5:$C$24,MATCH(H822,'STAFF &amp; TASKS'!$A$5:$A$24,0))),PayRate))</f>
        <v/>
      </c>
      <c r="X822" s="55">
        <f>IF(B822="","",IF(OR(O822="Cancelled",O822="No-Show"),"",ROUND(R822*W822*(1+Burden),2)))</f>
        <v/>
      </c>
      <c r="Y822" s="55">
        <f>IF(B822="","",IF(OR(O822="Cancelled",O822="No-Show"),"",IF(N822&lt;&gt;"",N822,ROUND(R822*SupHr*IFERROR(INDEX('PRICING'!$G$7:$G$16,MATCH(F822,'PRICING'!$A$7:$A$16,0)),1),2))))</f>
        <v/>
      </c>
      <c r="Z822" s="98">
        <f>IF(B822="","",SUMIFS('MILEAGE'!$J$5:$J$1504,'MILEAGE'!$B$5:$B$1504,A822))</f>
        <v/>
      </c>
      <c r="AA822" s="55">
        <f>IF(B822="","",ROUND(Z822*MileRate,2))</f>
        <v/>
      </c>
      <c r="AB822" s="55">
        <f>IF(B822="","",SUMIFS('REVENUE'!$J$5:$J$1504,'REVENUE'!$B$5:$B$1504,A822))</f>
        <v/>
      </c>
      <c r="AC822" s="55">
        <f>IF(L822="","",IF(OR(O822="Cancelled",O822="No-Show"),"",L822-N(X822)-N(Y822)-AA822-AB822))</f>
        <v/>
      </c>
      <c r="AD822" s="99">
        <f>IF(OR(AC822="",N(L822)=0),"",AC822/L822)</f>
        <v/>
      </c>
      <c r="AE822" s="55">
        <f>IF(OR(AC822="",N(R822)=0),"",L822/R822)</f>
        <v/>
      </c>
      <c r="AF822" s="100">
        <f>IF(OR(N(K822)=0,N(J822)+N(Q822)=0),"",K822-IF(N(J822)&gt;0,J822,Q822))</f>
        <v/>
      </c>
      <c r="AG822" s="99">
        <f>IF(B822="","",IFERROR(AVERAGEIFS('QUALITY CONTROL'!$M$5:$M$304,'QUALITY CONTROL'!$B$5:$B$304,A822),""))</f>
        <v/>
      </c>
      <c r="AH822" s="51">
        <f>IF(B822="","",DATE(YEAR(B822),MONTH(B822),1))</f>
        <v/>
      </c>
      <c r="AI822" s="49">
        <f>IF(D822="","",IFERROR(INDEX('CUSTOMERS'!$E$5:$E$404,MATCH(D822,'CUSTOMERS'!$B$5:$B$404,0)),""))</f>
        <v/>
      </c>
      <c r="AJ822" s="49">
        <f>IF(B822="","",N(C822))</f>
        <v/>
      </c>
      <c r="AK822" s="49">
        <f>IF(OR(B822="",O822="Cancelled",O822="Rescheduled"),"",B822&amp;"|"&amp;(COUNTIFS('JOBS'!$B$5:$B$1504,B822,'JOBS'!$AJ$5:$AJ$1504,"&lt;"&amp;AJ822,'JOBS'!$O$5:$O$1504,"&lt;&gt;Cancelled",'JOBS'!$O$5:$O$1504,"&lt;&gt;Rescheduled")+COUNTIFS($B$5:B822,B822,$AJ$5:AJ822,AJ822,$O$5:O822,"&lt;&gt;Cancelled",$O$5:O822,"&lt;&gt;Rescheduled")))</f>
        <v/>
      </c>
      <c r="AL822" s="49">
        <f>IF(N(U822)&lt;=0.005,"",COUNTIFS('JOBS'!$U$5:$U$1504,"&gt;0.005",'JOBS'!$B$5:$B$1504,"&lt;"&amp;B822)+COUNTIFS($U$5:U822,"&gt;0.005",$B$5:B822,B822))</f>
        <v/>
      </c>
    </row>
    <row r="823">
      <c r="A823" s="46" t="inlineStr">
        <is>
          <t>J-0819</t>
        </is>
      </c>
      <c r="B823" s="47" t="n"/>
      <c r="C823" s="94" t="n"/>
      <c r="D823" s="38" t="n"/>
      <c r="E823" s="38" t="n"/>
      <c r="F823" s="38" t="n"/>
      <c r="G823" s="38" t="n"/>
      <c r="H823" s="38" t="n"/>
      <c r="I823" s="57" t="n"/>
      <c r="J823" s="95" t="n"/>
      <c r="K823" s="95" t="n"/>
      <c r="L823" s="48" t="n"/>
      <c r="M823" s="96" t="n"/>
      <c r="N823" s="48" t="n"/>
      <c r="O823" s="38" t="n"/>
      <c r="P823" s="38" t="n"/>
      <c r="Q823" s="97">
        <f>IF(OR(F823="",E823=""),"",IFERROR(IF(INDEX('PROPERTIES'!$F$5:$F$404,MATCH(E823,'PROPERTIES'!$B$5:$B$404,0))=0,"",ROUND((INDEX('PROPERTIES'!$F$5:$F$404,MATCH(E823,'PROPERTIES'!$B$5:$B$404,0))/INDEX('PRICING'!$C$7:$C$16,MATCH(F823,'PRICING'!$A$7:$A$16,0))+INDEX('PROPERTIES'!$G$5:$G$404,MATCH(E823,'PROPERTIES'!$B$5:$B$404,0))*INDEX('PRICING'!$D$7:$D$16,MATCH(F823,'PRICING'!$A$7:$A$16,0))/60+INDEX('PROPERTIES'!$H$5:$H$404,MATCH(E823,'PROPERTIES'!$B$5:$B$404,0))*INDEX('PRICING'!$E$7:$E$16,MATCH(F823,'PRICING'!$A$7:$A$16,0))/60+INDEX('PRICING'!$F$7:$F$16,MATCH(F823,'PRICING'!$A$7:$A$16,0))/60),2)),""))</f>
        <v/>
      </c>
      <c r="R823" s="97">
        <f>IF(B823="","",IF(N(K823)&gt;0,K823,IF(N(J823)&gt;0,J823,N(Q823))))</f>
        <v/>
      </c>
      <c r="S823" s="55">
        <f>IF(L823="","",ROUND(L823*(1+N(M823)),2))</f>
        <v/>
      </c>
      <c r="T823" s="55">
        <f>IF(B823="","",SUMIFS('REVENUE'!$C$5:$C$1504,'REVENUE'!$B$5:$B$1504,A823))</f>
        <v/>
      </c>
      <c r="U823" s="55">
        <f>IF(B823="","",IF(O823="Completed",MAX(0,N(S823)-T823),""))</f>
        <v/>
      </c>
      <c r="V823" s="49">
        <f>IF(B823="","",IF(O823&lt;&gt;"Completed",IF(T823&gt;0,"Deposit","—"),IF(U823&lt;=0.005,"Paid",IF(T823&gt;0,"Partial","Unpaid"))))</f>
        <v/>
      </c>
      <c r="W823" s="55">
        <f>IF(B823="","",IFERROR(1/(1/INDEX('STAFF &amp; TASKS'!$C$5:$C$24,MATCH(H823,'STAFF &amp; TASKS'!$A$5:$A$24,0))),PayRate))</f>
        <v/>
      </c>
      <c r="X823" s="55">
        <f>IF(B823="","",IF(OR(O823="Cancelled",O823="No-Show"),"",ROUND(R823*W823*(1+Burden),2)))</f>
        <v/>
      </c>
      <c r="Y823" s="55">
        <f>IF(B823="","",IF(OR(O823="Cancelled",O823="No-Show"),"",IF(N823&lt;&gt;"",N823,ROUND(R823*SupHr*IFERROR(INDEX('PRICING'!$G$7:$G$16,MATCH(F823,'PRICING'!$A$7:$A$16,0)),1),2))))</f>
        <v/>
      </c>
      <c r="Z823" s="98">
        <f>IF(B823="","",SUMIFS('MILEAGE'!$J$5:$J$1504,'MILEAGE'!$B$5:$B$1504,A823))</f>
        <v/>
      </c>
      <c r="AA823" s="55">
        <f>IF(B823="","",ROUND(Z823*MileRate,2))</f>
        <v/>
      </c>
      <c r="AB823" s="55">
        <f>IF(B823="","",SUMIFS('REVENUE'!$J$5:$J$1504,'REVENUE'!$B$5:$B$1504,A823))</f>
        <v/>
      </c>
      <c r="AC823" s="55">
        <f>IF(L823="","",IF(OR(O823="Cancelled",O823="No-Show"),"",L823-N(X823)-N(Y823)-AA823-AB823))</f>
        <v/>
      </c>
      <c r="AD823" s="99">
        <f>IF(OR(AC823="",N(L823)=0),"",AC823/L823)</f>
        <v/>
      </c>
      <c r="AE823" s="55">
        <f>IF(OR(AC823="",N(R823)=0),"",L823/R823)</f>
        <v/>
      </c>
      <c r="AF823" s="100">
        <f>IF(OR(N(K823)=0,N(J823)+N(Q823)=0),"",K823-IF(N(J823)&gt;0,J823,Q823))</f>
        <v/>
      </c>
      <c r="AG823" s="99">
        <f>IF(B823="","",IFERROR(AVERAGEIFS('QUALITY CONTROL'!$M$5:$M$304,'QUALITY CONTROL'!$B$5:$B$304,A823),""))</f>
        <v/>
      </c>
      <c r="AH823" s="51">
        <f>IF(B823="","",DATE(YEAR(B823),MONTH(B823),1))</f>
        <v/>
      </c>
      <c r="AI823" s="49">
        <f>IF(D823="","",IFERROR(INDEX('CUSTOMERS'!$E$5:$E$404,MATCH(D823,'CUSTOMERS'!$B$5:$B$404,0)),""))</f>
        <v/>
      </c>
      <c r="AJ823" s="49">
        <f>IF(B823="","",N(C823))</f>
        <v/>
      </c>
      <c r="AK823" s="49">
        <f>IF(OR(B823="",O823="Cancelled",O823="Rescheduled"),"",B823&amp;"|"&amp;(COUNTIFS('JOBS'!$B$5:$B$1504,B823,'JOBS'!$AJ$5:$AJ$1504,"&lt;"&amp;AJ823,'JOBS'!$O$5:$O$1504,"&lt;&gt;Cancelled",'JOBS'!$O$5:$O$1504,"&lt;&gt;Rescheduled")+COUNTIFS($B$5:B823,B823,$AJ$5:AJ823,AJ823,$O$5:O823,"&lt;&gt;Cancelled",$O$5:O823,"&lt;&gt;Rescheduled")))</f>
        <v/>
      </c>
      <c r="AL823" s="49">
        <f>IF(N(U823)&lt;=0.005,"",COUNTIFS('JOBS'!$U$5:$U$1504,"&gt;0.005",'JOBS'!$B$5:$B$1504,"&lt;"&amp;B823)+COUNTIFS($U$5:U823,"&gt;0.005",$B$5:B823,B823))</f>
        <v/>
      </c>
    </row>
    <row r="824">
      <c r="A824" s="46" t="inlineStr">
        <is>
          <t>J-0820</t>
        </is>
      </c>
      <c r="B824" s="47" t="n"/>
      <c r="C824" s="94" t="n"/>
      <c r="D824" s="38" t="n"/>
      <c r="E824" s="38" t="n"/>
      <c r="F824" s="38" t="n"/>
      <c r="G824" s="38" t="n"/>
      <c r="H824" s="38" t="n"/>
      <c r="I824" s="57" t="n"/>
      <c r="J824" s="95" t="n"/>
      <c r="K824" s="95" t="n"/>
      <c r="L824" s="48" t="n"/>
      <c r="M824" s="96" t="n"/>
      <c r="N824" s="48" t="n"/>
      <c r="O824" s="38" t="n"/>
      <c r="P824" s="38" t="n"/>
      <c r="Q824" s="97">
        <f>IF(OR(F824="",E824=""),"",IFERROR(IF(INDEX('PROPERTIES'!$F$5:$F$404,MATCH(E824,'PROPERTIES'!$B$5:$B$404,0))=0,"",ROUND((INDEX('PROPERTIES'!$F$5:$F$404,MATCH(E824,'PROPERTIES'!$B$5:$B$404,0))/INDEX('PRICING'!$C$7:$C$16,MATCH(F824,'PRICING'!$A$7:$A$16,0))+INDEX('PROPERTIES'!$G$5:$G$404,MATCH(E824,'PROPERTIES'!$B$5:$B$404,0))*INDEX('PRICING'!$D$7:$D$16,MATCH(F824,'PRICING'!$A$7:$A$16,0))/60+INDEX('PROPERTIES'!$H$5:$H$404,MATCH(E824,'PROPERTIES'!$B$5:$B$404,0))*INDEX('PRICING'!$E$7:$E$16,MATCH(F824,'PRICING'!$A$7:$A$16,0))/60+INDEX('PRICING'!$F$7:$F$16,MATCH(F824,'PRICING'!$A$7:$A$16,0))/60),2)),""))</f>
        <v/>
      </c>
      <c r="R824" s="97">
        <f>IF(B824="","",IF(N(K824)&gt;0,K824,IF(N(J824)&gt;0,J824,N(Q824))))</f>
        <v/>
      </c>
      <c r="S824" s="55">
        <f>IF(L824="","",ROUND(L824*(1+N(M824)),2))</f>
        <v/>
      </c>
      <c r="T824" s="55">
        <f>IF(B824="","",SUMIFS('REVENUE'!$C$5:$C$1504,'REVENUE'!$B$5:$B$1504,A824))</f>
        <v/>
      </c>
      <c r="U824" s="55">
        <f>IF(B824="","",IF(O824="Completed",MAX(0,N(S824)-T824),""))</f>
        <v/>
      </c>
      <c r="V824" s="49">
        <f>IF(B824="","",IF(O824&lt;&gt;"Completed",IF(T824&gt;0,"Deposit","—"),IF(U824&lt;=0.005,"Paid",IF(T824&gt;0,"Partial","Unpaid"))))</f>
        <v/>
      </c>
      <c r="W824" s="55">
        <f>IF(B824="","",IFERROR(1/(1/INDEX('STAFF &amp; TASKS'!$C$5:$C$24,MATCH(H824,'STAFF &amp; TASKS'!$A$5:$A$24,0))),PayRate))</f>
        <v/>
      </c>
      <c r="X824" s="55">
        <f>IF(B824="","",IF(OR(O824="Cancelled",O824="No-Show"),"",ROUND(R824*W824*(1+Burden),2)))</f>
        <v/>
      </c>
      <c r="Y824" s="55">
        <f>IF(B824="","",IF(OR(O824="Cancelled",O824="No-Show"),"",IF(N824&lt;&gt;"",N824,ROUND(R824*SupHr*IFERROR(INDEX('PRICING'!$G$7:$G$16,MATCH(F824,'PRICING'!$A$7:$A$16,0)),1),2))))</f>
        <v/>
      </c>
      <c r="Z824" s="98">
        <f>IF(B824="","",SUMIFS('MILEAGE'!$J$5:$J$1504,'MILEAGE'!$B$5:$B$1504,A824))</f>
        <v/>
      </c>
      <c r="AA824" s="55">
        <f>IF(B824="","",ROUND(Z824*MileRate,2))</f>
        <v/>
      </c>
      <c r="AB824" s="55">
        <f>IF(B824="","",SUMIFS('REVENUE'!$J$5:$J$1504,'REVENUE'!$B$5:$B$1504,A824))</f>
        <v/>
      </c>
      <c r="AC824" s="55">
        <f>IF(L824="","",IF(OR(O824="Cancelled",O824="No-Show"),"",L824-N(X824)-N(Y824)-AA824-AB824))</f>
        <v/>
      </c>
      <c r="AD824" s="99">
        <f>IF(OR(AC824="",N(L824)=0),"",AC824/L824)</f>
        <v/>
      </c>
      <c r="AE824" s="55">
        <f>IF(OR(AC824="",N(R824)=0),"",L824/R824)</f>
        <v/>
      </c>
      <c r="AF824" s="100">
        <f>IF(OR(N(K824)=0,N(J824)+N(Q824)=0),"",K824-IF(N(J824)&gt;0,J824,Q824))</f>
        <v/>
      </c>
      <c r="AG824" s="99">
        <f>IF(B824="","",IFERROR(AVERAGEIFS('QUALITY CONTROL'!$M$5:$M$304,'QUALITY CONTROL'!$B$5:$B$304,A824),""))</f>
        <v/>
      </c>
      <c r="AH824" s="51">
        <f>IF(B824="","",DATE(YEAR(B824),MONTH(B824),1))</f>
        <v/>
      </c>
      <c r="AI824" s="49">
        <f>IF(D824="","",IFERROR(INDEX('CUSTOMERS'!$E$5:$E$404,MATCH(D824,'CUSTOMERS'!$B$5:$B$404,0)),""))</f>
        <v/>
      </c>
      <c r="AJ824" s="49">
        <f>IF(B824="","",N(C824))</f>
        <v/>
      </c>
      <c r="AK824" s="49">
        <f>IF(OR(B824="",O824="Cancelled",O824="Rescheduled"),"",B824&amp;"|"&amp;(COUNTIFS('JOBS'!$B$5:$B$1504,B824,'JOBS'!$AJ$5:$AJ$1504,"&lt;"&amp;AJ824,'JOBS'!$O$5:$O$1504,"&lt;&gt;Cancelled",'JOBS'!$O$5:$O$1504,"&lt;&gt;Rescheduled")+COUNTIFS($B$5:B824,B824,$AJ$5:AJ824,AJ824,$O$5:O824,"&lt;&gt;Cancelled",$O$5:O824,"&lt;&gt;Rescheduled")))</f>
        <v/>
      </c>
      <c r="AL824" s="49">
        <f>IF(N(U824)&lt;=0.005,"",COUNTIFS('JOBS'!$U$5:$U$1504,"&gt;0.005",'JOBS'!$B$5:$B$1504,"&lt;"&amp;B824)+COUNTIFS($U$5:U824,"&gt;0.005",$B$5:B824,B824))</f>
        <v/>
      </c>
    </row>
    <row r="825">
      <c r="A825" s="46" t="inlineStr">
        <is>
          <t>J-0821</t>
        </is>
      </c>
      <c r="B825" s="47" t="n"/>
      <c r="C825" s="94" t="n"/>
      <c r="D825" s="38" t="n"/>
      <c r="E825" s="38" t="n"/>
      <c r="F825" s="38" t="n"/>
      <c r="G825" s="38" t="n"/>
      <c r="H825" s="38" t="n"/>
      <c r="I825" s="57" t="n"/>
      <c r="J825" s="95" t="n"/>
      <c r="K825" s="95" t="n"/>
      <c r="L825" s="48" t="n"/>
      <c r="M825" s="96" t="n"/>
      <c r="N825" s="48" t="n"/>
      <c r="O825" s="38" t="n"/>
      <c r="P825" s="38" t="n"/>
      <c r="Q825" s="97">
        <f>IF(OR(F825="",E825=""),"",IFERROR(IF(INDEX('PROPERTIES'!$F$5:$F$404,MATCH(E825,'PROPERTIES'!$B$5:$B$404,0))=0,"",ROUND((INDEX('PROPERTIES'!$F$5:$F$404,MATCH(E825,'PROPERTIES'!$B$5:$B$404,0))/INDEX('PRICING'!$C$7:$C$16,MATCH(F825,'PRICING'!$A$7:$A$16,0))+INDEX('PROPERTIES'!$G$5:$G$404,MATCH(E825,'PROPERTIES'!$B$5:$B$404,0))*INDEX('PRICING'!$D$7:$D$16,MATCH(F825,'PRICING'!$A$7:$A$16,0))/60+INDEX('PROPERTIES'!$H$5:$H$404,MATCH(E825,'PROPERTIES'!$B$5:$B$404,0))*INDEX('PRICING'!$E$7:$E$16,MATCH(F825,'PRICING'!$A$7:$A$16,0))/60+INDEX('PRICING'!$F$7:$F$16,MATCH(F825,'PRICING'!$A$7:$A$16,0))/60),2)),""))</f>
        <v/>
      </c>
      <c r="R825" s="97">
        <f>IF(B825="","",IF(N(K825)&gt;0,K825,IF(N(J825)&gt;0,J825,N(Q825))))</f>
        <v/>
      </c>
      <c r="S825" s="55">
        <f>IF(L825="","",ROUND(L825*(1+N(M825)),2))</f>
        <v/>
      </c>
      <c r="T825" s="55">
        <f>IF(B825="","",SUMIFS('REVENUE'!$C$5:$C$1504,'REVENUE'!$B$5:$B$1504,A825))</f>
        <v/>
      </c>
      <c r="U825" s="55">
        <f>IF(B825="","",IF(O825="Completed",MAX(0,N(S825)-T825),""))</f>
        <v/>
      </c>
      <c r="V825" s="49">
        <f>IF(B825="","",IF(O825&lt;&gt;"Completed",IF(T825&gt;0,"Deposit","—"),IF(U825&lt;=0.005,"Paid",IF(T825&gt;0,"Partial","Unpaid"))))</f>
        <v/>
      </c>
      <c r="W825" s="55">
        <f>IF(B825="","",IFERROR(1/(1/INDEX('STAFF &amp; TASKS'!$C$5:$C$24,MATCH(H825,'STAFF &amp; TASKS'!$A$5:$A$24,0))),PayRate))</f>
        <v/>
      </c>
      <c r="X825" s="55">
        <f>IF(B825="","",IF(OR(O825="Cancelled",O825="No-Show"),"",ROUND(R825*W825*(1+Burden),2)))</f>
        <v/>
      </c>
      <c r="Y825" s="55">
        <f>IF(B825="","",IF(OR(O825="Cancelled",O825="No-Show"),"",IF(N825&lt;&gt;"",N825,ROUND(R825*SupHr*IFERROR(INDEX('PRICING'!$G$7:$G$16,MATCH(F825,'PRICING'!$A$7:$A$16,0)),1),2))))</f>
        <v/>
      </c>
      <c r="Z825" s="98">
        <f>IF(B825="","",SUMIFS('MILEAGE'!$J$5:$J$1504,'MILEAGE'!$B$5:$B$1504,A825))</f>
        <v/>
      </c>
      <c r="AA825" s="55">
        <f>IF(B825="","",ROUND(Z825*MileRate,2))</f>
        <v/>
      </c>
      <c r="AB825" s="55">
        <f>IF(B825="","",SUMIFS('REVENUE'!$J$5:$J$1504,'REVENUE'!$B$5:$B$1504,A825))</f>
        <v/>
      </c>
      <c r="AC825" s="55">
        <f>IF(L825="","",IF(OR(O825="Cancelled",O825="No-Show"),"",L825-N(X825)-N(Y825)-AA825-AB825))</f>
        <v/>
      </c>
      <c r="AD825" s="99">
        <f>IF(OR(AC825="",N(L825)=0),"",AC825/L825)</f>
        <v/>
      </c>
      <c r="AE825" s="55">
        <f>IF(OR(AC825="",N(R825)=0),"",L825/R825)</f>
        <v/>
      </c>
      <c r="AF825" s="100">
        <f>IF(OR(N(K825)=0,N(J825)+N(Q825)=0),"",K825-IF(N(J825)&gt;0,J825,Q825))</f>
        <v/>
      </c>
      <c r="AG825" s="99">
        <f>IF(B825="","",IFERROR(AVERAGEIFS('QUALITY CONTROL'!$M$5:$M$304,'QUALITY CONTROL'!$B$5:$B$304,A825),""))</f>
        <v/>
      </c>
      <c r="AH825" s="51">
        <f>IF(B825="","",DATE(YEAR(B825),MONTH(B825),1))</f>
        <v/>
      </c>
      <c r="AI825" s="49">
        <f>IF(D825="","",IFERROR(INDEX('CUSTOMERS'!$E$5:$E$404,MATCH(D825,'CUSTOMERS'!$B$5:$B$404,0)),""))</f>
        <v/>
      </c>
      <c r="AJ825" s="49">
        <f>IF(B825="","",N(C825))</f>
        <v/>
      </c>
      <c r="AK825" s="49">
        <f>IF(OR(B825="",O825="Cancelled",O825="Rescheduled"),"",B825&amp;"|"&amp;(COUNTIFS('JOBS'!$B$5:$B$1504,B825,'JOBS'!$AJ$5:$AJ$1504,"&lt;"&amp;AJ825,'JOBS'!$O$5:$O$1504,"&lt;&gt;Cancelled",'JOBS'!$O$5:$O$1504,"&lt;&gt;Rescheduled")+COUNTIFS($B$5:B825,B825,$AJ$5:AJ825,AJ825,$O$5:O825,"&lt;&gt;Cancelled",$O$5:O825,"&lt;&gt;Rescheduled")))</f>
        <v/>
      </c>
      <c r="AL825" s="49">
        <f>IF(N(U825)&lt;=0.005,"",COUNTIFS('JOBS'!$U$5:$U$1504,"&gt;0.005",'JOBS'!$B$5:$B$1504,"&lt;"&amp;B825)+COUNTIFS($U$5:U825,"&gt;0.005",$B$5:B825,B825))</f>
        <v/>
      </c>
    </row>
    <row r="826">
      <c r="A826" s="46" t="inlineStr">
        <is>
          <t>J-0822</t>
        </is>
      </c>
      <c r="B826" s="47" t="n"/>
      <c r="C826" s="94" t="n"/>
      <c r="D826" s="38" t="n"/>
      <c r="E826" s="38" t="n"/>
      <c r="F826" s="38" t="n"/>
      <c r="G826" s="38" t="n"/>
      <c r="H826" s="38" t="n"/>
      <c r="I826" s="57" t="n"/>
      <c r="J826" s="95" t="n"/>
      <c r="K826" s="95" t="n"/>
      <c r="L826" s="48" t="n"/>
      <c r="M826" s="96" t="n"/>
      <c r="N826" s="48" t="n"/>
      <c r="O826" s="38" t="n"/>
      <c r="P826" s="38" t="n"/>
      <c r="Q826" s="97">
        <f>IF(OR(F826="",E826=""),"",IFERROR(IF(INDEX('PROPERTIES'!$F$5:$F$404,MATCH(E826,'PROPERTIES'!$B$5:$B$404,0))=0,"",ROUND((INDEX('PROPERTIES'!$F$5:$F$404,MATCH(E826,'PROPERTIES'!$B$5:$B$404,0))/INDEX('PRICING'!$C$7:$C$16,MATCH(F826,'PRICING'!$A$7:$A$16,0))+INDEX('PROPERTIES'!$G$5:$G$404,MATCH(E826,'PROPERTIES'!$B$5:$B$404,0))*INDEX('PRICING'!$D$7:$D$16,MATCH(F826,'PRICING'!$A$7:$A$16,0))/60+INDEX('PROPERTIES'!$H$5:$H$404,MATCH(E826,'PROPERTIES'!$B$5:$B$404,0))*INDEX('PRICING'!$E$7:$E$16,MATCH(F826,'PRICING'!$A$7:$A$16,0))/60+INDEX('PRICING'!$F$7:$F$16,MATCH(F826,'PRICING'!$A$7:$A$16,0))/60),2)),""))</f>
        <v/>
      </c>
      <c r="R826" s="97">
        <f>IF(B826="","",IF(N(K826)&gt;0,K826,IF(N(J826)&gt;0,J826,N(Q826))))</f>
        <v/>
      </c>
      <c r="S826" s="55">
        <f>IF(L826="","",ROUND(L826*(1+N(M826)),2))</f>
        <v/>
      </c>
      <c r="T826" s="55">
        <f>IF(B826="","",SUMIFS('REVENUE'!$C$5:$C$1504,'REVENUE'!$B$5:$B$1504,A826))</f>
        <v/>
      </c>
      <c r="U826" s="55">
        <f>IF(B826="","",IF(O826="Completed",MAX(0,N(S826)-T826),""))</f>
        <v/>
      </c>
      <c r="V826" s="49">
        <f>IF(B826="","",IF(O826&lt;&gt;"Completed",IF(T826&gt;0,"Deposit","—"),IF(U826&lt;=0.005,"Paid",IF(T826&gt;0,"Partial","Unpaid"))))</f>
        <v/>
      </c>
      <c r="W826" s="55">
        <f>IF(B826="","",IFERROR(1/(1/INDEX('STAFF &amp; TASKS'!$C$5:$C$24,MATCH(H826,'STAFF &amp; TASKS'!$A$5:$A$24,0))),PayRate))</f>
        <v/>
      </c>
      <c r="X826" s="55">
        <f>IF(B826="","",IF(OR(O826="Cancelled",O826="No-Show"),"",ROUND(R826*W826*(1+Burden),2)))</f>
        <v/>
      </c>
      <c r="Y826" s="55">
        <f>IF(B826="","",IF(OR(O826="Cancelled",O826="No-Show"),"",IF(N826&lt;&gt;"",N826,ROUND(R826*SupHr*IFERROR(INDEX('PRICING'!$G$7:$G$16,MATCH(F826,'PRICING'!$A$7:$A$16,0)),1),2))))</f>
        <v/>
      </c>
      <c r="Z826" s="98">
        <f>IF(B826="","",SUMIFS('MILEAGE'!$J$5:$J$1504,'MILEAGE'!$B$5:$B$1504,A826))</f>
        <v/>
      </c>
      <c r="AA826" s="55">
        <f>IF(B826="","",ROUND(Z826*MileRate,2))</f>
        <v/>
      </c>
      <c r="AB826" s="55">
        <f>IF(B826="","",SUMIFS('REVENUE'!$J$5:$J$1504,'REVENUE'!$B$5:$B$1504,A826))</f>
        <v/>
      </c>
      <c r="AC826" s="55">
        <f>IF(L826="","",IF(OR(O826="Cancelled",O826="No-Show"),"",L826-N(X826)-N(Y826)-AA826-AB826))</f>
        <v/>
      </c>
      <c r="AD826" s="99">
        <f>IF(OR(AC826="",N(L826)=0),"",AC826/L826)</f>
        <v/>
      </c>
      <c r="AE826" s="55">
        <f>IF(OR(AC826="",N(R826)=0),"",L826/R826)</f>
        <v/>
      </c>
      <c r="AF826" s="100">
        <f>IF(OR(N(K826)=0,N(J826)+N(Q826)=0),"",K826-IF(N(J826)&gt;0,J826,Q826))</f>
        <v/>
      </c>
      <c r="AG826" s="99">
        <f>IF(B826="","",IFERROR(AVERAGEIFS('QUALITY CONTROL'!$M$5:$M$304,'QUALITY CONTROL'!$B$5:$B$304,A826),""))</f>
        <v/>
      </c>
      <c r="AH826" s="51">
        <f>IF(B826="","",DATE(YEAR(B826),MONTH(B826),1))</f>
        <v/>
      </c>
      <c r="AI826" s="49">
        <f>IF(D826="","",IFERROR(INDEX('CUSTOMERS'!$E$5:$E$404,MATCH(D826,'CUSTOMERS'!$B$5:$B$404,0)),""))</f>
        <v/>
      </c>
      <c r="AJ826" s="49">
        <f>IF(B826="","",N(C826))</f>
        <v/>
      </c>
      <c r="AK826" s="49">
        <f>IF(OR(B826="",O826="Cancelled",O826="Rescheduled"),"",B826&amp;"|"&amp;(COUNTIFS('JOBS'!$B$5:$B$1504,B826,'JOBS'!$AJ$5:$AJ$1504,"&lt;"&amp;AJ826,'JOBS'!$O$5:$O$1504,"&lt;&gt;Cancelled",'JOBS'!$O$5:$O$1504,"&lt;&gt;Rescheduled")+COUNTIFS($B$5:B826,B826,$AJ$5:AJ826,AJ826,$O$5:O826,"&lt;&gt;Cancelled",$O$5:O826,"&lt;&gt;Rescheduled")))</f>
        <v/>
      </c>
      <c r="AL826" s="49">
        <f>IF(N(U826)&lt;=0.005,"",COUNTIFS('JOBS'!$U$5:$U$1504,"&gt;0.005",'JOBS'!$B$5:$B$1504,"&lt;"&amp;B826)+COUNTIFS($U$5:U826,"&gt;0.005",$B$5:B826,B826))</f>
        <v/>
      </c>
    </row>
    <row r="827">
      <c r="A827" s="46" t="inlineStr">
        <is>
          <t>J-0823</t>
        </is>
      </c>
      <c r="B827" s="47" t="n"/>
      <c r="C827" s="94" t="n"/>
      <c r="D827" s="38" t="n"/>
      <c r="E827" s="38" t="n"/>
      <c r="F827" s="38" t="n"/>
      <c r="G827" s="38" t="n"/>
      <c r="H827" s="38" t="n"/>
      <c r="I827" s="57" t="n"/>
      <c r="J827" s="95" t="n"/>
      <c r="K827" s="95" t="n"/>
      <c r="L827" s="48" t="n"/>
      <c r="M827" s="96" t="n"/>
      <c r="N827" s="48" t="n"/>
      <c r="O827" s="38" t="n"/>
      <c r="P827" s="38" t="n"/>
      <c r="Q827" s="97">
        <f>IF(OR(F827="",E827=""),"",IFERROR(IF(INDEX('PROPERTIES'!$F$5:$F$404,MATCH(E827,'PROPERTIES'!$B$5:$B$404,0))=0,"",ROUND((INDEX('PROPERTIES'!$F$5:$F$404,MATCH(E827,'PROPERTIES'!$B$5:$B$404,0))/INDEX('PRICING'!$C$7:$C$16,MATCH(F827,'PRICING'!$A$7:$A$16,0))+INDEX('PROPERTIES'!$G$5:$G$404,MATCH(E827,'PROPERTIES'!$B$5:$B$404,0))*INDEX('PRICING'!$D$7:$D$16,MATCH(F827,'PRICING'!$A$7:$A$16,0))/60+INDEX('PROPERTIES'!$H$5:$H$404,MATCH(E827,'PROPERTIES'!$B$5:$B$404,0))*INDEX('PRICING'!$E$7:$E$16,MATCH(F827,'PRICING'!$A$7:$A$16,0))/60+INDEX('PRICING'!$F$7:$F$16,MATCH(F827,'PRICING'!$A$7:$A$16,0))/60),2)),""))</f>
        <v/>
      </c>
      <c r="R827" s="97">
        <f>IF(B827="","",IF(N(K827)&gt;0,K827,IF(N(J827)&gt;0,J827,N(Q827))))</f>
        <v/>
      </c>
      <c r="S827" s="55">
        <f>IF(L827="","",ROUND(L827*(1+N(M827)),2))</f>
        <v/>
      </c>
      <c r="T827" s="55">
        <f>IF(B827="","",SUMIFS('REVENUE'!$C$5:$C$1504,'REVENUE'!$B$5:$B$1504,A827))</f>
        <v/>
      </c>
      <c r="U827" s="55">
        <f>IF(B827="","",IF(O827="Completed",MAX(0,N(S827)-T827),""))</f>
        <v/>
      </c>
      <c r="V827" s="49">
        <f>IF(B827="","",IF(O827&lt;&gt;"Completed",IF(T827&gt;0,"Deposit","—"),IF(U827&lt;=0.005,"Paid",IF(T827&gt;0,"Partial","Unpaid"))))</f>
        <v/>
      </c>
      <c r="W827" s="55">
        <f>IF(B827="","",IFERROR(1/(1/INDEX('STAFF &amp; TASKS'!$C$5:$C$24,MATCH(H827,'STAFF &amp; TASKS'!$A$5:$A$24,0))),PayRate))</f>
        <v/>
      </c>
      <c r="X827" s="55">
        <f>IF(B827="","",IF(OR(O827="Cancelled",O827="No-Show"),"",ROUND(R827*W827*(1+Burden),2)))</f>
        <v/>
      </c>
      <c r="Y827" s="55">
        <f>IF(B827="","",IF(OR(O827="Cancelled",O827="No-Show"),"",IF(N827&lt;&gt;"",N827,ROUND(R827*SupHr*IFERROR(INDEX('PRICING'!$G$7:$G$16,MATCH(F827,'PRICING'!$A$7:$A$16,0)),1),2))))</f>
        <v/>
      </c>
      <c r="Z827" s="98">
        <f>IF(B827="","",SUMIFS('MILEAGE'!$J$5:$J$1504,'MILEAGE'!$B$5:$B$1504,A827))</f>
        <v/>
      </c>
      <c r="AA827" s="55">
        <f>IF(B827="","",ROUND(Z827*MileRate,2))</f>
        <v/>
      </c>
      <c r="AB827" s="55">
        <f>IF(B827="","",SUMIFS('REVENUE'!$J$5:$J$1504,'REVENUE'!$B$5:$B$1504,A827))</f>
        <v/>
      </c>
      <c r="AC827" s="55">
        <f>IF(L827="","",IF(OR(O827="Cancelled",O827="No-Show"),"",L827-N(X827)-N(Y827)-AA827-AB827))</f>
        <v/>
      </c>
      <c r="AD827" s="99">
        <f>IF(OR(AC827="",N(L827)=0),"",AC827/L827)</f>
        <v/>
      </c>
      <c r="AE827" s="55">
        <f>IF(OR(AC827="",N(R827)=0),"",L827/R827)</f>
        <v/>
      </c>
      <c r="AF827" s="100">
        <f>IF(OR(N(K827)=0,N(J827)+N(Q827)=0),"",K827-IF(N(J827)&gt;0,J827,Q827))</f>
        <v/>
      </c>
      <c r="AG827" s="99">
        <f>IF(B827="","",IFERROR(AVERAGEIFS('QUALITY CONTROL'!$M$5:$M$304,'QUALITY CONTROL'!$B$5:$B$304,A827),""))</f>
        <v/>
      </c>
      <c r="AH827" s="51">
        <f>IF(B827="","",DATE(YEAR(B827),MONTH(B827),1))</f>
        <v/>
      </c>
      <c r="AI827" s="49">
        <f>IF(D827="","",IFERROR(INDEX('CUSTOMERS'!$E$5:$E$404,MATCH(D827,'CUSTOMERS'!$B$5:$B$404,0)),""))</f>
        <v/>
      </c>
      <c r="AJ827" s="49">
        <f>IF(B827="","",N(C827))</f>
        <v/>
      </c>
      <c r="AK827" s="49">
        <f>IF(OR(B827="",O827="Cancelled",O827="Rescheduled"),"",B827&amp;"|"&amp;(COUNTIFS('JOBS'!$B$5:$B$1504,B827,'JOBS'!$AJ$5:$AJ$1504,"&lt;"&amp;AJ827,'JOBS'!$O$5:$O$1504,"&lt;&gt;Cancelled",'JOBS'!$O$5:$O$1504,"&lt;&gt;Rescheduled")+COUNTIFS($B$5:B827,B827,$AJ$5:AJ827,AJ827,$O$5:O827,"&lt;&gt;Cancelled",$O$5:O827,"&lt;&gt;Rescheduled")))</f>
        <v/>
      </c>
      <c r="AL827" s="49">
        <f>IF(N(U827)&lt;=0.005,"",COUNTIFS('JOBS'!$U$5:$U$1504,"&gt;0.005",'JOBS'!$B$5:$B$1504,"&lt;"&amp;B827)+COUNTIFS($U$5:U827,"&gt;0.005",$B$5:B827,B827))</f>
        <v/>
      </c>
    </row>
    <row r="828">
      <c r="A828" s="46" t="inlineStr">
        <is>
          <t>J-0824</t>
        </is>
      </c>
      <c r="B828" s="47" t="n"/>
      <c r="C828" s="94" t="n"/>
      <c r="D828" s="38" t="n"/>
      <c r="E828" s="38" t="n"/>
      <c r="F828" s="38" t="n"/>
      <c r="G828" s="38" t="n"/>
      <c r="H828" s="38" t="n"/>
      <c r="I828" s="57" t="n"/>
      <c r="J828" s="95" t="n"/>
      <c r="K828" s="95" t="n"/>
      <c r="L828" s="48" t="n"/>
      <c r="M828" s="96" t="n"/>
      <c r="N828" s="48" t="n"/>
      <c r="O828" s="38" t="n"/>
      <c r="P828" s="38" t="n"/>
      <c r="Q828" s="97">
        <f>IF(OR(F828="",E828=""),"",IFERROR(IF(INDEX('PROPERTIES'!$F$5:$F$404,MATCH(E828,'PROPERTIES'!$B$5:$B$404,0))=0,"",ROUND((INDEX('PROPERTIES'!$F$5:$F$404,MATCH(E828,'PROPERTIES'!$B$5:$B$404,0))/INDEX('PRICING'!$C$7:$C$16,MATCH(F828,'PRICING'!$A$7:$A$16,0))+INDEX('PROPERTIES'!$G$5:$G$404,MATCH(E828,'PROPERTIES'!$B$5:$B$404,0))*INDEX('PRICING'!$D$7:$D$16,MATCH(F828,'PRICING'!$A$7:$A$16,0))/60+INDEX('PROPERTIES'!$H$5:$H$404,MATCH(E828,'PROPERTIES'!$B$5:$B$404,0))*INDEX('PRICING'!$E$7:$E$16,MATCH(F828,'PRICING'!$A$7:$A$16,0))/60+INDEX('PRICING'!$F$7:$F$16,MATCH(F828,'PRICING'!$A$7:$A$16,0))/60),2)),""))</f>
        <v/>
      </c>
      <c r="R828" s="97">
        <f>IF(B828="","",IF(N(K828)&gt;0,K828,IF(N(J828)&gt;0,J828,N(Q828))))</f>
        <v/>
      </c>
      <c r="S828" s="55">
        <f>IF(L828="","",ROUND(L828*(1+N(M828)),2))</f>
        <v/>
      </c>
      <c r="T828" s="55">
        <f>IF(B828="","",SUMIFS('REVENUE'!$C$5:$C$1504,'REVENUE'!$B$5:$B$1504,A828))</f>
        <v/>
      </c>
      <c r="U828" s="55">
        <f>IF(B828="","",IF(O828="Completed",MAX(0,N(S828)-T828),""))</f>
        <v/>
      </c>
      <c r="V828" s="49">
        <f>IF(B828="","",IF(O828&lt;&gt;"Completed",IF(T828&gt;0,"Deposit","—"),IF(U828&lt;=0.005,"Paid",IF(T828&gt;0,"Partial","Unpaid"))))</f>
        <v/>
      </c>
      <c r="W828" s="55">
        <f>IF(B828="","",IFERROR(1/(1/INDEX('STAFF &amp; TASKS'!$C$5:$C$24,MATCH(H828,'STAFF &amp; TASKS'!$A$5:$A$24,0))),PayRate))</f>
        <v/>
      </c>
      <c r="X828" s="55">
        <f>IF(B828="","",IF(OR(O828="Cancelled",O828="No-Show"),"",ROUND(R828*W828*(1+Burden),2)))</f>
        <v/>
      </c>
      <c r="Y828" s="55">
        <f>IF(B828="","",IF(OR(O828="Cancelled",O828="No-Show"),"",IF(N828&lt;&gt;"",N828,ROUND(R828*SupHr*IFERROR(INDEX('PRICING'!$G$7:$G$16,MATCH(F828,'PRICING'!$A$7:$A$16,0)),1),2))))</f>
        <v/>
      </c>
      <c r="Z828" s="98">
        <f>IF(B828="","",SUMIFS('MILEAGE'!$J$5:$J$1504,'MILEAGE'!$B$5:$B$1504,A828))</f>
        <v/>
      </c>
      <c r="AA828" s="55">
        <f>IF(B828="","",ROUND(Z828*MileRate,2))</f>
        <v/>
      </c>
      <c r="AB828" s="55">
        <f>IF(B828="","",SUMIFS('REVENUE'!$J$5:$J$1504,'REVENUE'!$B$5:$B$1504,A828))</f>
        <v/>
      </c>
      <c r="AC828" s="55">
        <f>IF(L828="","",IF(OR(O828="Cancelled",O828="No-Show"),"",L828-N(X828)-N(Y828)-AA828-AB828))</f>
        <v/>
      </c>
      <c r="AD828" s="99">
        <f>IF(OR(AC828="",N(L828)=0),"",AC828/L828)</f>
        <v/>
      </c>
      <c r="AE828" s="55">
        <f>IF(OR(AC828="",N(R828)=0),"",L828/R828)</f>
        <v/>
      </c>
      <c r="AF828" s="100">
        <f>IF(OR(N(K828)=0,N(J828)+N(Q828)=0),"",K828-IF(N(J828)&gt;0,J828,Q828))</f>
        <v/>
      </c>
      <c r="AG828" s="99">
        <f>IF(B828="","",IFERROR(AVERAGEIFS('QUALITY CONTROL'!$M$5:$M$304,'QUALITY CONTROL'!$B$5:$B$304,A828),""))</f>
        <v/>
      </c>
      <c r="AH828" s="51">
        <f>IF(B828="","",DATE(YEAR(B828),MONTH(B828),1))</f>
        <v/>
      </c>
      <c r="AI828" s="49">
        <f>IF(D828="","",IFERROR(INDEX('CUSTOMERS'!$E$5:$E$404,MATCH(D828,'CUSTOMERS'!$B$5:$B$404,0)),""))</f>
        <v/>
      </c>
      <c r="AJ828" s="49">
        <f>IF(B828="","",N(C828))</f>
        <v/>
      </c>
      <c r="AK828" s="49">
        <f>IF(OR(B828="",O828="Cancelled",O828="Rescheduled"),"",B828&amp;"|"&amp;(COUNTIFS('JOBS'!$B$5:$B$1504,B828,'JOBS'!$AJ$5:$AJ$1504,"&lt;"&amp;AJ828,'JOBS'!$O$5:$O$1504,"&lt;&gt;Cancelled",'JOBS'!$O$5:$O$1504,"&lt;&gt;Rescheduled")+COUNTIFS($B$5:B828,B828,$AJ$5:AJ828,AJ828,$O$5:O828,"&lt;&gt;Cancelled",$O$5:O828,"&lt;&gt;Rescheduled")))</f>
        <v/>
      </c>
      <c r="AL828" s="49">
        <f>IF(N(U828)&lt;=0.005,"",COUNTIFS('JOBS'!$U$5:$U$1504,"&gt;0.005",'JOBS'!$B$5:$B$1504,"&lt;"&amp;B828)+COUNTIFS($U$5:U828,"&gt;0.005",$B$5:B828,B828))</f>
        <v/>
      </c>
    </row>
    <row r="829">
      <c r="A829" s="46" t="inlineStr">
        <is>
          <t>J-0825</t>
        </is>
      </c>
      <c r="B829" s="47" t="n"/>
      <c r="C829" s="94" t="n"/>
      <c r="D829" s="38" t="n"/>
      <c r="E829" s="38" t="n"/>
      <c r="F829" s="38" t="n"/>
      <c r="G829" s="38" t="n"/>
      <c r="H829" s="38" t="n"/>
      <c r="I829" s="57" t="n"/>
      <c r="J829" s="95" t="n"/>
      <c r="K829" s="95" t="n"/>
      <c r="L829" s="48" t="n"/>
      <c r="M829" s="96" t="n"/>
      <c r="N829" s="48" t="n"/>
      <c r="O829" s="38" t="n"/>
      <c r="P829" s="38" t="n"/>
      <c r="Q829" s="97">
        <f>IF(OR(F829="",E829=""),"",IFERROR(IF(INDEX('PROPERTIES'!$F$5:$F$404,MATCH(E829,'PROPERTIES'!$B$5:$B$404,0))=0,"",ROUND((INDEX('PROPERTIES'!$F$5:$F$404,MATCH(E829,'PROPERTIES'!$B$5:$B$404,0))/INDEX('PRICING'!$C$7:$C$16,MATCH(F829,'PRICING'!$A$7:$A$16,0))+INDEX('PROPERTIES'!$G$5:$G$404,MATCH(E829,'PROPERTIES'!$B$5:$B$404,0))*INDEX('PRICING'!$D$7:$D$16,MATCH(F829,'PRICING'!$A$7:$A$16,0))/60+INDEX('PROPERTIES'!$H$5:$H$404,MATCH(E829,'PROPERTIES'!$B$5:$B$404,0))*INDEX('PRICING'!$E$7:$E$16,MATCH(F829,'PRICING'!$A$7:$A$16,0))/60+INDEX('PRICING'!$F$7:$F$16,MATCH(F829,'PRICING'!$A$7:$A$16,0))/60),2)),""))</f>
        <v/>
      </c>
      <c r="R829" s="97">
        <f>IF(B829="","",IF(N(K829)&gt;0,K829,IF(N(J829)&gt;0,J829,N(Q829))))</f>
        <v/>
      </c>
      <c r="S829" s="55">
        <f>IF(L829="","",ROUND(L829*(1+N(M829)),2))</f>
        <v/>
      </c>
      <c r="T829" s="55">
        <f>IF(B829="","",SUMIFS('REVENUE'!$C$5:$C$1504,'REVENUE'!$B$5:$B$1504,A829))</f>
        <v/>
      </c>
      <c r="U829" s="55">
        <f>IF(B829="","",IF(O829="Completed",MAX(0,N(S829)-T829),""))</f>
        <v/>
      </c>
      <c r="V829" s="49">
        <f>IF(B829="","",IF(O829&lt;&gt;"Completed",IF(T829&gt;0,"Deposit","—"),IF(U829&lt;=0.005,"Paid",IF(T829&gt;0,"Partial","Unpaid"))))</f>
        <v/>
      </c>
      <c r="W829" s="55">
        <f>IF(B829="","",IFERROR(1/(1/INDEX('STAFF &amp; TASKS'!$C$5:$C$24,MATCH(H829,'STAFF &amp; TASKS'!$A$5:$A$24,0))),PayRate))</f>
        <v/>
      </c>
      <c r="X829" s="55">
        <f>IF(B829="","",IF(OR(O829="Cancelled",O829="No-Show"),"",ROUND(R829*W829*(1+Burden),2)))</f>
        <v/>
      </c>
      <c r="Y829" s="55">
        <f>IF(B829="","",IF(OR(O829="Cancelled",O829="No-Show"),"",IF(N829&lt;&gt;"",N829,ROUND(R829*SupHr*IFERROR(INDEX('PRICING'!$G$7:$G$16,MATCH(F829,'PRICING'!$A$7:$A$16,0)),1),2))))</f>
        <v/>
      </c>
      <c r="Z829" s="98">
        <f>IF(B829="","",SUMIFS('MILEAGE'!$J$5:$J$1504,'MILEAGE'!$B$5:$B$1504,A829))</f>
        <v/>
      </c>
      <c r="AA829" s="55">
        <f>IF(B829="","",ROUND(Z829*MileRate,2))</f>
        <v/>
      </c>
      <c r="AB829" s="55">
        <f>IF(B829="","",SUMIFS('REVENUE'!$J$5:$J$1504,'REVENUE'!$B$5:$B$1504,A829))</f>
        <v/>
      </c>
      <c r="AC829" s="55">
        <f>IF(L829="","",IF(OR(O829="Cancelled",O829="No-Show"),"",L829-N(X829)-N(Y829)-AA829-AB829))</f>
        <v/>
      </c>
      <c r="AD829" s="99">
        <f>IF(OR(AC829="",N(L829)=0),"",AC829/L829)</f>
        <v/>
      </c>
      <c r="AE829" s="55">
        <f>IF(OR(AC829="",N(R829)=0),"",L829/R829)</f>
        <v/>
      </c>
      <c r="AF829" s="100">
        <f>IF(OR(N(K829)=0,N(J829)+N(Q829)=0),"",K829-IF(N(J829)&gt;0,J829,Q829))</f>
        <v/>
      </c>
      <c r="AG829" s="99">
        <f>IF(B829="","",IFERROR(AVERAGEIFS('QUALITY CONTROL'!$M$5:$M$304,'QUALITY CONTROL'!$B$5:$B$304,A829),""))</f>
        <v/>
      </c>
      <c r="AH829" s="51">
        <f>IF(B829="","",DATE(YEAR(B829),MONTH(B829),1))</f>
        <v/>
      </c>
      <c r="AI829" s="49">
        <f>IF(D829="","",IFERROR(INDEX('CUSTOMERS'!$E$5:$E$404,MATCH(D829,'CUSTOMERS'!$B$5:$B$404,0)),""))</f>
        <v/>
      </c>
      <c r="AJ829" s="49">
        <f>IF(B829="","",N(C829))</f>
        <v/>
      </c>
      <c r="AK829" s="49">
        <f>IF(OR(B829="",O829="Cancelled",O829="Rescheduled"),"",B829&amp;"|"&amp;(COUNTIFS('JOBS'!$B$5:$B$1504,B829,'JOBS'!$AJ$5:$AJ$1504,"&lt;"&amp;AJ829,'JOBS'!$O$5:$O$1504,"&lt;&gt;Cancelled",'JOBS'!$O$5:$O$1504,"&lt;&gt;Rescheduled")+COUNTIFS($B$5:B829,B829,$AJ$5:AJ829,AJ829,$O$5:O829,"&lt;&gt;Cancelled",$O$5:O829,"&lt;&gt;Rescheduled")))</f>
        <v/>
      </c>
      <c r="AL829" s="49">
        <f>IF(N(U829)&lt;=0.005,"",COUNTIFS('JOBS'!$U$5:$U$1504,"&gt;0.005",'JOBS'!$B$5:$B$1504,"&lt;"&amp;B829)+COUNTIFS($U$5:U829,"&gt;0.005",$B$5:B829,B829))</f>
        <v/>
      </c>
    </row>
    <row r="830">
      <c r="A830" s="46" t="inlineStr">
        <is>
          <t>J-0826</t>
        </is>
      </c>
      <c r="B830" s="47" t="n"/>
      <c r="C830" s="94" t="n"/>
      <c r="D830" s="38" t="n"/>
      <c r="E830" s="38" t="n"/>
      <c r="F830" s="38" t="n"/>
      <c r="G830" s="38" t="n"/>
      <c r="H830" s="38" t="n"/>
      <c r="I830" s="57" t="n"/>
      <c r="J830" s="95" t="n"/>
      <c r="K830" s="95" t="n"/>
      <c r="L830" s="48" t="n"/>
      <c r="M830" s="96" t="n"/>
      <c r="N830" s="48" t="n"/>
      <c r="O830" s="38" t="n"/>
      <c r="P830" s="38" t="n"/>
      <c r="Q830" s="97">
        <f>IF(OR(F830="",E830=""),"",IFERROR(IF(INDEX('PROPERTIES'!$F$5:$F$404,MATCH(E830,'PROPERTIES'!$B$5:$B$404,0))=0,"",ROUND((INDEX('PROPERTIES'!$F$5:$F$404,MATCH(E830,'PROPERTIES'!$B$5:$B$404,0))/INDEX('PRICING'!$C$7:$C$16,MATCH(F830,'PRICING'!$A$7:$A$16,0))+INDEX('PROPERTIES'!$G$5:$G$404,MATCH(E830,'PROPERTIES'!$B$5:$B$404,0))*INDEX('PRICING'!$D$7:$D$16,MATCH(F830,'PRICING'!$A$7:$A$16,0))/60+INDEX('PROPERTIES'!$H$5:$H$404,MATCH(E830,'PROPERTIES'!$B$5:$B$404,0))*INDEX('PRICING'!$E$7:$E$16,MATCH(F830,'PRICING'!$A$7:$A$16,0))/60+INDEX('PRICING'!$F$7:$F$16,MATCH(F830,'PRICING'!$A$7:$A$16,0))/60),2)),""))</f>
        <v/>
      </c>
      <c r="R830" s="97">
        <f>IF(B830="","",IF(N(K830)&gt;0,K830,IF(N(J830)&gt;0,J830,N(Q830))))</f>
        <v/>
      </c>
      <c r="S830" s="55">
        <f>IF(L830="","",ROUND(L830*(1+N(M830)),2))</f>
        <v/>
      </c>
      <c r="T830" s="55">
        <f>IF(B830="","",SUMIFS('REVENUE'!$C$5:$C$1504,'REVENUE'!$B$5:$B$1504,A830))</f>
        <v/>
      </c>
      <c r="U830" s="55">
        <f>IF(B830="","",IF(O830="Completed",MAX(0,N(S830)-T830),""))</f>
        <v/>
      </c>
      <c r="V830" s="49">
        <f>IF(B830="","",IF(O830&lt;&gt;"Completed",IF(T830&gt;0,"Deposit","—"),IF(U830&lt;=0.005,"Paid",IF(T830&gt;0,"Partial","Unpaid"))))</f>
        <v/>
      </c>
      <c r="W830" s="55">
        <f>IF(B830="","",IFERROR(1/(1/INDEX('STAFF &amp; TASKS'!$C$5:$C$24,MATCH(H830,'STAFF &amp; TASKS'!$A$5:$A$24,0))),PayRate))</f>
        <v/>
      </c>
      <c r="X830" s="55">
        <f>IF(B830="","",IF(OR(O830="Cancelled",O830="No-Show"),"",ROUND(R830*W830*(1+Burden),2)))</f>
        <v/>
      </c>
      <c r="Y830" s="55">
        <f>IF(B830="","",IF(OR(O830="Cancelled",O830="No-Show"),"",IF(N830&lt;&gt;"",N830,ROUND(R830*SupHr*IFERROR(INDEX('PRICING'!$G$7:$G$16,MATCH(F830,'PRICING'!$A$7:$A$16,0)),1),2))))</f>
        <v/>
      </c>
      <c r="Z830" s="98">
        <f>IF(B830="","",SUMIFS('MILEAGE'!$J$5:$J$1504,'MILEAGE'!$B$5:$B$1504,A830))</f>
        <v/>
      </c>
      <c r="AA830" s="55">
        <f>IF(B830="","",ROUND(Z830*MileRate,2))</f>
        <v/>
      </c>
      <c r="AB830" s="55">
        <f>IF(B830="","",SUMIFS('REVENUE'!$J$5:$J$1504,'REVENUE'!$B$5:$B$1504,A830))</f>
        <v/>
      </c>
      <c r="AC830" s="55">
        <f>IF(L830="","",IF(OR(O830="Cancelled",O830="No-Show"),"",L830-N(X830)-N(Y830)-AA830-AB830))</f>
        <v/>
      </c>
      <c r="AD830" s="99">
        <f>IF(OR(AC830="",N(L830)=0),"",AC830/L830)</f>
        <v/>
      </c>
      <c r="AE830" s="55">
        <f>IF(OR(AC830="",N(R830)=0),"",L830/R830)</f>
        <v/>
      </c>
      <c r="AF830" s="100">
        <f>IF(OR(N(K830)=0,N(J830)+N(Q830)=0),"",K830-IF(N(J830)&gt;0,J830,Q830))</f>
        <v/>
      </c>
      <c r="AG830" s="99">
        <f>IF(B830="","",IFERROR(AVERAGEIFS('QUALITY CONTROL'!$M$5:$M$304,'QUALITY CONTROL'!$B$5:$B$304,A830),""))</f>
        <v/>
      </c>
      <c r="AH830" s="51">
        <f>IF(B830="","",DATE(YEAR(B830),MONTH(B830),1))</f>
        <v/>
      </c>
      <c r="AI830" s="49">
        <f>IF(D830="","",IFERROR(INDEX('CUSTOMERS'!$E$5:$E$404,MATCH(D830,'CUSTOMERS'!$B$5:$B$404,0)),""))</f>
        <v/>
      </c>
      <c r="AJ830" s="49">
        <f>IF(B830="","",N(C830))</f>
        <v/>
      </c>
      <c r="AK830" s="49">
        <f>IF(OR(B830="",O830="Cancelled",O830="Rescheduled"),"",B830&amp;"|"&amp;(COUNTIFS('JOBS'!$B$5:$B$1504,B830,'JOBS'!$AJ$5:$AJ$1504,"&lt;"&amp;AJ830,'JOBS'!$O$5:$O$1504,"&lt;&gt;Cancelled",'JOBS'!$O$5:$O$1504,"&lt;&gt;Rescheduled")+COUNTIFS($B$5:B830,B830,$AJ$5:AJ830,AJ830,$O$5:O830,"&lt;&gt;Cancelled",$O$5:O830,"&lt;&gt;Rescheduled")))</f>
        <v/>
      </c>
      <c r="AL830" s="49">
        <f>IF(N(U830)&lt;=0.005,"",COUNTIFS('JOBS'!$U$5:$U$1504,"&gt;0.005",'JOBS'!$B$5:$B$1504,"&lt;"&amp;B830)+COUNTIFS($U$5:U830,"&gt;0.005",$B$5:B830,B830))</f>
        <v/>
      </c>
    </row>
    <row r="831">
      <c r="A831" s="46" t="inlineStr">
        <is>
          <t>J-0827</t>
        </is>
      </c>
      <c r="B831" s="47" t="n"/>
      <c r="C831" s="94" t="n"/>
      <c r="D831" s="38" t="n"/>
      <c r="E831" s="38" t="n"/>
      <c r="F831" s="38" t="n"/>
      <c r="G831" s="38" t="n"/>
      <c r="H831" s="38" t="n"/>
      <c r="I831" s="57" t="n"/>
      <c r="J831" s="95" t="n"/>
      <c r="K831" s="95" t="n"/>
      <c r="L831" s="48" t="n"/>
      <c r="M831" s="96" t="n"/>
      <c r="N831" s="48" t="n"/>
      <c r="O831" s="38" t="n"/>
      <c r="P831" s="38" t="n"/>
      <c r="Q831" s="97">
        <f>IF(OR(F831="",E831=""),"",IFERROR(IF(INDEX('PROPERTIES'!$F$5:$F$404,MATCH(E831,'PROPERTIES'!$B$5:$B$404,0))=0,"",ROUND((INDEX('PROPERTIES'!$F$5:$F$404,MATCH(E831,'PROPERTIES'!$B$5:$B$404,0))/INDEX('PRICING'!$C$7:$C$16,MATCH(F831,'PRICING'!$A$7:$A$16,0))+INDEX('PROPERTIES'!$G$5:$G$404,MATCH(E831,'PROPERTIES'!$B$5:$B$404,0))*INDEX('PRICING'!$D$7:$D$16,MATCH(F831,'PRICING'!$A$7:$A$16,0))/60+INDEX('PROPERTIES'!$H$5:$H$404,MATCH(E831,'PROPERTIES'!$B$5:$B$404,0))*INDEX('PRICING'!$E$7:$E$16,MATCH(F831,'PRICING'!$A$7:$A$16,0))/60+INDEX('PRICING'!$F$7:$F$16,MATCH(F831,'PRICING'!$A$7:$A$16,0))/60),2)),""))</f>
        <v/>
      </c>
      <c r="R831" s="97">
        <f>IF(B831="","",IF(N(K831)&gt;0,K831,IF(N(J831)&gt;0,J831,N(Q831))))</f>
        <v/>
      </c>
      <c r="S831" s="55">
        <f>IF(L831="","",ROUND(L831*(1+N(M831)),2))</f>
        <v/>
      </c>
      <c r="T831" s="55">
        <f>IF(B831="","",SUMIFS('REVENUE'!$C$5:$C$1504,'REVENUE'!$B$5:$B$1504,A831))</f>
        <v/>
      </c>
      <c r="U831" s="55">
        <f>IF(B831="","",IF(O831="Completed",MAX(0,N(S831)-T831),""))</f>
        <v/>
      </c>
      <c r="V831" s="49">
        <f>IF(B831="","",IF(O831&lt;&gt;"Completed",IF(T831&gt;0,"Deposit","—"),IF(U831&lt;=0.005,"Paid",IF(T831&gt;0,"Partial","Unpaid"))))</f>
        <v/>
      </c>
      <c r="W831" s="55">
        <f>IF(B831="","",IFERROR(1/(1/INDEX('STAFF &amp; TASKS'!$C$5:$C$24,MATCH(H831,'STAFF &amp; TASKS'!$A$5:$A$24,0))),PayRate))</f>
        <v/>
      </c>
      <c r="X831" s="55">
        <f>IF(B831="","",IF(OR(O831="Cancelled",O831="No-Show"),"",ROUND(R831*W831*(1+Burden),2)))</f>
        <v/>
      </c>
      <c r="Y831" s="55">
        <f>IF(B831="","",IF(OR(O831="Cancelled",O831="No-Show"),"",IF(N831&lt;&gt;"",N831,ROUND(R831*SupHr*IFERROR(INDEX('PRICING'!$G$7:$G$16,MATCH(F831,'PRICING'!$A$7:$A$16,0)),1),2))))</f>
        <v/>
      </c>
      <c r="Z831" s="98">
        <f>IF(B831="","",SUMIFS('MILEAGE'!$J$5:$J$1504,'MILEAGE'!$B$5:$B$1504,A831))</f>
        <v/>
      </c>
      <c r="AA831" s="55">
        <f>IF(B831="","",ROUND(Z831*MileRate,2))</f>
        <v/>
      </c>
      <c r="AB831" s="55">
        <f>IF(B831="","",SUMIFS('REVENUE'!$J$5:$J$1504,'REVENUE'!$B$5:$B$1504,A831))</f>
        <v/>
      </c>
      <c r="AC831" s="55">
        <f>IF(L831="","",IF(OR(O831="Cancelled",O831="No-Show"),"",L831-N(X831)-N(Y831)-AA831-AB831))</f>
        <v/>
      </c>
      <c r="AD831" s="99">
        <f>IF(OR(AC831="",N(L831)=0),"",AC831/L831)</f>
        <v/>
      </c>
      <c r="AE831" s="55">
        <f>IF(OR(AC831="",N(R831)=0),"",L831/R831)</f>
        <v/>
      </c>
      <c r="AF831" s="100">
        <f>IF(OR(N(K831)=0,N(J831)+N(Q831)=0),"",K831-IF(N(J831)&gt;0,J831,Q831))</f>
        <v/>
      </c>
      <c r="AG831" s="99">
        <f>IF(B831="","",IFERROR(AVERAGEIFS('QUALITY CONTROL'!$M$5:$M$304,'QUALITY CONTROL'!$B$5:$B$304,A831),""))</f>
        <v/>
      </c>
      <c r="AH831" s="51">
        <f>IF(B831="","",DATE(YEAR(B831),MONTH(B831),1))</f>
        <v/>
      </c>
      <c r="AI831" s="49">
        <f>IF(D831="","",IFERROR(INDEX('CUSTOMERS'!$E$5:$E$404,MATCH(D831,'CUSTOMERS'!$B$5:$B$404,0)),""))</f>
        <v/>
      </c>
      <c r="AJ831" s="49">
        <f>IF(B831="","",N(C831))</f>
        <v/>
      </c>
      <c r="AK831" s="49">
        <f>IF(OR(B831="",O831="Cancelled",O831="Rescheduled"),"",B831&amp;"|"&amp;(COUNTIFS('JOBS'!$B$5:$B$1504,B831,'JOBS'!$AJ$5:$AJ$1504,"&lt;"&amp;AJ831,'JOBS'!$O$5:$O$1504,"&lt;&gt;Cancelled",'JOBS'!$O$5:$O$1504,"&lt;&gt;Rescheduled")+COUNTIFS($B$5:B831,B831,$AJ$5:AJ831,AJ831,$O$5:O831,"&lt;&gt;Cancelled",$O$5:O831,"&lt;&gt;Rescheduled")))</f>
        <v/>
      </c>
      <c r="AL831" s="49">
        <f>IF(N(U831)&lt;=0.005,"",COUNTIFS('JOBS'!$U$5:$U$1504,"&gt;0.005",'JOBS'!$B$5:$B$1504,"&lt;"&amp;B831)+COUNTIFS($U$5:U831,"&gt;0.005",$B$5:B831,B831))</f>
        <v/>
      </c>
    </row>
    <row r="832">
      <c r="A832" s="46" t="inlineStr">
        <is>
          <t>J-0828</t>
        </is>
      </c>
      <c r="B832" s="47" t="n"/>
      <c r="C832" s="94" t="n"/>
      <c r="D832" s="38" t="n"/>
      <c r="E832" s="38" t="n"/>
      <c r="F832" s="38" t="n"/>
      <c r="G832" s="38" t="n"/>
      <c r="H832" s="38" t="n"/>
      <c r="I832" s="57" t="n"/>
      <c r="J832" s="95" t="n"/>
      <c r="K832" s="95" t="n"/>
      <c r="L832" s="48" t="n"/>
      <c r="M832" s="96" t="n"/>
      <c r="N832" s="48" t="n"/>
      <c r="O832" s="38" t="n"/>
      <c r="P832" s="38" t="n"/>
      <c r="Q832" s="97">
        <f>IF(OR(F832="",E832=""),"",IFERROR(IF(INDEX('PROPERTIES'!$F$5:$F$404,MATCH(E832,'PROPERTIES'!$B$5:$B$404,0))=0,"",ROUND((INDEX('PROPERTIES'!$F$5:$F$404,MATCH(E832,'PROPERTIES'!$B$5:$B$404,0))/INDEX('PRICING'!$C$7:$C$16,MATCH(F832,'PRICING'!$A$7:$A$16,0))+INDEX('PROPERTIES'!$G$5:$G$404,MATCH(E832,'PROPERTIES'!$B$5:$B$404,0))*INDEX('PRICING'!$D$7:$D$16,MATCH(F832,'PRICING'!$A$7:$A$16,0))/60+INDEX('PROPERTIES'!$H$5:$H$404,MATCH(E832,'PROPERTIES'!$B$5:$B$404,0))*INDEX('PRICING'!$E$7:$E$16,MATCH(F832,'PRICING'!$A$7:$A$16,0))/60+INDEX('PRICING'!$F$7:$F$16,MATCH(F832,'PRICING'!$A$7:$A$16,0))/60),2)),""))</f>
        <v/>
      </c>
      <c r="R832" s="97">
        <f>IF(B832="","",IF(N(K832)&gt;0,K832,IF(N(J832)&gt;0,J832,N(Q832))))</f>
        <v/>
      </c>
      <c r="S832" s="55">
        <f>IF(L832="","",ROUND(L832*(1+N(M832)),2))</f>
        <v/>
      </c>
      <c r="T832" s="55">
        <f>IF(B832="","",SUMIFS('REVENUE'!$C$5:$C$1504,'REVENUE'!$B$5:$B$1504,A832))</f>
        <v/>
      </c>
      <c r="U832" s="55">
        <f>IF(B832="","",IF(O832="Completed",MAX(0,N(S832)-T832),""))</f>
        <v/>
      </c>
      <c r="V832" s="49">
        <f>IF(B832="","",IF(O832&lt;&gt;"Completed",IF(T832&gt;0,"Deposit","—"),IF(U832&lt;=0.005,"Paid",IF(T832&gt;0,"Partial","Unpaid"))))</f>
        <v/>
      </c>
      <c r="W832" s="55">
        <f>IF(B832="","",IFERROR(1/(1/INDEX('STAFF &amp; TASKS'!$C$5:$C$24,MATCH(H832,'STAFF &amp; TASKS'!$A$5:$A$24,0))),PayRate))</f>
        <v/>
      </c>
      <c r="X832" s="55">
        <f>IF(B832="","",IF(OR(O832="Cancelled",O832="No-Show"),"",ROUND(R832*W832*(1+Burden),2)))</f>
        <v/>
      </c>
      <c r="Y832" s="55">
        <f>IF(B832="","",IF(OR(O832="Cancelled",O832="No-Show"),"",IF(N832&lt;&gt;"",N832,ROUND(R832*SupHr*IFERROR(INDEX('PRICING'!$G$7:$G$16,MATCH(F832,'PRICING'!$A$7:$A$16,0)),1),2))))</f>
        <v/>
      </c>
      <c r="Z832" s="98">
        <f>IF(B832="","",SUMIFS('MILEAGE'!$J$5:$J$1504,'MILEAGE'!$B$5:$B$1504,A832))</f>
        <v/>
      </c>
      <c r="AA832" s="55">
        <f>IF(B832="","",ROUND(Z832*MileRate,2))</f>
        <v/>
      </c>
      <c r="AB832" s="55">
        <f>IF(B832="","",SUMIFS('REVENUE'!$J$5:$J$1504,'REVENUE'!$B$5:$B$1504,A832))</f>
        <v/>
      </c>
      <c r="AC832" s="55">
        <f>IF(L832="","",IF(OR(O832="Cancelled",O832="No-Show"),"",L832-N(X832)-N(Y832)-AA832-AB832))</f>
        <v/>
      </c>
      <c r="AD832" s="99">
        <f>IF(OR(AC832="",N(L832)=0),"",AC832/L832)</f>
        <v/>
      </c>
      <c r="AE832" s="55">
        <f>IF(OR(AC832="",N(R832)=0),"",L832/R832)</f>
        <v/>
      </c>
      <c r="AF832" s="100">
        <f>IF(OR(N(K832)=0,N(J832)+N(Q832)=0),"",K832-IF(N(J832)&gt;0,J832,Q832))</f>
        <v/>
      </c>
      <c r="AG832" s="99">
        <f>IF(B832="","",IFERROR(AVERAGEIFS('QUALITY CONTROL'!$M$5:$M$304,'QUALITY CONTROL'!$B$5:$B$304,A832),""))</f>
        <v/>
      </c>
      <c r="AH832" s="51">
        <f>IF(B832="","",DATE(YEAR(B832),MONTH(B832),1))</f>
        <v/>
      </c>
      <c r="AI832" s="49">
        <f>IF(D832="","",IFERROR(INDEX('CUSTOMERS'!$E$5:$E$404,MATCH(D832,'CUSTOMERS'!$B$5:$B$404,0)),""))</f>
        <v/>
      </c>
      <c r="AJ832" s="49">
        <f>IF(B832="","",N(C832))</f>
        <v/>
      </c>
      <c r="AK832" s="49">
        <f>IF(OR(B832="",O832="Cancelled",O832="Rescheduled"),"",B832&amp;"|"&amp;(COUNTIFS('JOBS'!$B$5:$B$1504,B832,'JOBS'!$AJ$5:$AJ$1504,"&lt;"&amp;AJ832,'JOBS'!$O$5:$O$1504,"&lt;&gt;Cancelled",'JOBS'!$O$5:$O$1504,"&lt;&gt;Rescheduled")+COUNTIFS($B$5:B832,B832,$AJ$5:AJ832,AJ832,$O$5:O832,"&lt;&gt;Cancelled",$O$5:O832,"&lt;&gt;Rescheduled")))</f>
        <v/>
      </c>
      <c r="AL832" s="49">
        <f>IF(N(U832)&lt;=0.005,"",COUNTIFS('JOBS'!$U$5:$U$1504,"&gt;0.005",'JOBS'!$B$5:$B$1504,"&lt;"&amp;B832)+COUNTIFS($U$5:U832,"&gt;0.005",$B$5:B832,B832))</f>
        <v/>
      </c>
    </row>
    <row r="833">
      <c r="A833" s="46" t="inlineStr">
        <is>
          <t>J-0829</t>
        </is>
      </c>
      <c r="B833" s="47" t="n"/>
      <c r="C833" s="94" t="n"/>
      <c r="D833" s="38" t="n"/>
      <c r="E833" s="38" t="n"/>
      <c r="F833" s="38" t="n"/>
      <c r="G833" s="38" t="n"/>
      <c r="H833" s="38" t="n"/>
      <c r="I833" s="57" t="n"/>
      <c r="J833" s="95" t="n"/>
      <c r="K833" s="95" t="n"/>
      <c r="L833" s="48" t="n"/>
      <c r="M833" s="96" t="n"/>
      <c r="N833" s="48" t="n"/>
      <c r="O833" s="38" t="n"/>
      <c r="P833" s="38" t="n"/>
      <c r="Q833" s="97">
        <f>IF(OR(F833="",E833=""),"",IFERROR(IF(INDEX('PROPERTIES'!$F$5:$F$404,MATCH(E833,'PROPERTIES'!$B$5:$B$404,0))=0,"",ROUND((INDEX('PROPERTIES'!$F$5:$F$404,MATCH(E833,'PROPERTIES'!$B$5:$B$404,0))/INDEX('PRICING'!$C$7:$C$16,MATCH(F833,'PRICING'!$A$7:$A$16,0))+INDEX('PROPERTIES'!$G$5:$G$404,MATCH(E833,'PROPERTIES'!$B$5:$B$404,0))*INDEX('PRICING'!$D$7:$D$16,MATCH(F833,'PRICING'!$A$7:$A$16,0))/60+INDEX('PROPERTIES'!$H$5:$H$404,MATCH(E833,'PROPERTIES'!$B$5:$B$404,0))*INDEX('PRICING'!$E$7:$E$16,MATCH(F833,'PRICING'!$A$7:$A$16,0))/60+INDEX('PRICING'!$F$7:$F$16,MATCH(F833,'PRICING'!$A$7:$A$16,0))/60),2)),""))</f>
        <v/>
      </c>
      <c r="R833" s="97">
        <f>IF(B833="","",IF(N(K833)&gt;0,K833,IF(N(J833)&gt;0,J833,N(Q833))))</f>
        <v/>
      </c>
      <c r="S833" s="55">
        <f>IF(L833="","",ROUND(L833*(1+N(M833)),2))</f>
        <v/>
      </c>
      <c r="T833" s="55">
        <f>IF(B833="","",SUMIFS('REVENUE'!$C$5:$C$1504,'REVENUE'!$B$5:$B$1504,A833))</f>
        <v/>
      </c>
      <c r="U833" s="55">
        <f>IF(B833="","",IF(O833="Completed",MAX(0,N(S833)-T833),""))</f>
        <v/>
      </c>
      <c r="V833" s="49">
        <f>IF(B833="","",IF(O833&lt;&gt;"Completed",IF(T833&gt;0,"Deposit","—"),IF(U833&lt;=0.005,"Paid",IF(T833&gt;0,"Partial","Unpaid"))))</f>
        <v/>
      </c>
      <c r="W833" s="55">
        <f>IF(B833="","",IFERROR(1/(1/INDEX('STAFF &amp; TASKS'!$C$5:$C$24,MATCH(H833,'STAFF &amp; TASKS'!$A$5:$A$24,0))),PayRate))</f>
        <v/>
      </c>
      <c r="X833" s="55">
        <f>IF(B833="","",IF(OR(O833="Cancelled",O833="No-Show"),"",ROUND(R833*W833*(1+Burden),2)))</f>
        <v/>
      </c>
      <c r="Y833" s="55">
        <f>IF(B833="","",IF(OR(O833="Cancelled",O833="No-Show"),"",IF(N833&lt;&gt;"",N833,ROUND(R833*SupHr*IFERROR(INDEX('PRICING'!$G$7:$G$16,MATCH(F833,'PRICING'!$A$7:$A$16,0)),1),2))))</f>
        <v/>
      </c>
      <c r="Z833" s="98">
        <f>IF(B833="","",SUMIFS('MILEAGE'!$J$5:$J$1504,'MILEAGE'!$B$5:$B$1504,A833))</f>
        <v/>
      </c>
      <c r="AA833" s="55">
        <f>IF(B833="","",ROUND(Z833*MileRate,2))</f>
        <v/>
      </c>
      <c r="AB833" s="55">
        <f>IF(B833="","",SUMIFS('REVENUE'!$J$5:$J$1504,'REVENUE'!$B$5:$B$1504,A833))</f>
        <v/>
      </c>
      <c r="AC833" s="55">
        <f>IF(L833="","",IF(OR(O833="Cancelled",O833="No-Show"),"",L833-N(X833)-N(Y833)-AA833-AB833))</f>
        <v/>
      </c>
      <c r="AD833" s="99">
        <f>IF(OR(AC833="",N(L833)=0),"",AC833/L833)</f>
        <v/>
      </c>
      <c r="AE833" s="55">
        <f>IF(OR(AC833="",N(R833)=0),"",L833/R833)</f>
        <v/>
      </c>
      <c r="AF833" s="100">
        <f>IF(OR(N(K833)=0,N(J833)+N(Q833)=0),"",K833-IF(N(J833)&gt;0,J833,Q833))</f>
        <v/>
      </c>
      <c r="AG833" s="99">
        <f>IF(B833="","",IFERROR(AVERAGEIFS('QUALITY CONTROL'!$M$5:$M$304,'QUALITY CONTROL'!$B$5:$B$304,A833),""))</f>
        <v/>
      </c>
      <c r="AH833" s="51">
        <f>IF(B833="","",DATE(YEAR(B833),MONTH(B833),1))</f>
        <v/>
      </c>
      <c r="AI833" s="49">
        <f>IF(D833="","",IFERROR(INDEX('CUSTOMERS'!$E$5:$E$404,MATCH(D833,'CUSTOMERS'!$B$5:$B$404,0)),""))</f>
        <v/>
      </c>
      <c r="AJ833" s="49">
        <f>IF(B833="","",N(C833))</f>
        <v/>
      </c>
      <c r="AK833" s="49">
        <f>IF(OR(B833="",O833="Cancelled",O833="Rescheduled"),"",B833&amp;"|"&amp;(COUNTIFS('JOBS'!$B$5:$B$1504,B833,'JOBS'!$AJ$5:$AJ$1504,"&lt;"&amp;AJ833,'JOBS'!$O$5:$O$1504,"&lt;&gt;Cancelled",'JOBS'!$O$5:$O$1504,"&lt;&gt;Rescheduled")+COUNTIFS($B$5:B833,B833,$AJ$5:AJ833,AJ833,$O$5:O833,"&lt;&gt;Cancelled",$O$5:O833,"&lt;&gt;Rescheduled")))</f>
        <v/>
      </c>
      <c r="AL833" s="49">
        <f>IF(N(U833)&lt;=0.005,"",COUNTIFS('JOBS'!$U$5:$U$1504,"&gt;0.005",'JOBS'!$B$5:$B$1504,"&lt;"&amp;B833)+COUNTIFS($U$5:U833,"&gt;0.005",$B$5:B833,B833))</f>
        <v/>
      </c>
    </row>
    <row r="834">
      <c r="A834" s="46" t="inlineStr">
        <is>
          <t>J-0830</t>
        </is>
      </c>
      <c r="B834" s="47" t="n"/>
      <c r="C834" s="94" t="n"/>
      <c r="D834" s="38" t="n"/>
      <c r="E834" s="38" t="n"/>
      <c r="F834" s="38" t="n"/>
      <c r="G834" s="38" t="n"/>
      <c r="H834" s="38" t="n"/>
      <c r="I834" s="57" t="n"/>
      <c r="J834" s="95" t="n"/>
      <c r="K834" s="95" t="n"/>
      <c r="L834" s="48" t="n"/>
      <c r="M834" s="96" t="n"/>
      <c r="N834" s="48" t="n"/>
      <c r="O834" s="38" t="n"/>
      <c r="P834" s="38" t="n"/>
      <c r="Q834" s="97">
        <f>IF(OR(F834="",E834=""),"",IFERROR(IF(INDEX('PROPERTIES'!$F$5:$F$404,MATCH(E834,'PROPERTIES'!$B$5:$B$404,0))=0,"",ROUND((INDEX('PROPERTIES'!$F$5:$F$404,MATCH(E834,'PROPERTIES'!$B$5:$B$404,0))/INDEX('PRICING'!$C$7:$C$16,MATCH(F834,'PRICING'!$A$7:$A$16,0))+INDEX('PROPERTIES'!$G$5:$G$404,MATCH(E834,'PROPERTIES'!$B$5:$B$404,0))*INDEX('PRICING'!$D$7:$D$16,MATCH(F834,'PRICING'!$A$7:$A$16,0))/60+INDEX('PROPERTIES'!$H$5:$H$404,MATCH(E834,'PROPERTIES'!$B$5:$B$404,0))*INDEX('PRICING'!$E$7:$E$16,MATCH(F834,'PRICING'!$A$7:$A$16,0))/60+INDEX('PRICING'!$F$7:$F$16,MATCH(F834,'PRICING'!$A$7:$A$16,0))/60),2)),""))</f>
        <v/>
      </c>
      <c r="R834" s="97">
        <f>IF(B834="","",IF(N(K834)&gt;0,K834,IF(N(J834)&gt;0,J834,N(Q834))))</f>
        <v/>
      </c>
      <c r="S834" s="55">
        <f>IF(L834="","",ROUND(L834*(1+N(M834)),2))</f>
        <v/>
      </c>
      <c r="T834" s="55">
        <f>IF(B834="","",SUMIFS('REVENUE'!$C$5:$C$1504,'REVENUE'!$B$5:$B$1504,A834))</f>
        <v/>
      </c>
      <c r="U834" s="55">
        <f>IF(B834="","",IF(O834="Completed",MAX(0,N(S834)-T834),""))</f>
        <v/>
      </c>
      <c r="V834" s="49">
        <f>IF(B834="","",IF(O834&lt;&gt;"Completed",IF(T834&gt;0,"Deposit","—"),IF(U834&lt;=0.005,"Paid",IF(T834&gt;0,"Partial","Unpaid"))))</f>
        <v/>
      </c>
      <c r="W834" s="55">
        <f>IF(B834="","",IFERROR(1/(1/INDEX('STAFF &amp; TASKS'!$C$5:$C$24,MATCH(H834,'STAFF &amp; TASKS'!$A$5:$A$24,0))),PayRate))</f>
        <v/>
      </c>
      <c r="X834" s="55">
        <f>IF(B834="","",IF(OR(O834="Cancelled",O834="No-Show"),"",ROUND(R834*W834*(1+Burden),2)))</f>
        <v/>
      </c>
      <c r="Y834" s="55">
        <f>IF(B834="","",IF(OR(O834="Cancelled",O834="No-Show"),"",IF(N834&lt;&gt;"",N834,ROUND(R834*SupHr*IFERROR(INDEX('PRICING'!$G$7:$G$16,MATCH(F834,'PRICING'!$A$7:$A$16,0)),1),2))))</f>
        <v/>
      </c>
      <c r="Z834" s="98">
        <f>IF(B834="","",SUMIFS('MILEAGE'!$J$5:$J$1504,'MILEAGE'!$B$5:$B$1504,A834))</f>
        <v/>
      </c>
      <c r="AA834" s="55">
        <f>IF(B834="","",ROUND(Z834*MileRate,2))</f>
        <v/>
      </c>
      <c r="AB834" s="55">
        <f>IF(B834="","",SUMIFS('REVENUE'!$J$5:$J$1504,'REVENUE'!$B$5:$B$1504,A834))</f>
        <v/>
      </c>
      <c r="AC834" s="55">
        <f>IF(L834="","",IF(OR(O834="Cancelled",O834="No-Show"),"",L834-N(X834)-N(Y834)-AA834-AB834))</f>
        <v/>
      </c>
      <c r="AD834" s="99">
        <f>IF(OR(AC834="",N(L834)=0),"",AC834/L834)</f>
        <v/>
      </c>
      <c r="AE834" s="55">
        <f>IF(OR(AC834="",N(R834)=0),"",L834/R834)</f>
        <v/>
      </c>
      <c r="AF834" s="100">
        <f>IF(OR(N(K834)=0,N(J834)+N(Q834)=0),"",K834-IF(N(J834)&gt;0,J834,Q834))</f>
        <v/>
      </c>
      <c r="AG834" s="99">
        <f>IF(B834="","",IFERROR(AVERAGEIFS('QUALITY CONTROL'!$M$5:$M$304,'QUALITY CONTROL'!$B$5:$B$304,A834),""))</f>
        <v/>
      </c>
      <c r="AH834" s="51">
        <f>IF(B834="","",DATE(YEAR(B834),MONTH(B834),1))</f>
        <v/>
      </c>
      <c r="AI834" s="49">
        <f>IF(D834="","",IFERROR(INDEX('CUSTOMERS'!$E$5:$E$404,MATCH(D834,'CUSTOMERS'!$B$5:$B$404,0)),""))</f>
        <v/>
      </c>
      <c r="AJ834" s="49">
        <f>IF(B834="","",N(C834))</f>
        <v/>
      </c>
      <c r="AK834" s="49">
        <f>IF(OR(B834="",O834="Cancelled",O834="Rescheduled"),"",B834&amp;"|"&amp;(COUNTIFS('JOBS'!$B$5:$B$1504,B834,'JOBS'!$AJ$5:$AJ$1504,"&lt;"&amp;AJ834,'JOBS'!$O$5:$O$1504,"&lt;&gt;Cancelled",'JOBS'!$O$5:$O$1504,"&lt;&gt;Rescheduled")+COUNTIFS($B$5:B834,B834,$AJ$5:AJ834,AJ834,$O$5:O834,"&lt;&gt;Cancelled",$O$5:O834,"&lt;&gt;Rescheduled")))</f>
        <v/>
      </c>
      <c r="AL834" s="49">
        <f>IF(N(U834)&lt;=0.005,"",COUNTIFS('JOBS'!$U$5:$U$1504,"&gt;0.005",'JOBS'!$B$5:$B$1504,"&lt;"&amp;B834)+COUNTIFS($U$5:U834,"&gt;0.005",$B$5:B834,B834))</f>
        <v/>
      </c>
    </row>
    <row r="835">
      <c r="A835" s="46" t="inlineStr">
        <is>
          <t>J-0831</t>
        </is>
      </c>
      <c r="B835" s="47" t="n"/>
      <c r="C835" s="94" t="n"/>
      <c r="D835" s="38" t="n"/>
      <c r="E835" s="38" t="n"/>
      <c r="F835" s="38" t="n"/>
      <c r="G835" s="38" t="n"/>
      <c r="H835" s="38" t="n"/>
      <c r="I835" s="57" t="n"/>
      <c r="J835" s="95" t="n"/>
      <c r="K835" s="95" t="n"/>
      <c r="L835" s="48" t="n"/>
      <c r="M835" s="96" t="n"/>
      <c r="N835" s="48" t="n"/>
      <c r="O835" s="38" t="n"/>
      <c r="P835" s="38" t="n"/>
      <c r="Q835" s="97">
        <f>IF(OR(F835="",E835=""),"",IFERROR(IF(INDEX('PROPERTIES'!$F$5:$F$404,MATCH(E835,'PROPERTIES'!$B$5:$B$404,0))=0,"",ROUND((INDEX('PROPERTIES'!$F$5:$F$404,MATCH(E835,'PROPERTIES'!$B$5:$B$404,0))/INDEX('PRICING'!$C$7:$C$16,MATCH(F835,'PRICING'!$A$7:$A$16,0))+INDEX('PROPERTIES'!$G$5:$G$404,MATCH(E835,'PROPERTIES'!$B$5:$B$404,0))*INDEX('PRICING'!$D$7:$D$16,MATCH(F835,'PRICING'!$A$7:$A$16,0))/60+INDEX('PROPERTIES'!$H$5:$H$404,MATCH(E835,'PROPERTIES'!$B$5:$B$404,0))*INDEX('PRICING'!$E$7:$E$16,MATCH(F835,'PRICING'!$A$7:$A$16,0))/60+INDEX('PRICING'!$F$7:$F$16,MATCH(F835,'PRICING'!$A$7:$A$16,0))/60),2)),""))</f>
        <v/>
      </c>
      <c r="R835" s="97">
        <f>IF(B835="","",IF(N(K835)&gt;0,K835,IF(N(J835)&gt;0,J835,N(Q835))))</f>
        <v/>
      </c>
      <c r="S835" s="55">
        <f>IF(L835="","",ROUND(L835*(1+N(M835)),2))</f>
        <v/>
      </c>
      <c r="T835" s="55">
        <f>IF(B835="","",SUMIFS('REVENUE'!$C$5:$C$1504,'REVENUE'!$B$5:$B$1504,A835))</f>
        <v/>
      </c>
      <c r="U835" s="55">
        <f>IF(B835="","",IF(O835="Completed",MAX(0,N(S835)-T835),""))</f>
        <v/>
      </c>
      <c r="V835" s="49">
        <f>IF(B835="","",IF(O835&lt;&gt;"Completed",IF(T835&gt;0,"Deposit","—"),IF(U835&lt;=0.005,"Paid",IF(T835&gt;0,"Partial","Unpaid"))))</f>
        <v/>
      </c>
      <c r="W835" s="55">
        <f>IF(B835="","",IFERROR(1/(1/INDEX('STAFF &amp; TASKS'!$C$5:$C$24,MATCH(H835,'STAFF &amp; TASKS'!$A$5:$A$24,0))),PayRate))</f>
        <v/>
      </c>
      <c r="X835" s="55">
        <f>IF(B835="","",IF(OR(O835="Cancelled",O835="No-Show"),"",ROUND(R835*W835*(1+Burden),2)))</f>
        <v/>
      </c>
      <c r="Y835" s="55">
        <f>IF(B835="","",IF(OR(O835="Cancelled",O835="No-Show"),"",IF(N835&lt;&gt;"",N835,ROUND(R835*SupHr*IFERROR(INDEX('PRICING'!$G$7:$G$16,MATCH(F835,'PRICING'!$A$7:$A$16,0)),1),2))))</f>
        <v/>
      </c>
      <c r="Z835" s="98">
        <f>IF(B835="","",SUMIFS('MILEAGE'!$J$5:$J$1504,'MILEAGE'!$B$5:$B$1504,A835))</f>
        <v/>
      </c>
      <c r="AA835" s="55">
        <f>IF(B835="","",ROUND(Z835*MileRate,2))</f>
        <v/>
      </c>
      <c r="AB835" s="55">
        <f>IF(B835="","",SUMIFS('REVENUE'!$J$5:$J$1504,'REVENUE'!$B$5:$B$1504,A835))</f>
        <v/>
      </c>
      <c r="AC835" s="55">
        <f>IF(L835="","",IF(OR(O835="Cancelled",O835="No-Show"),"",L835-N(X835)-N(Y835)-AA835-AB835))</f>
        <v/>
      </c>
      <c r="AD835" s="99">
        <f>IF(OR(AC835="",N(L835)=0),"",AC835/L835)</f>
        <v/>
      </c>
      <c r="AE835" s="55">
        <f>IF(OR(AC835="",N(R835)=0),"",L835/R835)</f>
        <v/>
      </c>
      <c r="AF835" s="100">
        <f>IF(OR(N(K835)=0,N(J835)+N(Q835)=0),"",K835-IF(N(J835)&gt;0,J835,Q835))</f>
        <v/>
      </c>
      <c r="AG835" s="99">
        <f>IF(B835="","",IFERROR(AVERAGEIFS('QUALITY CONTROL'!$M$5:$M$304,'QUALITY CONTROL'!$B$5:$B$304,A835),""))</f>
        <v/>
      </c>
      <c r="AH835" s="51">
        <f>IF(B835="","",DATE(YEAR(B835),MONTH(B835),1))</f>
        <v/>
      </c>
      <c r="AI835" s="49">
        <f>IF(D835="","",IFERROR(INDEX('CUSTOMERS'!$E$5:$E$404,MATCH(D835,'CUSTOMERS'!$B$5:$B$404,0)),""))</f>
        <v/>
      </c>
      <c r="AJ835" s="49">
        <f>IF(B835="","",N(C835))</f>
        <v/>
      </c>
      <c r="AK835" s="49">
        <f>IF(OR(B835="",O835="Cancelled",O835="Rescheduled"),"",B835&amp;"|"&amp;(COUNTIFS('JOBS'!$B$5:$B$1504,B835,'JOBS'!$AJ$5:$AJ$1504,"&lt;"&amp;AJ835,'JOBS'!$O$5:$O$1504,"&lt;&gt;Cancelled",'JOBS'!$O$5:$O$1504,"&lt;&gt;Rescheduled")+COUNTIFS($B$5:B835,B835,$AJ$5:AJ835,AJ835,$O$5:O835,"&lt;&gt;Cancelled",$O$5:O835,"&lt;&gt;Rescheduled")))</f>
        <v/>
      </c>
      <c r="AL835" s="49">
        <f>IF(N(U835)&lt;=0.005,"",COUNTIFS('JOBS'!$U$5:$U$1504,"&gt;0.005",'JOBS'!$B$5:$B$1504,"&lt;"&amp;B835)+COUNTIFS($U$5:U835,"&gt;0.005",$B$5:B835,B835))</f>
        <v/>
      </c>
    </row>
    <row r="836">
      <c r="A836" s="46" t="inlineStr">
        <is>
          <t>J-0832</t>
        </is>
      </c>
      <c r="B836" s="47" t="n"/>
      <c r="C836" s="94" t="n"/>
      <c r="D836" s="38" t="n"/>
      <c r="E836" s="38" t="n"/>
      <c r="F836" s="38" t="n"/>
      <c r="G836" s="38" t="n"/>
      <c r="H836" s="38" t="n"/>
      <c r="I836" s="57" t="n"/>
      <c r="J836" s="95" t="n"/>
      <c r="K836" s="95" t="n"/>
      <c r="L836" s="48" t="n"/>
      <c r="M836" s="96" t="n"/>
      <c r="N836" s="48" t="n"/>
      <c r="O836" s="38" t="n"/>
      <c r="P836" s="38" t="n"/>
      <c r="Q836" s="97">
        <f>IF(OR(F836="",E836=""),"",IFERROR(IF(INDEX('PROPERTIES'!$F$5:$F$404,MATCH(E836,'PROPERTIES'!$B$5:$B$404,0))=0,"",ROUND((INDEX('PROPERTIES'!$F$5:$F$404,MATCH(E836,'PROPERTIES'!$B$5:$B$404,0))/INDEX('PRICING'!$C$7:$C$16,MATCH(F836,'PRICING'!$A$7:$A$16,0))+INDEX('PROPERTIES'!$G$5:$G$404,MATCH(E836,'PROPERTIES'!$B$5:$B$404,0))*INDEX('PRICING'!$D$7:$D$16,MATCH(F836,'PRICING'!$A$7:$A$16,0))/60+INDEX('PROPERTIES'!$H$5:$H$404,MATCH(E836,'PROPERTIES'!$B$5:$B$404,0))*INDEX('PRICING'!$E$7:$E$16,MATCH(F836,'PRICING'!$A$7:$A$16,0))/60+INDEX('PRICING'!$F$7:$F$16,MATCH(F836,'PRICING'!$A$7:$A$16,0))/60),2)),""))</f>
        <v/>
      </c>
      <c r="R836" s="97">
        <f>IF(B836="","",IF(N(K836)&gt;0,K836,IF(N(J836)&gt;0,J836,N(Q836))))</f>
        <v/>
      </c>
      <c r="S836" s="55">
        <f>IF(L836="","",ROUND(L836*(1+N(M836)),2))</f>
        <v/>
      </c>
      <c r="T836" s="55">
        <f>IF(B836="","",SUMIFS('REVENUE'!$C$5:$C$1504,'REVENUE'!$B$5:$B$1504,A836))</f>
        <v/>
      </c>
      <c r="U836" s="55">
        <f>IF(B836="","",IF(O836="Completed",MAX(0,N(S836)-T836),""))</f>
        <v/>
      </c>
      <c r="V836" s="49">
        <f>IF(B836="","",IF(O836&lt;&gt;"Completed",IF(T836&gt;0,"Deposit","—"),IF(U836&lt;=0.005,"Paid",IF(T836&gt;0,"Partial","Unpaid"))))</f>
        <v/>
      </c>
      <c r="W836" s="55">
        <f>IF(B836="","",IFERROR(1/(1/INDEX('STAFF &amp; TASKS'!$C$5:$C$24,MATCH(H836,'STAFF &amp; TASKS'!$A$5:$A$24,0))),PayRate))</f>
        <v/>
      </c>
      <c r="X836" s="55">
        <f>IF(B836="","",IF(OR(O836="Cancelled",O836="No-Show"),"",ROUND(R836*W836*(1+Burden),2)))</f>
        <v/>
      </c>
      <c r="Y836" s="55">
        <f>IF(B836="","",IF(OR(O836="Cancelled",O836="No-Show"),"",IF(N836&lt;&gt;"",N836,ROUND(R836*SupHr*IFERROR(INDEX('PRICING'!$G$7:$G$16,MATCH(F836,'PRICING'!$A$7:$A$16,0)),1),2))))</f>
        <v/>
      </c>
      <c r="Z836" s="98">
        <f>IF(B836="","",SUMIFS('MILEAGE'!$J$5:$J$1504,'MILEAGE'!$B$5:$B$1504,A836))</f>
        <v/>
      </c>
      <c r="AA836" s="55">
        <f>IF(B836="","",ROUND(Z836*MileRate,2))</f>
        <v/>
      </c>
      <c r="AB836" s="55">
        <f>IF(B836="","",SUMIFS('REVENUE'!$J$5:$J$1504,'REVENUE'!$B$5:$B$1504,A836))</f>
        <v/>
      </c>
      <c r="AC836" s="55">
        <f>IF(L836="","",IF(OR(O836="Cancelled",O836="No-Show"),"",L836-N(X836)-N(Y836)-AA836-AB836))</f>
        <v/>
      </c>
      <c r="AD836" s="99">
        <f>IF(OR(AC836="",N(L836)=0),"",AC836/L836)</f>
        <v/>
      </c>
      <c r="AE836" s="55">
        <f>IF(OR(AC836="",N(R836)=0),"",L836/R836)</f>
        <v/>
      </c>
      <c r="AF836" s="100">
        <f>IF(OR(N(K836)=0,N(J836)+N(Q836)=0),"",K836-IF(N(J836)&gt;0,J836,Q836))</f>
        <v/>
      </c>
      <c r="AG836" s="99">
        <f>IF(B836="","",IFERROR(AVERAGEIFS('QUALITY CONTROL'!$M$5:$M$304,'QUALITY CONTROL'!$B$5:$B$304,A836),""))</f>
        <v/>
      </c>
      <c r="AH836" s="51">
        <f>IF(B836="","",DATE(YEAR(B836),MONTH(B836),1))</f>
        <v/>
      </c>
      <c r="AI836" s="49">
        <f>IF(D836="","",IFERROR(INDEX('CUSTOMERS'!$E$5:$E$404,MATCH(D836,'CUSTOMERS'!$B$5:$B$404,0)),""))</f>
        <v/>
      </c>
      <c r="AJ836" s="49">
        <f>IF(B836="","",N(C836))</f>
        <v/>
      </c>
      <c r="AK836" s="49">
        <f>IF(OR(B836="",O836="Cancelled",O836="Rescheduled"),"",B836&amp;"|"&amp;(COUNTIFS('JOBS'!$B$5:$B$1504,B836,'JOBS'!$AJ$5:$AJ$1504,"&lt;"&amp;AJ836,'JOBS'!$O$5:$O$1504,"&lt;&gt;Cancelled",'JOBS'!$O$5:$O$1504,"&lt;&gt;Rescheduled")+COUNTIFS($B$5:B836,B836,$AJ$5:AJ836,AJ836,$O$5:O836,"&lt;&gt;Cancelled",$O$5:O836,"&lt;&gt;Rescheduled")))</f>
        <v/>
      </c>
      <c r="AL836" s="49">
        <f>IF(N(U836)&lt;=0.005,"",COUNTIFS('JOBS'!$U$5:$U$1504,"&gt;0.005",'JOBS'!$B$5:$B$1504,"&lt;"&amp;B836)+COUNTIFS($U$5:U836,"&gt;0.005",$B$5:B836,B836))</f>
        <v/>
      </c>
    </row>
    <row r="837">
      <c r="A837" s="46" t="inlineStr">
        <is>
          <t>J-0833</t>
        </is>
      </c>
      <c r="B837" s="47" t="n"/>
      <c r="C837" s="94" t="n"/>
      <c r="D837" s="38" t="n"/>
      <c r="E837" s="38" t="n"/>
      <c r="F837" s="38" t="n"/>
      <c r="G837" s="38" t="n"/>
      <c r="H837" s="38" t="n"/>
      <c r="I837" s="57" t="n"/>
      <c r="J837" s="95" t="n"/>
      <c r="K837" s="95" t="n"/>
      <c r="L837" s="48" t="n"/>
      <c r="M837" s="96" t="n"/>
      <c r="N837" s="48" t="n"/>
      <c r="O837" s="38" t="n"/>
      <c r="P837" s="38" t="n"/>
      <c r="Q837" s="97">
        <f>IF(OR(F837="",E837=""),"",IFERROR(IF(INDEX('PROPERTIES'!$F$5:$F$404,MATCH(E837,'PROPERTIES'!$B$5:$B$404,0))=0,"",ROUND((INDEX('PROPERTIES'!$F$5:$F$404,MATCH(E837,'PROPERTIES'!$B$5:$B$404,0))/INDEX('PRICING'!$C$7:$C$16,MATCH(F837,'PRICING'!$A$7:$A$16,0))+INDEX('PROPERTIES'!$G$5:$G$404,MATCH(E837,'PROPERTIES'!$B$5:$B$404,0))*INDEX('PRICING'!$D$7:$D$16,MATCH(F837,'PRICING'!$A$7:$A$16,0))/60+INDEX('PROPERTIES'!$H$5:$H$404,MATCH(E837,'PROPERTIES'!$B$5:$B$404,0))*INDEX('PRICING'!$E$7:$E$16,MATCH(F837,'PRICING'!$A$7:$A$16,0))/60+INDEX('PRICING'!$F$7:$F$16,MATCH(F837,'PRICING'!$A$7:$A$16,0))/60),2)),""))</f>
        <v/>
      </c>
      <c r="R837" s="97">
        <f>IF(B837="","",IF(N(K837)&gt;0,K837,IF(N(J837)&gt;0,J837,N(Q837))))</f>
        <v/>
      </c>
      <c r="S837" s="55">
        <f>IF(L837="","",ROUND(L837*(1+N(M837)),2))</f>
        <v/>
      </c>
      <c r="T837" s="55">
        <f>IF(B837="","",SUMIFS('REVENUE'!$C$5:$C$1504,'REVENUE'!$B$5:$B$1504,A837))</f>
        <v/>
      </c>
      <c r="U837" s="55">
        <f>IF(B837="","",IF(O837="Completed",MAX(0,N(S837)-T837),""))</f>
        <v/>
      </c>
      <c r="V837" s="49">
        <f>IF(B837="","",IF(O837&lt;&gt;"Completed",IF(T837&gt;0,"Deposit","—"),IF(U837&lt;=0.005,"Paid",IF(T837&gt;0,"Partial","Unpaid"))))</f>
        <v/>
      </c>
      <c r="W837" s="55">
        <f>IF(B837="","",IFERROR(1/(1/INDEX('STAFF &amp; TASKS'!$C$5:$C$24,MATCH(H837,'STAFF &amp; TASKS'!$A$5:$A$24,0))),PayRate))</f>
        <v/>
      </c>
      <c r="X837" s="55">
        <f>IF(B837="","",IF(OR(O837="Cancelled",O837="No-Show"),"",ROUND(R837*W837*(1+Burden),2)))</f>
        <v/>
      </c>
      <c r="Y837" s="55">
        <f>IF(B837="","",IF(OR(O837="Cancelled",O837="No-Show"),"",IF(N837&lt;&gt;"",N837,ROUND(R837*SupHr*IFERROR(INDEX('PRICING'!$G$7:$G$16,MATCH(F837,'PRICING'!$A$7:$A$16,0)),1),2))))</f>
        <v/>
      </c>
      <c r="Z837" s="98">
        <f>IF(B837="","",SUMIFS('MILEAGE'!$J$5:$J$1504,'MILEAGE'!$B$5:$B$1504,A837))</f>
        <v/>
      </c>
      <c r="AA837" s="55">
        <f>IF(B837="","",ROUND(Z837*MileRate,2))</f>
        <v/>
      </c>
      <c r="AB837" s="55">
        <f>IF(B837="","",SUMIFS('REVENUE'!$J$5:$J$1504,'REVENUE'!$B$5:$B$1504,A837))</f>
        <v/>
      </c>
      <c r="AC837" s="55">
        <f>IF(L837="","",IF(OR(O837="Cancelled",O837="No-Show"),"",L837-N(X837)-N(Y837)-AA837-AB837))</f>
        <v/>
      </c>
      <c r="AD837" s="99">
        <f>IF(OR(AC837="",N(L837)=0),"",AC837/L837)</f>
        <v/>
      </c>
      <c r="AE837" s="55">
        <f>IF(OR(AC837="",N(R837)=0),"",L837/R837)</f>
        <v/>
      </c>
      <c r="AF837" s="100">
        <f>IF(OR(N(K837)=0,N(J837)+N(Q837)=0),"",K837-IF(N(J837)&gt;0,J837,Q837))</f>
        <v/>
      </c>
      <c r="AG837" s="99">
        <f>IF(B837="","",IFERROR(AVERAGEIFS('QUALITY CONTROL'!$M$5:$M$304,'QUALITY CONTROL'!$B$5:$B$304,A837),""))</f>
        <v/>
      </c>
      <c r="AH837" s="51">
        <f>IF(B837="","",DATE(YEAR(B837),MONTH(B837),1))</f>
        <v/>
      </c>
      <c r="AI837" s="49">
        <f>IF(D837="","",IFERROR(INDEX('CUSTOMERS'!$E$5:$E$404,MATCH(D837,'CUSTOMERS'!$B$5:$B$404,0)),""))</f>
        <v/>
      </c>
      <c r="AJ837" s="49">
        <f>IF(B837="","",N(C837))</f>
        <v/>
      </c>
      <c r="AK837" s="49">
        <f>IF(OR(B837="",O837="Cancelled",O837="Rescheduled"),"",B837&amp;"|"&amp;(COUNTIFS('JOBS'!$B$5:$B$1504,B837,'JOBS'!$AJ$5:$AJ$1504,"&lt;"&amp;AJ837,'JOBS'!$O$5:$O$1504,"&lt;&gt;Cancelled",'JOBS'!$O$5:$O$1504,"&lt;&gt;Rescheduled")+COUNTIFS($B$5:B837,B837,$AJ$5:AJ837,AJ837,$O$5:O837,"&lt;&gt;Cancelled",$O$5:O837,"&lt;&gt;Rescheduled")))</f>
        <v/>
      </c>
      <c r="AL837" s="49">
        <f>IF(N(U837)&lt;=0.005,"",COUNTIFS('JOBS'!$U$5:$U$1504,"&gt;0.005",'JOBS'!$B$5:$B$1504,"&lt;"&amp;B837)+COUNTIFS($U$5:U837,"&gt;0.005",$B$5:B837,B837))</f>
        <v/>
      </c>
    </row>
    <row r="838">
      <c r="A838" s="46" t="inlineStr">
        <is>
          <t>J-0834</t>
        </is>
      </c>
      <c r="B838" s="47" t="n"/>
      <c r="C838" s="94" t="n"/>
      <c r="D838" s="38" t="n"/>
      <c r="E838" s="38" t="n"/>
      <c r="F838" s="38" t="n"/>
      <c r="G838" s="38" t="n"/>
      <c r="H838" s="38" t="n"/>
      <c r="I838" s="57" t="n"/>
      <c r="J838" s="95" t="n"/>
      <c r="K838" s="95" t="n"/>
      <c r="L838" s="48" t="n"/>
      <c r="M838" s="96" t="n"/>
      <c r="N838" s="48" t="n"/>
      <c r="O838" s="38" t="n"/>
      <c r="P838" s="38" t="n"/>
      <c r="Q838" s="97">
        <f>IF(OR(F838="",E838=""),"",IFERROR(IF(INDEX('PROPERTIES'!$F$5:$F$404,MATCH(E838,'PROPERTIES'!$B$5:$B$404,0))=0,"",ROUND((INDEX('PROPERTIES'!$F$5:$F$404,MATCH(E838,'PROPERTIES'!$B$5:$B$404,0))/INDEX('PRICING'!$C$7:$C$16,MATCH(F838,'PRICING'!$A$7:$A$16,0))+INDEX('PROPERTIES'!$G$5:$G$404,MATCH(E838,'PROPERTIES'!$B$5:$B$404,0))*INDEX('PRICING'!$D$7:$D$16,MATCH(F838,'PRICING'!$A$7:$A$16,0))/60+INDEX('PROPERTIES'!$H$5:$H$404,MATCH(E838,'PROPERTIES'!$B$5:$B$404,0))*INDEX('PRICING'!$E$7:$E$16,MATCH(F838,'PRICING'!$A$7:$A$16,0))/60+INDEX('PRICING'!$F$7:$F$16,MATCH(F838,'PRICING'!$A$7:$A$16,0))/60),2)),""))</f>
        <v/>
      </c>
      <c r="R838" s="97">
        <f>IF(B838="","",IF(N(K838)&gt;0,K838,IF(N(J838)&gt;0,J838,N(Q838))))</f>
        <v/>
      </c>
      <c r="S838" s="55">
        <f>IF(L838="","",ROUND(L838*(1+N(M838)),2))</f>
        <v/>
      </c>
      <c r="T838" s="55">
        <f>IF(B838="","",SUMIFS('REVENUE'!$C$5:$C$1504,'REVENUE'!$B$5:$B$1504,A838))</f>
        <v/>
      </c>
      <c r="U838" s="55">
        <f>IF(B838="","",IF(O838="Completed",MAX(0,N(S838)-T838),""))</f>
        <v/>
      </c>
      <c r="V838" s="49">
        <f>IF(B838="","",IF(O838&lt;&gt;"Completed",IF(T838&gt;0,"Deposit","—"),IF(U838&lt;=0.005,"Paid",IF(T838&gt;0,"Partial","Unpaid"))))</f>
        <v/>
      </c>
      <c r="W838" s="55">
        <f>IF(B838="","",IFERROR(1/(1/INDEX('STAFF &amp; TASKS'!$C$5:$C$24,MATCH(H838,'STAFF &amp; TASKS'!$A$5:$A$24,0))),PayRate))</f>
        <v/>
      </c>
      <c r="X838" s="55">
        <f>IF(B838="","",IF(OR(O838="Cancelled",O838="No-Show"),"",ROUND(R838*W838*(1+Burden),2)))</f>
        <v/>
      </c>
      <c r="Y838" s="55">
        <f>IF(B838="","",IF(OR(O838="Cancelled",O838="No-Show"),"",IF(N838&lt;&gt;"",N838,ROUND(R838*SupHr*IFERROR(INDEX('PRICING'!$G$7:$G$16,MATCH(F838,'PRICING'!$A$7:$A$16,0)),1),2))))</f>
        <v/>
      </c>
      <c r="Z838" s="98">
        <f>IF(B838="","",SUMIFS('MILEAGE'!$J$5:$J$1504,'MILEAGE'!$B$5:$B$1504,A838))</f>
        <v/>
      </c>
      <c r="AA838" s="55">
        <f>IF(B838="","",ROUND(Z838*MileRate,2))</f>
        <v/>
      </c>
      <c r="AB838" s="55">
        <f>IF(B838="","",SUMIFS('REVENUE'!$J$5:$J$1504,'REVENUE'!$B$5:$B$1504,A838))</f>
        <v/>
      </c>
      <c r="AC838" s="55">
        <f>IF(L838="","",IF(OR(O838="Cancelled",O838="No-Show"),"",L838-N(X838)-N(Y838)-AA838-AB838))</f>
        <v/>
      </c>
      <c r="AD838" s="99">
        <f>IF(OR(AC838="",N(L838)=0),"",AC838/L838)</f>
        <v/>
      </c>
      <c r="AE838" s="55">
        <f>IF(OR(AC838="",N(R838)=0),"",L838/R838)</f>
        <v/>
      </c>
      <c r="AF838" s="100">
        <f>IF(OR(N(K838)=0,N(J838)+N(Q838)=0),"",K838-IF(N(J838)&gt;0,J838,Q838))</f>
        <v/>
      </c>
      <c r="AG838" s="99">
        <f>IF(B838="","",IFERROR(AVERAGEIFS('QUALITY CONTROL'!$M$5:$M$304,'QUALITY CONTROL'!$B$5:$B$304,A838),""))</f>
        <v/>
      </c>
      <c r="AH838" s="51">
        <f>IF(B838="","",DATE(YEAR(B838),MONTH(B838),1))</f>
        <v/>
      </c>
      <c r="AI838" s="49">
        <f>IF(D838="","",IFERROR(INDEX('CUSTOMERS'!$E$5:$E$404,MATCH(D838,'CUSTOMERS'!$B$5:$B$404,0)),""))</f>
        <v/>
      </c>
      <c r="AJ838" s="49">
        <f>IF(B838="","",N(C838))</f>
        <v/>
      </c>
      <c r="AK838" s="49">
        <f>IF(OR(B838="",O838="Cancelled",O838="Rescheduled"),"",B838&amp;"|"&amp;(COUNTIFS('JOBS'!$B$5:$B$1504,B838,'JOBS'!$AJ$5:$AJ$1504,"&lt;"&amp;AJ838,'JOBS'!$O$5:$O$1504,"&lt;&gt;Cancelled",'JOBS'!$O$5:$O$1504,"&lt;&gt;Rescheduled")+COUNTIFS($B$5:B838,B838,$AJ$5:AJ838,AJ838,$O$5:O838,"&lt;&gt;Cancelled",$O$5:O838,"&lt;&gt;Rescheduled")))</f>
        <v/>
      </c>
      <c r="AL838" s="49">
        <f>IF(N(U838)&lt;=0.005,"",COUNTIFS('JOBS'!$U$5:$U$1504,"&gt;0.005",'JOBS'!$B$5:$B$1504,"&lt;"&amp;B838)+COUNTIFS($U$5:U838,"&gt;0.005",$B$5:B838,B838))</f>
        <v/>
      </c>
    </row>
    <row r="839">
      <c r="A839" s="46" t="inlineStr">
        <is>
          <t>J-0835</t>
        </is>
      </c>
      <c r="B839" s="47" t="n"/>
      <c r="C839" s="94" t="n"/>
      <c r="D839" s="38" t="n"/>
      <c r="E839" s="38" t="n"/>
      <c r="F839" s="38" t="n"/>
      <c r="G839" s="38" t="n"/>
      <c r="H839" s="38" t="n"/>
      <c r="I839" s="57" t="n"/>
      <c r="J839" s="95" t="n"/>
      <c r="K839" s="95" t="n"/>
      <c r="L839" s="48" t="n"/>
      <c r="M839" s="96" t="n"/>
      <c r="N839" s="48" t="n"/>
      <c r="O839" s="38" t="n"/>
      <c r="P839" s="38" t="n"/>
      <c r="Q839" s="97">
        <f>IF(OR(F839="",E839=""),"",IFERROR(IF(INDEX('PROPERTIES'!$F$5:$F$404,MATCH(E839,'PROPERTIES'!$B$5:$B$404,0))=0,"",ROUND((INDEX('PROPERTIES'!$F$5:$F$404,MATCH(E839,'PROPERTIES'!$B$5:$B$404,0))/INDEX('PRICING'!$C$7:$C$16,MATCH(F839,'PRICING'!$A$7:$A$16,0))+INDEX('PROPERTIES'!$G$5:$G$404,MATCH(E839,'PROPERTIES'!$B$5:$B$404,0))*INDEX('PRICING'!$D$7:$D$16,MATCH(F839,'PRICING'!$A$7:$A$16,0))/60+INDEX('PROPERTIES'!$H$5:$H$404,MATCH(E839,'PROPERTIES'!$B$5:$B$404,0))*INDEX('PRICING'!$E$7:$E$16,MATCH(F839,'PRICING'!$A$7:$A$16,0))/60+INDEX('PRICING'!$F$7:$F$16,MATCH(F839,'PRICING'!$A$7:$A$16,0))/60),2)),""))</f>
        <v/>
      </c>
      <c r="R839" s="97">
        <f>IF(B839="","",IF(N(K839)&gt;0,K839,IF(N(J839)&gt;0,J839,N(Q839))))</f>
        <v/>
      </c>
      <c r="S839" s="55">
        <f>IF(L839="","",ROUND(L839*(1+N(M839)),2))</f>
        <v/>
      </c>
      <c r="T839" s="55">
        <f>IF(B839="","",SUMIFS('REVENUE'!$C$5:$C$1504,'REVENUE'!$B$5:$B$1504,A839))</f>
        <v/>
      </c>
      <c r="U839" s="55">
        <f>IF(B839="","",IF(O839="Completed",MAX(0,N(S839)-T839),""))</f>
        <v/>
      </c>
      <c r="V839" s="49">
        <f>IF(B839="","",IF(O839&lt;&gt;"Completed",IF(T839&gt;0,"Deposit","—"),IF(U839&lt;=0.005,"Paid",IF(T839&gt;0,"Partial","Unpaid"))))</f>
        <v/>
      </c>
      <c r="W839" s="55">
        <f>IF(B839="","",IFERROR(1/(1/INDEX('STAFF &amp; TASKS'!$C$5:$C$24,MATCH(H839,'STAFF &amp; TASKS'!$A$5:$A$24,0))),PayRate))</f>
        <v/>
      </c>
      <c r="X839" s="55">
        <f>IF(B839="","",IF(OR(O839="Cancelled",O839="No-Show"),"",ROUND(R839*W839*(1+Burden),2)))</f>
        <v/>
      </c>
      <c r="Y839" s="55">
        <f>IF(B839="","",IF(OR(O839="Cancelled",O839="No-Show"),"",IF(N839&lt;&gt;"",N839,ROUND(R839*SupHr*IFERROR(INDEX('PRICING'!$G$7:$G$16,MATCH(F839,'PRICING'!$A$7:$A$16,0)),1),2))))</f>
        <v/>
      </c>
      <c r="Z839" s="98">
        <f>IF(B839="","",SUMIFS('MILEAGE'!$J$5:$J$1504,'MILEAGE'!$B$5:$B$1504,A839))</f>
        <v/>
      </c>
      <c r="AA839" s="55">
        <f>IF(B839="","",ROUND(Z839*MileRate,2))</f>
        <v/>
      </c>
      <c r="AB839" s="55">
        <f>IF(B839="","",SUMIFS('REVENUE'!$J$5:$J$1504,'REVENUE'!$B$5:$B$1504,A839))</f>
        <v/>
      </c>
      <c r="AC839" s="55">
        <f>IF(L839="","",IF(OR(O839="Cancelled",O839="No-Show"),"",L839-N(X839)-N(Y839)-AA839-AB839))</f>
        <v/>
      </c>
      <c r="AD839" s="99">
        <f>IF(OR(AC839="",N(L839)=0),"",AC839/L839)</f>
        <v/>
      </c>
      <c r="AE839" s="55">
        <f>IF(OR(AC839="",N(R839)=0),"",L839/R839)</f>
        <v/>
      </c>
      <c r="AF839" s="100">
        <f>IF(OR(N(K839)=0,N(J839)+N(Q839)=0),"",K839-IF(N(J839)&gt;0,J839,Q839))</f>
        <v/>
      </c>
      <c r="AG839" s="99">
        <f>IF(B839="","",IFERROR(AVERAGEIFS('QUALITY CONTROL'!$M$5:$M$304,'QUALITY CONTROL'!$B$5:$B$304,A839),""))</f>
        <v/>
      </c>
      <c r="AH839" s="51">
        <f>IF(B839="","",DATE(YEAR(B839),MONTH(B839),1))</f>
        <v/>
      </c>
      <c r="AI839" s="49">
        <f>IF(D839="","",IFERROR(INDEX('CUSTOMERS'!$E$5:$E$404,MATCH(D839,'CUSTOMERS'!$B$5:$B$404,0)),""))</f>
        <v/>
      </c>
      <c r="AJ839" s="49">
        <f>IF(B839="","",N(C839))</f>
        <v/>
      </c>
      <c r="AK839" s="49">
        <f>IF(OR(B839="",O839="Cancelled",O839="Rescheduled"),"",B839&amp;"|"&amp;(COUNTIFS('JOBS'!$B$5:$B$1504,B839,'JOBS'!$AJ$5:$AJ$1504,"&lt;"&amp;AJ839,'JOBS'!$O$5:$O$1504,"&lt;&gt;Cancelled",'JOBS'!$O$5:$O$1504,"&lt;&gt;Rescheduled")+COUNTIFS($B$5:B839,B839,$AJ$5:AJ839,AJ839,$O$5:O839,"&lt;&gt;Cancelled",$O$5:O839,"&lt;&gt;Rescheduled")))</f>
        <v/>
      </c>
      <c r="AL839" s="49">
        <f>IF(N(U839)&lt;=0.005,"",COUNTIFS('JOBS'!$U$5:$U$1504,"&gt;0.005",'JOBS'!$B$5:$B$1504,"&lt;"&amp;B839)+COUNTIFS($U$5:U839,"&gt;0.005",$B$5:B839,B839))</f>
        <v/>
      </c>
    </row>
    <row r="840">
      <c r="A840" s="46" t="inlineStr">
        <is>
          <t>J-0836</t>
        </is>
      </c>
      <c r="B840" s="47" t="n"/>
      <c r="C840" s="94" t="n"/>
      <c r="D840" s="38" t="n"/>
      <c r="E840" s="38" t="n"/>
      <c r="F840" s="38" t="n"/>
      <c r="G840" s="38" t="n"/>
      <c r="H840" s="38" t="n"/>
      <c r="I840" s="57" t="n"/>
      <c r="J840" s="95" t="n"/>
      <c r="K840" s="95" t="n"/>
      <c r="L840" s="48" t="n"/>
      <c r="M840" s="96" t="n"/>
      <c r="N840" s="48" t="n"/>
      <c r="O840" s="38" t="n"/>
      <c r="P840" s="38" t="n"/>
      <c r="Q840" s="97">
        <f>IF(OR(F840="",E840=""),"",IFERROR(IF(INDEX('PROPERTIES'!$F$5:$F$404,MATCH(E840,'PROPERTIES'!$B$5:$B$404,0))=0,"",ROUND((INDEX('PROPERTIES'!$F$5:$F$404,MATCH(E840,'PROPERTIES'!$B$5:$B$404,0))/INDEX('PRICING'!$C$7:$C$16,MATCH(F840,'PRICING'!$A$7:$A$16,0))+INDEX('PROPERTIES'!$G$5:$G$404,MATCH(E840,'PROPERTIES'!$B$5:$B$404,0))*INDEX('PRICING'!$D$7:$D$16,MATCH(F840,'PRICING'!$A$7:$A$16,0))/60+INDEX('PROPERTIES'!$H$5:$H$404,MATCH(E840,'PROPERTIES'!$B$5:$B$404,0))*INDEX('PRICING'!$E$7:$E$16,MATCH(F840,'PRICING'!$A$7:$A$16,0))/60+INDEX('PRICING'!$F$7:$F$16,MATCH(F840,'PRICING'!$A$7:$A$16,0))/60),2)),""))</f>
        <v/>
      </c>
      <c r="R840" s="97">
        <f>IF(B840="","",IF(N(K840)&gt;0,K840,IF(N(J840)&gt;0,J840,N(Q840))))</f>
        <v/>
      </c>
      <c r="S840" s="55">
        <f>IF(L840="","",ROUND(L840*(1+N(M840)),2))</f>
        <v/>
      </c>
      <c r="T840" s="55">
        <f>IF(B840="","",SUMIFS('REVENUE'!$C$5:$C$1504,'REVENUE'!$B$5:$B$1504,A840))</f>
        <v/>
      </c>
      <c r="U840" s="55">
        <f>IF(B840="","",IF(O840="Completed",MAX(0,N(S840)-T840),""))</f>
        <v/>
      </c>
      <c r="V840" s="49">
        <f>IF(B840="","",IF(O840&lt;&gt;"Completed",IF(T840&gt;0,"Deposit","—"),IF(U840&lt;=0.005,"Paid",IF(T840&gt;0,"Partial","Unpaid"))))</f>
        <v/>
      </c>
      <c r="W840" s="55">
        <f>IF(B840="","",IFERROR(1/(1/INDEX('STAFF &amp; TASKS'!$C$5:$C$24,MATCH(H840,'STAFF &amp; TASKS'!$A$5:$A$24,0))),PayRate))</f>
        <v/>
      </c>
      <c r="X840" s="55">
        <f>IF(B840="","",IF(OR(O840="Cancelled",O840="No-Show"),"",ROUND(R840*W840*(1+Burden),2)))</f>
        <v/>
      </c>
      <c r="Y840" s="55">
        <f>IF(B840="","",IF(OR(O840="Cancelled",O840="No-Show"),"",IF(N840&lt;&gt;"",N840,ROUND(R840*SupHr*IFERROR(INDEX('PRICING'!$G$7:$G$16,MATCH(F840,'PRICING'!$A$7:$A$16,0)),1),2))))</f>
        <v/>
      </c>
      <c r="Z840" s="98">
        <f>IF(B840="","",SUMIFS('MILEAGE'!$J$5:$J$1504,'MILEAGE'!$B$5:$B$1504,A840))</f>
        <v/>
      </c>
      <c r="AA840" s="55">
        <f>IF(B840="","",ROUND(Z840*MileRate,2))</f>
        <v/>
      </c>
      <c r="AB840" s="55">
        <f>IF(B840="","",SUMIFS('REVENUE'!$J$5:$J$1504,'REVENUE'!$B$5:$B$1504,A840))</f>
        <v/>
      </c>
      <c r="AC840" s="55">
        <f>IF(L840="","",IF(OR(O840="Cancelled",O840="No-Show"),"",L840-N(X840)-N(Y840)-AA840-AB840))</f>
        <v/>
      </c>
      <c r="AD840" s="99">
        <f>IF(OR(AC840="",N(L840)=0),"",AC840/L840)</f>
        <v/>
      </c>
      <c r="AE840" s="55">
        <f>IF(OR(AC840="",N(R840)=0),"",L840/R840)</f>
        <v/>
      </c>
      <c r="AF840" s="100">
        <f>IF(OR(N(K840)=0,N(J840)+N(Q840)=0),"",K840-IF(N(J840)&gt;0,J840,Q840))</f>
        <v/>
      </c>
      <c r="AG840" s="99">
        <f>IF(B840="","",IFERROR(AVERAGEIFS('QUALITY CONTROL'!$M$5:$M$304,'QUALITY CONTROL'!$B$5:$B$304,A840),""))</f>
        <v/>
      </c>
      <c r="AH840" s="51">
        <f>IF(B840="","",DATE(YEAR(B840),MONTH(B840),1))</f>
        <v/>
      </c>
      <c r="AI840" s="49">
        <f>IF(D840="","",IFERROR(INDEX('CUSTOMERS'!$E$5:$E$404,MATCH(D840,'CUSTOMERS'!$B$5:$B$404,0)),""))</f>
        <v/>
      </c>
      <c r="AJ840" s="49">
        <f>IF(B840="","",N(C840))</f>
        <v/>
      </c>
      <c r="AK840" s="49">
        <f>IF(OR(B840="",O840="Cancelled",O840="Rescheduled"),"",B840&amp;"|"&amp;(COUNTIFS('JOBS'!$B$5:$B$1504,B840,'JOBS'!$AJ$5:$AJ$1504,"&lt;"&amp;AJ840,'JOBS'!$O$5:$O$1504,"&lt;&gt;Cancelled",'JOBS'!$O$5:$O$1504,"&lt;&gt;Rescheduled")+COUNTIFS($B$5:B840,B840,$AJ$5:AJ840,AJ840,$O$5:O840,"&lt;&gt;Cancelled",$O$5:O840,"&lt;&gt;Rescheduled")))</f>
        <v/>
      </c>
      <c r="AL840" s="49">
        <f>IF(N(U840)&lt;=0.005,"",COUNTIFS('JOBS'!$U$5:$U$1504,"&gt;0.005",'JOBS'!$B$5:$B$1504,"&lt;"&amp;B840)+COUNTIFS($U$5:U840,"&gt;0.005",$B$5:B840,B840))</f>
        <v/>
      </c>
    </row>
    <row r="841">
      <c r="A841" s="46" t="inlineStr">
        <is>
          <t>J-0837</t>
        </is>
      </c>
      <c r="B841" s="47" t="n"/>
      <c r="C841" s="94" t="n"/>
      <c r="D841" s="38" t="n"/>
      <c r="E841" s="38" t="n"/>
      <c r="F841" s="38" t="n"/>
      <c r="G841" s="38" t="n"/>
      <c r="H841" s="38" t="n"/>
      <c r="I841" s="57" t="n"/>
      <c r="J841" s="95" t="n"/>
      <c r="K841" s="95" t="n"/>
      <c r="L841" s="48" t="n"/>
      <c r="M841" s="96" t="n"/>
      <c r="N841" s="48" t="n"/>
      <c r="O841" s="38" t="n"/>
      <c r="P841" s="38" t="n"/>
      <c r="Q841" s="97">
        <f>IF(OR(F841="",E841=""),"",IFERROR(IF(INDEX('PROPERTIES'!$F$5:$F$404,MATCH(E841,'PROPERTIES'!$B$5:$B$404,0))=0,"",ROUND((INDEX('PROPERTIES'!$F$5:$F$404,MATCH(E841,'PROPERTIES'!$B$5:$B$404,0))/INDEX('PRICING'!$C$7:$C$16,MATCH(F841,'PRICING'!$A$7:$A$16,0))+INDEX('PROPERTIES'!$G$5:$G$404,MATCH(E841,'PROPERTIES'!$B$5:$B$404,0))*INDEX('PRICING'!$D$7:$D$16,MATCH(F841,'PRICING'!$A$7:$A$16,0))/60+INDEX('PROPERTIES'!$H$5:$H$404,MATCH(E841,'PROPERTIES'!$B$5:$B$404,0))*INDEX('PRICING'!$E$7:$E$16,MATCH(F841,'PRICING'!$A$7:$A$16,0))/60+INDEX('PRICING'!$F$7:$F$16,MATCH(F841,'PRICING'!$A$7:$A$16,0))/60),2)),""))</f>
        <v/>
      </c>
      <c r="R841" s="97">
        <f>IF(B841="","",IF(N(K841)&gt;0,K841,IF(N(J841)&gt;0,J841,N(Q841))))</f>
        <v/>
      </c>
      <c r="S841" s="55">
        <f>IF(L841="","",ROUND(L841*(1+N(M841)),2))</f>
        <v/>
      </c>
      <c r="T841" s="55">
        <f>IF(B841="","",SUMIFS('REVENUE'!$C$5:$C$1504,'REVENUE'!$B$5:$B$1504,A841))</f>
        <v/>
      </c>
      <c r="U841" s="55">
        <f>IF(B841="","",IF(O841="Completed",MAX(0,N(S841)-T841),""))</f>
        <v/>
      </c>
      <c r="V841" s="49">
        <f>IF(B841="","",IF(O841&lt;&gt;"Completed",IF(T841&gt;0,"Deposit","—"),IF(U841&lt;=0.005,"Paid",IF(T841&gt;0,"Partial","Unpaid"))))</f>
        <v/>
      </c>
      <c r="W841" s="55">
        <f>IF(B841="","",IFERROR(1/(1/INDEX('STAFF &amp; TASKS'!$C$5:$C$24,MATCH(H841,'STAFF &amp; TASKS'!$A$5:$A$24,0))),PayRate))</f>
        <v/>
      </c>
      <c r="X841" s="55">
        <f>IF(B841="","",IF(OR(O841="Cancelled",O841="No-Show"),"",ROUND(R841*W841*(1+Burden),2)))</f>
        <v/>
      </c>
      <c r="Y841" s="55">
        <f>IF(B841="","",IF(OR(O841="Cancelled",O841="No-Show"),"",IF(N841&lt;&gt;"",N841,ROUND(R841*SupHr*IFERROR(INDEX('PRICING'!$G$7:$G$16,MATCH(F841,'PRICING'!$A$7:$A$16,0)),1),2))))</f>
        <v/>
      </c>
      <c r="Z841" s="98">
        <f>IF(B841="","",SUMIFS('MILEAGE'!$J$5:$J$1504,'MILEAGE'!$B$5:$B$1504,A841))</f>
        <v/>
      </c>
      <c r="AA841" s="55">
        <f>IF(B841="","",ROUND(Z841*MileRate,2))</f>
        <v/>
      </c>
      <c r="AB841" s="55">
        <f>IF(B841="","",SUMIFS('REVENUE'!$J$5:$J$1504,'REVENUE'!$B$5:$B$1504,A841))</f>
        <v/>
      </c>
      <c r="AC841" s="55">
        <f>IF(L841="","",IF(OR(O841="Cancelled",O841="No-Show"),"",L841-N(X841)-N(Y841)-AA841-AB841))</f>
        <v/>
      </c>
      <c r="AD841" s="99">
        <f>IF(OR(AC841="",N(L841)=0),"",AC841/L841)</f>
        <v/>
      </c>
      <c r="AE841" s="55">
        <f>IF(OR(AC841="",N(R841)=0),"",L841/R841)</f>
        <v/>
      </c>
      <c r="AF841" s="100">
        <f>IF(OR(N(K841)=0,N(J841)+N(Q841)=0),"",K841-IF(N(J841)&gt;0,J841,Q841))</f>
        <v/>
      </c>
      <c r="AG841" s="99">
        <f>IF(B841="","",IFERROR(AVERAGEIFS('QUALITY CONTROL'!$M$5:$M$304,'QUALITY CONTROL'!$B$5:$B$304,A841),""))</f>
        <v/>
      </c>
      <c r="AH841" s="51">
        <f>IF(B841="","",DATE(YEAR(B841),MONTH(B841),1))</f>
        <v/>
      </c>
      <c r="AI841" s="49">
        <f>IF(D841="","",IFERROR(INDEX('CUSTOMERS'!$E$5:$E$404,MATCH(D841,'CUSTOMERS'!$B$5:$B$404,0)),""))</f>
        <v/>
      </c>
      <c r="AJ841" s="49">
        <f>IF(B841="","",N(C841))</f>
        <v/>
      </c>
      <c r="AK841" s="49">
        <f>IF(OR(B841="",O841="Cancelled",O841="Rescheduled"),"",B841&amp;"|"&amp;(COUNTIFS('JOBS'!$B$5:$B$1504,B841,'JOBS'!$AJ$5:$AJ$1504,"&lt;"&amp;AJ841,'JOBS'!$O$5:$O$1504,"&lt;&gt;Cancelled",'JOBS'!$O$5:$O$1504,"&lt;&gt;Rescheduled")+COUNTIFS($B$5:B841,B841,$AJ$5:AJ841,AJ841,$O$5:O841,"&lt;&gt;Cancelled",$O$5:O841,"&lt;&gt;Rescheduled")))</f>
        <v/>
      </c>
      <c r="AL841" s="49">
        <f>IF(N(U841)&lt;=0.005,"",COUNTIFS('JOBS'!$U$5:$U$1504,"&gt;0.005",'JOBS'!$B$5:$B$1504,"&lt;"&amp;B841)+COUNTIFS($U$5:U841,"&gt;0.005",$B$5:B841,B841))</f>
        <v/>
      </c>
    </row>
    <row r="842">
      <c r="A842" s="46" t="inlineStr">
        <is>
          <t>J-0838</t>
        </is>
      </c>
      <c r="B842" s="47" t="n"/>
      <c r="C842" s="94" t="n"/>
      <c r="D842" s="38" t="n"/>
      <c r="E842" s="38" t="n"/>
      <c r="F842" s="38" t="n"/>
      <c r="G842" s="38" t="n"/>
      <c r="H842" s="38" t="n"/>
      <c r="I842" s="57" t="n"/>
      <c r="J842" s="95" t="n"/>
      <c r="K842" s="95" t="n"/>
      <c r="L842" s="48" t="n"/>
      <c r="M842" s="96" t="n"/>
      <c r="N842" s="48" t="n"/>
      <c r="O842" s="38" t="n"/>
      <c r="P842" s="38" t="n"/>
      <c r="Q842" s="97">
        <f>IF(OR(F842="",E842=""),"",IFERROR(IF(INDEX('PROPERTIES'!$F$5:$F$404,MATCH(E842,'PROPERTIES'!$B$5:$B$404,0))=0,"",ROUND((INDEX('PROPERTIES'!$F$5:$F$404,MATCH(E842,'PROPERTIES'!$B$5:$B$404,0))/INDEX('PRICING'!$C$7:$C$16,MATCH(F842,'PRICING'!$A$7:$A$16,0))+INDEX('PROPERTIES'!$G$5:$G$404,MATCH(E842,'PROPERTIES'!$B$5:$B$404,0))*INDEX('PRICING'!$D$7:$D$16,MATCH(F842,'PRICING'!$A$7:$A$16,0))/60+INDEX('PROPERTIES'!$H$5:$H$404,MATCH(E842,'PROPERTIES'!$B$5:$B$404,0))*INDEX('PRICING'!$E$7:$E$16,MATCH(F842,'PRICING'!$A$7:$A$16,0))/60+INDEX('PRICING'!$F$7:$F$16,MATCH(F842,'PRICING'!$A$7:$A$16,0))/60),2)),""))</f>
        <v/>
      </c>
      <c r="R842" s="97">
        <f>IF(B842="","",IF(N(K842)&gt;0,K842,IF(N(J842)&gt;0,J842,N(Q842))))</f>
        <v/>
      </c>
      <c r="S842" s="55">
        <f>IF(L842="","",ROUND(L842*(1+N(M842)),2))</f>
        <v/>
      </c>
      <c r="T842" s="55">
        <f>IF(B842="","",SUMIFS('REVENUE'!$C$5:$C$1504,'REVENUE'!$B$5:$B$1504,A842))</f>
        <v/>
      </c>
      <c r="U842" s="55">
        <f>IF(B842="","",IF(O842="Completed",MAX(0,N(S842)-T842),""))</f>
        <v/>
      </c>
      <c r="V842" s="49">
        <f>IF(B842="","",IF(O842&lt;&gt;"Completed",IF(T842&gt;0,"Deposit","—"),IF(U842&lt;=0.005,"Paid",IF(T842&gt;0,"Partial","Unpaid"))))</f>
        <v/>
      </c>
      <c r="W842" s="55">
        <f>IF(B842="","",IFERROR(1/(1/INDEX('STAFF &amp; TASKS'!$C$5:$C$24,MATCH(H842,'STAFF &amp; TASKS'!$A$5:$A$24,0))),PayRate))</f>
        <v/>
      </c>
      <c r="X842" s="55">
        <f>IF(B842="","",IF(OR(O842="Cancelled",O842="No-Show"),"",ROUND(R842*W842*(1+Burden),2)))</f>
        <v/>
      </c>
      <c r="Y842" s="55">
        <f>IF(B842="","",IF(OR(O842="Cancelled",O842="No-Show"),"",IF(N842&lt;&gt;"",N842,ROUND(R842*SupHr*IFERROR(INDEX('PRICING'!$G$7:$G$16,MATCH(F842,'PRICING'!$A$7:$A$16,0)),1),2))))</f>
        <v/>
      </c>
      <c r="Z842" s="98">
        <f>IF(B842="","",SUMIFS('MILEAGE'!$J$5:$J$1504,'MILEAGE'!$B$5:$B$1504,A842))</f>
        <v/>
      </c>
      <c r="AA842" s="55">
        <f>IF(B842="","",ROUND(Z842*MileRate,2))</f>
        <v/>
      </c>
      <c r="AB842" s="55">
        <f>IF(B842="","",SUMIFS('REVENUE'!$J$5:$J$1504,'REVENUE'!$B$5:$B$1504,A842))</f>
        <v/>
      </c>
      <c r="AC842" s="55">
        <f>IF(L842="","",IF(OR(O842="Cancelled",O842="No-Show"),"",L842-N(X842)-N(Y842)-AA842-AB842))</f>
        <v/>
      </c>
      <c r="AD842" s="99">
        <f>IF(OR(AC842="",N(L842)=0),"",AC842/L842)</f>
        <v/>
      </c>
      <c r="AE842" s="55">
        <f>IF(OR(AC842="",N(R842)=0),"",L842/R842)</f>
        <v/>
      </c>
      <c r="AF842" s="100">
        <f>IF(OR(N(K842)=0,N(J842)+N(Q842)=0),"",K842-IF(N(J842)&gt;0,J842,Q842))</f>
        <v/>
      </c>
      <c r="AG842" s="99">
        <f>IF(B842="","",IFERROR(AVERAGEIFS('QUALITY CONTROL'!$M$5:$M$304,'QUALITY CONTROL'!$B$5:$B$304,A842),""))</f>
        <v/>
      </c>
      <c r="AH842" s="51">
        <f>IF(B842="","",DATE(YEAR(B842),MONTH(B842),1))</f>
        <v/>
      </c>
      <c r="AI842" s="49">
        <f>IF(D842="","",IFERROR(INDEX('CUSTOMERS'!$E$5:$E$404,MATCH(D842,'CUSTOMERS'!$B$5:$B$404,0)),""))</f>
        <v/>
      </c>
      <c r="AJ842" s="49">
        <f>IF(B842="","",N(C842))</f>
        <v/>
      </c>
      <c r="AK842" s="49">
        <f>IF(OR(B842="",O842="Cancelled",O842="Rescheduled"),"",B842&amp;"|"&amp;(COUNTIFS('JOBS'!$B$5:$B$1504,B842,'JOBS'!$AJ$5:$AJ$1504,"&lt;"&amp;AJ842,'JOBS'!$O$5:$O$1504,"&lt;&gt;Cancelled",'JOBS'!$O$5:$O$1504,"&lt;&gt;Rescheduled")+COUNTIFS($B$5:B842,B842,$AJ$5:AJ842,AJ842,$O$5:O842,"&lt;&gt;Cancelled",$O$5:O842,"&lt;&gt;Rescheduled")))</f>
        <v/>
      </c>
      <c r="AL842" s="49">
        <f>IF(N(U842)&lt;=0.005,"",COUNTIFS('JOBS'!$U$5:$U$1504,"&gt;0.005",'JOBS'!$B$5:$B$1504,"&lt;"&amp;B842)+COUNTIFS($U$5:U842,"&gt;0.005",$B$5:B842,B842))</f>
        <v/>
      </c>
    </row>
    <row r="843">
      <c r="A843" s="46" t="inlineStr">
        <is>
          <t>J-0839</t>
        </is>
      </c>
      <c r="B843" s="47" t="n"/>
      <c r="C843" s="94" t="n"/>
      <c r="D843" s="38" t="n"/>
      <c r="E843" s="38" t="n"/>
      <c r="F843" s="38" t="n"/>
      <c r="G843" s="38" t="n"/>
      <c r="H843" s="38" t="n"/>
      <c r="I843" s="57" t="n"/>
      <c r="J843" s="95" t="n"/>
      <c r="K843" s="95" t="n"/>
      <c r="L843" s="48" t="n"/>
      <c r="M843" s="96" t="n"/>
      <c r="N843" s="48" t="n"/>
      <c r="O843" s="38" t="n"/>
      <c r="P843" s="38" t="n"/>
      <c r="Q843" s="97">
        <f>IF(OR(F843="",E843=""),"",IFERROR(IF(INDEX('PROPERTIES'!$F$5:$F$404,MATCH(E843,'PROPERTIES'!$B$5:$B$404,0))=0,"",ROUND((INDEX('PROPERTIES'!$F$5:$F$404,MATCH(E843,'PROPERTIES'!$B$5:$B$404,0))/INDEX('PRICING'!$C$7:$C$16,MATCH(F843,'PRICING'!$A$7:$A$16,0))+INDEX('PROPERTIES'!$G$5:$G$404,MATCH(E843,'PROPERTIES'!$B$5:$B$404,0))*INDEX('PRICING'!$D$7:$D$16,MATCH(F843,'PRICING'!$A$7:$A$16,0))/60+INDEX('PROPERTIES'!$H$5:$H$404,MATCH(E843,'PROPERTIES'!$B$5:$B$404,0))*INDEX('PRICING'!$E$7:$E$16,MATCH(F843,'PRICING'!$A$7:$A$16,0))/60+INDEX('PRICING'!$F$7:$F$16,MATCH(F843,'PRICING'!$A$7:$A$16,0))/60),2)),""))</f>
        <v/>
      </c>
      <c r="R843" s="97">
        <f>IF(B843="","",IF(N(K843)&gt;0,K843,IF(N(J843)&gt;0,J843,N(Q843))))</f>
        <v/>
      </c>
      <c r="S843" s="55">
        <f>IF(L843="","",ROUND(L843*(1+N(M843)),2))</f>
        <v/>
      </c>
      <c r="T843" s="55">
        <f>IF(B843="","",SUMIFS('REVENUE'!$C$5:$C$1504,'REVENUE'!$B$5:$B$1504,A843))</f>
        <v/>
      </c>
      <c r="U843" s="55">
        <f>IF(B843="","",IF(O843="Completed",MAX(0,N(S843)-T843),""))</f>
        <v/>
      </c>
      <c r="V843" s="49">
        <f>IF(B843="","",IF(O843&lt;&gt;"Completed",IF(T843&gt;0,"Deposit","—"),IF(U843&lt;=0.005,"Paid",IF(T843&gt;0,"Partial","Unpaid"))))</f>
        <v/>
      </c>
      <c r="W843" s="55">
        <f>IF(B843="","",IFERROR(1/(1/INDEX('STAFF &amp; TASKS'!$C$5:$C$24,MATCH(H843,'STAFF &amp; TASKS'!$A$5:$A$24,0))),PayRate))</f>
        <v/>
      </c>
      <c r="X843" s="55">
        <f>IF(B843="","",IF(OR(O843="Cancelled",O843="No-Show"),"",ROUND(R843*W843*(1+Burden),2)))</f>
        <v/>
      </c>
      <c r="Y843" s="55">
        <f>IF(B843="","",IF(OR(O843="Cancelled",O843="No-Show"),"",IF(N843&lt;&gt;"",N843,ROUND(R843*SupHr*IFERROR(INDEX('PRICING'!$G$7:$G$16,MATCH(F843,'PRICING'!$A$7:$A$16,0)),1),2))))</f>
        <v/>
      </c>
      <c r="Z843" s="98">
        <f>IF(B843="","",SUMIFS('MILEAGE'!$J$5:$J$1504,'MILEAGE'!$B$5:$B$1504,A843))</f>
        <v/>
      </c>
      <c r="AA843" s="55">
        <f>IF(B843="","",ROUND(Z843*MileRate,2))</f>
        <v/>
      </c>
      <c r="AB843" s="55">
        <f>IF(B843="","",SUMIFS('REVENUE'!$J$5:$J$1504,'REVENUE'!$B$5:$B$1504,A843))</f>
        <v/>
      </c>
      <c r="AC843" s="55">
        <f>IF(L843="","",IF(OR(O843="Cancelled",O843="No-Show"),"",L843-N(X843)-N(Y843)-AA843-AB843))</f>
        <v/>
      </c>
      <c r="AD843" s="99">
        <f>IF(OR(AC843="",N(L843)=0),"",AC843/L843)</f>
        <v/>
      </c>
      <c r="AE843" s="55">
        <f>IF(OR(AC843="",N(R843)=0),"",L843/R843)</f>
        <v/>
      </c>
      <c r="AF843" s="100">
        <f>IF(OR(N(K843)=0,N(J843)+N(Q843)=0),"",K843-IF(N(J843)&gt;0,J843,Q843))</f>
        <v/>
      </c>
      <c r="AG843" s="99">
        <f>IF(B843="","",IFERROR(AVERAGEIFS('QUALITY CONTROL'!$M$5:$M$304,'QUALITY CONTROL'!$B$5:$B$304,A843),""))</f>
        <v/>
      </c>
      <c r="AH843" s="51">
        <f>IF(B843="","",DATE(YEAR(B843),MONTH(B843),1))</f>
        <v/>
      </c>
      <c r="AI843" s="49">
        <f>IF(D843="","",IFERROR(INDEX('CUSTOMERS'!$E$5:$E$404,MATCH(D843,'CUSTOMERS'!$B$5:$B$404,0)),""))</f>
        <v/>
      </c>
      <c r="AJ843" s="49">
        <f>IF(B843="","",N(C843))</f>
        <v/>
      </c>
      <c r="AK843" s="49">
        <f>IF(OR(B843="",O843="Cancelled",O843="Rescheduled"),"",B843&amp;"|"&amp;(COUNTIFS('JOBS'!$B$5:$B$1504,B843,'JOBS'!$AJ$5:$AJ$1504,"&lt;"&amp;AJ843,'JOBS'!$O$5:$O$1504,"&lt;&gt;Cancelled",'JOBS'!$O$5:$O$1504,"&lt;&gt;Rescheduled")+COUNTIFS($B$5:B843,B843,$AJ$5:AJ843,AJ843,$O$5:O843,"&lt;&gt;Cancelled",$O$5:O843,"&lt;&gt;Rescheduled")))</f>
        <v/>
      </c>
      <c r="AL843" s="49">
        <f>IF(N(U843)&lt;=0.005,"",COUNTIFS('JOBS'!$U$5:$U$1504,"&gt;0.005",'JOBS'!$B$5:$B$1504,"&lt;"&amp;B843)+COUNTIFS($U$5:U843,"&gt;0.005",$B$5:B843,B843))</f>
        <v/>
      </c>
    </row>
    <row r="844">
      <c r="A844" s="46" t="inlineStr">
        <is>
          <t>J-0840</t>
        </is>
      </c>
      <c r="B844" s="47" t="n"/>
      <c r="C844" s="94" t="n"/>
      <c r="D844" s="38" t="n"/>
      <c r="E844" s="38" t="n"/>
      <c r="F844" s="38" t="n"/>
      <c r="G844" s="38" t="n"/>
      <c r="H844" s="38" t="n"/>
      <c r="I844" s="57" t="n"/>
      <c r="J844" s="95" t="n"/>
      <c r="K844" s="95" t="n"/>
      <c r="L844" s="48" t="n"/>
      <c r="M844" s="96" t="n"/>
      <c r="N844" s="48" t="n"/>
      <c r="O844" s="38" t="n"/>
      <c r="P844" s="38" t="n"/>
      <c r="Q844" s="97">
        <f>IF(OR(F844="",E844=""),"",IFERROR(IF(INDEX('PROPERTIES'!$F$5:$F$404,MATCH(E844,'PROPERTIES'!$B$5:$B$404,0))=0,"",ROUND((INDEX('PROPERTIES'!$F$5:$F$404,MATCH(E844,'PROPERTIES'!$B$5:$B$404,0))/INDEX('PRICING'!$C$7:$C$16,MATCH(F844,'PRICING'!$A$7:$A$16,0))+INDEX('PROPERTIES'!$G$5:$G$404,MATCH(E844,'PROPERTIES'!$B$5:$B$404,0))*INDEX('PRICING'!$D$7:$D$16,MATCH(F844,'PRICING'!$A$7:$A$16,0))/60+INDEX('PROPERTIES'!$H$5:$H$404,MATCH(E844,'PROPERTIES'!$B$5:$B$404,0))*INDEX('PRICING'!$E$7:$E$16,MATCH(F844,'PRICING'!$A$7:$A$16,0))/60+INDEX('PRICING'!$F$7:$F$16,MATCH(F844,'PRICING'!$A$7:$A$16,0))/60),2)),""))</f>
        <v/>
      </c>
      <c r="R844" s="97">
        <f>IF(B844="","",IF(N(K844)&gt;0,K844,IF(N(J844)&gt;0,J844,N(Q844))))</f>
        <v/>
      </c>
      <c r="S844" s="55">
        <f>IF(L844="","",ROUND(L844*(1+N(M844)),2))</f>
        <v/>
      </c>
      <c r="T844" s="55">
        <f>IF(B844="","",SUMIFS('REVENUE'!$C$5:$C$1504,'REVENUE'!$B$5:$B$1504,A844))</f>
        <v/>
      </c>
      <c r="U844" s="55">
        <f>IF(B844="","",IF(O844="Completed",MAX(0,N(S844)-T844),""))</f>
        <v/>
      </c>
      <c r="V844" s="49">
        <f>IF(B844="","",IF(O844&lt;&gt;"Completed",IF(T844&gt;0,"Deposit","—"),IF(U844&lt;=0.005,"Paid",IF(T844&gt;0,"Partial","Unpaid"))))</f>
        <v/>
      </c>
      <c r="W844" s="55">
        <f>IF(B844="","",IFERROR(1/(1/INDEX('STAFF &amp; TASKS'!$C$5:$C$24,MATCH(H844,'STAFF &amp; TASKS'!$A$5:$A$24,0))),PayRate))</f>
        <v/>
      </c>
      <c r="X844" s="55">
        <f>IF(B844="","",IF(OR(O844="Cancelled",O844="No-Show"),"",ROUND(R844*W844*(1+Burden),2)))</f>
        <v/>
      </c>
      <c r="Y844" s="55">
        <f>IF(B844="","",IF(OR(O844="Cancelled",O844="No-Show"),"",IF(N844&lt;&gt;"",N844,ROUND(R844*SupHr*IFERROR(INDEX('PRICING'!$G$7:$G$16,MATCH(F844,'PRICING'!$A$7:$A$16,0)),1),2))))</f>
        <v/>
      </c>
      <c r="Z844" s="98">
        <f>IF(B844="","",SUMIFS('MILEAGE'!$J$5:$J$1504,'MILEAGE'!$B$5:$B$1504,A844))</f>
        <v/>
      </c>
      <c r="AA844" s="55">
        <f>IF(B844="","",ROUND(Z844*MileRate,2))</f>
        <v/>
      </c>
      <c r="AB844" s="55">
        <f>IF(B844="","",SUMIFS('REVENUE'!$J$5:$J$1504,'REVENUE'!$B$5:$B$1504,A844))</f>
        <v/>
      </c>
      <c r="AC844" s="55">
        <f>IF(L844="","",IF(OR(O844="Cancelled",O844="No-Show"),"",L844-N(X844)-N(Y844)-AA844-AB844))</f>
        <v/>
      </c>
      <c r="AD844" s="99">
        <f>IF(OR(AC844="",N(L844)=0),"",AC844/L844)</f>
        <v/>
      </c>
      <c r="AE844" s="55">
        <f>IF(OR(AC844="",N(R844)=0),"",L844/R844)</f>
        <v/>
      </c>
      <c r="AF844" s="100">
        <f>IF(OR(N(K844)=0,N(J844)+N(Q844)=0),"",K844-IF(N(J844)&gt;0,J844,Q844))</f>
        <v/>
      </c>
      <c r="AG844" s="99">
        <f>IF(B844="","",IFERROR(AVERAGEIFS('QUALITY CONTROL'!$M$5:$M$304,'QUALITY CONTROL'!$B$5:$B$304,A844),""))</f>
        <v/>
      </c>
      <c r="AH844" s="51">
        <f>IF(B844="","",DATE(YEAR(B844),MONTH(B844),1))</f>
        <v/>
      </c>
      <c r="AI844" s="49">
        <f>IF(D844="","",IFERROR(INDEX('CUSTOMERS'!$E$5:$E$404,MATCH(D844,'CUSTOMERS'!$B$5:$B$404,0)),""))</f>
        <v/>
      </c>
      <c r="AJ844" s="49">
        <f>IF(B844="","",N(C844))</f>
        <v/>
      </c>
      <c r="AK844" s="49">
        <f>IF(OR(B844="",O844="Cancelled",O844="Rescheduled"),"",B844&amp;"|"&amp;(COUNTIFS('JOBS'!$B$5:$B$1504,B844,'JOBS'!$AJ$5:$AJ$1504,"&lt;"&amp;AJ844,'JOBS'!$O$5:$O$1504,"&lt;&gt;Cancelled",'JOBS'!$O$5:$O$1504,"&lt;&gt;Rescheduled")+COUNTIFS($B$5:B844,B844,$AJ$5:AJ844,AJ844,$O$5:O844,"&lt;&gt;Cancelled",$O$5:O844,"&lt;&gt;Rescheduled")))</f>
        <v/>
      </c>
      <c r="AL844" s="49">
        <f>IF(N(U844)&lt;=0.005,"",COUNTIFS('JOBS'!$U$5:$U$1504,"&gt;0.005",'JOBS'!$B$5:$B$1504,"&lt;"&amp;B844)+COUNTIFS($U$5:U844,"&gt;0.005",$B$5:B844,B844))</f>
        <v/>
      </c>
    </row>
    <row r="845">
      <c r="A845" s="46" t="inlineStr">
        <is>
          <t>J-0841</t>
        </is>
      </c>
      <c r="B845" s="47" t="n"/>
      <c r="C845" s="94" t="n"/>
      <c r="D845" s="38" t="n"/>
      <c r="E845" s="38" t="n"/>
      <c r="F845" s="38" t="n"/>
      <c r="G845" s="38" t="n"/>
      <c r="H845" s="38" t="n"/>
      <c r="I845" s="57" t="n"/>
      <c r="J845" s="95" t="n"/>
      <c r="K845" s="95" t="n"/>
      <c r="L845" s="48" t="n"/>
      <c r="M845" s="96" t="n"/>
      <c r="N845" s="48" t="n"/>
      <c r="O845" s="38" t="n"/>
      <c r="P845" s="38" t="n"/>
      <c r="Q845" s="97">
        <f>IF(OR(F845="",E845=""),"",IFERROR(IF(INDEX('PROPERTIES'!$F$5:$F$404,MATCH(E845,'PROPERTIES'!$B$5:$B$404,0))=0,"",ROUND((INDEX('PROPERTIES'!$F$5:$F$404,MATCH(E845,'PROPERTIES'!$B$5:$B$404,0))/INDEX('PRICING'!$C$7:$C$16,MATCH(F845,'PRICING'!$A$7:$A$16,0))+INDEX('PROPERTIES'!$G$5:$G$404,MATCH(E845,'PROPERTIES'!$B$5:$B$404,0))*INDEX('PRICING'!$D$7:$D$16,MATCH(F845,'PRICING'!$A$7:$A$16,0))/60+INDEX('PROPERTIES'!$H$5:$H$404,MATCH(E845,'PROPERTIES'!$B$5:$B$404,0))*INDEX('PRICING'!$E$7:$E$16,MATCH(F845,'PRICING'!$A$7:$A$16,0))/60+INDEX('PRICING'!$F$7:$F$16,MATCH(F845,'PRICING'!$A$7:$A$16,0))/60),2)),""))</f>
        <v/>
      </c>
      <c r="R845" s="97">
        <f>IF(B845="","",IF(N(K845)&gt;0,K845,IF(N(J845)&gt;0,J845,N(Q845))))</f>
        <v/>
      </c>
      <c r="S845" s="55">
        <f>IF(L845="","",ROUND(L845*(1+N(M845)),2))</f>
        <v/>
      </c>
      <c r="T845" s="55">
        <f>IF(B845="","",SUMIFS('REVENUE'!$C$5:$C$1504,'REVENUE'!$B$5:$B$1504,A845))</f>
        <v/>
      </c>
      <c r="U845" s="55">
        <f>IF(B845="","",IF(O845="Completed",MAX(0,N(S845)-T845),""))</f>
        <v/>
      </c>
      <c r="V845" s="49">
        <f>IF(B845="","",IF(O845&lt;&gt;"Completed",IF(T845&gt;0,"Deposit","—"),IF(U845&lt;=0.005,"Paid",IF(T845&gt;0,"Partial","Unpaid"))))</f>
        <v/>
      </c>
      <c r="W845" s="55">
        <f>IF(B845="","",IFERROR(1/(1/INDEX('STAFF &amp; TASKS'!$C$5:$C$24,MATCH(H845,'STAFF &amp; TASKS'!$A$5:$A$24,0))),PayRate))</f>
        <v/>
      </c>
      <c r="X845" s="55">
        <f>IF(B845="","",IF(OR(O845="Cancelled",O845="No-Show"),"",ROUND(R845*W845*(1+Burden),2)))</f>
        <v/>
      </c>
      <c r="Y845" s="55">
        <f>IF(B845="","",IF(OR(O845="Cancelled",O845="No-Show"),"",IF(N845&lt;&gt;"",N845,ROUND(R845*SupHr*IFERROR(INDEX('PRICING'!$G$7:$G$16,MATCH(F845,'PRICING'!$A$7:$A$16,0)),1),2))))</f>
        <v/>
      </c>
      <c r="Z845" s="98">
        <f>IF(B845="","",SUMIFS('MILEAGE'!$J$5:$J$1504,'MILEAGE'!$B$5:$B$1504,A845))</f>
        <v/>
      </c>
      <c r="AA845" s="55">
        <f>IF(B845="","",ROUND(Z845*MileRate,2))</f>
        <v/>
      </c>
      <c r="AB845" s="55">
        <f>IF(B845="","",SUMIFS('REVENUE'!$J$5:$J$1504,'REVENUE'!$B$5:$B$1504,A845))</f>
        <v/>
      </c>
      <c r="AC845" s="55">
        <f>IF(L845="","",IF(OR(O845="Cancelled",O845="No-Show"),"",L845-N(X845)-N(Y845)-AA845-AB845))</f>
        <v/>
      </c>
      <c r="AD845" s="99">
        <f>IF(OR(AC845="",N(L845)=0),"",AC845/L845)</f>
        <v/>
      </c>
      <c r="AE845" s="55">
        <f>IF(OR(AC845="",N(R845)=0),"",L845/R845)</f>
        <v/>
      </c>
      <c r="AF845" s="100">
        <f>IF(OR(N(K845)=0,N(J845)+N(Q845)=0),"",K845-IF(N(J845)&gt;0,J845,Q845))</f>
        <v/>
      </c>
      <c r="AG845" s="99">
        <f>IF(B845="","",IFERROR(AVERAGEIFS('QUALITY CONTROL'!$M$5:$M$304,'QUALITY CONTROL'!$B$5:$B$304,A845),""))</f>
        <v/>
      </c>
      <c r="AH845" s="51">
        <f>IF(B845="","",DATE(YEAR(B845),MONTH(B845),1))</f>
        <v/>
      </c>
      <c r="AI845" s="49">
        <f>IF(D845="","",IFERROR(INDEX('CUSTOMERS'!$E$5:$E$404,MATCH(D845,'CUSTOMERS'!$B$5:$B$404,0)),""))</f>
        <v/>
      </c>
      <c r="AJ845" s="49">
        <f>IF(B845="","",N(C845))</f>
        <v/>
      </c>
      <c r="AK845" s="49">
        <f>IF(OR(B845="",O845="Cancelled",O845="Rescheduled"),"",B845&amp;"|"&amp;(COUNTIFS('JOBS'!$B$5:$B$1504,B845,'JOBS'!$AJ$5:$AJ$1504,"&lt;"&amp;AJ845,'JOBS'!$O$5:$O$1504,"&lt;&gt;Cancelled",'JOBS'!$O$5:$O$1504,"&lt;&gt;Rescheduled")+COUNTIFS($B$5:B845,B845,$AJ$5:AJ845,AJ845,$O$5:O845,"&lt;&gt;Cancelled",$O$5:O845,"&lt;&gt;Rescheduled")))</f>
        <v/>
      </c>
      <c r="AL845" s="49">
        <f>IF(N(U845)&lt;=0.005,"",COUNTIFS('JOBS'!$U$5:$U$1504,"&gt;0.005",'JOBS'!$B$5:$B$1504,"&lt;"&amp;B845)+COUNTIFS($U$5:U845,"&gt;0.005",$B$5:B845,B845))</f>
        <v/>
      </c>
    </row>
    <row r="846">
      <c r="A846" s="46" t="inlineStr">
        <is>
          <t>J-0842</t>
        </is>
      </c>
      <c r="B846" s="47" t="n"/>
      <c r="C846" s="94" t="n"/>
      <c r="D846" s="38" t="n"/>
      <c r="E846" s="38" t="n"/>
      <c r="F846" s="38" t="n"/>
      <c r="G846" s="38" t="n"/>
      <c r="H846" s="38" t="n"/>
      <c r="I846" s="57" t="n"/>
      <c r="J846" s="95" t="n"/>
      <c r="K846" s="95" t="n"/>
      <c r="L846" s="48" t="n"/>
      <c r="M846" s="96" t="n"/>
      <c r="N846" s="48" t="n"/>
      <c r="O846" s="38" t="n"/>
      <c r="P846" s="38" t="n"/>
      <c r="Q846" s="97">
        <f>IF(OR(F846="",E846=""),"",IFERROR(IF(INDEX('PROPERTIES'!$F$5:$F$404,MATCH(E846,'PROPERTIES'!$B$5:$B$404,0))=0,"",ROUND((INDEX('PROPERTIES'!$F$5:$F$404,MATCH(E846,'PROPERTIES'!$B$5:$B$404,0))/INDEX('PRICING'!$C$7:$C$16,MATCH(F846,'PRICING'!$A$7:$A$16,0))+INDEX('PROPERTIES'!$G$5:$G$404,MATCH(E846,'PROPERTIES'!$B$5:$B$404,0))*INDEX('PRICING'!$D$7:$D$16,MATCH(F846,'PRICING'!$A$7:$A$16,0))/60+INDEX('PROPERTIES'!$H$5:$H$404,MATCH(E846,'PROPERTIES'!$B$5:$B$404,0))*INDEX('PRICING'!$E$7:$E$16,MATCH(F846,'PRICING'!$A$7:$A$16,0))/60+INDEX('PRICING'!$F$7:$F$16,MATCH(F846,'PRICING'!$A$7:$A$16,0))/60),2)),""))</f>
        <v/>
      </c>
      <c r="R846" s="97">
        <f>IF(B846="","",IF(N(K846)&gt;0,K846,IF(N(J846)&gt;0,J846,N(Q846))))</f>
        <v/>
      </c>
      <c r="S846" s="55">
        <f>IF(L846="","",ROUND(L846*(1+N(M846)),2))</f>
        <v/>
      </c>
      <c r="T846" s="55">
        <f>IF(B846="","",SUMIFS('REVENUE'!$C$5:$C$1504,'REVENUE'!$B$5:$B$1504,A846))</f>
        <v/>
      </c>
      <c r="U846" s="55">
        <f>IF(B846="","",IF(O846="Completed",MAX(0,N(S846)-T846),""))</f>
        <v/>
      </c>
      <c r="V846" s="49">
        <f>IF(B846="","",IF(O846&lt;&gt;"Completed",IF(T846&gt;0,"Deposit","—"),IF(U846&lt;=0.005,"Paid",IF(T846&gt;0,"Partial","Unpaid"))))</f>
        <v/>
      </c>
      <c r="W846" s="55">
        <f>IF(B846="","",IFERROR(1/(1/INDEX('STAFF &amp; TASKS'!$C$5:$C$24,MATCH(H846,'STAFF &amp; TASKS'!$A$5:$A$24,0))),PayRate))</f>
        <v/>
      </c>
      <c r="X846" s="55">
        <f>IF(B846="","",IF(OR(O846="Cancelled",O846="No-Show"),"",ROUND(R846*W846*(1+Burden),2)))</f>
        <v/>
      </c>
      <c r="Y846" s="55">
        <f>IF(B846="","",IF(OR(O846="Cancelled",O846="No-Show"),"",IF(N846&lt;&gt;"",N846,ROUND(R846*SupHr*IFERROR(INDEX('PRICING'!$G$7:$G$16,MATCH(F846,'PRICING'!$A$7:$A$16,0)),1),2))))</f>
        <v/>
      </c>
      <c r="Z846" s="98">
        <f>IF(B846="","",SUMIFS('MILEAGE'!$J$5:$J$1504,'MILEAGE'!$B$5:$B$1504,A846))</f>
        <v/>
      </c>
      <c r="AA846" s="55">
        <f>IF(B846="","",ROUND(Z846*MileRate,2))</f>
        <v/>
      </c>
      <c r="AB846" s="55">
        <f>IF(B846="","",SUMIFS('REVENUE'!$J$5:$J$1504,'REVENUE'!$B$5:$B$1504,A846))</f>
        <v/>
      </c>
      <c r="AC846" s="55">
        <f>IF(L846="","",IF(OR(O846="Cancelled",O846="No-Show"),"",L846-N(X846)-N(Y846)-AA846-AB846))</f>
        <v/>
      </c>
      <c r="AD846" s="99">
        <f>IF(OR(AC846="",N(L846)=0),"",AC846/L846)</f>
        <v/>
      </c>
      <c r="AE846" s="55">
        <f>IF(OR(AC846="",N(R846)=0),"",L846/R846)</f>
        <v/>
      </c>
      <c r="AF846" s="100">
        <f>IF(OR(N(K846)=0,N(J846)+N(Q846)=0),"",K846-IF(N(J846)&gt;0,J846,Q846))</f>
        <v/>
      </c>
      <c r="AG846" s="99">
        <f>IF(B846="","",IFERROR(AVERAGEIFS('QUALITY CONTROL'!$M$5:$M$304,'QUALITY CONTROL'!$B$5:$B$304,A846),""))</f>
        <v/>
      </c>
      <c r="AH846" s="51">
        <f>IF(B846="","",DATE(YEAR(B846),MONTH(B846),1))</f>
        <v/>
      </c>
      <c r="AI846" s="49">
        <f>IF(D846="","",IFERROR(INDEX('CUSTOMERS'!$E$5:$E$404,MATCH(D846,'CUSTOMERS'!$B$5:$B$404,0)),""))</f>
        <v/>
      </c>
      <c r="AJ846" s="49">
        <f>IF(B846="","",N(C846))</f>
        <v/>
      </c>
      <c r="AK846" s="49">
        <f>IF(OR(B846="",O846="Cancelled",O846="Rescheduled"),"",B846&amp;"|"&amp;(COUNTIFS('JOBS'!$B$5:$B$1504,B846,'JOBS'!$AJ$5:$AJ$1504,"&lt;"&amp;AJ846,'JOBS'!$O$5:$O$1504,"&lt;&gt;Cancelled",'JOBS'!$O$5:$O$1504,"&lt;&gt;Rescheduled")+COUNTIFS($B$5:B846,B846,$AJ$5:AJ846,AJ846,$O$5:O846,"&lt;&gt;Cancelled",$O$5:O846,"&lt;&gt;Rescheduled")))</f>
        <v/>
      </c>
      <c r="AL846" s="49">
        <f>IF(N(U846)&lt;=0.005,"",COUNTIFS('JOBS'!$U$5:$U$1504,"&gt;0.005",'JOBS'!$B$5:$B$1504,"&lt;"&amp;B846)+COUNTIFS($U$5:U846,"&gt;0.005",$B$5:B846,B846))</f>
        <v/>
      </c>
    </row>
    <row r="847">
      <c r="A847" s="46" t="inlineStr">
        <is>
          <t>J-0843</t>
        </is>
      </c>
      <c r="B847" s="47" t="n"/>
      <c r="C847" s="94" t="n"/>
      <c r="D847" s="38" t="n"/>
      <c r="E847" s="38" t="n"/>
      <c r="F847" s="38" t="n"/>
      <c r="G847" s="38" t="n"/>
      <c r="H847" s="38" t="n"/>
      <c r="I847" s="57" t="n"/>
      <c r="J847" s="95" t="n"/>
      <c r="K847" s="95" t="n"/>
      <c r="L847" s="48" t="n"/>
      <c r="M847" s="96" t="n"/>
      <c r="N847" s="48" t="n"/>
      <c r="O847" s="38" t="n"/>
      <c r="P847" s="38" t="n"/>
      <c r="Q847" s="97">
        <f>IF(OR(F847="",E847=""),"",IFERROR(IF(INDEX('PROPERTIES'!$F$5:$F$404,MATCH(E847,'PROPERTIES'!$B$5:$B$404,0))=0,"",ROUND((INDEX('PROPERTIES'!$F$5:$F$404,MATCH(E847,'PROPERTIES'!$B$5:$B$404,0))/INDEX('PRICING'!$C$7:$C$16,MATCH(F847,'PRICING'!$A$7:$A$16,0))+INDEX('PROPERTIES'!$G$5:$G$404,MATCH(E847,'PROPERTIES'!$B$5:$B$404,0))*INDEX('PRICING'!$D$7:$D$16,MATCH(F847,'PRICING'!$A$7:$A$16,0))/60+INDEX('PROPERTIES'!$H$5:$H$404,MATCH(E847,'PROPERTIES'!$B$5:$B$404,0))*INDEX('PRICING'!$E$7:$E$16,MATCH(F847,'PRICING'!$A$7:$A$16,0))/60+INDEX('PRICING'!$F$7:$F$16,MATCH(F847,'PRICING'!$A$7:$A$16,0))/60),2)),""))</f>
        <v/>
      </c>
      <c r="R847" s="97">
        <f>IF(B847="","",IF(N(K847)&gt;0,K847,IF(N(J847)&gt;0,J847,N(Q847))))</f>
        <v/>
      </c>
      <c r="S847" s="55">
        <f>IF(L847="","",ROUND(L847*(1+N(M847)),2))</f>
        <v/>
      </c>
      <c r="T847" s="55">
        <f>IF(B847="","",SUMIFS('REVENUE'!$C$5:$C$1504,'REVENUE'!$B$5:$B$1504,A847))</f>
        <v/>
      </c>
      <c r="U847" s="55">
        <f>IF(B847="","",IF(O847="Completed",MAX(0,N(S847)-T847),""))</f>
        <v/>
      </c>
      <c r="V847" s="49">
        <f>IF(B847="","",IF(O847&lt;&gt;"Completed",IF(T847&gt;0,"Deposit","—"),IF(U847&lt;=0.005,"Paid",IF(T847&gt;0,"Partial","Unpaid"))))</f>
        <v/>
      </c>
      <c r="W847" s="55">
        <f>IF(B847="","",IFERROR(1/(1/INDEX('STAFF &amp; TASKS'!$C$5:$C$24,MATCH(H847,'STAFF &amp; TASKS'!$A$5:$A$24,0))),PayRate))</f>
        <v/>
      </c>
      <c r="X847" s="55">
        <f>IF(B847="","",IF(OR(O847="Cancelled",O847="No-Show"),"",ROUND(R847*W847*(1+Burden),2)))</f>
        <v/>
      </c>
      <c r="Y847" s="55">
        <f>IF(B847="","",IF(OR(O847="Cancelled",O847="No-Show"),"",IF(N847&lt;&gt;"",N847,ROUND(R847*SupHr*IFERROR(INDEX('PRICING'!$G$7:$G$16,MATCH(F847,'PRICING'!$A$7:$A$16,0)),1),2))))</f>
        <v/>
      </c>
      <c r="Z847" s="98">
        <f>IF(B847="","",SUMIFS('MILEAGE'!$J$5:$J$1504,'MILEAGE'!$B$5:$B$1504,A847))</f>
        <v/>
      </c>
      <c r="AA847" s="55">
        <f>IF(B847="","",ROUND(Z847*MileRate,2))</f>
        <v/>
      </c>
      <c r="AB847" s="55">
        <f>IF(B847="","",SUMIFS('REVENUE'!$J$5:$J$1504,'REVENUE'!$B$5:$B$1504,A847))</f>
        <v/>
      </c>
      <c r="AC847" s="55">
        <f>IF(L847="","",IF(OR(O847="Cancelled",O847="No-Show"),"",L847-N(X847)-N(Y847)-AA847-AB847))</f>
        <v/>
      </c>
      <c r="AD847" s="99">
        <f>IF(OR(AC847="",N(L847)=0),"",AC847/L847)</f>
        <v/>
      </c>
      <c r="AE847" s="55">
        <f>IF(OR(AC847="",N(R847)=0),"",L847/R847)</f>
        <v/>
      </c>
      <c r="AF847" s="100">
        <f>IF(OR(N(K847)=0,N(J847)+N(Q847)=0),"",K847-IF(N(J847)&gt;0,J847,Q847))</f>
        <v/>
      </c>
      <c r="AG847" s="99">
        <f>IF(B847="","",IFERROR(AVERAGEIFS('QUALITY CONTROL'!$M$5:$M$304,'QUALITY CONTROL'!$B$5:$B$304,A847),""))</f>
        <v/>
      </c>
      <c r="AH847" s="51">
        <f>IF(B847="","",DATE(YEAR(B847),MONTH(B847),1))</f>
        <v/>
      </c>
      <c r="AI847" s="49">
        <f>IF(D847="","",IFERROR(INDEX('CUSTOMERS'!$E$5:$E$404,MATCH(D847,'CUSTOMERS'!$B$5:$B$404,0)),""))</f>
        <v/>
      </c>
      <c r="AJ847" s="49">
        <f>IF(B847="","",N(C847))</f>
        <v/>
      </c>
      <c r="AK847" s="49">
        <f>IF(OR(B847="",O847="Cancelled",O847="Rescheduled"),"",B847&amp;"|"&amp;(COUNTIFS('JOBS'!$B$5:$B$1504,B847,'JOBS'!$AJ$5:$AJ$1504,"&lt;"&amp;AJ847,'JOBS'!$O$5:$O$1504,"&lt;&gt;Cancelled",'JOBS'!$O$5:$O$1504,"&lt;&gt;Rescheduled")+COUNTIFS($B$5:B847,B847,$AJ$5:AJ847,AJ847,$O$5:O847,"&lt;&gt;Cancelled",$O$5:O847,"&lt;&gt;Rescheduled")))</f>
        <v/>
      </c>
      <c r="AL847" s="49">
        <f>IF(N(U847)&lt;=0.005,"",COUNTIFS('JOBS'!$U$5:$U$1504,"&gt;0.005",'JOBS'!$B$5:$B$1504,"&lt;"&amp;B847)+COUNTIFS($U$5:U847,"&gt;0.005",$B$5:B847,B847))</f>
        <v/>
      </c>
    </row>
    <row r="848">
      <c r="A848" s="46" t="inlineStr">
        <is>
          <t>J-0844</t>
        </is>
      </c>
      <c r="B848" s="47" t="n"/>
      <c r="C848" s="94" t="n"/>
      <c r="D848" s="38" t="n"/>
      <c r="E848" s="38" t="n"/>
      <c r="F848" s="38" t="n"/>
      <c r="G848" s="38" t="n"/>
      <c r="H848" s="38" t="n"/>
      <c r="I848" s="57" t="n"/>
      <c r="J848" s="95" t="n"/>
      <c r="K848" s="95" t="n"/>
      <c r="L848" s="48" t="n"/>
      <c r="M848" s="96" t="n"/>
      <c r="N848" s="48" t="n"/>
      <c r="O848" s="38" t="n"/>
      <c r="P848" s="38" t="n"/>
      <c r="Q848" s="97">
        <f>IF(OR(F848="",E848=""),"",IFERROR(IF(INDEX('PROPERTIES'!$F$5:$F$404,MATCH(E848,'PROPERTIES'!$B$5:$B$404,0))=0,"",ROUND((INDEX('PROPERTIES'!$F$5:$F$404,MATCH(E848,'PROPERTIES'!$B$5:$B$404,0))/INDEX('PRICING'!$C$7:$C$16,MATCH(F848,'PRICING'!$A$7:$A$16,0))+INDEX('PROPERTIES'!$G$5:$G$404,MATCH(E848,'PROPERTIES'!$B$5:$B$404,0))*INDEX('PRICING'!$D$7:$D$16,MATCH(F848,'PRICING'!$A$7:$A$16,0))/60+INDEX('PROPERTIES'!$H$5:$H$404,MATCH(E848,'PROPERTIES'!$B$5:$B$404,0))*INDEX('PRICING'!$E$7:$E$16,MATCH(F848,'PRICING'!$A$7:$A$16,0))/60+INDEX('PRICING'!$F$7:$F$16,MATCH(F848,'PRICING'!$A$7:$A$16,0))/60),2)),""))</f>
        <v/>
      </c>
      <c r="R848" s="97">
        <f>IF(B848="","",IF(N(K848)&gt;0,K848,IF(N(J848)&gt;0,J848,N(Q848))))</f>
        <v/>
      </c>
      <c r="S848" s="55">
        <f>IF(L848="","",ROUND(L848*(1+N(M848)),2))</f>
        <v/>
      </c>
      <c r="T848" s="55">
        <f>IF(B848="","",SUMIFS('REVENUE'!$C$5:$C$1504,'REVENUE'!$B$5:$B$1504,A848))</f>
        <v/>
      </c>
      <c r="U848" s="55">
        <f>IF(B848="","",IF(O848="Completed",MAX(0,N(S848)-T848),""))</f>
        <v/>
      </c>
      <c r="V848" s="49">
        <f>IF(B848="","",IF(O848&lt;&gt;"Completed",IF(T848&gt;0,"Deposit","—"),IF(U848&lt;=0.005,"Paid",IF(T848&gt;0,"Partial","Unpaid"))))</f>
        <v/>
      </c>
      <c r="W848" s="55">
        <f>IF(B848="","",IFERROR(1/(1/INDEX('STAFF &amp; TASKS'!$C$5:$C$24,MATCH(H848,'STAFF &amp; TASKS'!$A$5:$A$24,0))),PayRate))</f>
        <v/>
      </c>
      <c r="X848" s="55">
        <f>IF(B848="","",IF(OR(O848="Cancelled",O848="No-Show"),"",ROUND(R848*W848*(1+Burden),2)))</f>
        <v/>
      </c>
      <c r="Y848" s="55">
        <f>IF(B848="","",IF(OR(O848="Cancelled",O848="No-Show"),"",IF(N848&lt;&gt;"",N848,ROUND(R848*SupHr*IFERROR(INDEX('PRICING'!$G$7:$G$16,MATCH(F848,'PRICING'!$A$7:$A$16,0)),1),2))))</f>
        <v/>
      </c>
      <c r="Z848" s="98">
        <f>IF(B848="","",SUMIFS('MILEAGE'!$J$5:$J$1504,'MILEAGE'!$B$5:$B$1504,A848))</f>
        <v/>
      </c>
      <c r="AA848" s="55">
        <f>IF(B848="","",ROUND(Z848*MileRate,2))</f>
        <v/>
      </c>
      <c r="AB848" s="55">
        <f>IF(B848="","",SUMIFS('REVENUE'!$J$5:$J$1504,'REVENUE'!$B$5:$B$1504,A848))</f>
        <v/>
      </c>
      <c r="AC848" s="55">
        <f>IF(L848="","",IF(OR(O848="Cancelled",O848="No-Show"),"",L848-N(X848)-N(Y848)-AA848-AB848))</f>
        <v/>
      </c>
      <c r="AD848" s="99">
        <f>IF(OR(AC848="",N(L848)=0),"",AC848/L848)</f>
        <v/>
      </c>
      <c r="AE848" s="55">
        <f>IF(OR(AC848="",N(R848)=0),"",L848/R848)</f>
        <v/>
      </c>
      <c r="AF848" s="100">
        <f>IF(OR(N(K848)=0,N(J848)+N(Q848)=0),"",K848-IF(N(J848)&gt;0,J848,Q848))</f>
        <v/>
      </c>
      <c r="AG848" s="99">
        <f>IF(B848="","",IFERROR(AVERAGEIFS('QUALITY CONTROL'!$M$5:$M$304,'QUALITY CONTROL'!$B$5:$B$304,A848),""))</f>
        <v/>
      </c>
      <c r="AH848" s="51">
        <f>IF(B848="","",DATE(YEAR(B848),MONTH(B848),1))</f>
        <v/>
      </c>
      <c r="AI848" s="49">
        <f>IF(D848="","",IFERROR(INDEX('CUSTOMERS'!$E$5:$E$404,MATCH(D848,'CUSTOMERS'!$B$5:$B$404,0)),""))</f>
        <v/>
      </c>
      <c r="AJ848" s="49">
        <f>IF(B848="","",N(C848))</f>
        <v/>
      </c>
      <c r="AK848" s="49">
        <f>IF(OR(B848="",O848="Cancelled",O848="Rescheduled"),"",B848&amp;"|"&amp;(COUNTIFS('JOBS'!$B$5:$B$1504,B848,'JOBS'!$AJ$5:$AJ$1504,"&lt;"&amp;AJ848,'JOBS'!$O$5:$O$1504,"&lt;&gt;Cancelled",'JOBS'!$O$5:$O$1504,"&lt;&gt;Rescheduled")+COUNTIFS($B$5:B848,B848,$AJ$5:AJ848,AJ848,$O$5:O848,"&lt;&gt;Cancelled",$O$5:O848,"&lt;&gt;Rescheduled")))</f>
        <v/>
      </c>
      <c r="AL848" s="49">
        <f>IF(N(U848)&lt;=0.005,"",COUNTIFS('JOBS'!$U$5:$U$1504,"&gt;0.005",'JOBS'!$B$5:$B$1504,"&lt;"&amp;B848)+COUNTIFS($U$5:U848,"&gt;0.005",$B$5:B848,B848))</f>
        <v/>
      </c>
    </row>
    <row r="849">
      <c r="A849" s="46" t="inlineStr">
        <is>
          <t>J-0845</t>
        </is>
      </c>
      <c r="B849" s="47" t="n"/>
      <c r="C849" s="94" t="n"/>
      <c r="D849" s="38" t="n"/>
      <c r="E849" s="38" t="n"/>
      <c r="F849" s="38" t="n"/>
      <c r="G849" s="38" t="n"/>
      <c r="H849" s="38" t="n"/>
      <c r="I849" s="57" t="n"/>
      <c r="J849" s="95" t="n"/>
      <c r="K849" s="95" t="n"/>
      <c r="L849" s="48" t="n"/>
      <c r="M849" s="96" t="n"/>
      <c r="N849" s="48" t="n"/>
      <c r="O849" s="38" t="n"/>
      <c r="P849" s="38" t="n"/>
      <c r="Q849" s="97">
        <f>IF(OR(F849="",E849=""),"",IFERROR(IF(INDEX('PROPERTIES'!$F$5:$F$404,MATCH(E849,'PROPERTIES'!$B$5:$B$404,0))=0,"",ROUND((INDEX('PROPERTIES'!$F$5:$F$404,MATCH(E849,'PROPERTIES'!$B$5:$B$404,0))/INDEX('PRICING'!$C$7:$C$16,MATCH(F849,'PRICING'!$A$7:$A$16,0))+INDEX('PROPERTIES'!$G$5:$G$404,MATCH(E849,'PROPERTIES'!$B$5:$B$404,0))*INDEX('PRICING'!$D$7:$D$16,MATCH(F849,'PRICING'!$A$7:$A$16,0))/60+INDEX('PROPERTIES'!$H$5:$H$404,MATCH(E849,'PROPERTIES'!$B$5:$B$404,0))*INDEX('PRICING'!$E$7:$E$16,MATCH(F849,'PRICING'!$A$7:$A$16,0))/60+INDEX('PRICING'!$F$7:$F$16,MATCH(F849,'PRICING'!$A$7:$A$16,0))/60),2)),""))</f>
        <v/>
      </c>
      <c r="R849" s="97">
        <f>IF(B849="","",IF(N(K849)&gt;0,K849,IF(N(J849)&gt;0,J849,N(Q849))))</f>
        <v/>
      </c>
      <c r="S849" s="55">
        <f>IF(L849="","",ROUND(L849*(1+N(M849)),2))</f>
        <v/>
      </c>
      <c r="T849" s="55">
        <f>IF(B849="","",SUMIFS('REVENUE'!$C$5:$C$1504,'REVENUE'!$B$5:$B$1504,A849))</f>
        <v/>
      </c>
      <c r="U849" s="55">
        <f>IF(B849="","",IF(O849="Completed",MAX(0,N(S849)-T849),""))</f>
        <v/>
      </c>
      <c r="V849" s="49">
        <f>IF(B849="","",IF(O849&lt;&gt;"Completed",IF(T849&gt;0,"Deposit","—"),IF(U849&lt;=0.005,"Paid",IF(T849&gt;0,"Partial","Unpaid"))))</f>
        <v/>
      </c>
      <c r="W849" s="55">
        <f>IF(B849="","",IFERROR(1/(1/INDEX('STAFF &amp; TASKS'!$C$5:$C$24,MATCH(H849,'STAFF &amp; TASKS'!$A$5:$A$24,0))),PayRate))</f>
        <v/>
      </c>
      <c r="X849" s="55">
        <f>IF(B849="","",IF(OR(O849="Cancelled",O849="No-Show"),"",ROUND(R849*W849*(1+Burden),2)))</f>
        <v/>
      </c>
      <c r="Y849" s="55">
        <f>IF(B849="","",IF(OR(O849="Cancelled",O849="No-Show"),"",IF(N849&lt;&gt;"",N849,ROUND(R849*SupHr*IFERROR(INDEX('PRICING'!$G$7:$G$16,MATCH(F849,'PRICING'!$A$7:$A$16,0)),1),2))))</f>
        <v/>
      </c>
      <c r="Z849" s="98">
        <f>IF(B849="","",SUMIFS('MILEAGE'!$J$5:$J$1504,'MILEAGE'!$B$5:$B$1504,A849))</f>
        <v/>
      </c>
      <c r="AA849" s="55">
        <f>IF(B849="","",ROUND(Z849*MileRate,2))</f>
        <v/>
      </c>
      <c r="AB849" s="55">
        <f>IF(B849="","",SUMIFS('REVENUE'!$J$5:$J$1504,'REVENUE'!$B$5:$B$1504,A849))</f>
        <v/>
      </c>
      <c r="AC849" s="55">
        <f>IF(L849="","",IF(OR(O849="Cancelled",O849="No-Show"),"",L849-N(X849)-N(Y849)-AA849-AB849))</f>
        <v/>
      </c>
      <c r="AD849" s="99">
        <f>IF(OR(AC849="",N(L849)=0),"",AC849/L849)</f>
        <v/>
      </c>
      <c r="AE849" s="55">
        <f>IF(OR(AC849="",N(R849)=0),"",L849/R849)</f>
        <v/>
      </c>
      <c r="AF849" s="100">
        <f>IF(OR(N(K849)=0,N(J849)+N(Q849)=0),"",K849-IF(N(J849)&gt;0,J849,Q849))</f>
        <v/>
      </c>
      <c r="AG849" s="99">
        <f>IF(B849="","",IFERROR(AVERAGEIFS('QUALITY CONTROL'!$M$5:$M$304,'QUALITY CONTROL'!$B$5:$B$304,A849),""))</f>
        <v/>
      </c>
      <c r="AH849" s="51">
        <f>IF(B849="","",DATE(YEAR(B849),MONTH(B849),1))</f>
        <v/>
      </c>
      <c r="AI849" s="49">
        <f>IF(D849="","",IFERROR(INDEX('CUSTOMERS'!$E$5:$E$404,MATCH(D849,'CUSTOMERS'!$B$5:$B$404,0)),""))</f>
        <v/>
      </c>
      <c r="AJ849" s="49">
        <f>IF(B849="","",N(C849))</f>
        <v/>
      </c>
      <c r="AK849" s="49">
        <f>IF(OR(B849="",O849="Cancelled",O849="Rescheduled"),"",B849&amp;"|"&amp;(COUNTIFS('JOBS'!$B$5:$B$1504,B849,'JOBS'!$AJ$5:$AJ$1504,"&lt;"&amp;AJ849,'JOBS'!$O$5:$O$1504,"&lt;&gt;Cancelled",'JOBS'!$O$5:$O$1504,"&lt;&gt;Rescheduled")+COUNTIFS($B$5:B849,B849,$AJ$5:AJ849,AJ849,$O$5:O849,"&lt;&gt;Cancelled",$O$5:O849,"&lt;&gt;Rescheduled")))</f>
        <v/>
      </c>
      <c r="AL849" s="49">
        <f>IF(N(U849)&lt;=0.005,"",COUNTIFS('JOBS'!$U$5:$U$1504,"&gt;0.005",'JOBS'!$B$5:$B$1504,"&lt;"&amp;B849)+COUNTIFS($U$5:U849,"&gt;0.005",$B$5:B849,B849))</f>
        <v/>
      </c>
    </row>
    <row r="850">
      <c r="A850" s="46" t="inlineStr">
        <is>
          <t>J-0846</t>
        </is>
      </c>
      <c r="B850" s="47" t="n"/>
      <c r="C850" s="94" t="n"/>
      <c r="D850" s="38" t="n"/>
      <c r="E850" s="38" t="n"/>
      <c r="F850" s="38" t="n"/>
      <c r="G850" s="38" t="n"/>
      <c r="H850" s="38" t="n"/>
      <c r="I850" s="57" t="n"/>
      <c r="J850" s="95" t="n"/>
      <c r="K850" s="95" t="n"/>
      <c r="L850" s="48" t="n"/>
      <c r="M850" s="96" t="n"/>
      <c r="N850" s="48" t="n"/>
      <c r="O850" s="38" t="n"/>
      <c r="P850" s="38" t="n"/>
      <c r="Q850" s="97">
        <f>IF(OR(F850="",E850=""),"",IFERROR(IF(INDEX('PROPERTIES'!$F$5:$F$404,MATCH(E850,'PROPERTIES'!$B$5:$B$404,0))=0,"",ROUND((INDEX('PROPERTIES'!$F$5:$F$404,MATCH(E850,'PROPERTIES'!$B$5:$B$404,0))/INDEX('PRICING'!$C$7:$C$16,MATCH(F850,'PRICING'!$A$7:$A$16,0))+INDEX('PROPERTIES'!$G$5:$G$404,MATCH(E850,'PROPERTIES'!$B$5:$B$404,0))*INDEX('PRICING'!$D$7:$D$16,MATCH(F850,'PRICING'!$A$7:$A$16,0))/60+INDEX('PROPERTIES'!$H$5:$H$404,MATCH(E850,'PROPERTIES'!$B$5:$B$404,0))*INDEX('PRICING'!$E$7:$E$16,MATCH(F850,'PRICING'!$A$7:$A$16,0))/60+INDEX('PRICING'!$F$7:$F$16,MATCH(F850,'PRICING'!$A$7:$A$16,0))/60),2)),""))</f>
        <v/>
      </c>
      <c r="R850" s="97">
        <f>IF(B850="","",IF(N(K850)&gt;0,K850,IF(N(J850)&gt;0,J850,N(Q850))))</f>
        <v/>
      </c>
      <c r="S850" s="55">
        <f>IF(L850="","",ROUND(L850*(1+N(M850)),2))</f>
        <v/>
      </c>
      <c r="T850" s="55">
        <f>IF(B850="","",SUMIFS('REVENUE'!$C$5:$C$1504,'REVENUE'!$B$5:$B$1504,A850))</f>
        <v/>
      </c>
      <c r="U850" s="55">
        <f>IF(B850="","",IF(O850="Completed",MAX(0,N(S850)-T850),""))</f>
        <v/>
      </c>
      <c r="V850" s="49">
        <f>IF(B850="","",IF(O850&lt;&gt;"Completed",IF(T850&gt;0,"Deposit","—"),IF(U850&lt;=0.005,"Paid",IF(T850&gt;0,"Partial","Unpaid"))))</f>
        <v/>
      </c>
      <c r="W850" s="55">
        <f>IF(B850="","",IFERROR(1/(1/INDEX('STAFF &amp; TASKS'!$C$5:$C$24,MATCH(H850,'STAFF &amp; TASKS'!$A$5:$A$24,0))),PayRate))</f>
        <v/>
      </c>
      <c r="X850" s="55">
        <f>IF(B850="","",IF(OR(O850="Cancelled",O850="No-Show"),"",ROUND(R850*W850*(1+Burden),2)))</f>
        <v/>
      </c>
      <c r="Y850" s="55">
        <f>IF(B850="","",IF(OR(O850="Cancelled",O850="No-Show"),"",IF(N850&lt;&gt;"",N850,ROUND(R850*SupHr*IFERROR(INDEX('PRICING'!$G$7:$G$16,MATCH(F850,'PRICING'!$A$7:$A$16,0)),1),2))))</f>
        <v/>
      </c>
      <c r="Z850" s="98">
        <f>IF(B850="","",SUMIFS('MILEAGE'!$J$5:$J$1504,'MILEAGE'!$B$5:$B$1504,A850))</f>
        <v/>
      </c>
      <c r="AA850" s="55">
        <f>IF(B850="","",ROUND(Z850*MileRate,2))</f>
        <v/>
      </c>
      <c r="AB850" s="55">
        <f>IF(B850="","",SUMIFS('REVENUE'!$J$5:$J$1504,'REVENUE'!$B$5:$B$1504,A850))</f>
        <v/>
      </c>
      <c r="AC850" s="55">
        <f>IF(L850="","",IF(OR(O850="Cancelled",O850="No-Show"),"",L850-N(X850)-N(Y850)-AA850-AB850))</f>
        <v/>
      </c>
      <c r="AD850" s="99">
        <f>IF(OR(AC850="",N(L850)=0),"",AC850/L850)</f>
        <v/>
      </c>
      <c r="AE850" s="55">
        <f>IF(OR(AC850="",N(R850)=0),"",L850/R850)</f>
        <v/>
      </c>
      <c r="AF850" s="100">
        <f>IF(OR(N(K850)=0,N(J850)+N(Q850)=0),"",K850-IF(N(J850)&gt;0,J850,Q850))</f>
        <v/>
      </c>
      <c r="AG850" s="99">
        <f>IF(B850="","",IFERROR(AVERAGEIFS('QUALITY CONTROL'!$M$5:$M$304,'QUALITY CONTROL'!$B$5:$B$304,A850),""))</f>
        <v/>
      </c>
      <c r="AH850" s="51">
        <f>IF(B850="","",DATE(YEAR(B850),MONTH(B850),1))</f>
        <v/>
      </c>
      <c r="AI850" s="49">
        <f>IF(D850="","",IFERROR(INDEX('CUSTOMERS'!$E$5:$E$404,MATCH(D850,'CUSTOMERS'!$B$5:$B$404,0)),""))</f>
        <v/>
      </c>
      <c r="AJ850" s="49">
        <f>IF(B850="","",N(C850))</f>
        <v/>
      </c>
      <c r="AK850" s="49">
        <f>IF(OR(B850="",O850="Cancelled",O850="Rescheduled"),"",B850&amp;"|"&amp;(COUNTIFS('JOBS'!$B$5:$B$1504,B850,'JOBS'!$AJ$5:$AJ$1504,"&lt;"&amp;AJ850,'JOBS'!$O$5:$O$1504,"&lt;&gt;Cancelled",'JOBS'!$O$5:$O$1504,"&lt;&gt;Rescheduled")+COUNTIFS($B$5:B850,B850,$AJ$5:AJ850,AJ850,$O$5:O850,"&lt;&gt;Cancelled",$O$5:O850,"&lt;&gt;Rescheduled")))</f>
        <v/>
      </c>
      <c r="AL850" s="49">
        <f>IF(N(U850)&lt;=0.005,"",COUNTIFS('JOBS'!$U$5:$U$1504,"&gt;0.005",'JOBS'!$B$5:$B$1504,"&lt;"&amp;B850)+COUNTIFS($U$5:U850,"&gt;0.005",$B$5:B850,B850))</f>
        <v/>
      </c>
    </row>
    <row r="851">
      <c r="A851" s="46" t="inlineStr">
        <is>
          <t>J-0847</t>
        </is>
      </c>
      <c r="B851" s="47" t="n"/>
      <c r="C851" s="94" t="n"/>
      <c r="D851" s="38" t="n"/>
      <c r="E851" s="38" t="n"/>
      <c r="F851" s="38" t="n"/>
      <c r="G851" s="38" t="n"/>
      <c r="H851" s="38" t="n"/>
      <c r="I851" s="57" t="n"/>
      <c r="J851" s="95" t="n"/>
      <c r="K851" s="95" t="n"/>
      <c r="L851" s="48" t="n"/>
      <c r="M851" s="96" t="n"/>
      <c r="N851" s="48" t="n"/>
      <c r="O851" s="38" t="n"/>
      <c r="P851" s="38" t="n"/>
      <c r="Q851" s="97">
        <f>IF(OR(F851="",E851=""),"",IFERROR(IF(INDEX('PROPERTIES'!$F$5:$F$404,MATCH(E851,'PROPERTIES'!$B$5:$B$404,0))=0,"",ROUND((INDEX('PROPERTIES'!$F$5:$F$404,MATCH(E851,'PROPERTIES'!$B$5:$B$404,0))/INDEX('PRICING'!$C$7:$C$16,MATCH(F851,'PRICING'!$A$7:$A$16,0))+INDEX('PROPERTIES'!$G$5:$G$404,MATCH(E851,'PROPERTIES'!$B$5:$B$404,0))*INDEX('PRICING'!$D$7:$D$16,MATCH(F851,'PRICING'!$A$7:$A$16,0))/60+INDEX('PROPERTIES'!$H$5:$H$404,MATCH(E851,'PROPERTIES'!$B$5:$B$404,0))*INDEX('PRICING'!$E$7:$E$16,MATCH(F851,'PRICING'!$A$7:$A$16,0))/60+INDEX('PRICING'!$F$7:$F$16,MATCH(F851,'PRICING'!$A$7:$A$16,0))/60),2)),""))</f>
        <v/>
      </c>
      <c r="R851" s="97">
        <f>IF(B851="","",IF(N(K851)&gt;0,K851,IF(N(J851)&gt;0,J851,N(Q851))))</f>
        <v/>
      </c>
      <c r="S851" s="55">
        <f>IF(L851="","",ROUND(L851*(1+N(M851)),2))</f>
        <v/>
      </c>
      <c r="T851" s="55">
        <f>IF(B851="","",SUMIFS('REVENUE'!$C$5:$C$1504,'REVENUE'!$B$5:$B$1504,A851))</f>
        <v/>
      </c>
      <c r="U851" s="55">
        <f>IF(B851="","",IF(O851="Completed",MAX(0,N(S851)-T851),""))</f>
        <v/>
      </c>
      <c r="V851" s="49">
        <f>IF(B851="","",IF(O851&lt;&gt;"Completed",IF(T851&gt;0,"Deposit","—"),IF(U851&lt;=0.005,"Paid",IF(T851&gt;0,"Partial","Unpaid"))))</f>
        <v/>
      </c>
      <c r="W851" s="55">
        <f>IF(B851="","",IFERROR(1/(1/INDEX('STAFF &amp; TASKS'!$C$5:$C$24,MATCH(H851,'STAFF &amp; TASKS'!$A$5:$A$24,0))),PayRate))</f>
        <v/>
      </c>
      <c r="X851" s="55">
        <f>IF(B851="","",IF(OR(O851="Cancelled",O851="No-Show"),"",ROUND(R851*W851*(1+Burden),2)))</f>
        <v/>
      </c>
      <c r="Y851" s="55">
        <f>IF(B851="","",IF(OR(O851="Cancelled",O851="No-Show"),"",IF(N851&lt;&gt;"",N851,ROUND(R851*SupHr*IFERROR(INDEX('PRICING'!$G$7:$G$16,MATCH(F851,'PRICING'!$A$7:$A$16,0)),1),2))))</f>
        <v/>
      </c>
      <c r="Z851" s="98">
        <f>IF(B851="","",SUMIFS('MILEAGE'!$J$5:$J$1504,'MILEAGE'!$B$5:$B$1504,A851))</f>
        <v/>
      </c>
      <c r="AA851" s="55">
        <f>IF(B851="","",ROUND(Z851*MileRate,2))</f>
        <v/>
      </c>
      <c r="AB851" s="55">
        <f>IF(B851="","",SUMIFS('REVENUE'!$J$5:$J$1504,'REVENUE'!$B$5:$B$1504,A851))</f>
        <v/>
      </c>
      <c r="AC851" s="55">
        <f>IF(L851="","",IF(OR(O851="Cancelled",O851="No-Show"),"",L851-N(X851)-N(Y851)-AA851-AB851))</f>
        <v/>
      </c>
      <c r="AD851" s="99">
        <f>IF(OR(AC851="",N(L851)=0),"",AC851/L851)</f>
        <v/>
      </c>
      <c r="AE851" s="55">
        <f>IF(OR(AC851="",N(R851)=0),"",L851/R851)</f>
        <v/>
      </c>
      <c r="AF851" s="100">
        <f>IF(OR(N(K851)=0,N(J851)+N(Q851)=0),"",K851-IF(N(J851)&gt;0,J851,Q851))</f>
        <v/>
      </c>
      <c r="AG851" s="99">
        <f>IF(B851="","",IFERROR(AVERAGEIFS('QUALITY CONTROL'!$M$5:$M$304,'QUALITY CONTROL'!$B$5:$B$304,A851),""))</f>
        <v/>
      </c>
      <c r="AH851" s="51">
        <f>IF(B851="","",DATE(YEAR(B851),MONTH(B851),1))</f>
        <v/>
      </c>
      <c r="AI851" s="49">
        <f>IF(D851="","",IFERROR(INDEX('CUSTOMERS'!$E$5:$E$404,MATCH(D851,'CUSTOMERS'!$B$5:$B$404,0)),""))</f>
        <v/>
      </c>
      <c r="AJ851" s="49">
        <f>IF(B851="","",N(C851))</f>
        <v/>
      </c>
      <c r="AK851" s="49">
        <f>IF(OR(B851="",O851="Cancelled",O851="Rescheduled"),"",B851&amp;"|"&amp;(COUNTIFS('JOBS'!$B$5:$B$1504,B851,'JOBS'!$AJ$5:$AJ$1504,"&lt;"&amp;AJ851,'JOBS'!$O$5:$O$1504,"&lt;&gt;Cancelled",'JOBS'!$O$5:$O$1504,"&lt;&gt;Rescheduled")+COUNTIFS($B$5:B851,B851,$AJ$5:AJ851,AJ851,$O$5:O851,"&lt;&gt;Cancelled",$O$5:O851,"&lt;&gt;Rescheduled")))</f>
        <v/>
      </c>
      <c r="AL851" s="49">
        <f>IF(N(U851)&lt;=0.005,"",COUNTIFS('JOBS'!$U$5:$U$1504,"&gt;0.005",'JOBS'!$B$5:$B$1504,"&lt;"&amp;B851)+COUNTIFS($U$5:U851,"&gt;0.005",$B$5:B851,B851))</f>
        <v/>
      </c>
    </row>
    <row r="852">
      <c r="A852" s="46" t="inlineStr">
        <is>
          <t>J-0848</t>
        </is>
      </c>
      <c r="B852" s="47" t="n"/>
      <c r="C852" s="94" t="n"/>
      <c r="D852" s="38" t="n"/>
      <c r="E852" s="38" t="n"/>
      <c r="F852" s="38" t="n"/>
      <c r="G852" s="38" t="n"/>
      <c r="H852" s="38" t="n"/>
      <c r="I852" s="57" t="n"/>
      <c r="J852" s="95" t="n"/>
      <c r="K852" s="95" t="n"/>
      <c r="L852" s="48" t="n"/>
      <c r="M852" s="96" t="n"/>
      <c r="N852" s="48" t="n"/>
      <c r="O852" s="38" t="n"/>
      <c r="P852" s="38" t="n"/>
      <c r="Q852" s="97">
        <f>IF(OR(F852="",E852=""),"",IFERROR(IF(INDEX('PROPERTIES'!$F$5:$F$404,MATCH(E852,'PROPERTIES'!$B$5:$B$404,0))=0,"",ROUND((INDEX('PROPERTIES'!$F$5:$F$404,MATCH(E852,'PROPERTIES'!$B$5:$B$404,0))/INDEX('PRICING'!$C$7:$C$16,MATCH(F852,'PRICING'!$A$7:$A$16,0))+INDEX('PROPERTIES'!$G$5:$G$404,MATCH(E852,'PROPERTIES'!$B$5:$B$404,0))*INDEX('PRICING'!$D$7:$D$16,MATCH(F852,'PRICING'!$A$7:$A$16,0))/60+INDEX('PROPERTIES'!$H$5:$H$404,MATCH(E852,'PROPERTIES'!$B$5:$B$404,0))*INDEX('PRICING'!$E$7:$E$16,MATCH(F852,'PRICING'!$A$7:$A$16,0))/60+INDEX('PRICING'!$F$7:$F$16,MATCH(F852,'PRICING'!$A$7:$A$16,0))/60),2)),""))</f>
        <v/>
      </c>
      <c r="R852" s="97">
        <f>IF(B852="","",IF(N(K852)&gt;0,K852,IF(N(J852)&gt;0,J852,N(Q852))))</f>
        <v/>
      </c>
      <c r="S852" s="55">
        <f>IF(L852="","",ROUND(L852*(1+N(M852)),2))</f>
        <v/>
      </c>
      <c r="T852" s="55">
        <f>IF(B852="","",SUMIFS('REVENUE'!$C$5:$C$1504,'REVENUE'!$B$5:$B$1504,A852))</f>
        <v/>
      </c>
      <c r="U852" s="55">
        <f>IF(B852="","",IF(O852="Completed",MAX(0,N(S852)-T852),""))</f>
        <v/>
      </c>
      <c r="V852" s="49">
        <f>IF(B852="","",IF(O852&lt;&gt;"Completed",IF(T852&gt;0,"Deposit","—"),IF(U852&lt;=0.005,"Paid",IF(T852&gt;0,"Partial","Unpaid"))))</f>
        <v/>
      </c>
      <c r="W852" s="55">
        <f>IF(B852="","",IFERROR(1/(1/INDEX('STAFF &amp; TASKS'!$C$5:$C$24,MATCH(H852,'STAFF &amp; TASKS'!$A$5:$A$24,0))),PayRate))</f>
        <v/>
      </c>
      <c r="X852" s="55">
        <f>IF(B852="","",IF(OR(O852="Cancelled",O852="No-Show"),"",ROUND(R852*W852*(1+Burden),2)))</f>
        <v/>
      </c>
      <c r="Y852" s="55">
        <f>IF(B852="","",IF(OR(O852="Cancelled",O852="No-Show"),"",IF(N852&lt;&gt;"",N852,ROUND(R852*SupHr*IFERROR(INDEX('PRICING'!$G$7:$G$16,MATCH(F852,'PRICING'!$A$7:$A$16,0)),1),2))))</f>
        <v/>
      </c>
      <c r="Z852" s="98">
        <f>IF(B852="","",SUMIFS('MILEAGE'!$J$5:$J$1504,'MILEAGE'!$B$5:$B$1504,A852))</f>
        <v/>
      </c>
      <c r="AA852" s="55">
        <f>IF(B852="","",ROUND(Z852*MileRate,2))</f>
        <v/>
      </c>
      <c r="AB852" s="55">
        <f>IF(B852="","",SUMIFS('REVENUE'!$J$5:$J$1504,'REVENUE'!$B$5:$B$1504,A852))</f>
        <v/>
      </c>
      <c r="AC852" s="55">
        <f>IF(L852="","",IF(OR(O852="Cancelled",O852="No-Show"),"",L852-N(X852)-N(Y852)-AA852-AB852))</f>
        <v/>
      </c>
      <c r="AD852" s="99">
        <f>IF(OR(AC852="",N(L852)=0),"",AC852/L852)</f>
        <v/>
      </c>
      <c r="AE852" s="55">
        <f>IF(OR(AC852="",N(R852)=0),"",L852/R852)</f>
        <v/>
      </c>
      <c r="AF852" s="100">
        <f>IF(OR(N(K852)=0,N(J852)+N(Q852)=0),"",K852-IF(N(J852)&gt;0,J852,Q852))</f>
        <v/>
      </c>
      <c r="AG852" s="99">
        <f>IF(B852="","",IFERROR(AVERAGEIFS('QUALITY CONTROL'!$M$5:$M$304,'QUALITY CONTROL'!$B$5:$B$304,A852),""))</f>
        <v/>
      </c>
      <c r="AH852" s="51">
        <f>IF(B852="","",DATE(YEAR(B852),MONTH(B852),1))</f>
        <v/>
      </c>
      <c r="AI852" s="49">
        <f>IF(D852="","",IFERROR(INDEX('CUSTOMERS'!$E$5:$E$404,MATCH(D852,'CUSTOMERS'!$B$5:$B$404,0)),""))</f>
        <v/>
      </c>
      <c r="AJ852" s="49">
        <f>IF(B852="","",N(C852))</f>
        <v/>
      </c>
      <c r="AK852" s="49">
        <f>IF(OR(B852="",O852="Cancelled",O852="Rescheduled"),"",B852&amp;"|"&amp;(COUNTIFS('JOBS'!$B$5:$B$1504,B852,'JOBS'!$AJ$5:$AJ$1504,"&lt;"&amp;AJ852,'JOBS'!$O$5:$O$1504,"&lt;&gt;Cancelled",'JOBS'!$O$5:$O$1504,"&lt;&gt;Rescheduled")+COUNTIFS($B$5:B852,B852,$AJ$5:AJ852,AJ852,$O$5:O852,"&lt;&gt;Cancelled",$O$5:O852,"&lt;&gt;Rescheduled")))</f>
        <v/>
      </c>
      <c r="AL852" s="49">
        <f>IF(N(U852)&lt;=0.005,"",COUNTIFS('JOBS'!$U$5:$U$1504,"&gt;0.005",'JOBS'!$B$5:$B$1504,"&lt;"&amp;B852)+COUNTIFS($U$5:U852,"&gt;0.005",$B$5:B852,B852))</f>
        <v/>
      </c>
    </row>
    <row r="853">
      <c r="A853" s="46" t="inlineStr">
        <is>
          <t>J-0849</t>
        </is>
      </c>
      <c r="B853" s="47" t="n"/>
      <c r="C853" s="94" t="n"/>
      <c r="D853" s="38" t="n"/>
      <c r="E853" s="38" t="n"/>
      <c r="F853" s="38" t="n"/>
      <c r="G853" s="38" t="n"/>
      <c r="H853" s="38" t="n"/>
      <c r="I853" s="57" t="n"/>
      <c r="J853" s="95" t="n"/>
      <c r="K853" s="95" t="n"/>
      <c r="L853" s="48" t="n"/>
      <c r="M853" s="96" t="n"/>
      <c r="N853" s="48" t="n"/>
      <c r="O853" s="38" t="n"/>
      <c r="P853" s="38" t="n"/>
      <c r="Q853" s="97">
        <f>IF(OR(F853="",E853=""),"",IFERROR(IF(INDEX('PROPERTIES'!$F$5:$F$404,MATCH(E853,'PROPERTIES'!$B$5:$B$404,0))=0,"",ROUND((INDEX('PROPERTIES'!$F$5:$F$404,MATCH(E853,'PROPERTIES'!$B$5:$B$404,0))/INDEX('PRICING'!$C$7:$C$16,MATCH(F853,'PRICING'!$A$7:$A$16,0))+INDEX('PROPERTIES'!$G$5:$G$404,MATCH(E853,'PROPERTIES'!$B$5:$B$404,0))*INDEX('PRICING'!$D$7:$D$16,MATCH(F853,'PRICING'!$A$7:$A$16,0))/60+INDEX('PROPERTIES'!$H$5:$H$404,MATCH(E853,'PROPERTIES'!$B$5:$B$404,0))*INDEX('PRICING'!$E$7:$E$16,MATCH(F853,'PRICING'!$A$7:$A$16,0))/60+INDEX('PRICING'!$F$7:$F$16,MATCH(F853,'PRICING'!$A$7:$A$16,0))/60),2)),""))</f>
        <v/>
      </c>
      <c r="R853" s="97">
        <f>IF(B853="","",IF(N(K853)&gt;0,K853,IF(N(J853)&gt;0,J853,N(Q853))))</f>
        <v/>
      </c>
      <c r="S853" s="55">
        <f>IF(L853="","",ROUND(L853*(1+N(M853)),2))</f>
        <v/>
      </c>
      <c r="T853" s="55">
        <f>IF(B853="","",SUMIFS('REVENUE'!$C$5:$C$1504,'REVENUE'!$B$5:$B$1504,A853))</f>
        <v/>
      </c>
      <c r="U853" s="55">
        <f>IF(B853="","",IF(O853="Completed",MAX(0,N(S853)-T853),""))</f>
        <v/>
      </c>
      <c r="V853" s="49">
        <f>IF(B853="","",IF(O853&lt;&gt;"Completed",IF(T853&gt;0,"Deposit","—"),IF(U853&lt;=0.005,"Paid",IF(T853&gt;0,"Partial","Unpaid"))))</f>
        <v/>
      </c>
      <c r="W853" s="55">
        <f>IF(B853="","",IFERROR(1/(1/INDEX('STAFF &amp; TASKS'!$C$5:$C$24,MATCH(H853,'STAFF &amp; TASKS'!$A$5:$A$24,0))),PayRate))</f>
        <v/>
      </c>
      <c r="X853" s="55">
        <f>IF(B853="","",IF(OR(O853="Cancelled",O853="No-Show"),"",ROUND(R853*W853*(1+Burden),2)))</f>
        <v/>
      </c>
      <c r="Y853" s="55">
        <f>IF(B853="","",IF(OR(O853="Cancelled",O853="No-Show"),"",IF(N853&lt;&gt;"",N853,ROUND(R853*SupHr*IFERROR(INDEX('PRICING'!$G$7:$G$16,MATCH(F853,'PRICING'!$A$7:$A$16,0)),1),2))))</f>
        <v/>
      </c>
      <c r="Z853" s="98">
        <f>IF(B853="","",SUMIFS('MILEAGE'!$J$5:$J$1504,'MILEAGE'!$B$5:$B$1504,A853))</f>
        <v/>
      </c>
      <c r="AA853" s="55">
        <f>IF(B853="","",ROUND(Z853*MileRate,2))</f>
        <v/>
      </c>
      <c r="AB853" s="55">
        <f>IF(B853="","",SUMIFS('REVENUE'!$J$5:$J$1504,'REVENUE'!$B$5:$B$1504,A853))</f>
        <v/>
      </c>
      <c r="AC853" s="55">
        <f>IF(L853="","",IF(OR(O853="Cancelled",O853="No-Show"),"",L853-N(X853)-N(Y853)-AA853-AB853))</f>
        <v/>
      </c>
      <c r="AD853" s="99">
        <f>IF(OR(AC853="",N(L853)=0),"",AC853/L853)</f>
        <v/>
      </c>
      <c r="AE853" s="55">
        <f>IF(OR(AC853="",N(R853)=0),"",L853/R853)</f>
        <v/>
      </c>
      <c r="AF853" s="100">
        <f>IF(OR(N(K853)=0,N(J853)+N(Q853)=0),"",K853-IF(N(J853)&gt;0,J853,Q853))</f>
        <v/>
      </c>
      <c r="AG853" s="99">
        <f>IF(B853="","",IFERROR(AVERAGEIFS('QUALITY CONTROL'!$M$5:$M$304,'QUALITY CONTROL'!$B$5:$B$304,A853),""))</f>
        <v/>
      </c>
      <c r="AH853" s="51">
        <f>IF(B853="","",DATE(YEAR(B853),MONTH(B853),1))</f>
        <v/>
      </c>
      <c r="AI853" s="49">
        <f>IF(D853="","",IFERROR(INDEX('CUSTOMERS'!$E$5:$E$404,MATCH(D853,'CUSTOMERS'!$B$5:$B$404,0)),""))</f>
        <v/>
      </c>
      <c r="AJ853" s="49">
        <f>IF(B853="","",N(C853))</f>
        <v/>
      </c>
      <c r="AK853" s="49">
        <f>IF(OR(B853="",O853="Cancelled",O853="Rescheduled"),"",B853&amp;"|"&amp;(COUNTIFS('JOBS'!$B$5:$B$1504,B853,'JOBS'!$AJ$5:$AJ$1504,"&lt;"&amp;AJ853,'JOBS'!$O$5:$O$1504,"&lt;&gt;Cancelled",'JOBS'!$O$5:$O$1504,"&lt;&gt;Rescheduled")+COUNTIFS($B$5:B853,B853,$AJ$5:AJ853,AJ853,$O$5:O853,"&lt;&gt;Cancelled",$O$5:O853,"&lt;&gt;Rescheduled")))</f>
        <v/>
      </c>
      <c r="AL853" s="49">
        <f>IF(N(U853)&lt;=0.005,"",COUNTIFS('JOBS'!$U$5:$U$1504,"&gt;0.005",'JOBS'!$B$5:$B$1504,"&lt;"&amp;B853)+COUNTIFS($U$5:U853,"&gt;0.005",$B$5:B853,B853))</f>
        <v/>
      </c>
    </row>
    <row r="854">
      <c r="A854" s="46" t="inlineStr">
        <is>
          <t>J-0850</t>
        </is>
      </c>
      <c r="B854" s="47" t="n"/>
      <c r="C854" s="94" t="n"/>
      <c r="D854" s="38" t="n"/>
      <c r="E854" s="38" t="n"/>
      <c r="F854" s="38" t="n"/>
      <c r="G854" s="38" t="n"/>
      <c r="H854" s="38" t="n"/>
      <c r="I854" s="57" t="n"/>
      <c r="J854" s="95" t="n"/>
      <c r="K854" s="95" t="n"/>
      <c r="L854" s="48" t="n"/>
      <c r="M854" s="96" t="n"/>
      <c r="N854" s="48" t="n"/>
      <c r="O854" s="38" t="n"/>
      <c r="P854" s="38" t="n"/>
      <c r="Q854" s="97">
        <f>IF(OR(F854="",E854=""),"",IFERROR(IF(INDEX('PROPERTIES'!$F$5:$F$404,MATCH(E854,'PROPERTIES'!$B$5:$B$404,0))=0,"",ROUND((INDEX('PROPERTIES'!$F$5:$F$404,MATCH(E854,'PROPERTIES'!$B$5:$B$404,0))/INDEX('PRICING'!$C$7:$C$16,MATCH(F854,'PRICING'!$A$7:$A$16,0))+INDEX('PROPERTIES'!$G$5:$G$404,MATCH(E854,'PROPERTIES'!$B$5:$B$404,0))*INDEX('PRICING'!$D$7:$D$16,MATCH(F854,'PRICING'!$A$7:$A$16,0))/60+INDEX('PROPERTIES'!$H$5:$H$404,MATCH(E854,'PROPERTIES'!$B$5:$B$404,0))*INDEX('PRICING'!$E$7:$E$16,MATCH(F854,'PRICING'!$A$7:$A$16,0))/60+INDEX('PRICING'!$F$7:$F$16,MATCH(F854,'PRICING'!$A$7:$A$16,0))/60),2)),""))</f>
        <v/>
      </c>
      <c r="R854" s="97">
        <f>IF(B854="","",IF(N(K854)&gt;0,K854,IF(N(J854)&gt;0,J854,N(Q854))))</f>
        <v/>
      </c>
      <c r="S854" s="55">
        <f>IF(L854="","",ROUND(L854*(1+N(M854)),2))</f>
        <v/>
      </c>
      <c r="T854" s="55">
        <f>IF(B854="","",SUMIFS('REVENUE'!$C$5:$C$1504,'REVENUE'!$B$5:$B$1504,A854))</f>
        <v/>
      </c>
      <c r="U854" s="55">
        <f>IF(B854="","",IF(O854="Completed",MAX(0,N(S854)-T854),""))</f>
        <v/>
      </c>
      <c r="V854" s="49">
        <f>IF(B854="","",IF(O854&lt;&gt;"Completed",IF(T854&gt;0,"Deposit","—"),IF(U854&lt;=0.005,"Paid",IF(T854&gt;0,"Partial","Unpaid"))))</f>
        <v/>
      </c>
      <c r="W854" s="55">
        <f>IF(B854="","",IFERROR(1/(1/INDEX('STAFF &amp; TASKS'!$C$5:$C$24,MATCH(H854,'STAFF &amp; TASKS'!$A$5:$A$24,0))),PayRate))</f>
        <v/>
      </c>
      <c r="X854" s="55">
        <f>IF(B854="","",IF(OR(O854="Cancelled",O854="No-Show"),"",ROUND(R854*W854*(1+Burden),2)))</f>
        <v/>
      </c>
      <c r="Y854" s="55">
        <f>IF(B854="","",IF(OR(O854="Cancelled",O854="No-Show"),"",IF(N854&lt;&gt;"",N854,ROUND(R854*SupHr*IFERROR(INDEX('PRICING'!$G$7:$G$16,MATCH(F854,'PRICING'!$A$7:$A$16,0)),1),2))))</f>
        <v/>
      </c>
      <c r="Z854" s="98">
        <f>IF(B854="","",SUMIFS('MILEAGE'!$J$5:$J$1504,'MILEAGE'!$B$5:$B$1504,A854))</f>
        <v/>
      </c>
      <c r="AA854" s="55">
        <f>IF(B854="","",ROUND(Z854*MileRate,2))</f>
        <v/>
      </c>
      <c r="AB854" s="55">
        <f>IF(B854="","",SUMIFS('REVENUE'!$J$5:$J$1504,'REVENUE'!$B$5:$B$1504,A854))</f>
        <v/>
      </c>
      <c r="AC854" s="55">
        <f>IF(L854="","",IF(OR(O854="Cancelled",O854="No-Show"),"",L854-N(X854)-N(Y854)-AA854-AB854))</f>
        <v/>
      </c>
      <c r="AD854" s="99">
        <f>IF(OR(AC854="",N(L854)=0),"",AC854/L854)</f>
        <v/>
      </c>
      <c r="AE854" s="55">
        <f>IF(OR(AC854="",N(R854)=0),"",L854/R854)</f>
        <v/>
      </c>
      <c r="AF854" s="100">
        <f>IF(OR(N(K854)=0,N(J854)+N(Q854)=0),"",K854-IF(N(J854)&gt;0,J854,Q854))</f>
        <v/>
      </c>
      <c r="AG854" s="99">
        <f>IF(B854="","",IFERROR(AVERAGEIFS('QUALITY CONTROL'!$M$5:$M$304,'QUALITY CONTROL'!$B$5:$B$304,A854),""))</f>
        <v/>
      </c>
      <c r="AH854" s="51">
        <f>IF(B854="","",DATE(YEAR(B854),MONTH(B854),1))</f>
        <v/>
      </c>
      <c r="AI854" s="49">
        <f>IF(D854="","",IFERROR(INDEX('CUSTOMERS'!$E$5:$E$404,MATCH(D854,'CUSTOMERS'!$B$5:$B$404,0)),""))</f>
        <v/>
      </c>
      <c r="AJ854" s="49">
        <f>IF(B854="","",N(C854))</f>
        <v/>
      </c>
      <c r="AK854" s="49">
        <f>IF(OR(B854="",O854="Cancelled",O854="Rescheduled"),"",B854&amp;"|"&amp;(COUNTIFS('JOBS'!$B$5:$B$1504,B854,'JOBS'!$AJ$5:$AJ$1504,"&lt;"&amp;AJ854,'JOBS'!$O$5:$O$1504,"&lt;&gt;Cancelled",'JOBS'!$O$5:$O$1504,"&lt;&gt;Rescheduled")+COUNTIFS($B$5:B854,B854,$AJ$5:AJ854,AJ854,$O$5:O854,"&lt;&gt;Cancelled",$O$5:O854,"&lt;&gt;Rescheduled")))</f>
        <v/>
      </c>
      <c r="AL854" s="49">
        <f>IF(N(U854)&lt;=0.005,"",COUNTIFS('JOBS'!$U$5:$U$1504,"&gt;0.005",'JOBS'!$B$5:$B$1504,"&lt;"&amp;B854)+COUNTIFS($U$5:U854,"&gt;0.005",$B$5:B854,B854))</f>
        <v/>
      </c>
    </row>
    <row r="855">
      <c r="A855" s="46" t="inlineStr">
        <is>
          <t>J-0851</t>
        </is>
      </c>
      <c r="B855" s="47" t="n"/>
      <c r="C855" s="94" t="n"/>
      <c r="D855" s="38" t="n"/>
      <c r="E855" s="38" t="n"/>
      <c r="F855" s="38" t="n"/>
      <c r="G855" s="38" t="n"/>
      <c r="H855" s="38" t="n"/>
      <c r="I855" s="57" t="n"/>
      <c r="J855" s="95" t="n"/>
      <c r="K855" s="95" t="n"/>
      <c r="L855" s="48" t="n"/>
      <c r="M855" s="96" t="n"/>
      <c r="N855" s="48" t="n"/>
      <c r="O855" s="38" t="n"/>
      <c r="P855" s="38" t="n"/>
      <c r="Q855" s="97">
        <f>IF(OR(F855="",E855=""),"",IFERROR(IF(INDEX('PROPERTIES'!$F$5:$F$404,MATCH(E855,'PROPERTIES'!$B$5:$B$404,0))=0,"",ROUND((INDEX('PROPERTIES'!$F$5:$F$404,MATCH(E855,'PROPERTIES'!$B$5:$B$404,0))/INDEX('PRICING'!$C$7:$C$16,MATCH(F855,'PRICING'!$A$7:$A$16,0))+INDEX('PROPERTIES'!$G$5:$G$404,MATCH(E855,'PROPERTIES'!$B$5:$B$404,0))*INDEX('PRICING'!$D$7:$D$16,MATCH(F855,'PRICING'!$A$7:$A$16,0))/60+INDEX('PROPERTIES'!$H$5:$H$404,MATCH(E855,'PROPERTIES'!$B$5:$B$404,0))*INDEX('PRICING'!$E$7:$E$16,MATCH(F855,'PRICING'!$A$7:$A$16,0))/60+INDEX('PRICING'!$F$7:$F$16,MATCH(F855,'PRICING'!$A$7:$A$16,0))/60),2)),""))</f>
        <v/>
      </c>
      <c r="R855" s="97">
        <f>IF(B855="","",IF(N(K855)&gt;0,K855,IF(N(J855)&gt;0,J855,N(Q855))))</f>
        <v/>
      </c>
      <c r="S855" s="55">
        <f>IF(L855="","",ROUND(L855*(1+N(M855)),2))</f>
        <v/>
      </c>
      <c r="T855" s="55">
        <f>IF(B855="","",SUMIFS('REVENUE'!$C$5:$C$1504,'REVENUE'!$B$5:$B$1504,A855))</f>
        <v/>
      </c>
      <c r="U855" s="55">
        <f>IF(B855="","",IF(O855="Completed",MAX(0,N(S855)-T855),""))</f>
        <v/>
      </c>
      <c r="V855" s="49">
        <f>IF(B855="","",IF(O855&lt;&gt;"Completed",IF(T855&gt;0,"Deposit","—"),IF(U855&lt;=0.005,"Paid",IF(T855&gt;0,"Partial","Unpaid"))))</f>
        <v/>
      </c>
      <c r="W855" s="55">
        <f>IF(B855="","",IFERROR(1/(1/INDEX('STAFF &amp; TASKS'!$C$5:$C$24,MATCH(H855,'STAFF &amp; TASKS'!$A$5:$A$24,0))),PayRate))</f>
        <v/>
      </c>
      <c r="X855" s="55">
        <f>IF(B855="","",IF(OR(O855="Cancelled",O855="No-Show"),"",ROUND(R855*W855*(1+Burden),2)))</f>
        <v/>
      </c>
      <c r="Y855" s="55">
        <f>IF(B855="","",IF(OR(O855="Cancelled",O855="No-Show"),"",IF(N855&lt;&gt;"",N855,ROUND(R855*SupHr*IFERROR(INDEX('PRICING'!$G$7:$G$16,MATCH(F855,'PRICING'!$A$7:$A$16,0)),1),2))))</f>
        <v/>
      </c>
      <c r="Z855" s="98">
        <f>IF(B855="","",SUMIFS('MILEAGE'!$J$5:$J$1504,'MILEAGE'!$B$5:$B$1504,A855))</f>
        <v/>
      </c>
      <c r="AA855" s="55">
        <f>IF(B855="","",ROUND(Z855*MileRate,2))</f>
        <v/>
      </c>
      <c r="AB855" s="55">
        <f>IF(B855="","",SUMIFS('REVENUE'!$J$5:$J$1504,'REVENUE'!$B$5:$B$1504,A855))</f>
        <v/>
      </c>
      <c r="AC855" s="55">
        <f>IF(L855="","",IF(OR(O855="Cancelled",O855="No-Show"),"",L855-N(X855)-N(Y855)-AA855-AB855))</f>
        <v/>
      </c>
      <c r="AD855" s="99">
        <f>IF(OR(AC855="",N(L855)=0),"",AC855/L855)</f>
        <v/>
      </c>
      <c r="AE855" s="55">
        <f>IF(OR(AC855="",N(R855)=0),"",L855/R855)</f>
        <v/>
      </c>
      <c r="AF855" s="100">
        <f>IF(OR(N(K855)=0,N(J855)+N(Q855)=0),"",K855-IF(N(J855)&gt;0,J855,Q855))</f>
        <v/>
      </c>
      <c r="AG855" s="99">
        <f>IF(B855="","",IFERROR(AVERAGEIFS('QUALITY CONTROL'!$M$5:$M$304,'QUALITY CONTROL'!$B$5:$B$304,A855),""))</f>
        <v/>
      </c>
      <c r="AH855" s="51">
        <f>IF(B855="","",DATE(YEAR(B855),MONTH(B855),1))</f>
        <v/>
      </c>
      <c r="AI855" s="49">
        <f>IF(D855="","",IFERROR(INDEX('CUSTOMERS'!$E$5:$E$404,MATCH(D855,'CUSTOMERS'!$B$5:$B$404,0)),""))</f>
        <v/>
      </c>
      <c r="AJ855" s="49">
        <f>IF(B855="","",N(C855))</f>
        <v/>
      </c>
      <c r="AK855" s="49">
        <f>IF(OR(B855="",O855="Cancelled",O855="Rescheduled"),"",B855&amp;"|"&amp;(COUNTIFS('JOBS'!$B$5:$B$1504,B855,'JOBS'!$AJ$5:$AJ$1504,"&lt;"&amp;AJ855,'JOBS'!$O$5:$O$1504,"&lt;&gt;Cancelled",'JOBS'!$O$5:$O$1504,"&lt;&gt;Rescheduled")+COUNTIFS($B$5:B855,B855,$AJ$5:AJ855,AJ855,$O$5:O855,"&lt;&gt;Cancelled",$O$5:O855,"&lt;&gt;Rescheduled")))</f>
        <v/>
      </c>
      <c r="AL855" s="49">
        <f>IF(N(U855)&lt;=0.005,"",COUNTIFS('JOBS'!$U$5:$U$1504,"&gt;0.005",'JOBS'!$B$5:$B$1504,"&lt;"&amp;B855)+COUNTIFS($U$5:U855,"&gt;0.005",$B$5:B855,B855))</f>
        <v/>
      </c>
    </row>
    <row r="856">
      <c r="A856" s="46" t="inlineStr">
        <is>
          <t>J-0852</t>
        </is>
      </c>
      <c r="B856" s="47" t="n"/>
      <c r="C856" s="94" t="n"/>
      <c r="D856" s="38" t="n"/>
      <c r="E856" s="38" t="n"/>
      <c r="F856" s="38" t="n"/>
      <c r="G856" s="38" t="n"/>
      <c r="H856" s="38" t="n"/>
      <c r="I856" s="57" t="n"/>
      <c r="J856" s="95" t="n"/>
      <c r="K856" s="95" t="n"/>
      <c r="L856" s="48" t="n"/>
      <c r="M856" s="96" t="n"/>
      <c r="N856" s="48" t="n"/>
      <c r="O856" s="38" t="n"/>
      <c r="P856" s="38" t="n"/>
      <c r="Q856" s="97">
        <f>IF(OR(F856="",E856=""),"",IFERROR(IF(INDEX('PROPERTIES'!$F$5:$F$404,MATCH(E856,'PROPERTIES'!$B$5:$B$404,0))=0,"",ROUND((INDEX('PROPERTIES'!$F$5:$F$404,MATCH(E856,'PROPERTIES'!$B$5:$B$404,0))/INDEX('PRICING'!$C$7:$C$16,MATCH(F856,'PRICING'!$A$7:$A$16,0))+INDEX('PROPERTIES'!$G$5:$G$404,MATCH(E856,'PROPERTIES'!$B$5:$B$404,0))*INDEX('PRICING'!$D$7:$D$16,MATCH(F856,'PRICING'!$A$7:$A$16,0))/60+INDEX('PROPERTIES'!$H$5:$H$404,MATCH(E856,'PROPERTIES'!$B$5:$B$404,0))*INDEX('PRICING'!$E$7:$E$16,MATCH(F856,'PRICING'!$A$7:$A$16,0))/60+INDEX('PRICING'!$F$7:$F$16,MATCH(F856,'PRICING'!$A$7:$A$16,0))/60),2)),""))</f>
        <v/>
      </c>
      <c r="R856" s="97">
        <f>IF(B856="","",IF(N(K856)&gt;0,K856,IF(N(J856)&gt;0,J856,N(Q856))))</f>
        <v/>
      </c>
      <c r="S856" s="55">
        <f>IF(L856="","",ROUND(L856*(1+N(M856)),2))</f>
        <v/>
      </c>
      <c r="T856" s="55">
        <f>IF(B856="","",SUMIFS('REVENUE'!$C$5:$C$1504,'REVENUE'!$B$5:$B$1504,A856))</f>
        <v/>
      </c>
      <c r="U856" s="55">
        <f>IF(B856="","",IF(O856="Completed",MAX(0,N(S856)-T856),""))</f>
        <v/>
      </c>
      <c r="V856" s="49">
        <f>IF(B856="","",IF(O856&lt;&gt;"Completed",IF(T856&gt;0,"Deposit","—"),IF(U856&lt;=0.005,"Paid",IF(T856&gt;0,"Partial","Unpaid"))))</f>
        <v/>
      </c>
      <c r="W856" s="55">
        <f>IF(B856="","",IFERROR(1/(1/INDEX('STAFF &amp; TASKS'!$C$5:$C$24,MATCH(H856,'STAFF &amp; TASKS'!$A$5:$A$24,0))),PayRate))</f>
        <v/>
      </c>
      <c r="X856" s="55">
        <f>IF(B856="","",IF(OR(O856="Cancelled",O856="No-Show"),"",ROUND(R856*W856*(1+Burden),2)))</f>
        <v/>
      </c>
      <c r="Y856" s="55">
        <f>IF(B856="","",IF(OR(O856="Cancelled",O856="No-Show"),"",IF(N856&lt;&gt;"",N856,ROUND(R856*SupHr*IFERROR(INDEX('PRICING'!$G$7:$G$16,MATCH(F856,'PRICING'!$A$7:$A$16,0)),1),2))))</f>
        <v/>
      </c>
      <c r="Z856" s="98">
        <f>IF(B856="","",SUMIFS('MILEAGE'!$J$5:$J$1504,'MILEAGE'!$B$5:$B$1504,A856))</f>
        <v/>
      </c>
      <c r="AA856" s="55">
        <f>IF(B856="","",ROUND(Z856*MileRate,2))</f>
        <v/>
      </c>
      <c r="AB856" s="55">
        <f>IF(B856="","",SUMIFS('REVENUE'!$J$5:$J$1504,'REVENUE'!$B$5:$B$1504,A856))</f>
        <v/>
      </c>
      <c r="AC856" s="55">
        <f>IF(L856="","",IF(OR(O856="Cancelled",O856="No-Show"),"",L856-N(X856)-N(Y856)-AA856-AB856))</f>
        <v/>
      </c>
      <c r="AD856" s="99">
        <f>IF(OR(AC856="",N(L856)=0),"",AC856/L856)</f>
        <v/>
      </c>
      <c r="AE856" s="55">
        <f>IF(OR(AC856="",N(R856)=0),"",L856/R856)</f>
        <v/>
      </c>
      <c r="AF856" s="100">
        <f>IF(OR(N(K856)=0,N(J856)+N(Q856)=0),"",K856-IF(N(J856)&gt;0,J856,Q856))</f>
        <v/>
      </c>
      <c r="AG856" s="99">
        <f>IF(B856="","",IFERROR(AVERAGEIFS('QUALITY CONTROL'!$M$5:$M$304,'QUALITY CONTROL'!$B$5:$B$304,A856),""))</f>
        <v/>
      </c>
      <c r="AH856" s="51">
        <f>IF(B856="","",DATE(YEAR(B856),MONTH(B856),1))</f>
        <v/>
      </c>
      <c r="AI856" s="49">
        <f>IF(D856="","",IFERROR(INDEX('CUSTOMERS'!$E$5:$E$404,MATCH(D856,'CUSTOMERS'!$B$5:$B$404,0)),""))</f>
        <v/>
      </c>
      <c r="AJ856" s="49">
        <f>IF(B856="","",N(C856))</f>
        <v/>
      </c>
      <c r="AK856" s="49">
        <f>IF(OR(B856="",O856="Cancelled",O856="Rescheduled"),"",B856&amp;"|"&amp;(COUNTIFS('JOBS'!$B$5:$B$1504,B856,'JOBS'!$AJ$5:$AJ$1504,"&lt;"&amp;AJ856,'JOBS'!$O$5:$O$1504,"&lt;&gt;Cancelled",'JOBS'!$O$5:$O$1504,"&lt;&gt;Rescheduled")+COUNTIFS($B$5:B856,B856,$AJ$5:AJ856,AJ856,$O$5:O856,"&lt;&gt;Cancelled",$O$5:O856,"&lt;&gt;Rescheduled")))</f>
        <v/>
      </c>
      <c r="AL856" s="49">
        <f>IF(N(U856)&lt;=0.005,"",COUNTIFS('JOBS'!$U$5:$U$1504,"&gt;0.005",'JOBS'!$B$5:$B$1504,"&lt;"&amp;B856)+COUNTIFS($U$5:U856,"&gt;0.005",$B$5:B856,B856))</f>
        <v/>
      </c>
    </row>
    <row r="857">
      <c r="A857" s="46" t="inlineStr">
        <is>
          <t>J-0853</t>
        </is>
      </c>
      <c r="B857" s="47" t="n"/>
      <c r="C857" s="94" t="n"/>
      <c r="D857" s="38" t="n"/>
      <c r="E857" s="38" t="n"/>
      <c r="F857" s="38" t="n"/>
      <c r="G857" s="38" t="n"/>
      <c r="H857" s="38" t="n"/>
      <c r="I857" s="57" t="n"/>
      <c r="J857" s="95" t="n"/>
      <c r="K857" s="95" t="n"/>
      <c r="L857" s="48" t="n"/>
      <c r="M857" s="96" t="n"/>
      <c r="N857" s="48" t="n"/>
      <c r="O857" s="38" t="n"/>
      <c r="P857" s="38" t="n"/>
      <c r="Q857" s="97">
        <f>IF(OR(F857="",E857=""),"",IFERROR(IF(INDEX('PROPERTIES'!$F$5:$F$404,MATCH(E857,'PROPERTIES'!$B$5:$B$404,0))=0,"",ROUND((INDEX('PROPERTIES'!$F$5:$F$404,MATCH(E857,'PROPERTIES'!$B$5:$B$404,0))/INDEX('PRICING'!$C$7:$C$16,MATCH(F857,'PRICING'!$A$7:$A$16,0))+INDEX('PROPERTIES'!$G$5:$G$404,MATCH(E857,'PROPERTIES'!$B$5:$B$404,0))*INDEX('PRICING'!$D$7:$D$16,MATCH(F857,'PRICING'!$A$7:$A$16,0))/60+INDEX('PROPERTIES'!$H$5:$H$404,MATCH(E857,'PROPERTIES'!$B$5:$B$404,0))*INDEX('PRICING'!$E$7:$E$16,MATCH(F857,'PRICING'!$A$7:$A$16,0))/60+INDEX('PRICING'!$F$7:$F$16,MATCH(F857,'PRICING'!$A$7:$A$16,0))/60),2)),""))</f>
        <v/>
      </c>
      <c r="R857" s="97">
        <f>IF(B857="","",IF(N(K857)&gt;0,K857,IF(N(J857)&gt;0,J857,N(Q857))))</f>
        <v/>
      </c>
      <c r="S857" s="55">
        <f>IF(L857="","",ROUND(L857*(1+N(M857)),2))</f>
        <v/>
      </c>
      <c r="T857" s="55">
        <f>IF(B857="","",SUMIFS('REVENUE'!$C$5:$C$1504,'REVENUE'!$B$5:$B$1504,A857))</f>
        <v/>
      </c>
      <c r="U857" s="55">
        <f>IF(B857="","",IF(O857="Completed",MAX(0,N(S857)-T857),""))</f>
        <v/>
      </c>
      <c r="V857" s="49">
        <f>IF(B857="","",IF(O857&lt;&gt;"Completed",IF(T857&gt;0,"Deposit","—"),IF(U857&lt;=0.005,"Paid",IF(T857&gt;0,"Partial","Unpaid"))))</f>
        <v/>
      </c>
      <c r="W857" s="55">
        <f>IF(B857="","",IFERROR(1/(1/INDEX('STAFF &amp; TASKS'!$C$5:$C$24,MATCH(H857,'STAFF &amp; TASKS'!$A$5:$A$24,0))),PayRate))</f>
        <v/>
      </c>
      <c r="X857" s="55">
        <f>IF(B857="","",IF(OR(O857="Cancelled",O857="No-Show"),"",ROUND(R857*W857*(1+Burden),2)))</f>
        <v/>
      </c>
      <c r="Y857" s="55">
        <f>IF(B857="","",IF(OR(O857="Cancelled",O857="No-Show"),"",IF(N857&lt;&gt;"",N857,ROUND(R857*SupHr*IFERROR(INDEX('PRICING'!$G$7:$G$16,MATCH(F857,'PRICING'!$A$7:$A$16,0)),1),2))))</f>
        <v/>
      </c>
      <c r="Z857" s="98">
        <f>IF(B857="","",SUMIFS('MILEAGE'!$J$5:$J$1504,'MILEAGE'!$B$5:$B$1504,A857))</f>
        <v/>
      </c>
      <c r="AA857" s="55">
        <f>IF(B857="","",ROUND(Z857*MileRate,2))</f>
        <v/>
      </c>
      <c r="AB857" s="55">
        <f>IF(B857="","",SUMIFS('REVENUE'!$J$5:$J$1504,'REVENUE'!$B$5:$B$1504,A857))</f>
        <v/>
      </c>
      <c r="AC857" s="55">
        <f>IF(L857="","",IF(OR(O857="Cancelled",O857="No-Show"),"",L857-N(X857)-N(Y857)-AA857-AB857))</f>
        <v/>
      </c>
      <c r="AD857" s="99">
        <f>IF(OR(AC857="",N(L857)=0),"",AC857/L857)</f>
        <v/>
      </c>
      <c r="AE857" s="55">
        <f>IF(OR(AC857="",N(R857)=0),"",L857/R857)</f>
        <v/>
      </c>
      <c r="AF857" s="100">
        <f>IF(OR(N(K857)=0,N(J857)+N(Q857)=0),"",K857-IF(N(J857)&gt;0,J857,Q857))</f>
        <v/>
      </c>
      <c r="AG857" s="99">
        <f>IF(B857="","",IFERROR(AVERAGEIFS('QUALITY CONTROL'!$M$5:$M$304,'QUALITY CONTROL'!$B$5:$B$304,A857),""))</f>
        <v/>
      </c>
      <c r="AH857" s="51">
        <f>IF(B857="","",DATE(YEAR(B857),MONTH(B857),1))</f>
        <v/>
      </c>
      <c r="AI857" s="49">
        <f>IF(D857="","",IFERROR(INDEX('CUSTOMERS'!$E$5:$E$404,MATCH(D857,'CUSTOMERS'!$B$5:$B$404,0)),""))</f>
        <v/>
      </c>
      <c r="AJ857" s="49">
        <f>IF(B857="","",N(C857))</f>
        <v/>
      </c>
      <c r="AK857" s="49">
        <f>IF(OR(B857="",O857="Cancelled",O857="Rescheduled"),"",B857&amp;"|"&amp;(COUNTIFS('JOBS'!$B$5:$B$1504,B857,'JOBS'!$AJ$5:$AJ$1504,"&lt;"&amp;AJ857,'JOBS'!$O$5:$O$1504,"&lt;&gt;Cancelled",'JOBS'!$O$5:$O$1504,"&lt;&gt;Rescheduled")+COUNTIFS($B$5:B857,B857,$AJ$5:AJ857,AJ857,$O$5:O857,"&lt;&gt;Cancelled",$O$5:O857,"&lt;&gt;Rescheduled")))</f>
        <v/>
      </c>
      <c r="AL857" s="49">
        <f>IF(N(U857)&lt;=0.005,"",COUNTIFS('JOBS'!$U$5:$U$1504,"&gt;0.005",'JOBS'!$B$5:$B$1504,"&lt;"&amp;B857)+COUNTIFS($U$5:U857,"&gt;0.005",$B$5:B857,B857))</f>
        <v/>
      </c>
    </row>
    <row r="858">
      <c r="A858" s="46" t="inlineStr">
        <is>
          <t>J-0854</t>
        </is>
      </c>
      <c r="B858" s="47" t="n"/>
      <c r="C858" s="94" t="n"/>
      <c r="D858" s="38" t="n"/>
      <c r="E858" s="38" t="n"/>
      <c r="F858" s="38" t="n"/>
      <c r="G858" s="38" t="n"/>
      <c r="H858" s="38" t="n"/>
      <c r="I858" s="57" t="n"/>
      <c r="J858" s="95" t="n"/>
      <c r="K858" s="95" t="n"/>
      <c r="L858" s="48" t="n"/>
      <c r="M858" s="96" t="n"/>
      <c r="N858" s="48" t="n"/>
      <c r="O858" s="38" t="n"/>
      <c r="P858" s="38" t="n"/>
      <c r="Q858" s="97">
        <f>IF(OR(F858="",E858=""),"",IFERROR(IF(INDEX('PROPERTIES'!$F$5:$F$404,MATCH(E858,'PROPERTIES'!$B$5:$B$404,0))=0,"",ROUND((INDEX('PROPERTIES'!$F$5:$F$404,MATCH(E858,'PROPERTIES'!$B$5:$B$404,0))/INDEX('PRICING'!$C$7:$C$16,MATCH(F858,'PRICING'!$A$7:$A$16,0))+INDEX('PROPERTIES'!$G$5:$G$404,MATCH(E858,'PROPERTIES'!$B$5:$B$404,0))*INDEX('PRICING'!$D$7:$D$16,MATCH(F858,'PRICING'!$A$7:$A$16,0))/60+INDEX('PROPERTIES'!$H$5:$H$404,MATCH(E858,'PROPERTIES'!$B$5:$B$404,0))*INDEX('PRICING'!$E$7:$E$16,MATCH(F858,'PRICING'!$A$7:$A$16,0))/60+INDEX('PRICING'!$F$7:$F$16,MATCH(F858,'PRICING'!$A$7:$A$16,0))/60),2)),""))</f>
        <v/>
      </c>
      <c r="R858" s="97">
        <f>IF(B858="","",IF(N(K858)&gt;0,K858,IF(N(J858)&gt;0,J858,N(Q858))))</f>
        <v/>
      </c>
      <c r="S858" s="55">
        <f>IF(L858="","",ROUND(L858*(1+N(M858)),2))</f>
        <v/>
      </c>
      <c r="T858" s="55">
        <f>IF(B858="","",SUMIFS('REVENUE'!$C$5:$C$1504,'REVENUE'!$B$5:$B$1504,A858))</f>
        <v/>
      </c>
      <c r="U858" s="55">
        <f>IF(B858="","",IF(O858="Completed",MAX(0,N(S858)-T858),""))</f>
        <v/>
      </c>
      <c r="V858" s="49">
        <f>IF(B858="","",IF(O858&lt;&gt;"Completed",IF(T858&gt;0,"Deposit","—"),IF(U858&lt;=0.005,"Paid",IF(T858&gt;0,"Partial","Unpaid"))))</f>
        <v/>
      </c>
      <c r="W858" s="55">
        <f>IF(B858="","",IFERROR(1/(1/INDEX('STAFF &amp; TASKS'!$C$5:$C$24,MATCH(H858,'STAFF &amp; TASKS'!$A$5:$A$24,0))),PayRate))</f>
        <v/>
      </c>
      <c r="X858" s="55">
        <f>IF(B858="","",IF(OR(O858="Cancelled",O858="No-Show"),"",ROUND(R858*W858*(1+Burden),2)))</f>
        <v/>
      </c>
      <c r="Y858" s="55">
        <f>IF(B858="","",IF(OR(O858="Cancelled",O858="No-Show"),"",IF(N858&lt;&gt;"",N858,ROUND(R858*SupHr*IFERROR(INDEX('PRICING'!$G$7:$G$16,MATCH(F858,'PRICING'!$A$7:$A$16,0)),1),2))))</f>
        <v/>
      </c>
      <c r="Z858" s="98">
        <f>IF(B858="","",SUMIFS('MILEAGE'!$J$5:$J$1504,'MILEAGE'!$B$5:$B$1504,A858))</f>
        <v/>
      </c>
      <c r="AA858" s="55">
        <f>IF(B858="","",ROUND(Z858*MileRate,2))</f>
        <v/>
      </c>
      <c r="AB858" s="55">
        <f>IF(B858="","",SUMIFS('REVENUE'!$J$5:$J$1504,'REVENUE'!$B$5:$B$1504,A858))</f>
        <v/>
      </c>
      <c r="AC858" s="55">
        <f>IF(L858="","",IF(OR(O858="Cancelled",O858="No-Show"),"",L858-N(X858)-N(Y858)-AA858-AB858))</f>
        <v/>
      </c>
      <c r="AD858" s="99">
        <f>IF(OR(AC858="",N(L858)=0),"",AC858/L858)</f>
        <v/>
      </c>
      <c r="AE858" s="55">
        <f>IF(OR(AC858="",N(R858)=0),"",L858/R858)</f>
        <v/>
      </c>
      <c r="AF858" s="100">
        <f>IF(OR(N(K858)=0,N(J858)+N(Q858)=0),"",K858-IF(N(J858)&gt;0,J858,Q858))</f>
        <v/>
      </c>
      <c r="AG858" s="99">
        <f>IF(B858="","",IFERROR(AVERAGEIFS('QUALITY CONTROL'!$M$5:$M$304,'QUALITY CONTROL'!$B$5:$B$304,A858),""))</f>
        <v/>
      </c>
      <c r="AH858" s="51">
        <f>IF(B858="","",DATE(YEAR(B858),MONTH(B858),1))</f>
        <v/>
      </c>
      <c r="AI858" s="49">
        <f>IF(D858="","",IFERROR(INDEX('CUSTOMERS'!$E$5:$E$404,MATCH(D858,'CUSTOMERS'!$B$5:$B$404,0)),""))</f>
        <v/>
      </c>
      <c r="AJ858" s="49">
        <f>IF(B858="","",N(C858))</f>
        <v/>
      </c>
      <c r="AK858" s="49">
        <f>IF(OR(B858="",O858="Cancelled",O858="Rescheduled"),"",B858&amp;"|"&amp;(COUNTIFS('JOBS'!$B$5:$B$1504,B858,'JOBS'!$AJ$5:$AJ$1504,"&lt;"&amp;AJ858,'JOBS'!$O$5:$O$1504,"&lt;&gt;Cancelled",'JOBS'!$O$5:$O$1504,"&lt;&gt;Rescheduled")+COUNTIFS($B$5:B858,B858,$AJ$5:AJ858,AJ858,$O$5:O858,"&lt;&gt;Cancelled",$O$5:O858,"&lt;&gt;Rescheduled")))</f>
        <v/>
      </c>
      <c r="AL858" s="49">
        <f>IF(N(U858)&lt;=0.005,"",COUNTIFS('JOBS'!$U$5:$U$1504,"&gt;0.005",'JOBS'!$B$5:$B$1504,"&lt;"&amp;B858)+COUNTIFS($U$5:U858,"&gt;0.005",$B$5:B858,B858))</f>
        <v/>
      </c>
    </row>
    <row r="859">
      <c r="A859" s="46" t="inlineStr">
        <is>
          <t>J-0855</t>
        </is>
      </c>
      <c r="B859" s="47" t="n"/>
      <c r="C859" s="94" t="n"/>
      <c r="D859" s="38" t="n"/>
      <c r="E859" s="38" t="n"/>
      <c r="F859" s="38" t="n"/>
      <c r="G859" s="38" t="n"/>
      <c r="H859" s="38" t="n"/>
      <c r="I859" s="57" t="n"/>
      <c r="J859" s="95" t="n"/>
      <c r="K859" s="95" t="n"/>
      <c r="L859" s="48" t="n"/>
      <c r="M859" s="96" t="n"/>
      <c r="N859" s="48" t="n"/>
      <c r="O859" s="38" t="n"/>
      <c r="P859" s="38" t="n"/>
      <c r="Q859" s="97">
        <f>IF(OR(F859="",E859=""),"",IFERROR(IF(INDEX('PROPERTIES'!$F$5:$F$404,MATCH(E859,'PROPERTIES'!$B$5:$B$404,0))=0,"",ROUND((INDEX('PROPERTIES'!$F$5:$F$404,MATCH(E859,'PROPERTIES'!$B$5:$B$404,0))/INDEX('PRICING'!$C$7:$C$16,MATCH(F859,'PRICING'!$A$7:$A$16,0))+INDEX('PROPERTIES'!$G$5:$G$404,MATCH(E859,'PROPERTIES'!$B$5:$B$404,0))*INDEX('PRICING'!$D$7:$D$16,MATCH(F859,'PRICING'!$A$7:$A$16,0))/60+INDEX('PROPERTIES'!$H$5:$H$404,MATCH(E859,'PROPERTIES'!$B$5:$B$404,0))*INDEX('PRICING'!$E$7:$E$16,MATCH(F859,'PRICING'!$A$7:$A$16,0))/60+INDEX('PRICING'!$F$7:$F$16,MATCH(F859,'PRICING'!$A$7:$A$16,0))/60),2)),""))</f>
        <v/>
      </c>
      <c r="R859" s="97">
        <f>IF(B859="","",IF(N(K859)&gt;0,K859,IF(N(J859)&gt;0,J859,N(Q859))))</f>
        <v/>
      </c>
      <c r="S859" s="55">
        <f>IF(L859="","",ROUND(L859*(1+N(M859)),2))</f>
        <v/>
      </c>
      <c r="T859" s="55">
        <f>IF(B859="","",SUMIFS('REVENUE'!$C$5:$C$1504,'REVENUE'!$B$5:$B$1504,A859))</f>
        <v/>
      </c>
      <c r="U859" s="55">
        <f>IF(B859="","",IF(O859="Completed",MAX(0,N(S859)-T859),""))</f>
        <v/>
      </c>
      <c r="V859" s="49">
        <f>IF(B859="","",IF(O859&lt;&gt;"Completed",IF(T859&gt;0,"Deposit","—"),IF(U859&lt;=0.005,"Paid",IF(T859&gt;0,"Partial","Unpaid"))))</f>
        <v/>
      </c>
      <c r="W859" s="55">
        <f>IF(B859="","",IFERROR(1/(1/INDEX('STAFF &amp; TASKS'!$C$5:$C$24,MATCH(H859,'STAFF &amp; TASKS'!$A$5:$A$24,0))),PayRate))</f>
        <v/>
      </c>
      <c r="X859" s="55">
        <f>IF(B859="","",IF(OR(O859="Cancelled",O859="No-Show"),"",ROUND(R859*W859*(1+Burden),2)))</f>
        <v/>
      </c>
      <c r="Y859" s="55">
        <f>IF(B859="","",IF(OR(O859="Cancelled",O859="No-Show"),"",IF(N859&lt;&gt;"",N859,ROUND(R859*SupHr*IFERROR(INDEX('PRICING'!$G$7:$G$16,MATCH(F859,'PRICING'!$A$7:$A$16,0)),1),2))))</f>
        <v/>
      </c>
      <c r="Z859" s="98">
        <f>IF(B859="","",SUMIFS('MILEAGE'!$J$5:$J$1504,'MILEAGE'!$B$5:$B$1504,A859))</f>
        <v/>
      </c>
      <c r="AA859" s="55">
        <f>IF(B859="","",ROUND(Z859*MileRate,2))</f>
        <v/>
      </c>
      <c r="AB859" s="55">
        <f>IF(B859="","",SUMIFS('REVENUE'!$J$5:$J$1504,'REVENUE'!$B$5:$B$1504,A859))</f>
        <v/>
      </c>
      <c r="AC859" s="55">
        <f>IF(L859="","",IF(OR(O859="Cancelled",O859="No-Show"),"",L859-N(X859)-N(Y859)-AA859-AB859))</f>
        <v/>
      </c>
      <c r="AD859" s="99">
        <f>IF(OR(AC859="",N(L859)=0),"",AC859/L859)</f>
        <v/>
      </c>
      <c r="AE859" s="55">
        <f>IF(OR(AC859="",N(R859)=0),"",L859/R859)</f>
        <v/>
      </c>
      <c r="AF859" s="100">
        <f>IF(OR(N(K859)=0,N(J859)+N(Q859)=0),"",K859-IF(N(J859)&gt;0,J859,Q859))</f>
        <v/>
      </c>
      <c r="AG859" s="99">
        <f>IF(B859="","",IFERROR(AVERAGEIFS('QUALITY CONTROL'!$M$5:$M$304,'QUALITY CONTROL'!$B$5:$B$304,A859),""))</f>
        <v/>
      </c>
      <c r="AH859" s="51">
        <f>IF(B859="","",DATE(YEAR(B859),MONTH(B859),1))</f>
        <v/>
      </c>
      <c r="AI859" s="49">
        <f>IF(D859="","",IFERROR(INDEX('CUSTOMERS'!$E$5:$E$404,MATCH(D859,'CUSTOMERS'!$B$5:$B$404,0)),""))</f>
        <v/>
      </c>
      <c r="AJ859" s="49">
        <f>IF(B859="","",N(C859))</f>
        <v/>
      </c>
      <c r="AK859" s="49">
        <f>IF(OR(B859="",O859="Cancelled",O859="Rescheduled"),"",B859&amp;"|"&amp;(COUNTIFS('JOBS'!$B$5:$B$1504,B859,'JOBS'!$AJ$5:$AJ$1504,"&lt;"&amp;AJ859,'JOBS'!$O$5:$O$1504,"&lt;&gt;Cancelled",'JOBS'!$O$5:$O$1504,"&lt;&gt;Rescheduled")+COUNTIFS($B$5:B859,B859,$AJ$5:AJ859,AJ859,$O$5:O859,"&lt;&gt;Cancelled",$O$5:O859,"&lt;&gt;Rescheduled")))</f>
        <v/>
      </c>
      <c r="AL859" s="49">
        <f>IF(N(U859)&lt;=0.005,"",COUNTIFS('JOBS'!$U$5:$U$1504,"&gt;0.005",'JOBS'!$B$5:$B$1504,"&lt;"&amp;B859)+COUNTIFS($U$5:U859,"&gt;0.005",$B$5:B859,B859))</f>
        <v/>
      </c>
    </row>
    <row r="860">
      <c r="A860" s="46" t="inlineStr">
        <is>
          <t>J-0856</t>
        </is>
      </c>
      <c r="B860" s="47" t="n"/>
      <c r="C860" s="94" t="n"/>
      <c r="D860" s="38" t="n"/>
      <c r="E860" s="38" t="n"/>
      <c r="F860" s="38" t="n"/>
      <c r="G860" s="38" t="n"/>
      <c r="H860" s="38" t="n"/>
      <c r="I860" s="57" t="n"/>
      <c r="J860" s="95" t="n"/>
      <c r="K860" s="95" t="n"/>
      <c r="L860" s="48" t="n"/>
      <c r="M860" s="96" t="n"/>
      <c r="N860" s="48" t="n"/>
      <c r="O860" s="38" t="n"/>
      <c r="P860" s="38" t="n"/>
      <c r="Q860" s="97">
        <f>IF(OR(F860="",E860=""),"",IFERROR(IF(INDEX('PROPERTIES'!$F$5:$F$404,MATCH(E860,'PROPERTIES'!$B$5:$B$404,0))=0,"",ROUND((INDEX('PROPERTIES'!$F$5:$F$404,MATCH(E860,'PROPERTIES'!$B$5:$B$404,0))/INDEX('PRICING'!$C$7:$C$16,MATCH(F860,'PRICING'!$A$7:$A$16,0))+INDEX('PROPERTIES'!$G$5:$G$404,MATCH(E860,'PROPERTIES'!$B$5:$B$404,0))*INDEX('PRICING'!$D$7:$D$16,MATCH(F860,'PRICING'!$A$7:$A$16,0))/60+INDEX('PROPERTIES'!$H$5:$H$404,MATCH(E860,'PROPERTIES'!$B$5:$B$404,0))*INDEX('PRICING'!$E$7:$E$16,MATCH(F860,'PRICING'!$A$7:$A$16,0))/60+INDEX('PRICING'!$F$7:$F$16,MATCH(F860,'PRICING'!$A$7:$A$16,0))/60),2)),""))</f>
        <v/>
      </c>
      <c r="R860" s="97">
        <f>IF(B860="","",IF(N(K860)&gt;0,K860,IF(N(J860)&gt;0,J860,N(Q860))))</f>
        <v/>
      </c>
      <c r="S860" s="55">
        <f>IF(L860="","",ROUND(L860*(1+N(M860)),2))</f>
        <v/>
      </c>
      <c r="T860" s="55">
        <f>IF(B860="","",SUMIFS('REVENUE'!$C$5:$C$1504,'REVENUE'!$B$5:$B$1504,A860))</f>
        <v/>
      </c>
      <c r="U860" s="55">
        <f>IF(B860="","",IF(O860="Completed",MAX(0,N(S860)-T860),""))</f>
        <v/>
      </c>
      <c r="V860" s="49">
        <f>IF(B860="","",IF(O860&lt;&gt;"Completed",IF(T860&gt;0,"Deposit","—"),IF(U860&lt;=0.005,"Paid",IF(T860&gt;0,"Partial","Unpaid"))))</f>
        <v/>
      </c>
      <c r="W860" s="55">
        <f>IF(B860="","",IFERROR(1/(1/INDEX('STAFF &amp; TASKS'!$C$5:$C$24,MATCH(H860,'STAFF &amp; TASKS'!$A$5:$A$24,0))),PayRate))</f>
        <v/>
      </c>
      <c r="X860" s="55">
        <f>IF(B860="","",IF(OR(O860="Cancelled",O860="No-Show"),"",ROUND(R860*W860*(1+Burden),2)))</f>
        <v/>
      </c>
      <c r="Y860" s="55">
        <f>IF(B860="","",IF(OR(O860="Cancelled",O860="No-Show"),"",IF(N860&lt;&gt;"",N860,ROUND(R860*SupHr*IFERROR(INDEX('PRICING'!$G$7:$G$16,MATCH(F860,'PRICING'!$A$7:$A$16,0)),1),2))))</f>
        <v/>
      </c>
      <c r="Z860" s="98">
        <f>IF(B860="","",SUMIFS('MILEAGE'!$J$5:$J$1504,'MILEAGE'!$B$5:$B$1504,A860))</f>
        <v/>
      </c>
      <c r="AA860" s="55">
        <f>IF(B860="","",ROUND(Z860*MileRate,2))</f>
        <v/>
      </c>
      <c r="AB860" s="55">
        <f>IF(B860="","",SUMIFS('REVENUE'!$J$5:$J$1504,'REVENUE'!$B$5:$B$1504,A860))</f>
        <v/>
      </c>
      <c r="AC860" s="55">
        <f>IF(L860="","",IF(OR(O860="Cancelled",O860="No-Show"),"",L860-N(X860)-N(Y860)-AA860-AB860))</f>
        <v/>
      </c>
      <c r="AD860" s="99">
        <f>IF(OR(AC860="",N(L860)=0),"",AC860/L860)</f>
        <v/>
      </c>
      <c r="AE860" s="55">
        <f>IF(OR(AC860="",N(R860)=0),"",L860/R860)</f>
        <v/>
      </c>
      <c r="AF860" s="100">
        <f>IF(OR(N(K860)=0,N(J860)+N(Q860)=0),"",K860-IF(N(J860)&gt;0,J860,Q860))</f>
        <v/>
      </c>
      <c r="AG860" s="99">
        <f>IF(B860="","",IFERROR(AVERAGEIFS('QUALITY CONTROL'!$M$5:$M$304,'QUALITY CONTROL'!$B$5:$B$304,A860),""))</f>
        <v/>
      </c>
      <c r="AH860" s="51">
        <f>IF(B860="","",DATE(YEAR(B860),MONTH(B860),1))</f>
        <v/>
      </c>
      <c r="AI860" s="49">
        <f>IF(D860="","",IFERROR(INDEX('CUSTOMERS'!$E$5:$E$404,MATCH(D860,'CUSTOMERS'!$B$5:$B$404,0)),""))</f>
        <v/>
      </c>
      <c r="AJ860" s="49">
        <f>IF(B860="","",N(C860))</f>
        <v/>
      </c>
      <c r="AK860" s="49">
        <f>IF(OR(B860="",O860="Cancelled",O860="Rescheduled"),"",B860&amp;"|"&amp;(COUNTIFS('JOBS'!$B$5:$B$1504,B860,'JOBS'!$AJ$5:$AJ$1504,"&lt;"&amp;AJ860,'JOBS'!$O$5:$O$1504,"&lt;&gt;Cancelled",'JOBS'!$O$5:$O$1504,"&lt;&gt;Rescheduled")+COUNTIFS($B$5:B860,B860,$AJ$5:AJ860,AJ860,$O$5:O860,"&lt;&gt;Cancelled",$O$5:O860,"&lt;&gt;Rescheduled")))</f>
        <v/>
      </c>
      <c r="AL860" s="49">
        <f>IF(N(U860)&lt;=0.005,"",COUNTIFS('JOBS'!$U$5:$U$1504,"&gt;0.005",'JOBS'!$B$5:$B$1504,"&lt;"&amp;B860)+COUNTIFS($U$5:U860,"&gt;0.005",$B$5:B860,B860))</f>
        <v/>
      </c>
    </row>
    <row r="861">
      <c r="A861" s="46" t="inlineStr">
        <is>
          <t>J-0857</t>
        </is>
      </c>
      <c r="B861" s="47" t="n"/>
      <c r="C861" s="94" t="n"/>
      <c r="D861" s="38" t="n"/>
      <c r="E861" s="38" t="n"/>
      <c r="F861" s="38" t="n"/>
      <c r="G861" s="38" t="n"/>
      <c r="H861" s="38" t="n"/>
      <c r="I861" s="57" t="n"/>
      <c r="J861" s="95" t="n"/>
      <c r="K861" s="95" t="n"/>
      <c r="L861" s="48" t="n"/>
      <c r="M861" s="96" t="n"/>
      <c r="N861" s="48" t="n"/>
      <c r="O861" s="38" t="n"/>
      <c r="P861" s="38" t="n"/>
      <c r="Q861" s="97">
        <f>IF(OR(F861="",E861=""),"",IFERROR(IF(INDEX('PROPERTIES'!$F$5:$F$404,MATCH(E861,'PROPERTIES'!$B$5:$B$404,0))=0,"",ROUND((INDEX('PROPERTIES'!$F$5:$F$404,MATCH(E861,'PROPERTIES'!$B$5:$B$404,0))/INDEX('PRICING'!$C$7:$C$16,MATCH(F861,'PRICING'!$A$7:$A$16,0))+INDEX('PROPERTIES'!$G$5:$G$404,MATCH(E861,'PROPERTIES'!$B$5:$B$404,0))*INDEX('PRICING'!$D$7:$D$16,MATCH(F861,'PRICING'!$A$7:$A$16,0))/60+INDEX('PROPERTIES'!$H$5:$H$404,MATCH(E861,'PROPERTIES'!$B$5:$B$404,0))*INDEX('PRICING'!$E$7:$E$16,MATCH(F861,'PRICING'!$A$7:$A$16,0))/60+INDEX('PRICING'!$F$7:$F$16,MATCH(F861,'PRICING'!$A$7:$A$16,0))/60),2)),""))</f>
        <v/>
      </c>
      <c r="R861" s="97">
        <f>IF(B861="","",IF(N(K861)&gt;0,K861,IF(N(J861)&gt;0,J861,N(Q861))))</f>
        <v/>
      </c>
      <c r="S861" s="55">
        <f>IF(L861="","",ROUND(L861*(1+N(M861)),2))</f>
        <v/>
      </c>
      <c r="T861" s="55">
        <f>IF(B861="","",SUMIFS('REVENUE'!$C$5:$C$1504,'REVENUE'!$B$5:$B$1504,A861))</f>
        <v/>
      </c>
      <c r="U861" s="55">
        <f>IF(B861="","",IF(O861="Completed",MAX(0,N(S861)-T861),""))</f>
        <v/>
      </c>
      <c r="V861" s="49">
        <f>IF(B861="","",IF(O861&lt;&gt;"Completed",IF(T861&gt;0,"Deposit","—"),IF(U861&lt;=0.005,"Paid",IF(T861&gt;0,"Partial","Unpaid"))))</f>
        <v/>
      </c>
      <c r="W861" s="55">
        <f>IF(B861="","",IFERROR(1/(1/INDEX('STAFF &amp; TASKS'!$C$5:$C$24,MATCH(H861,'STAFF &amp; TASKS'!$A$5:$A$24,0))),PayRate))</f>
        <v/>
      </c>
      <c r="X861" s="55">
        <f>IF(B861="","",IF(OR(O861="Cancelled",O861="No-Show"),"",ROUND(R861*W861*(1+Burden),2)))</f>
        <v/>
      </c>
      <c r="Y861" s="55">
        <f>IF(B861="","",IF(OR(O861="Cancelled",O861="No-Show"),"",IF(N861&lt;&gt;"",N861,ROUND(R861*SupHr*IFERROR(INDEX('PRICING'!$G$7:$G$16,MATCH(F861,'PRICING'!$A$7:$A$16,0)),1),2))))</f>
        <v/>
      </c>
      <c r="Z861" s="98">
        <f>IF(B861="","",SUMIFS('MILEAGE'!$J$5:$J$1504,'MILEAGE'!$B$5:$B$1504,A861))</f>
        <v/>
      </c>
      <c r="AA861" s="55">
        <f>IF(B861="","",ROUND(Z861*MileRate,2))</f>
        <v/>
      </c>
      <c r="AB861" s="55">
        <f>IF(B861="","",SUMIFS('REVENUE'!$J$5:$J$1504,'REVENUE'!$B$5:$B$1504,A861))</f>
        <v/>
      </c>
      <c r="AC861" s="55">
        <f>IF(L861="","",IF(OR(O861="Cancelled",O861="No-Show"),"",L861-N(X861)-N(Y861)-AA861-AB861))</f>
        <v/>
      </c>
      <c r="AD861" s="99">
        <f>IF(OR(AC861="",N(L861)=0),"",AC861/L861)</f>
        <v/>
      </c>
      <c r="AE861" s="55">
        <f>IF(OR(AC861="",N(R861)=0),"",L861/R861)</f>
        <v/>
      </c>
      <c r="AF861" s="100">
        <f>IF(OR(N(K861)=0,N(J861)+N(Q861)=0),"",K861-IF(N(J861)&gt;0,J861,Q861))</f>
        <v/>
      </c>
      <c r="AG861" s="99">
        <f>IF(B861="","",IFERROR(AVERAGEIFS('QUALITY CONTROL'!$M$5:$M$304,'QUALITY CONTROL'!$B$5:$B$304,A861),""))</f>
        <v/>
      </c>
      <c r="AH861" s="51">
        <f>IF(B861="","",DATE(YEAR(B861),MONTH(B861),1))</f>
        <v/>
      </c>
      <c r="AI861" s="49">
        <f>IF(D861="","",IFERROR(INDEX('CUSTOMERS'!$E$5:$E$404,MATCH(D861,'CUSTOMERS'!$B$5:$B$404,0)),""))</f>
        <v/>
      </c>
      <c r="AJ861" s="49">
        <f>IF(B861="","",N(C861))</f>
        <v/>
      </c>
      <c r="AK861" s="49">
        <f>IF(OR(B861="",O861="Cancelled",O861="Rescheduled"),"",B861&amp;"|"&amp;(COUNTIFS('JOBS'!$B$5:$B$1504,B861,'JOBS'!$AJ$5:$AJ$1504,"&lt;"&amp;AJ861,'JOBS'!$O$5:$O$1504,"&lt;&gt;Cancelled",'JOBS'!$O$5:$O$1504,"&lt;&gt;Rescheduled")+COUNTIFS($B$5:B861,B861,$AJ$5:AJ861,AJ861,$O$5:O861,"&lt;&gt;Cancelled",$O$5:O861,"&lt;&gt;Rescheduled")))</f>
        <v/>
      </c>
      <c r="AL861" s="49">
        <f>IF(N(U861)&lt;=0.005,"",COUNTIFS('JOBS'!$U$5:$U$1504,"&gt;0.005",'JOBS'!$B$5:$B$1504,"&lt;"&amp;B861)+COUNTIFS($U$5:U861,"&gt;0.005",$B$5:B861,B861))</f>
        <v/>
      </c>
    </row>
    <row r="862">
      <c r="A862" s="46" t="inlineStr">
        <is>
          <t>J-0858</t>
        </is>
      </c>
      <c r="B862" s="47" t="n"/>
      <c r="C862" s="94" t="n"/>
      <c r="D862" s="38" t="n"/>
      <c r="E862" s="38" t="n"/>
      <c r="F862" s="38" t="n"/>
      <c r="G862" s="38" t="n"/>
      <c r="H862" s="38" t="n"/>
      <c r="I862" s="57" t="n"/>
      <c r="J862" s="95" t="n"/>
      <c r="K862" s="95" t="n"/>
      <c r="L862" s="48" t="n"/>
      <c r="M862" s="96" t="n"/>
      <c r="N862" s="48" t="n"/>
      <c r="O862" s="38" t="n"/>
      <c r="P862" s="38" t="n"/>
      <c r="Q862" s="97">
        <f>IF(OR(F862="",E862=""),"",IFERROR(IF(INDEX('PROPERTIES'!$F$5:$F$404,MATCH(E862,'PROPERTIES'!$B$5:$B$404,0))=0,"",ROUND((INDEX('PROPERTIES'!$F$5:$F$404,MATCH(E862,'PROPERTIES'!$B$5:$B$404,0))/INDEX('PRICING'!$C$7:$C$16,MATCH(F862,'PRICING'!$A$7:$A$16,0))+INDEX('PROPERTIES'!$G$5:$G$404,MATCH(E862,'PROPERTIES'!$B$5:$B$404,0))*INDEX('PRICING'!$D$7:$D$16,MATCH(F862,'PRICING'!$A$7:$A$16,0))/60+INDEX('PROPERTIES'!$H$5:$H$404,MATCH(E862,'PROPERTIES'!$B$5:$B$404,0))*INDEX('PRICING'!$E$7:$E$16,MATCH(F862,'PRICING'!$A$7:$A$16,0))/60+INDEX('PRICING'!$F$7:$F$16,MATCH(F862,'PRICING'!$A$7:$A$16,0))/60),2)),""))</f>
        <v/>
      </c>
      <c r="R862" s="97">
        <f>IF(B862="","",IF(N(K862)&gt;0,K862,IF(N(J862)&gt;0,J862,N(Q862))))</f>
        <v/>
      </c>
      <c r="S862" s="55">
        <f>IF(L862="","",ROUND(L862*(1+N(M862)),2))</f>
        <v/>
      </c>
      <c r="T862" s="55">
        <f>IF(B862="","",SUMIFS('REVENUE'!$C$5:$C$1504,'REVENUE'!$B$5:$B$1504,A862))</f>
        <v/>
      </c>
      <c r="U862" s="55">
        <f>IF(B862="","",IF(O862="Completed",MAX(0,N(S862)-T862),""))</f>
        <v/>
      </c>
      <c r="V862" s="49">
        <f>IF(B862="","",IF(O862&lt;&gt;"Completed",IF(T862&gt;0,"Deposit","—"),IF(U862&lt;=0.005,"Paid",IF(T862&gt;0,"Partial","Unpaid"))))</f>
        <v/>
      </c>
      <c r="W862" s="55">
        <f>IF(B862="","",IFERROR(1/(1/INDEX('STAFF &amp; TASKS'!$C$5:$C$24,MATCH(H862,'STAFF &amp; TASKS'!$A$5:$A$24,0))),PayRate))</f>
        <v/>
      </c>
      <c r="X862" s="55">
        <f>IF(B862="","",IF(OR(O862="Cancelled",O862="No-Show"),"",ROUND(R862*W862*(1+Burden),2)))</f>
        <v/>
      </c>
      <c r="Y862" s="55">
        <f>IF(B862="","",IF(OR(O862="Cancelled",O862="No-Show"),"",IF(N862&lt;&gt;"",N862,ROUND(R862*SupHr*IFERROR(INDEX('PRICING'!$G$7:$G$16,MATCH(F862,'PRICING'!$A$7:$A$16,0)),1),2))))</f>
        <v/>
      </c>
      <c r="Z862" s="98">
        <f>IF(B862="","",SUMIFS('MILEAGE'!$J$5:$J$1504,'MILEAGE'!$B$5:$B$1504,A862))</f>
        <v/>
      </c>
      <c r="AA862" s="55">
        <f>IF(B862="","",ROUND(Z862*MileRate,2))</f>
        <v/>
      </c>
      <c r="AB862" s="55">
        <f>IF(B862="","",SUMIFS('REVENUE'!$J$5:$J$1504,'REVENUE'!$B$5:$B$1504,A862))</f>
        <v/>
      </c>
      <c r="AC862" s="55">
        <f>IF(L862="","",IF(OR(O862="Cancelled",O862="No-Show"),"",L862-N(X862)-N(Y862)-AA862-AB862))</f>
        <v/>
      </c>
      <c r="AD862" s="99">
        <f>IF(OR(AC862="",N(L862)=0),"",AC862/L862)</f>
        <v/>
      </c>
      <c r="AE862" s="55">
        <f>IF(OR(AC862="",N(R862)=0),"",L862/R862)</f>
        <v/>
      </c>
      <c r="AF862" s="100">
        <f>IF(OR(N(K862)=0,N(J862)+N(Q862)=0),"",K862-IF(N(J862)&gt;0,J862,Q862))</f>
        <v/>
      </c>
      <c r="AG862" s="99">
        <f>IF(B862="","",IFERROR(AVERAGEIFS('QUALITY CONTROL'!$M$5:$M$304,'QUALITY CONTROL'!$B$5:$B$304,A862),""))</f>
        <v/>
      </c>
      <c r="AH862" s="51">
        <f>IF(B862="","",DATE(YEAR(B862),MONTH(B862),1))</f>
        <v/>
      </c>
      <c r="AI862" s="49">
        <f>IF(D862="","",IFERROR(INDEX('CUSTOMERS'!$E$5:$E$404,MATCH(D862,'CUSTOMERS'!$B$5:$B$404,0)),""))</f>
        <v/>
      </c>
      <c r="AJ862" s="49">
        <f>IF(B862="","",N(C862))</f>
        <v/>
      </c>
      <c r="AK862" s="49">
        <f>IF(OR(B862="",O862="Cancelled",O862="Rescheduled"),"",B862&amp;"|"&amp;(COUNTIFS('JOBS'!$B$5:$B$1504,B862,'JOBS'!$AJ$5:$AJ$1504,"&lt;"&amp;AJ862,'JOBS'!$O$5:$O$1504,"&lt;&gt;Cancelled",'JOBS'!$O$5:$O$1504,"&lt;&gt;Rescheduled")+COUNTIFS($B$5:B862,B862,$AJ$5:AJ862,AJ862,$O$5:O862,"&lt;&gt;Cancelled",$O$5:O862,"&lt;&gt;Rescheduled")))</f>
        <v/>
      </c>
      <c r="AL862" s="49">
        <f>IF(N(U862)&lt;=0.005,"",COUNTIFS('JOBS'!$U$5:$U$1504,"&gt;0.005",'JOBS'!$B$5:$B$1504,"&lt;"&amp;B862)+COUNTIFS($U$5:U862,"&gt;0.005",$B$5:B862,B862))</f>
        <v/>
      </c>
    </row>
    <row r="863">
      <c r="A863" s="46" t="inlineStr">
        <is>
          <t>J-0859</t>
        </is>
      </c>
      <c r="B863" s="47" t="n"/>
      <c r="C863" s="94" t="n"/>
      <c r="D863" s="38" t="n"/>
      <c r="E863" s="38" t="n"/>
      <c r="F863" s="38" t="n"/>
      <c r="G863" s="38" t="n"/>
      <c r="H863" s="38" t="n"/>
      <c r="I863" s="57" t="n"/>
      <c r="J863" s="95" t="n"/>
      <c r="K863" s="95" t="n"/>
      <c r="L863" s="48" t="n"/>
      <c r="M863" s="96" t="n"/>
      <c r="N863" s="48" t="n"/>
      <c r="O863" s="38" t="n"/>
      <c r="P863" s="38" t="n"/>
      <c r="Q863" s="97">
        <f>IF(OR(F863="",E863=""),"",IFERROR(IF(INDEX('PROPERTIES'!$F$5:$F$404,MATCH(E863,'PROPERTIES'!$B$5:$B$404,0))=0,"",ROUND((INDEX('PROPERTIES'!$F$5:$F$404,MATCH(E863,'PROPERTIES'!$B$5:$B$404,0))/INDEX('PRICING'!$C$7:$C$16,MATCH(F863,'PRICING'!$A$7:$A$16,0))+INDEX('PROPERTIES'!$G$5:$G$404,MATCH(E863,'PROPERTIES'!$B$5:$B$404,0))*INDEX('PRICING'!$D$7:$D$16,MATCH(F863,'PRICING'!$A$7:$A$16,0))/60+INDEX('PROPERTIES'!$H$5:$H$404,MATCH(E863,'PROPERTIES'!$B$5:$B$404,0))*INDEX('PRICING'!$E$7:$E$16,MATCH(F863,'PRICING'!$A$7:$A$16,0))/60+INDEX('PRICING'!$F$7:$F$16,MATCH(F863,'PRICING'!$A$7:$A$16,0))/60),2)),""))</f>
        <v/>
      </c>
      <c r="R863" s="97">
        <f>IF(B863="","",IF(N(K863)&gt;0,K863,IF(N(J863)&gt;0,J863,N(Q863))))</f>
        <v/>
      </c>
      <c r="S863" s="55">
        <f>IF(L863="","",ROUND(L863*(1+N(M863)),2))</f>
        <v/>
      </c>
      <c r="T863" s="55">
        <f>IF(B863="","",SUMIFS('REVENUE'!$C$5:$C$1504,'REVENUE'!$B$5:$B$1504,A863))</f>
        <v/>
      </c>
      <c r="U863" s="55">
        <f>IF(B863="","",IF(O863="Completed",MAX(0,N(S863)-T863),""))</f>
        <v/>
      </c>
      <c r="V863" s="49">
        <f>IF(B863="","",IF(O863&lt;&gt;"Completed",IF(T863&gt;0,"Deposit","—"),IF(U863&lt;=0.005,"Paid",IF(T863&gt;0,"Partial","Unpaid"))))</f>
        <v/>
      </c>
      <c r="W863" s="55">
        <f>IF(B863="","",IFERROR(1/(1/INDEX('STAFF &amp; TASKS'!$C$5:$C$24,MATCH(H863,'STAFF &amp; TASKS'!$A$5:$A$24,0))),PayRate))</f>
        <v/>
      </c>
      <c r="X863" s="55">
        <f>IF(B863="","",IF(OR(O863="Cancelled",O863="No-Show"),"",ROUND(R863*W863*(1+Burden),2)))</f>
        <v/>
      </c>
      <c r="Y863" s="55">
        <f>IF(B863="","",IF(OR(O863="Cancelled",O863="No-Show"),"",IF(N863&lt;&gt;"",N863,ROUND(R863*SupHr*IFERROR(INDEX('PRICING'!$G$7:$G$16,MATCH(F863,'PRICING'!$A$7:$A$16,0)),1),2))))</f>
        <v/>
      </c>
      <c r="Z863" s="98">
        <f>IF(B863="","",SUMIFS('MILEAGE'!$J$5:$J$1504,'MILEAGE'!$B$5:$B$1504,A863))</f>
        <v/>
      </c>
      <c r="AA863" s="55">
        <f>IF(B863="","",ROUND(Z863*MileRate,2))</f>
        <v/>
      </c>
      <c r="AB863" s="55">
        <f>IF(B863="","",SUMIFS('REVENUE'!$J$5:$J$1504,'REVENUE'!$B$5:$B$1504,A863))</f>
        <v/>
      </c>
      <c r="AC863" s="55">
        <f>IF(L863="","",IF(OR(O863="Cancelled",O863="No-Show"),"",L863-N(X863)-N(Y863)-AA863-AB863))</f>
        <v/>
      </c>
      <c r="AD863" s="99">
        <f>IF(OR(AC863="",N(L863)=0),"",AC863/L863)</f>
        <v/>
      </c>
      <c r="AE863" s="55">
        <f>IF(OR(AC863="",N(R863)=0),"",L863/R863)</f>
        <v/>
      </c>
      <c r="AF863" s="100">
        <f>IF(OR(N(K863)=0,N(J863)+N(Q863)=0),"",K863-IF(N(J863)&gt;0,J863,Q863))</f>
        <v/>
      </c>
      <c r="AG863" s="99">
        <f>IF(B863="","",IFERROR(AVERAGEIFS('QUALITY CONTROL'!$M$5:$M$304,'QUALITY CONTROL'!$B$5:$B$304,A863),""))</f>
        <v/>
      </c>
      <c r="AH863" s="51">
        <f>IF(B863="","",DATE(YEAR(B863),MONTH(B863),1))</f>
        <v/>
      </c>
      <c r="AI863" s="49">
        <f>IF(D863="","",IFERROR(INDEX('CUSTOMERS'!$E$5:$E$404,MATCH(D863,'CUSTOMERS'!$B$5:$B$404,0)),""))</f>
        <v/>
      </c>
      <c r="AJ863" s="49">
        <f>IF(B863="","",N(C863))</f>
        <v/>
      </c>
      <c r="AK863" s="49">
        <f>IF(OR(B863="",O863="Cancelled",O863="Rescheduled"),"",B863&amp;"|"&amp;(COUNTIFS('JOBS'!$B$5:$B$1504,B863,'JOBS'!$AJ$5:$AJ$1504,"&lt;"&amp;AJ863,'JOBS'!$O$5:$O$1504,"&lt;&gt;Cancelled",'JOBS'!$O$5:$O$1504,"&lt;&gt;Rescheduled")+COUNTIFS($B$5:B863,B863,$AJ$5:AJ863,AJ863,$O$5:O863,"&lt;&gt;Cancelled",$O$5:O863,"&lt;&gt;Rescheduled")))</f>
        <v/>
      </c>
      <c r="AL863" s="49">
        <f>IF(N(U863)&lt;=0.005,"",COUNTIFS('JOBS'!$U$5:$U$1504,"&gt;0.005",'JOBS'!$B$5:$B$1504,"&lt;"&amp;B863)+COUNTIFS($U$5:U863,"&gt;0.005",$B$5:B863,B863))</f>
        <v/>
      </c>
    </row>
    <row r="864">
      <c r="A864" s="46" t="inlineStr">
        <is>
          <t>J-0860</t>
        </is>
      </c>
      <c r="B864" s="47" t="n"/>
      <c r="C864" s="94" t="n"/>
      <c r="D864" s="38" t="n"/>
      <c r="E864" s="38" t="n"/>
      <c r="F864" s="38" t="n"/>
      <c r="G864" s="38" t="n"/>
      <c r="H864" s="38" t="n"/>
      <c r="I864" s="57" t="n"/>
      <c r="J864" s="95" t="n"/>
      <c r="K864" s="95" t="n"/>
      <c r="L864" s="48" t="n"/>
      <c r="M864" s="96" t="n"/>
      <c r="N864" s="48" t="n"/>
      <c r="O864" s="38" t="n"/>
      <c r="P864" s="38" t="n"/>
      <c r="Q864" s="97">
        <f>IF(OR(F864="",E864=""),"",IFERROR(IF(INDEX('PROPERTIES'!$F$5:$F$404,MATCH(E864,'PROPERTIES'!$B$5:$B$404,0))=0,"",ROUND((INDEX('PROPERTIES'!$F$5:$F$404,MATCH(E864,'PROPERTIES'!$B$5:$B$404,0))/INDEX('PRICING'!$C$7:$C$16,MATCH(F864,'PRICING'!$A$7:$A$16,0))+INDEX('PROPERTIES'!$G$5:$G$404,MATCH(E864,'PROPERTIES'!$B$5:$B$404,0))*INDEX('PRICING'!$D$7:$D$16,MATCH(F864,'PRICING'!$A$7:$A$16,0))/60+INDEX('PROPERTIES'!$H$5:$H$404,MATCH(E864,'PROPERTIES'!$B$5:$B$404,0))*INDEX('PRICING'!$E$7:$E$16,MATCH(F864,'PRICING'!$A$7:$A$16,0))/60+INDEX('PRICING'!$F$7:$F$16,MATCH(F864,'PRICING'!$A$7:$A$16,0))/60),2)),""))</f>
        <v/>
      </c>
      <c r="R864" s="97">
        <f>IF(B864="","",IF(N(K864)&gt;0,K864,IF(N(J864)&gt;0,J864,N(Q864))))</f>
        <v/>
      </c>
      <c r="S864" s="55">
        <f>IF(L864="","",ROUND(L864*(1+N(M864)),2))</f>
        <v/>
      </c>
      <c r="T864" s="55">
        <f>IF(B864="","",SUMIFS('REVENUE'!$C$5:$C$1504,'REVENUE'!$B$5:$B$1504,A864))</f>
        <v/>
      </c>
      <c r="U864" s="55">
        <f>IF(B864="","",IF(O864="Completed",MAX(0,N(S864)-T864),""))</f>
        <v/>
      </c>
      <c r="V864" s="49">
        <f>IF(B864="","",IF(O864&lt;&gt;"Completed",IF(T864&gt;0,"Deposit","—"),IF(U864&lt;=0.005,"Paid",IF(T864&gt;0,"Partial","Unpaid"))))</f>
        <v/>
      </c>
      <c r="W864" s="55">
        <f>IF(B864="","",IFERROR(1/(1/INDEX('STAFF &amp; TASKS'!$C$5:$C$24,MATCH(H864,'STAFF &amp; TASKS'!$A$5:$A$24,0))),PayRate))</f>
        <v/>
      </c>
      <c r="X864" s="55">
        <f>IF(B864="","",IF(OR(O864="Cancelled",O864="No-Show"),"",ROUND(R864*W864*(1+Burden),2)))</f>
        <v/>
      </c>
      <c r="Y864" s="55">
        <f>IF(B864="","",IF(OR(O864="Cancelled",O864="No-Show"),"",IF(N864&lt;&gt;"",N864,ROUND(R864*SupHr*IFERROR(INDEX('PRICING'!$G$7:$G$16,MATCH(F864,'PRICING'!$A$7:$A$16,0)),1),2))))</f>
        <v/>
      </c>
      <c r="Z864" s="98">
        <f>IF(B864="","",SUMIFS('MILEAGE'!$J$5:$J$1504,'MILEAGE'!$B$5:$B$1504,A864))</f>
        <v/>
      </c>
      <c r="AA864" s="55">
        <f>IF(B864="","",ROUND(Z864*MileRate,2))</f>
        <v/>
      </c>
      <c r="AB864" s="55">
        <f>IF(B864="","",SUMIFS('REVENUE'!$J$5:$J$1504,'REVENUE'!$B$5:$B$1504,A864))</f>
        <v/>
      </c>
      <c r="AC864" s="55">
        <f>IF(L864="","",IF(OR(O864="Cancelled",O864="No-Show"),"",L864-N(X864)-N(Y864)-AA864-AB864))</f>
        <v/>
      </c>
      <c r="AD864" s="99">
        <f>IF(OR(AC864="",N(L864)=0),"",AC864/L864)</f>
        <v/>
      </c>
      <c r="AE864" s="55">
        <f>IF(OR(AC864="",N(R864)=0),"",L864/R864)</f>
        <v/>
      </c>
      <c r="AF864" s="100">
        <f>IF(OR(N(K864)=0,N(J864)+N(Q864)=0),"",K864-IF(N(J864)&gt;0,J864,Q864))</f>
        <v/>
      </c>
      <c r="AG864" s="99">
        <f>IF(B864="","",IFERROR(AVERAGEIFS('QUALITY CONTROL'!$M$5:$M$304,'QUALITY CONTROL'!$B$5:$B$304,A864),""))</f>
        <v/>
      </c>
      <c r="AH864" s="51">
        <f>IF(B864="","",DATE(YEAR(B864),MONTH(B864),1))</f>
        <v/>
      </c>
      <c r="AI864" s="49">
        <f>IF(D864="","",IFERROR(INDEX('CUSTOMERS'!$E$5:$E$404,MATCH(D864,'CUSTOMERS'!$B$5:$B$404,0)),""))</f>
        <v/>
      </c>
      <c r="AJ864" s="49">
        <f>IF(B864="","",N(C864))</f>
        <v/>
      </c>
      <c r="AK864" s="49">
        <f>IF(OR(B864="",O864="Cancelled",O864="Rescheduled"),"",B864&amp;"|"&amp;(COUNTIFS('JOBS'!$B$5:$B$1504,B864,'JOBS'!$AJ$5:$AJ$1504,"&lt;"&amp;AJ864,'JOBS'!$O$5:$O$1504,"&lt;&gt;Cancelled",'JOBS'!$O$5:$O$1504,"&lt;&gt;Rescheduled")+COUNTIFS($B$5:B864,B864,$AJ$5:AJ864,AJ864,$O$5:O864,"&lt;&gt;Cancelled",$O$5:O864,"&lt;&gt;Rescheduled")))</f>
        <v/>
      </c>
      <c r="AL864" s="49">
        <f>IF(N(U864)&lt;=0.005,"",COUNTIFS('JOBS'!$U$5:$U$1504,"&gt;0.005",'JOBS'!$B$5:$B$1504,"&lt;"&amp;B864)+COUNTIFS($U$5:U864,"&gt;0.005",$B$5:B864,B864))</f>
        <v/>
      </c>
    </row>
    <row r="865">
      <c r="A865" s="46" t="inlineStr">
        <is>
          <t>J-0861</t>
        </is>
      </c>
      <c r="B865" s="47" t="n"/>
      <c r="C865" s="94" t="n"/>
      <c r="D865" s="38" t="n"/>
      <c r="E865" s="38" t="n"/>
      <c r="F865" s="38" t="n"/>
      <c r="G865" s="38" t="n"/>
      <c r="H865" s="38" t="n"/>
      <c r="I865" s="57" t="n"/>
      <c r="J865" s="95" t="n"/>
      <c r="K865" s="95" t="n"/>
      <c r="L865" s="48" t="n"/>
      <c r="M865" s="96" t="n"/>
      <c r="N865" s="48" t="n"/>
      <c r="O865" s="38" t="n"/>
      <c r="P865" s="38" t="n"/>
      <c r="Q865" s="97">
        <f>IF(OR(F865="",E865=""),"",IFERROR(IF(INDEX('PROPERTIES'!$F$5:$F$404,MATCH(E865,'PROPERTIES'!$B$5:$B$404,0))=0,"",ROUND((INDEX('PROPERTIES'!$F$5:$F$404,MATCH(E865,'PROPERTIES'!$B$5:$B$404,0))/INDEX('PRICING'!$C$7:$C$16,MATCH(F865,'PRICING'!$A$7:$A$16,0))+INDEX('PROPERTIES'!$G$5:$G$404,MATCH(E865,'PROPERTIES'!$B$5:$B$404,0))*INDEX('PRICING'!$D$7:$D$16,MATCH(F865,'PRICING'!$A$7:$A$16,0))/60+INDEX('PROPERTIES'!$H$5:$H$404,MATCH(E865,'PROPERTIES'!$B$5:$B$404,0))*INDEX('PRICING'!$E$7:$E$16,MATCH(F865,'PRICING'!$A$7:$A$16,0))/60+INDEX('PRICING'!$F$7:$F$16,MATCH(F865,'PRICING'!$A$7:$A$16,0))/60),2)),""))</f>
        <v/>
      </c>
      <c r="R865" s="97">
        <f>IF(B865="","",IF(N(K865)&gt;0,K865,IF(N(J865)&gt;0,J865,N(Q865))))</f>
        <v/>
      </c>
      <c r="S865" s="55">
        <f>IF(L865="","",ROUND(L865*(1+N(M865)),2))</f>
        <v/>
      </c>
      <c r="T865" s="55">
        <f>IF(B865="","",SUMIFS('REVENUE'!$C$5:$C$1504,'REVENUE'!$B$5:$B$1504,A865))</f>
        <v/>
      </c>
      <c r="U865" s="55">
        <f>IF(B865="","",IF(O865="Completed",MAX(0,N(S865)-T865),""))</f>
        <v/>
      </c>
      <c r="V865" s="49">
        <f>IF(B865="","",IF(O865&lt;&gt;"Completed",IF(T865&gt;0,"Deposit","—"),IF(U865&lt;=0.005,"Paid",IF(T865&gt;0,"Partial","Unpaid"))))</f>
        <v/>
      </c>
      <c r="W865" s="55">
        <f>IF(B865="","",IFERROR(1/(1/INDEX('STAFF &amp; TASKS'!$C$5:$C$24,MATCH(H865,'STAFF &amp; TASKS'!$A$5:$A$24,0))),PayRate))</f>
        <v/>
      </c>
      <c r="X865" s="55">
        <f>IF(B865="","",IF(OR(O865="Cancelled",O865="No-Show"),"",ROUND(R865*W865*(1+Burden),2)))</f>
        <v/>
      </c>
      <c r="Y865" s="55">
        <f>IF(B865="","",IF(OR(O865="Cancelled",O865="No-Show"),"",IF(N865&lt;&gt;"",N865,ROUND(R865*SupHr*IFERROR(INDEX('PRICING'!$G$7:$G$16,MATCH(F865,'PRICING'!$A$7:$A$16,0)),1),2))))</f>
        <v/>
      </c>
      <c r="Z865" s="98">
        <f>IF(B865="","",SUMIFS('MILEAGE'!$J$5:$J$1504,'MILEAGE'!$B$5:$B$1504,A865))</f>
        <v/>
      </c>
      <c r="AA865" s="55">
        <f>IF(B865="","",ROUND(Z865*MileRate,2))</f>
        <v/>
      </c>
      <c r="AB865" s="55">
        <f>IF(B865="","",SUMIFS('REVENUE'!$J$5:$J$1504,'REVENUE'!$B$5:$B$1504,A865))</f>
        <v/>
      </c>
      <c r="AC865" s="55">
        <f>IF(L865="","",IF(OR(O865="Cancelled",O865="No-Show"),"",L865-N(X865)-N(Y865)-AA865-AB865))</f>
        <v/>
      </c>
      <c r="AD865" s="99">
        <f>IF(OR(AC865="",N(L865)=0),"",AC865/L865)</f>
        <v/>
      </c>
      <c r="AE865" s="55">
        <f>IF(OR(AC865="",N(R865)=0),"",L865/R865)</f>
        <v/>
      </c>
      <c r="AF865" s="100">
        <f>IF(OR(N(K865)=0,N(J865)+N(Q865)=0),"",K865-IF(N(J865)&gt;0,J865,Q865))</f>
        <v/>
      </c>
      <c r="AG865" s="99">
        <f>IF(B865="","",IFERROR(AVERAGEIFS('QUALITY CONTROL'!$M$5:$M$304,'QUALITY CONTROL'!$B$5:$B$304,A865),""))</f>
        <v/>
      </c>
      <c r="AH865" s="51">
        <f>IF(B865="","",DATE(YEAR(B865),MONTH(B865),1))</f>
        <v/>
      </c>
      <c r="AI865" s="49">
        <f>IF(D865="","",IFERROR(INDEX('CUSTOMERS'!$E$5:$E$404,MATCH(D865,'CUSTOMERS'!$B$5:$B$404,0)),""))</f>
        <v/>
      </c>
      <c r="AJ865" s="49">
        <f>IF(B865="","",N(C865))</f>
        <v/>
      </c>
      <c r="AK865" s="49">
        <f>IF(OR(B865="",O865="Cancelled",O865="Rescheduled"),"",B865&amp;"|"&amp;(COUNTIFS('JOBS'!$B$5:$B$1504,B865,'JOBS'!$AJ$5:$AJ$1504,"&lt;"&amp;AJ865,'JOBS'!$O$5:$O$1504,"&lt;&gt;Cancelled",'JOBS'!$O$5:$O$1504,"&lt;&gt;Rescheduled")+COUNTIFS($B$5:B865,B865,$AJ$5:AJ865,AJ865,$O$5:O865,"&lt;&gt;Cancelled",$O$5:O865,"&lt;&gt;Rescheduled")))</f>
        <v/>
      </c>
      <c r="AL865" s="49">
        <f>IF(N(U865)&lt;=0.005,"",COUNTIFS('JOBS'!$U$5:$U$1504,"&gt;0.005",'JOBS'!$B$5:$B$1504,"&lt;"&amp;B865)+COUNTIFS($U$5:U865,"&gt;0.005",$B$5:B865,B865))</f>
        <v/>
      </c>
    </row>
    <row r="866">
      <c r="A866" s="46" t="inlineStr">
        <is>
          <t>J-0862</t>
        </is>
      </c>
      <c r="B866" s="47" t="n"/>
      <c r="C866" s="94" t="n"/>
      <c r="D866" s="38" t="n"/>
      <c r="E866" s="38" t="n"/>
      <c r="F866" s="38" t="n"/>
      <c r="G866" s="38" t="n"/>
      <c r="H866" s="38" t="n"/>
      <c r="I866" s="57" t="n"/>
      <c r="J866" s="95" t="n"/>
      <c r="K866" s="95" t="n"/>
      <c r="L866" s="48" t="n"/>
      <c r="M866" s="96" t="n"/>
      <c r="N866" s="48" t="n"/>
      <c r="O866" s="38" t="n"/>
      <c r="P866" s="38" t="n"/>
      <c r="Q866" s="97">
        <f>IF(OR(F866="",E866=""),"",IFERROR(IF(INDEX('PROPERTIES'!$F$5:$F$404,MATCH(E866,'PROPERTIES'!$B$5:$B$404,0))=0,"",ROUND((INDEX('PROPERTIES'!$F$5:$F$404,MATCH(E866,'PROPERTIES'!$B$5:$B$404,0))/INDEX('PRICING'!$C$7:$C$16,MATCH(F866,'PRICING'!$A$7:$A$16,0))+INDEX('PROPERTIES'!$G$5:$G$404,MATCH(E866,'PROPERTIES'!$B$5:$B$404,0))*INDEX('PRICING'!$D$7:$D$16,MATCH(F866,'PRICING'!$A$7:$A$16,0))/60+INDEX('PROPERTIES'!$H$5:$H$404,MATCH(E866,'PROPERTIES'!$B$5:$B$404,0))*INDEX('PRICING'!$E$7:$E$16,MATCH(F866,'PRICING'!$A$7:$A$16,0))/60+INDEX('PRICING'!$F$7:$F$16,MATCH(F866,'PRICING'!$A$7:$A$16,0))/60),2)),""))</f>
        <v/>
      </c>
      <c r="R866" s="97">
        <f>IF(B866="","",IF(N(K866)&gt;0,K866,IF(N(J866)&gt;0,J866,N(Q866))))</f>
        <v/>
      </c>
      <c r="S866" s="55">
        <f>IF(L866="","",ROUND(L866*(1+N(M866)),2))</f>
        <v/>
      </c>
      <c r="T866" s="55">
        <f>IF(B866="","",SUMIFS('REVENUE'!$C$5:$C$1504,'REVENUE'!$B$5:$B$1504,A866))</f>
        <v/>
      </c>
      <c r="U866" s="55">
        <f>IF(B866="","",IF(O866="Completed",MAX(0,N(S866)-T866),""))</f>
        <v/>
      </c>
      <c r="V866" s="49">
        <f>IF(B866="","",IF(O866&lt;&gt;"Completed",IF(T866&gt;0,"Deposit","—"),IF(U866&lt;=0.005,"Paid",IF(T866&gt;0,"Partial","Unpaid"))))</f>
        <v/>
      </c>
      <c r="W866" s="55">
        <f>IF(B866="","",IFERROR(1/(1/INDEX('STAFF &amp; TASKS'!$C$5:$C$24,MATCH(H866,'STAFF &amp; TASKS'!$A$5:$A$24,0))),PayRate))</f>
        <v/>
      </c>
      <c r="X866" s="55">
        <f>IF(B866="","",IF(OR(O866="Cancelled",O866="No-Show"),"",ROUND(R866*W866*(1+Burden),2)))</f>
        <v/>
      </c>
      <c r="Y866" s="55">
        <f>IF(B866="","",IF(OR(O866="Cancelled",O866="No-Show"),"",IF(N866&lt;&gt;"",N866,ROUND(R866*SupHr*IFERROR(INDEX('PRICING'!$G$7:$G$16,MATCH(F866,'PRICING'!$A$7:$A$16,0)),1),2))))</f>
        <v/>
      </c>
      <c r="Z866" s="98">
        <f>IF(B866="","",SUMIFS('MILEAGE'!$J$5:$J$1504,'MILEAGE'!$B$5:$B$1504,A866))</f>
        <v/>
      </c>
      <c r="AA866" s="55">
        <f>IF(B866="","",ROUND(Z866*MileRate,2))</f>
        <v/>
      </c>
      <c r="AB866" s="55">
        <f>IF(B866="","",SUMIFS('REVENUE'!$J$5:$J$1504,'REVENUE'!$B$5:$B$1504,A866))</f>
        <v/>
      </c>
      <c r="AC866" s="55">
        <f>IF(L866="","",IF(OR(O866="Cancelled",O866="No-Show"),"",L866-N(X866)-N(Y866)-AA866-AB866))</f>
        <v/>
      </c>
      <c r="AD866" s="99">
        <f>IF(OR(AC866="",N(L866)=0),"",AC866/L866)</f>
        <v/>
      </c>
      <c r="AE866" s="55">
        <f>IF(OR(AC866="",N(R866)=0),"",L866/R866)</f>
        <v/>
      </c>
      <c r="AF866" s="100">
        <f>IF(OR(N(K866)=0,N(J866)+N(Q866)=0),"",K866-IF(N(J866)&gt;0,J866,Q866))</f>
        <v/>
      </c>
      <c r="AG866" s="99">
        <f>IF(B866="","",IFERROR(AVERAGEIFS('QUALITY CONTROL'!$M$5:$M$304,'QUALITY CONTROL'!$B$5:$B$304,A866),""))</f>
        <v/>
      </c>
      <c r="AH866" s="51">
        <f>IF(B866="","",DATE(YEAR(B866),MONTH(B866),1))</f>
        <v/>
      </c>
      <c r="AI866" s="49">
        <f>IF(D866="","",IFERROR(INDEX('CUSTOMERS'!$E$5:$E$404,MATCH(D866,'CUSTOMERS'!$B$5:$B$404,0)),""))</f>
        <v/>
      </c>
      <c r="AJ866" s="49">
        <f>IF(B866="","",N(C866))</f>
        <v/>
      </c>
      <c r="AK866" s="49">
        <f>IF(OR(B866="",O866="Cancelled",O866="Rescheduled"),"",B866&amp;"|"&amp;(COUNTIFS('JOBS'!$B$5:$B$1504,B866,'JOBS'!$AJ$5:$AJ$1504,"&lt;"&amp;AJ866,'JOBS'!$O$5:$O$1504,"&lt;&gt;Cancelled",'JOBS'!$O$5:$O$1504,"&lt;&gt;Rescheduled")+COUNTIFS($B$5:B866,B866,$AJ$5:AJ866,AJ866,$O$5:O866,"&lt;&gt;Cancelled",$O$5:O866,"&lt;&gt;Rescheduled")))</f>
        <v/>
      </c>
      <c r="AL866" s="49">
        <f>IF(N(U866)&lt;=0.005,"",COUNTIFS('JOBS'!$U$5:$U$1504,"&gt;0.005",'JOBS'!$B$5:$B$1504,"&lt;"&amp;B866)+COUNTIFS($U$5:U866,"&gt;0.005",$B$5:B866,B866))</f>
        <v/>
      </c>
    </row>
    <row r="867">
      <c r="A867" s="46" t="inlineStr">
        <is>
          <t>J-0863</t>
        </is>
      </c>
      <c r="B867" s="47" t="n"/>
      <c r="C867" s="94" t="n"/>
      <c r="D867" s="38" t="n"/>
      <c r="E867" s="38" t="n"/>
      <c r="F867" s="38" t="n"/>
      <c r="G867" s="38" t="n"/>
      <c r="H867" s="38" t="n"/>
      <c r="I867" s="57" t="n"/>
      <c r="J867" s="95" t="n"/>
      <c r="K867" s="95" t="n"/>
      <c r="L867" s="48" t="n"/>
      <c r="M867" s="96" t="n"/>
      <c r="N867" s="48" t="n"/>
      <c r="O867" s="38" t="n"/>
      <c r="P867" s="38" t="n"/>
      <c r="Q867" s="97">
        <f>IF(OR(F867="",E867=""),"",IFERROR(IF(INDEX('PROPERTIES'!$F$5:$F$404,MATCH(E867,'PROPERTIES'!$B$5:$B$404,0))=0,"",ROUND((INDEX('PROPERTIES'!$F$5:$F$404,MATCH(E867,'PROPERTIES'!$B$5:$B$404,0))/INDEX('PRICING'!$C$7:$C$16,MATCH(F867,'PRICING'!$A$7:$A$16,0))+INDEX('PROPERTIES'!$G$5:$G$404,MATCH(E867,'PROPERTIES'!$B$5:$B$404,0))*INDEX('PRICING'!$D$7:$D$16,MATCH(F867,'PRICING'!$A$7:$A$16,0))/60+INDEX('PROPERTIES'!$H$5:$H$404,MATCH(E867,'PROPERTIES'!$B$5:$B$404,0))*INDEX('PRICING'!$E$7:$E$16,MATCH(F867,'PRICING'!$A$7:$A$16,0))/60+INDEX('PRICING'!$F$7:$F$16,MATCH(F867,'PRICING'!$A$7:$A$16,0))/60),2)),""))</f>
        <v/>
      </c>
      <c r="R867" s="97">
        <f>IF(B867="","",IF(N(K867)&gt;0,K867,IF(N(J867)&gt;0,J867,N(Q867))))</f>
        <v/>
      </c>
      <c r="S867" s="55">
        <f>IF(L867="","",ROUND(L867*(1+N(M867)),2))</f>
        <v/>
      </c>
      <c r="T867" s="55">
        <f>IF(B867="","",SUMIFS('REVENUE'!$C$5:$C$1504,'REVENUE'!$B$5:$B$1504,A867))</f>
        <v/>
      </c>
      <c r="U867" s="55">
        <f>IF(B867="","",IF(O867="Completed",MAX(0,N(S867)-T867),""))</f>
        <v/>
      </c>
      <c r="V867" s="49">
        <f>IF(B867="","",IF(O867&lt;&gt;"Completed",IF(T867&gt;0,"Deposit","—"),IF(U867&lt;=0.005,"Paid",IF(T867&gt;0,"Partial","Unpaid"))))</f>
        <v/>
      </c>
      <c r="W867" s="55">
        <f>IF(B867="","",IFERROR(1/(1/INDEX('STAFF &amp; TASKS'!$C$5:$C$24,MATCH(H867,'STAFF &amp; TASKS'!$A$5:$A$24,0))),PayRate))</f>
        <v/>
      </c>
      <c r="X867" s="55">
        <f>IF(B867="","",IF(OR(O867="Cancelled",O867="No-Show"),"",ROUND(R867*W867*(1+Burden),2)))</f>
        <v/>
      </c>
      <c r="Y867" s="55">
        <f>IF(B867="","",IF(OR(O867="Cancelled",O867="No-Show"),"",IF(N867&lt;&gt;"",N867,ROUND(R867*SupHr*IFERROR(INDEX('PRICING'!$G$7:$G$16,MATCH(F867,'PRICING'!$A$7:$A$16,0)),1),2))))</f>
        <v/>
      </c>
      <c r="Z867" s="98">
        <f>IF(B867="","",SUMIFS('MILEAGE'!$J$5:$J$1504,'MILEAGE'!$B$5:$B$1504,A867))</f>
        <v/>
      </c>
      <c r="AA867" s="55">
        <f>IF(B867="","",ROUND(Z867*MileRate,2))</f>
        <v/>
      </c>
      <c r="AB867" s="55">
        <f>IF(B867="","",SUMIFS('REVENUE'!$J$5:$J$1504,'REVENUE'!$B$5:$B$1504,A867))</f>
        <v/>
      </c>
      <c r="AC867" s="55">
        <f>IF(L867="","",IF(OR(O867="Cancelled",O867="No-Show"),"",L867-N(X867)-N(Y867)-AA867-AB867))</f>
        <v/>
      </c>
      <c r="AD867" s="99">
        <f>IF(OR(AC867="",N(L867)=0),"",AC867/L867)</f>
        <v/>
      </c>
      <c r="AE867" s="55">
        <f>IF(OR(AC867="",N(R867)=0),"",L867/R867)</f>
        <v/>
      </c>
      <c r="AF867" s="100">
        <f>IF(OR(N(K867)=0,N(J867)+N(Q867)=0),"",K867-IF(N(J867)&gt;0,J867,Q867))</f>
        <v/>
      </c>
      <c r="AG867" s="99">
        <f>IF(B867="","",IFERROR(AVERAGEIFS('QUALITY CONTROL'!$M$5:$M$304,'QUALITY CONTROL'!$B$5:$B$304,A867),""))</f>
        <v/>
      </c>
      <c r="AH867" s="51">
        <f>IF(B867="","",DATE(YEAR(B867),MONTH(B867),1))</f>
        <v/>
      </c>
      <c r="AI867" s="49">
        <f>IF(D867="","",IFERROR(INDEX('CUSTOMERS'!$E$5:$E$404,MATCH(D867,'CUSTOMERS'!$B$5:$B$404,0)),""))</f>
        <v/>
      </c>
      <c r="AJ867" s="49">
        <f>IF(B867="","",N(C867))</f>
        <v/>
      </c>
      <c r="AK867" s="49">
        <f>IF(OR(B867="",O867="Cancelled",O867="Rescheduled"),"",B867&amp;"|"&amp;(COUNTIFS('JOBS'!$B$5:$B$1504,B867,'JOBS'!$AJ$5:$AJ$1504,"&lt;"&amp;AJ867,'JOBS'!$O$5:$O$1504,"&lt;&gt;Cancelled",'JOBS'!$O$5:$O$1504,"&lt;&gt;Rescheduled")+COUNTIFS($B$5:B867,B867,$AJ$5:AJ867,AJ867,$O$5:O867,"&lt;&gt;Cancelled",$O$5:O867,"&lt;&gt;Rescheduled")))</f>
        <v/>
      </c>
      <c r="AL867" s="49">
        <f>IF(N(U867)&lt;=0.005,"",COUNTIFS('JOBS'!$U$5:$U$1504,"&gt;0.005",'JOBS'!$B$5:$B$1504,"&lt;"&amp;B867)+COUNTIFS($U$5:U867,"&gt;0.005",$B$5:B867,B867))</f>
        <v/>
      </c>
    </row>
    <row r="868">
      <c r="A868" s="46" t="inlineStr">
        <is>
          <t>J-0864</t>
        </is>
      </c>
      <c r="B868" s="47" t="n"/>
      <c r="C868" s="94" t="n"/>
      <c r="D868" s="38" t="n"/>
      <c r="E868" s="38" t="n"/>
      <c r="F868" s="38" t="n"/>
      <c r="G868" s="38" t="n"/>
      <c r="H868" s="38" t="n"/>
      <c r="I868" s="57" t="n"/>
      <c r="J868" s="95" t="n"/>
      <c r="K868" s="95" t="n"/>
      <c r="L868" s="48" t="n"/>
      <c r="M868" s="96" t="n"/>
      <c r="N868" s="48" t="n"/>
      <c r="O868" s="38" t="n"/>
      <c r="P868" s="38" t="n"/>
      <c r="Q868" s="97">
        <f>IF(OR(F868="",E868=""),"",IFERROR(IF(INDEX('PROPERTIES'!$F$5:$F$404,MATCH(E868,'PROPERTIES'!$B$5:$B$404,0))=0,"",ROUND((INDEX('PROPERTIES'!$F$5:$F$404,MATCH(E868,'PROPERTIES'!$B$5:$B$404,0))/INDEX('PRICING'!$C$7:$C$16,MATCH(F868,'PRICING'!$A$7:$A$16,0))+INDEX('PROPERTIES'!$G$5:$G$404,MATCH(E868,'PROPERTIES'!$B$5:$B$404,0))*INDEX('PRICING'!$D$7:$D$16,MATCH(F868,'PRICING'!$A$7:$A$16,0))/60+INDEX('PROPERTIES'!$H$5:$H$404,MATCH(E868,'PROPERTIES'!$B$5:$B$404,0))*INDEX('PRICING'!$E$7:$E$16,MATCH(F868,'PRICING'!$A$7:$A$16,0))/60+INDEX('PRICING'!$F$7:$F$16,MATCH(F868,'PRICING'!$A$7:$A$16,0))/60),2)),""))</f>
        <v/>
      </c>
      <c r="R868" s="97">
        <f>IF(B868="","",IF(N(K868)&gt;0,K868,IF(N(J868)&gt;0,J868,N(Q868))))</f>
        <v/>
      </c>
      <c r="S868" s="55">
        <f>IF(L868="","",ROUND(L868*(1+N(M868)),2))</f>
        <v/>
      </c>
      <c r="T868" s="55">
        <f>IF(B868="","",SUMIFS('REVENUE'!$C$5:$C$1504,'REVENUE'!$B$5:$B$1504,A868))</f>
        <v/>
      </c>
      <c r="U868" s="55">
        <f>IF(B868="","",IF(O868="Completed",MAX(0,N(S868)-T868),""))</f>
        <v/>
      </c>
      <c r="V868" s="49">
        <f>IF(B868="","",IF(O868&lt;&gt;"Completed",IF(T868&gt;0,"Deposit","—"),IF(U868&lt;=0.005,"Paid",IF(T868&gt;0,"Partial","Unpaid"))))</f>
        <v/>
      </c>
      <c r="W868" s="55">
        <f>IF(B868="","",IFERROR(1/(1/INDEX('STAFF &amp; TASKS'!$C$5:$C$24,MATCH(H868,'STAFF &amp; TASKS'!$A$5:$A$24,0))),PayRate))</f>
        <v/>
      </c>
      <c r="X868" s="55">
        <f>IF(B868="","",IF(OR(O868="Cancelled",O868="No-Show"),"",ROUND(R868*W868*(1+Burden),2)))</f>
        <v/>
      </c>
      <c r="Y868" s="55">
        <f>IF(B868="","",IF(OR(O868="Cancelled",O868="No-Show"),"",IF(N868&lt;&gt;"",N868,ROUND(R868*SupHr*IFERROR(INDEX('PRICING'!$G$7:$G$16,MATCH(F868,'PRICING'!$A$7:$A$16,0)),1),2))))</f>
        <v/>
      </c>
      <c r="Z868" s="98">
        <f>IF(B868="","",SUMIFS('MILEAGE'!$J$5:$J$1504,'MILEAGE'!$B$5:$B$1504,A868))</f>
        <v/>
      </c>
      <c r="AA868" s="55">
        <f>IF(B868="","",ROUND(Z868*MileRate,2))</f>
        <v/>
      </c>
      <c r="AB868" s="55">
        <f>IF(B868="","",SUMIFS('REVENUE'!$J$5:$J$1504,'REVENUE'!$B$5:$B$1504,A868))</f>
        <v/>
      </c>
      <c r="AC868" s="55">
        <f>IF(L868="","",IF(OR(O868="Cancelled",O868="No-Show"),"",L868-N(X868)-N(Y868)-AA868-AB868))</f>
        <v/>
      </c>
      <c r="AD868" s="99">
        <f>IF(OR(AC868="",N(L868)=0),"",AC868/L868)</f>
        <v/>
      </c>
      <c r="AE868" s="55">
        <f>IF(OR(AC868="",N(R868)=0),"",L868/R868)</f>
        <v/>
      </c>
      <c r="AF868" s="100">
        <f>IF(OR(N(K868)=0,N(J868)+N(Q868)=0),"",K868-IF(N(J868)&gt;0,J868,Q868))</f>
        <v/>
      </c>
      <c r="AG868" s="99">
        <f>IF(B868="","",IFERROR(AVERAGEIFS('QUALITY CONTROL'!$M$5:$M$304,'QUALITY CONTROL'!$B$5:$B$304,A868),""))</f>
        <v/>
      </c>
      <c r="AH868" s="51">
        <f>IF(B868="","",DATE(YEAR(B868),MONTH(B868),1))</f>
        <v/>
      </c>
      <c r="AI868" s="49">
        <f>IF(D868="","",IFERROR(INDEX('CUSTOMERS'!$E$5:$E$404,MATCH(D868,'CUSTOMERS'!$B$5:$B$404,0)),""))</f>
        <v/>
      </c>
      <c r="AJ868" s="49">
        <f>IF(B868="","",N(C868))</f>
        <v/>
      </c>
      <c r="AK868" s="49">
        <f>IF(OR(B868="",O868="Cancelled",O868="Rescheduled"),"",B868&amp;"|"&amp;(COUNTIFS('JOBS'!$B$5:$B$1504,B868,'JOBS'!$AJ$5:$AJ$1504,"&lt;"&amp;AJ868,'JOBS'!$O$5:$O$1504,"&lt;&gt;Cancelled",'JOBS'!$O$5:$O$1504,"&lt;&gt;Rescheduled")+COUNTIFS($B$5:B868,B868,$AJ$5:AJ868,AJ868,$O$5:O868,"&lt;&gt;Cancelled",$O$5:O868,"&lt;&gt;Rescheduled")))</f>
        <v/>
      </c>
      <c r="AL868" s="49">
        <f>IF(N(U868)&lt;=0.005,"",COUNTIFS('JOBS'!$U$5:$U$1504,"&gt;0.005",'JOBS'!$B$5:$B$1504,"&lt;"&amp;B868)+COUNTIFS($U$5:U868,"&gt;0.005",$B$5:B868,B868))</f>
        <v/>
      </c>
    </row>
    <row r="869">
      <c r="A869" s="46" t="inlineStr">
        <is>
          <t>J-0865</t>
        </is>
      </c>
      <c r="B869" s="47" t="n"/>
      <c r="C869" s="94" t="n"/>
      <c r="D869" s="38" t="n"/>
      <c r="E869" s="38" t="n"/>
      <c r="F869" s="38" t="n"/>
      <c r="G869" s="38" t="n"/>
      <c r="H869" s="38" t="n"/>
      <c r="I869" s="57" t="n"/>
      <c r="J869" s="95" t="n"/>
      <c r="K869" s="95" t="n"/>
      <c r="L869" s="48" t="n"/>
      <c r="M869" s="96" t="n"/>
      <c r="N869" s="48" t="n"/>
      <c r="O869" s="38" t="n"/>
      <c r="P869" s="38" t="n"/>
      <c r="Q869" s="97">
        <f>IF(OR(F869="",E869=""),"",IFERROR(IF(INDEX('PROPERTIES'!$F$5:$F$404,MATCH(E869,'PROPERTIES'!$B$5:$B$404,0))=0,"",ROUND((INDEX('PROPERTIES'!$F$5:$F$404,MATCH(E869,'PROPERTIES'!$B$5:$B$404,0))/INDEX('PRICING'!$C$7:$C$16,MATCH(F869,'PRICING'!$A$7:$A$16,0))+INDEX('PROPERTIES'!$G$5:$G$404,MATCH(E869,'PROPERTIES'!$B$5:$B$404,0))*INDEX('PRICING'!$D$7:$D$16,MATCH(F869,'PRICING'!$A$7:$A$16,0))/60+INDEX('PROPERTIES'!$H$5:$H$404,MATCH(E869,'PROPERTIES'!$B$5:$B$404,0))*INDEX('PRICING'!$E$7:$E$16,MATCH(F869,'PRICING'!$A$7:$A$16,0))/60+INDEX('PRICING'!$F$7:$F$16,MATCH(F869,'PRICING'!$A$7:$A$16,0))/60),2)),""))</f>
        <v/>
      </c>
      <c r="R869" s="97">
        <f>IF(B869="","",IF(N(K869)&gt;0,K869,IF(N(J869)&gt;0,J869,N(Q869))))</f>
        <v/>
      </c>
      <c r="S869" s="55">
        <f>IF(L869="","",ROUND(L869*(1+N(M869)),2))</f>
        <v/>
      </c>
      <c r="T869" s="55">
        <f>IF(B869="","",SUMIFS('REVENUE'!$C$5:$C$1504,'REVENUE'!$B$5:$B$1504,A869))</f>
        <v/>
      </c>
      <c r="U869" s="55">
        <f>IF(B869="","",IF(O869="Completed",MAX(0,N(S869)-T869),""))</f>
        <v/>
      </c>
      <c r="V869" s="49">
        <f>IF(B869="","",IF(O869&lt;&gt;"Completed",IF(T869&gt;0,"Deposit","—"),IF(U869&lt;=0.005,"Paid",IF(T869&gt;0,"Partial","Unpaid"))))</f>
        <v/>
      </c>
      <c r="W869" s="55">
        <f>IF(B869="","",IFERROR(1/(1/INDEX('STAFF &amp; TASKS'!$C$5:$C$24,MATCH(H869,'STAFF &amp; TASKS'!$A$5:$A$24,0))),PayRate))</f>
        <v/>
      </c>
      <c r="X869" s="55">
        <f>IF(B869="","",IF(OR(O869="Cancelled",O869="No-Show"),"",ROUND(R869*W869*(1+Burden),2)))</f>
        <v/>
      </c>
      <c r="Y869" s="55">
        <f>IF(B869="","",IF(OR(O869="Cancelled",O869="No-Show"),"",IF(N869&lt;&gt;"",N869,ROUND(R869*SupHr*IFERROR(INDEX('PRICING'!$G$7:$G$16,MATCH(F869,'PRICING'!$A$7:$A$16,0)),1),2))))</f>
        <v/>
      </c>
      <c r="Z869" s="98">
        <f>IF(B869="","",SUMIFS('MILEAGE'!$J$5:$J$1504,'MILEAGE'!$B$5:$B$1504,A869))</f>
        <v/>
      </c>
      <c r="AA869" s="55">
        <f>IF(B869="","",ROUND(Z869*MileRate,2))</f>
        <v/>
      </c>
      <c r="AB869" s="55">
        <f>IF(B869="","",SUMIFS('REVENUE'!$J$5:$J$1504,'REVENUE'!$B$5:$B$1504,A869))</f>
        <v/>
      </c>
      <c r="AC869" s="55">
        <f>IF(L869="","",IF(OR(O869="Cancelled",O869="No-Show"),"",L869-N(X869)-N(Y869)-AA869-AB869))</f>
        <v/>
      </c>
      <c r="AD869" s="99">
        <f>IF(OR(AC869="",N(L869)=0),"",AC869/L869)</f>
        <v/>
      </c>
      <c r="AE869" s="55">
        <f>IF(OR(AC869="",N(R869)=0),"",L869/R869)</f>
        <v/>
      </c>
      <c r="AF869" s="100">
        <f>IF(OR(N(K869)=0,N(J869)+N(Q869)=0),"",K869-IF(N(J869)&gt;0,J869,Q869))</f>
        <v/>
      </c>
      <c r="AG869" s="99">
        <f>IF(B869="","",IFERROR(AVERAGEIFS('QUALITY CONTROL'!$M$5:$M$304,'QUALITY CONTROL'!$B$5:$B$304,A869),""))</f>
        <v/>
      </c>
      <c r="AH869" s="51">
        <f>IF(B869="","",DATE(YEAR(B869),MONTH(B869),1))</f>
        <v/>
      </c>
      <c r="AI869" s="49">
        <f>IF(D869="","",IFERROR(INDEX('CUSTOMERS'!$E$5:$E$404,MATCH(D869,'CUSTOMERS'!$B$5:$B$404,0)),""))</f>
        <v/>
      </c>
      <c r="AJ869" s="49">
        <f>IF(B869="","",N(C869))</f>
        <v/>
      </c>
      <c r="AK869" s="49">
        <f>IF(OR(B869="",O869="Cancelled",O869="Rescheduled"),"",B869&amp;"|"&amp;(COUNTIFS('JOBS'!$B$5:$B$1504,B869,'JOBS'!$AJ$5:$AJ$1504,"&lt;"&amp;AJ869,'JOBS'!$O$5:$O$1504,"&lt;&gt;Cancelled",'JOBS'!$O$5:$O$1504,"&lt;&gt;Rescheduled")+COUNTIFS($B$5:B869,B869,$AJ$5:AJ869,AJ869,$O$5:O869,"&lt;&gt;Cancelled",$O$5:O869,"&lt;&gt;Rescheduled")))</f>
        <v/>
      </c>
      <c r="AL869" s="49">
        <f>IF(N(U869)&lt;=0.005,"",COUNTIFS('JOBS'!$U$5:$U$1504,"&gt;0.005",'JOBS'!$B$5:$B$1504,"&lt;"&amp;B869)+COUNTIFS($U$5:U869,"&gt;0.005",$B$5:B869,B869))</f>
        <v/>
      </c>
    </row>
    <row r="870">
      <c r="A870" s="46" t="inlineStr">
        <is>
          <t>J-0866</t>
        </is>
      </c>
      <c r="B870" s="47" t="n"/>
      <c r="C870" s="94" t="n"/>
      <c r="D870" s="38" t="n"/>
      <c r="E870" s="38" t="n"/>
      <c r="F870" s="38" t="n"/>
      <c r="G870" s="38" t="n"/>
      <c r="H870" s="38" t="n"/>
      <c r="I870" s="57" t="n"/>
      <c r="J870" s="95" t="n"/>
      <c r="K870" s="95" t="n"/>
      <c r="L870" s="48" t="n"/>
      <c r="M870" s="96" t="n"/>
      <c r="N870" s="48" t="n"/>
      <c r="O870" s="38" t="n"/>
      <c r="P870" s="38" t="n"/>
      <c r="Q870" s="97">
        <f>IF(OR(F870="",E870=""),"",IFERROR(IF(INDEX('PROPERTIES'!$F$5:$F$404,MATCH(E870,'PROPERTIES'!$B$5:$B$404,0))=0,"",ROUND((INDEX('PROPERTIES'!$F$5:$F$404,MATCH(E870,'PROPERTIES'!$B$5:$B$404,0))/INDEX('PRICING'!$C$7:$C$16,MATCH(F870,'PRICING'!$A$7:$A$16,0))+INDEX('PROPERTIES'!$G$5:$G$404,MATCH(E870,'PROPERTIES'!$B$5:$B$404,0))*INDEX('PRICING'!$D$7:$D$16,MATCH(F870,'PRICING'!$A$7:$A$16,0))/60+INDEX('PROPERTIES'!$H$5:$H$404,MATCH(E870,'PROPERTIES'!$B$5:$B$404,0))*INDEX('PRICING'!$E$7:$E$16,MATCH(F870,'PRICING'!$A$7:$A$16,0))/60+INDEX('PRICING'!$F$7:$F$16,MATCH(F870,'PRICING'!$A$7:$A$16,0))/60),2)),""))</f>
        <v/>
      </c>
      <c r="R870" s="97">
        <f>IF(B870="","",IF(N(K870)&gt;0,K870,IF(N(J870)&gt;0,J870,N(Q870))))</f>
        <v/>
      </c>
      <c r="S870" s="55">
        <f>IF(L870="","",ROUND(L870*(1+N(M870)),2))</f>
        <v/>
      </c>
      <c r="T870" s="55">
        <f>IF(B870="","",SUMIFS('REVENUE'!$C$5:$C$1504,'REVENUE'!$B$5:$B$1504,A870))</f>
        <v/>
      </c>
      <c r="U870" s="55">
        <f>IF(B870="","",IF(O870="Completed",MAX(0,N(S870)-T870),""))</f>
        <v/>
      </c>
      <c r="V870" s="49">
        <f>IF(B870="","",IF(O870&lt;&gt;"Completed",IF(T870&gt;0,"Deposit","—"),IF(U870&lt;=0.005,"Paid",IF(T870&gt;0,"Partial","Unpaid"))))</f>
        <v/>
      </c>
      <c r="W870" s="55">
        <f>IF(B870="","",IFERROR(1/(1/INDEX('STAFF &amp; TASKS'!$C$5:$C$24,MATCH(H870,'STAFF &amp; TASKS'!$A$5:$A$24,0))),PayRate))</f>
        <v/>
      </c>
      <c r="X870" s="55">
        <f>IF(B870="","",IF(OR(O870="Cancelled",O870="No-Show"),"",ROUND(R870*W870*(1+Burden),2)))</f>
        <v/>
      </c>
      <c r="Y870" s="55">
        <f>IF(B870="","",IF(OR(O870="Cancelled",O870="No-Show"),"",IF(N870&lt;&gt;"",N870,ROUND(R870*SupHr*IFERROR(INDEX('PRICING'!$G$7:$G$16,MATCH(F870,'PRICING'!$A$7:$A$16,0)),1),2))))</f>
        <v/>
      </c>
      <c r="Z870" s="98">
        <f>IF(B870="","",SUMIFS('MILEAGE'!$J$5:$J$1504,'MILEAGE'!$B$5:$B$1504,A870))</f>
        <v/>
      </c>
      <c r="AA870" s="55">
        <f>IF(B870="","",ROUND(Z870*MileRate,2))</f>
        <v/>
      </c>
      <c r="AB870" s="55">
        <f>IF(B870="","",SUMIFS('REVENUE'!$J$5:$J$1504,'REVENUE'!$B$5:$B$1504,A870))</f>
        <v/>
      </c>
      <c r="AC870" s="55">
        <f>IF(L870="","",IF(OR(O870="Cancelled",O870="No-Show"),"",L870-N(X870)-N(Y870)-AA870-AB870))</f>
        <v/>
      </c>
      <c r="AD870" s="99">
        <f>IF(OR(AC870="",N(L870)=0),"",AC870/L870)</f>
        <v/>
      </c>
      <c r="AE870" s="55">
        <f>IF(OR(AC870="",N(R870)=0),"",L870/R870)</f>
        <v/>
      </c>
      <c r="AF870" s="100">
        <f>IF(OR(N(K870)=0,N(J870)+N(Q870)=0),"",K870-IF(N(J870)&gt;0,J870,Q870))</f>
        <v/>
      </c>
      <c r="AG870" s="99">
        <f>IF(B870="","",IFERROR(AVERAGEIFS('QUALITY CONTROL'!$M$5:$M$304,'QUALITY CONTROL'!$B$5:$B$304,A870),""))</f>
        <v/>
      </c>
      <c r="AH870" s="51">
        <f>IF(B870="","",DATE(YEAR(B870),MONTH(B870),1))</f>
        <v/>
      </c>
      <c r="AI870" s="49">
        <f>IF(D870="","",IFERROR(INDEX('CUSTOMERS'!$E$5:$E$404,MATCH(D870,'CUSTOMERS'!$B$5:$B$404,0)),""))</f>
        <v/>
      </c>
      <c r="AJ870" s="49">
        <f>IF(B870="","",N(C870))</f>
        <v/>
      </c>
      <c r="AK870" s="49">
        <f>IF(OR(B870="",O870="Cancelled",O870="Rescheduled"),"",B870&amp;"|"&amp;(COUNTIFS('JOBS'!$B$5:$B$1504,B870,'JOBS'!$AJ$5:$AJ$1504,"&lt;"&amp;AJ870,'JOBS'!$O$5:$O$1504,"&lt;&gt;Cancelled",'JOBS'!$O$5:$O$1504,"&lt;&gt;Rescheduled")+COUNTIFS($B$5:B870,B870,$AJ$5:AJ870,AJ870,$O$5:O870,"&lt;&gt;Cancelled",$O$5:O870,"&lt;&gt;Rescheduled")))</f>
        <v/>
      </c>
      <c r="AL870" s="49">
        <f>IF(N(U870)&lt;=0.005,"",COUNTIFS('JOBS'!$U$5:$U$1504,"&gt;0.005",'JOBS'!$B$5:$B$1504,"&lt;"&amp;B870)+COUNTIFS($U$5:U870,"&gt;0.005",$B$5:B870,B870))</f>
        <v/>
      </c>
    </row>
    <row r="871">
      <c r="A871" s="46" t="inlineStr">
        <is>
          <t>J-0867</t>
        </is>
      </c>
      <c r="B871" s="47" t="n"/>
      <c r="C871" s="94" t="n"/>
      <c r="D871" s="38" t="n"/>
      <c r="E871" s="38" t="n"/>
      <c r="F871" s="38" t="n"/>
      <c r="G871" s="38" t="n"/>
      <c r="H871" s="38" t="n"/>
      <c r="I871" s="57" t="n"/>
      <c r="J871" s="95" t="n"/>
      <c r="K871" s="95" t="n"/>
      <c r="L871" s="48" t="n"/>
      <c r="M871" s="96" t="n"/>
      <c r="N871" s="48" t="n"/>
      <c r="O871" s="38" t="n"/>
      <c r="P871" s="38" t="n"/>
      <c r="Q871" s="97">
        <f>IF(OR(F871="",E871=""),"",IFERROR(IF(INDEX('PROPERTIES'!$F$5:$F$404,MATCH(E871,'PROPERTIES'!$B$5:$B$404,0))=0,"",ROUND((INDEX('PROPERTIES'!$F$5:$F$404,MATCH(E871,'PROPERTIES'!$B$5:$B$404,0))/INDEX('PRICING'!$C$7:$C$16,MATCH(F871,'PRICING'!$A$7:$A$16,0))+INDEX('PROPERTIES'!$G$5:$G$404,MATCH(E871,'PROPERTIES'!$B$5:$B$404,0))*INDEX('PRICING'!$D$7:$D$16,MATCH(F871,'PRICING'!$A$7:$A$16,0))/60+INDEX('PROPERTIES'!$H$5:$H$404,MATCH(E871,'PROPERTIES'!$B$5:$B$404,0))*INDEX('PRICING'!$E$7:$E$16,MATCH(F871,'PRICING'!$A$7:$A$16,0))/60+INDEX('PRICING'!$F$7:$F$16,MATCH(F871,'PRICING'!$A$7:$A$16,0))/60),2)),""))</f>
        <v/>
      </c>
      <c r="R871" s="97">
        <f>IF(B871="","",IF(N(K871)&gt;0,K871,IF(N(J871)&gt;0,J871,N(Q871))))</f>
        <v/>
      </c>
      <c r="S871" s="55">
        <f>IF(L871="","",ROUND(L871*(1+N(M871)),2))</f>
        <v/>
      </c>
      <c r="T871" s="55">
        <f>IF(B871="","",SUMIFS('REVENUE'!$C$5:$C$1504,'REVENUE'!$B$5:$B$1504,A871))</f>
        <v/>
      </c>
      <c r="U871" s="55">
        <f>IF(B871="","",IF(O871="Completed",MAX(0,N(S871)-T871),""))</f>
        <v/>
      </c>
      <c r="V871" s="49">
        <f>IF(B871="","",IF(O871&lt;&gt;"Completed",IF(T871&gt;0,"Deposit","—"),IF(U871&lt;=0.005,"Paid",IF(T871&gt;0,"Partial","Unpaid"))))</f>
        <v/>
      </c>
      <c r="W871" s="55">
        <f>IF(B871="","",IFERROR(1/(1/INDEX('STAFF &amp; TASKS'!$C$5:$C$24,MATCH(H871,'STAFF &amp; TASKS'!$A$5:$A$24,0))),PayRate))</f>
        <v/>
      </c>
      <c r="X871" s="55">
        <f>IF(B871="","",IF(OR(O871="Cancelled",O871="No-Show"),"",ROUND(R871*W871*(1+Burden),2)))</f>
        <v/>
      </c>
      <c r="Y871" s="55">
        <f>IF(B871="","",IF(OR(O871="Cancelled",O871="No-Show"),"",IF(N871&lt;&gt;"",N871,ROUND(R871*SupHr*IFERROR(INDEX('PRICING'!$G$7:$G$16,MATCH(F871,'PRICING'!$A$7:$A$16,0)),1),2))))</f>
        <v/>
      </c>
      <c r="Z871" s="98">
        <f>IF(B871="","",SUMIFS('MILEAGE'!$J$5:$J$1504,'MILEAGE'!$B$5:$B$1504,A871))</f>
        <v/>
      </c>
      <c r="AA871" s="55">
        <f>IF(B871="","",ROUND(Z871*MileRate,2))</f>
        <v/>
      </c>
      <c r="AB871" s="55">
        <f>IF(B871="","",SUMIFS('REVENUE'!$J$5:$J$1504,'REVENUE'!$B$5:$B$1504,A871))</f>
        <v/>
      </c>
      <c r="AC871" s="55">
        <f>IF(L871="","",IF(OR(O871="Cancelled",O871="No-Show"),"",L871-N(X871)-N(Y871)-AA871-AB871))</f>
        <v/>
      </c>
      <c r="AD871" s="99">
        <f>IF(OR(AC871="",N(L871)=0),"",AC871/L871)</f>
        <v/>
      </c>
      <c r="AE871" s="55">
        <f>IF(OR(AC871="",N(R871)=0),"",L871/R871)</f>
        <v/>
      </c>
      <c r="AF871" s="100">
        <f>IF(OR(N(K871)=0,N(J871)+N(Q871)=0),"",K871-IF(N(J871)&gt;0,J871,Q871))</f>
        <v/>
      </c>
      <c r="AG871" s="99">
        <f>IF(B871="","",IFERROR(AVERAGEIFS('QUALITY CONTROL'!$M$5:$M$304,'QUALITY CONTROL'!$B$5:$B$304,A871),""))</f>
        <v/>
      </c>
      <c r="AH871" s="51">
        <f>IF(B871="","",DATE(YEAR(B871),MONTH(B871),1))</f>
        <v/>
      </c>
      <c r="AI871" s="49">
        <f>IF(D871="","",IFERROR(INDEX('CUSTOMERS'!$E$5:$E$404,MATCH(D871,'CUSTOMERS'!$B$5:$B$404,0)),""))</f>
        <v/>
      </c>
      <c r="AJ871" s="49">
        <f>IF(B871="","",N(C871))</f>
        <v/>
      </c>
      <c r="AK871" s="49">
        <f>IF(OR(B871="",O871="Cancelled",O871="Rescheduled"),"",B871&amp;"|"&amp;(COUNTIFS('JOBS'!$B$5:$B$1504,B871,'JOBS'!$AJ$5:$AJ$1504,"&lt;"&amp;AJ871,'JOBS'!$O$5:$O$1504,"&lt;&gt;Cancelled",'JOBS'!$O$5:$O$1504,"&lt;&gt;Rescheduled")+COUNTIFS($B$5:B871,B871,$AJ$5:AJ871,AJ871,$O$5:O871,"&lt;&gt;Cancelled",$O$5:O871,"&lt;&gt;Rescheduled")))</f>
        <v/>
      </c>
      <c r="AL871" s="49">
        <f>IF(N(U871)&lt;=0.005,"",COUNTIFS('JOBS'!$U$5:$U$1504,"&gt;0.005",'JOBS'!$B$5:$B$1504,"&lt;"&amp;B871)+COUNTIFS($U$5:U871,"&gt;0.005",$B$5:B871,B871))</f>
        <v/>
      </c>
    </row>
    <row r="872">
      <c r="A872" s="46" t="inlineStr">
        <is>
          <t>J-0868</t>
        </is>
      </c>
      <c r="B872" s="47" t="n"/>
      <c r="C872" s="94" t="n"/>
      <c r="D872" s="38" t="n"/>
      <c r="E872" s="38" t="n"/>
      <c r="F872" s="38" t="n"/>
      <c r="G872" s="38" t="n"/>
      <c r="H872" s="38" t="n"/>
      <c r="I872" s="57" t="n"/>
      <c r="J872" s="95" t="n"/>
      <c r="K872" s="95" t="n"/>
      <c r="L872" s="48" t="n"/>
      <c r="M872" s="96" t="n"/>
      <c r="N872" s="48" t="n"/>
      <c r="O872" s="38" t="n"/>
      <c r="P872" s="38" t="n"/>
      <c r="Q872" s="97">
        <f>IF(OR(F872="",E872=""),"",IFERROR(IF(INDEX('PROPERTIES'!$F$5:$F$404,MATCH(E872,'PROPERTIES'!$B$5:$B$404,0))=0,"",ROUND((INDEX('PROPERTIES'!$F$5:$F$404,MATCH(E872,'PROPERTIES'!$B$5:$B$404,0))/INDEX('PRICING'!$C$7:$C$16,MATCH(F872,'PRICING'!$A$7:$A$16,0))+INDEX('PROPERTIES'!$G$5:$G$404,MATCH(E872,'PROPERTIES'!$B$5:$B$404,0))*INDEX('PRICING'!$D$7:$D$16,MATCH(F872,'PRICING'!$A$7:$A$16,0))/60+INDEX('PROPERTIES'!$H$5:$H$404,MATCH(E872,'PROPERTIES'!$B$5:$B$404,0))*INDEX('PRICING'!$E$7:$E$16,MATCH(F872,'PRICING'!$A$7:$A$16,0))/60+INDEX('PRICING'!$F$7:$F$16,MATCH(F872,'PRICING'!$A$7:$A$16,0))/60),2)),""))</f>
        <v/>
      </c>
      <c r="R872" s="97">
        <f>IF(B872="","",IF(N(K872)&gt;0,K872,IF(N(J872)&gt;0,J872,N(Q872))))</f>
        <v/>
      </c>
      <c r="S872" s="55">
        <f>IF(L872="","",ROUND(L872*(1+N(M872)),2))</f>
        <v/>
      </c>
      <c r="T872" s="55">
        <f>IF(B872="","",SUMIFS('REVENUE'!$C$5:$C$1504,'REVENUE'!$B$5:$B$1504,A872))</f>
        <v/>
      </c>
      <c r="U872" s="55">
        <f>IF(B872="","",IF(O872="Completed",MAX(0,N(S872)-T872),""))</f>
        <v/>
      </c>
      <c r="V872" s="49">
        <f>IF(B872="","",IF(O872&lt;&gt;"Completed",IF(T872&gt;0,"Deposit","—"),IF(U872&lt;=0.005,"Paid",IF(T872&gt;0,"Partial","Unpaid"))))</f>
        <v/>
      </c>
      <c r="W872" s="55">
        <f>IF(B872="","",IFERROR(1/(1/INDEX('STAFF &amp; TASKS'!$C$5:$C$24,MATCH(H872,'STAFF &amp; TASKS'!$A$5:$A$24,0))),PayRate))</f>
        <v/>
      </c>
      <c r="X872" s="55">
        <f>IF(B872="","",IF(OR(O872="Cancelled",O872="No-Show"),"",ROUND(R872*W872*(1+Burden),2)))</f>
        <v/>
      </c>
      <c r="Y872" s="55">
        <f>IF(B872="","",IF(OR(O872="Cancelled",O872="No-Show"),"",IF(N872&lt;&gt;"",N872,ROUND(R872*SupHr*IFERROR(INDEX('PRICING'!$G$7:$G$16,MATCH(F872,'PRICING'!$A$7:$A$16,0)),1),2))))</f>
        <v/>
      </c>
      <c r="Z872" s="98">
        <f>IF(B872="","",SUMIFS('MILEAGE'!$J$5:$J$1504,'MILEAGE'!$B$5:$B$1504,A872))</f>
        <v/>
      </c>
      <c r="AA872" s="55">
        <f>IF(B872="","",ROUND(Z872*MileRate,2))</f>
        <v/>
      </c>
      <c r="AB872" s="55">
        <f>IF(B872="","",SUMIFS('REVENUE'!$J$5:$J$1504,'REVENUE'!$B$5:$B$1504,A872))</f>
        <v/>
      </c>
      <c r="AC872" s="55">
        <f>IF(L872="","",IF(OR(O872="Cancelled",O872="No-Show"),"",L872-N(X872)-N(Y872)-AA872-AB872))</f>
        <v/>
      </c>
      <c r="AD872" s="99">
        <f>IF(OR(AC872="",N(L872)=0),"",AC872/L872)</f>
        <v/>
      </c>
      <c r="AE872" s="55">
        <f>IF(OR(AC872="",N(R872)=0),"",L872/R872)</f>
        <v/>
      </c>
      <c r="AF872" s="100">
        <f>IF(OR(N(K872)=0,N(J872)+N(Q872)=0),"",K872-IF(N(J872)&gt;0,J872,Q872))</f>
        <v/>
      </c>
      <c r="AG872" s="99">
        <f>IF(B872="","",IFERROR(AVERAGEIFS('QUALITY CONTROL'!$M$5:$M$304,'QUALITY CONTROL'!$B$5:$B$304,A872),""))</f>
        <v/>
      </c>
      <c r="AH872" s="51">
        <f>IF(B872="","",DATE(YEAR(B872),MONTH(B872),1))</f>
        <v/>
      </c>
      <c r="AI872" s="49">
        <f>IF(D872="","",IFERROR(INDEX('CUSTOMERS'!$E$5:$E$404,MATCH(D872,'CUSTOMERS'!$B$5:$B$404,0)),""))</f>
        <v/>
      </c>
      <c r="AJ872" s="49">
        <f>IF(B872="","",N(C872))</f>
        <v/>
      </c>
      <c r="AK872" s="49">
        <f>IF(OR(B872="",O872="Cancelled",O872="Rescheduled"),"",B872&amp;"|"&amp;(COUNTIFS('JOBS'!$B$5:$B$1504,B872,'JOBS'!$AJ$5:$AJ$1504,"&lt;"&amp;AJ872,'JOBS'!$O$5:$O$1504,"&lt;&gt;Cancelled",'JOBS'!$O$5:$O$1504,"&lt;&gt;Rescheduled")+COUNTIFS($B$5:B872,B872,$AJ$5:AJ872,AJ872,$O$5:O872,"&lt;&gt;Cancelled",$O$5:O872,"&lt;&gt;Rescheduled")))</f>
        <v/>
      </c>
      <c r="AL872" s="49">
        <f>IF(N(U872)&lt;=0.005,"",COUNTIFS('JOBS'!$U$5:$U$1504,"&gt;0.005",'JOBS'!$B$5:$B$1504,"&lt;"&amp;B872)+COUNTIFS($U$5:U872,"&gt;0.005",$B$5:B872,B872))</f>
        <v/>
      </c>
    </row>
    <row r="873">
      <c r="A873" s="46" t="inlineStr">
        <is>
          <t>J-0869</t>
        </is>
      </c>
      <c r="B873" s="47" t="n"/>
      <c r="C873" s="94" t="n"/>
      <c r="D873" s="38" t="n"/>
      <c r="E873" s="38" t="n"/>
      <c r="F873" s="38" t="n"/>
      <c r="G873" s="38" t="n"/>
      <c r="H873" s="38" t="n"/>
      <c r="I873" s="57" t="n"/>
      <c r="J873" s="95" t="n"/>
      <c r="K873" s="95" t="n"/>
      <c r="L873" s="48" t="n"/>
      <c r="M873" s="96" t="n"/>
      <c r="N873" s="48" t="n"/>
      <c r="O873" s="38" t="n"/>
      <c r="P873" s="38" t="n"/>
      <c r="Q873" s="97">
        <f>IF(OR(F873="",E873=""),"",IFERROR(IF(INDEX('PROPERTIES'!$F$5:$F$404,MATCH(E873,'PROPERTIES'!$B$5:$B$404,0))=0,"",ROUND((INDEX('PROPERTIES'!$F$5:$F$404,MATCH(E873,'PROPERTIES'!$B$5:$B$404,0))/INDEX('PRICING'!$C$7:$C$16,MATCH(F873,'PRICING'!$A$7:$A$16,0))+INDEX('PROPERTIES'!$G$5:$G$404,MATCH(E873,'PROPERTIES'!$B$5:$B$404,0))*INDEX('PRICING'!$D$7:$D$16,MATCH(F873,'PRICING'!$A$7:$A$16,0))/60+INDEX('PROPERTIES'!$H$5:$H$404,MATCH(E873,'PROPERTIES'!$B$5:$B$404,0))*INDEX('PRICING'!$E$7:$E$16,MATCH(F873,'PRICING'!$A$7:$A$16,0))/60+INDEX('PRICING'!$F$7:$F$16,MATCH(F873,'PRICING'!$A$7:$A$16,0))/60),2)),""))</f>
        <v/>
      </c>
      <c r="R873" s="97">
        <f>IF(B873="","",IF(N(K873)&gt;0,K873,IF(N(J873)&gt;0,J873,N(Q873))))</f>
        <v/>
      </c>
      <c r="S873" s="55">
        <f>IF(L873="","",ROUND(L873*(1+N(M873)),2))</f>
        <v/>
      </c>
      <c r="T873" s="55">
        <f>IF(B873="","",SUMIFS('REVENUE'!$C$5:$C$1504,'REVENUE'!$B$5:$B$1504,A873))</f>
        <v/>
      </c>
      <c r="U873" s="55">
        <f>IF(B873="","",IF(O873="Completed",MAX(0,N(S873)-T873),""))</f>
        <v/>
      </c>
      <c r="V873" s="49">
        <f>IF(B873="","",IF(O873&lt;&gt;"Completed",IF(T873&gt;0,"Deposit","—"),IF(U873&lt;=0.005,"Paid",IF(T873&gt;0,"Partial","Unpaid"))))</f>
        <v/>
      </c>
      <c r="W873" s="55">
        <f>IF(B873="","",IFERROR(1/(1/INDEX('STAFF &amp; TASKS'!$C$5:$C$24,MATCH(H873,'STAFF &amp; TASKS'!$A$5:$A$24,0))),PayRate))</f>
        <v/>
      </c>
      <c r="X873" s="55">
        <f>IF(B873="","",IF(OR(O873="Cancelled",O873="No-Show"),"",ROUND(R873*W873*(1+Burden),2)))</f>
        <v/>
      </c>
      <c r="Y873" s="55">
        <f>IF(B873="","",IF(OR(O873="Cancelled",O873="No-Show"),"",IF(N873&lt;&gt;"",N873,ROUND(R873*SupHr*IFERROR(INDEX('PRICING'!$G$7:$G$16,MATCH(F873,'PRICING'!$A$7:$A$16,0)),1),2))))</f>
        <v/>
      </c>
      <c r="Z873" s="98">
        <f>IF(B873="","",SUMIFS('MILEAGE'!$J$5:$J$1504,'MILEAGE'!$B$5:$B$1504,A873))</f>
        <v/>
      </c>
      <c r="AA873" s="55">
        <f>IF(B873="","",ROUND(Z873*MileRate,2))</f>
        <v/>
      </c>
      <c r="AB873" s="55">
        <f>IF(B873="","",SUMIFS('REVENUE'!$J$5:$J$1504,'REVENUE'!$B$5:$B$1504,A873))</f>
        <v/>
      </c>
      <c r="AC873" s="55">
        <f>IF(L873="","",IF(OR(O873="Cancelled",O873="No-Show"),"",L873-N(X873)-N(Y873)-AA873-AB873))</f>
        <v/>
      </c>
      <c r="AD873" s="99">
        <f>IF(OR(AC873="",N(L873)=0),"",AC873/L873)</f>
        <v/>
      </c>
      <c r="AE873" s="55">
        <f>IF(OR(AC873="",N(R873)=0),"",L873/R873)</f>
        <v/>
      </c>
      <c r="AF873" s="100">
        <f>IF(OR(N(K873)=0,N(J873)+N(Q873)=0),"",K873-IF(N(J873)&gt;0,J873,Q873))</f>
        <v/>
      </c>
      <c r="AG873" s="99">
        <f>IF(B873="","",IFERROR(AVERAGEIFS('QUALITY CONTROL'!$M$5:$M$304,'QUALITY CONTROL'!$B$5:$B$304,A873),""))</f>
        <v/>
      </c>
      <c r="AH873" s="51">
        <f>IF(B873="","",DATE(YEAR(B873),MONTH(B873),1))</f>
        <v/>
      </c>
      <c r="AI873" s="49">
        <f>IF(D873="","",IFERROR(INDEX('CUSTOMERS'!$E$5:$E$404,MATCH(D873,'CUSTOMERS'!$B$5:$B$404,0)),""))</f>
        <v/>
      </c>
      <c r="AJ873" s="49">
        <f>IF(B873="","",N(C873))</f>
        <v/>
      </c>
      <c r="AK873" s="49">
        <f>IF(OR(B873="",O873="Cancelled",O873="Rescheduled"),"",B873&amp;"|"&amp;(COUNTIFS('JOBS'!$B$5:$B$1504,B873,'JOBS'!$AJ$5:$AJ$1504,"&lt;"&amp;AJ873,'JOBS'!$O$5:$O$1504,"&lt;&gt;Cancelled",'JOBS'!$O$5:$O$1504,"&lt;&gt;Rescheduled")+COUNTIFS($B$5:B873,B873,$AJ$5:AJ873,AJ873,$O$5:O873,"&lt;&gt;Cancelled",$O$5:O873,"&lt;&gt;Rescheduled")))</f>
        <v/>
      </c>
      <c r="AL873" s="49">
        <f>IF(N(U873)&lt;=0.005,"",COUNTIFS('JOBS'!$U$5:$U$1504,"&gt;0.005",'JOBS'!$B$5:$B$1504,"&lt;"&amp;B873)+COUNTIFS($U$5:U873,"&gt;0.005",$B$5:B873,B873))</f>
        <v/>
      </c>
    </row>
    <row r="874">
      <c r="A874" s="46" t="inlineStr">
        <is>
          <t>J-0870</t>
        </is>
      </c>
      <c r="B874" s="47" t="n"/>
      <c r="C874" s="94" t="n"/>
      <c r="D874" s="38" t="n"/>
      <c r="E874" s="38" t="n"/>
      <c r="F874" s="38" t="n"/>
      <c r="G874" s="38" t="n"/>
      <c r="H874" s="38" t="n"/>
      <c r="I874" s="57" t="n"/>
      <c r="J874" s="95" t="n"/>
      <c r="K874" s="95" t="n"/>
      <c r="L874" s="48" t="n"/>
      <c r="M874" s="96" t="n"/>
      <c r="N874" s="48" t="n"/>
      <c r="O874" s="38" t="n"/>
      <c r="P874" s="38" t="n"/>
      <c r="Q874" s="97">
        <f>IF(OR(F874="",E874=""),"",IFERROR(IF(INDEX('PROPERTIES'!$F$5:$F$404,MATCH(E874,'PROPERTIES'!$B$5:$B$404,0))=0,"",ROUND((INDEX('PROPERTIES'!$F$5:$F$404,MATCH(E874,'PROPERTIES'!$B$5:$B$404,0))/INDEX('PRICING'!$C$7:$C$16,MATCH(F874,'PRICING'!$A$7:$A$16,0))+INDEX('PROPERTIES'!$G$5:$G$404,MATCH(E874,'PROPERTIES'!$B$5:$B$404,0))*INDEX('PRICING'!$D$7:$D$16,MATCH(F874,'PRICING'!$A$7:$A$16,0))/60+INDEX('PROPERTIES'!$H$5:$H$404,MATCH(E874,'PROPERTIES'!$B$5:$B$404,0))*INDEX('PRICING'!$E$7:$E$16,MATCH(F874,'PRICING'!$A$7:$A$16,0))/60+INDEX('PRICING'!$F$7:$F$16,MATCH(F874,'PRICING'!$A$7:$A$16,0))/60),2)),""))</f>
        <v/>
      </c>
      <c r="R874" s="97">
        <f>IF(B874="","",IF(N(K874)&gt;0,K874,IF(N(J874)&gt;0,J874,N(Q874))))</f>
        <v/>
      </c>
      <c r="S874" s="55">
        <f>IF(L874="","",ROUND(L874*(1+N(M874)),2))</f>
        <v/>
      </c>
      <c r="T874" s="55">
        <f>IF(B874="","",SUMIFS('REVENUE'!$C$5:$C$1504,'REVENUE'!$B$5:$B$1504,A874))</f>
        <v/>
      </c>
      <c r="U874" s="55">
        <f>IF(B874="","",IF(O874="Completed",MAX(0,N(S874)-T874),""))</f>
        <v/>
      </c>
      <c r="V874" s="49">
        <f>IF(B874="","",IF(O874&lt;&gt;"Completed",IF(T874&gt;0,"Deposit","—"),IF(U874&lt;=0.005,"Paid",IF(T874&gt;0,"Partial","Unpaid"))))</f>
        <v/>
      </c>
      <c r="W874" s="55">
        <f>IF(B874="","",IFERROR(1/(1/INDEX('STAFF &amp; TASKS'!$C$5:$C$24,MATCH(H874,'STAFF &amp; TASKS'!$A$5:$A$24,0))),PayRate))</f>
        <v/>
      </c>
      <c r="X874" s="55">
        <f>IF(B874="","",IF(OR(O874="Cancelled",O874="No-Show"),"",ROUND(R874*W874*(1+Burden),2)))</f>
        <v/>
      </c>
      <c r="Y874" s="55">
        <f>IF(B874="","",IF(OR(O874="Cancelled",O874="No-Show"),"",IF(N874&lt;&gt;"",N874,ROUND(R874*SupHr*IFERROR(INDEX('PRICING'!$G$7:$G$16,MATCH(F874,'PRICING'!$A$7:$A$16,0)),1),2))))</f>
        <v/>
      </c>
      <c r="Z874" s="98">
        <f>IF(B874="","",SUMIFS('MILEAGE'!$J$5:$J$1504,'MILEAGE'!$B$5:$B$1504,A874))</f>
        <v/>
      </c>
      <c r="AA874" s="55">
        <f>IF(B874="","",ROUND(Z874*MileRate,2))</f>
        <v/>
      </c>
      <c r="AB874" s="55">
        <f>IF(B874="","",SUMIFS('REVENUE'!$J$5:$J$1504,'REVENUE'!$B$5:$B$1504,A874))</f>
        <v/>
      </c>
      <c r="AC874" s="55">
        <f>IF(L874="","",IF(OR(O874="Cancelled",O874="No-Show"),"",L874-N(X874)-N(Y874)-AA874-AB874))</f>
        <v/>
      </c>
      <c r="AD874" s="99">
        <f>IF(OR(AC874="",N(L874)=0),"",AC874/L874)</f>
        <v/>
      </c>
      <c r="AE874" s="55">
        <f>IF(OR(AC874="",N(R874)=0),"",L874/R874)</f>
        <v/>
      </c>
      <c r="AF874" s="100">
        <f>IF(OR(N(K874)=0,N(J874)+N(Q874)=0),"",K874-IF(N(J874)&gt;0,J874,Q874))</f>
        <v/>
      </c>
      <c r="AG874" s="99">
        <f>IF(B874="","",IFERROR(AVERAGEIFS('QUALITY CONTROL'!$M$5:$M$304,'QUALITY CONTROL'!$B$5:$B$304,A874),""))</f>
        <v/>
      </c>
      <c r="AH874" s="51">
        <f>IF(B874="","",DATE(YEAR(B874),MONTH(B874),1))</f>
        <v/>
      </c>
      <c r="AI874" s="49">
        <f>IF(D874="","",IFERROR(INDEX('CUSTOMERS'!$E$5:$E$404,MATCH(D874,'CUSTOMERS'!$B$5:$B$404,0)),""))</f>
        <v/>
      </c>
      <c r="AJ874" s="49">
        <f>IF(B874="","",N(C874))</f>
        <v/>
      </c>
      <c r="AK874" s="49">
        <f>IF(OR(B874="",O874="Cancelled",O874="Rescheduled"),"",B874&amp;"|"&amp;(COUNTIFS('JOBS'!$B$5:$B$1504,B874,'JOBS'!$AJ$5:$AJ$1504,"&lt;"&amp;AJ874,'JOBS'!$O$5:$O$1504,"&lt;&gt;Cancelled",'JOBS'!$O$5:$O$1504,"&lt;&gt;Rescheduled")+COUNTIFS($B$5:B874,B874,$AJ$5:AJ874,AJ874,$O$5:O874,"&lt;&gt;Cancelled",$O$5:O874,"&lt;&gt;Rescheduled")))</f>
        <v/>
      </c>
      <c r="AL874" s="49">
        <f>IF(N(U874)&lt;=0.005,"",COUNTIFS('JOBS'!$U$5:$U$1504,"&gt;0.005",'JOBS'!$B$5:$B$1504,"&lt;"&amp;B874)+COUNTIFS($U$5:U874,"&gt;0.005",$B$5:B874,B874))</f>
        <v/>
      </c>
    </row>
    <row r="875">
      <c r="A875" s="46" t="inlineStr">
        <is>
          <t>J-0871</t>
        </is>
      </c>
      <c r="B875" s="47" t="n"/>
      <c r="C875" s="94" t="n"/>
      <c r="D875" s="38" t="n"/>
      <c r="E875" s="38" t="n"/>
      <c r="F875" s="38" t="n"/>
      <c r="G875" s="38" t="n"/>
      <c r="H875" s="38" t="n"/>
      <c r="I875" s="57" t="n"/>
      <c r="J875" s="95" t="n"/>
      <c r="K875" s="95" t="n"/>
      <c r="L875" s="48" t="n"/>
      <c r="M875" s="96" t="n"/>
      <c r="N875" s="48" t="n"/>
      <c r="O875" s="38" t="n"/>
      <c r="P875" s="38" t="n"/>
      <c r="Q875" s="97">
        <f>IF(OR(F875="",E875=""),"",IFERROR(IF(INDEX('PROPERTIES'!$F$5:$F$404,MATCH(E875,'PROPERTIES'!$B$5:$B$404,0))=0,"",ROUND((INDEX('PROPERTIES'!$F$5:$F$404,MATCH(E875,'PROPERTIES'!$B$5:$B$404,0))/INDEX('PRICING'!$C$7:$C$16,MATCH(F875,'PRICING'!$A$7:$A$16,0))+INDEX('PROPERTIES'!$G$5:$G$404,MATCH(E875,'PROPERTIES'!$B$5:$B$404,0))*INDEX('PRICING'!$D$7:$D$16,MATCH(F875,'PRICING'!$A$7:$A$16,0))/60+INDEX('PROPERTIES'!$H$5:$H$404,MATCH(E875,'PROPERTIES'!$B$5:$B$404,0))*INDEX('PRICING'!$E$7:$E$16,MATCH(F875,'PRICING'!$A$7:$A$16,0))/60+INDEX('PRICING'!$F$7:$F$16,MATCH(F875,'PRICING'!$A$7:$A$16,0))/60),2)),""))</f>
        <v/>
      </c>
      <c r="R875" s="97">
        <f>IF(B875="","",IF(N(K875)&gt;0,K875,IF(N(J875)&gt;0,J875,N(Q875))))</f>
        <v/>
      </c>
      <c r="S875" s="55">
        <f>IF(L875="","",ROUND(L875*(1+N(M875)),2))</f>
        <v/>
      </c>
      <c r="T875" s="55">
        <f>IF(B875="","",SUMIFS('REVENUE'!$C$5:$C$1504,'REVENUE'!$B$5:$B$1504,A875))</f>
        <v/>
      </c>
      <c r="U875" s="55">
        <f>IF(B875="","",IF(O875="Completed",MAX(0,N(S875)-T875),""))</f>
        <v/>
      </c>
      <c r="V875" s="49">
        <f>IF(B875="","",IF(O875&lt;&gt;"Completed",IF(T875&gt;0,"Deposit","—"),IF(U875&lt;=0.005,"Paid",IF(T875&gt;0,"Partial","Unpaid"))))</f>
        <v/>
      </c>
      <c r="W875" s="55">
        <f>IF(B875="","",IFERROR(1/(1/INDEX('STAFF &amp; TASKS'!$C$5:$C$24,MATCH(H875,'STAFF &amp; TASKS'!$A$5:$A$24,0))),PayRate))</f>
        <v/>
      </c>
      <c r="X875" s="55">
        <f>IF(B875="","",IF(OR(O875="Cancelled",O875="No-Show"),"",ROUND(R875*W875*(1+Burden),2)))</f>
        <v/>
      </c>
      <c r="Y875" s="55">
        <f>IF(B875="","",IF(OR(O875="Cancelled",O875="No-Show"),"",IF(N875&lt;&gt;"",N875,ROUND(R875*SupHr*IFERROR(INDEX('PRICING'!$G$7:$G$16,MATCH(F875,'PRICING'!$A$7:$A$16,0)),1),2))))</f>
        <v/>
      </c>
      <c r="Z875" s="98">
        <f>IF(B875="","",SUMIFS('MILEAGE'!$J$5:$J$1504,'MILEAGE'!$B$5:$B$1504,A875))</f>
        <v/>
      </c>
      <c r="AA875" s="55">
        <f>IF(B875="","",ROUND(Z875*MileRate,2))</f>
        <v/>
      </c>
      <c r="AB875" s="55">
        <f>IF(B875="","",SUMIFS('REVENUE'!$J$5:$J$1504,'REVENUE'!$B$5:$B$1504,A875))</f>
        <v/>
      </c>
      <c r="AC875" s="55">
        <f>IF(L875="","",IF(OR(O875="Cancelled",O875="No-Show"),"",L875-N(X875)-N(Y875)-AA875-AB875))</f>
        <v/>
      </c>
      <c r="AD875" s="99">
        <f>IF(OR(AC875="",N(L875)=0),"",AC875/L875)</f>
        <v/>
      </c>
      <c r="AE875" s="55">
        <f>IF(OR(AC875="",N(R875)=0),"",L875/R875)</f>
        <v/>
      </c>
      <c r="AF875" s="100">
        <f>IF(OR(N(K875)=0,N(J875)+N(Q875)=0),"",K875-IF(N(J875)&gt;0,J875,Q875))</f>
        <v/>
      </c>
      <c r="AG875" s="99">
        <f>IF(B875="","",IFERROR(AVERAGEIFS('QUALITY CONTROL'!$M$5:$M$304,'QUALITY CONTROL'!$B$5:$B$304,A875),""))</f>
        <v/>
      </c>
      <c r="AH875" s="51">
        <f>IF(B875="","",DATE(YEAR(B875),MONTH(B875),1))</f>
        <v/>
      </c>
      <c r="AI875" s="49">
        <f>IF(D875="","",IFERROR(INDEX('CUSTOMERS'!$E$5:$E$404,MATCH(D875,'CUSTOMERS'!$B$5:$B$404,0)),""))</f>
        <v/>
      </c>
      <c r="AJ875" s="49">
        <f>IF(B875="","",N(C875))</f>
        <v/>
      </c>
      <c r="AK875" s="49">
        <f>IF(OR(B875="",O875="Cancelled",O875="Rescheduled"),"",B875&amp;"|"&amp;(COUNTIFS('JOBS'!$B$5:$B$1504,B875,'JOBS'!$AJ$5:$AJ$1504,"&lt;"&amp;AJ875,'JOBS'!$O$5:$O$1504,"&lt;&gt;Cancelled",'JOBS'!$O$5:$O$1504,"&lt;&gt;Rescheduled")+COUNTIFS($B$5:B875,B875,$AJ$5:AJ875,AJ875,$O$5:O875,"&lt;&gt;Cancelled",$O$5:O875,"&lt;&gt;Rescheduled")))</f>
        <v/>
      </c>
      <c r="AL875" s="49">
        <f>IF(N(U875)&lt;=0.005,"",COUNTIFS('JOBS'!$U$5:$U$1504,"&gt;0.005",'JOBS'!$B$5:$B$1504,"&lt;"&amp;B875)+COUNTIFS($U$5:U875,"&gt;0.005",$B$5:B875,B875))</f>
        <v/>
      </c>
    </row>
    <row r="876">
      <c r="A876" s="46" t="inlineStr">
        <is>
          <t>J-0872</t>
        </is>
      </c>
      <c r="B876" s="47" t="n"/>
      <c r="C876" s="94" t="n"/>
      <c r="D876" s="38" t="n"/>
      <c r="E876" s="38" t="n"/>
      <c r="F876" s="38" t="n"/>
      <c r="G876" s="38" t="n"/>
      <c r="H876" s="38" t="n"/>
      <c r="I876" s="57" t="n"/>
      <c r="J876" s="95" t="n"/>
      <c r="K876" s="95" t="n"/>
      <c r="L876" s="48" t="n"/>
      <c r="M876" s="96" t="n"/>
      <c r="N876" s="48" t="n"/>
      <c r="O876" s="38" t="n"/>
      <c r="P876" s="38" t="n"/>
      <c r="Q876" s="97">
        <f>IF(OR(F876="",E876=""),"",IFERROR(IF(INDEX('PROPERTIES'!$F$5:$F$404,MATCH(E876,'PROPERTIES'!$B$5:$B$404,0))=0,"",ROUND((INDEX('PROPERTIES'!$F$5:$F$404,MATCH(E876,'PROPERTIES'!$B$5:$B$404,0))/INDEX('PRICING'!$C$7:$C$16,MATCH(F876,'PRICING'!$A$7:$A$16,0))+INDEX('PROPERTIES'!$G$5:$G$404,MATCH(E876,'PROPERTIES'!$B$5:$B$404,0))*INDEX('PRICING'!$D$7:$D$16,MATCH(F876,'PRICING'!$A$7:$A$16,0))/60+INDEX('PROPERTIES'!$H$5:$H$404,MATCH(E876,'PROPERTIES'!$B$5:$B$404,0))*INDEX('PRICING'!$E$7:$E$16,MATCH(F876,'PRICING'!$A$7:$A$16,0))/60+INDEX('PRICING'!$F$7:$F$16,MATCH(F876,'PRICING'!$A$7:$A$16,0))/60),2)),""))</f>
        <v/>
      </c>
      <c r="R876" s="97">
        <f>IF(B876="","",IF(N(K876)&gt;0,K876,IF(N(J876)&gt;0,J876,N(Q876))))</f>
        <v/>
      </c>
      <c r="S876" s="55">
        <f>IF(L876="","",ROUND(L876*(1+N(M876)),2))</f>
        <v/>
      </c>
      <c r="T876" s="55">
        <f>IF(B876="","",SUMIFS('REVENUE'!$C$5:$C$1504,'REVENUE'!$B$5:$B$1504,A876))</f>
        <v/>
      </c>
      <c r="U876" s="55">
        <f>IF(B876="","",IF(O876="Completed",MAX(0,N(S876)-T876),""))</f>
        <v/>
      </c>
      <c r="V876" s="49">
        <f>IF(B876="","",IF(O876&lt;&gt;"Completed",IF(T876&gt;0,"Deposit","—"),IF(U876&lt;=0.005,"Paid",IF(T876&gt;0,"Partial","Unpaid"))))</f>
        <v/>
      </c>
      <c r="W876" s="55">
        <f>IF(B876="","",IFERROR(1/(1/INDEX('STAFF &amp; TASKS'!$C$5:$C$24,MATCH(H876,'STAFF &amp; TASKS'!$A$5:$A$24,0))),PayRate))</f>
        <v/>
      </c>
      <c r="X876" s="55">
        <f>IF(B876="","",IF(OR(O876="Cancelled",O876="No-Show"),"",ROUND(R876*W876*(1+Burden),2)))</f>
        <v/>
      </c>
      <c r="Y876" s="55">
        <f>IF(B876="","",IF(OR(O876="Cancelled",O876="No-Show"),"",IF(N876&lt;&gt;"",N876,ROUND(R876*SupHr*IFERROR(INDEX('PRICING'!$G$7:$G$16,MATCH(F876,'PRICING'!$A$7:$A$16,0)),1),2))))</f>
        <v/>
      </c>
      <c r="Z876" s="98">
        <f>IF(B876="","",SUMIFS('MILEAGE'!$J$5:$J$1504,'MILEAGE'!$B$5:$B$1504,A876))</f>
        <v/>
      </c>
      <c r="AA876" s="55">
        <f>IF(B876="","",ROUND(Z876*MileRate,2))</f>
        <v/>
      </c>
      <c r="AB876" s="55">
        <f>IF(B876="","",SUMIFS('REVENUE'!$J$5:$J$1504,'REVENUE'!$B$5:$B$1504,A876))</f>
        <v/>
      </c>
      <c r="AC876" s="55">
        <f>IF(L876="","",IF(OR(O876="Cancelled",O876="No-Show"),"",L876-N(X876)-N(Y876)-AA876-AB876))</f>
        <v/>
      </c>
      <c r="AD876" s="99">
        <f>IF(OR(AC876="",N(L876)=0),"",AC876/L876)</f>
        <v/>
      </c>
      <c r="AE876" s="55">
        <f>IF(OR(AC876="",N(R876)=0),"",L876/R876)</f>
        <v/>
      </c>
      <c r="AF876" s="100">
        <f>IF(OR(N(K876)=0,N(J876)+N(Q876)=0),"",K876-IF(N(J876)&gt;0,J876,Q876))</f>
        <v/>
      </c>
      <c r="AG876" s="99">
        <f>IF(B876="","",IFERROR(AVERAGEIFS('QUALITY CONTROL'!$M$5:$M$304,'QUALITY CONTROL'!$B$5:$B$304,A876),""))</f>
        <v/>
      </c>
      <c r="AH876" s="51">
        <f>IF(B876="","",DATE(YEAR(B876),MONTH(B876),1))</f>
        <v/>
      </c>
      <c r="AI876" s="49">
        <f>IF(D876="","",IFERROR(INDEX('CUSTOMERS'!$E$5:$E$404,MATCH(D876,'CUSTOMERS'!$B$5:$B$404,0)),""))</f>
        <v/>
      </c>
      <c r="AJ876" s="49">
        <f>IF(B876="","",N(C876))</f>
        <v/>
      </c>
      <c r="AK876" s="49">
        <f>IF(OR(B876="",O876="Cancelled",O876="Rescheduled"),"",B876&amp;"|"&amp;(COUNTIFS('JOBS'!$B$5:$B$1504,B876,'JOBS'!$AJ$5:$AJ$1504,"&lt;"&amp;AJ876,'JOBS'!$O$5:$O$1504,"&lt;&gt;Cancelled",'JOBS'!$O$5:$O$1504,"&lt;&gt;Rescheduled")+COUNTIFS($B$5:B876,B876,$AJ$5:AJ876,AJ876,$O$5:O876,"&lt;&gt;Cancelled",$O$5:O876,"&lt;&gt;Rescheduled")))</f>
        <v/>
      </c>
      <c r="AL876" s="49">
        <f>IF(N(U876)&lt;=0.005,"",COUNTIFS('JOBS'!$U$5:$U$1504,"&gt;0.005",'JOBS'!$B$5:$B$1504,"&lt;"&amp;B876)+COUNTIFS($U$5:U876,"&gt;0.005",$B$5:B876,B876))</f>
        <v/>
      </c>
    </row>
    <row r="877">
      <c r="A877" s="46" t="inlineStr">
        <is>
          <t>J-0873</t>
        </is>
      </c>
      <c r="B877" s="47" t="n"/>
      <c r="C877" s="94" t="n"/>
      <c r="D877" s="38" t="n"/>
      <c r="E877" s="38" t="n"/>
      <c r="F877" s="38" t="n"/>
      <c r="G877" s="38" t="n"/>
      <c r="H877" s="38" t="n"/>
      <c r="I877" s="57" t="n"/>
      <c r="J877" s="95" t="n"/>
      <c r="K877" s="95" t="n"/>
      <c r="L877" s="48" t="n"/>
      <c r="M877" s="96" t="n"/>
      <c r="N877" s="48" t="n"/>
      <c r="O877" s="38" t="n"/>
      <c r="P877" s="38" t="n"/>
      <c r="Q877" s="97">
        <f>IF(OR(F877="",E877=""),"",IFERROR(IF(INDEX('PROPERTIES'!$F$5:$F$404,MATCH(E877,'PROPERTIES'!$B$5:$B$404,0))=0,"",ROUND((INDEX('PROPERTIES'!$F$5:$F$404,MATCH(E877,'PROPERTIES'!$B$5:$B$404,0))/INDEX('PRICING'!$C$7:$C$16,MATCH(F877,'PRICING'!$A$7:$A$16,0))+INDEX('PROPERTIES'!$G$5:$G$404,MATCH(E877,'PROPERTIES'!$B$5:$B$404,0))*INDEX('PRICING'!$D$7:$D$16,MATCH(F877,'PRICING'!$A$7:$A$16,0))/60+INDEX('PROPERTIES'!$H$5:$H$404,MATCH(E877,'PROPERTIES'!$B$5:$B$404,0))*INDEX('PRICING'!$E$7:$E$16,MATCH(F877,'PRICING'!$A$7:$A$16,0))/60+INDEX('PRICING'!$F$7:$F$16,MATCH(F877,'PRICING'!$A$7:$A$16,0))/60),2)),""))</f>
        <v/>
      </c>
      <c r="R877" s="97">
        <f>IF(B877="","",IF(N(K877)&gt;0,K877,IF(N(J877)&gt;0,J877,N(Q877))))</f>
        <v/>
      </c>
      <c r="S877" s="55">
        <f>IF(L877="","",ROUND(L877*(1+N(M877)),2))</f>
        <v/>
      </c>
      <c r="T877" s="55">
        <f>IF(B877="","",SUMIFS('REVENUE'!$C$5:$C$1504,'REVENUE'!$B$5:$B$1504,A877))</f>
        <v/>
      </c>
      <c r="U877" s="55">
        <f>IF(B877="","",IF(O877="Completed",MAX(0,N(S877)-T877),""))</f>
        <v/>
      </c>
      <c r="V877" s="49">
        <f>IF(B877="","",IF(O877&lt;&gt;"Completed",IF(T877&gt;0,"Deposit","—"),IF(U877&lt;=0.005,"Paid",IF(T877&gt;0,"Partial","Unpaid"))))</f>
        <v/>
      </c>
      <c r="W877" s="55">
        <f>IF(B877="","",IFERROR(1/(1/INDEX('STAFF &amp; TASKS'!$C$5:$C$24,MATCH(H877,'STAFF &amp; TASKS'!$A$5:$A$24,0))),PayRate))</f>
        <v/>
      </c>
      <c r="X877" s="55">
        <f>IF(B877="","",IF(OR(O877="Cancelled",O877="No-Show"),"",ROUND(R877*W877*(1+Burden),2)))</f>
        <v/>
      </c>
      <c r="Y877" s="55">
        <f>IF(B877="","",IF(OR(O877="Cancelled",O877="No-Show"),"",IF(N877&lt;&gt;"",N877,ROUND(R877*SupHr*IFERROR(INDEX('PRICING'!$G$7:$G$16,MATCH(F877,'PRICING'!$A$7:$A$16,0)),1),2))))</f>
        <v/>
      </c>
      <c r="Z877" s="98">
        <f>IF(B877="","",SUMIFS('MILEAGE'!$J$5:$J$1504,'MILEAGE'!$B$5:$B$1504,A877))</f>
        <v/>
      </c>
      <c r="AA877" s="55">
        <f>IF(B877="","",ROUND(Z877*MileRate,2))</f>
        <v/>
      </c>
      <c r="AB877" s="55">
        <f>IF(B877="","",SUMIFS('REVENUE'!$J$5:$J$1504,'REVENUE'!$B$5:$B$1504,A877))</f>
        <v/>
      </c>
      <c r="AC877" s="55">
        <f>IF(L877="","",IF(OR(O877="Cancelled",O877="No-Show"),"",L877-N(X877)-N(Y877)-AA877-AB877))</f>
        <v/>
      </c>
      <c r="AD877" s="99">
        <f>IF(OR(AC877="",N(L877)=0),"",AC877/L877)</f>
        <v/>
      </c>
      <c r="AE877" s="55">
        <f>IF(OR(AC877="",N(R877)=0),"",L877/R877)</f>
        <v/>
      </c>
      <c r="AF877" s="100">
        <f>IF(OR(N(K877)=0,N(J877)+N(Q877)=0),"",K877-IF(N(J877)&gt;0,J877,Q877))</f>
        <v/>
      </c>
      <c r="AG877" s="99">
        <f>IF(B877="","",IFERROR(AVERAGEIFS('QUALITY CONTROL'!$M$5:$M$304,'QUALITY CONTROL'!$B$5:$B$304,A877),""))</f>
        <v/>
      </c>
      <c r="AH877" s="51">
        <f>IF(B877="","",DATE(YEAR(B877),MONTH(B877),1))</f>
        <v/>
      </c>
      <c r="AI877" s="49">
        <f>IF(D877="","",IFERROR(INDEX('CUSTOMERS'!$E$5:$E$404,MATCH(D877,'CUSTOMERS'!$B$5:$B$404,0)),""))</f>
        <v/>
      </c>
      <c r="AJ877" s="49">
        <f>IF(B877="","",N(C877))</f>
        <v/>
      </c>
      <c r="AK877" s="49">
        <f>IF(OR(B877="",O877="Cancelled",O877="Rescheduled"),"",B877&amp;"|"&amp;(COUNTIFS('JOBS'!$B$5:$B$1504,B877,'JOBS'!$AJ$5:$AJ$1504,"&lt;"&amp;AJ877,'JOBS'!$O$5:$O$1504,"&lt;&gt;Cancelled",'JOBS'!$O$5:$O$1504,"&lt;&gt;Rescheduled")+COUNTIFS($B$5:B877,B877,$AJ$5:AJ877,AJ877,$O$5:O877,"&lt;&gt;Cancelled",$O$5:O877,"&lt;&gt;Rescheduled")))</f>
        <v/>
      </c>
      <c r="AL877" s="49">
        <f>IF(N(U877)&lt;=0.005,"",COUNTIFS('JOBS'!$U$5:$U$1504,"&gt;0.005",'JOBS'!$B$5:$B$1504,"&lt;"&amp;B877)+COUNTIFS($U$5:U877,"&gt;0.005",$B$5:B877,B877))</f>
        <v/>
      </c>
    </row>
    <row r="878">
      <c r="A878" s="46" t="inlineStr">
        <is>
          <t>J-0874</t>
        </is>
      </c>
      <c r="B878" s="47" t="n"/>
      <c r="C878" s="94" t="n"/>
      <c r="D878" s="38" t="n"/>
      <c r="E878" s="38" t="n"/>
      <c r="F878" s="38" t="n"/>
      <c r="G878" s="38" t="n"/>
      <c r="H878" s="38" t="n"/>
      <c r="I878" s="57" t="n"/>
      <c r="J878" s="95" t="n"/>
      <c r="K878" s="95" t="n"/>
      <c r="L878" s="48" t="n"/>
      <c r="M878" s="96" t="n"/>
      <c r="N878" s="48" t="n"/>
      <c r="O878" s="38" t="n"/>
      <c r="P878" s="38" t="n"/>
      <c r="Q878" s="97">
        <f>IF(OR(F878="",E878=""),"",IFERROR(IF(INDEX('PROPERTIES'!$F$5:$F$404,MATCH(E878,'PROPERTIES'!$B$5:$B$404,0))=0,"",ROUND((INDEX('PROPERTIES'!$F$5:$F$404,MATCH(E878,'PROPERTIES'!$B$5:$B$404,0))/INDEX('PRICING'!$C$7:$C$16,MATCH(F878,'PRICING'!$A$7:$A$16,0))+INDEX('PROPERTIES'!$G$5:$G$404,MATCH(E878,'PROPERTIES'!$B$5:$B$404,0))*INDEX('PRICING'!$D$7:$D$16,MATCH(F878,'PRICING'!$A$7:$A$16,0))/60+INDEX('PROPERTIES'!$H$5:$H$404,MATCH(E878,'PROPERTIES'!$B$5:$B$404,0))*INDEX('PRICING'!$E$7:$E$16,MATCH(F878,'PRICING'!$A$7:$A$16,0))/60+INDEX('PRICING'!$F$7:$F$16,MATCH(F878,'PRICING'!$A$7:$A$16,0))/60),2)),""))</f>
        <v/>
      </c>
      <c r="R878" s="97">
        <f>IF(B878="","",IF(N(K878)&gt;0,K878,IF(N(J878)&gt;0,J878,N(Q878))))</f>
        <v/>
      </c>
      <c r="S878" s="55">
        <f>IF(L878="","",ROUND(L878*(1+N(M878)),2))</f>
        <v/>
      </c>
      <c r="T878" s="55">
        <f>IF(B878="","",SUMIFS('REVENUE'!$C$5:$C$1504,'REVENUE'!$B$5:$B$1504,A878))</f>
        <v/>
      </c>
      <c r="U878" s="55">
        <f>IF(B878="","",IF(O878="Completed",MAX(0,N(S878)-T878),""))</f>
        <v/>
      </c>
      <c r="V878" s="49">
        <f>IF(B878="","",IF(O878&lt;&gt;"Completed",IF(T878&gt;0,"Deposit","—"),IF(U878&lt;=0.005,"Paid",IF(T878&gt;0,"Partial","Unpaid"))))</f>
        <v/>
      </c>
      <c r="W878" s="55">
        <f>IF(B878="","",IFERROR(1/(1/INDEX('STAFF &amp; TASKS'!$C$5:$C$24,MATCH(H878,'STAFF &amp; TASKS'!$A$5:$A$24,0))),PayRate))</f>
        <v/>
      </c>
      <c r="X878" s="55">
        <f>IF(B878="","",IF(OR(O878="Cancelled",O878="No-Show"),"",ROUND(R878*W878*(1+Burden),2)))</f>
        <v/>
      </c>
      <c r="Y878" s="55">
        <f>IF(B878="","",IF(OR(O878="Cancelled",O878="No-Show"),"",IF(N878&lt;&gt;"",N878,ROUND(R878*SupHr*IFERROR(INDEX('PRICING'!$G$7:$G$16,MATCH(F878,'PRICING'!$A$7:$A$16,0)),1),2))))</f>
        <v/>
      </c>
      <c r="Z878" s="98">
        <f>IF(B878="","",SUMIFS('MILEAGE'!$J$5:$J$1504,'MILEAGE'!$B$5:$B$1504,A878))</f>
        <v/>
      </c>
      <c r="AA878" s="55">
        <f>IF(B878="","",ROUND(Z878*MileRate,2))</f>
        <v/>
      </c>
      <c r="AB878" s="55">
        <f>IF(B878="","",SUMIFS('REVENUE'!$J$5:$J$1504,'REVENUE'!$B$5:$B$1504,A878))</f>
        <v/>
      </c>
      <c r="AC878" s="55">
        <f>IF(L878="","",IF(OR(O878="Cancelled",O878="No-Show"),"",L878-N(X878)-N(Y878)-AA878-AB878))</f>
        <v/>
      </c>
      <c r="AD878" s="99">
        <f>IF(OR(AC878="",N(L878)=0),"",AC878/L878)</f>
        <v/>
      </c>
      <c r="AE878" s="55">
        <f>IF(OR(AC878="",N(R878)=0),"",L878/R878)</f>
        <v/>
      </c>
      <c r="AF878" s="100">
        <f>IF(OR(N(K878)=0,N(J878)+N(Q878)=0),"",K878-IF(N(J878)&gt;0,J878,Q878))</f>
        <v/>
      </c>
      <c r="AG878" s="99">
        <f>IF(B878="","",IFERROR(AVERAGEIFS('QUALITY CONTROL'!$M$5:$M$304,'QUALITY CONTROL'!$B$5:$B$304,A878),""))</f>
        <v/>
      </c>
      <c r="AH878" s="51">
        <f>IF(B878="","",DATE(YEAR(B878),MONTH(B878),1))</f>
        <v/>
      </c>
      <c r="AI878" s="49">
        <f>IF(D878="","",IFERROR(INDEX('CUSTOMERS'!$E$5:$E$404,MATCH(D878,'CUSTOMERS'!$B$5:$B$404,0)),""))</f>
        <v/>
      </c>
      <c r="AJ878" s="49">
        <f>IF(B878="","",N(C878))</f>
        <v/>
      </c>
      <c r="AK878" s="49">
        <f>IF(OR(B878="",O878="Cancelled",O878="Rescheduled"),"",B878&amp;"|"&amp;(COUNTIFS('JOBS'!$B$5:$B$1504,B878,'JOBS'!$AJ$5:$AJ$1504,"&lt;"&amp;AJ878,'JOBS'!$O$5:$O$1504,"&lt;&gt;Cancelled",'JOBS'!$O$5:$O$1504,"&lt;&gt;Rescheduled")+COUNTIFS($B$5:B878,B878,$AJ$5:AJ878,AJ878,$O$5:O878,"&lt;&gt;Cancelled",$O$5:O878,"&lt;&gt;Rescheduled")))</f>
        <v/>
      </c>
      <c r="AL878" s="49">
        <f>IF(N(U878)&lt;=0.005,"",COUNTIFS('JOBS'!$U$5:$U$1504,"&gt;0.005",'JOBS'!$B$5:$B$1504,"&lt;"&amp;B878)+COUNTIFS($U$5:U878,"&gt;0.005",$B$5:B878,B878))</f>
        <v/>
      </c>
    </row>
    <row r="879">
      <c r="A879" s="46" t="inlineStr">
        <is>
          <t>J-0875</t>
        </is>
      </c>
      <c r="B879" s="47" t="n"/>
      <c r="C879" s="94" t="n"/>
      <c r="D879" s="38" t="n"/>
      <c r="E879" s="38" t="n"/>
      <c r="F879" s="38" t="n"/>
      <c r="G879" s="38" t="n"/>
      <c r="H879" s="38" t="n"/>
      <c r="I879" s="57" t="n"/>
      <c r="J879" s="95" t="n"/>
      <c r="K879" s="95" t="n"/>
      <c r="L879" s="48" t="n"/>
      <c r="M879" s="96" t="n"/>
      <c r="N879" s="48" t="n"/>
      <c r="O879" s="38" t="n"/>
      <c r="P879" s="38" t="n"/>
      <c r="Q879" s="97">
        <f>IF(OR(F879="",E879=""),"",IFERROR(IF(INDEX('PROPERTIES'!$F$5:$F$404,MATCH(E879,'PROPERTIES'!$B$5:$B$404,0))=0,"",ROUND((INDEX('PROPERTIES'!$F$5:$F$404,MATCH(E879,'PROPERTIES'!$B$5:$B$404,0))/INDEX('PRICING'!$C$7:$C$16,MATCH(F879,'PRICING'!$A$7:$A$16,0))+INDEX('PROPERTIES'!$G$5:$G$404,MATCH(E879,'PROPERTIES'!$B$5:$B$404,0))*INDEX('PRICING'!$D$7:$D$16,MATCH(F879,'PRICING'!$A$7:$A$16,0))/60+INDEX('PROPERTIES'!$H$5:$H$404,MATCH(E879,'PROPERTIES'!$B$5:$B$404,0))*INDEX('PRICING'!$E$7:$E$16,MATCH(F879,'PRICING'!$A$7:$A$16,0))/60+INDEX('PRICING'!$F$7:$F$16,MATCH(F879,'PRICING'!$A$7:$A$16,0))/60),2)),""))</f>
        <v/>
      </c>
      <c r="R879" s="97">
        <f>IF(B879="","",IF(N(K879)&gt;0,K879,IF(N(J879)&gt;0,J879,N(Q879))))</f>
        <v/>
      </c>
      <c r="S879" s="55">
        <f>IF(L879="","",ROUND(L879*(1+N(M879)),2))</f>
        <v/>
      </c>
      <c r="T879" s="55">
        <f>IF(B879="","",SUMIFS('REVENUE'!$C$5:$C$1504,'REVENUE'!$B$5:$B$1504,A879))</f>
        <v/>
      </c>
      <c r="U879" s="55">
        <f>IF(B879="","",IF(O879="Completed",MAX(0,N(S879)-T879),""))</f>
        <v/>
      </c>
      <c r="V879" s="49">
        <f>IF(B879="","",IF(O879&lt;&gt;"Completed",IF(T879&gt;0,"Deposit","—"),IF(U879&lt;=0.005,"Paid",IF(T879&gt;0,"Partial","Unpaid"))))</f>
        <v/>
      </c>
      <c r="W879" s="55">
        <f>IF(B879="","",IFERROR(1/(1/INDEX('STAFF &amp; TASKS'!$C$5:$C$24,MATCH(H879,'STAFF &amp; TASKS'!$A$5:$A$24,0))),PayRate))</f>
        <v/>
      </c>
      <c r="X879" s="55">
        <f>IF(B879="","",IF(OR(O879="Cancelled",O879="No-Show"),"",ROUND(R879*W879*(1+Burden),2)))</f>
        <v/>
      </c>
      <c r="Y879" s="55">
        <f>IF(B879="","",IF(OR(O879="Cancelled",O879="No-Show"),"",IF(N879&lt;&gt;"",N879,ROUND(R879*SupHr*IFERROR(INDEX('PRICING'!$G$7:$G$16,MATCH(F879,'PRICING'!$A$7:$A$16,0)),1),2))))</f>
        <v/>
      </c>
      <c r="Z879" s="98">
        <f>IF(B879="","",SUMIFS('MILEAGE'!$J$5:$J$1504,'MILEAGE'!$B$5:$B$1504,A879))</f>
        <v/>
      </c>
      <c r="AA879" s="55">
        <f>IF(B879="","",ROUND(Z879*MileRate,2))</f>
        <v/>
      </c>
      <c r="AB879" s="55">
        <f>IF(B879="","",SUMIFS('REVENUE'!$J$5:$J$1504,'REVENUE'!$B$5:$B$1504,A879))</f>
        <v/>
      </c>
      <c r="AC879" s="55">
        <f>IF(L879="","",IF(OR(O879="Cancelled",O879="No-Show"),"",L879-N(X879)-N(Y879)-AA879-AB879))</f>
        <v/>
      </c>
      <c r="AD879" s="99">
        <f>IF(OR(AC879="",N(L879)=0),"",AC879/L879)</f>
        <v/>
      </c>
      <c r="AE879" s="55">
        <f>IF(OR(AC879="",N(R879)=0),"",L879/R879)</f>
        <v/>
      </c>
      <c r="AF879" s="100">
        <f>IF(OR(N(K879)=0,N(J879)+N(Q879)=0),"",K879-IF(N(J879)&gt;0,J879,Q879))</f>
        <v/>
      </c>
      <c r="AG879" s="99">
        <f>IF(B879="","",IFERROR(AVERAGEIFS('QUALITY CONTROL'!$M$5:$M$304,'QUALITY CONTROL'!$B$5:$B$304,A879),""))</f>
        <v/>
      </c>
      <c r="AH879" s="51">
        <f>IF(B879="","",DATE(YEAR(B879),MONTH(B879),1))</f>
        <v/>
      </c>
      <c r="AI879" s="49">
        <f>IF(D879="","",IFERROR(INDEX('CUSTOMERS'!$E$5:$E$404,MATCH(D879,'CUSTOMERS'!$B$5:$B$404,0)),""))</f>
        <v/>
      </c>
      <c r="AJ879" s="49">
        <f>IF(B879="","",N(C879))</f>
        <v/>
      </c>
      <c r="AK879" s="49">
        <f>IF(OR(B879="",O879="Cancelled",O879="Rescheduled"),"",B879&amp;"|"&amp;(COUNTIFS('JOBS'!$B$5:$B$1504,B879,'JOBS'!$AJ$5:$AJ$1504,"&lt;"&amp;AJ879,'JOBS'!$O$5:$O$1504,"&lt;&gt;Cancelled",'JOBS'!$O$5:$O$1504,"&lt;&gt;Rescheduled")+COUNTIFS($B$5:B879,B879,$AJ$5:AJ879,AJ879,$O$5:O879,"&lt;&gt;Cancelled",$O$5:O879,"&lt;&gt;Rescheduled")))</f>
        <v/>
      </c>
      <c r="AL879" s="49">
        <f>IF(N(U879)&lt;=0.005,"",COUNTIFS('JOBS'!$U$5:$U$1504,"&gt;0.005",'JOBS'!$B$5:$B$1504,"&lt;"&amp;B879)+COUNTIFS($U$5:U879,"&gt;0.005",$B$5:B879,B879))</f>
        <v/>
      </c>
    </row>
    <row r="880">
      <c r="A880" s="46" t="inlineStr">
        <is>
          <t>J-0876</t>
        </is>
      </c>
      <c r="B880" s="47" t="n"/>
      <c r="C880" s="94" t="n"/>
      <c r="D880" s="38" t="n"/>
      <c r="E880" s="38" t="n"/>
      <c r="F880" s="38" t="n"/>
      <c r="G880" s="38" t="n"/>
      <c r="H880" s="38" t="n"/>
      <c r="I880" s="57" t="n"/>
      <c r="J880" s="95" t="n"/>
      <c r="K880" s="95" t="n"/>
      <c r="L880" s="48" t="n"/>
      <c r="M880" s="96" t="n"/>
      <c r="N880" s="48" t="n"/>
      <c r="O880" s="38" t="n"/>
      <c r="P880" s="38" t="n"/>
      <c r="Q880" s="97">
        <f>IF(OR(F880="",E880=""),"",IFERROR(IF(INDEX('PROPERTIES'!$F$5:$F$404,MATCH(E880,'PROPERTIES'!$B$5:$B$404,0))=0,"",ROUND((INDEX('PROPERTIES'!$F$5:$F$404,MATCH(E880,'PROPERTIES'!$B$5:$B$404,0))/INDEX('PRICING'!$C$7:$C$16,MATCH(F880,'PRICING'!$A$7:$A$16,0))+INDEX('PROPERTIES'!$G$5:$G$404,MATCH(E880,'PROPERTIES'!$B$5:$B$404,0))*INDEX('PRICING'!$D$7:$D$16,MATCH(F880,'PRICING'!$A$7:$A$16,0))/60+INDEX('PROPERTIES'!$H$5:$H$404,MATCH(E880,'PROPERTIES'!$B$5:$B$404,0))*INDEX('PRICING'!$E$7:$E$16,MATCH(F880,'PRICING'!$A$7:$A$16,0))/60+INDEX('PRICING'!$F$7:$F$16,MATCH(F880,'PRICING'!$A$7:$A$16,0))/60),2)),""))</f>
        <v/>
      </c>
      <c r="R880" s="97">
        <f>IF(B880="","",IF(N(K880)&gt;0,K880,IF(N(J880)&gt;0,J880,N(Q880))))</f>
        <v/>
      </c>
      <c r="S880" s="55">
        <f>IF(L880="","",ROUND(L880*(1+N(M880)),2))</f>
        <v/>
      </c>
      <c r="T880" s="55">
        <f>IF(B880="","",SUMIFS('REVENUE'!$C$5:$C$1504,'REVENUE'!$B$5:$B$1504,A880))</f>
        <v/>
      </c>
      <c r="U880" s="55">
        <f>IF(B880="","",IF(O880="Completed",MAX(0,N(S880)-T880),""))</f>
        <v/>
      </c>
      <c r="V880" s="49">
        <f>IF(B880="","",IF(O880&lt;&gt;"Completed",IF(T880&gt;0,"Deposit","—"),IF(U880&lt;=0.005,"Paid",IF(T880&gt;0,"Partial","Unpaid"))))</f>
        <v/>
      </c>
      <c r="W880" s="55">
        <f>IF(B880="","",IFERROR(1/(1/INDEX('STAFF &amp; TASKS'!$C$5:$C$24,MATCH(H880,'STAFF &amp; TASKS'!$A$5:$A$24,0))),PayRate))</f>
        <v/>
      </c>
      <c r="X880" s="55">
        <f>IF(B880="","",IF(OR(O880="Cancelled",O880="No-Show"),"",ROUND(R880*W880*(1+Burden),2)))</f>
        <v/>
      </c>
      <c r="Y880" s="55">
        <f>IF(B880="","",IF(OR(O880="Cancelled",O880="No-Show"),"",IF(N880&lt;&gt;"",N880,ROUND(R880*SupHr*IFERROR(INDEX('PRICING'!$G$7:$G$16,MATCH(F880,'PRICING'!$A$7:$A$16,0)),1),2))))</f>
        <v/>
      </c>
      <c r="Z880" s="98">
        <f>IF(B880="","",SUMIFS('MILEAGE'!$J$5:$J$1504,'MILEAGE'!$B$5:$B$1504,A880))</f>
        <v/>
      </c>
      <c r="AA880" s="55">
        <f>IF(B880="","",ROUND(Z880*MileRate,2))</f>
        <v/>
      </c>
      <c r="AB880" s="55">
        <f>IF(B880="","",SUMIFS('REVENUE'!$J$5:$J$1504,'REVENUE'!$B$5:$B$1504,A880))</f>
        <v/>
      </c>
      <c r="AC880" s="55">
        <f>IF(L880="","",IF(OR(O880="Cancelled",O880="No-Show"),"",L880-N(X880)-N(Y880)-AA880-AB880))</f>
        <v/>
      </c>
      <c r="AD880" s="99">
        <f>IF(OR(AC880="",N(L880)=0),"",AC880/L880)</f>
        <v/>
      </c>
      <c r="AE880" s="55">
        <f>IF(OR(AC880="",N(R880)=0),"",L880/R880)</f>
        <v/>
      </c>
      <c r="AF880" s="100">
        <f>IF(OR(N(K880)=0,N(J880)+N(Q880)=0),"",K880-IF(N(J880)&gt;0,J880,Q880))</f>
        <v/>
      </c>
      <c r="AG880" s="99">
        <f>IF(B880="","",IFERROR(AVERAGEIFS('QUALITY CONTROL'!$M$5:$M$304,'QUALITY CONTROL'!$B$5:$B$304,A880),""))</f>
        <v/>
      </c>
      <c r="AH880" s="51">
        <f>IF(B880="","",DATE(YEAR(B880),MONTH(B880),1))</f>
        <v/>
      </c>
      <c r="AI880" s="49">
        <f>IF(D880="","",IFERROR(INDEX('CUSTOMERS'!$E$5:$E$404,MATCH(D880,'CUSTOMERS'!$B$5:$B$404,0)),""))</f>
        <v/>
      </c>
      <c r="AJ880" s="49">
        <f>IF(B880="","",N(C880))</f>
        <v/>
      </c>
      <c r="AK880" s="49">
        <f>IF(OR(B880="",O880="Cancelled",O880="Rescheduled"),"",B880&amp;"|"&amp;(COUNTIFS('JOBS'!$B$5:$B$1504,B880,'JOBS'!$AJ$5:$AJ$1504,"&lt;"&amp;AJ880,'JOBS'!$O$5:$O$1504,"&lt;&gt;Cancelled",'JOBS'!$O$5:$O$1504,"&lt;&gt;Rescheduled")+COUNTIFS($B$5:B880,B880,$AJ$5:AJ880,AJ880,$O$5:O880,"&lt;&gt;Cancelled",$O$5:O880,"&lt;&gt;Rescheduled")))</f>
        <v/>
      </c>
      <c r="AL880" s="49">
        <f>IF(N(U880)&lt;=0.005,"",COUNTIFS('JOBS'!$U$5:$U$1504,"&gt;0.005",'JOBS'!$B$5:$B$1504,"&lt;"&amp;B880)+COUNTIFS($U$5:U880,"&gt;0.005",$B$5:B880,B880))</f>
        <v/>
      </c>
    </row>
    <row r="881">
      <c r="A881" s="46" t="inlineStr">
        <is>
          <t>J-0877</t>
        </is>
      </c>
      <c r="B881" s="47" t="n"/>
      <c r="C881" s="94" t="n"/>
      <c r="D881" s="38" t="n"/>
      <c r="E881" s="38" t="n"/>
      <c r="F881" s="38" t="n"/>
      <c r="G881" s="38" t="n"/>
      <c r="H881" s="38" t="n"/>
      <c r="I881" s="57" t="n"/>
      <c r="J881" s="95" t="n"/>
      <c r="K881" s="95" t="n"/>
      <c r="L881" s="48" t="n"/>
      <c r="M881" s="96" t="n"/>
      <c r="N881" s="48" t="n"/>
      <c r="O881" s="38" t="n"/>
      <c r="P881" s="38" t="n"/>
      <c r="Q881" s="97">
        <f>IF(OR(F881="",E881=""),"",IFERROR(IF(INDEX('PROPERTIES'!$F$5:$F$404,MATCH(E881,'PROPERTIES'!$B$5:$B$404,0))=0,"",ROUND((INDEX('PROPERTIES'!$F$5:$F$404,MATCH(E881,'PROPERTIES'!$B$5:$B$404,0))/INDEX('PRICING'!$C$7:$C$16,MATCH(F881,'PRICING'!$A$7:$A$16,0))+INDEX('PROPERTIES'!$G$5:$G$404,MATCH(E881,'PROPERTIES'!$B$5:$B$404,0))*INDEX('PRICING'!$D$7:$D$16,MATCH(F881,'PRICING'!$A$7:$A$16,0))/60+INDEX('PROPERTIES'!$H$5:$H$404,MATCH(E881,'PROPERTIES'!$B$5:$B$404,0))*INDEX('PRICING'!$E$7:$E$16,MATCH(F881,'PRICING'!$A$7:$A$16,0))/60+INDEX('PRICING'!$F$7:$F$16,MATCH(F881,'PRICING'!$A$7:$A$16,0))/60),2)),""))</f>
        <v/>
      </c>
      <c r="R881" s="97">
        <f>IF(B881="","",IF(N(K881)&gt;0,K881,IF(N(J881)&gt;0,J881,N(Q881))))</f>
        <v/>
      </c>
      <c r="S881" s="55">
        <f>IF(L881="","",ROUND(L881*(1+N(M881)),2))</f>
        <v/>
      </c>
      <c r="T881" s="55">
        <f>IF(B881="","",SUMIFS('REVENUE'!$C$5:$C$1504,'REVENUE'!$B$5:$B$1504,A881))</f>
        <v/>
      </c>
      <c r="U881" s="55">
        <f>IF(B881="","",IF(O881="Completed",MAX(0,N(S881)-T881),""))</f>
        <v/>
      </c>
      <c r="V881" s="49">
        <f>IF(B881="","",IF(O881&lt;&gt;"Completed",IF(T881&gt;0,"Deposit","—"),IF(U881&lt;=0.005,"Paid",IF(T881&gt;0,"Partial","Unpaid"))))</f>
        <v/>
      </c>
      <c r="W881" s="55">
        <f>IF(B881="","",IFERROR(1/(1/INDEX('STAFF &amp; TASKS'!$C$5:$C$24,MATCH(H881,'STAFF &amp; TASKS'!$A$5:$A$24,0))),PayRate))</f>
        <v/>
      </c>
      <c r="X881" s="55">
        <f>IF(B881="","",IF(OR(O881="Cancelled",O881="No-Show"),"",ROUND(R881*W881*(1+Burden),2)))</f>
        <v/>
      </c>
      <c r="Y881" s="55">
        <f>IF(B881="","",IF(OR(O881="Cancelled",O881="No-Show"),"",IF(N881&lt;&gt;"",N881,ROUND(R881*SupHr*IFERROR(INDEX('PRICING'!$G$7:$G$16,MATCH(F881,'PRICING'!$A$7:$A$16,0)),1),2))))</f>
        <v/>
      </c>
      <c r="Z881" s="98">
        <f>IF(B881="","",SUMIFS('MILEAGE'!$J$5:$J$1504,'MILEAGE'!$B$5:$B$1504,A881))</f>
        <v/>
      </c>
      <c r="AA881" s="55">
        <f>IF(B881="","",ROUND(Z881*MileRate,2))</f>
        <v/>
      </c>
      <c r="AB881" s="55">
        <f>IF(B881="","",SUMIFS('REVENUE'!$J$5:$J$1504,'REVENUE'!$B$5:$B$1504,A881))</f>
        <v/>
      </c>
      <c r="AC881" s="55">
        <f>IF(L881="","",IF(OR(O881="Cancelled",O881="No-Show"),"",L881-N(X881)-N(Y881)-AA881-AB881))</f>
        <v/>
      </c>
      <c r="AD881" s="99">
        <f>IF(OR(AC881="",N(L881)=0),"",AC881/L881)</f>
        <v/>
      </c>
      <c r="AE881" s="55">
        <f>IF(OR(AC881="",N(R881)=0),"",L881/R881)</f>
        <v/>
      </c>
      <c r="AF881" s="100">
        <f>IF(OR(N(K881)=0,N(J881)+N(Q881)=0),"",K881-IF(N(J881)&gt;0,J881,Q881))</f>
        <v/>
      </c>
      <c r="AG881" s="99">
        <f>IF(B881="","",IFERROR(AVERAGEIFS('QUALITY CONTROL'!$M$5:$M$304,'QUALITY CONTROL'!$B$5:$B$304,A881),""))</f>
        <v/>
      </c>
      <c r="AH881" s="51">
        <f>IF(B881="","",DATE(YEAR(B881),MONTH(B881),1))</f>
        <v/>
      </c>
      <c r="AI881" s="49">
        <f>IF(D881="","",IFERROR(INDEX('CUSTOMERS'!$E$5:$E$404,MATCH(D881,'CUSTOMERS'!$B$5:$B$404,0)),""))</f>
        <v/>
      </c>
      <c r="AJ881" s="49">
        <f>IF(B881="","",N(C881))</f>
        <v/>
      </c>
      <c r="AK881" s="49">
        <f>IF(OR(B881="",O881="Cancelled",O881="Rescheduled"),"",B881&amp;"|"&amp;(COUNTIFS('JOBS'!$B$5:$B$1504,B881,'JOBS'!$AJ$5:$AJ$1504,"&lt;"&amp;AJ881,'JOBS'!$O$5:$O$1504,"&lt;&gt;Cancelled",'JOBS'!$O$5:$O$1504,"&lt;&gt;Rescheduled")+COUNTIFS($B$5:B881,B881,$AJ$5:AJ881,AJ881,$O$5:O881,"&lt;&gt;Cancelled",$O$5:O881,"&lt;&gt;Rescheduled")))</f>
        <v/>
      </c>
      <c r="AL881" s="49">
        <f>IF(N(U881)&lt;=0.005,"",COUNTIFS('JOBS'!$U$5:$U$1504,"&gt;0.005",'JOBS'!$B$5:$B$1504,"&lt;"&amp;B881)+COUNTIFS($U$5:U881,"&gt;0.005",$B$5:B881,B881))</f>
        <v/>
      </c>
    </row>
    <row r="882">
      <c r="A882" s="46" t="inlineStr">
        <is>
          <t>J-0878</t>
        </is>
      </c>
      <c r="B882" s="47" t="n"/>
      <c r="C882" s="94" t="n"/>
      <c r="D882" s="38" t="n"/>
      <c r="E882" s="38" t="n"/>
      <c r="F882" s="38" t="n"/>
      <c r="G882" s="38" t="n"/>
      <c r="H882" s="38" t="n"/>
      <c r="I882" s="57" t="n"/>
      <c r="J882" s="95" t="n"/>
      <c r="K882" s="95" t="n"/>
      <c r="L882" s="48" t="n"/>
      <c r="M882" s="96" t="n"/>
      <c r="N882" s="48" t="n"/>
      <c r="O882" s="38" t="n"/>
      <c r="P882" s="38" t="n"/>
      <c r="Q882" s="97">
        <f>IF(OR(F882="",E882=""),"",IFERROR(IF(INDEX('PROPERTIES'!$F$5:$F$404,MATCH(E882,'PROPERTIES'!$B$5:$B$404,0))=0,"",ROUND((INDEX('PROPERTIES'!$F$5:$F$404,MATCH(E882,'PROPERTIES'!$B$5:$B$404,0))/INDEX('PRICING'!$C$7:$C$16,MATCH(F882,'PRICING'!$A$7:$A$16,0))+INDEX('PROPERTIES'!$G$5:$G$404,MATCH(E882,'PROPERTIES'!$B$5:$B$404,0))*INDEX('PRICING'!$D$7:$D$16,MATCH(F882,'PRICING'!$A$7:$A$16,0))/60+INDEX('PROPERTIES'!$H$5:$H$404,MATCH(E882,'PROPERTIES'!$B$5:$B$404,0))*INDEX('PRICING'!$E$7:$E$16,MATCH(F882,'PRICING'!$A$7:$A$16,0))/60+INDEX('PRICING'!$F$7:$F$16,MATCH(F882,'PRICING'!$A$7:$A$16,0))/60),2)),""))</f>
        <v/>
      </c>
      <c r="R882" s="97">
        <f>IF(B882="","",IF(N(K882)&gt;0,K882,IF(N(J882)&gt;0,J882,N(Q882))))</f>
        <v/>
      </c>
      <c r="S882" s="55">
        <f>IF(L882="","",ROUND(L882*(1+N(M882)),2))</f>
        <v/>
      </c>
      <c r="T882" s="55">
        <f>IF(B882="","",SUMIFS('REVENUE'!$C$5:$C$1504,'REVENUE'!$B$5:$B$1504,A882))</f>
        <v/>
      </c>
      <c r="U882" s="55">
        <f>IF(B882="","",IF(O882="Completed",MAX(0,N(S882)-T882),""))</f>
        <v/>
      </c>
      <c r="V882" s="49">
        <f>IF(B882="","",IF(O882&lt;&gt;"Completed",IF(T882&gt;0,"Deposit","—"),IF(U882&lt;=0.005,"Paid",IF(T882&gt;0,"Partial","Unpaid"))))</f>
        <v/>
      </c>
      <c r="W882" s="55">
        <f>IF(B882="","",IFERROR(1/(1/INDEX('STAFF &amp; TASKS'!$C$5:$C$24,MATCH(H882,'STAFF &amp; TASKS'!$A$5:$A$24,0))),PayRate))</f>
        <v/>
      </c>
      <c r="X882" s="55">
        <f>IF(B882="","",IF(OR(O882="Cancelled",O882="No-Show"),"",ROUND(R882*W882*(1+Burden),2)))</f>
        <v/>
      </c>
      <c r="Y882" s="55">
        <f>IF(B882="","",IF(OR(O882="Cancelled",O882="No-Show"),"",IF(N882&lt;&gt;"",N882,ROUND(R882*SupHr*IFERROR(INDEX('PRICING'!$G$7:$G$16,MATCH(F882,'PRICING'!$A$7:$A$16,0)),1),2))))</f>
        <v/>
      </c>
      <c r="Z882" s="98">
        <f>IF(B882="","",SUMIFS('MILEAGE'!$J$5:$J$1504,'MILEAGE'!$B$5:$B$1504,A882))</f>
        <v/>
      </c>
      <c r="AA882" s="55">
        <f>IF(B882="","",ROUND(Z882*MileRate,2))</f>
        <v/>
      </c>
      <c r="AB882" s="55">
        <f>IF(B882="","",SUMIFS('REVENUE'!$J$5:$J$1504,'REVENUE'!$B$5:$B$1504,A882))</f>
        <v/>
      </c>
      <c r="AC882" s="55">
        <f>IF(L882="","",IF(OR(O882="Cancelled",O882="No-Show"),"",L882-N(X882)-N(Y882)-AA882-AB882))</f>
        <v/>
      </c>
      <c r="AD882" s="99">
        <f>IF(OR(AC882="",N(L882)=0),"",AC882/L882)</f>
        <v/>
      </c>
      <c r="AE882" s="55">
        <f>IF(OR(AC882="",N(R882)=0),"",L882/R882)</f>
        <v/>
      </c>
      <c r="AF882" s="100">
        <f>IF(OR(N(K882)=0,N(J882)+N(Q882)=0),"",K882-IF(N(J882)&gt;0,J882,Q882))</f>
        <v/>
      </c>
      <c r="AG882" s="99">
        <f>IF(B882="","",IFERROR(AVERAGEIFS('QUALITY CONTROL'!$M$5:$M$304,'QUALITY CONTROL'!$B$5:$B$304,A882),""))</f>
        <v/>
      </c>
      <c r="AH882" s="51">
        <f>IF(B882="","",DATE(YEAR(B882),MONTH(B882),1))</f>
        <v/>
      </c>
      <c r="AI882" s="49">
        <f>IF(D882="","",IFERROR(INDEX('CUSTOMERS'!$E$5:$E$404,MATCH(D882,'CUSTOMERS'!$B$5:$B$404,0)),""))</f>
        <v/>
      </c>
      <c r="AJ882" s="49">
        <f>IF(B882="","",N(C882))</f>
        <v/>
      </c>
      <c r="AK882" s="49">
        <f>IF(OR(B882="",O882="Cancelled",O882="Rescheduled"),"",B882&amp;"|"&amp;(COUNTIFS('JOBS'!$B$5:$B$1504,B882,'JOBS'!$AJ$5:$AJ$1504,"&lt;"&amp;AJ882,'JOBS'!$O$5:$O$1504,"&lt;&gt;Cancelled",'JOBS'!$O$5:$O$1504,"&lt;&gt;Rescheduled")+COUNTIFS($B$5:B882,B882,$AJ$5:AJ882,AJ882,$O$5:O882,"&lt;&gt;Cancelled",$O$5:O882,"&lt;&gt;Rescheduled")))</f>
        <v/>
      </c>
      <c r="AL882" s="49">
        <f>IF(N(U882)&lt;=0.005,"",COUNTIFS('JOBS'!$U$5:$U$1504,"&gt;0.005",'JOBS'!$B$5:$B$1504,"&lt;"&amp;B882)+COUNTIFS($U$5:U882,"&gt;0.005",$B$5:B882,B882))</f>
        <v/>
      </c>
    </row>
    <row r="883">
      <c r="A883" s="46" t="inlineStr">
        <is>
          <t>J-0879</t>
        </is>
      </c>
      <c r="B883" s="47" t="n"/>
      <c r="C883" s="94" t="n"/>
      <c r="D883" s="38" t="n"/>
      <c r="E883" s="38" t="n"/>
      <c r="F883" s="38" t="n"/>
      <c r="G883" s="38" t="n"/>
      <c r="H883" s="38" t="n"/>
      <c r="I883" s="57" t="n"/>
      <c r="J883" s="95" t="n"/>
      <c r="K883" s="95" t="n"/>
      <c r="L883" s="48" t="n"/>
      <c r="M883" s="96" t="n"/>
      <c r="N883" s="48" t="n"/>
      <c r="O883" s="38" t="n"/>
      <c r="P883" s="38" t="n"/>
      <c r="Q883" s="97">
        <f>IF(OR(F883="",E883=""),"",IFERROR(IF(INDEX('PROPERTIES'!$F$5:$F$404,MATCH(E883,'PROPERTIES'!$B$5:$B$404,0))=0,"",ROUND((INDEX('PROPERTIES'!$F$5:$F$404,MATCH(E883,'PROPERTIES'!$B$5:$B$404,0))/INDEX('PRICING'!$C$7:$C$16,MATCH(F883,'PRICING'!$A$7:$A$16,0))+INDEX('PROPERTIES'!$G$5:$G$404,MATCH(E883,'PROPERTIES'!$B$5:$B$404,0))*INDEX('PRICING'!$D$7:$D$16,MATCH(F883,'PRICING'!$A$7:$A$16,0))/60+INDEX('PROPERTIES'!$H$5:$H$404,MATCH(E883,'PROPERTIES'!$B$5:$B$404,0))*INDEX('PRICING'!$E$7:$E$16,MATCH(F883,'PRICING'!$A$7:$A$16,0))/60+INDEX('PRICING'!$F$7:$F$16,MATCH(F883,'PRICING'!$A$7:$A$16,0))/60),2)),""))</f>
        <v/>
      </c>
      <c r="R883" s="97">
        <f>IF(B883="","",IF(N(K883)&gt;0,K883,IF(N(J883)&gt;0,J883,N(Q883))))</f>
        <v/>
      </c>
      <c r="S883" s="55">
        <f>IF(L883="","",ROUND(L883*(1+N(M883)),2))</f>
        <v/>
      </c>
      <c r="T883" s="55">
        <f>IF(B883="","",SUMIFS('REVENUE'!$C$5:$C$1504,'REVENUE'!$B$5:$B$1504,A883))</f>
        <v/>
      </c>
      <c r="U883" s="55">
        <f>IF(B883="","",IF(O883="Completed",MAX(0,N(S883)-T883),""))</f>
        <v/>
      </c>
      <c r="V883" s="49">
        <f>IF(B883="","",IF(O883&lt;&gt;"Completed",IF(T883&gt;0,"Deposit","—"),IF(U883&lt;=0.005,"Paid",IF(T883&gt;0,"Partial","Unpaid"))))</f>
        <v/>
      </c>
      <c r="W883" s="55">
        <f>IF(B883="","",IFERROR(1/(1/INDEX('STAFF &amp; TASKS'!$C$5:$C$24,MATCH(H883,'STAFF &amp; TASKS'!$A$5:$A$24,0))),PayRate))</f>
        <v/>
      </c>
      <c r="X883" s="55">
        <f>IF(B883="","",IF(OR(O883="Cancelled",O883="No-Show"),"",ROUND(R883*W883*(1+Burden),2)))</f>
        <v/>
      </c>
      <c r="Y883" s="55">
        <f>IF(B883="","",IF(OR(O883="Cancelled",O883="No-Show"),"",IF(N883&lt;&gt;"",N883,ROUND(R883*SupHr*IFERROR(INDEX('PRICING'!$G$7:$G$16,MATCH(F883,'PRICING'!$A$7:$A$16,0)),1),2))))</f>
        <v/>
      </c>
      <c r="Z883" s="98">
        <f>IF(B883="","",SUMIFS('MILEAGE'!$J$5:$J$1504,'MILEAGE'!$B$5:$B$1504,A883))</f>
        <v/>
      </c>
      <c r="AA883" s="55">
        <f>IF(B883="","",ROUND(Z883*MileRate,2))</f>
        <v/>
      </c>
      <c r="AB883" s="55">
        <f>IF(B883="","",SUMIFS('REVENUE'!$J$5:$J$1504,'REVENUE'!$B$5:$B$1504,A883))</f>
        <v/>
      </c>
      <c r="AC883" s="55">
        <f>IF(L883="","",IF(OR(O883="Cancelled",O883="No-Show"),"",L883-N(X883)-N(Y883)-AA883-AB883))</f>
        <v/>
      </c>
      <c r="AD883" s="99">
        <f>IF(OR(AC883="",N(L883)=0),"",AC883/L883)</f>
        <v/>
      </c>
      <c r="AE883" s="55">
        <f>IF(OR(AC883="",N(R883)=0),"",L883/R883)</f>
        <v/>
      </c>
      <c r="AF883" s="100">
        <f>IF(OR(N(K883)=0,N(J883)+N(Q883)=0),"",K883-IF(N(J883)&gt;0,J883,Q883))</f>
        <v/>
      </c>
      <c r="AG883" s="99">
        <f>IF(B883="","",IFERROR(AVERAGEIFS('QUALITY CONTROL'!$M$5:$M$304,'QUALITY CONTROL'!$B$5:$B$304,A883),""))</f>
        <v/>
      </c>
      <c r="AH883" s="51">
        <f>IF(B883="","",DATE(YEAR(B883),MONTH(B883),1))</f>
        <v/>
      </c>
      <c r="AI883" s="49">
        <f>IF(D883="","",IFERROR(INDEX('CUSTOMERS'!$E$5:$E$404,MATCH(D883,'CUSTOMERS'!$B$5:$B$404,0)),""))</f>
        <v/>
      </c>
      <c r="AJ883" s="49">
        <f>IF(B883="","",N(C883))</f>
        <v/>
      </c>
      <c r="AK883" s="49">
        <f>IF(OR(B883="",O883="Cancelled",O883="Rescheduled"),"",B883&amp;"|"&amp;(COUNTIFS('JOBS'!$B$5:$B$1504,B883,'JOBS'!$AJ$5:$AJ$1504,"&lt;"&amp;AJ883,'JOBS'!$O$5:$O$1504,"&lt;&gt;Cancelled",'JOBS'!$O$5:$O$1504,"&lt;&gt;Rescheduled")+COUNTIFS($B$5:B883,B883,$AJ$5:AJ883,AJ883,$O$5:O883,"&lt;&gt;Cancelled",$O$5:O883,"&lt;&gt;Rescheduled")))</f>
        <v/>
      </c>
      <c r="AL883" s="49">
        <f>IF(N(U883)&lt;=0.005,"",COUNTIFS('JOBS'!$U$5:$U$1504,"&gt;0.005",'JOBS'!$B$5:$B$1504,"&lt;"&amp;B883)+COUNTIFS($U$5:U883,"&gt;0.005",$B$5:B883,B883))</f>
        <v/>
      </c>
    </row>
    <row r="884">
      <c r="A884" s="46" t="inlineStr">
        <is>
          <t>J-0880</t>
        </is>
      </c>
      <c r="B884" s="47" t="n"/>
      <c r="C884" s="94" t="n"/>
      <c r="D884" s="38" t="n"/>
      <c r="E884" s="38" t="n"/>
      <c r="F884" s="38" t="n"/>
      <c r="G884" s="38" t="n"/>
      <c r="H884" s="38" t="n"/>
      <c r="I884" s="57" t="n"/>
      <c r="J884" s="95" t="n"/>
      <c r="K884" s="95" t="n"/>
      <c r="L884" s="48" t="n"/>
      <c r="M884" s="96" t="n"/>
      <c r="N884" s="48" t="n"/>
      <c r="O884" s="38" t="n"/>
      <c r="P884" s="38" t="n"/>
      <c r="Q884" s="97">
        <f>IF(OR(F884="",E884=""),"",IFERROR(IF(INDEX('PROPERTIES'!$F$5:$F$404,MATCH(E884,'PROPERTIES'!$B$5:$B$404,0))=0,"",ROUND((INDEX('PROPERTIES'!$F$5:$F$404,MATCH(E884,'PROPERTIES'!$B$5:$B$404,0))/INDEX('PRICING'!$C$7:$C$16,MATCH(F884,'PRICING'!$A$7:$A$16,0))+INDEX('PROPERTIES'!$G$5:$G$404,MATCH(E884,'PROPERTIES'!$B$5:$B$404,0))*INDEX('PRICING'!$D$7:$D$16,MATCH(F884,'PRICING'!$A$7:$A$16,0))/60+INDEX('PROPERTIES'!$H$5:$H$404,MATCH(E884,'PROPERTIES'!$B$5:$B$404,0))*INDEX('PRICING'!$E$7:$E$16,MATCH(F884,'PRICING'!$A$7:$A$16,0))/60+INDEX('PRICING'!$F$7:$F$16,MATCH(F884,'PRICING'!$A$7:$A$16,0))/60),2)),""))</f>
        <v/>
      </c>
      <c r="R884" s="97">
        <f>IF(B884="","",IF(N(K884)&gt;0,K884,IF(N(J884)&gt;0,J884,N(Q884))))</f>
        <v/>
      </c>
      <c r="S884" s="55">
        <f>IF(L884="","",ROUND(L884*(1+N(M884)),2))</f>
        <v/>
      </c>
      <c r="T884" s="55">
        <f>IF(B884="","",SUMIFS('REVENUE'!$C$5:$C$1504,'REVENUE'!$B$5:$B$1504,A884))</f>
        <v/>
      </c>
      <c r="U884" s="55">
        <f>IF(B884="","",IF(O884="Completed",MAX(0,N(S884)-T884),""))</f>
        <v/>
      </c>
      <c r="V884" s="49">
        <f>IF(B884="","",IF(O884&lt;&gt;"Completed",IF(T884&gt;0,"Deposit","—"),IF(U884&lt;=0.005,"Paid",IF(T884&gt;0,"Partial","Unpaid"))))</f>
        <v/>
      </c>
      <c r="W884" s="55">
        <f>IF(B884="","",IFERROR(1/(1/INDEX('STAFF &amp; TASKS'!$C$5:$C$24,MATCH(H884,'STAFF &amp; TASKS'!$A$5:$A$24,0))),PayRate))</f>
        <v/>
      </c>
      <c r="X884" s="55">
        <f>IF(B884="","",IF(OR(O884="Cancelled",O884="No-Show"),"",ROUND(R884*W884*(1+Burden),2)))</f>
        <v/>
      </c>
      <c r="Y884" s="55">
        <f>IF(B884="","",IF(OR(O884="Cancelled",O884="No-Show"),"",IF(N884&lt;&gt;"",N884,ROUND(R884*SupHr*IFERROR(INDEX('PRICING'!$G$7:$G$16,MATCH(F884,'PRICING'!$A$7:$A$16,0)),1),2))))</f>
        <v/>
      </c>
      <c r="Z884" s="98">
        <f>IF(B884="","",SUMIFS('MILEAGE'!$J$5:$J$1504,'MILEAGE'!$B$5:$B$1504,A884))</f>
        <v/>
      </c>
      <c r="AA884" s="55">
        <f>IF(B884="","",ROUND(Z884*MileRate,2))</f>
        <v/>
      </c>
      <c r="AB884" s="55">
        <f>IF(B884="","",SUMIFS('REVENUE'!$J$5:$J$1504,'REVENUE'!$B$5:$B$1504,A884))</f>
        <v/>
      </c>
      <c r="AC884" s="55">
        <f>IF(L884="","",IF(OR(O884="Cancelled",O884="No-Show"),"",L884-N(X884)-N(Y884)-AA884-AB884))</f>
        <v/>
      </c>
      <c r="AD884" s="99">
        <f>IF(OR(AC884="",N(L884)=0),"",AC884/L884)</f>
        <v/>
      </c>
      <c r="AE884" s="55">
        <f>IF(OR(AC884="",N(R884)=0),"",L884/R884)</f>
        <v/>
      </c>
      <c r="AF884" s="100">
        <f>IF(OR(N(K884)=0,N(J884)+N(Q884)=0),"",K884-IF(N(J884)&gt;0,J884,Q884))</f>
        <v/>
      </c>
      <c r="AG884" s="99">
        <f>IF(B884="","",IFERROR(AVERAGEIFS('QUALITY CONTROL'!$M$5:$M$304,'QUALITY CONTROL'!$B$5:$B$304,A884),""))</f>
        <v/>
      </c>
      <c r="AH884" s="51">
        <f>IF(B884="","",DATE(YEAR(B884),MONTH(B884),1))</f>
        <v/>
      </c>
      <c r="AI884" s="49">
        <f>IF(D884="","",IFERROR(INDEX('CUSTOMERS'!$E$5:$E$404,MATCH(D884,'CUSTOMERS'!$B$5:$B$404,0)),""))</f>
        <v/>
      </c>
      <c r="AJ884" s="49">
        <f>IF(B884="","",N(C884))</f>
        <v/>
      </c>
      <c r="AK884" s="49">
        <f>IF(OR(B884="",O884="Cancelled",O884="Rescheduled"),"",B884&amp;"|"&amp;(COUNTIFS('JOBS'!$B$5:$B$1504,B884,'JOBS'!$AJ$5:$AJ$1504,"&lt;"&amp;AJ884,'JOBS'!$O$5:$O$1504,"&lt;&gt;Cancelled",'JOBS'!$O$5:$O$1504,"&lt;&gt;Rescheduled")+COUNTIFS($B$5:B884,B884,$AJ$5:AJ884,AJ884,$O$5:O884,"&lt;&gt;Cancelled",$O$5:O884,"&lt;&gt;Rescheduled")))</f>
        <v/>
      </c>
      <c r="AL884" s="49">
        <f>IF(N(U884)&lt;=0.005,"",COUNTIFS('JOBS'!$U$5:$U$1504,"&gt;0.005",'JOBS'!$B$5:$B$1504,"&lt;"&amp;B884)+COUNTIFS($U$5:U884,"&gt;0.005",$B$5:B884,B884))</f>
        <v/>
      </c>
    </row>
    <row r="885">
      <c r="A885" s="46" t="inlineStr">
        <is>
          <t>J-0881</t>
        </is>
      </c>
      <c r="B885" s="47" t="n"/>
      <c r="C885" s="94" t="n"/>
      <c r="D885" s="38" t="n"/>
      <c r="E885" s="38" t="n"/>
      <c r="F885" s="38" t="n"/>
      <c r="G885" s="38" t="n"/>
      <c r="H885" s="38" t="n"/>
      <c r="I885" s="57" t="n"/>
      <c r="J885" s="95" t="n"/>
      <c r="K885" s="95" t="n"/>
      <c r="L885" s="48" t="n"/>
      <c r="M885" s="96" t="n"/>
      <c r="N885" s="48" t="n"/>
      <c r="O885" s="38" t="n"/>
      <c r="P885" s="38" t="n"/>
      <c r="Q885" s="97">
        <f>IF(OR(F885="",E885=""),"",IFERROR(IF(INDEX('PROPERTIES'!$F$5:$F$404,MATCH(E885,'PROPERTIES'!$B$5:$B$404,0))=0,"",ROUND((INDEX('PROPERTIES'!$F$5:$F$404,MATCH(E885,'PROPERTIES'!$B$5:$B$404,0))/INDEX('PRICING'!$C$7:$C$16,MATCH(F885,'PRICING'!$A$7:$A$16,0))+INDEX('PROPERTIES'!$G$5:$G$404,MATCH(E885,'PROPERTIES'!$B$5:$B$404,0))*INDEX('PRICING'!$D$7:$D$16,MATCH(F885,'PRICING'!$A$7:$A$16,0))/60+INDEX('PROPERTIES'!$H$5:$H$404,MATCH(E885,'PROPERTIES'!$B$5:$B$404,0))*INDEX('PRICING'!$E$7:$E$16,MATCH(F885,'PRICING'!$A$7:$A$16,0))/60+INDEX('PRICING'!$F$7:$F$16,MATCH(F885,'PRICING'!$A$7:$A$16,0))/60),2)),""))</f>
        <v/>
      </c>
      <c r="R885" s="97">
        <f>IF(B885="","",IF(N(K885)&gt;0,K885,IF(N(J885)&gt;0,J885,N(Q885))))</f>
        <v/>
      </c>
      <c r="S885" s="55">
        <f>IF(L885="","",ROUND(L885*(1+N(M885)),2))</f>
        <v/>
      </c>
      <c r="T885" s="55">
        <f>IF(B885="","",SUMIFS('REVENUE'!$C$5:$C$1504,'REVENUE'!$B$5:$B$1504,A885))</f>
        <v/>
      </c>
      <c r="U885" s="55">
        <f>IF(B885="","",IF(O885="Completed",MAX(0,N(S885)-T885),""))</f>
        <v/>
      </c>
      <c r="V885" s="49">
        <f>IF(B885="","",IF(O885&lt;&gt;"Completed",IF(T885&gt;0,"Deposit","—"),IF(U885&lt;=0.005,"Paid",IF(T885&gt;0,"Partial","Unpaid"))))</f>
        <v/>
      </c>
      <c r="W885" s="55">
        <f>IF(B885="","",IFERROR(1/(1/INDEX('STAFF &amp; TASKS'!$C$5:$C$24,MATCH(H885,'STAFF &amp; TASKS'!$A$5:$A$24,0))),PayRate))</f>
        <v/>
      </c>
      <c r="X885" s="55">
        <f>IF(B885="","",IF(OR(O885="Cancelled",O885="No-Show"),"",ROUND(R885*W885*(1+Burden),2)))</f>
        <v/>
      </c>
      <c r="Y885" s="55">
        <f>IF(B885="","",IF(OR(O885="Cancelled",O885="No-Show"),"",IF(N885&lt;&gt;"",N885,ROUND(R885*SupHr*IFERROR(INDEX('PRICING'!$G$7:$G$16,MATCH(F885,'PRICING'!$A$7:$A$16,0)),1),2))))</f>
        <v/>
      </c>
      <c r="Z885" s="98">
        <f>IF(B885="","",SUMIFS('MILEAGE'!$J$5:$J$1504,'MILEAGE'!$B$5:$B$1504,A885))</f>
        <v/>
      </c>
      <c r="AA885" s="55">
        <f>IF(B885="","",ROUND(Z885*MileRate,2))</f>
        <v/>
      </c>
      <c r="AB885" s="55">
        <f>IF(B885="","",SUMIFS('REVENUE'!$J$5:$J$1504,'REVENUE'!$B$5:$B$1504,A885))</f>
        <v/>
      </c>
      <c r="AC885" s="55">
        <f>IF(L885="","",IF(OR(O885="Cancelled",O885="No-Show"),"",L885-N(X885)-N(Y885)-AA885-AB885))</f>
        <v/>
      </c>
      <c r="AD885" s="99">
        <f>IF(OR(AC885="",N(L885)=0),"",AC885/L885)</f>
        <v/>
      </c>
      <c r="AE885" s="55">
        <f>IF(OR(AC885="",N(R885)=0),"",L885/R885)</f>
        <v/>
      </c>
      <c r="AF885" s="100">
        <f>IF(OR(N(K885)=0,N(J885)+N(Q885)=0),"",K885-IF(N(J885)&gt;0,J885,Q885))</f>
        <v/>
      </c>
      <c r="AG885" s="99">
        <f>IF(B885="","",IFERROR(AVERAGEIFS('QUALITY CONTROL'!$M$5:$M$304,'QUALITY CONTROL'!$B$5:$B$304,A885),""))</f>
        <v/>
      </c>
      <c r="AH885" s="51">
        <f>IF(B885="","",DATE(YEAR(B885),MONTH(B885),1))</f>
        <v/>
      </c>
      <c r="AI885" s="49">
        <f>IF(D885="","",IFERROR(INDEX('CUSTOMERS'!$E$5:$E$404,MATCH(D885,'CUSTOMERS'!$B$5:$B$404,0)),""))</f>
        <v/>
      </c>
      <c r="AJ885" s="49">
        <f>IF(B885="","",N(C885))</f>
        <v/>
      </c>
      <c r="AK885" s="49">
        <f>IF(OR(B885="",O885="Cancelled",O885="Rescheduled"),"",B885&amp;"|"&amp;(COUNTIFS('JOBS'!$B$5:$B$1504,B885,'JOBS'!$AJ$5:$AJ$1504,"&lt;"&amp;AJ885,'JOBS'!$O$5:$O$1504,"&lt;&gt;Cancelled",'JOBS'!$O$5:$O$1504,"&lt;&gt;Rescheduled")+COUNTIFS($B$5:B885,B885,$AJ$5:AJ885,AJ885,$O$5:O885,"&lt;&gt;Cancelled",$O$5:O885,"&lt;&gt;Rescheduled")))</f>
        <v/>
      </c>
      <c r="AL885" s="49">
        <f>IF(N(U885)&lt;=0.005,"",COUNTIFS('JOBS'!$U$5:$U$1504,"&gt;0.005",'JOBS'!$B$5:$B$1504,"&lt;"&amp;B885)+COUNTIFS($U$5:U885,"&gt;0.005",$B$5:B885,B885))</f>
        <v/>
      </c>
    </row>
    <row r="886">
      <c r="A886" s="46" t="inlineStr">
        <is>
          <t>J-0882</t>
        </is>
      </c>
      <c r="B886" s="47" t="n"/>
      <c r="C886" s="94" t="n"/>
      <c r="D886" s="38" t="n"/>
      <c r="E886" s="38" t="n"/>
      <c r="F886" s="38" t="n"/>
      <c r="G886" s="38" t="n"/>
      <c r="H886" s="38" t="n"/>
      <c r="I886" s="57" t="n"/>
      <c r="J886" s="95" t="n"/>
      <c r="K886" s="95" t="n"/>
      <c r="L886" s="48" t="n"/>
      <c r="M886" s="96" t="n"/>
      <c r="N886" s="48" t="n"/>
      <c r="O886" s="38" t="n"/>
      <c r="P886" s="38" t="n"/>
      <c r="Q886" s="97">
        <f>IF(OR(F886="",E886=""),"",IFERROR(IF(INDEX('PROPERTIES'!$F$5:$F$404,MATCH(E886,'PROPERTIES'!$B$5:$B$404,0))=0,"",ROUND((INDEX('PROPERTIES'!$F$5:$F$404,MATCH(E886,'PROPERTIES'!$B$5:$B$404,0))/INDEX('PRICING'!$C$7:$C$16,MATCH(F886,'PRICING'!$A$7:$A$16,0))+INDEX('PROPERTIES'!$G$5:$G$404,MATCH(E886,'PROPERTIES'!$B$5:$B$404,0))*INDEX('PRICING'!$D$7:$D$16,MATCH(F886,'PRICING'!$A$7:$A$16,0))/60+INDEX('PROPERTIES'!$H$5:$H$404,MATCH(E886,'PROPERTIES'!$B$5:$B$404,0))*INDEX('PRICING'!$E$7:$E$16,MATCH(F886,'PRICING'!$A$7:$A$16,0))/60+INDEX('PRICING'!$F$7:$F$16,MATCH(F886,'PRICING'!$A$7:$A$16,0))/60),2)),""))</f>
        <v/>
      </c>
      <c r="R886" s="97">
        <f>IF(B886="","",IF(N(K886)&gt;0,K886,IF(N(J886)&gt;0,J886,N(Q886))))</f>
        <v/>
      </c>
      <c r="S886" s="55">
        <f>IF(L886="","",ROUND(L886*(1+N(M886)),2))</f>
        <v/>
      </c>
      <c r="T886" s="55">
        <f>IF(B886="","",SUMIFS('REVENUE'!$C$5:$C$1504,'REVENUE'!$B$5:$B$1504,A886))</f>
        <v/>
      </c>
      <c r="U886" s="55">
        <f>IF(B886="","",IF(O886="Completed",MAX(0,N(S886)-T886),""))</f>
        <v/>
      </c>
      <c r="V886" s="49">
        <f>IF(B886="","",IF(O886&lt;&gt;"Completed",IF(T886&gt;0,"Deposit","—"),IF(U886&lt;=0.005,"Paid",IF(T886&gt;0,"Partial","Unpaid"))))</f>
        <v/>
      </c>
      <c r="W886" s="55">
        <f>IF(B886="","",IFERROR(1/(1/INDEX('STAFF &amp; TASKS'!$C$5:$C$24,MATCH(H886,'STAFF &amp; TASKS'!$A$5:$A$24,0))),PayRate))</f>
        <v/>
      </c>
      <c r="X886" s="55">
        <f>IF(B886="","",IF(OR(O886="Cancelled",O886="No-Show"),"",ROUND(R886*W886*(1+Burden),2)))</f>
        <v/>
      </c>
      <c r="Y886" s="55">
        <f>IF(B886="","",IF(OR(O886="Cancelled",O886="No-Show"),"",IF(N886&lt;&gt;"",N886,ROUND(R886*SupHr*IFERROR(INDEX('PRICING'!$G$7:$G$16,MATCH(F886,'PRICING'!$A$7:$A$16,0)),1),2))))</f>
        <v/>
      </c>
      <c r="Z886" s="98">
        <f>IF(B886="","",SUMIFS('MILEAGE'!$J$5:$J$1504,'MILEAGE'!$B$5:$B$1504,A886))</f>
        <v/>
      </c>
      <c r="AA886" s="55">
        <f>IF(B886="","",ROUND(Z886*MileRate,2))</f>
        <v/>
      </c>
      <c r="AB886" s="55">
        <f>IF(B886="","",SUMIFS('REVENUE'!$J$5:$J$1504,'REVENUE'!$B$5:$B$1504,A886))</f>
        <v/>
      </c>
      <c r="AC886" s="55">
        <f>IF(L886="","",IF(OR(O886="Cancelled",O886="No-Show"),"",L886-N(X886)-N(Y886)-AA886-AB886))</f>
        <v/>
      </c>
      <c r="AD886" s="99">
        <f>IF(OR(AC886="",N(L886)=0),"",AC886/L886)</f>
        <v/>
      </c>
      <c r="AE886" s="55">
        <f>IF(OR(AC886="",N(R886)=0),"",L886/R886)</f>
        <v/>
      </c>
      <c r="AF886" s="100">
        <f>IF(OR(N(K886)=0,N(J886)+N(Q886)=0),"",K886-IF(N(J886)&gt;0,J886,Q886))</f>
        <v/>
      </c>
      <c r="AG886" s="99">
        <f>IF(B886="","",IFERROR(AVERAGEIFS('QUALITY CONTROL'!$M$5:$M$304,'QUALITY CONTROL'!$B$5:$B$304,A886),""))</f>
        <v/>
      </c>
      <c r="AH886" s="51">
        <f>IF(B886="","",DATE(YEAR(B886),MONTH(B886),1))</f>
        <v/>
      </c>
      <c r="AI886" s="49">
        <f>IF(D886="","",IFERROR(INDEX('CUSTOMERS'!$E$5:$E$404,MATCH(D886,'CUSTOMERS'!$B$5:$B$404,0)),""))</f>
        <v/>
      </c>
      <c r="AJ886" s="49">
        <f>IF(B886="","",N(C886))</f>
        <v/>
      </c>
      <c r="AK886" s="49">
        <f>IF(OR(B886="",O886="Cancelled",O886="Rescheduled"),"",B886&amp;"|"&amp;(COUNTIFS('JOBS'!$B$5:$B$1504,B886,'JOBS'!$AJ$5:$AJ$1504,"&lt;"&amp;AJ886,'JOBS'!$O$5:$O$1504,"&lt;&gt;Cancelled",'JOBS'!$O$5:$O$1504,"&lt;&gt;Rescheduled")+COUNTIFS($B$5:B886,B886,$AJ$5:AJ886,AJ886,$O$5:O886,"&lt;&gt;Cancelled",$O$5:O886,"&lt;&gt;Rescheduled")))</f>
        <v/>
      </c>
      <c r="AL886" s="49">
        <f>IF(N(U886)&lt;=0.005,"",COUNTIFS('JOBS'!$U$5:$U$1504,"&gt;0.005",'JOBS'!$B$5:$B$1504,"&lt;"&amp;B886)+COUNTIFS($U$5:U886,"&gt;0.005",$B$5:B886,B886))</f>
        <v/>
      </c>
    </row>
    <row r="887">
      <c r="A887" s="46" t="inlineStr">
        <is>
          <t>J-0883</t>
        </is>
      </c>
      <c r="B887" s="47" t="n"/>
      <c r="C887" s="94" t="n"/>
      <c r="D887" s="38" t="n"/>
      <c r="E887" s="38" t="n"/>
      <c r="F887" s="38" t="n"/>
      <c r="G887" s="38" t="n"/>
      <c r="H887" s="38" t="n"/>
      <c r="I887" s="57" t="n"/>
      <c r="J887" s="95" t="n"/>
      <c r="K887" s="95" t="n"/>
      <c r="L887" s="48" t="n"/>
      <c r="M887" s="96" t="n"/>
      <c r="N887" s="48" t="n"/>
      <c r="O887" s="38" t="n"/>
      <c r="P887" s="38" t="n"/>
      <c r="Q887" s="97">
        <f>IF(OR(F887="",E887=""),"",IFERROR(IF(INDEX('PROPERTIES'!$F$5:$F$404,MATCH(E887,'PROPERTIES'!$B$5:$B$404,0))=0,"",ROUND((INDEX('PROPERTIES'!$F$5:$F$404,MATCH(E887,'PROPERTIES'!$B$5:$B$404,0))/INDEX('PRICING'!$C$7:$C$16,MATCH(F887,'PRICING'!$A$7:$A$16,0))+INDEX('PROPERTIES'!$G$5:$G$404,MATCH(E887,'PROPERTIES'!$B$5:$B$404,0))*INDEX('PRICING'!$D$7:$D$16,MATCH(F887,'PRICING'!$A$7:$A$16,0))/60+INDEX('PROPERTIES'!$H$5:$H$404,MATCH(E887,'PROPERTIES'!$B$5:$B$404,0))*INDEX('PRICING'!$E$7:$E$16,MATCH(F887,'PRICING'!$A$7:$A$16,0))/60+INDEX('PRICING'!$F$7:$F$16,MATCH(F887,'PRICING'!$A$7:$A$16,0))/60),2)),""))</f>
        <v/>
      </c>
      <c r="R887" s="97">
        <f>IF(B887="","",IF(N(K887)&gt;0,K887,IF(N(J887)&gt;0,J887,N(Q887))))</f>
        <v/>
      </c>
      <c r="S887" s="55">
        <f>IF(L887="","",ROUND(L887*(1+N(M887)),2))</f>
        <v/>
      </c>
      <c r="T887" s="55">
        <f>IF(B887="","",SUMIFS('REVENUE'!$C$5:$C$1504,'REVENUE'!$B$5:$B$1504,A887))</f>
        <v/>
      </c>
      <c r="U887" s="55">
        <f>IF(B887="","",IF(O887="Completed",MAX(0,N(S887)-T887),""))</f>
        <v/>
      </c>
      <c r="V887" s="49">
        <f>IF(B887="","",IF(O887&lt;&gt;"Completed",IF(T887&gt;0,"Deposit","—"),IF(U887&lt;=0.005,"Paid",IF(T887&gt;0,"Partial","Unpaid"))))</f>
        <v/>
      </c>
      <c r="W887" s="55">
        <f>IF(B887="","",IFERROR(1/(1/INDEX('STAFF &amp; TASKS'!$C$5:$C$24,MATCH(H887,'STAFF &amp; TASKS'!$A$5:$A$24,0))),PayRate))</f>
        <v/>
      </c>
      <c r="X887" s="55">
        <f>IF(B887="","",IF(OR(O887="Cancelled",O887="No-Show"),"",ROUND(R887*W887*(1+Burden),2)))</f>
        <v/>
      </c>
      <c r="Y887" s="55">
        <f>IF(B887="","",IF(OR(O887="Cancelled",O887="No-Show"),"",IF(N887&lt;&gt;"",N887,ROUND(R887*SupHr*IFERROR(INDEX('PRICING'!$G$7:$G$16,MATCH(F887,'PRICING'!$A$7:$A$16,0)),1),2))))</f>
        <v/>
      </c>
      <c r="Z887" s="98">
        <f>IF(B887="","",SUMIFS('MILEAGE'!$J$5:$J$1504,'MILEAGE'!$B$5:$B$1504,A887))</f>
        <v/>
      </c>
      <c r="AA887" s="55">
        <f>IF(B887="","",ROUND(Z887*MileRate,2))</f>
        <v/>
      </c>
      <c r="AB887" s="55">
        <f>IF(B887="","",SUMIFS('REVENUE'!$J$5:$J$1504,'REVENUE'!$B$5:$B$1504,A887))</f>
        <v/>
      </c>
      <c r="AC887" s="55">
        <f>IF(L887="","",IF(OR(O887="Cancelled",O887="No-Show"),"",L887-N(X887)-N(Y887)-AA887-AB887))</f>
        <v/>
      </c>
      <c r="AD887" s="99">
        <f>IF(OR(AC887="",N(L887)=0),"",AC887/L887)</f>
        <v/>
      </c>
      <c r="AE887" s="55">
        <f>IF(OR(AC887="",N(R887)=0),"",L887/R887)</f>
        <v/>
      </c>
      <c r="AF887" s="100">
        <f>IF(OR(N(K887)=0,N(J887)+N(Q887)=0),"",K887-IF(N(J887)&gt;0,J887,Q887))</f>
        <v/>
      </c>
      <c r="AG887" s="99">
        <f>IF(B887="","",IFERROR(AVERAGEIFS('QUALITY CONTROL'!$M$5:$M$304,'QUALITY CONTROL'!$B$5:$B$304,A887),""))</f>
        <v/>
      </c>
      <c r="AH887" s="51">
        <f>IF(B887="","",DATE(YEAR(B887),MONTH(B887),1))</f>
        <v/>
      </c>
      <c r="AI887" s="49">
        <f>IF(D887="","",IFERROR(INDEX('CUSTOMERS'!$E$5:$E$404,MATCH(D887,'CUSTOMERS'!$B$5:$B$404,0)),""))</f>
        <v/>
      </c>
      <c r="AJ887" s="49">
        <f>IF(B887="","",N(C887))</f>
        <v/>
      </c>
      <c r="AK887" s="49">
        <f>IF(OR(B887="",O887="Cancelled",O887="Rescheduled"),"",B887&amp;"|"&amp;(COUNTIFS('JOBS'!$B$5:$B$1504,B887,'JOBS'!$AJ$5:$AJ$1504,"&lt;"&amp;AJ887,'JOBS'!$O$5:$O$1504,"&lt;&gt;Cancelled",'JOBS'!$O$5:$O$1504,"&lt;&gt;Rescheduled")+COUNTIFS($B$5:B887,B887,$AJ$5:AJ887,AJ887,$O$5:O887,"&lt;&gt;Cancelled",$O$5:O887,"&lt;&gt;Rescheduled")))</f>
        <v/>
      </c>
      <c r="AL887" s="49">
        <f>IF(N(U887)&lt;=0.005,"",COUNTIFS('JOBS'!$U$5:$U$1504,"&gt;0.005",'JOBS'!$B$5:$B$1504,"&lt;"&amp;B887)+COUNTIFS($U$5:U887,"&gt;0.005",$B$5:B887,B887))</f>
        <v/>
      </c>
    </row>
    <row r="888">
      <c r="A888" s="46" t="inlineStr">
        <is>
          <t>J-0884</t>
        </is>
      </c>
      <c r="B888" s="47" t="n"/>
      <c r="C888" s="94" t="n"/>
      <c r="D888" s="38" t="n"/>
      <c r="E888" s="38" t="n"/>
      <c r="F888" s="38" t="n"/>
      <c r="G888" s="38" t="n"/>
      <c r="H888" s="38" t="n"/>
      <c r="I888" s="57" t="n"/>
      <c r="J888" s="95" t="n"/>
      <c r="K888" s="95" t="n"/>
      <c r="L888" s="48" t="n"/>
      <c r="M888" s="96" t="n"/>
      <c r="N888" s="48" t="n"/>
      <c r="O888" s="38" t="n"/>
      <c r="P888" s="38" t="n"/>
      <c r="Q888" s="97">
        <f>IF(OR(F888="",E888=""),"",IFERROR(IF(INDEX('PROPERTIES'!$F$5:$F$404,MATCH(E888,'PROPERTIES'!$B$5:$B$404,0))=0,"",ROUND((INDEX('PROPERTIES'!$F$5:$F$404,MATCH(E888,'PROPERTIES'!$B$5:$B$404,0))/INDEX('PRICING'!$C$7:$C$16,MATCH(F888,'PRICING'!$A$7:$A$16,0))+INDEX('PROPERTIES'!$G$5:$G$404,MATCH(E888,'PROPERTIES'!$B$5:$B$404,0))*INDEX('PRICING'!$D$7:$D$16,MATCH(F888,'PRICING'!$A$7:$A$16,0))/60+INDEX('PROPERTIES'!$H$5:$H$404,MATCH(E888,'PROPERTIES'!$B$5:$B$404,0))*INDEX('PRICING'!$E$7:$E$16,MATCH(F888,'PRICING'!$A$7:$A$16,0))/60+INDEX('PRICING'!$F$7:$F$16,MATCH(F888,'PRICING'!$A$7:$A$16,0))/60),2)),""))</f>
        <v/>
      </c>
      <c r="R888" s="97">
        <f>IF(B888="","",IF(N(K888)&gt;0,K888,IF(N(J888)&gt;0,J888,N(Q888))))</f>
        <v/>
      </c>
      <c r="S888" s="55">
        <f>IF(L888="","",ROUND(L888*(1+N(M888)),2))</f>
        <v/>
      </c>
      <c r="T888" s="55">
        <f>IF(B888="","",SUMIFS('REVENUE'!$C$5:$C$1504,'REVENUE'!$B$5:$B$1504,A888))</f>
        <v/>
      </c>
      <c r="U888" s="55">
        <f>IF(B888="","",IF(O888="Completed",MAX(0,N(S888)-T888),""))</f>
        <v/>
      </c>
      <c r="V888" s="49">
        <f>IF(B888="","",IF(O888&lt;&gt;"Completed",IF(T888&gt;0,"Deposit","—"),IF(U888&lt;=0.005,"Paid",IF(T888&gt;0,"Partial","Unpaid"))))</f>
        <v/>
      </c>
      <c r="W888" s="55">
        <f>IF(B888="","",IFERROR(1/(1/INDEX('STAFF &amp; TASKS'!$C$5:$C$24,MATCH(H888,'STAFF &amp; TASKS'!$A$5:$A$24,0))),PayRate))</f>
        <v/>
      </c>
      <c r="X888" s="55">
        <f>IF(B888="","",IF(OR(O888="Cancelled",O888="No-Show"),"",ROUND(R888*W888*(1+Burden),2)))</f>
        <v/>
      </c>
      <c r="Y888" s="55">
        <f>IF(B888="","",IF(OR(O888="Cancelled",O888="No-Show"),"",IF(N888&lt;&gt;"",N888,ROUND(R888*SupHr*IFERROR(INDEX('PRICING'!$G$7:$G$16,MATCH(F888,'PRICING'!$A$7:$A$16,0)),1),2))))</f>
        <v/>
      </c>
      <c r="Z888" s="98">
        <f>IF(B888="","",SUMIFS('MILEAGE'!$J$5:$J$1504,'MILEAGE'!$B$5:$B$1504,A888))</f>
        <v/>
      </c>
      <c r="AA888" s="55">
        <f>IF(B888="","",ROUND(Z888*MileRate,2))</f>
        <v/>
      </c>
      <c r="AB888" s="55">
        <f>IF(B888="","",SUMIFS('REVENUE'!$J$5:$J$1504,'REVENUE'!$B$5:$B$1504,A888))</f>
        <v/>
      </c>
      <c r="AC888" s="55">
        <f>IF(L888="","",IF(OR(O888="Cancelled",O888="No-Show"),"",L888-N(X888)-N(Y888)-AA888-AB888))</f>
        <v/>
      </c>
      <c r="AD888" s="99">
        <f>IF(OR(AC888="",N(L888)=0),"",AC888/L888)</f>
        <v/>
      </c>
      <c r="AE888" s="55">
        <f>IF(OR(AC888="",N(R888)=0),"",L888/R888)</f>
        <v/>
      </c>
      <c r="AF888" s="100">
        <f>IF(OR(N(K888)=0,N(J888)+N(Q888)=0),"",K888-IF(N(J888)&gt;0,J888,Q888))</f>
        <v/>
      </c>
      <c r="AG888" s="99">
        <f>IF(B888="","",IFERROR(AVERAGEIFS('QUALITY CONTROL'!$M$5:$M$304,'QUALITY CONTROL'!$B$5:$B$304,A888),""))</f>
        <v/>
      </c>
      <c r="AH888" s="51">
        <f>IF(B888="","",DATE(YEAR(B888),MONTH(B888),1))</f>
        <v/>
      </c>
      <c r="AI888" s="49">
        <f>IF(D888="","",IFERROR(INDEX('CUSTOMERS'!$E$5:$E$404,MATCH(D888,'CUSTOMERS'!$B$5:$B$404,0)),""))</f>
        <v/>
      </c>
      <c r="AJ888" s="49">
        <f>IF(B888="","",N(C888))</f>
        <v/>
      </c>
      <c r="AK888" s="49">
        <f>IF(OR(B888="",O888="Cancelled",O888="Rescheduled"),"",B888&amp;"|"&amp;(COUNTIFS('JOBS'!$B$5:$B$1504,B888,'JOBS'!$AJ$5:$AJ$1504,"&lt;"&amp;AJ888,'JOBS'!$O$5:$O$1504,"&lt;&gt;Cancelled",'JOBS'!$O$5:$O$1504,"&lt;&gt;Rescheduled")+COUNTIFS($B$5:B888,B888,$AJ$5:AJ888,AJ888,$O$5:O888,"&lt;&gt;Cancelled",$O$5:O888,"&lt;&gt;Rescheduled")))</f>
        <v/>
      </c>
      <c r="AL888" s="49">
        <f>IF(N(U888)&lt;=0.005,"",COUNTIFS('JOBS'!$U$5:$U$1504,"&gt;0.005",'JOBS'!$B$5:$B$1504,"&lt;"&amp;B888)+COUNTIFS($U$5:U888,"&gt;0.005",$B$5:B888,B888))</f>
        <v/>
      </c>
    </row>
    <row r="889">
      <c r="A889" s="46" t="inlineStr">
        <is>
          <t>J-0885</t>
        </is>
      </c>
      <c r="B889" s="47" t="n"/>
      <c r="C889" s="94" t="n"/>
      <c r="D889" s="38" t="n"/>
      <c r="E889" s="38" t="n"/>
      <c r="F889" s="38" t="n"/>
      <c r="G889" s="38" t="n"/>
      <c r="H889" s="38" t="n"/>
      <c r="I889" s="57" t="n"/>
      <c r="J889" s="95" t="n"/>
      <c r="K889" s="95" t="n"/>
      <c r="L889" s="48" t="n"/>
      <c r="M889" s="96" t="n"/>
      <c r="N889" s="48" t="n"/>
      <c r="O889" s="38" t="n"/>
      <c r="P889" s="38" t="n"/>
      <c r="Q889" s="97">
        <f>IF(OR(F889="",E889=""),"",IFERROR(IF(INDEX('PROPERTIES'!$F$5:$F$404,MATCH(E889,'PROPERTIES'!$B$5:$B$404,0))=0,"",ROUND((INDEX('PROPERTIES'!$F$5:$F$404,MATCH(E889,'PROPERTIES'!$B$5:$B$404,0))/INDEX('PRICING'!$C$7:$C$16,MATCH(F889,'PRICING'!$A$7:$A$16,0))+INDEX('PROPERTIES'!$G$5:$G$404,MATCH(E889,'PROPERTIES'!$B$5:$B$404,0))*INDEX('PRICING'!$D$7:$D$16,MATCH(F889,'PRICING'!$A$7:$A$16,0))/60+INDEX('PROPERTIES'!$H$5:$H$404,MATCH(E889,'PROPERTIES'!$B$5:$B$404,0))*INDEX('PRICING'!$E$7:$E$16,MATCH(F889,'PRICING'!$A$7:$A$16,0))/60+INDEX('PRICING'!$F$7:$F$16,MATCH(F889,'PRICING'!$A$7:$A$16,0))/60),2)),""))</f>
        <v/>
      </c>
      <c r="R889" s="97">
        <f>IF(B889="","",IF(N(K889)&gt;0,K889,IF(N(J889)&gt;0,J889,N(Q889))))</f>
        <v/>
      </c>
      <c r="S889" s="55">
        <f>IF(L889="","",ROUND(L889*(1+N(M889)),2))</f>
        <v/>
      </c>
      <c r="T889" s="55">
        <f>IF(B889="","",SUMIFS('REVENUE'!$C$5:$C$1504,'REVENUE'!$B$5:$B$1504,A889))</f>
        <v/>
      </c>
      <c r="U889" s="55">
        <f>IF(B889="","",IF(O889="Completed",MAX(0,N(S889)-T889),""))</f>
        <v/>
      </c>
      <c r="V889" s="49">
        <f>IF(B889="","",IF(O889&lt;&gt;"Completed",IF(T889&gt;0,"Deposit","—"),IF(U889&lt;=0.005,"Paid",IF(T889&gt;0,"Partial","Unpaid"))))</f>
        <v/>
      </c>
      <c r="W889" s="55">
        <f>IF(B889="","",IFERROR(1/(1/INDEX('STAFF &amp; TASKS'!$C$5:$C$24,MATCH(H889,'STAFF &amp; TASKS'!$A$5:$A$24,0))),PayRate))</f>
        <v/>
      </c>
      <c r="X889" s="55">
        <f>IF(B889="","",IF(OR(O889="Cancelled",O889="No-Show"),"",ROUND(R889*W889*(1+Burden),2)))</f>
        <v/>
      </c>
      <c r="Y889" s="55">
        <f>IF(B889="","",IF(OR(O889="Cancelled",O889="No-Show"),"",IF(N889&lt;&gt;"",N889,ROUND(R889*SupHr*IFERROR(INDEX('PRICING'!$G$7:$G$16,MATCH(F889,'PRICING'!$A$7:$A$16,0)),1),2))))</f>
        <v/>
      </c>
      <c r="Z889" s="98">
        <f>IF(B889="","",SUMIFS('MILEAGE'!$J$5:$J$1504,'MILEAGE'!$B$5:$B$1504,A889))</f>
        <v/>
      </c>
      <c r="AA889" s="55">
        <f>IF(B889="","",ROUND(Z889*MileRate,2))</f>
        <v/>
      </c>
      <c r="AB889" s="55">
        <f>IF(B889="","",SUMIFS('REVENUE'!$J$5:$J$1504,'REVENUE'!$B$5:$B$1504,A889))</f>
        <v/>
      </c>
      <c r="AC889" s="55">
        <f>IF(L889="","",IF(OR(O889="Cancelled",O889="No-Show"),"",L889-N(X889)-N(Y889)-AA889-AB889))</f>
        <v/>
      </c>
      <c r="AD889" s="99">
        <f>IF(OR(AC889="",N(L889)=0),"",AC889/L889)</f>
        <v/>
      </c>
      <c r="AE889" s="55">
        <f>IF(OR(AC889="",N(R889)=0),"",L889/R889)</f>
        <v/>
      </c>
      <c r="AF889" s="100">
        <f>IF(OR(N(K889)=0,N(J889)+N(Q889)=0),"",K889-IF(N(J889)&gt;0,J889,Q889))</f>
        <v/>
      </c>
      <c r="AG889" s="99">
        <f>IF(B889="","",IFERROR(AVERAGEIFS('QUALITY CONTROL'!$M$5:$M$304,'QUALITY CONTROL'!$B$5:$B$304,A889),""))</f>
        <v/>
      </c>
      <c r="AH889" s="51">
        <f>IF(B889="","",DATE(YEAR(B889),MONTH(B889),1))</f>
        <v/>
      </c>
      <c r="AI889" s="49">
        <f>IF(D889="","",IFERROR(INDEX('CUSTOMERS'!$E$5:$E$404,MATCH(D889,'CUSTOMERS'!$B$5:$B$404,0)),""))</f>
        <v/>
      </c>
      <c r="AJ889" s="49">
        <f>IF(B889="","",N(C889))</f>
        <v/>
      </c>
      <c r="AK889" s="49">
        <f>IF(OR(B889="",O889="Cancelled",O889="Rescheduled"),"",B889&amp;"|"&amp;(COUNTIFS('JOBS'!$B$5:$B$1504,B889,'JOBS'!$AJ$5:$AJ$1504,"&lt;"&amp;AJ889,'JOBS'!$O$5:$O$1504,"&lt;&gt;Cancelled",'JOBS'!$O$5:$O$1504,"&lt;&gt;Rescheduled")+COUNTIFS($B$5:B889,B889,$AJ$5:AJ889,AJ889,$O$5:O889,"&lt;&gt;Cancelled",$O$5:O889,"&lt;&gt;Rescheduled")))</f>
        <v/>
      </c>
      <c r="AL889" s="49">
        <f>IF(N(U889)&lt;=0.005,"",COUNTIFS('JOBS'!$U$5:$U$1504,"&gt;0.005",'JOBS'!$B$5:$B$1504,"&lt;"&amp;B889)+COUNTIFS($U$5:U889,"&gt;0.005",$B$5:B889,B889))</f>
        <v/>
      </c>
    </row>
    <row r="890">
      <c r="A890" s="46" t="inlineStr">
        <is>
          <t>J-0886</t>
        </is>
      </c>
      <c r="B890" s="47" t="n"/>
      <c r="C890" s="94" t="n"/>
      <c r="D890" s="38" t="n"/>
      <c r="E890" s="38" t="n"/>
      <c r="F890" s="38" t="n"/>
      <c r="G890" s="38" t="n"/>
      <c r="H890" s="38" t="n"/>
      <c r="I890" s="57" t="n"/>
      <c r="J890" s="95" t="n"/>
      <c r="K890" s="95" t="n"/>
      <c r="L890" s="48" t="n"/>
      <c r="M890" s="96" t="n"/>
      <c r="N890" s="48" t="n"/>
      <c r="O890" s="38" t="n"/>
      <c r="P890" s="38" t="n"/>
      <c r="Q890" s="97">
        <f>IF(OR(F890="",E890=""),"",IFERROR(IF(INDEX('PROPERTIES'!$F$5:$F$404,MATCH(E890,'PROPERTIES'!$B$5:$B$404,0))=0,"",ROUND((INDEX('PROPERTIES'!$F$5:$F$404,MATCH(E890,'PROPERTIES'!$B$5:$B$404,0))/INDEX('PRICING'!$C$7:$C$16,MATCH(F890,'PRICING'!$A$7:$A$16,0))+INDEX('PROPERTIES'!$G$5:$G$404,MATCH(E890,'PROPERTIES'!$B$5:$B$404,0))*INDEX('PRICING'!$D$7:$D$16,MATCH(F890,'PRICING'!$A$7:$A$16,0))/60+INDEX('PROPERTIES'!$H$5:$H$404,MATCH(E890,'PROPERTIES'!$B$5:$B$404,0))*INDEX('PRICING'!$E$7:$E$16,MATCH(F890,'PRICING'!$A$7:$A$16,0))/60+INDEX('PRICING'!$F$7:$F$16,MATCH(F890,'PRICING'!$A$7:$A$16,0))/60),2)),""))</f>
        <v/>
      </c>
      <c r="R890" s="97">
        <f>IF(B890="","",IF(N(K890)&gt;0,K890,IF(N(J890)&gt;0,J890,N(Q890))))</f>
        <v/>
      </c>
      <c r="S890" s="55">
        <f>IF(L890="","",ROUND(L890*(1+N(M890)),2))</f>
        <v/>
      </c>
      <c r="T890" s="55">
        <f>IF(B890="","",SUMIFS('REVENUE'!$C$5:$C$1504,'REVENUE'!$B$5:$B$1504,A890))</f>
        <v/>
      </c>
      <c r="U890" s="55">
        <f>IF(B890="","",IF(O890="Completed",MAX(0,N(S890)-T890),""))</f>
        <v/>
      </c>
      <c r="V890" s="49">
        <f>IF(B890="","",IF(O890&lt;&gt;"Completed",IF(T890&gt;0,"Deposit","—"),IF(U890&lt;=0.005,"Paid",IF(T890&gt;0,"Partial","Unpaid"))))</f>
        <v/>
      </c>
      <c r="W890" s="55">
        <f>IF(B890="","",IFERROR(1/(1/INDEX('STAFF &amp; TASKS'!$C$5:$C$24,MATCH(H890,'STAFF &amp; TASKS'!$A$5:$A$24,0))),PayRate))</f>
        <v/>
      </c>
      <c r="X890" s="55">
        <f>IF(B890="","",IF(OR(O890="Cancelled",O890="No-Show"),"",ROUND(R890*W890*(1+Burden),2)))</f>
        <v/>
      </c>
      <c r="Y890" s="55">
        <f>IF(B890="","",IF(OR(O890="Cancelled",O890="No-Show"),"",IF(N890&lt;&gt;"",N890,ROUND(R890*SupHr*IFERROR(INDEX('PRICING'!$G$7:$G$16,MATCH(F890,'PRICING'!$A$7:$A$16,0)),1),2))))</f>
        <v/>
      </c>
      <c r="Z890" s="98">
        <f>IF(B890="","",SUMIFS('MILEAGE'!$J$5:$J$1504,'MILEAGE'!$B$5:$B$1504,A890))</f>
        <v/>
      </c>
      <c r="AA890" s="55">
        <f>IF(B890="","",ROUND(Z890*MileRate,2))</f>
        <v/>
      </c>
      <c r="AB890" s="55">
        <f>IF(B890="","",SUMIFS('REVENUE'!$J$5:$J$1504,'REVENUE'!$B$5:$B$1504,A890))</f>
        <v/>
      </c>
      <c r="AC890" s="55">
        <f>IF(L890="","",IF(OR(O890="Cancelled",O890="No-Show"),"",L890-N(X890)-N(Y890)-AA890-AB890))</f>
        <v/>
      </c>
      <c r="AD890" s="99">
        <f>IF(OR(AC890="",N(L890)=0),"",AC890/L890)</f>
        <v/>
      </c>
      <c r="AE890" s="55">
        <f>IF(OR(AC890="",N(R890)=0),"",L890/R890)</f>
        <v/>
      </c>
      <c r="AF890" s="100">
        <f>IF(OR(N(K890)=0,N(J890)+N(Q890)=0),"",K890-IF(N(J890)&gt;0,J890,Q890))</f>
        <v/>
      </c>
      <c r="AG890" s="99">
        <f>IF(B890="","",IFERROR(AVERAGEIFS('QUALITY CONTROL'!$M$5:$M$304,'QUALITY CONTROL'!$B$5:$B$304,A890),""))</f>
        <v/>
      </c>
      <c r="AH890" s="51">
        <f>IF(B890="","",DATE(YEAR(B890),MONTH(B890),1))</f>
        <v/>
      </c>
      <c r="AI890" s="49">
        <f>IF(D890="","",IFERROR(INDEX('CUSTOMERS'!$E$5:$E$404,MATCH(D890,'CUSTOMERS'!$B$5:$B$404,0)),""))</f>
        <v/>
      </c>
      <c r="AJ890" s="49">
        <f>IF(B890="","",N(C890))</f>
        <v/>
      </c>
      <c r="AK890" s="49">
        <f>IF(OR(B890="",O890="Cancelled",O890="Rescheduled"),"",B890&amp;"|"&amp;(COUNTIFS('JOBS'!$B$5:$B$1504,B890,'JOBS'!$AJ$5:$AJ$1504,"&lt;"&amp;AJ890,'JOBS'!$O$5:$O$1504,"&lt;&gt;Cancelled",'JOBS'!$O$5:$O$1504,"&lt;&gt;Rescheduled")+COUNTIFS($B$5:B890,B890,$AJ$5:AJ890,AJ890,$O$5:O890,"&lt;&gt;Cancelled",$O$5:O890,"&lt;&gt;Rescheduled")))</f>
        <v/>
      </c>
      <c r="AL890" s="49">
        <f>IF(N(U890)&lt;=0.005,"",COUNTIFS('JOBS'!$U$5:$U$1504,"&gt;0.005",'JOBS'!$B$5:$B$1504,"&lt;"&amp;B890)+COUNTIFS($U$5:U890,"&gt;0.005",$B$5:B890,B890))</f>
        <v/>
      </c>
    </row>
    <row r="891">
      <c r="A891" s="46" t="inlineStr">
        <is>
          <t>J-0887</t>
        </is>
      </c>
      <c r="B891" s="47" t="n"/>
      <c r="C891" s="94" t="n"/>
      <c r="D891" s="38" t="n"/>
      <c r="E891" s="38" t="n"/>
      <c r="F891" s="38" t="n"/>
      <c r="G891" s="38" t="n"/>
      <c r="H891" s="38" t="n"/>
      <c r="I891" s="57" t="n"/>
      <c r="J891" s="95" t="n"/>
      <c r="K891" s="95" t="n"/>
      <c r="L891" s="48" t="n"/>
      <c r="M891" s="96" t="n"/>
      <c r="N891" s="48" t="n"/>
      <c r="O891" s="38" t="n"/>
      <c r="P891" s="38" t="n"/>
      <c r="Q891" s="97">
        <f>IF(OR(F891="",E891=""),"",IFERROR(IF(INDEX('PROPERTIES'!$F$5:$F$404,MATCH(E891,'PROPERTIES'!$B$5:$B$404,0))=0,"",ROUND((INDEX('PROPERTIES'!$F$5:$F$404,MATCH(E891,'PROPERTIES'!$B$5:$B$404,0))/INDEX('PRICING'!$C$7:$C$16,MATCH(F891,'PRICING'!$A$7:$A$16,0))+INDEX('PROPERTIES'!$G$5:$G$404,MATCH(E891,'PROPERTIES'!$B$5:$B$404,0))*INDEX('PRICING'!$D$7:$D$16,MATCH(F891,'PRICING'!$A$7:$A$16,0))/60+INDEX('PROPERTIES'!$H$5:$H$404,MATCH(E891,'PROPERTIES'!$B$5:$B$404,0))*INDEX('PRICING'!$E$7:$E$16,MATCH(F891,'PRICING'!$A$7:$A$16,0))/60+INDEX('PRICING'!$F$7:$F$16,MATCH(F891,'PRICING'!$A$7:$A$16,0))/60),2)),""))</f>
        <v/>
      </c>
      <c r="R891" s="97">
        <f>IF(B891="","",IF(N(K891)&gt;0,K891,IF(N(J891)&gt;0,J891,N(Q891))))</f>
        <v/>
      </c>
      <c r="S891" s="55">
        <f>IF(L891="","",ROUND(L891*(1+N(M891)),2))</f>
        <v/>
      </c>
      <c r="T891" s="55">
        <f>IF(B891="","",SUMIFS('REVENUE'!$C$5:$C$1504,'REVENUE'!$B$5:$B$1504,A891))</f>
        <v/>
      </c>
      <c r="U891" s="55">
        <f>IF(B891="","",IF(O891="Completed",MAX(0,N(S891)-T891),""))</f>
        <v/>
      </c>
      <c r="V891" s="49">
        <f>IF(B891="","",IF(O891&lt;&gt;"Completed",IF(T891&gt;0,"Deposit","—"),IF(U891&lt;=0.005,"Paid",IF(T891&gt;0,"Partial","Unpaid"))))</f>
        <v/>
      </c>
      <c r="W891" s="55">
        <f>IF(B891="","",IFERROR(1/(1/INDEX('STAFF &amp; TASKS'!$C$5:$C$24,MATCH(H891,'STAFF &amp; TASKS'!$A$5:$A$24,0))),PayRate))</f>
        <v/>
      </c>
      <c r="X891" s="55">
        <f>IF(B891="","",IF(OR(O891="Cancelled",O891="No-Show"),"",ROUND(R891*W891*(1+Burden),2)))</f>
        <v/>
      </c>
      <c r="Y891" s="55">
        <f>IF(B891="","",IF(OR(O891="Cancelled",O891="No-Show"),"",IF(N891&lt;&gt;"",N891,ROUND(R891*SupHr*IFERROR(INDEX('PRICING'!$G$7:$G$16,MATCH(F891,'PRICING'!$A$7:$A$16,0)),1),2))))</f>
        <v/>
      </c>
      <c r="Z891" s="98">
        <f>IF(B891="","",SUMIFS('MILEAGE'!$J$5:$J$1504,'MILEAGE'!$B$5:$B$1504,A891))</f>
        <v/>
      </c>
      <c r="AA891" s="55">
        <f>IF(B891="","",ROUND(Z891*MileRate,2))</f>
        <v/>
      </c>
      <c r="AB891" s="55">
        <f>IF(B891="","",SUMIFS('REVENUE'!$J$5:$J$1504,'REVENUE'!$B$5:$B$1504,A891))</f>
        <v/>
      </c>
      <c r="AC891" s="55">
        <f>IF(L891="","",IF(OR(O891="Cancelled",O891="No-Show"),"",L891-N(X891)-N(Y891)-AA891-AB891))</f>
        <v/>
      </c>
      <c r="AD891" s="99">
        <f>IF(OR(AC891="",N(L891)=0),"",AC891/L891)</f>
        <v/>
      </c>
      <c r="AE891" s="55">
        <f>IF(OR(AC891="",N(R891)=0),"",L891/R891)</f>
        <v/>
      </c>
      <c r="AF891" s="100">
        <f>IF(OR(N(K891)=0,N(J891)+N(Q891)=0),"",K891-IF(N(J891)&gt;0,J891,Q891))</f>
        <v/>
      </c>
      <c r="AG891" s="99">
        <f>IF(B891="","",IFERROR(AVERAGEIFS('QUALITY CONTROL'!$M$5:$M$304,'QUALITY CONTROL'!$B$5:$B$304,A891),""))</f>
        <v/>
      </c>
      <c r="AH891" s="51">
        <f>IF(B891="","",DATE(YEAR(B891),MONTH(B891),1))</f>
        <v/>
      </c>
      <c r="AI891" s="49">
        <f>IF(D891="","",IFERROR(INDEX('CUSTOMERS'!$E$5:$E$404,MATCH(D891,'CUSTOMERS'!$B$5:$B$404,0)),""))</f>
        <v/>
      </c>
      <c r="AJ891" s="49">
        <f>IF(B891="","",N(C891))</f>
        <v/>
      </c>
      <c r="AK891" s="49">
        <f>IF(OR(B891="",O891="Cancelled",O891="Rescheduled"),"",B891&amp;"|"&amp;(COUNTIFS('JOBS'!$B$5:$B$1504,B891,'JOBS'!$AJ$5:$AJ$1504,"&lt;"&amp;AJ891,'JOBS'!$O$5:$O$1504,"&lt;&gt;Cancelled",'JOBS'!$O$5:$O$1504,"&lt;&gt;Rescheduled")+COUNTIFS($B$5:B891,B891,$AJ$5:AJ891,AJ891,$O$5:O891,"&lt;&gt;Cancelled",$O$5:O891,"&lt;&gt;Rescheduled")))</f>
        <v/>
      </c>
      <c r="AL891" s="49">
        <f>IF(N(U891)&lt;=0.005,"",COUNTIFS('JOBS'!$U$5:$U$1504,"&gt;0.005",'JOBS'!$B$5:$B$1504,"&lt;"&amp;B891)+COUNTIFS($U$5:U891,"&gt;0.005",$B$5:B891,B891))</f>
        <v/>
      </c>
    </row>
    <row r="892">
      <c r="A892" s="46" t="inlineStr">
        <is>
          <t>J-0888</t>
        </is>
      </c>
      <c r="B892" s="47" t="n"/>
      <c r="C892" s="94" t="n"/>
      <c r="D892" s="38" t="n"/>
      <c r="E892" s="38" t="n"/>
      <c r="F892" s="38" t="n"/>
      <c r="G892" s="38" t="n"/>
      <c r="H892" s="38" t="n"/>
      <c r="I892" s="57" t="n"/>
      <c r="J892" s="95" t="n"/>
      <c r="K892" s="95" t="n"/>
      <c r="L892" s="48" t="n"/>
      <c r="M892" s="96" t="n"/>
      <c r="N892" s="48" t="n"/>
      <c r="O892" s="38" t="n"/>
      <c r="P892" s="38" t="n"/>
      <c r="Q892" s="97">
        <f>IF(OR(F892="",E892=""),"",IFERROR(IF(INDEX('PROPERTIES'!$F$5:$F$404,MATCH(E892,'PROPERTIES'!$B$5:$B$404,0))=0,"",ROUND((INDEX('PROPERTIES'!$F$5:$F$404,MATCH(E892,'PROPERTIES'!$B$5:$B$404,0))/INDEX('PRICING'!$C$7:$C$16,MATCH(F892,'PRICING'!$A$7:$A$16,0))+INDEX('PROPERTIES'!$G$5:$G$404,MATCH(E892,'PROPERTIES'!$B$5:$B$404,0))*INDEX('PRICING'!$D$7:$D$16,MATCH(F892,'PRICING'!$A$7:$A$16,0))/60+INDEX('PROPERTIES'!$H$5:$H$404,MATCH(E892,'PROPERTIES'!$B$5:$B$404,0))*INDEX('PRICING'!$E$7:$E$16,MATCH(F892,'PRICING'!$A$7:$A$16,0))/60+INDEX('PRICING'!$F$7:$F$16,MATCH(F892,'PRICING'!$A$7:$A$16,0))/60),2)),""))</f>
        <v/>
      </c>
      <c r="R892" s="97">
        <f>IF(B892="","",IF(N(K892)&gt;0,K892,IF(N(J892)&gt;0,J892,N(Q892))))</f>
        <v/>
      </c>
      <c r="S892" s="55">
        <f>IF(L892="","",ROUND(L892*(1+N(M892)),2))</f>
        <v/>
      </c>
      <c r="T892" s="55">
        <f>IF(B892="","",SUMIFS('REVENUE'!$C$5:$C$1504,'REVENUE'!$B$5:$B$1504,A892))</f>
        <v/>
      </c>
      <c r="U892" s="55">
        <f>IF(B892="","",IF(O892="Completed",MAX(0,N(S892)-T892),""))</f>
        <v/>
      </c>
      <c r="V892" s="49">
        <f>IF(B892="","",IF(O892&lt;&gt;"Completed",IF(T892&gt;0,"Deposit","—"),IF(U892&lt;=0.005,"Paid",IF(T892&gt;0,"Partial","Unpaid"))))</f>
        <v/>
      </c>
      <c r="W892" s="55">
        <f>IF(B892="","",IFERROR(1/(1/INDEX('STAFF &amp; TASKS'!$C$5:$C$24,MATCH(H892,'STAFF &amp; TASKS'!$A$5:$A$24,0))),PayRate))</f>
        <v/>
      </c>
      <c r="X892" s="55">
        <f>IF(B892="","",IF(OR(O892="Cancelled",O892="No-Show"),"",ROUND(R892*W892*(1+Burden),2)))</f>
        <v/>
      </c>
      <c r="Y892" s="55">
        <f>IF(B892="","",IF(OR(O892="Cancelled",O892="No-Show"),"",IF(N892&lt;&gt;"",N892,ROUND(R892*SupHr*IFERROR(INDEX('PRICING'!$G$7:$G$16,MATCH(F892,'PRICING'!$A$7:$A$16,0)),1),2))))</f>
        <v/>
      </c>
      <c r="Z892" s="98">
        <f>IF(B892="","",SUMIFS('MILEAGE'!$J$5:$J$1504,'MILEAGE'!$B$5:$B$1504,A892))</f>
        <v/>
      </c>
      <c r="AA892" s="55">
        <f>IF(B892="","",ROUND(Z892*MileRate,2))</f>
        <v/>
      </c>
      <c r="AB892" s="55">
        <f>IF(B892="","",SUMIFS('REVENUE'!$J$5:$J$1504,'REVENUE'!$B$5:$B$1504,A892))</f>
        <v/>
      </c>
      <c r="AC892" s="55">
        <f>IF(L892="","",IF(OR(O892="Cancelled",O892="No-Show"),"",L892-N(X892)-N(Y892)-AA892-AB892))</f>
        <v/>
      </c>
      <c r="AD892" s="99">
        <f>IF(OR(AC892="",N(L892)=0),"",AC892/L892)</f>
        <v/>
      </c>
      <c r="AE892" s="55">
        <f>IF(OR(AC892="",N(R892)=0),"",L892/R892)</f>
        <v/>
      </c>
      <c r="AF892" s="100">
        <f>IF(OR(N(K892)=0,N(J892)+N(Q892)=0),"",K892-IF(N(J892)&gt;0,J892,Q892))</f>
        <v/>
      </c>
      <c r="AG892" s="99">
        <f>IF(B892="","",IFERROR(AVERAGEIFS('QUALITY CONTROL'!$M$5:$M$304,'QUALITY CONTROL'!$B$5:$B$304,A892),""))</f>
        <v/>
      </c>
      <c r="AH892" s="51">
        <f>IF(B892="","",DATE(YEAR(B892),MONTH(B892),1))</f>
        <v/>
      </c>
      <c r="AI892" s="49">
        <f>IF(D892="","",IFERROR(INDEX('CUSTOMERS'!$E$5:$E$404,MATCH(D892,'CUSTOMERS'!$B$5:$B$404,0)),""))</f>
        <v/>
      </c>
      <c r="AJ892" s="49">
        <f>IF(B892="","",N(C892))</f>
        <v/>
      </c>
      <c r="AK892" s="49">
        <f>IF(OR(B892="",O892="Cancelled",O892="Rescheduled"),"",B892&amp;"|"&amp;(COUNTIFS('JOBS'!$B$5:$B$1504,B892,'JOBS'!$AJ$5:$AJ$1504,"&lt;"&amp;AJ892,'JOBS'!$O$5:$O$1504,"&lt;&gt;Cancelled",'JOBS'!$O$5:$O$1504,"&lt;&gt;Rescheduled")+COUNTIFS($B$5:B892,B892,$AJ$5:AJ892,AJ892,$O$5:O892,"&lt;&gt;Cancelled",$O$5:O892,"&lt;&gt;Rescheduled")))</f>
        <v/>
      </c>
      <c r="AL892" s="49">
        <f>IF(N(U892)&lt;=0.005,"",COUNTIFS('JOBS'!$U$5:$U$1504,"&gt;0.005",'JOBS'!$B$5:$B$1504,"&lt;"&amp;B892)+COUNTIFS($U$5:U892,"&gt;0.005",$B$5:B892,B892))</f>
        <v/>
      </c>
    </row>
    <row r="893">
      <c r="A893" s="46" t="inlineStr">
        <is>
          <t>J-0889</t>
        </is>
      </c>
      <c r="B893" s="47" t="n"/>
      <c r="C893" s="94" t="n"/>
      <c r="D893" s="38" t="n"/>
      <c r="E893" s="38" t="n"/>
      <c r="F893" s="38" t="n"/>
      <c r="G893" s="38" t="n"/>
      <c r="H893" s="38" t="n"/>
      <c r="I893" s="57" t="n"/>
      <c r="J893" s="95" t="n"/>
      <c r="K893" s="95" t="n"/>
      <c r="L893" s="48" t="n"/>
      <c r="M893" s="96" t="n"/>
      <c r="N893" s="48" t="n"/>
      <c r="O893" s="38" t="n"/>
      <c r="P893" s="38" t="n"/>
      <c r="Q893" s="97">
        <f>IF(OR(F893="",E893=""),"",IFERROR(IF(INDEX('PROPERTIES'!$F$5:$F$404,MATCH(E893,'PROPERTIES'!$B$5:$B$404,0))=0,"",ROUND((INDEX('PROPERTIES'!$F$5:$F$404,MATCH(E893,'PROPERTIES'!$B$5:$B$404,0))/INDEX('PRICING'!$C$7:$C$16,MATCH(F893,'PRICING'!$A$7:$A$16,0))+INDEX('PROPERTIES'!$G$5:$G$404,MATCH(E893,'PROPERTIES'!$B$5:$B$404,0))*INDEX('PRICING'!$D$7:$D$16,MATCH(F893,'PRICING'!$A$7:$A$16,0))/60+INDEX('PROPERTIES'!$H$5:$H$404,MATCH(E893,'PROPERTIES'!$B$5:$B$404,0))*INDEX('PRICING'!$E$7:$E$16,MATCH(F893,'PRICING'!$A$7:$A$16,0))/60+INDEX('PRICING'!$F$7:$F$16,MATCH(F893,'PRICING'!$A$7:$A$16,0))/60),2)),""))</f>
        <v/>
      </c>
      <c r="R893" s="97">
        <f>IF(B893="","",IF(N(K893)&gt;0,K893,IF(N(J893)&gt;0,J893,N(Q893))))</f>
        <v/>
      </c>
      <c r="S893" s="55">
        <f>IF(L893="","",ROUND(L893*(1+N(M893)),2))</f>
        <v/>
      </c>
      <c r="T893" s="55">
        <f>IF(B893="","",SUMIFS('REVENUE'!$C$5:$C$1504,'REVENUE'!$B$5:$B$1504,A893))</f>
        <v/>
      </c>
      <c r="U893" s="55">
        <f>IF(B893="","",IF(O893="Completed",MAX(0,N(S893)-T893),""))</f>
        <v/>
      </c>
      <c r="V893" s="49">
        <f>IF(B893="","",IF(O893&lt;&gt;"Completed",IF(T893&gt;0,"Deposit","—"),IF(U893&lt;=0.005,"Paid",IF(T893&gt;0,"Partial","Unpaid"))))</f>
        <v/>
      </c>
      <c r="W893" s="55">
        <f>IF(B893="","",IFERROR(1/(1/INDEX('STAFF &amp; TASKS'!$C$5:$C$24,MATCH(H893,'STAFF &amp; TASKS'!$A$5:$A$24,0))),PayRate))</f>
        <v/>
      </c>
      <c r="X893" s="55">
        <f>IF(B893="","",IF(OR(O893="Cancelled",O893="No-Show"),"",ROUND(R893*W893*(1+Burden),2)))</f>
        <v/>
      </c>
      <c r="Y893" s="55">
        <f>IF(B893="","",IF(OR(O893="Cancelled",O893="No-Show"),"",IF(N893&lt;&gt;"",N893,ROUND(R893*SupHr*IFERROR(INDEX('PRICING'!$G$7:$G$16,MATCH(F893,'PRICING'!$A$7:$A$16,0)),1),2))))</f>
        <v/>
      </c>
      <c r="Z893" s="98">
        <f>IF(B893="","",SUMIFS('MILEAGE'!$J$5:$J$1504,'MILEAGE'!$B$5:$B$1504,A893))</f>
        <v/>
      </c>
      <c r="AA893" s="55">
        <f>IF(B893="","",ROUND(Z893*MileRate,2))</f>
        <v/>
      </c>
      <c r="AB893" s="55">
        <f>IF(B893="","",SUMIFS('REVENUE'!$J$5:$J$1504,'REVENUE'!$B$5:$B$1504,A893))</f>
        <v/>
      </c>
      <c r="AC893" s="55">
        <f>IF(L893="","",IF(OR(O893="Cancelled",O893="No-Show"),"",L893-N(X893)-N(Y893)-AA893-AB893))</f>
        <v/>
      </c>
      <c r="AD893" s="99">
        <f>IF(OR(AC893="",N(L893)=0),"",AC893/L893)</f>
        <v/>
      </c>
      <c r="AE893" s="55">
        <f>IF(OR(AC893="",N(R893)=0),"",L893/R893)</f>
        <v/>
      </c>
      <c r="AF893" s="100">
        <f>IF(OR(N(K893)=0,N(J893)+N(Q893)=0),"",K893-IF(N(J893)&gt;0,J893,Q893))</f>
        <v/>
      </c>
      <c r="AG893" s="99">
        <f>IF(B893="","",IFERROR(AVERAGEIFS('QUALITY CONTROL'!$M$5:$M$304,'QUALITY CONTROL'!$B$5:$B$304,A893),""))</f>
        <v/>
      </c>
      <c r="AH893" s="51">
        <f>IF(B893="","",DATE(YEAR(B893),MONTH(B893),1))</f>
        <v/>
      </c>
      <c r="AI893" s="49">
        <f>IF(D893="","",IFERROR(INDEX('CUSTOMERS'!$E$5:$E$404,MATCH(D893,'CUSTOMERS'!$B$5:$B$404,0)),""))</f>
        <v/>
      </c>
      <c r="AJ893" s="49">
        <f>IF(B893="","",N(C893))</f>
        <v/>
      </c>
      <c r="AK893" s="49">
        <f>IF(OR(B893="",O893="Cancelled",O893="Rescheduled"),"",B893&amp;"|"&amp;(COUNTIFS('JOBS'!$B$5:$B$1504,B893,'JOBS'!$AJ$5:$AJ$1504,"&lt;"&amp;AJ893,'JOBS'!$O$5:$O$1504,"&lt;&gt;Cancelled",'JOBS'!$O$5:$O$1504,"&lt;&gt;Rescheduled")+COUNTIFS($B$5:B893,B893,$AJ$5:AJ893,AJ893,$O$5:O893,"&lt;&gt;Cancelled",$O$5:O893,"&lt;&gt;Rescheduled")))</f>
        <v/>
      </c>
      <c r="AL893" s="49">
        <f>IF(N(U893)&lt;=0.005,"",COUNTIFS('JOBS'!$U$5:$U$1504,"&gt;0.005",'JOBS'!$B$5:$B$1504,"&lt;"&amp;B893)+COUNTIFS($U$5:U893,"&gt;0.005",$B$5:B893,B893))</f>
        <v/>
      </c>
    </row>
    <row r="894">
      <c r="A894" s="46" t="inlineStr">
        <is>
          <t>J-0890</t>
        </is>
      </c>
      <c r="B894" s="47" t="n"/>
      <c r="C894" s="94" t="n"/>
      <c r="D894" s="38" t="n"/>
      <c r="E894" s="38" t="n"/>
      <c r="F894" s="38" t="n"/>
      <c r="G894" s="38" t="n"/>
      <c r="H894" s="38" t="n"/>
      <c r="I894" s="57" t="n"/>
      <c r="J894" s="95" t="n"/>
      <c r="K894" s="95" t="n"/>
      <c r="L894" s="48" t="n"/>
      <c r="M894" s="96" t="n"/>
      <c r="N894" s="48" t="n"/>
      <c r="O894" s="38" t="n"/>
      <c r="P894" s="38" t="n"/>
      <c r="Q894" s="97">
        <f>IF(OR(F894="",E894=""),"",IFERROR(IF(INDEX('PROPERTIES'!$F$5:$F$404,MATCH(E894,'PROPERTIES'!$B$5:$B$404,0))=0,"",ROUND((INDEX('PROPERTIES'!$F$5:$F$404,MATCH(E894,'PROPERTIES'!$B$5:$B$404,0))/INDEX('PRICING'!$C$7:$C$16,MATCH(F894,'PRICING'!$A$7:$A$16,0))+INDEX('PROPERTIES'!$G$5:$G$404,MATCH(E894,'PROPERTIES'!$B$5:$B$404,0))*INDEX('PRICING'!$D$7:$D$16,MATCH(F894,'PRICING'!$A$7:$A$16,0))/60+INDEX('PROPERTIES'!$H$5:$H$404,MATCH(E894,'PROPERTIES'!$B$5:$B$404,0))*INDEX('PRICING'!$E$7:$E$16,MATCH(F894,'PRICING'!$A$7:$A$16,0))/60+INDEX('PRICING'!$F$7:$F$16,MATCH(F894,'PRICING'!$A$7:$A$16,0))/60),2)),""))</f>
        <v/>
      </c>
      <c r="R894" s="97">
        <f>IF(B894="","",IF(N(K894)&gt;0,K894,IF(N(J894)&gt;0,J894,N(Q894))))</f>
        <v/>
      </c>
      <c r="S894" s="55">
        <f>IF(L894="","",ROUND(L894*(1+N(M894)),2))</f>
        <v/>
      </c>
      <c r="T894" s="55">
        <f>IF(B894="","",SUMIFS('REVENUE'!$C$5:$C$1504,'REVENUE'!$B$5:$B$1504,A894))</f>
        <v/>
      </c>
      <c r="U894" s="55">
        <f>IF(B894="","",IF(O894="Completed",MAX(0,N(S894)-T894),""))</f>
        <v/>
      </c>
      <c r="V894" s="49">
        <f>IF(B894="","",IF(O894&lt;&gt;"Completed",IF(T894&gt;0,"Deposit","—"),IF(U894&lt;=0.005,"Paid",IF(T894&gt;0,"Partial","Unpaid"))))</f>
        <v/>
      </c>
      <c r="W894" s="55">
        <f>IF(B894="","",IFERROR(1/(1/INDEX('STAFF &amp; TASKS'!$C$5:$C$24,MATCH(H894,'STAFF &amp; TASKS'!$A$5:$A$24,0))),PayRate))</f>
        <v/>
      </c>
      <c r="X894" s="55">
        <f>IF(B894="","",IF(OR(O894="Cancelled",O894="No-Show"),"",ROUND(R894*W894*(1+Burden),2)))</f>
        <v/>
      </c>
      <c r="Y894" s="55">
        <f>IF(B894="","",IF(OR(O894="Cancelled",O894="No-Show"),"",IF(N894&lt;&gt;"",N894,ROUND(R894*SupHr*IFERROR(INDEX('PRICING'!$G$7:$G$16,MATCH(F894,'PRICING'!$A$7:$A$16,0)),1),2))))</f>
        <v/>
      </c>
      <c r="Z894" s="98">
        <f>IF(B894="","",SUMIFS('MILEAGE'!$J$5:$J$1504,'MILEAGE'!$B$5:$B$1504,A894))</f>
        <v/>
      </c>
      <c r="AA894" s="55">
        <f>IF(B894="","",ROUND(Z894*MileRate,2))</f>
        <v/>
      </c>
      <c r="AB894" s="55">
        <f>IF(B894="","",SUMIFS('REVENUE'!$J$5:$J$1504,'REVENUE'!$B$5:$B$1504,A894))</f>
        <v/>
      </c>
      <c r="AC894" s="55">
        <f>IF(L894="","",IF(OR(O894="Cancelled",O894="No-Show"),"",L894-N(X894)-N(Y894)-AA894-AB894))</f>
        <v/>
      </c>
      <c r="AD894" s="99">
        <f>IF(OR(AC894="",N(L894)=0),"",AC894/L894)</f>
        <v/>
      </c>
      <c r="AE894" s="55">
        <f>IF(OR(AC894="",N(R894)=0),"",L894/R894)</f>
        <v/>
      </c>
      <c r="AF894" s="100">
        <f>IF(OR(N(K894)=0,N(J894)+N(Q894)=0),"",K894-IF(N(J894)&gt;0,J894,Q894))</f>
        <v/>
      </c>
      <c r="AG894" s="99">
        <f>IF(B894="","",IFERROR(AVERAGEIFS('QUALITY CONTROL'!$M$5:$M$304,'QUALITY CONTROL'!$B$5:$B$304,A894),""))</f>
        <v/>
      </c>
      <c r="AH894" s="51">
        <f>IF(B894="","",DATE(YEAR(B894),MONTH(B894),1))</f>
        <v/>
      </c>
      <c r="AI894" s="49">
        <f>IF(D894="","",IFERROR(INDEX('CUSTOMERS'!$E$5:$E$404,MATCH(D894,'CUSTOMERS'!$B$5:$B$404,0)),""))</f>
        <v/>
      </c>
      <c r="AJ894" s="49">
        <f>IF(B894="","",N(C894))</f>
        <v/>
      </c>
      <c r="AK894" s="49">
        <f>IF(OR(B894="",O894="Cancelled",O894="Rescheduled"),"",B894&amp;"|"&amp;(COUNTIFS('JOBS'!$B$5:$B$1504,B894,'JOBS'!$AJ$5:$AJ$1504,"&lt;"&amp;AJ894,'JOBS'!$O$5:$O$1504,"&lt;&gt;Cancelled",'JOBS'!$O$5:$O$1504,"&lt;&gt;Rescheduled")+COUNTIFS($B$5:B894,B894,$AJ$5:AJ894,AJ894,$O$5:O894,"&lt;&gt;Cancelled",$O$5:O894,"&lt;&gt;Rescheduled")))</f>
        <v/>
      </c>
      <c r="AL894" s="49">
        <f>IF(N(U894)&lt;=0.005,"",COUNTIFS('JOBS'!$U$5:$U$1504,"&gt;0.005",'JOBS'!$B$5:$B$1504,"&lt;"&amp;B894)+COUNTIFS($U$5:U894,"&gt;0.005",$B$5:B894,B894))</f>
        <v/>
      </c>
    </row>
    <row r="895">
      <c r="A895" s="46" t="inlineStr">
        <is>
          <t>J-0891</t>
        </is>
      </c>
      <c r="B895" s="47" t="n"/>
      <c r="C895" s="94" t="n"/>
      <c r="D895" s="38" t="n"/>
      <c r="E895" s="38" t="n"/>
      <c r="F895" s="38" t="n"/>
      <c r="G895" s="38" t="n"/>
      <c r="H895" s="38" t="n"/>
      <c r="I895" s="57" t="n"/>
      <c r="J895" s="95" t="n"/>
      <c r="K895" s="95" t="n"/>
      <c r="L895" s="48" t="n"/>
      <c r="M895" s="96" t="n"/>
      <c r="N895" s="48" t="n"/>
      <c r="O895" s="38" t="n"/>
      <c r="P895" s="38" t="n"/>
      <c r="Q895" s="97">
        <f>IF(OR(F895="",E895=""),"",IFERROR(IF(INDEX('PROPERTIES'!$F$5:$F$404,MATCH(E895,'PROPERTIES'!$B$5:$B$404,0))=0,"",ROUND((INDEX('PROPERTIES'!$F$5:$F$404,MATCH(E895,'PROPERTIES'!$B$5:$B$404,0))/INDEX('PRICING'!$C$7:$C$16,MATCH(F895,'PRICING'!$A$7:$A$16,0))+INDEX('PROPERTIES'!$G$5:$G$404,MATCH(E895,'PROPERTIES'!$B$5:$B$404,0))*INDEX('PRICING'!$D$7:$D$16,MATCH(F895,'PRICING'!$A$7:$A$16,0))/60+INDEX('PROPERTIES'!$H$5:$H$404,MATCH(E895,'PROPERTIES'!$B$5:$B$404,0))*INDEX('PRICING'!$E$7:$E$16,MATCH(F895,'PRICING'!$A$7:$A$16,0))/60+INDEX('PRICING'!$F$7:$F$16,MATCH(F895,'PRICING'!$A$7:$A$16,0))/60),2)),""))</f>
        <v/>
      </c>
      <c r="R895" s="97">
        <f>IF(B895="","",IF(N(K895)&gt;0,K895,IF(N(J895)&gt;0,J895,N(Q895))))</f>
        <v/>
      </c>
      <c r="S895" s="55">
        <f>IF(L895="","",ROUND(L895*(1+N(M895)),2))</f>
        <v/>
      </c>
      <c r="T895" s="55">
        <f>IF(B895="","",SUMIFS('REVENUE'!$C$5:$C$1504,'REVENUE'!$B$5:$B$1504,A895))</f>
        <v/>
      </c>
      <c r="U895" s="55">
        <f>IF(B895="","",IF(O895="Completed",MAX(0,N(S895)-T895),""))</f>
        <v/>
      </c>
      <c r="V895" s="49">
        <f>IF(B895="","",IF(O895&lt;&gt;"Completed",IF(T895&gt;0,"Deposit","—"),IF(U895&lt;=0.005,"Paid",IF(T895&gt;0,"Partial","Unpaid"))))</f>
        <v/>
      </c>
      <c r="W895" s="55">
        <f>IF(B895="","",IFERROR(1/(1/INDEX('STAFF &amp; TASKS'!$C$5:$C$24,MATCH(H895,'STAFF &amp; TASKS'!$A$5:$A$24,0))),PayRate))</f>
        <v/>
      </c>
      <c r="X895" s="55">
        <f>IF(B895="","",IF(OR(O895="Cancelled",O895="No-Show"),"",ROUND(R895*W895*(1+Burden),2)))</f>
        <v/>
      </c>
      <c r="Y895" s="55">
        <f>IF(B895="","",IF(OR(O895="Cancelled",O895="No-Show"),"",IF(N895&lt;&gt;"",N895,ROUND(R895*SupHr*IFERROR(INDEX('PRICING'!$G$7:$G$16,MATCH(F895,'PRICING'!$A$7:$A$16,0)),1),2))))</f>
        <v/>
      </c>
      <c r="Z895" s="98">
        <f>IF(B895="","",SUMIFS('MILEAGE'!$J$5:$J$1504,'MILEAGE'!$B$5:$B$1504,A895))</f>
        <v/>
      </c>
      <c r="AA895" s="55">
        <f>IF(B895="","",ROUND(Z895*MileRate,2))</f>
        <v/>
      </c>
      <c r="AB895" s="55">
        <f>IF(B895="","",SUMIFS('REVENUE'!$J$5:$J$1504,'REVENUE'!$B$5:$B$1504,A895))</f>
        <v/>
      </c>
      <c r="AC895" s="55">
        <f>IF(L895="","",IF(OR(O895="Cancelled",O895="No-Show"),"",L895-N(X895)-N(Y895)-AA895-AB895))</f>
        <v/>
      </c>
      <c r="AD895" s="99">
        <f>IF(OR(AC895="",N(L895)=0),"",AC895/L895)</f>
        <v/>
      </c>
      <c r="AE895" s="55">
        <f>IF(OR(AC895="",N(R895)=0),"",L895/R895)</f>
        <v/>
      </c>
      <c r="AF895" s="100">
        <f>IF(OR(N(K895)=0,N(J895)+N(Q895)=0),"",K895-IF(N(J895)&gt;0,J895,Q895))</f>
        <v/>
      </c>
      <c r="AG895" s="99">
        <f>IF(B895="","",IFERROR(AVERAGEIFS('QUALITY CONTROL'!$M$5:$M$304,'QUALITY CONTROL'!$B$5:$B$304,A895),""))</f>
        <v/>
      </c>
      <c r="AH895" s="51">
        <f>IF(B895="","",DATE(YEAR(B895),MONTH(B895),1))</f>
        <v/>
      </c>
      <c r="AI895" s="49">
        <f>IF(D895="","",IFERROR(INDEX('CUSTOMERS'!$E$5:$E$404,MATCH(D895,'CUSTOMERS'!$B$5:$B$404,0)),""))</f>
        <v/>
      </c>
      <c r="AJ895" s="49">
        <f>IF(B895="","",N(C895))</f>
        <v/>
      </c>
      <c r="AK895" s="49">
        <f>IF(OR(B895="",O895="Cancelled",O895="Rescheduled"),"",B895&amp;"|"&amp;(COUNTIFS('JOBS'!$B$5:$B$1504,B895,'JOBS'!$AJ$5:$AJ$1504,"&lt;"&amp;AJ895,'JOBS'!$O$5:$O$1504,"&lt;&gt;Cancelled",'JOBS'!$O$5:$O$1504,"&lt;&gt;Rescheduled")+COUNTIFS($B$5:B895,B895,$AJ$5:AJ895,AJ895,$O$5:O895,"&lt;&gt;Cancelled",$O$5:O895,"&lt;&gt;Rescheduled")))</f>
        <v/>
      </c>
      <c r="AL895" s="49">
        <f>IF(N(U895)&lt;=0.005,"",COUNTIFS('JOBS'!$U$5:$U$1504,"&gt;0.005",'JOBS'!$B$5:$B$1504,"&lt;"&amp;B895)+COUNTIFS($U$5:U895,"&gt;0.005",$B$5:B895,B895))</f>
        <v/>
      </c>
    </row>
    <row r="896">
      <c r="A896" s="46" t="inlineStr">
        <is>
          <t>J-0892</t>
        </is>
      </c>
      <c r="B896" s="47" t="n"/>
      <c r="C896" s="94" t="n"/>
      <c r="D896" s="38" t="n"/>
      <c r="E896" s="38" t="n"/>
      <c r="F896" s="38" t="n"/>
      <c r="G896" s="38" t="n"/>
      <c r="H896" s="38" t="n"/>
      <c r="I896" s="57" t="n"/>
      <c r="J896" s="95" t="n"/>
      <c r="K896" s="95" t="n"/>
      <c r="L896" s="48" t="n"/>
      <c r="M896" s="96" t="n"/>
      <c r="N896" s="48" t="n"/>
      <c r="O896" s="38" t="n"/>
      <c r="P896" s="38" t="n"/>
      <c r="Q896" s="97">
        <f>IF(OR(F896="",E896=""),"",IFERROR(IF(INDEX('PROPERTIES'!$F$5:$F$404,MATCH(E896,'PROPERTIES'!$B$5:$B$404,0))=0,"",ROUND((INDEX('PROPERTIES'!$F$5:$F$404,MATCH(E896,'PROPERTIES'!$B$5:$B$404,0))/INDEX('PRICING'!$C$7:$C$16,MATCH(F896,'PRICING'!$A$7:$A$16,0))+INDEX('PROPERTIES'!$G$5:$G$404,MATCH(E896,'PROPERTIES'!$B$5:$B$404,0))*INDEX('PRICING'!$D$7:$D$16,MATCH(F896,'PRICING'!$A$7:$A$16,0))/60+INDEX('PROPERTIES'!$H$5:$H$404,MATCH(E896,'PROPERTIES'!$B$5:$B$404,0))*INDEX('PRICING'!$E$7:$E$16,MATCH(F896,'PRICING'!$A$7:$A$16,0))/60+INDEX('PRICING'!$F$7:$F$16,MATCH(F896,'PRICING'!$A$7:$A$16,0))/60),2)),""))</f>
        <v/>
      </c>
      <c r="R896" s="97">
        <f>IF(B896="","",IF(N(K896)&gt;0,K896,IF(N(J896)&gt;0,J896,N(Q896))))</f>
        <v/>
      </c>
      <c r="S896" s="55">
        <f>IF(L896="","",ROUND(L896*(1+N(M896)),2))</f>
        <v/>
      </c>
      <c r="T896" s="55">
        <f>IF(B896="","",SUMIFS('REVENUE'!$C$5:$C$1504,'REVENUE'!$B$5:$B$1504,A896))</f>
        <v/>
      </c>
      <c r="U896" s="55">
        <f>IF(B896="","",IF(O896="Completed",MAX(0,N(S896)-T896),""))</f>
        <v/>
      </c>
      <c r="V896" s="49">
        <f>IF(B896="","",IF(O896&lt;&gt;"Completed",IF(T896&gt;0,"Deposit","—"),IF(U896&lt;=0.005,"Paid",IF(T896&gt;0,"Partial","Unpaid"))))</f>
        <v/>
      </c>
      <c r="W896" s="55">
        <f>IF(B896="","",IFERROR(1/(1/INDEX('STAFF &amp; TASKS'!$C$5:$C$24,MATCH(H896,'STAFF &amp; TASKS'!$A$5:$A$24,0))),PayRate))</f>
        <v/>
      </c>
      <c r="X896" s="55">
        <f>IF(B896="","",IF(OR(O896="Cancelled",O896="No-Show"),"",ROUND(R896*W896*(1+Burden),2)))</f>
        <v/>
      </c>
      <c r="Y896" s="55">
        <f>IF(B896="","",IF(OR(O896="Cancelled",O896="No-Show"),"",IF(N896&lt;&gt;"",N896,ROUND(R896*SupHr*IFERROR(INDEX('PRICING'!$G$7:$G$16,MATCH(F896,'PRICING'!$A$7:$A$16,0)),1),2))))</f>
        <v/>
      </c>
      <c r="Z896" s="98">
        <f>IF(B896="","",SUMIFS('MILEAGE'!$J$5:$J$1504,'MILEAGE'!$B$5:$B$1504,A896))</f>
        <v/>
      </c>
      <c r="AA896" s="55">
        <f>IF(B896="","",ROUND(Z896*MileRate,2))</f>
        <v/>
      </c>
      <c r="AB896" s="55">
        <f>IF(B896="","",SUMIFS('REVENUE'!$J$5:$J$1504,'REVENUE'!$B$5:$B$1504,A896))</f>
        <v/>
      </c>
      <c r="AC896" s="55">
        <f>IF(L896="","",IF(OR(O896="Cancelled",O896="No-Show"),"",L896-N(X896)-N(Y896)-AA896-AB896))</f>
        <v/>
      </c>
      <c r="AD896" s="99">
        <f>IF(OR(AC896="",N(L896)=0),"",AC896/L896)</f>
        <v/>
      </c>
      <c r="AE896" s="55">
        <f>IF(OR(AC896="",N(R896)=0),"",L896/R896)</f>
        <v/>
      </c>
      <c r="AF896" s="100">
        <f>IF(OR(N(K896)=0,N(J896)+N(Q896)=0),"",K896-IF(N(J896)&gt;0,J896,Q896))</f>
        <v/>
      </c>
      <c r="AG896" s="99">
        <f>IF(B896="","",IFERROR(AVERAGEIFS('QUALITY CONTROL'!$M$5:$M$304,'QUALITY CONTROL'!$B$5:$B$304,A896),""))</f>
        <v/>
      </c>
      <c r="AH896" s="51">
        <f>IF(B896="","",DATE(YEAR(B896),MONTH(B896),1))</f>
        <v/>
      </c>
      <c r="AI896" s="49">
        <f>IF(D896="","",IFERROR(INDEX('CUSTOMERS'!$E$5:$E$404,MATCH(D896,'CUSTOMERS'!$B$5:$B$404,0)),""))</f>
        <v/>
      </c>
      <c r="AJ896" s="49">
        <f>IF(B896="","",N(C896))</f>
        <v/>
      </c>
      <c r="AK896" s="49">
        <f>IF(OR(B896="",O896="Cancelled",O896="Rescheduled"),"",B896&amp;"|"&amp;(COUNTIFS('JOBS'!$B$5:$B$1504,B896,'JOBS'!$AJ$5:$AJ$1504,"&lt;"&amp;AJ896,'JOBS'!$O$5:$O$1504,"&lt;&gt;Cancelled",'JOBS'!$O$5:$O$1504,"&lt;&gt;Rescheduled")+COUNTIFS($B$5:B896,B896,$AJ$5:AJ896,AJ896,$O$5:O896,"&lt;&gt;Cancelled",$O$5:O896,"&lt;&gt;Rescheduled")))</f>
        <v/>
      </c>
      <c r="AL896" s="49">
        <f>IF(N(U896)&lt;=0.005,"",COUNTIFS('JOBS'!$U$5:$U$1504,"&gt;0.005",'JOBS'!$B$5:$B$1504,"&lt;"&amp;B896)+COUNTIFS($U$5:U896,"&gt;0.005",$B$5:B896,B896))</f>
        <v/>
      </c>
    </row>
    <row r="897">
      <c r="A897" s="46" t="inlineStr">
        <is>
          <t>J-0893</t>
        </is>
      </c>
      <c r="B897" s="47" t="n"/>
      <c r="C897" s="94" t="n"/>
      <c r="D897" s="38" t="n"/>
      <c r="E897" s="38" t="n"/>
      <c r="F897" s="38" t="n"/>
      <c r="G897" s="38" t="n"/>
      <c r="H897" s="38" t="n"/>
      <c r="I897" s="57" t="n"/>
      <c r="J897" s="95" t="n"/>
      <c r="K897" s="95" t="n"/>
      <c r="L897" s="48" t="n"/>
      <c r="M897" s="96" t="n"/>
      <c r="N897" s="48" t="n"/>
      <c r="O897" s="38" t="n"/>
      <c r="P897" s="38" t="n"/>
      <c r="Q897" s="97">
        <f>IF(OR(F897="",E897=""),"",IFERROR(IF(INDEX('PROPERTIES'!$F$5:$F$404,MATCH(E897,'PROPERTIES'!$B$5:$B$404,0))=0,"",ROUND((INDEX('PROPERTIES'!$F$5:$F$404,MATCH(E897,'PROPERTIES'!$B$5:$B$404,0))/INDEX('PRICING'!$C$7:$C$16,MATCH(F897,'PRICING'!$A$7:$A$16,0))+INDEX('PROPERTIES'!$G$5:$G$404,MATCH(E897,'PROPERTIES'!$B$5:$B$404,0))*INDEX('PRICING'!$D$7:$D$16,MATCH(F897,'PRICING'!$A$7:$A$16,0))/60+INDEX('PROPERTIES'!$H$5:$H$404,MATCH(E897,'PROPERTIES'!$B$5:$B$404,0))*INDEX('PRICING'!$E$7:$E$16,MATCH(F897,'PRICING'!$A$7:$A$16,0))/60+INDEX('PRICING'!$F$7:$F$16,MATCH(F897,'PRICING'!$A$7:$A$16,0))/60),2)),""))</f>
        <v/>
      </c>
      <c r="R897" s="97">
        <f>IF(B897="","",IF(N(K897)&gt;0,K897,IF(N(J897)&gt;0,J897,N(Q897))))</f>
        <v/>
      </c>
      <c r="S897" s="55">
        <f>IF(L897="","",ROUND(L897*(1+N(M897)),2))</f>
        <v/>
      </c>
      <c r="T897" s="55">
        <f>IF(B897="","",SUMIFS('REVENUE'!$C$5:$C$1504,'REVENUE'!$B$5:$B$1504,A897))</f>
        <v/>
      </c>
      <c r="U897" s="55">
        <f>IF(B897="","",IF(O897="Completed",MAX(0,N(S897)-T897),""))</f>
        <v/>
      </c>
      <c r="V897" s="49">
        <f>IF(B897="","",IF(O897&lt;&gt;"Completed",IF(T897&gt;0,"Deposit","—"),IF(U897&lt;=0.005,"Paid",IF(T897&gt;0,"Partial","Unpaid"))))</f>
        <v/>
      </c>
      <c r="W897" s="55">
        <f>IF(B897="","",IFERROR(1/(1/INDEX('STAFF &amp; TASKS'!$C$5:$C$24,MATCH(H897,'STAFF &amp; TASKS'!$A$5:$A$24,0))),PayRate))</f>
        <v/>
      </c>
      <c r="X897" s="55">
        <f>IF(B897="","",IF(OR(O897="Cancelled",O897="No-Show"),"",ROUND(R897*W897*(1+Burden),2)))</f>
        <v/>
      </c>
      <c r="Y897" s="55">
        <f>IF(B897="","",IF(OR(O897="Cancelled",O897="No-Show"),"",IF(N897&lt;&gt;"",N897,ROUND(R897*SupHr*IFERROR(INDEX('PRICING'!$G$7:$G$16,MATCH(F897,'PRICING'!$A$7:$A$16,0)),1),2))))</f>
        <v/>
      </c>
      <c r="Z897" s="98">
        <f>IF(B897="","",SUMIFS('MILEAGE'!$J$5:$J$1504,'MILEAGE'!$B$5:$B$1504,A897))</f>
        <v/>
      </c>
      <c r="AA897" s="55">
        <f>IF(B897="","",ROUND(Z897*MileRate,2))</f>
        <v/>
      </c>
      <c r="AB897" s="55">
        <f>IF(B897="","",SUMIFS('REVENUE'!$J$5:$J$1504,'REVENUE'!$B$5:$B$1504,A897))</f>
        <v/>
      </c>
      <c r="AC897" s="55">
        <f>IF(L897="","",IF(OR(O897="Cancelled",O897="No-Show"),"",L897-N(X897)-N(Y897)-AA897-AB897))</f>
        <v/>
      </c>
      <c r="AD897" s="99">
        <f>IF(OR(AC897="",N(L897)=0),"",AC897/L897)</f>
        <v/>
      </c>
      <c r="AE897" s="55">
        <f>IF(OR(AC897="",N(R897)=0),"",L897/R897)</f>
        <v/>
      </c>
      <c r="AF897" s="100">
        <f>IF(OR(N(K897)=0,N(J897)+N(Q897)=0),"",K897-IF(N(J897)&gt;0,J897,Q897))</f>
        <v/>
      </c>
      <c r="AG897" s="99">
        <f>IF(B897="","",IFERROR(AVERAGEIFS('QUALITY CONTROL'!$M$5:$M$304,'QUALITY CONTROL'!$B$5:$B$304,A897),""))</f>
        <v/>
      </c>
      <c r="AH897" s="51">
        <f>IF(B897="","",DATE(YEAR(B897),MONTH(B897),1))</f>
        <v/>
      </c>
      <c r="AI897" s="49">
        <f>IF(D897="","",IFERROR(INDEX('CUSTOMERS'!$E$5:$E$404,MATCH(D897,'CUSTOMERS'!$B$5:$B$404,0)),""))</f>
        <v/>
      </c>
      <c r="AJ897" s="49">
        <f>IF(B897="","",N(C897))</f>
        <v/>
      </c>
      <c r="AK897" s="49">
        <f>IF(OR(B897="",O897="Cancelled",O897="Rescheduled"),"",B897&amp;"|"&amp;(COUNTIFS('JOBS'!$B$5:$B$1504,B897,'JOBS'!$AJ$5:$AJ$1504,"&lt;"&amp;AJ897,'JOBS'!$O$5:$O$1504,"&lt;&gt;Cancelled",'JOBS'!$O$5:$O$1504,"&lt;&gt;Rescheduled")+COUNTIFS($B$5:B897,B897,$AJ$5:AJ897,AJ897,$O$5:O897,"&lt;&gt;Cancelled",$O$5:O897,"&lt;&gt;Rescheduled")))</f>
        <v/>
      </c>
      <c r="AL897" s="49">
        <f>IF(N(U897)&lt;=0.005,"",COUNTIFS('JOBS'!$U$5:$U$1504,"&gt;0.005",'JOBS'!$B$5:$B$1504,"&lt;"&amp;B897)+COUNTIFS($U$5:U897,"&gt;0.005",$B$5:B897,B897))</f>
        <v/>
      </c>
    </row>
    <row r="898">
      <c r="A898" s="46" t="inlineStr">
        <is>
          <t>J-0894</t>
        </is>
      </c>
      <c r="B898" s="47" t="n"/>
      <c r="C898" s="94" t="n"/>
      <c r="D898" s="38" t="n"/>
      <c r="E898" s="38" t="n"/>
      <c r="F898" s="38" t="n"/>
      <c r="G898" s="38" t="n"/>
      <c r="H898" s="38" t="n"/>
      <c r="I898" s="57" t="n"/>
      <c r="J898" s="95" t="n"/>
      <c r="K898" s="95" t="n"/>
      <c r="L898" s="48" t="n"/>
      <c r="M898" s="96" t="n"/>
      <c r="N898" s="48" t="n"/>
      <c r="O898" s="38" t="n"/>
      <c r="P898" s="38" t="n"/>
      <c r="Q898" s="97">
        <f>IF(OR(F898="",E898=""),"",IFERROR(IF(INDEX('PROPERTIES'!$F$5:$F$404,MATCH(E898,'PROPERTIES'!$B$5:$B$404,0))=0,"",ROUND((INDEX('PROPERTIES'!$F$5:$F$404,MATCH(E898,'PROPERTIES'!$B$5:$B$404,0))/INDEX('PRICING'!$C$7:$C$16,MATCH(F898,'PRICING'!$A$7:$A$16,0))+INDEX('PROPERTIES'!$G$5:$G$404,MATCH(E898,'PROPERTIES'!$B$5:$B$404,0))*INDEX('PRICING'!$D$7:$D$16,MATCH(F898,'PRICING'!$A$7:$A$16,0))/60+INDEX('PROPERTIES'!$H$5:$H$404,MATCH(E898,'PROPERTIES'!$B$5:$B$404,0))*INDEX('PRICING'!$E$7:$E$16,MATCH(F898,'PRICING'!$A$7:$A$16,0))/60+INDEX('PRICING'!$F$7:$F$16,MATCH(F898,'PRICING'!$A$7:$A$16,0))/60),2)),""))</f>
        <v/>
      </c>
      <c r="R898" s="97">
        <f>IF(B898="","",IF(N(K898)&gt;0,K898,IF(N(J898)&gt;0,J898,N(Q898))))</f>
        <v/>
      </c>
      <c r="S898" s="55">
        <f>IF(L898="","",ROUND(L898*(1+N(M898)),2))</f>
        <v/>
      </c>
      <c r="T898" s="55">
        <f>IF(B898="","",SUMIFS('REVENUE'!$C$5:$C$1504,'REVENUE'!$B$5:$B$1504,A898))</f>
        <v/>
      </c>
      <c r="U898" s="55">
        <f>IF(B898="","",IF(O898="Completed",MAX(0,N(S898)-T898),""))</f>
        <v/>
      </c>
      <c r="V898" s="49">
        <f>IF(B898="","",IF(O898&lt;&gt;"Completed",IF(T898&gt;0,"Deposit","—"),IF(U898&lt;=0.005,"Paid",IF(T898&gt;0,"Partial","Unpaid"))))</f>
        <v/>
      </c>
      <c r="W898" s="55">
        <f>IF(B898="","",IFERROR(1/(1/INDEX('STAFF &amp; TASKS'!$C$5:$C$24,MATCH(H898,'STAFF &amp; TASKS'!$A$5:$A$24,0))),PayRate))</f>
        <v/>
      </c>
      <c r="X898" s="55">
        <f>IF(B898="","",IF(OR(O898="Cancelled",O898="No-Show"),"",ROUND(R898*W898*(1+Burden),2)))</f>
        <v/>
      </c>
      <c r="Y898" s="55">
        <f>IF(B898="","",IF(OR(O898="Cancelled",O898="No-Show"),"",IF(N898&lt;&gt;"",N898,ROUND(R898*SupHr*IFERROR(INDEX('PRICING'!$G$7:$G$16,MATCH(F898,'PRICING'!$A$7:$A$16,0)),1),2))))</f>
        <v/>
      </c>
      <c r="Z898" s="98">
        <f>IF(B898="","",SUMIFS('MILEAGE'!$J$5:$J$1504,'MILEAGE'!$B$5:$B$1504,A898))</f>
        <v/>
      </c>
      <c r="AA898" s="55">
        <f>IF(B898="","",ROUND(Z898*MileRate,2))</f>
        <v/>
      </c>
      <c r="AB898" s="55">
        <f>IF(B898="","",SUMIFS('REVENUE'!$J$5:$J$1504,'REVENUE'!$B$5:$B$1504,A898))</f>
        <v/>
      </c>
      <c r="AC898" s="55">
        <f>IF(L898="","",IF(OR(O898="Cancelled",O898="No-Show"),"",L898-N(X898)-N(Y898)-AA898-AB898))</f>
        <v/>
      </c>
      <c r="AD898" s="99">
        <f>IF(OR(AC898="",N(L898)=0),"",AC898/L898)</f>
        <v/>
      </c>
      <c r="AE898" s="55">
        <f>IF(OR(AC898="",N(R898)=0),"",L898/R898)</f>
        <v/>
      </c>
      <c r="AF898" s="100">
        <f>IF(OR(N(K898)=0,N(J898)+N(Q898)=0),"",K898-IF(N(J898)&gt;0,J898,Q898))</f>
        <v/>
      </c>
      <c r="AG898" s="99">
        <f>IF(B898="","",IFERROR(AVERAGEIFS('QUALITY CONTROL'!$M$5:$M$304,'QUALITY CONTROL'!$B$5:$B$304,A898),""))</f>
        <v/>
      </c>
      <c r="AH898" s="51">
        <f>IF(B898="","",DATE(YEAR(B898),MONTH(B898),1))</f>
        <v/>
      </c>
      <c r="AI898" s="49">
        <f>IF(D898="","",IFERROR(INDEX('CUSTOMERS'!$E$5:$E$404,MATCH(D898,'CUSTOMERS'!$B$5:$B$404,0)),""))</f>
        <v/>
      </c>
      <c r="AJ898" s="49">
        <f>IF(B898="","",N(C898))</f>
        <v/>
      </c>
      <c r="AK898" s="49">
        <f>IF(OR(B898="",O898="Cancelled",O898="Rescheduled"),"",B898&amp;"|"&amp;(COUNTIFS('JOBS'!$B$5:$B$1504,B898,'JOBS'!$AJ$5:$AJ$1504,"&lt;"&amp;AJ898,'JOBS'!$O$5:$O$1504,"&lt;&gt;Cancelled",'JOBS'!$O$5:$O$1504,"&lt;&gt;Rescheduled")+COUNTIFS($B$5:B898,B898,$AJ$5:AJ898,AJ898,$O$5:O898,"&lt;&gt;Cancelled",$O$5:O898,"&lt;&gt;Rescheduled")))</f>
        <v/>
      </c>
      <c r="AL898" s="49">
        <f>IF(N(U898)&lt;=0.005,"",COUNTIFS('JOBS'!$U$5:$U$1504,"&gt;0.005",'JOBS'!$B$5:$B$1504,"&lt;"&amp;B898)+COUNTIFS($U$5:U898,"&gt;0.005",$B$5:B898,B898))</f>
        <v/>
      </c>
    </row>
    <row r="899">
      <c r="A899" s="46" t="inlineStr">
        <is>
          <t>J-0895</t>
        </is>
      </c>
      <c r="B899" s="47" t="n"/>
      <c r="C899" s="94" t="n"/>
      <c r="D899" s="38" t="n"/>
      <c r="E899" s="38" t="n"/>
      <c r="F899" s="38" t="n"/>
      <c r="G899" s="38" t="n"/>
      <c r="H899" s="38" t="n"/>
      <c r="I899" s="57" t="n"/>
      <c r="J899" s="95" t="n"/>
      <c r="K899" s="95" t="n"/>
      <c r="L899" s="48" t="n"/>
      <c r="M899" s="96" t="n"/>
      <c r="N899" s="48" t="n"/>
      <c r="O899" s="38" t="n"/>
      <c r="P899" s="38" t="n"/>
      <c r="Q899" s="97">
        <f>IF(OR(F899="",E899=""),"",IFERROR(IF(INDEX('PROPERTIES'!$F$5:$F$404,MATCH(E899,'PROPERTIES'!$B$5:$B$404,0))=0,"",ROUND((INDEX('PROPERTIES'!$F$5:$F$404,MATCH(E899,'PROPERTIES'!$B$5:$B$404,0))/INDEX('PRICING'!$C$7:$C$16,MATCH(F899,'PRICING'!$A$7:$A$16,0))+INDEX('PROPERTIES'!$G$5:$G$404,MATCH(E899,'PROPERTIES'!$B$5:$B$404,0))*INDEX('PRICING'!$D$7:$D$16,MATCH(F899,'PRICING'!$A$7:$A$16,0))/60+INDEX('PROPERTIES'!$H$5:$H$404,MATCH(E899,'PROPERTIES'!$B$5:$B$404,0))*INDEX('PRICING'!$E$7:$E$16,MATCH(F899,'PRICING'!$A$7:$A$16,0))/60+INDEX('PRICING'!$F$7:$F$16,MATCH(F899,'PRICING'!$A$7:$A$16,0))/60),2)),""))</f>
        <v/>
      </c>
      <c r="R899" s="97">
        <f>IF(B899="","",IF(N(K899)&gt;0,K899,IF(N(J899)&gt;0,J899,N(Q899))))</f>
        <v/>
      </c>
      <c r="S899" s="55">
        <f>IF(L899="","",ROUND(L899*(1+N(M899)),2))</f>
        <v/>
      </c>
      <c r="T899" s="55">
        <f>IF(B899="","",SUMIFS('REVENUE'!$C$5:$C$1504,'REVENUE'!$B$5:$B$1504,A899))</f>
        <v/>
      </c>
      <c r="U899" s="55">
        <f>IF(B899="","",IF(O899="Completed",MAX(0,N(S899)-T899),""))</f>
        <v/>
      </c>
      <c r="V899" s="49">
        <f>IF(B899="","",IF(O899&lt;&gt;"Completed",IF(T899&gt;0,"Deposit","—"),IF(U899&lt;=0.005,"Paid",IF(T899&gt;0,"Partial","Unpaid"))))</f>
        <v/>
      </c>
      <c r="W899" s="55">
        <f>IF(B899="","",IFERROR(1/(1/INDEX('STAFF &amp; TASKS'!$C$5:$C$24,MATCH(H899,'STAFF &amp; TASKS'!$A$5:$A$24,0))),PayRate))</f>
        <v/>
      </c>
      <c r="X899" s="55">
        <f>IF(B899="","",IF(OR(O899="Cancelled",O899="No-Show"),"",ROUND(R899*W899*(1+Burden),2)))</f>
        <v/>
      </c>
      <c r="Y899" s="55">
        <f>IF(B899="","",IF(OR(O899="Cancelled",O899="No-Show"),"",IF(N899&lt;&gt;"",N899,ROUND(R899*SupHr*IFERROR(INDEX('PRICING'!$G$7:$G$16,MATCH(F899,'PRICING'!$A$7:$A$16,0)),1),2))))</f>
        <v/>
      </c>
      <c r="Z899" s="98">
        <f>IF(B899="","",SUMIFS('MILEAGE'!$J$5:$J$1504,'MILEAGE'!$B$5:$B$1504,A899))</f>
        <v/>
      </c>
      <c r="AA899" s="55">
        <f>IF(B899="","",ROUND(Z899*MileRate,2))</f>
        <v/>
      </c>
      <c r="AB899" s="55">
        <f>IF(B899="","",SUMIFS('REVENUE'!$J$5:$J$1504,'REVENUE'!$B$5:$B$1504,A899))</f>
        <v/>
      </c>
      <c r="AC899" s="55">
        <f>IF(L899="","",IF(OR(O899="Cancelled",O899="No-Show"),"",L899-N(X899)-N(Y899)-AA899-AB899))</f>
        <v/>
      </c>
      <c r="AD899" s="99">
        <f>IF(OR(AC899="",N(L899)=0),"",AC899/L899)</f>
        <v/>
      </c>
      <c r="AE899" s="55">
        <f>IF(OR(AC899="",N(R899)=0),"",L899/R899)</f>
        <v/>
      </c>
      <c r="AF899" s="100">
        <f>IF(OR(N(K899)=0,N(J899)+N(Q899)=0),"",K899-IF(N(J899)&gt;0,J899,Q899))</f>
        <v/>
      </c>
      <c r="AG899" s="99">
        <f>IF(B899="","",IFERROR(AVERAGEIFS('QUALITY CONTROL'!$M$5:$M$304,'QUALITY CONTROL'!$B$5:$B$304,A899),""))</f>
        <v/>
      </c>
      <c r="AH899" s="51">
        <f>IF(B899="","",DATE(YEAR(B899),MONTH(B899),1))</f>
        <v/>
      </c>
      <c r="AI899" s="49">
        <f>IF(D899="","",IFERROR(INDEX('CUSTOMERS'!$E$5:$E$404,MATCH(D899,'CUSTOMERS'!$B$5:$B$404,0)),""))</f>
        <v/>
      </c>
      <c r="AJ899" s="49">
        <f>IF(B899="","",N(C899))</f>
        <v/>
      </c>
      <c r="AK899" s="49">
        <f>IF(OR(B899="",O899="Cancelled",O899="Rescheduled"),"",B899&amp;"|"&amp;(COUNTIFS('JOBS'!$B$5:$B$1504,B899,'JOBS'!$AJ$5:$AJ$1504,"&lt;"&amp;AJ899,'JOBS'!$O$5:$O$1504,"&lt;&gt;Cancelled",'JOBS'!$O$5:$O$1504,"&lt;&gt;Rescheduled")+COUNTIFS($B$5:B899,B899,$AJ$5:AJ899,AJ899,$O$5:O899,"&lt;&gt;Cancelled",$O$5:O899,"&lt;&gt;Rescheduled")))</f>
        <v/>
      </c>
      <c r="AL899" s="49">
        <f>IF(N(U899)&lt;=0.005,"",COUNTIFS('JOBS'!$U$5:$U$1504,"&gt;0.005",'JOBS'!$B$5:$B$1504,"&lt;"&amp;B899)+COUNTIFS($U$5:U899,"&gt;0.005",$B$5:B899,B899))</f>
        <v/>
      </c>
    </row>
    <row r="900">
      <c r="A900" s="46" t="inlineStr">
        <is>
          <t>J-0896</t>
        </is>
      </c>
      <c r="B900" s="47" t="n"/>
      <c r="C900" s="94" t="n"/>
      <c r="D900" s="38" t="n"/>
      <c r="E900" s="38" t="n"/>
      <c r="F900" s="38" t="n"/>
      <c r="G900" s="38" t="n"/>
      <c r="H900" s="38" t="n"/>
      <c r="I900" s="57" t="n"/>
      <c r="J900" s="95" t="n"/>
      <c r="K900" s="95" t="n"/>
      <c r="L900" s="48" t="n"/>
      <c r="M900" s="96" t="n"/>
      <c r="N900" s="48" t="n"/>
      <c r="O900" s="38" t="n"/>
      <c r="P900" s="38" t="n"/>
      <c r="Q900" s="97">
        <f>IF(OR(F900="",E900=""),"",IFERROR(IF(INDEX('PROPERTIES'!$F$5:$F$404,MATCH(E900,'PROPERTIES'!$B$5:$B$404,0))=0,"",ROUND((INDEX('PROPERTIES'!$F$5:$F$404,MATCH(E900,'PROPERTIES'!$B$5:$B$404,0))/INDEX('PRICING'!$C$7:$C$16,MATCH(F900,'PRICING'!$A$7:$A$16,0))+INDEX('PROPERTIES'!$G$5:$G$404,MATCH(E900,'PROPERTIES'!$B$5:$B$404,0))*INDEX('PRICING'!$D$7:$D$16,MATCH(F900,'PRICING'!$A$7:$A$16,0))/60+INDEX('PROPERTIES'!$H$5:$H$404,MATCH(E900,'PROPERTIES'!$B$5:$B$404,0))*INDEX('PRICING'!$E$7:$E$16,MATCH(F900,'PRICING'!$A$7:$A$16,0))/60+INDEX('PRICING'!$F$7:$F$16,MATCH(F900,'PRICING'!$A$7:$A$16,0))/60),2)),""))</f>
        <v/>
      </c>
      <c r="R900" s="97">
        <f>IF(B900="","",IF(N(K900)&gt;0,K900,IF(N(J900)&gt;0,J900,N(Q900))))</f>
        <v/>
      </c>
      <c r="S900" s="55">
        <f>IF(L900="","",ROUND(L900*(1+N(M900)),2))</f>
        <v/>
      </c>
      <c r="T900" s="55">
        <f>IF(B900="","",SUMIFS('REVENUE'!$C$5:$C$1504,'REVENUE'!$B$5:$B$1504,A900))</f>
        <v/>
      </c>
      <c r="U900" s="55">
        <f>IF(B900="","",IF(O900="Completed",MAX(0,N(S900)-T900),""))</f>
        <v/>
      </c>
      <c r="V900" s="49">
        <f>IF(B900="","",IF(O900&lt;&gt;"Completed",IF(T900&gt;0,"Deposit","—"),IF(U900&lt;=0.005,"Paid",IF(T900&gt;0,"Partial","Unpaid"))))</f>
        <v/>
      </c>
      <c r="W900" s="55">
        <f>IF(B900="","",IFERROR(1/(1/INDEX('STAFF &amp; TASKS'!$C$5:$C$24,MATCH(H900,'STAFF &amp; TASKS'!$A$5:$A$24,0))),PayRate))</f>
        <v/>
      </c>
      <c r="X900" s="55">
        <f>IF(B900="","",IF(OR(O900="Cancelled",O900="No-Show"),"",ROUND(R900*W900*(1+Burden),2)))</f>
        <v/>
      </c>
      <c r="Y900" s="55">
        <f>IF(B900="","",IF(OR(O900="Cancelled",O900="No-Show"),"",IF(N900&lt;&gt;"",N900,ROUND(R900*SupHr*IFERROR(INDEX('PRICING'!$G$7:$G$16,MATCH(F900,'PRICING'!$A$7:$A$16,0)),1),2))))</f>
        <v/>
      </c>
      <c r="Z900" s="98">
        <f>IF(B900="","",SUMIFS('MILEAGE'!$J$5:$J$1504,'MILEAGE'!$B$5:$B$1504,A900))</f>
        <v/>
      </c>
      <c r="AA900" s="55">
        <f>IF(B900="","",ROUND(Z900*MileRate,2))</f>
        <v/>
      </c>
      <c r="AB900" s="55">
        <f>IF(B900="","",SUMIFS('REVENUE'!$J$5:$J$1504,'REVENUE'!$B$5:$B$1504,A900))</f>
        <v/>
      </c>
      <c r="AC900" s="55">
        <f>IF(L900="","",IF(OR(O900="Cancelled",O900="No-Show"),"",L900-N(X900)-N(Y900)-AA900-AB900))</f>
        <v/>
      </c>
      <c r="AD900" s="99">
        <f>IF(OR(AC900="",N(L900)=0),"",AC900/L900)</f>
        <v/>
      </c>
      <c r="AE900" s="55">
        <f>IF(OR(AC900="",N(R900)=0),"",L900/R900)</f>
        <v/>
      </c>
      <c r="AF900" s="100">
        <f>IF(OR(N(K900)=0,N(J900)+N(Q900)=0),"",K900-IF(N(J900)&gt;0,J900,Q900))</f>
        <v/>
      </c>
      <c r="AG900" s="99">
        <f>IF(B900="","",IFERROR(AVERAGEIFS('QUALITY CONTROL'!$M$5:$M$304,'QUALITY CONTROL'!$B$5:$B$304,A900),""))</f>
        <v/>
      </c>
      <c r="AH900" s="51">
        <f>IF(B900="","",DATE(YEAR(B900),MONTH(B900),1))</f>
        <v/>
      </c>
      <c r="AI900" s="49">
        <f>IF(D900="","",IFERROR(INDEX('CUSTOMERS'!$E$5:$E$404,MATCH(D900,'CUSTOMERS'!$B$5:$B$404,0)),""))</f>
        <v/>
      </c>
      <c r="AJ900" s="49">
        <f>IF(B900="","",N(C900))</f>
        <v/>
      </c>
      <c r="AK900" s="49">
        <f>IF(OR(B900="",O900="Cancelled",O900="Rescheduled"),"",B900&amp;"|"&amp;(COUNTIFS('JOBS'!$B$5:$B$1504,B900,'JOBS'!$AJ$5:$AJ$1504,"&lt;"&amp;AJ900,'JOBS'!$O$5:$O$1504,"&lt;&gt;Cancelled",'JOBS'!$O$5:$O$1504,"&lt;&gt;Rescheduled")+COUNTIFS($B$5:B900,B900,$AJ$5:AJ900,AJ900,$O$5:O900,"&lt;&gt;Cancelled",$O$5:O900,"&lt;&gt;Rescheduled")))</f>
        <v/>
      </c>
      <c r="AL900" s="49">
        <f>IF(N(U900)&lt;=0.005,"",COUNTIFS('JOBS'!$U$5:$U$1504,"&gt;0.005",'JOBS'!$B$5:$B$1504,"&lt;"&amp;B900)+COUNTIFS($U$5:U900,"&gt;0.005",$B$5:B900,B900))</f>
        <v/>
      </c>
    </row>
    <row r="901">
      <c r="A901" s="46" t="inlineStr">
        <is>
          <t>J-0897</t>
        </is>
      </c>
      <c r="B901" s="47" t="n"/>
      <c r="C901" s="94" t="n"/>
      <c r="D901" s="38" t="n"/>
      <c r="E901" s="38" t="n"/>
      <c r="F901" s="38" t="n"/>
      <c r="G901" s="38" t="n"/>
      <c r="H901" s="38" t="n"/>
      <c r="I901" s="57" t="n"/>
      <c r="J901" s="95" t="n"/>
      <c r="K901" s="95" t="n"/>
      <c r="L901" s="48" t="n"/>
      <c r="M901" s="96" t="n"/>
      <c r="N901" s="48" t="n"/>
      <c r="O901" s="38" t="n"/>
      <c r="P901" s="38" t="n"/>
      <c r="Q901" s="97">
        <f>IF(OR(F901="",E901=""),"",IFERROR(IF(INDEX('PROPERTIES'!$F$5:$F$404,MATCH(E901,'PROPERTIES'!$B$5:$B$404,0))=0,"",ROUND((INDEX('PROPERTIES'!$F$5:$F$404,MATCH(E901,'PROPERTIES'!$B$5:$B$404,0))/INDEX('PRICING'!$C$7:$C$16,MATCH(F901,'PRICING'!$A$7:$A$16,0))+INDEX('PROPERTIES'!$G$5:$G$404,MATCH(E901,'PROPERTIES'!$B$5:$B$404,0))*INDEX('PRICING'!$D$7:$D$16,MATCH(F901,'PRICING'!$A$7:$A$16,0))/60+INDEX('PROPERTIES'!$H$5:$H$404,MATCH(E901,'PROPERTIES'!$B$5:$B$404,0))*INDEX('PRICING'!$E$7:$E$16,MATCH(F901,'PRICING'!$A$7:$A$16,0))/60+INDEX('PRICING'!$F$7:$F$16,MATCH(F901,'PRICING'!$A$7:$A$16,0))/60),2)),""))</f>
        <v/>
      </c>
      <c r="R901" s="97">
        <f>IF(B901="","",IF(N(K901)&gt;0,K901,IF(N(J901)&gt;0,J901,N(Q901))))</f>
        <v/>
      </c>
      <c r="S901" s="55">
        <f>IF(L901="","",ROUND(L901*(1+N(M901)),2))</f>
        <v/>
      </c>
      <c r="T901" s="55">
        <f>IF(B901="","",SUMIFS('REVENUE'!$C$5:$C$1504,'REVENUE'!$B$5:$B$1504,A901))</f>
        <v/>
      </c>
      <c r="U901" s="55">
        <f>IF(B901="","",IF(O901="Completed",MAX(0,N(S901)-T901),""))</f>
        <v/>
      </c>
      <c r="V901" s="49">
        <f>IF(B901="","",IF(O901&lt;&gt;"Completed",IF(T901&gt;0,"Deposit","—"),IF(U901&lt;=0.005,"Paid",IF(T901&gt;0,"Partial","Unpaid"))))</f>
        <v/>
      </c>
      <c r="W901" s="55">
        <f>IF(B901="","",IFERROR(1/(1/INDEX('STAFF &amp; TASKS'!$C$5:$C$24,MATCH(H901,'STAFF &amp; TASKS'!$A$5:$A$24,0))),PayRate))</f>
        <v/>
      </c>
      <c r="X901" s="55">
        <f>IF(B901="","",IF(OR(O901="Cancelled",O901="No-Show"),"",ROUND(R901*W901*(1+Burden),2)))</f>
        <v/>
      </c>
      <c r="Y901" s="55">
        <f>IF(B901="","",IF(OR(O901="Cancelled",O901="No-Show"),"",IF(N901&lt;&gt;"",N901,ROUND(R901*SupHr*IFERROR(INDEX('PRICING'!$G$7:$G$16,MATCH(F901,'PRICING'!$A$7:$A$16,0)),1),2))))</f>
        <v/>
      </c>
      <c r="Z901" s="98">
        <f>IF(B901="","",SUMIFS('MILEAGE'!$J$5:$J$1504,'MILEAGE'!$B$5:$B$1504,A901))</f>
        <v/>
      </c>
      <c r="AA901" s="55">
        <f>IF(B901="","",ROUND(Z901*MileRate,2))</f>
        <v/>
      </c>
      <c r="AB901" s="55">
        <f>IF(B901="","",SUMIFS('REVENUE'!$J$5:$J$1504,'REVENUE'!$B$5:$B$1504,A901))</f>
        <v/>
      </c>
      <c r="AC901" s="55">
        <f>IF(L901="","",IF(OR(O901="Cancelled",O901="No-Show"),"",L901-N(X901)-N(Y901)-AA901-AB901))</f>
        <v/>
      </c>
      <c r="AD901" s="99">
        <f>IF(OR(AC901="",N(L901)=0),"",AC901/L901)</f>
        <v/>
      </c>
      <c r="AE901" s="55">
        <f>IF(OR(AC901="",N(R901)=0),"",L901/R901)</f>
        <v/>
      </c>
      <c r="AF901" s="100">
        <f>IF(OR(N(K901)=0,N(J901)+N(Q901)=0),"",K901-IF(N(J901)&gt;0,J901,Q901))</f>
        <v/>
      </c>
      <c r="AG901" s="99">
        <f>IF(B901="","",IFERROR(AVERAGEIFS('QUALITY CONTROL'!$M$5:$M$304,'QUALITY CONTROL'!$B$5:$B$304,A901),""))</f>
        <v/>
      </c>
      <c r="AH901" s="51">
        <f>IF(B901="","",DATE(YEAR(B901),MONTH(B901),1))</f>
        <v/>
      </c>
      <c r="AI901" s="49">
        <f>IF(D901="","",IFERROR(INDEX('CUSTOMERS'!$E$5:$E$404,MATCH(D901,'CUSTOMERS'!$B$5:$B$404,0)),""))</f>
        <v/>
      </c>
      <c r="AJ901" s="49">
        <f>IF(B901="","",N(C901))</f>
        <v/>
      </c>
      <c r="AK901" s="49">
        <f>IF(OR(B901="",O901="Cancelled",O901="Rescheduled"),"",B901&amp;"|"&amp;(COUNTIFS('JOBS'!$B$5:$B$1504,B901,'JOBS'!$AJ$5:$AJ$1504,"&lt;"&amp;AJ901,'JOBS'!$O$5:$O$1504,"&lt;&gt;Cancelled",'JOBS'!$O$5:$O$1504,"&lt;&gt;Rescheduled")+COUNTIFS($B$5:B901,B901,$AJ$5:AJ901,AJ901,$O$5:O901,"&lt;&gt;Cancelled",$O$5:O901,"&lt;&gt;Rescheduled")))</f>
        <v/>
      </c>
      <c r="AL901" s="49">
        <f>IF(N(U901)&lt;=0.005,"",COUNTIFS('JOBS'!$U$5:$U$1504,"&gt;0.005",'JOBS'!$B$5:$B$1504,"&lt;"&amp;B901)+COUNTIFS($U$5:U901,"&gt;0.005",$B$5:B901,B901))</f>
        <v/>
      </c>
    </row>
    <row r="902">
      <c r="A902" s="46" t="inlineStr">
        <is>
          <t>J-0898</t>
        </is>
      </c>
      <c r="B902" s="47" t="n"/>
      <c r="C902" s="94" t="n"/>
      <c r="D902" s="38" t="n"/>
      <c r="E902" s="38" t="n"/>
      <c r="F902" s="38" t="n"/>
      <c r="G902" s="38" t="n"/>
      <c r="H902" s="38" t="n"/>
      <c r="I902" s="57" t="n"/>
      <c r="J902" s="95" t="n"/>
      <c r="K902" s="95" t="n"/>
      <c r="L902" s="48" t="n"/>
      <c r="M902" s="96" t="n"/>
      <c r="N902" s="48" t="n"/>
      <c r="O902" s="38" t="n"/>
      <c r="P902" s="38" t="n"/>
      <c r="Q902" s="97">
        <f>IF(OR(F902="",E902=""),"",IFERROR(IF(INDEX('PROPERTIES'!$F$5:$F$404,MATCH(E902,'PROPERTIES'!$B$5:$B$404,0))=0,"",ROUND((INDEX('PROPERTIES'!$F$5:$F$404,MATCH(E902,'PROPERTIES'!$B$5:$B$404,0))/INDEX('PRICING'!$C$7:$C$16,MATCH(F902,'PRICING'!$A$7:$A$16,0))+INDEX('PROPERTIES'!$G$5:$G$404,MATCH(E902,'PROPERTIES'!$B$5:$B$404,0))*INDEX('PRICING'!$D$7:$D$16,MATCH(F902,'PRICING'!$A$7:$A$16,0))/60+INDEX('PROPERTIES'!$H$5:$H$404,MATCH(E902,'PROPERTIES'!$B$5:$B$404,0))*INDEX('PRICING'!$E$7:$E$16,MATCH(F902,'PRICING'!$A$7:$A$16,0))/60+INDEX('PRICING'!$F$7:$F$16,MATCH(F902,'PRICING'!$A$7:$A$16,0))/60),2)),""))</f>
        <v/>
      </c>
      <c r="R902" s="97">
        <f>IF(B902="","",IF(N(K902)&gt;0,K902,IF(N(J902)&gt;0,J902,N(Q902))))</f>
        <v/>
      </c>
      <c r="S902" s="55">
        <f>IF(L902="","",ROUND(L902*(1+N(M902)),2))</f>
        <v/>
      </c>
      <c r="T902" s="55">
        <f>IF(B902="","",SUMIFS('REVENUE'!$C$5:$C$1504,'REVENUE'!$B$5:$B$1504,A902))</f>
        <v/>
      </c>
      <c r="U902" s="55">
        <f>IF(B902="","",IF(O902="Completed",MAX(0,N(S902)-T902),""))</f>
        <v/>
      </c>
      <c r="V902" s="49">
        <f>IF(B902="","",IF(O902&lt;&gt;"Completed",IF(T902&gt;0,"Deposit","—"),IF(U902&lt;=0.005,"Paid",IF(T902&gt;0,"Partial","Unpaid"))))</f>
        <v/>
      </c>
      <c r="W902" s="55">
        <f>IF(B902="","",IFERROR(1/(1/INDEX('STAFF &amp; TASKS'!$C$5:$C$24,MATCH(H902,'STAFF &amp; TASKS'!$A$5:$A$24,0))),PayRate))</f>
        <v/>
      </c>
      <c r="X902" s="55">
        <f>IF(B902="","",IF(OR(O902="Cancelled",O902="No-Show"),"",ROUND(R902*W902*(1+Burden),2)))</f>
        <v/>
      </c>
      <c r="Y902" s="55">
        <f>IF(B902="","",IF(OR(O902="Cancelled",O902="No-Show"),"",IF(N902&lt;&gt;"",N902,ROUND(R902*SupHr*IFERROR(INDEX('PRICING'!$G$7:$G$16,MATCH(F902,'PRICING'!$A$7:$A$16,0)),1),2))))</f>
        <v/>
      </c>
      <c r="Z902" s="98">
        <f>IF(B902="","",SUMIFS('MILEAGE'!$J$5:$J$1504,'MILEAGE'!$B$5:$B$1504,A902))</f>
        <v/>
      </c>
      <c r="AA902" s="55">
        <f>IF(B902="","",ROUND(Z902*MileRate,2))</f>
        <v/>
      </c>
      <c r="AB902" s="55">
        <f>IF(B902="","",SUMIFS('REVENUE'!$J$5:$J$1504,'REVENUE'!$B$5:$B$1504,A902))</f>
        <v/>
      </c>
      <c r="AC902" s="55">
        <f>IF(L902="","",IF(OR(O902="Cancelled",O902="No-Show"),"",L902-N(X902)-N(Y902)-AA902-AB902))</f>
        <v/>
      </c>
      <c r="AD902" s="99">
        <f>IF(OR(AC902="",N(L902)=0),"",AC902/L902)</f>
        <v/>
      </c>
      <c r="AE902" s="55">
        <f>IF(OR(AC902="",N(R902)=0),"",L902/R902)</f>
        <v/>
      </c>
      <c r="AF902" s="100">
        <f>IF(OR(N(K902)=0,N(J902)+N(Q902)=0),"",K902-IF(N(J902)&gt;0,J902,Q902))</f>
        <v/>
      </c>
      <c r="AG902" s="99">
        <f>IF(B902="","",IFERROR(AVERAGEIFS('QUALITY CONTROL'!$M$5:$M$304,'QUALITY CONTROL'!$B$5:$B$304,A902),""))</f>
        <v/>
      </c>
      <c r="AH902" s="51">
        <f>IF(B902="","",DATE(YEAR(B902),MONTH(B902),1))</f>
        <v/>
      </c>
      <c r="AI902" s="49">
        <f>IF(D902="","",IFERROR(INDEX('CUSTOMERS'!$E$5:$E$404,MATCH(D902,'CUSTOMERS'!$B$5:$B$404,0)),""))</f>
        <v/>
      </c>
      <c r="AJ902" s="49">
        <f>IF(B902="","",N(C902))</f>
        <v/>
      </c>
      <c r="AK902" s="49">
        <f>IF(OR(B902="",O902="Cancelled",O902="Rescheduled"),"",B902&amp;"|"&amp;(COUNTIFS('JOBS'!$B$5:$B$1504,B902,'JOBS'!$AJ$5:$AJ$1504,"&lt;"&amp;AJ902,'JOBS'!$O$5:$O$1504,"&lt;&gt;Cancelled",'JOBS'!$O$5:$O$1504,"&lt;&gt;Rescheduled")+COUNTIFS($B$5:B902,B902,$AJ$5:AJ902,AJ902,$O$5:O902,"&lt;&gt;Cancelled",$O$5:O902,"&lt;&gt;Rescheduled")))</f>
        <v/>
      </c>
      <c r="AL902" s="49">
        <f>IF(N(U902)&lt;=0.005,"",COUNTIFS('JOBS'!$U$5:$U$1504,"&gt;0.005",'JOBS'!$B$5:$B$1504,"&lt;"&amp;B902)+COUNTIFS($U$5:U902,"&gt;0.005",$B$5:B902,B902))</f>
        <v/>
      </c>
    </row>
    <row r="903">
      <c r="A903" s="46" t="inlineStr">
        <is>
          <t>J-0899</t>
        </is>
      </c>
      <c r="B903" s="47" t="n"/>
      <c r="C903" s="94" t="n"/>
      <c r="D903" s="38" t="n"/>
      <c r="E903" s="38" t="n"/>
      <c r="F903" s="38" t="n"/>
      <c r="G903" s="38" t="n"/>
      <c r="H903" s="38" t="n"/>
      <c r="I903" s="57" t="n"/>
      <c r="J903" s="95" t="n"/>
      <c r="K903" s="95" t="n"/>
      <c r="L903" s="48" t="n"/>
      <c r="M903" s="96" t="n"/>
      <c r="N903" s="48" t="n"/>
      <c r="O903" s="38" t="n"/>
      <c r="P903" s="38" t="n"/>
      <c r="Q903" s="97">
        <f>IF(OR(F903="",E903=""),"",IFERROR(IF(INDEX('PROPERTIES'!$F$5:$F$404,MATCH(E903,'PROPERTIES'!$B$5:$B$404,0))=0,"",ROUND((INDEX('PROPERTIES'!$F$5:$F$404,MATCH(E903,'PROPERTIES'!$B$5:$B$404,0))/INDEX('PRICING'!$C$7:$C$16,MATCH(F903,'PRICING'!$A$7:$A$16,0))+INDEX('PROPERTIES'!$G$5:$G$404,MATCH(E903,'PROPERTIES'!$B$5:$B$404,0))*INDEX('PRICING'!$D$7:$D$16,MATCH(F903,'PRICING'!$A$7:$A$16,0))/60+INDEX('PROPERTIES'!$H$5:$H$404,MATCH(E903,'PROPERTIES'!$B$5:$B$404,0))*INDEX('PRICING'!$E$7:$E$16,MATCH(F903,'PRICING'!$A$7:$A$16,0))/60+INDEX('PRICING'!$F$7:$F$16,MATCH(F903,'PRICING'!$A$7:$A$16,0))/60),2)),""))</f>
        <v/>
      </c>
      <c r="R903" s="97">
        <f>IF(B903="","",IF(N(K903)&gt;0,K903,IF(N(J903)&gt;0,J903,N(Q903))))</f>
        <v/>
      </c>
      <c r="S903" s="55">
        <f>IF(L903="","",ROUND(L903*(1+N(M903)),2))</f>
        <v/>
      </c>
      <c r="T903" s="55">
        <f>IF(B903="","",SUMIFS('REVENUE'!$C$5:$C$1504,'REVENUE'!$B$5:$B$1504,A903))</f>
        <v/>
      </c>
      <c r="U903" s="55">
        <f>IF(B903="","",IF(O903="Completed",MAX(0,N(S903)-T903),""))</f>
        <v/>
      </c>
      <c r="V903" s="49">
        <f>IF(B903="","",IF(O903&lt;&gt;"Completed",IF(T903&gt;0,"Deposit","—"),IF(U903&lt;=0.005,"Paid",IF(T903&gt;0,"Partial","Unpaid"))))</f>
        <v/>
      </c>
      <c r="W903" s="55">
        <f>IF(B903="","",IFERROR(1/(1/INDEX('STAFF &amp; TASKS'!$C$5:$C$24,MATCH(H903,'STAFF &amp; TASKS'!$A$5:$A$24,0))),PayRate))</f>
        <v/>
      </c>
      <c r="X903" s="55">
        <f>IF(B903="","",IF(OR(O903="Cancelled",O903="No-Show"),"",ROUND(R903*W903*(1+Burden),2)))</f>
        <v/>
      </c>
      <c r="Y903" s="55">
        <f>IF(B903="","",IF(OR(O903="Cancelled",O903="No-Show"),"",IF(N903&lt;&gt;"",N903,ROUND(R903*SupHr*IFERROR(INDEX('PRICING'!$G$7:$G$16,MATCH(F903,'PRICING'!$A$7:$A$16,0)),1),2))))</f>
        <v/>
      </c>
      <c r="Z903" s="98">
        <f>IF(B903="","",SUMIFS('MILEAGE'!$J$5:$J$1504,'MILEAGE'!$B$5:$B$1504,A903))</f>
        <v/>
      </c>
      <c r="AA903" s="55">
        <f>IF(B903="","",ROUND(Z903*MileRate,2))</f>
        <v/>
      </c>
      <c r="AB903" s="55">
        <f>IF(B903="","",SUMIFS('REVENUE'!$J$5:$J$1504,'REVENUE'!$B$5:$B$1504,A903))</f>
        <v/>
      </c>
      <c r="AC903" s="55">
        <f>IF(L903="","",IF(OR(O903="Cancelled",O903="No-Show"),"",L903-N(X903)-N(Y903)-AA903-AB903))</f>
        <v/>
      </c>
      <c r="AD903" s="99">
        <f>IF(OR(AC903="",N(L903)=0),"",AC903/L903)</f>
        <v/>
      </c>
      <c r="AE903" s="55">
        <f>IF(OR(AC903="",N(R903)=0),"",L903/R903)</f>
        <v/>
      </c>
      <c r="AF903" s="100">
        <f>IF(OR(N(K903)=0,N(J903)+N(Q903)=0),"",K903-IF(N(J903)&gt;0,J903,Q903))</f>
        <v/>
      </c>
      <c r="AG903" s="99">
        <f>IF(B903="","",IFERROR(AVERAGEIFS('QUALITY CONTROL'!$M$5:$M$304,'QUALITY CONTROL'!$B$5:$B$304,A903),""))</f>
        <v/>
      </c>
      <c r="AH903" s="51">
        <f>IF(B903="","",DATE(YEAR(B903),MONTH(B903),1))</f>
        <v/>
      </c>
      <c r="AI903" s="49">
        <f>IF(D903="","",IFERROR(INDEX('CUSTOMERS'!$E$5:$E$404,MATCH(D903,'CUSTOMERS'!$B$5:$B$404,0)),""))</f>
        <v/>
      </c>
      <c r="AJ903" s="49">
        <f>IF(B903="","",N(C903))</f>
        <v/>
      </c>
      <c r="AK903" s="49">
        <f>IF(OR(B903="",O903="Cancelled",O903="Rescheduled"),"",B903&amp;"|"&amp;(COUNTIFS('JOBS'!$B$5:$B$1504,B903,'JOBS'!$AJ$5:$AJ$1504,"&lt;"&amp;AJ903,'JOBS'!$O$5:$O$1504,"&lt;&gt;Cancelled",'JOBS'!$O$5:$O$1504,"&lt;&gt;Rescheduled")+COUNTIFS($B$5:B903,B903,$AJ$5:AJ903,AJ903,$O$5:O903,"&lt;&gt;Cancelled",$O$5:O903,"&lt;&gt;Rescheduled")))</f>
        <v/>
      </c>
      <c r="AL903" s="49">
        <f>IF(N(U903)&lt;=0.005,"",COUNTIFS('JOBS'!$U$5:$U$1504,"&gt;0.005",'JOBS'!$B$5:$B$1504,"&lt;"&amp;B903)+COUNTIFS($U$5:U903,"&gt;0.005",$B$5:B903,B903))</f>
        <v/>
      </c>
    </row>
    <row r="904">
      <c r="A904" s="46" t="inlineStr">
        <is>
          <t>J-0900</t>
        </is>
      </c>
      <c r="B904" s="47" t="n"/>
      <c r="C904" s="94" t="n"/>
      <c r="D904" s="38" t="n"/>
      <c r="E904" s="38" t="n"/>
      <c r="F904" s="38" t="n"/>
      <c r="G904" s="38" t="n"/>
      <c r="H904" s="38" t="n"/>
      <c r="I904" s="57" t="n"/>
      <c r="J904" s="95" t="n"/>
      <c r="K904" s="95" t="n"/>
      <c r="L904" s="48" t="n"/>
      <c r="M904" s="96" t="n"/>
      <c r="N904" s="48" t="n"/>
      <c r="O904" s="38" t="n"/>
      <c r="P904" s="38" t="n"/>
      <c r="Q904" s="97">
        <f>IF(OR(F904="",E904=""),"",IFERROR(IF(INDEX('PROPERTIES'!$F$5:$F$404,MATCH(E904,'PROPERTIES'!$B$5:$B$404,0))=0,"",ROUND((INDEX('PROPERTIES'!$F$5:$F$404,MATCH(E904,'PROPERTIES'!$B$5:$B$404,0))/INDEX('PRICING'!$C$7:$C$16,MATCH(F904,'PRICING'!$A$7:$A$16,0))+INDEX('PROPERTIES'!$G$5:$G$404,MATCH(E904,'PROPERTIES'!$B$5:$B$404,0))*INDEX('PRICING'!$D$7:$D$16,MATCH(F904,'PRICING'!$A$7:$A$16,0))/60+INDEX('PROPERTIES'!$H$5:$H$404,MATCH(E904,'PROPERTIES'!$B$5:$B$404,0))*INDEX('PRICING'!$E$7:$E$16,MATCH(F904,'PRICING'!$A$7:$A$16,0))/60+INDEX('PRICING'!$F$7:$F$16,MATCH(F904,'PRICING'!$A$7:$A$16,0))/60),2)),""))</f>
        <v/>
      </c>
      <c r="R904" s="97">
        <f>IF(B904="","",IF(N(K904)&gt;0,K904,IF(N(J904)&gt;0,J904,N(Q904))))</f>
        <v/>
      </c>
      <c r="S904" s="55">
        <f>IF(L904="","",ROUND(L904*(1+N(M904)),2))</f>
        <v/>
      </c>
      <c r="T904" s="55">
        <f>IF(B904="","",SUMIFS('REVENUE'!$C$5:$C$1504,'REVENUE'!$B$5:$B$1504,A904))</f>
        <v/>
      </c>
      <c r="U904" s="55">
        <f>IF(B904="","",IF(O904="Completed",MAX(0,N(S904)-T904),""))</f>
        <v/>
      </c>
      <c r="V904" s="49">
        <f>IF(B904="","",IF(O904&lt;&gt;"Completed",IF(T904&gt;0,"Deposit","—"),IF(U904&lt;=0.005,"Paid",IF(T904&gt;0,"Partial","Unpaid"))))</f>
        <v/>
      </c>
      <c r="W904" s="55">
        <f>IF(B904="","",IFERROR(1/(1/INDEX('STAFF &amp; TASKS'!$C$5:$C$24,MATCH(H904,'STAFF &amp; TASKS'!$A$5:$A$24,0))),PayRate))</f>
        <v/>
      </c>
      <c r="X904" s="55">
        <f>IF(B904="","",IF(OR(O904="Cancelled",O904="No-Show"),"",ROUND(R904*W904*(1+Burden),2)))</f>
        <v/>
      </c>
      <c r="Y904" s="55">
        <f>IF(B904="","",IF(OR(O904="Cancelled",O904="No-Show"),"",IF(N904&lt;&gt;"",N904,ROUND(R904*SupHr*IFERROR(INDEX('PRICING'!$G$7:$G$16,MATCH(F904,'PRICING'!$A$7:$A$16,0)),1),2))))</f>
        <v/>
      </c>
      <c r="Z904" s="98">
        <f>IF(B904="","",SUMIFS('MILEAGE'!$J$5:$J$1504,'MILEAGE'!$B$5:$B$1504,A904))</f>
        <v/>
      </c>
      <c r="AA904" s="55">
        <f>IF(B904="","",ROUND(Z904*MileRate,2))</f>
        <v/>
      </c>
      <c r="AB904" s="55">
        <f>IF(B904="","",SUMIFS('REVENUE'!$J$5:$J$1504,'REVENUE'!$B$5:$B$1504,A904))</f>
        <v/>
      </c>
      <c r="AC904" s="55">
        <f>IF(L904="","",IF(OR(O904="Cancelled",O904="No-Show"),"",L904-N(X904)-N(Y904)-AA904-AB904))</f>
        <v/>
      </c>
      <c r="AD904" s="99">
        <f>IF(OR(AC904="",N(L904)=0),"",AC904/L904)</f>
        <v/>
      </c>
      <c r="AE904" s="55">
        <f>IF(OR(AC904="",N(R904)=0),"",L904/R904)</f>
        <v/>
      </c>
      <c r="AF904" s="100">
        <f>IF(OR(N(K904)=0,N(J904)+N(Q904)=0),"",K904-IF(N(J904)&gt;0,J904,Q904))</f>
        <v/>
      </c>
      <c r="AG904" s="99">
        <f>IF(B904="","",IFERROR(AVERAGEIFS('QUALITY CONTROL'!$M$5:$M$304,'QUALITY CONTROL'!$B$5:$B$304,A904),""))</f>
        <v/>
      </c>
      <c r="AH904" s="51">
        <f>IF(B904="","",DATE(YEAR(B904),MONTH(B904),1))</f>
        <v/>
      </c>
      <c r="AI904" s="49">
        <f>IF(D904="","",IFERROR(INDEX('CUSTOMERS'!$E$5:$E$404,MATCH(D904,'CUSTOMERS'!$B$5:$B$404,0)),""))</f>
        <v/>
      </c>
      <c r="AJ904" s="49">
        <f>IF(B904="","",N(C904))</f>
        <v/>
      </c>
      <c r="AK904" s="49">
        <f>IF(OR(B904="",O904="Cancelled",O904="Rescheduled"),"",B904&amp;"|"&amp;(COUNTIFS('JOBS'!$B$5:$B$1504,B904,'JOBS'!$AJ$5:$AJ$1504,"&lt;"&amp;AJ904,'JOBS'!$O$5:$O$1504,"&lt;&gt;Cancelled",'JOBS'!$O$5:$O$1504,"&lt;&gt;Rescheduled")+COUNTIFS($B$5:B904,B904,$AJ$5:AJ904,AJ904,$O$5:O904,"&lt;&gt;Cancelled",$O$5:O904,"&lt;&gt;Rescheduled")))</f>
        <v/>
      </c>
      <c r="AL904" s="49">
        <f>IF(N(U904)&lt;=0.005,"",COUNTIFS('JOBS'!$U$5:$U$1504,"&gt;0.005",'JOBS'!$B$5:$B$1504,"&lt;"&amp;B904)+COUNTIFS($U$5:U904,"&gt;0.005",$B$5:B904,B904))</f>
        <v/>
      </c>
    </row>
    <row r="905">
      <c r="A905" s="46" t="inlineStr">
        <is>
          <t>J-0901</t>
        </is>
      </c>
      <c r="B905" s="47" t="n"/>
      <c r="C905" s="94" t="n"/>
      <c r="D905" s="38" t="n"/>
      <c r="E905" s="38" t="n"/>
      <c r="F905" s="38" t="n"/>
      <c r="G905" s="38" t="n"/>
      <c r="H905" s="38" t="n"/>
      <c r="I905" s="57" t="n"/>
      <c r="J905" s="95" t="n"/>
      <c r="K905" s="95" t="n"/>
      <c r="L905" s="48" t="n"/>
      <c r="M905" s="96" t="n"/>
      <c r="N905" s="48" t="n"/>
      <c r="O905" s="38" t="n"/>
      <c r="P905" s="38" t="n"/>
      <c r="Q905" s="97">
        <f>IF(OR(F905="",E905=""),"",IFERROR(IF(INDEX('PROPERTIES'!$F$5:$F$404,MATCH(E905,'PROPERTIES'!$B$5:$B$404,0))=0,"",ROUND((INDEX('PROPERTIES'!$F$5:$F$404,MATCH(E905,'PROPERTIES'!$B$5:$B$404,0))/INDEX('PRICING'!$C$7:$C$16,MATCH(F905,'PRICING'!$A$7:$A$16,0))+INDEX('PROPERTIES'!$G$5:$G$404,MATCH(E905,'PROPERTIES'!$B$5:$B$404,0))*INDEX('PRICING'!$D$7:$D$16,MATCH(F905,'PRICING'!$A$7:$A$16,0))/60+INDEX('PROPERTIES'!$H$5:$H$404,MATCH(E905,'PROPERTIES'!$B$5:$B$404,0))*INDEX('PRICING'!$E$7:$E$16,MATCH(F905,'PRICING'!$A$7:$A$16,0))/60+INDEX('PRICING'!$F$7:$F$16,MATCH(F905,'PRICING'!$A$7:$A$16,0))/60),2)),""))</f>
        <v/>
      </c>
      <c r="R905" s="97">
        <f>IF(B905="","",IF(N(K905)&gt;0,K905,IF(N(J905)&gt;0,J905,N(Q905))))</f>
        <v/>
      </c>
      <c r="S905" s="55">
        <f>IF(L905="","",ROUND(L905*(1+N(M905)),2))</f>
        <v/>
      </c>
      <c r="T905" s="55">
        <f>IF(B905="","",SUMIFS('REVENUE'!$C$5:$C$1504,'REVENUE'!$B$5:$B$1504,A905))</f>
        <v/>
      </c>
      <c r="U905" s="55">
        <f>IF(B905="","",IF(O905="Completed",MAX(0,N(S905)-T905),""))</f>
        <v/>
      </c>
      <c r="V905" s="49">
        <f>IF(B905="","",IF(O905&lt;&gt;"Completed",IF(T905&gt;0,"Deposit","—"),IF(U905&lt;=0.005,"Paid",IF(T905&gt;0,"Partial","Unpaid"))))</f>
        <v/>
      </c>
      <c r="W905" s="55">
        <f>IF(B905="","",IFERROR(1/(1/INDEX('STAFF &amp; TASKS'!$C$5:$C$24,MATCH(H905,'STAFF &amp; TASKS'!$A$5:$A$24,0))),PayRate))</f>
        <v/>
      </c>
      <c r="X905" s="55">
        <f>IF(B905="","",IF(OR(O905="Cancelled",O905="No-Show"),"",ROUND(R905*W905*(1+Burden),2)))</f>
        <v/>
      </c>
      <c r="Y905" s="55">
        <f>IF(B905="","",IF(OR(O905="Cancelled",O905="No-Show"),"",IF(N905&lt;&gt;"",N905,ROUND(R905*SupHr*IFERROR(INDEX('PRICING'!$G$7:$G$16,MATCH(F905,'PRICING'!$A$7:$A$16,0)),1),2))))</f>
        <v/>
      </c>
      <c r="Z905" s="98">
        <f>IF(B905="","",SUMIFS('MILEAGE'!$J$5:$J$1504,'MILEAGE'!$B$5:$B$1504,A905))</f>
        <v/>
      </c>
      <c r="AA905" s="55">
        <f>IF(B905="","",ROUND(Z905*MileRate,2))</f>
        <v/>
      </c>
      <c r="AB905" s="55">
        <f>IF(B905="","",SUMIFS('REVENUE'!$J$5:$J$1504,'REVENUE'!$B$5:$B$1504,A905))</f>
        <v/>
      </c>
      <c r="AC905" s="55">
        <f>IF(L905="","",IF(OR(O905="Cancelled",O905="No-Show"),"",L905-N(X905)-N(Y905)-AA905-AB905))</f>
        <v/>
      </c>
      <c r="AD905" s="99">
        <f>IF(OR(AC905="",N(L905)=0),"",AC905/L905)</f>
        <v/>
      </c>
      <c r="AE905" s="55">
        <f>IF(OR(AC905="",N(R905)=0),"",L905/R905)</f>
        <v/>
      </c>
      <c r="AF905" s="100">
        <f>IF(OR(N(K905)=0,N(J905)+N(Q905)=0),"",K905-IF(N(J905)&gt;0,J905,Q905))</f>
        <v/>
      </c>
      <c r="AG905" s="99">
        <f>IF(B905="","",IFERROR(AVERAGEIFS('QUALITY CONTROL'!$M$5:$M$304,'QUALITY CONTROL'!$B$5:$B$304,A905),""))</f>
        <v/>
      </c>
      <c r="AH905" s="51">
        <f>IF(B905="","",DATE(YEAR(B905),MONTH(B905),1))</f>
        <v/>
      </c>
      <c r="AI905" s="49">
        <f>IF(D905="","",IFERROR(INDEX('CUSTOMERS'!$E$5:$E$404,MATCH(D905,'CUSTOMERS'!$B$5:$B$404,0)),""))</f>
        <v/>
      </c>
      <c r="AJ905" s="49">
        <f>IF(B905="","",N(C905))</f>
        <v/>
      </c>
      <c r="AK905" s="49">
        <f>IF(OR(B905="",O905="Cancelled",O905="Rescheduled"),"",B905&amp;"|"&amp;(COUNTIFS('JOBS'!$B$5:$B$1504,B905,'JOBS'!$AJ$5:$AJ$1504,"&lt;"&amp;AJ905,'JOBS'!$O$5:$O$1504,"&lt;&gt;Cancelled",'JOBS'!$O$5:$O$1504,"&lt;&gt;Rescheduled")+COUNTIFS($B$5:B905,B905,$AJ$5:AJ905,AJ905,$O$5:O905,"&lt;&gt;Cancelled",$O$5:O905,"&lt;&gt;Rescheduled")))</f>
        <v/>
      </c>
      <c r="AL905" s="49">
        <f>IF(N(U905)&lt;=0.005,"",COUNTIFS('JOBS'!$U$5:$U$1504,"&gt;0.005",'JOBS'!$B$5:$B$1504,"&lt;"&amp;B905)+COUNTIFS($U$5:U905,"&gt;0.005",$B$5:B905,B905))</f>
        <v/>
      </c>
    </row>
    <row r="906">
      <c r="A906" s="46" t="inlineStr">
        <is>
          <t>J-0902</t>
        </is>
      </c>
      <c r="B906" s="47" t="n"/>
      <c r="C906" s="94" t="n"/>
      <c r="D906" s="38" t="n"/>
      <c r="E906" s="38" t="n"/>
      <c r="F906" s="38" t="n"/>
      <c r="G906" s="38" t="n"/>
      <c r="H906" s="38" t="n"/>
      <c r="I906" s="57" t="n"/>
      <c r="J906" s="95" t="n"/>
      <c r="K906" s="95" t="n"/>
      <c r="L906" s="48" t="n"/>
      <c r="M906" s="96" t="n"/>
      <c r="N906" s="48" t="n"/>
      <c r="O906" s="38" t="n"/>
      <c r="P906" s="38" t="n"/>
      <c r="Q906" s="97">
        <f>IF(OR(F906="",E906=""),"",IFERROR(IF(INDEX('PROPERTIES'!$F$5:$F$404,MATCH(E906,'PROPERTIES'!$B$5:$B$404,0))=0,"",ROUND((INDEX('PROPERTIES'!$F$5:$F$404,MATCH(E906,'PROPERTIES'!$B$5:$B$404,0))/INDEX('PRICING'!$C$7:$C$16,MATCH(F906,'PRICING'!$A$7:$A$16,0))+INDEX('PROPERTIES'!$G$5:$G$404,MATCH(E906,'PROPERTIES'!$B$5:$B$404,0))*INDEX('PRICING'!$D$7:$D$16,MATCH(F906,'PRICING'!$A$7:$A$16,0))/60+INDEX('PROPERTIES'!$H$5:$H$404,MATCH(E906,'PROPERTIES'!$B$5:$B$404,0))*INDEX('PRICING'!$E$7:$E$16,MATCH(F906,'PRICING'!$A$7:$A$16,0))/60+INDEX('PRICING'!$F$7:$F$16,MATCH(F906,'PRICING'!$A$7:$A$16,0))/60),2)),""))</f>
        <v/>
      </c>
      <c r="R906" s="97">
        <f>IF(B906="","",IF(N(K906)&gt;0,K906,IF(N(J906)&gt;0,J906,N(Q906))))</f>
        <v/>
      </c>
      <c r="S906" s="55">
        <f>IF(L906="","",ROUND(L906*(1+N(M906)),2))</f>
        <v/>
      </c>
      <c r="T906" s="55">
        <f>IF(B906="","",SUMIFS('REVENUE'!$C$5:$C$1504,'REVENUE'!$B$5:$B$1504,A906))</f>
        <v/>
      </c>
      <c r="U906" s="55">
        <f>IF(B906="","",IF(O906="Completed",MAX(0,N(S906)-T906),""))</f>
        <v/>
      </c>
      <c r="V906" s="49">
        <f>IF(B906="","",IF(O906&lt;&gt;"Completed",IF(T906&gt;0,"Deposit","—"),IF(U906&lt;=0.005,"Paid",IF(T906&gt;0,"Partial","Unpaid"))))</f>
        <v/>
      </c>
      <c r="W906" s="55">
        <f>IF(B906="","",IFERROR(1/(1/INDEX('STAFF &amp; TASKS'!$C$5:$C$24,MATCH(H906,'STAFF &amp; TASKS'!$A$5:$A$24,0))),PayRate))</f>
        <v/>
      </c>
      <c r="X906" s="55">
        <f>IF(B906="","",IF(OR(O906="Cancelled",O906="No-Show"),"",ROUND(R906*W906*(1+Burden),2)))</f>
        <v/>
      </c>
      <c r="Y906" s="55">
        <f>IF(B906="","",IF(OR(O906="Cancelled",O906="No-Show"),"",IF(N906&lt;&gt;"",N906,ROUND(R906*SupHr*IFERROR(INDEX('PRICING'!$G$7:$G$16,MATCH(F906,'PRICING'!$A$7:$A$16,0)),1),2))))</f>
        <v/>
      </c>
      <c r="Z906" s="98">
        <f>IF(B906="","",SUMIFS('MILEAGE'!$J$5:$J$1504,'MILEAGE'!$B$5:$B$1504,A906))</f>
        <v/>
      </c>
      <c r="AA906" s="55">
        <f>IF(B906="","",ROUND(Z906*MileRate,2))</f>
        <v/>
      </c>
      <c r="AB906" s="55">
        <f>IF(B906="","",SUMIFS('REVENUE'!$J$5:$J$1504,'REVENUE'!$B$5:$B$1504,A906))</f>
        <v/>
      </c>
      <c r="AC906" s="55">
        <f>IF(L906="","",IF(OR(O906="Cancelled",O906="No-Show"),"",L906-N(X906)-N(Y906)-AA906-AB906))</f>
        <v/>
      </c>
      <c r="AD906" s="99">
        <f>IF(OR(AC906="",N(L906)=0),"",AC906/L906)</f>
        <v/>
      </c>
      <c r="AE906" s="55">
        <f>IF(OR(AC906="",N(R906)=0),"",L906/R906)</f>
        <v/>
      </c>
      <c r="AF906" s="100">
        <f>IF(OR(N(K906)=0,N(J906)+N(Q906)=0),"",K906-IF(N(J906)&gt;0,J906,Q906))</f>
        <v/>
      </c>
      <c r="AG906" s="99">
        <f>IF(B906="","",IFERROR(AVERAGEIFS('QUALITY CONTROL'!$M$5:$M$304,'QUALITY CONTROL'!$B$5:$B$304,A906),""))</f>
        <v/>
      </c>
      <c r="AH906" s="51">
        <f>IF(B906="","",DATE(YEAR(B906),MONTH(B906),1))</f>
        <v/>
      </c>
      <c r="AI906" s="49">
        <f>IF(D906="","",IFERROR(INDEX('CUSTOMERS'!$E$5:$E$404,MATCH(D906,'CUSTOMERS'!$B$5:$B$404,0)),""))</f>
        <v/>
      </c>
      <c r="AJ906" s="49">
        <f>IF(B906="","",N(C906))</f>
        <v/>
      </c>
      <c r="AK906" s="49">
        <f>IF(OR(B906="",O906="Cancelled",O906="Rescheduled"),"",B906&amp;"|"&amp;(COUNTIFS('JOBS'!$B$5:$B$1504,B906,'JOBS'!$AJ$5:$AJ$1504,"&lt;"&amp;AJ906,'JOBS'!$O$5:$O$1504,"&lt;&gt;Cancelled",'JOBS'!$O$5:$O$1504,"&lt;&gt;Rescheduled")+COUNTIFS($B$5:B906,B906,$AJ$5:AJ906,AJ906,$O$5:O906,"&lt;&gt;Cancelled",$O$5:O906,"&lt;&gt;Rescheduled")))</f>
        <v/>
      </c>
      <c r="AL906" s="49">
        <f>IF(N(U906)&lt;=0.005,"",COUNTIFS('JOBS'!$U$5:$U$1504,"&gt;0.005",'JOBS'!$B$5:$B$1504,"&lt;"&amp;B906)+COUNTIFS($U$5:U906,"&gt;0.005",$B$5:B906,B906))</f>
        <v/>
      </c>
    </row>
    <row r="907">
      <c r="A907" s="46" t="inlineStr">
        <is>
          <t>J-0903</t>
        </is>
      </c>
      <c r="B907" s="47" t="n"/>
      <c r="C907" s="94" t="n"/>
      <c r="D907" s="38" t="n"/>
      <c r="E907" s="38" t="n"/>
      <c r="F907" s="38" t="n"/>
      <c r="G907" s="38" t="n"/>
      <c r="H907" s="38" t="n"/>
      <c r="I907" s="57" t="n"/>
      <c r="J907" s="95" t="n"/>
      <c r="K907" s="95" t="n"/>
      <c r="L907" s="48" t="n"/>
      <c r="M907" s="96" t="n"/>
      <c r="N907" s="48" t="n"/>
      <c r="O907" s="38" t="n"/>
      <c r="P907" s="38" t="n"/>
      <c r="Q907" s="97">
        <f>IF(OR(F907="",E907=""),"",IFERROR(IF(INDEX('PROPERTIES'!$F$5:$F$404,MATCH(E907,'PROPERTIES'!$B$5:$B$404,0))=0,"",ROUND((INDEX('PROPERTIES'!$F$5:$F$404,MATCH(E907,'PROPERTIES'!$B$5:$B$404,0))/INDEX('PRICING'!$C$7:$C$16,MATCH(F907,'PRICING'!$A$7:$A$16,0))+INDEX('PROPERTIES'!$G$5:$G$404,MATCH(E907,'PROPERTIES'!$B$5:$B$404,0))*INDEX('PRICING'!$D$7:$D$16,MATCH(F907,'PRICING'!$A$7:$A$16,0))/60+INDEX('PROPERTIES'!$H$5:$H$404,MATCH(E907,'PROPERTIES'!$B$5:$B$404,0))*INDEX('PRICING'!$E$7:$E$16,MATCH(F907,'PRICING'!$A$7:$A$16,0))/60+INDEX('PRICING'!$F$7:$F$16,MATCH(F907,'PRICING'!$A$7:$A$16,0))/60),2)),""))</f>
        <v/>
      </c>
      <c r="R907" s="97">
        <f>IF(B907="","",IF(N(K907)&gt;0,K907,IF(N(J907)&gt;0,J907,N(Q907))))</f>
        <v/>
      </c>
      <c r="S907" s="55">
        <f>IF(L907="","",ROUND(L907*(1+N(M907)),2))</f>
        <v/>
      </c>
      <c r="T907" s="55">
        <f>IF(B907="","",SUMIFS('REVENUE'!$C$5:$C$1504,'REVENUE'!$B$5:$B$1504,A907))</f>
        <v/>
      </c>
      <c r="U907" s="55">
        <f>IF(B907="","",IF(O907="Completed",MAX(0,N(S907)-T907),""))</f>
        <v/>
      </c>
      <c r="V907" s="49">
        <f>IF(B907="","",IF(O907&lt;&gt;"Completed",IF(T907&gt;0,"Deposit","—"),IF(U907&lt;=0.005,"Paid",IF(T907&gt;0,"Partial","Unpaid"))))</f>
        <v/>
      </c>
      <c r="W907" s="55">
        <f>IF(B907="","",IFERROR(1/(1/INDEX('STAFF &amp; TASKS'!$C$5:$C$24,MATCH(H907,'STAFF &amp; TASKS'!$A$5:$A$24,0))),PayRate))</f>
        <v/>
      </c>
      <c r="X907" s="55">
        <f>IF(B907="","",IF(OR(O907="Cancelled",O907="No-Show"),"",ROUND(R907*W907*(1+Burden),2)))</f>
        <v/>
      </c>
      <c r="Y907" s="55">
        <f>IF(B907="","",IF(OR(O907="Cancelled",O907="No-Show"),"",IF(N907&lt;&gt;"",N907,ROUND(R907*SupHr*IFERROR(INDEX('PRICING'!$G$7:$G$16,MATCH(F907,'PRICING'!$A$7:$A$16,0)),1),2))))</f>
        <v/>
      </c>
      <c r="Z907" s="98">
        <f>IF(B907="","",SUMIFS('MILEAGE'!$J$5:$J$1504,'MILEAGE'!$B$5:$B$1504,A907))</f>
        <v/>
      </c>
      <c r="AA907" s="55">
        <f>IF(B907="","",ROUND(Z907*MileRate,2))</f>
        <v/>
      </c>
      <c r="AB907" s="55">
        <f>IF(B907="","",SUMIFS('REVENUE'!$J$5:$J$1504,'REVENUE'!$B$5:$B$1504,A907))</f>
        <v/>
      </c>
      <c r="AC907" s="55">
        <f>IF(L907="","",IF(OR(O907="Cancelled",O907="No-Show"),"",L907-N(X907)-N(Y907)-AA907-AB907))</f>
        <v/>
      </c>
      <c r="AD907" s="99">
        <f>IF(OR(AC907="",N(L907)=0),"",AC907/L907)</f>
        <v/>
      </c>
      <c r="AE907" s="55">
        <f>IF(OR(AC907="",N(R907)=0),"",L907/R907)</f>
        <v/>
      </c>
      <c r="AF907" s="100">
        <f>IF(OR(N(K907)=0,N(J907)+N(Q907)=0),"",K907-IF(N(J907)&gt;0,J907,Q907))</f>
        <v/>
      </c>
      <c r="AG907" s="99">
        <f>IF(B907="","",IFERROR(AVERAGEIFS('QUALITY CONTROL'!$M$5:$M$304,'QUALITY CONTROL'!$B$5:$B$304,A907),""))</f>
        <v/>
      </c>
      <c r="AH907" s="51">
        <f>IF(B907="","",DATE(YEAR(B907),MONTH(B907),1))</f>
        <v/>
      </c>
      <c r="AI907" s="49">
        <f>IF(D907="","",IFERROR(INDEX('CUSTOMERS'!$E$5:$E$404,MATCH(D907,'CUSTOMERS'!$B$5:$B$404,0)),""))</f>
        <v/>
      </c>
      <c r="AJ907" s="49">
        <f>IF(B907="","",N(C907))</f>
        <v/>
      </c>
      <c r="AK907" s="49">
        <f>IF(OR(B907="",O907="Cancelled",O907="Rescheduled"),"",B907&amp;"|"&amp;(COUNTIFS('JOBS'!$B$5:$B$1504,B907,'JOBS'!$AJ$5:$AJ$1504,"&lt;"&amp;AJ907,'JOBS'!$O$5:$O$1504,"&lt;&gt;Cancelled",'JOBS'!$O$5:$O$1504,"&lt;&gt;Rescheduled")+COUNTIFS($B$5:B907,B907,$AJ$5:AJ907,AJ907,$O$5:O907,"&lt;&gt;Cancelled",$O$5:O907,"&lt;&gt;Rescheduled")))</f>
        <v/>
      </c>
      <c r="AL907" s="49">
        <f>IF(N(U907)&lt;=0.005,"",COUNTIFS('JOBS'!$U$5:$U$1504,"&gt;0.005",'JOBS'!$B$5:$B$1504,"&lt;"&amp;B907)+COUNTIFS($U$5:U907,"&gt;0.005",$B$5:B907,B907))</f>
        <v/>
      </c>
    </row>
    <row r="908">
      <c r="A908" s="46" t="inlineStr">
        <is>
          <t>J-0904</t>
        </is>
      </c>
      <c r="B908" s="47" t="n"/>
      <c r="C908" s="94" t="n"/>
      <c r="D908" s="38" t="n"/>
      <c r="E908" s="38" t="n"/>
      <c r="F908" s="38" t="n"/>
      <c r="G908" s="38" t="n"/>
      <c r="H908" s="38" t="n"/>
      <c r="I908" s="57" t="n"/>
      <c r="J908" s="95" t="n"/>
      <c r="K908" s="95" t="n"/>
      <c r="L908" s="48" t="n"/>
      <c r="M908" s="96" t="n"/>
      <c r="N908" s="48" t="n"/>
      <c r="O908" s="38" t="n"/>
      <c r="P908" s="38" t="n"/>
      <c r="Q908" s="97">
        <f>IF(OR(F908="",E908=""),"",IFERROR(IF(INDEX('PROPERTIES'!$F$5:$F$404,MATCH(E908,'PROPERTIES'!$B$5:$B$404,0))=0,"",ROUND((INDEX('PROPERTIES'!$F$5:$F$404,MATCH(E908,'PROPERTIES'!$B$5:$B$404,0))/INDEX('PRICING'!$C$7:$C$16,MATCH(F908,'PRICING'!$A$7:$A$16,0))+INDEX('PROPERTIES'!$G$5:$G$404,MATCH(E908,'PROPERTIES'!$B$5:$B$404,0))*INDEX('PRICING'!$D$7:$D$16,MATCH(F908,'PRICING'!$A$7:$A$16,0))/60+INDEX('PROPERTIES'!$H$5:$H$404,MATCH(E908,'PROPERTIES'!$B$5:$B$404,0))*INDEX('PRICING'!$E$7:$E$16,MATCH(F908,'PRICING'!$A$7:$A$16,0))/60+INDEX('PRICING'!$F$7:$F$16,MATCH(F908,'PRICING'!$A$7:$A$16,0))/60),2)),""))</f>
        <v/>
      </c>
      <c r="R908" s="97">
        <f>IF(B908="","",IF(N(K908)&gt;0,K908,IF(N(J908)&gt;0,J908,N(Q908))))</f>
        <v/>
      </c>
      <c r="S908" s="55">
        <f>IF(L908="","",ROUND(L908*(1+N(M908)),2))</f>
        <v/>
      </c>
      <c r="T908" s="55">
        <f>IF(B908="","",SUMIFS('REVENUE'!$C$5:$C$1504,'REVENUE'!$B$5:$B$1504,A908))</f>
        <v/>
      </c>
      <c r="U908" s="55">
        <f>IF(B908="","",IF(O908="Completed",MAX(0,N(S908)-T908),""))</f>
        <v/>
      </c>
      <c r="V908" s="49">
        <f>IF(B908="","",IF(O908&lt;&gt;"Completed",IF(T908&gt;0,"Deposit","—"),IF(U908&lt;=0.005,"Paid",IF(T908&gt;0,"Partial","Unpaid"))))</f>
        <v/>
      </c>
      <c r="W908" s="55">
        <f>IF(B908="","",IFERROR(1/(1/INDEX('STAFF &amp; TASKS'!$C$5:$C$24,MATCH(H908,'STAFF &amp; TASKS'!$A$5:$A$24,0))),PayRate))</f>
        <v/>
      </c>
      <c r="X908" s="55">
        <f>IF(B908="","",IF(OR(O908="Cancelled",O908="No-Show"),"",ROUND(R908*W908*(1+Burden),2)))</f>
        <v/>
      </c>
      <c r="Y908" s="55">
        <f>IF(B908="","",IF(OR(O908="Cancelled",O908="No-Show"),"",IF(N908&lt;&gt;"",N908,ROUND(R908*SupHr*IFERROR(INDEX('PRICING'!$G$7:$G$16,MATCH(F908,'PRICING'!$A$7:$A$16,0)),1),2))))</f>
        <v/>
      </c>
      <c r="Z908" s="98">
        <f>IF(B908="","",SUMIFS('MILEAGE'!$J$5:$J$1504,'MILEAGE'!$B$5:$B$1504,A908))</f>
        <v/>
      </c>
      <c r="AA908" s="55">
        <f>IF(B908="","",ROUND(Z908*MileRate,2))</f>
        <v/>
      </c>
      <c r="AB908" s="55">
        <f>IF(B908="","",SUMIFS('REVENUE'!$J$5:$J$1504,'REVENUE'!$B$5:$B$1504,A908))</f>
        <v/>
      </c>
      <c r="AC908" s="55">
        <f>IF(L908="","",IF(OR(O908="Cancelled",O908="No-Show"),"",L908-N(X908)-N(Y908)-AA908-AB908))</f>
        <v/>
      </c>
      <c r="AD908" s="99">
        <f>IF(OR(AC908="",N(L908)=0),"",AC908/L908)</f>
        <v/>
      </c>
      <c r="AE908" s="55">
        <f>IF(OR(AC908="",N(R908)=0),"",L908/R908)</f>
        <v/>
      </c>
      <c r="AF908" s="100">
        <f>IF(OR(N(K908)=0,N(J908)+N(Q908)=0),"",K908-IF(N(J908)&gt;0,J908,Q908))</f>
        <v/>
      </c>
      <c r="AG908" s="99">
        <f>IF(B908="","",IFERROR(AVERAGEIFS('QUALITY CONTROL'!$M$5:$M$304,'QUALITY CONTROL'!$B$5:$B$304,A908),""))</f>
        <v/>
      </c>
      <c r="AH908" s="51">
        <f>IF(B908="","",DATE(YEAR(B908),MONTH(B908),1))</f>
        <v/>
      </c>
      <c r="AI908" s="49">
        <f>IF(D908="","",IFERROR(INDEX('CUSTOMERS'!$E$5:$E$404,MATCH(D908,'CUSTOMERS'!$B$5:$B$404,0)),""))</f>
        <v/>
      </c>
      <c r="AJ908" s="49">
        <f>IF(B908="","",N(C908))</f>
        <v/>
      </c>
      <c r="AK908" s="49">
        <f>IF(OR(B908="",O908="Cancelled",O908="Rescheduled"),"",B908&amp;"|"&amp;(COUNTIFS('JOBS'!$B$5:$B$1504,B908,'JOBS'!$AJ$5:$AJ$1504,"&lt;"&amp;AJ908,'JOBS'!$O$5:$O$1504,"&lt;&gt;Cancelled",'JOBS'!$O$5:$O$1504,"&lt;&gt;Rescheduled")+COUNTIFS($B$5:B908,B908,$AJ$5:AJ908,AJ908,$O$5:O908,"&lt;&gt;Cancelled",$O$5:O908,"&lt;&gt;Rescheduled")))</f>
        <v/>
      </c>
      <c r="AL908" s="49">
        <f>IF(N(U908)&lt;=0.005,"",COUNTIFS('JOBS'!$U$5:$U$1504,"&gt;0.005",'JOBS'!$B$5:$B$1504,"&lt;"&amp;B908)+COUNTIFS($U$5:U908,"&gt;0.005",$B$5:B908,B908))</f>
        <v/>
      </c>
    </row>
    <row r="909">
      <c r="A909" s="46" t="inlineStr">
        <is>
          <t>J-0905</t>
        </is>
      </c>
      <c r="B909" s="47" t="n"/>
      <c r="C909" s="94" t="n"/>
      <c r="D909" s="38" t="n"/>
      <c r="E909" s="38" t="n"/>
      <c r="F909" s="38" t="n"/>
      <c r="G909" s="38" t="n"/>
      <c r="H909" s="38" t="n"/>
      <c r="I909" s="57" t="n"/>
      <c r="J909" s="95" t="n"/>
      <c r="K909" s="95" t="n"/>
      <c r="L909" s="48" t="n"/>
      <c r="M909" s="96" t="n"/>
      <c r="N909" s="48" t="n"/>
      <c r="O909" s="38" t="n"/>
      <c r="P909" s="38" t="n"/>
      <c r="Q909" s="97">
        <f>IF(OR(F909="",E909=""),"",IFERROR(IF(INDEX('PROPERTIES'!$F$5:$F$404,MATCH(E909,'PROPERTIES'!$B$5:$B$404,0))=0,"",ROUND((INDEX('PROPERTIES'!$F$5:$F$404,MATCH(E909,'PROPERTIES'!$B$5:$B$404,0))/INDEX('PRICING'!$C$7:$C$16,MATCH(F909,'PRICING'!$A$7:$A$16,0))+INDEX('PROPERTIES'!$G$5:$G$404,MATCH(E909,'PROPERTIES'!$B$5:$B$404,0))*INDEX('PRICING'!$D$7:$D$16,MATCH(F909,'PRICING'!$A$7:$A$16,0))/60+INDEX('PROPERTIES'!$H$5:$H$404,MATCH(E909,'PROPERTIES'!$B$5:$B$404,0))*INDEX('PRICING'!$E$7:$E$16,MATCH(F909,'PRICING'!$A$7:$A$16,0))/60+INDEX('PRICING'!$F$7:$F$16,MATCH(F909,'PRICING'!$A$7:$A$16,0))/60),2)),""))</f>
        <v/>
      </c>
      <c r="R909" s="97">
        <f>IF(B909="","",IF(N(K909)&gt;0,K909,IF(N(J909)&gt;0,J909,N(Q909))))</f>
        <v/>
      </c>
      <c r="S909" s="55">
        <f>IF(L909="","",ROUND(L909*(1+N(M909)),2))</f>
        <v/>
      </c>
      <c r="T909" s="55">
        <f>IF(B909="","",SUMIFS('REVENUE'!$C$5:$C$1504,'REVENUE'!$B$5:$B$1504,A909))</f>
        <v/>
      </c>
      <c r="U909" s="55">
        <f>IF(B909="","",IF(O909="Completed",MAX(0,N(S909)-T909),""))</f>
        <v/>
      </c>
      <c r="V909" s="49">
        <f>IF(B909="","",IF(O909&lt;&gt;"Completed",IF(T909&gt;0,"Deposit","—"),IF(U909&lt;=0.005,"Paid",IF(T909&gt;0,"Partial","Unpaid"))))</f>
        <v/>
      </c>
      <c r="W909" s="55">
        <f>IF(B909="","",IFERROR(1/(1/INDEX('STAFF &amp; TASKS'!$C$5:$C$24,MATCH(H909,'STAFF &amp; TASKS'!$A$5:$A$24,0))),PayRate))</f>
        <v/>
      </c>
      <c r="X909" s="55">
        <f>IF(B909="","",IF(OR(O909="Cancelled",O909="No-Show"),"",ROUND(R909*W909*(1+Burden),2)))</f>
        <v/>
      </c>
      <c r="Y909" s="55">
        <f>IF(B909="","",IF(OR(O909="Cancelled",O909="No-Show"),"",IF(N909&lt;&gt;"",N909,ROUND(R909*SupHr*IFERROR(INDEX('PRICING'!$G$7:$G$16,MATCH(F909,'PRICING'!$A$7:$A$16,0)),1),2))))</f>
        <v/>
      </c>
      <c r="Z909" s="98">
        <f>IF(B909="","",SUMIFS('MILEAGE'!$J$5:$J$1504,'MILEAGE'!$B$5:$B$1504,A909))</f>
        <v/>
      </c>
      <c r="AA909" s="55">
        <f>IF(B909="","",ROUND(Z909*MileRate,2))</f>
        <v/>
      </c>
      <c r="AB909" s="55">
        <f>IF(B909="","",SUMIFS('REVENUE'!$J$5:$J$1504,'REVENUE'!$B$5:$B$1504,A909))</f>
        <v/>
      </c>
      <c r="AC909" s="55">
        <f>IF(L909="","",IF(OR(O909="Cancelled",O909="No-Show"),"",L909-N(X909)-N(Y909)-AA909-AB909))</f>
        <v/>
      </c>
      <c r="AD909" s="99">
        <f>IF(OR(AC909="",N(L909)=0),"",AC909/L909)</f>
        <v/>
      </c>
      <c r="AE909" s="55">
        <f>IF(OR(AC909="",N(R909)=0),"",L909/R909)</f>
        <v/>
      </c>
      <c r="AF909" s="100">
        <f>IF(OR(N(K909)=0,N(J909)+N(Q909)=0),"",K909-IF(N(J909)&gt;0,J909,Q909))</f>
        <v/>
      </c>
      <c r="AG909" s="99">
        <f>IF(B909="","",IFERROR(AVERAGEIFS('QUALITY CONTROL'!$M$5:$M$304,'QUALITY CONTROL'!$B$5:$B$304,A909),""))</f>
        <v/>
      </c>
      <c r="AH909" s="51">
        <f>IF(B909="","",DATE(YEAR(B909),MONTH(B909),1))</f>
        <v/>
      </c>
      <c r="AI909" s="49">
        <f>IF(D909="","",IFERROR(INDEX('CUSTOMERS'!$E$5:$E$404,MATCH(D909,'CUSTOMERS'!$B$5:$B$404,0)),""))</f>
        <v/>
      </c>
      <c r="AJ909" s="49">
        <f>IF(B909="","",N(C909))</f>
        <v/>
      </c>
      <c r="AK909" s="49">
        <f>IF(OR(B909="",O909="Cancelled",O909="Rescheduled"),"",B909&amp;"|"&amp;(COUNTIFS('JOBS'!$B$5:$B$1504,B909,'JOBS'!$AJ$5:$AJ$1504,"&lt;"&amp;AJ909,'JOBS'!$O$5:$O$1504,"&lt;&gt;Cancelled",'JOBS'!$O$5:$O$1504,"&lt;&gt;Rescheduled")+COUNTIFS($B$5:B909,B909,$AJ$5:AJ909,AJ909,$O$5:O909,"&lt;&gt;Cancelled",$O$5:O909,"&lt;&gt;Rescheduled")))</f>
        <v/>
      </c>
      <c r="AL909" s="49">
        <f>IF(N(U909)&lt;=0.005,"",COUNTIFS('JOBS'!$U$5:$U$1504,"&gt;0.005",'JOBS'!$B$5:$B$1504,"&lt;"&amp;B909)+COUNTIFS($U$5:U909,"&gt;0.005",$B$5:B909,B909))</f>
        <v/>
      </c>
    </row>
    <row r="910">
      <c r="A910" s="46" t="inlineStr">
        <is>
          <t>J-0906</t>
        </is>
      </c>
      <c r="B910" s="47" t="n"/>
      <c r="C910" s="94" t="n"/>
      <c r="D910" s="38" t="n"/>
      <c r="E910" s="38" t="n"/>
      <c r="F910" s="38" t="n"/>
      <c r="G910" s="38" t="n"/>
      <c r="H910" s="38" t="n"/>
      <c r="I910" s="57" t="n"/>
      <c r="J910" s="95" t="n"/>
      <c r="K910" s="95" t="n"/>
      <c r="L910" s="48" t="n"/>
      <c r="M910" s="96" t="n"/>
      <c r="N910" s="48" t="n"/>
      <c r="O910" s="38" t="n"/>
      <c r="P910" s="38" t="n"/>
      <c r="Q910" s="97">
        <f>IF(OR(F910="",E910=""),"",IFERROR(IF(INDEX('PROPERTIES'!$F$5:$F$404,MATCH(E910,'PROPERTIES'!$B$5:$B$404,0))=0,"",ROUND((INDEX('PROPERTIES'!$F$5:$F$404,MATCH(E910,'PROPERTIES'!$B$5:$B$404,0))/INDEX('PRICING'!$C$7:$C$16,MATCH(F910,'PRICING'!$A$7:$A$16,0))+INDEX('PROPERTIES'!$G$5:$G$404,MATCH(E910,'PROPERTIES'!$B$5:$B$404,0))*INDEX('PRICING'!$D$7:$D$16,MATCH(F910,'PRICING'!$A$7:$A$16,0))/60+INDEX('PROPERTIES'!$H$5:$H$404,MATCH(E910,'PROPERTIES'!$B$5:$B$404,0))*INDEX('PRICING'!$E$7:$E$16,MATCH(F910,'PRICING'!$A$7:$A$16,0))/60+INDEX('PRICING'!$F$7:$F$16,MATCH(F910,'PRICING'!$A$7:$A$16,0))/60),2)),""))</f>
        <v/>
      </c>
      <c r="R910" s="97">
        <f>IF(B910="","",IF(N(K910)&gt;0,K910,IF(N(J910)&gt;0,J910,N(Q910))))</f>
        <v/>
      </c>
      <c r="S910" s="55">
        <f>IF(L910="","",ROUND(L910*(1+N(M910)),2))</f>
        <v/>
      </c>
      <c r="T910" s="55">
        <f>IF(B910="","",SUMIFS('REVENUE'!$C$5:$C$1504,'REVENUE'!$B$5:$B$1504,A910))</f>
        <v/>
      </c>
      <c r="U910" s="55">
        <f>IF(B910="","",IF(O910="Completed",MAX(0,N(S910)-T910),""))</f>
        <v/>
      </c>
      <c r="V910" s="49">
        <f>IF(B910="","",IF(O910&lt;&gt;"Completed",IF(T910&gt;0,"Deposit","—"),IF(U910&lt;=0.005,"Paid",IF(T910&gt;0,"Partial","Unpaid"))))</f>
        <v/>
      </c>
      <c r="W910" s="55">
        <f>IF(B910="","",IFERROR(1/(1/INDEX('STAFF &amp; TASKS'!$C$5:$C$24,MATCH(H910,'STAFF &amp; TASKS'!$A$5:$A$24,0))),PayRate))</f>
        <v/>
      </c>
      <c r="X910" s="55">
        <f>IF(B910="","",IF(OR(O910="Cancelled",O910="No-Show"),"",ROUND(R910*W910*(1+Burden),2)))</f>
        <v/>
      </c>
      <c r="Y910" s="55">
        <f>IF(B910="","",IF(OR(O910="Cancelled",O910="No-Show"),"",IF(N910&lt;&gt;"",N910,ROUND(R910*SupHr*IFERROR(INDEX('PRICING'!$G$7:$G$16,MATCH(F910,'PRICING'!$A$7:$A$16,0)),1),2))))</f>
        <v/>
      </c>
      <c r="Z910" s="98">
        <f>IF(B910="","",SUMIFS('MILEAGE'!$J$5:$J$1504,'MILEAGE'!$B$5:$B$1504,A910))</f>
        <v/>
      </c>
      <c r="AA910" s="55">
        <f>IF(B910="","",ROUND(Z910*MileRate,2))</f>
        <v/>
      </c>
      <c r="AB910" s="55">
        <f>IF(B910="","",SUMIFS('REVENUE'!$J$5:$J$1504,'REVENUE'!$B$5:$B$1504,A910))</f>
        <v/>
      </c>
      <c r="AC910" s="55">
        <f>IF(L910="","",IF(OR(O910="Cancelled",O910="No-Show"),"",L910-N(X910)-N(Y910)-AA910-AB910))</f>
        <v/>
      </c>
      <c r="AD910" s="99">
        <f>IF(OR(AC910="",N(L910)=0),"",AC910/L910)</f>
        <v/>
      </c>
      <c r="AE910" s="55">
        <f>IF(OR(AC910="",N(R910)=0),"",L910/R910)</f>
        <v/>
      </c>
      <c r="AF910" s="100">
        <f>IF(OR(N(K910)=0,N(J910)+N(Q910)=0),"",K910-IF(N(J910)&gt;0,J910,Q910))</f>
        <v/>
      </c>
      <c r="AG910" s="99">
        <f>IF(B910="","",IFERROR(AVERAGEIFS('QUALITY CONTROL'!$M$5:$M$304,'QUALITY CONTROL'!$B$5:$B$304,A910),""))</f>
        <v/>
      </c>
      <c r="AH910" s="51">
        <f>IF(B910="","",DATE(YEAR(B910),MONTH(B910),1))</f>
        <v/>
      </c>
      <c r="AI910" s="49">
        <f>IF(D910="","",IFERROR(INDEX('CUSTOMERS'!$E$5:$E$404,MATCH(D910,'CUSTOMERS'!$B$5:$B$404,0)),""))</f>
        <v/>
      </c>
      <c r="AJ910" s="49">
        <f>IF(B910="","",N(C910))</f>
        <v/>
      </c>
      <c r="AK910" s="49">
        <f>IF(OR(B910="",O910="Cancelled",O910="Rescheduled"),"",B910&amp;"|"&amp;(COUNTIFS('JOBS'!$B$5:$B$1504,B910,'JOBS'!$AJ$5:$AJ$1504,"&lt;"&amp;AJ910,'JOBS'!$O$5:$O$1504,"&lt;&gt;Cancelled",'JOBS'!$O$5:$O$1504,"&lt;&gt;Rescheduled")+COUNTIFS($B$5:B910,B910,$AJ$5:AJ910,AJ910,$O$5:O910,"&lt;&gt;Cancelled",$O$5:O910,"&lt;&gt;Rescheduled")))</f>
        <v/>
      </c>
      <c r="AL910" s="49">
        <f>IF(N(U910)&lt;=0.005,"",COUNTIFS('JOBS'!$U$5:$U$1504,"&gt;0.005",'JOBS'!$B$5:$B$1504,"&lt;"&amp;B910)+COUNTIFS($U$5:U910,"&gt;0.005",$B$5:B910,B910))</f>
        <v/>
      </c>
    </row>
    <row r="911">
      <c r="A911" s="46" t="inlineStr">
        <is>
          <t>J-0907</t>
        </is>
      </c>
      <c r="B911" s="47" t="n"/>
      <c r="C911" s="94" t="n"/>
      <c r="D911" s="38" t="n"/>
      <c r="E911" s="38" t="n"/>
      <c r="F911" s="38" t="n"/>
      <c r="G911" s="38" t="n"/>
      <c r="H911" s="38" t="n"/>
      <c r="I911" s="57" t="n"/>
      <c r="J911" s="95" t="n"/>
      <c r="K911" s="95" t="n"/>
      <c r="L911" s="48" t="n"/>
      <c r="M911" s="96" t="n"/>
      <c r="N911" s="48" t="n"/>
      <c r="O911" s="38" t="n"/>
      <c r="P911" s="38" t="n"/>
      <c r="Q911" s="97">
        <f>IF(OR(F911="",E911=""),"",IFERROR(IF(INDEX('PROPERTIES'!$F$5:$F$404,MATCH(E911,'PROPERTIES'!$B$5:$B$404,0))=0,"",ROUND((INDEX('PROPERTIES'!$F$5:$F$404,MATCH(E911,'PROPERTIES'!$B$5:$B$404,0))/INDEX('PRICING'!$C$7:$C$16,MATCH(F911,'PRICING'!$A$7:$A$16,0))+INDEX('PROPERTIES'!$G$5:$G$404,MATCH(E911,'PROPERTIES'!$B$5:$B$404,0))*INDEX('PRICING'!$D$7:$D$16,MATCH(F911,'PRICING'!$A$7:$A$16,0))/60+INDEX('PROPERTIES'!$H$5:$H$404,MATCH(E911,'PROPERTIES'!$B$5:$B$404,0))*INDEX('PRICING'!$E$7:$E$16,MATCH(F911,'PRICING'!$A$7:$A$16,0))/60+INDEX('PRICING'!$F$7:$F$16,MATCH(F911,'PRICING'!$A$7:$A$16,0))/60),2)),""))</f>
        <v/>
      </c>
      <c r="R911" s="97">
        <f>IF(B911="","",IF(N(K911)&gt;0,K911,IF(N(J911)&gt;0,J911,N(Q911))))</f>
        <v/>
      </c>
      <c r="S911" s="55">
        <f>IF(L911="","",ROUND(L911*(1+N(M911)),2))</f>
        <v/>
      </c>
      <c r="T911" s="55">
        <f>IF(B911="","",SUMIFS('REVENUE'!$C$5:$C$1504,'REVENUE'!$B$5:$B$1504,A911))</f>
        <v/>
      </c>
      <c r="U911" s="55">
        <f>IF(B911="","",IF(O911="Completed",MAX(0,N(S911)-T911),""))</f>
        <v/>
      </c>
      <c r="V911" s="49">
        <f>IF(B911="","",IF(O911&lt;&gt;"Completed",IF(T911&gt;0,"Deposit","—"),IF(U911&lt;=0.005,"Paid",IF(T911&gt;0,"Partial","Unpaid"))))</f>
        <v/>
      </c>
      <c r="W911" s="55">
        <f>IF(B911="","",IFERROR(1/(1/INDEX('STAFF &amp; TASKS'!$C$5:$C$24,MATCH(H911,'STAFF &amp; TASKS'!$A$5:$A$24,0))),PayRate))</f>
        <v/>
      </c>
      <c r="X911" s="55">
        <f>IF(B911="","",IF(OR(O911="Cancelled",O911="No-Show"),"",ROUND(R911*W911*(1+Burden),2)))</f>
        <v/>
      </c>
      <c r="Y911" s="55">
        <f>IF(B911="","",IF(OR(O911="Cancelled",O911="No-Show"),"",IF(N911&lt;&gt;"",N911,ROUND(R911*SupHr*IFERROR(INDEX('PRICING'!$G$7:$G$16,MATCH(F911,'PRICING'!$A$7:$A$16,0)),1),2))))</f>
        <v/>
      </c>
      <c r="Z911" s="98">
        <f>IF(B911="","",SUMIFS('MILEAGE'!$J$5:$J$1504,'MILEAGE'!$B$5:$B$1504,A911))</f>
        <v/>
      </c>
      <c r="AA911" s="55">
        <f>IF(B911="","",ROUND(Z911*MileRate,2))</f>
        <v/>
      </c>
      <c r="AB911" s="55">
        <f>IF(B911="","",SUMIFS('REVENUE'!$J$5:$J$1504,'REVENUE'!$B$5:$B$1504,A911))</f>
        <v/>
      </c>
      <c r="AC911" s="55">
        <f>IF(L911="","",IF(OR(O911="Cancelled",O911="No-Show"),"",L911-N(X911)-N(Y911)-AA911-AB911))</f>
        <v/>
      </c>
      <c r="AD911" s="99">
        <f>IF(OR(AC911="",N(L911)=0),"",AC911/L911)</f>
        <v/>
      </c>
      <c r="AE911" s="55">
        <f>IF(OR(AC911="",N(R911)=0),"",L911/R911)</f>
        <v/>
      </c>
      <c r="AF911" s="100">
        <f>IF(OR(N(K911)=0,N(J911)+N(Q911)=0),"",K911-IF(N(J911)&gt;0,J911,Q911))</f>
        <v/>
      </c>
      <c r="AG911" s="99">
        <f>IF(B911="","",IFERROR(AVERAGEIFS('QUALITY CONTROL'!$M$5:$M$304,'QUALITY CONTROL'!$B$5:$B$304,A911),""))</f>
        <v/>
      </c>
      <c r="AH911" s="51">
        <f>IF(B911="","",DATE(YEAR(B911),MONTH(B911),1))</f>
        <v/>
      </c>
      <c r="AI911" s="49">
        <f>IF(D911="","",IFERROR(INDEX('CUSTOMERS'!$E$5:$E$404,MATCH(D911,'CUSTOMERS'!$B$5:$B$404,0)),""))</f>
        <v/>
      </c>
      <c r="AJ911" s="49">
        <f>IF(B911="","",N(C911))</f>
        <v/>
      </c>
      <c r="AK911" s="49">
        <f>IF(OR(B911="",O911="Cancelled",O911="Rescheduled"),"",B911&amp;"|"&amp;(COUNTIFS('JOBS'!$B$5:$B$1504,B911,'JOBS'!$AJ$5:$AJ$1504,"&lt;"&amp;AJ911,'JOBS'!$O$5:$O$1504,"&lt;&gt;Cancelled",'JOBS'!$O$5:$O$1504,"&lt;&gt;Rescheduled")+COUNTIFS($B$5:B911,B911,$AJ$5:AJ911,AJ911,$O$5:O911,"&lt;&gt;Cancelled",$O$5:O911,"&lt;&gt;Rescheduled")))</f>
        <v/>
      </c>
      <c r="AL911" s="49">
        <f>IF(N(U911)&lt;=0.005,"",COUNTIFS('JOBS'!$U$5:$U$1504,"&gt;0.005",'JOBS'!$B$5:$B$1504,"&lt;"&amp;B911)+COUNTIFS($U$5:U911,"&gt;0.005",$B$5:B911,B911))</f>
        <v/>
      </c>
    </row>
    <row r="912">
      <c r="A912" s="46" t="inlineStr">
        <is>
          <t>J-0908</t>
        </is>
      </c>
      <c r="B912" s="47" t="n"/>
      <c r="C912" s="94" t="n"/>
      <c r="D912" s="38" t="n"/>
      <c r="E912" s="38" t="n"/>
      <c r="F912" s="38" t="n"/>
      <c r="G912" s="38" t="n"/>
      <c r="H912" s="38" t="n"/>
      <c r="I912" s="57" t="n"/>
      <c r="J912" s="95" t="n"/>
      <c r="K912" s="95" t="n"/>
      <c r="L912" s="48" t="n"/>
      <c r="M912" s="96" t="n"/>
      <c r="N912" s="48" t="n"/>
      <c r="O912" s="38" t="n"/>
      <c r="P912" s="38" t="n"/>
      <c r="Q912" s="97">
        <f>IF(OR(F912="",E912=""),"",IFERROR(IF(INDEX('PROPERTIES'!$F$5:$F$404,MATCH(E912,'PROPERTIES'!$B$5:$B$404,0))=0,"",ROUND((INDEX('PROPERTIES'!$F$5:$F$404,MATCH(E912,'PROPERTIES'!$B$5:$B$404,0))/INDEX('PRICING'!$C$7:$C$16,MATCH(F912,'PRICING'!$A$7:$A$16,0))+INDEX('PROPERTIES'!$G$5:$G$404,MATCH(E912,'PROPERTIES'!$B$5:$B$404,0))*INDEX('PRICING'!$D$7:$D$16,MATCH(F912,'PRICING'!$A$7:$A$16,0))/60+INDEX('PROPERTIES'!$H$5:$H$404,MATCH(E912,'PROPERTIES'!$B$5:$B$404,0))*INDEX('PRICING'!$E$7:$E$16,MATCH(F912,'PRICING'!$A$7:$A$16,0))/60+INDEX('PRICING'!$F$7:$F$16,MATCH(F912,'PRICING'!$A$7:$A$16,0))/60),2)),""))</f>
        <v/>
      </c>
      <c r="R912" s="97">
        <f>IF(B912="","",IF(N(K912)&gt;0,K912,IF(N(J912)&gt;0,J912,N(Q912))))</f>
        <v/>
      </c>
      <c r="S912" s="55">
        <f>IF(L912="","",ROUND(L912*(1+N(M912)),2))</f>
        <v/>
      </c>
      <c r="T912" s="55">
        <f>IF(B912="","",SUMIFS('REVENUE'!$C$5:$C$1504,'REVENUE'!$B$5:$B$1504,A912))</f>
        <v/>
      </c>
      <c r="U912" s="55">
        <f>IF(B912="","",IF(O912="Completed",MAX(0,N(S912)-T912),""))</f>
        <v/>
      </c>
      <c r="V912" s="49">
        <f>IF(B912="","",IF(O912&lt;&gt;"Completed",IF(T912&gt;0,"Deposit","—"),IF(U912&lt;=0.005,"Paid",IF(T912&gt;0,"Partial","Unpaid"))))</f>
        <v/>
      </c>
      <c r="W912" s="55">
        <f>IF(B912="","",IFERROR(1/(1/INDEX('STAFF &amp; TASKS'!$C$5:$C$24,MATCH(H912,'STAFF &amp; TASKS'!$A$5:$A$24,0))),PayRate))</f>
        <v/>
      </c>
      <c r="X912" s="55">
        <f>IF(B912="","",IF(OR(O912="Cancelled",O912="No-Show"),"",ROUND(R912*W912*(1+Burden),2)))</f>
        <v/>
      </c>
      <c r="Y912" s="55">
        <f>IF(B912="","",IF(OR(O912="Cancelled",O912="No-Show"),"",IF(N912&lt;&gt;"",N912,ROUND(R912*SupHr*IFERROR(INDEX('PRICING'!$G$7:$G$16,MATCH(F912,'PRICING'!$A$7:$A$16,0)),1),2))))</f>
        <v/>
      </c>
      <c r="Z912" s="98">
        <f>IF(B912="","",SUMIFS('MILEAGE'!$J$5:$J$1504,'MILEAGE'!$B$5:$B$1504,A912))</f>
        <v/>
      </c>
      <c r="AA912" s="55">
        <f>IF(B912="","",ROUND(Z912*MileRate,2))</f>
        <v/>
      </c>
      <c r="AB912" s="55">
        <f>IF(B912="","",SUMIFS('REVENUE'!$J$5:$J$1504,'REVENUE'!$B$5:$B$1504,A912))</f>
        <v/>
      </c>
      <c r="AC912" s="55">
        <f>IF(L912="","",IF(OR(O912="Cancelled",O912="No-Show"),"",L912-N(X912)-N(Y912)-AA912-AB912))</f>
        <v/>
      </c>
      <c r="AD912" s="99">
        <f>IF(OR(AC912="",N(L912)=0),"",AC912/L912)</f>
        <v/>
      </c>
      <c r="AE912" s="55">
        <f>IF(OR(AC912="",N(R912)=0),"",L912/R912)</f>
        <v/>
      </c>
      <c r="AF912" s="100">
        <f>IF(OR(N(K912)=0,N(J912)+N(Q912)=0),"",K912-IF(N(J912)&gt;0,J912,Q912))</f>
        <v/>
      </c>
      <c r="AG912" s="99">
        <f>IF(B912="","",IFERROR(AVERAGEIFS('QUALITY CONTROL'!$M$5:$M$304,'QUALITY CONTROL'!$B$5:$B$304,A912),""))</f>
        <v/>
      </c>
      <c r="AH912" s="51">
        <f>IF(B912="","",DATE(YEAR(B912),MONTH(B912),1))</f>
        <v/>
      </c>
      <c r="AI912" s="49">
        <f>IF(D912="","",IFERROR(INDEX('CUSTOMERS'!$E$5:$E$404,MATCH(D912,'CUSTOMERS'!$B$5:$B$404,0)),""))</f>
        <v/>
      </c>
      <c r="AJ912" s="49">
        <f>IF(B912="","",N(C912))</f>
        <v/>
      </c>
      <c r="AK912" s="49">
        <f>IF(OR(B912="",O912="Cancelled",O912="Rescheduled"),"",B912&amp;"|"&amp;(COUNTIFS('JOBS'!$B$5:$B$1504,B912,'JOBS'!$AJ$5:$AJ$1504,"&lt;"&amp;AJ912,'JOBS'!$O$5:$O$1504,"&lt;&gt;Cancelled",'JOBS'!$O$5:$O$1504,"&lt;&gt;Rescheduled")+COUNTIFS($B$5:B912,B912,$AJ$5:AJ912,AJ912,$O$5:O912,"&lt;&gt;Cancelled",$O$5:O912,"&lt;&gt;Rescheduled")))</f>
        <v/>
      </c>
      <c r="AL912" s="49">
        <f>IF(N(U912)&lt;=0.005,"",COUNTIFS('JOBS'!$U$5:$U$1504,"&gt;0.005",'JOBS'!$B$5:$B$1504,"&lt;"&amp;B912)+COUNTIFS($U$5:U912,"&gt;0.005",$B$5:B912,B912))</f>
        <v/>
      </c>
    </row>
    <row r="913">
      <c r="A913" s="46" t="inlineStr">
        <is>
          <t>J-0909</t>
        </is>
      </c>
      <c r="B913" s="47" t="n"/>
      <c r="C913" s="94" t="n"/>
      <c r="D913" s="38" t="n"/>
      <c r="E913" s="38" t="n"/>
      <c r="F913" s="38" t="n"/>
      <c r="G913" s="38" t="n"/>
      <c r="H913" s="38" t="n"/>
      <c r="I913" s="57" t="n"/>
      <c r="J913" s="95" t="n"/>
      <c r="K913" s="95" t="n"/>
      <c r="L913" s="48" t="n"/>
      <c r="M913" s="96" t="n"/>
      <c r="N913" s="48" t="n"/>
      <c r="O913" s="38" t="n"/>
      <c r="P913" s="38" t="n"/>
      <c r="Q913" s="97">
        <f>IF(OR(F913="",E913=""),"",IFERROR(IF(INDEX('PROPERTIES'!$F$5:$F$404,MATCH(E913,'PROPERTIES'!$B$5:$B$404,0))=0,"",ROUND((INDEX('PROPERTIES'!$F$5:$F$404,MATCH(E913,'PROPERTIES'!$B$5:$B$404,0))/INDEX('PRICING'!$C$7:$C$16,MATCH(F913,'PRICING'!$A$7:$A$16,0))+INDEX('PROPERTIES'!$G$5:$G$404,MATCH(E913,'PROPERTIES'!$B$5:$B$404,0))*INDEX('PRICING'!$D$7:$D$16,MATCH(F913,'PRICING'!$A$7:$A$16,0))/60+INDEX('PROPERTIES'!$H$5:$H$404,MATCH(E913,'PROPERTIES'!$B$5:$B$404,0))*INDEX('PRICING'!$E$7:$E$16,MATCH(F913,'PRICING'!$A$7:$A$16,0))/60+INDEX('PRICING'!$F$7:$F$16,MATCH(F913,'PRICING'!$A$7:$A$16,0))/60),2)),""))</f>
        <v/>
      </c>
      <c r="R913" s="97">
        <f>IF(B913="","",IF(N(K913)&gt;0,K913,IF(N(J913)&gt;0,J913,N(Q913))))</f>
        <v/>
      </c>
      <c r="S913" s="55">
        <f>IF(L913="","",ROUND(L913*(1+N(M913)),2))</f>
        <v/>
      </c>
      <c r="T913" s="55">
        <f>IF(B913="","",SUMIFS('REVENUE'!$C$5:$C$1504,'REVENUE'!$B$5:$B$1504,A913))</f>
        <v/>
      </c>
      <c r="U913" s="55">
        <f>IF(B913="","",IF(O913="Completed",MAX(0,N(S913)-T913),""))</f>
        <v/>
      </c>
      <c r="V913" s="49">
        <f>IF(B913="","",IF(O913&lt;&gt;"Completed",IF(T913&gt;0,"Deposit","—"),IF(U913&lt;=0.005,"Paid",IF(T913&gt;0,"Partial","Unpaid"))))</f>
        <v/>
      </c>
      <c r="W913" s="55">
        <f>IF(B913="","",IFERROR(1/(1/INDEX('STAFF &amp; TASKS'!$C$5:$C$24,MATCH(H913,'STAFF &amp; TASKS'!$A$5:$A$24,0))),PayRate))</f>
        <v/>
      </c>
      <c r="X913" s="55">
        <f>IF(B913="","",IF(OR(O913="Cancelled",O913="No-Show"),"",ROUND(R913*W913*(1+Burden),2)))</f>
        <v/>
      </c>
      <c r="Y913" s="55">
        <f>IF(B913="","",IF(OR(O913="Cancelled",O913="No-Show"),"",IF(N913&lt;&gt;"",N913,ROUND(R913*SupHr*IFERROR(INDEX('PRICING'!$G$7:$G$16,MATCH(F913,'PRICING'!$A$7:$A$16,0)),1),2))))</f>
        <v/>
      </c>
      <c r="Z913" s="98">
        <f>IF(B913="","",SUMIFS('MILEAGE'!$J$5:$J$1504,'MILEAGE'!$B$5:$B$1504,A913))</f>
        <v/>
      </c>
      <c r="AA913" s="55">
        <f>IF(B913="","",ROUND(Z913*MileRate,2))</f>
        <v/>
      </c>
      <c r="AB913" s="55">
        <f>IF(B913="","",SUMIFS('REVENUE'!$J$5:$J$1504,'REVENUE'!$B$5:$B$1504,A913))</f>
        <v/>
      </c>
      <c r="AC913" s="55">
        <f>IF(L913="","",IF(OR(O913="Cancelled",O913="No-Show"),"",L913-N(X913)-N(Y913)-AA913-AB913))</f>
        <v/>
      </c>
      <c r="AD913" s="99">
        <f>IF(OR(AC913="",N(L913)=0),"",AC913/L913)</f>
        <v/>
      </c>
      <c r="AE913" s="55">
        <f>IF(OR(AC913="",N(R913)=0),"",L913/R913)</f>
        <v/>
      </c>
      <c r="AF913" s="100">
        <f>IF(OR(N(K913)=0,N(J913)+N(Q913)=0),"",K913-IF(N(J913)&gt;0,J913,Q913))</f>
        <v/>
      </c>
      <c r="AG913" s="99">
        <f>IF(B913="","",IFERROR(AVERAGEIFS('QUALITY CONTROL'!$M$5:$M$304,'QUALITY CONTROL'!$B$5:$B$304,A913),""))</f>
        <v/>
      </c>
      <c r="AH913" s="51">
        <f>IF(B913="","",DATE(YEAR(B913),MONTH(B913),1))</f>
        <v/>
      </c>
      <c r="AI913" s="49">
        <f>IF(D913="","",IFERROR(INDEX('CUSTOMERS'!$E$5:$E$404,MATCH(D913,'CUSTOMERS'!$B$5:$B$404,0)),""))</f>
        <v/>
      </c>
      <c r="AJ913" s="49">
        <f>IF(B913="","",N(C913))</f>
        <v/>
      </c>
      <c r="AK913" s="49">
        <f>IF(OR(B913="",O913="Cancelled",O913="Rescheduled"),"",B913&amp;"|"&amp;(COUNTIFS('JOBS'!$B$5:$B$1504,B913,'JOBS'!$AJ$5:$AJ$1504,"&lt;"&amp;AJ913,'JOBS'!$O$5:$O$1504,"&lt;&gt;Cancelled",'JOBS'!$O$5:$O$1504,"&lt;&gt;Rescheduled")+COUNTIFS($B$5:B913,B913,$AJ$5:AJ913,AJ913,$O$5:O913,"&lt;&gt;Cancelled",$O$5:O913,"&lt;&gt;Rescheduled")))</f>
        <v/>
      </c>
      <c r="AL913" s="49">
        <f>IF(N(U913)&lt;=0.005,"",COUNTIFS('JOBS'!$U$5:$U$1504,"&gt;0.005",'JOBS'!$B$5:$B$1504,"&lt;"&amp;B913)+COUNTIFS($U$5:U913,"&gt;0.005",$B$5:B913,B913))</f>
        <v/>
      </c>
    </row>
    <row r="914">
      <c r="A914" s="46" t="inlineStr">
        <is>
          <t>J-0910</t>
        </is>
      </c>
      <c r="B914" s="47" t="n"/>
      <c r="C914" s="94" t="n"/>
      <c r="D914" s="38" t="n"/>
      <c r="E914" s="38" t="n"/>
      <c r="F914" s="38" t="n"/>
      <c r="G914" s="38" t="n"/>
      <c r="H914" s="38" t="n"/>
      <c r="I914" s="57" t="n"/>
      <c r="J914" s="95" t="n"/>
      <c r="K914" s="95" t="n"/>
      <c r="L914" s="48" t="n"/>
      <c r="M914" s="96" t="n"/>
      <c r="N914" s="48" t="n"/>
      <c r="O914" s="38" t="n"/>
      <c r="P914" s="38" t="n"/>
      <c r="Q914" s="97">
        <f>IF(OR(F914="",E914=""),"",IFERROR(IF(INDEX('PROPERTIES'!$F$5:$F$404,MATCH(E914,'PROPERTIES'!$B$5:$B$404,0))=0,"",ROUND((INDEX('PROPERTIES'!$F$5:$F$404,MATCH(E914,'PROPERTIES'!$B$5:$B$404,0))/INDEX('PRICING'!$C$7:$C$16,MATCH(F914,'PRICING'!$A$7:$A$16,0))+INDEX('PROPERTIES'!$G$5:$G$404,MATCH(E914,'PROPERTIES'!$B$5:$B$404,0))*INDEX('PRICING'!$D$7:$D$16,MATCH(F914,'PRICING'!$A$7:$A$16,0))/60+INDEX('PROPERTIES'!$H$5:$H$404,MATCH(E914,'PROPERTIES'!$B$5:$B$404,0))*INDEX('PRICING'!$E$7:$E$16,MATCH(F914,'PRICING'!$A$7:$A$16,0))/60+INDEX('PRICING'!$F$7:$F$16,MATCH(F914,'PRICING'!$A$7:$A$16,0))/60),2)),""))</f>
        <v/>
      </c>
      <c r="R914" s="97">
        <f>IF(B914="","",IF(N(K914)&gt;0,K914,IF(N(J914)&gt;0,J914,N(Q914))))</f>
        <v/>
      </c>
      <c r="S914" s="55">
        <f>IF(L914="","",ROUND(L914*(1+N(M914)),2))</f>
        <v/>
      </c>
      <c r="T914" s="55">
        <f>IF(B914="","",SUMIFS('REVENUE'!$C$5:$C$1504,'REVENUE'!$B$5:$B$1504,A914))</f>
        <v/>
      </c>
      <c r="U914" s="55">
        <f>IF(B914="","",IF(O914="Completed",MAX(0,N(S914)-T914),""))</f>
        <v/>
      </c>
      <c r="V914" s="49">
        <f>IF(B914="","",IF(O914&lt;&gt;"Completed",IF(T914&gt;0,"Deposit","—"),IF(U914&lt;=0.005,"Paid",IF(T914&gt;0,"Partial","Unpaid"))))</f>
        <v/>
      </c>
      <c r="W914" s="55">
        <f>IF(B914="","",IFERROR(1/(1/INDEX('STAFF &amp; TASKS'!$C$5:$C$24,MATCH(H914,'STAFF &amp; TASKS'!$A$5:$A$24,0))),PayRate))</f>
        <v/>
      </c>
      <c r="X914" s="55">
        <f>IF(B914="","",IF(OR(O914="Cancelled",O914="No-Show"),"",ROUND(R914*W914*(1+Burden),2)))</f>
        <v/>
      </c>
      <c r="Y914" s="55">
        <f>IF(B914="","",IF(OR(O914="Cancelled",O914="No-Show"),"",IF(N914&lt;&gt;"",N914,ROUND(R914*SupHr*IFERROR(INDEX('PRICING'!$G$7:$G$16,MATCH(F914,'PRICING'!$A$7:$A$16,0)),1),2))))</f>
        <v/>
      </c>
      <c r="Z914" s="98">
        <f>IF(B914="","",SUMIFS('MILEAGE'!$J$5:$J$1504,'MILEAGE'!$B$5:$B$1504,A914))</f>
        <v/>
      </c>
      <c r="AA914" s="55">
        <f>IF(B914="","",ROUND(Z914*MileRate,2))</f>
        <v/>
      </c>
      <c r="AB914" s="55">
        <f>IF(B914="","",SUMIFS('REVENUE'!$J$5:$J$1504,'REVENUE'!$B$5:$B$1504,A914))</f>
        <v/>
      </c>
      <c r="AC914" s="55">
        <f>IF(L914="","",IF(OR(O914="Cancelled",O914="No-Show"),"",L914-N(X914)-N(Y914)-AA914-AB914))</f>
        <v/>
      </c>
      <c r="AD914" s="99">
        <f>IF(OR(AC914="",N(L914)=0),"",AC914/L914)</f>
        <v/>
      </c>
      <c r="AE914" s="55">
        <f>IF(OR(AC914="",N(R914)=0),"",L914/R914)</f>
        <v/>
      </c>
      <c r="AF914" s="100">
        <f>IF(OR(N(K914)=0,N(J914)+N(Q914)=0),"",K914-IF(N(J914)&gt;0,J914,Q914))</f>
        <v/>
      </c>
      <c r="AG914" s="99">
        <f>IF(B914="","",IFERROR(AVERAGEIFS('QUALITY CONTROL'!$M$5:$M$304,'QUALITY CONTROL'!$B$5:$B$304,A914),""))</f>
        <v/>
      </c>
      <c r="AH914" s="51">
        <f>IF(B914="","",DATE(YEAR(B914),MONTH(B914),1))</f>
        <v/>
      </c>
      <c r="AI914" s="49">
        <f>IF(D914="","",IFERROR(INDEX('CUSTOMERS'!$E$5:$E$404,MATCH(D914,'CUSTOMERS'!$B$5:$B$404,0)),""))</f>
        <v/>
      </c>
      <c r="AJ914" s="49">
        <f>IF(B914="","",N(C914))</f>
        <v/>
      </c>
      <c r="AK914" s="49">
        <f>IF(OR(B914="",O914="Cancelled",O914="Rescheduled"),"",B914&amp;"|"&amp;(COUNTIFS('JOBS'!$B$5:$B$1504,B914,'JOBS'!$AJ$5:$AJ$1504,"&lt;"&amp;AJ914,'JOBS'!$O$5:$O$1504,"&lt;&gt;Cancelled",'JOBS'!$O$5:$O$1504,"&lt;&gt;Rescheduled")+COUNTIFS($B$5:B914,B914,$AJ$5:AJ914,AJ914,$O$5:O914,"&lt;&gt;Cancelled",$O$5:O914,"&lt;&gt;Rescheduled")))</f>
        <v/>
      </c>
      <c r="AL914" s="49">
        <f>IF(N(U914)&lt;=0.005,"",COUNTIFS('JOBS'!$U$5:$U$1504,"&gt;0.005",'JOBS'!$B$5:$B$1504,"&lt;"&amp;B914)+COUNTIFS($U$5:U914,"&gt;0.005",$B$5:B914,B914))</f>
        <v/>
      </c>
    </row>
    <row r="915">
      <c r="A915" s="46" t="inlineStr">
        <is>
          <t>J-0911</t>
        </is>
      </c>
      <c r="B915" s="47" t="n"/>
      <c r="C915" s="94" t="n"/>
      <c r="D915" s="38" t="n"/>
      <c r="E915" s="38" t="n"/>
      <c r="F915" s="38" t="n"/>
      <c r="G915" s="38" t="n"/>
      <c r="H915" s="38" t="n"/>
      <c r="I915" s="57" t="n"/>
      <c r="J915" s="95" t="n"/>
      <c r="K915" s="95" t="n"/>
      <c r="L915" s="48" t="n"/>
      <c r="M915" s="96" t="n"/>
      <c r="N915" s="48" t="n"/>
      <c r="O915" s="38" t="n"/>
      <c r="P915" s="38" t="n"/>
      <c r="Q915" s="97">
        <f>IF(OR(F915="",E915=""),"",IFERROR(IF(INDEX('PROPERTIES'!$F$5:$F$404,MATCH(E915,'PROPERTIES'!$B$5:$B$404,0))=0,"",ROUND((INDEX('PROPERTIES'!$F$5:$F$404,MATCH(E915,'PROPERTIES'!$B$5:$B$404,0))/INDEX('PRICING'!$C$7:$C$16,MATCH(F915,'PRICING'!$A$7:$A$16,0))+INDEX('PROPERTIES'!$G$5:$G$404,MATCH(E915,'PROPERTIES'!$B$5:$B$404,0))*INDEX('PRICING'!$D$7:$D$16,MATCH(F915,'PRICING'!$A$7:$A$16,0))/60+INDEX('PROPERTIES'!$H$5:$H$404,MATCH(E915,'PROPERTIES'!$B$5:$B$404,0))*INDEX('PRICING'!$E$7:$E$16,MATCH(F915,'PRICING'!$A$7:$A$16,0))/60+INDEX('PRICING'!$F$7:$F$16,MATCH(F915,'PRICING'!$A$7:$A$16,0))/60),2)),""))</f>
        <v/>
      </c>
      <c r="R915" s="97">
        <f>IF(B915="","",IF(N(K915)&gt;0,K915,IF(N(J915)&gt;0,J915,N(Q915))))</f>
        <v/>
      </c>
      <c r="S915" s="55">
        <f>IF(L915="","",ROUND(L915*(1+N(M915)),2))</f>
        <v/>
      </c>
      <c r="T915" s="55">
        <f>IF(B915="","",SUMIFS('REVENUE'!$C$5:$C$1504,'REVENUE'!$B$5:$B$1504,A915))</f>
        <v/>
      </c>
      <c r="U915" s="55">
        <f>IF(B915="","",IF(O915="Completed",MAX(0,N(S915)-T915),""))</f>
        <v/>
      </c>
      <c r="V915" s="49">
        <f>IF(B915="","",IF(O915&lt;&gt;"Completed",IF(T915&gt;0,"Deposit","—"),IF(U915&lt;=0.005,"Paid",IF(T915&gt;0,"Partial","Unpaid"))))</f>
        <v/>
      </c>
      <c r="W915" s="55">
        <f>IF(B915="","",IFERROR(1/(1/INDEX('STAFF &amp; TASKS'!$C$5:$C$24,MATCH(H915,'STAFF &amp; TASKS'!$A$5:$A$24,0))),PayRate))</f>
        <v/>
      </c>
      <c r="X915" s="55">
        <f>IF(B915="","",IF(OR(O915="Cancelled",O915="No-Show"),"",ROUND(R915*W915*(1+Burden),2)))</f>
        <v/>
      </c>
      <c r="Y915" s="55">
        <f>IF(B915="","",IF(OR(O915="Cancelled",O915="No-Show"),"",IF(N915&lt;&gt;"",N915,ROUND(R915*SupHr*IFERROR(INDEX('PRICING'!$G$7:$G$16,MATCH(F915,'PRICING'!$A$7:$A$16,0)),1),2))))</f>
        <v/>
      </c>
      <c r="Z915" s="98">
        <f>IF(B915="","",SUMIFS('MILEAGE'!$J$5:$J$1504,'MILEAGE'!$B$5:$B$1504,A915))</f>
        <v/>
      </c>
      <c r="AA915" s="55">
        <f>IF(B915="","",ROUND(Z915*MileRate,2))</f>
        <v/>
      </c>
      <c r="AB915" s="55">
        <f>IF(B915="","",SUMIFS('REVENUE'!$J$5:$J$1504,'REVENUE'!$B$5:$B$1504,A915))</f>
        <v/>
      </c>
      <c r="AC915" s="55">
        <f>IF(L915="","",IF(OR(O915="Cancelled",O915="No-Show"),"",L915-N(X915)-N(Y915)-AA915-AB915))</f>
        <v/>
      </c>
      <c r="AD915" s="99">
        <f>IF(OR(AC915="",N(L915)=0),"",AC915/L915)</f>
        <v/>
      </c>
      <c r="AE915" s="55">
        <f>IF(OR(AC915="",N(R915)=0),"",L915/R915)</f>
        <v/>
      </c>
      <c r="AF915" s="100">
        <f>IF(OR(N(K915)=0,N(J915)+N(Q915)=0),"",K915-IF(N(J915)&gt;0,J915,Q915))</f>
        <v/>
      </c>
      <c r="AG915" s="99">
        <f>IF(B915="","",IFERROR(AVERAGEIFS('QUALITY CONTROL'!$M$5:$M$304,'QUALITY CONTROL'!$B$5:$B$304,A915),""))</f>
        <v/>
      </c>
      <c r="AH915" s="51">
        <f>IF(B915="","",DATE(YEAR(B915),MONTH(B915),1))</f>
        <v/>
      </c>
      <c r="AI915" s="49">
        <f>IF(D915="","",IFERROR(INDEX('CUSTOMERS'!$E$5:$E$404,MATCH(D915,'CUSTOMERS'!$B$5:$B$404,0)),""))</f>
        <v/>
      </c>
      <c r="AJ915" s="49">
        <f>IF(B915="","",N(C915))</f>
        <v/>
      </c>
      <c r="AK915" s="49">
        <f>IF(OR(B915="",O915="Cancelled",O915="Rescheduled"),"",B915&amp;"|"&amp;(COUNTIFS('JOBS'!$B$5:$B$1504,B915,'JOBS'!$AJ$5:$AJ$1504,"&lt;"&amp;AJ915,'JOBS'!$O$5:$O$1504,"&lt;&gt;Cancelled",'JOBS'!$O$5:$O$1504,"&lt;&gt;Rescheduled")+COUNTIFS($B$5:B915,B915,$AJ$5:AJ915,AJ915,$O$5:O915,"&lt;&gt;Cancelled",$O$5:O915,"&lt;&gt;Rescheduled")))</f>
        <v/>
      </c>
      <c r="AL915" s="49">
        <f>IF(N(U915)&lt;=0.005,"",COUNTIFS('JOBS'!$U$5:$U$1504,"&gt;0.005",'JOBS'!$B$5:$B$1504,"&lt;"&amp;B915)+COUNTIFS($U$5:U915,"&gt;0.005",$B$5:B915,B915))</f>
        <v/>
      </c>
    </row>
    <row r="916">
      <c r="A916" s="46" t="inlineStr">
        <is>
          <t>J-0912</t>
        </is>
      </c>
      <c r="B916" s="47" t="n"/>
      <c r="C916" s="94" t="n"/>
      <c r="D916" s="38" t="n"/>
      <c r="E916" s="38" t="n"/>
      <c r="F916" s="38" t="n"/>
      <c r="G916" s="38" t="n"/>
      <c r="H916" s="38" t="n"/>
      <c r="I916" s="57" t="n"/>
      <c r="J916" s="95" t="n"/>
      <c r="K916" s="95" t="n"/>
      <c r="L916" s="48" t="n"/>
      <c r="M916" s="96" t="n"/>
      <c r="N916" s="48" t="n"/>
      <c r="O916" s="38" t="n"/>
      <c r="P916" s="38" t="n"/>
      <c r="Q916" s="97">
        <f>IF(OR(F916="",E916=""),"",IFERROR(IF(INDEX('PROPERTIES'!$F$5:$F$404,MATCH(E916,'PROPERTIES'!$B$5:$B$404,0))=0,"",ROUND((INDEX('PROPERTIES'!$F$5:$F$404,MATCH(E916,'PROPERTIES'!$B$5:$B$404,0))/INDEX('PRICING'!$C$7:$C$16,MATCH(F916,'PRICING'!$A$7:$A$16,0))+INDEX('PROPERTIES'!$G$5:$G$404,MATCH(E916,'PROPERTIES'!$B$5:$B$404,0))*INDEX('PRICING'!$D$7:$D$16,MATCH(F916,'PRICING'!$A$7:$A$16,0))/60+INDEX('PROPERTIES'!$H$5:$H$404,MATCH(E916,'PROPERTIES'!$B$5:$B$404,0))*INDEX('PRICING'!$E$7:$E$16,MATCH(F916,'PRICING'!$A$7:$A$16,0))/60+INDEX('PRICING'!$F$7:$F$16,MATCH(F916,'PRICING'!$A$7:$A$16,0))/60),2)),""))</f>
        <v/>
      </c>
      <c r="R916" s="97">
        <f>IF(B916="","",IF(N(K916)&gt;0,K916,IF(N(J916)&gt;0,J916,N(Q916))))</f>
        <v/>
      </c>
      <c r="S916" s="55">
        <f>IF(L916="","",ROUND(L916*(1+N(M916)),2))</f>
        <v/>
      </c>
      <c r="T916" s="55">
        <f>IF(B916="","",SUMIFS('REVENUE'!$C$5:$C$1504,'REVENUE'!$B$5:$B$1504,A916))</f>
        <v/>
      </c>
      <c r="U916" s="55">
        <f>IF(B916="","",IF(O916="Completed",MAX(0,N(S916)-T916),""))</f>
        <v/>
      </c>
      <c r="V916" s="49">
        <f>IF(B916="","",IF(O916&lt;&gt;"Completed",IF(T916&gt;0,"Deposit","—"),IF(U916&lt;=0.005,"Paid",IF(T916&gt;0,"Partial","Unpaid"))))</f>
        <v/>
      </c>
      <c r="W916" s="55">
        <f>IF(B916="","",IFERROR(1/(1/INDEX('STAFF &amp; TASKS'!$C$5:$C$24,MATCH(H916,'STAFF &amp; TASKS'!$A$5:$A$24,0))),PayRate))</f>
        <v/>
      </c>
      <c r="X916" s="55">
        <f>IF(B916="","",IF(OR(O916="Cancelled",O916="No-Show"),"",ROUND(R916*W916*(1+Burden),2)))</f>
        <v/>
      </c>
      <c r="Y916" s="55">
        <f>IF(B916="","",IF(OR(O916="Cancelled",O916="No-Show"),"",IF(N916&lt;&gt;"",N916,ROUND(R916*SupHr*IFERROR(INDEX('PRICING'!$G$7:$G$16,MATCH(F916,'PRICING'!$A$7:$A$16,0)),1),2))))</f>
        <v/>
      </c>
      <c r="Z916" s="98">
        <f>IF(B916="","",SUMIFS('MILEAGE'!$J$5:$J$1504,'MILEAGE'!$B$5:$B$1504,A916))</f>
        <v/>
      </c>
      <c r="AA916" s="55">
        <f>IF(B916="","",ROUND(Z916*MileRate,2))</f>
        <v/>
      </c>
      <c r="AB916" s="55">
        <f>IF(B916="","",SUMIFS('REVENUE'!$J$5:$J$1504,'REVENUE'!$B$5:$B$1504,A916))</f>
        <v/>
      </c>
      <c r="AC916" s="55">
        <f>IF(L916="","",IF(OR(O916="Cancelled",O916="No-Show"),"",L916-N(X916)-N(Y916)-AA916-AB916))</f>
        <v/>
      </c>
      <c r="AD916" s="99">
        <f>IF(OR(AC916="",N(L916)=0),"",AC916/L916)</f>
        <v/>
      </c>
      <c r="AE916" s="55">
        <f>IF(OR(AC916="",N(R916)=0),"",L916/R916)</f>
        <v/>
      </c>
      <c r="AF916" s="100">
        <f>IF(OR(N(K916)=0,N(J916)+N(Q916)=0),"",K916-IF(N(J916)&gt;0,J916,Q916))</f>
        <v/>
      </c>
      <c r="AG916" s="99">
        <f>IF(B916="","",IFERROR(AVERAGEIFS('QUALITY CONTROL'!$M$5:$M$304,'QUALITY CONTROL'!$B$5:$B$304,A916),""))</f>
        <v/>
      </c>
      <c r="AH916" s="51">
        <f>IF(B916="","",DATE(YEAR(B916),MONTH(B916),1))</f>
        <v/>
      </c>
      <c r="AI916" s="49">
        <f>IF(D916="","",IFERROR(INDEX('CUSTOMERS'!$E$5:$E$404,MATCH(D916,'CUSTOMERS'!$B$5:$B$404,0)),""))</f>
        <v/>
      </c>
      <c r="AJ916" s="49">
        <f>IF(B916="","",N(C916))</f>
        <v/>
      </c>
      <c r="AK916" s="49">
        <f>IF(OR(B916="",O916="Cancelled",O916="Rescheduled"),"",B916&amp;"|"&amp;(COUNTIFS('JOBS'!$B$5:$B$1504,B916,'JOBS'!$AJ$5:$AJ$1504,"&lt;"&amp;AJ916,'JOBS'!$O$5:$O$1504,"&lt;&gt;Cancelled",'JOBS'!$O$5:$O$1504,"&lt;&gt;Rescheduled")+COUNTIFS($B$5:B916,B916,$AJ$5:AJ916,AJ916,$O$5:O916,"&lt;&gt;Cancelled",$O$5:O916,"&lt;&gt;Rescheduled")))</f>
        <v/>
      </c>
      <c r="AL916" s="49">
        <f>IF(N(U916)&lt;=0.005,"",COUNTIFS('JOBS'!$U$5:$U$1504,"&gt;0.005",'JOBS'!$B$5:$B$1504,"&lt;"&amp;B916)+COUNTIFS($U$5:U916,"&gt;0.005",$B$5:B916,B916))</f>
        <v/>
      </c>
    </row>
    <row r="917">
      <c r="A917" s="46" t="inlineStr">
        <is>
          <t>J-0913</t>
        </is>
      </c>
      <c r="B917" s="47" t="n"/>
      <c r="C917" s="94" t="n"/>
      <c r="D917" s="38" t="n"/>
      <c r="E917" s="38" t="n"/>
      <c r="F917" s="38" t="n"/>
      <c r="G917" s="38" t="n"/>
      <c r="H917" s="38" t="n"/>
      <c r="I917" s="57" t="n"/>
      <c r="J917" s="95" t="n"/>
      <c r="K917" s="95" t="n"/>
      <c r="L917" s="48" t="n"/>
      <c r="M917" s="96" t="n"/>
      <c r="N917" s="48" t="n"/>
      <c r="O917" s="38" t="n"/>
      <c r="P917" s="38" t="n"/>
      <c r="Q917" s="97">
        <f>IF(OR(F917="",E917=""),"",IFERROR(IF(INDEX('PROPERTIES'!$F$5:$F$404,MATCH(E917,'PROPERTIES'!$B$5:$B$404,0))=0,"",ROUND((INDEX('PROPERTIES'!$F$5:$F$404,MATCH(E917,'PROPERTIES'!$B$5:$B$404,0))/INDEX('PRICING'!$C$7:$C$16,MATCH(F917,'PRICING'!$A$7:$A$16,0))+INDEX('PROPERTIES'!$G$5:$G$404,MATCH(E917,'PROPERTIES'!$B$5:$B$404,0))*INDEX('PRICING'!$D$7:$D$16,MATCH(F917,'PRICING'!$A$7:$A$16,0))/60+INDEX('PROPERTIES'!$H$5:$H$404,MATCH(E917,'PROPERTIES'!$B$5:$B$404,0))*INDEX('PRICING'!$E$7:$E$16,MATCH(F917,'PRICING'!$A$7:$A$16,0))/60+INDEX('PRICING'!$F$7:$F$16,MATCH(F917,'PRICING'!$A$7:$A$16,0))/60),2)),""))</f>
        <v/>
      </c>
      <c r="R917" s="97">
        <f>IF(B917="","",IF(N(K917)&gt;0,K917,IF(N(J917)&gt;0,J917,N(Q917))))</f>
        <v/>
      </c>
      <c r="S917" s="55">
        <f>IF(L917="","",ROUND(L917*(1+N(M917)),2))</f>
        <v/>
      </c>
      <c r="T917" s="55">
        <f>IF(B917="","",SUMIFS('REVENUE'!$C$5:$C$1504,'REVENUE'!$B$5:$B$1504,A917))</f>
        <v/>
      </c>
      <c r="U917" s="55">
        <f>IF(B917="","",IF(O917="Completed",MAX(0,N(S917)-T917),""))</f>
        <v/>
      </c>
      <c r="V917" s="49">
        <f>IF(B917="","",IF(O917&lt;&gt;"Completed",IF(T917&gt;0,"Deposit","—"),IF(U917&lt;=0.005,"Paid",IF(T917&gt;0,"Partial","Unpaid"))))</f>
        <v/>
      </c>
      <c r="W917" s="55">
        <f>IF(B917="","",IFERROR(1/(1/INDEX('STAFF &amp; TASKS'!$C$5:$C$24,MATCH(H917,'STAFF &amp; TASKS'!$A$5:$A$24,0))),PayRate))</f>
        <v/>
      </c>
      <c r="X917" s="55">
        <f>IF(B917="","",IF(OR(O917="Cancelled",O917="No-Show"),"",ROUND(R917*W917*(1+Burden),2)))</f>
        <v/>
      </c>
      <c r="Y917" s="55">
        <f>IF(B917="","",IF(OR(O917="Cancelled",O917="No-Show"),"",IF(N917&lt;&gt;"",N917,ROUND(R917*SupHr*IFERROR(INDEX('PRICING'!$G$7:$G$16,MATCH(F917,'PRICING'!$A$7:$A$16,0)),1),2))))</f>
        <v/>
      </c>
      <c r="Z917" s="98">
        <f>IF(B917="","",SUMIFS('MILEAGE'!$J$5:$J$1504,'MILEAGE'!$B$5:$B$1504,A917))</f>
        <v/>
      </c>
      <c r="AA917" s="55">
        <f>IF(B917="","",ROUND(Z917*MileRate,2))</f>
        <v/>
      </c>
      <c r="AB917" s="55">
        <f>IF(B917="","",SUMIFS('REVENUE'!$J$5:$J$1504,'REVENUE'!$B$5:$B$1504,A917))</f>
        <v/>
      </c>
      <c r="AC917" s="55">
        <f>IF(L917="","",IF(OR(O917="Cancelled",O917="No-Show"),"",L917-N(X917)-N(Y917)-AA917-AB917))</f>
        <v/>
      </c>
      <c r="AD917" s="99">
        <f>IF(OR(AC917="",N(L917)=0),"",AC917/L917)</f>
        <v/>
      </c>
      <c r="AE917" s="55">
        <f>IF(OR(AC917="",N(R917)=0),"",L917/R917)</f>
        <v/>
      </c>
      <c r="AF917" s="100">
        <f>IF(OR(N(K917)=0,N(J917)+N(Q917)=0),"",K917-IF(N(J917)&gt;0,J917,Q917))</f>
        <v/>
      </c>
      <c r="AG917" s="99">
        <f>IF(B917="","",IFERROR(AVERAGEIFS('QUALITY CONTROL'!$M$5:$M$304,'QUALITY CONTROL'!$B$5:$B$304,A917),""))</f>
        <v/>
      </c>
      <c r="AH917" s="51">
        <f>IF(B917="","",DATE(YEAR(B917),MONTH(B917),1))</f>
        <v/>
      </c>
      <c r="AI917" s="49">
        <f>IF(D917="","",IFERROR(INDEX('CUSTOMERS'!$E$5:$E$404,MATCH(D917,'CUSTOMERS'!$B$5:$B$404,0)),""))</f>
        <v/>
      </c>
      <c r="AJ917" s="49">
        <f>IF(B917="","",N(C917))</f>
        <v/>
      </c>
      <c r="AK917" s="49">
        <f>IF(OR(B917="",O917="Cancelled",O917="Rescheduled"),"",B917&amp;"|"&amp;(COUNTIFS('JOBS'!$B$5:$B$1504,B917,'JOBS'!$AJ$5:$AJ$1504,"&lt;"&amp;AJ917,'JOBS'!$O$5:$O$1504,"&lt;&gt;Cancelled",'JOBS'!$O$5:$O$1504,"&lt;&gt;Rescheduled")+COUNTIFS($B$5:B917,B917,$AJ$5:AJ917,AJ917,$O$5:O917,"&lt;&gt;Cancelled",$O$5:O917,"&lt;&gt;Rescheduled")))</f>
        <v/>
      </c>
      <c r="AL917" s="49">
        <f>IF(N(U917)&lt;=0.005,"",COUNTIFS('JOBS'!$U$5:$U$1504,"&gt;0.005",'JOBS'!$B$5:$B$1504,"&lt;"&amp;B917)+COUNTIFS($U$5:U917,"&gt;0.005",$B$5:B917,B917))</f>
        <v/>
      </c>
    </row>
    <row r="918">
      <c r="A918" s="46" t="inlineStr">
        <is>
          <t>J-0914</t>
        </is>
      </c>
      <c r="B918" s="47" t="n"/>
      <c r="C918" s="94" t="n"/>
      <c r="D918" s="38" t="n"/>
      <c r="E918" s="38" t="n"/>
      <c r="F918" s="38" t="n"/>
      <c r="G918" s="38" t="n"/>
      <c r="H918" s="38" t="n"/>
      <c r="I918" s="57" t="n"/>
      <c r="J918" s="95" t="n"/>
      <c r="K918" s="95" t="n"/>
      <c r="L918" s="48" t="n"/>
      <c r="M918" s="96" t="n"/>
      <c r="N918" s="48" t="n"/>
      <c r="O918" s="38" t="n"/>
      <c r="P918" s="38" t="n"/>
      <c r="Q918" s="97">
        <f>IF(OR(F918="",E918=""),"",IFERROR(IF(INDEX('PROPERTIES'!$F$5:$F$404,MATCH(E918,'PROPERTIES'!$B$5:$B$404,0))=0,"",ROUND((INDEX('PROPERTIES'!$F$5:$F$404,MATCH(E918,'PROPERTIES'!$B$5:$B$404,0))/INDEX('PRICING'!$C$7:$C$16,MATCH(F918,'PRICING'!$A$7:$A$16,0))+INDEX('PROPERTIES'!$G$5:$G$404,MATCH(E918,'PROPERTIES'!$B$5:$B$404,0))*INDEX('PRICING'!$D$7:$D$16,MATCH(F918,'PRICING'!$A$7:$A$16,0))/60+INDEX('PROPERTIES'!$H$5:$H$404,MATCH(E918,'PROPERTIES'!$B$5:$B$404,0))*INDEX('PRICING'!$E$7:$E$16,MATCH(F918,'PRICING'!$A$7:$A$16,0))/60+INDEX('PRICING'!$F$7:$F$16,MATCH(F918,'PRICING'!$A$7:$A$16,0))/60),2)),""))</f>
        <v/>
      </c>
      <c r="R918" s="97">
        <f>IF(B918="","",IF(N(K918)&gt;0,K918,IF(N(J918)&gt;0,J918,N(Q918))))</f>
        <v/>
      </c>
      <c r="S918" s="55">
        <f>IF(L918="","",ROUND(L918*(1+N(M918)),2))</f>
        <v/>
      </c>
      <c r="T918" s="55">
        <f>IF(B918="","",SUMIFS('REVENUE'!$C$5:$C$1504,'REVENUE'!$B$5:$B$1504,A918))</f>
        <v/>
      </c>
      <c r="U918" s="55">
        <f>IF(B918="","",IF(O918="Completed",MAX(0,N(S918)-T918),""))</f>
        <v/>
      </c>
      <c r="V918" s="49">
        <f>IF(B918="","",IF(O918&lt;&gt;"Completed",IF(T918&gt;0,"Deposit","—"),IF(U918&lt;=0.005,"Paid",IF(T918&gt;0,"Partial","Unpaid"))))</f>
        <v/>
      </c>
      <c r="W918" s="55">
        <f>IF(B918="","",IFERROR(1/(1/INDEX('STAFF &amp; TASKS'!$C$5:$C$24,MATCH(H918,'STAFF &amp; TASKS'!$A$5:$A$24,0))),PayRate))</f>
        <v/>
      </c>
      <c r="X918" s="55">
        <f>IF(B918="","",IF(OR(O918="Cancelled",O918="No-Show"),"",ROUND(R918*W918*(1+Burden),2)))</f>
        <v/>
      </c>
      <c r="Y918" s="55">
        <f>IF(B918="","",IF(OR(O918="Cancelled",O918="No-Show"),"",IF(N918&lt;&gt;"",N918,ROUND(R918*SupHr*IFERROR(INDEX('PRICING'!$G$7:$G$16,MATCH(F918,'PRICING'!$A$7:$A$16,0)),1),2))))</f>
        <v/>
      </c>
      <c r="Z918" s="98">
        <f>IF(B918="","",SUMIFS('MILEAGE'!$J$5:$J$1504,'MILEAGE'!$B$5:$B$1504,A918))</f>
        <v/>
      </c>
      <c r="AA918" s="55">
        <f>IF(B918="","",ROUND(Z918*MileRate,2))</f>
        <v/>
      </c>
      <c r="AB918" s="55">
        <f>IF(B918="","",SUMIFS('REVENUE'!$J$5:$J$1504,'REVENUE'!$B$5:$B$1504,A918))</f>
        <v/>
      </c>
      <c r="AC918" s="55">
        <f>IF(L918="","",IF(OR(O918="Cancelled",O918="No-Show"),"",L918-N(X918)-N(Y918)-AA918-AB918))</f>
        <v/>
      </c>
      <c r="AD918" s="99">
        <f>IF(OR(AC918="",N(L918)=0),"",AC918/L918)</f>
        <v/>
      </c>
      <c r="AE918" s="55">
        <f>IF(OR(AC918="",N(R918)=0),"",L918/R918)</f>
        <v/>
      </c>
      <c r="AF918" s="100">
        <f>IF(OR(N(K918)=0,N(J918)+N(Q918)=0),"",K918-IF(N(J918)&gt;0,J918,Q918))</f>
        <v/>
      </c>
      <c r="AG918" s="99">
        <f>IF(B918="","",IFERROR(AVERAGEIFS('QUALITY CONTROL'!$M$5:$M$304,'QUALITY CONTROL'!$B$5:$B$304,A918),""))</f>
        <v/>
      </c>
      <c r="AH918" s="51">
        <f>IF(B918="","",DATE(YEAR(B918),MONTH(B918),1))</f>
        <v/>
      </c>
      <c r="AI918" s="49">
        <f>IF(D918="","",IFERROR(INDEX('CUSTOMERS'!$E$5:$E$404,MATCH(D918,'CUSTOMERS'!$B$5:$B$404,0)),""))</f>
        <v/>
      </c>
      <c r="AJ918" s="49">
        <f>IF(B918="","",N(C918))</f>
        <v/>
      </c>
      <c r="AK918" s="49">
        <f>IF(OR(B918="",O918="Cancelled",O918="Rescheduled"),"",B918&amp;"|"&amp;(COUNTIFS('JOBS'!$B$5:$B$1504,B918,'JOBS'!$AJ$5:$AJ$1504,"&lt;"&amp;AJ918,'JOBS'!$O$5:$O$1504,"&lt;&gt;Cancelled",'JOBS'!$O$5:$O$1504,"&lt;&gt;Rescheduled")+COUNTIFS($B$5:B918,B918,$AJ$5:AJ918,AJ918,$O$5:O918,"&lt;&gt;Cancelled",$O$5:O918,"&lt;&gt;Rescheduled")))</f>
        <v/>
      </c>
      <c r="AL918" s="49">
        <f>IF(N(U918)&lt;=0.005,"",COUNTIFS('JOBS'!$U$5:$U$1504,"&gt;0.005",'JOBS'!$B$5:$B$1504,"&lt;"&amp;B918)+COUNTIFS($U$5:U918,"&gt;0.005",$B$5:B918,B918))</f>
        <v/>
      </c>
    </row>
    <row r="919">
      <c r="A919" s="46" t="inlineStr">
        <is>
          <t>J-0915</t>
        </is>
      </c>
      <c r="B919" s="47" t="n"/>
      <c r="C919" s="94" t="n"/>
      <c r="D919" s="38" t="n"/>
      <c r="E919" s="38" t="n"/>
      <c r="F919" s="38" t="n"/>
      <c r="G919" s="38" t="n"/>
      <c r="H919" s="38" t="n"/>
      <c r="I919" s="57" t="n"/>
      <c r="J919" s="95" t="n"/>
      <c r="K919" s="95" t="n"/>
      <c r="L919" s="48" t="n"/>
      <c r="M919" s="96" t="n"/>
      <c r="N919" s="48" t="n"/>
      <c r="O919" s="38" t="n"/>
      <c r="P919" s="38" t="n"/>
      <c r="Q919" s="97">
        <f>IF(OR(F919="",E919=""),"",IFERROR(IF(INDEX('PROPERTIES'!$F$5:$F$404,MATCH(E919,'PROPERTIES'!$B$5:$B$404,0))=0,"",ROUND((INDEX('PROPERTIES'!$F$5:$F$404,MATCH(E919,'PROPERTIES'!$B$5:$B$404,0))/INDEX('PRICING'!$C$7:$C$16,MATCH(F919,'PRICING'!$A$7:$A$16,0))+INDEX('PROPERTIES'!$G$5:$G$404,MATCH(E919,'PROPERTIES'!$B$5:$B$404,0))*INDEX('PRICING'!$D$7:$D$16,MATCH(F919,'PRICING'!$A$7:$A$16,0))/60+INDEX('PROPERTIES'!$H$5:$H$404,MATCH(E919,'PROPERTIES'!$B$5:$B$404,0))*INDEX('PRICING'!$E$7:$E$16,MATCH(F919,'PRICING'!$A$7:$A$16,0))/60+INDEX('PRICING'!$F$7:$F$16,MATCH(F919,'PRICING'!$A$7:$A$16,0))/60),2)),""))</f>
        <v/>
      </c>
      <c r="R919" s="97">
        <f>IF(B919="","",IF(N(K919)&gt;0,K919,IF(N(J919)&gt;0,J919,N(Q919))))</f>
        <v/>
      </c>
      <c r="S919" s="55">
        <f>IF(L919="","",ROUND(L919*(1+N(M919)),2))</f>
        <v/>
      </c>
      <c r="T919" s="55">
        <f>IF(B919="","",SUMIFS('REVENUE'!$C$5:$C$1504,'REVENUE'!$B$5:$B$1504,A919))</f>
        <v/>
      </c>
      <c r="U919" s="55">
        <f>IF(B919="","",IF(O919="Completed",MAX(0,N(S919)-T919),""))</f>
        <v/>
      </c>
      <c r="V919" s="49">
        <f>IF(B919="","",IF(O919&lt;&gt;"Completed",IF(T919&gt;0,"Deposit","—"),IF(U919&lt;=0.005,"Paid",IF(T919&gt;0,"Partial","Unpaid"))))</f>
        <v/>
      </c>
      <c r="W919" s="55">
        <f>IF(B919="","",IFERROR(1/(1/INDEX('STAFF &amp; TASKS'!$C$5:$C$24,MATCH(H919,'STAFF &amp; TASKS'!$A$5:$A$24,0))),PayRate))</f>
        <v/>
      </c>
      <c r="X919" s="55">
        <f>IF(B919="","",IF(OR(O919="Cancelled",O919="No-Show"),"",ROUND(R919*W919*(1+Burden),2)))</f>
        <v/>
      </c>
      <c r="Y919" s="55">
        <f>IF(B919="","",IF(OR(O919="Cancelled",O919="No-Show"),"",IF(N919&lt;&gt;"",N919,ROUND(R919*SupHr*IFERROR(INDEX('PRICING'!$G$7:$G$16,MATCH(F919,'PRICING'!$A$7:$A$16,0)),1),2))))</f>
        <v/>
      </c>
      <c r="Z919" s="98">
        <f>IF(B919="","",SUMIFS('MILEAGE'!$J$5:$J$1504,'MILEAGE'!$B$5:$B$1504,A919))</f>
        <v/>
      </c>
      <c r="AA919" s="55">
        <f>IF(B919="","",ROUND(Z919*MileRate,2))</f>
        <v/>
      </c>
      <c r="AB919" s="55">
        <f>IF(B919="","",SUMIFS('REVENUE'!$J$5:$J$1504,'REVENUE'!$B$5:$B$1504,A919))</f>
        <v/>
      </c>
      <c r="AC919" s="55">
        <f>IF(L919="","",IF(OR(O919="Cancelled",O919="No-Show"),"",L919-N(X919)-N(Y919)-AA919-AB919))</f>
        <v/>
      </c>
      <c r="AD919" s="99">
        <f>IF(OR(AC919="",N(L919)=0),"",AC919/L919)</f>
        <v/>
      </c>
      <c r="AE919" s="55">
        <f>IF(OR(AC919="",N(R919)=0),"",L919/R919)</f>
        <v/>
      </c>
      <c r="AF919" s="100">
        <f>IF(OR(N(K919)=0,N(J919)+N(Q919)=0),"",K919-IF(N(J919)&gt;0,J919,Q919))</f>
        <v/>
      </c>
      <c r="AG919" s="99">
        <f>IF(B919="","",IFERROR(AVERAGEIFS('QUALITY CONTROL'!$M$5:$M$304,'QUALITY CONTROL'!$B$5:$B$304,A919),""))</f>
        <v/>
      </c>
      <c r="AH919" s="51">
        <f>IF(B919="","",DATE(YEAR(B919),MONTH(B919),1))</f>
        <v/>
      </c>
      <c r="AI919" s="49">
        <f>IF(D919="","",IFERROR(INDEX('CUSTOMERS'!$E$5:$E$404,MATCH(D919,'CUSTOMERS'!$B$5:$B$404,0)),""))</f>
        <v/>
      </c>
      <c r="AJ919" s="49">
        <f>IF(B919="","",N(C919))</f>
        <v/>
      </c>
      <c r="AK919" s="49">
        <f>IF(OR(B919="",O919="Cancelled",O919="Rescheduled"),"",B919&amp;"|"&amp;(COUNTIFS('JOBS'!$B$5:$B$1504,B919,'JOBS'!$AJ$5:$AJ$1504,"&lt;"&amp;AJ919,'JOBS'!$O$5:$O$1504,"&lt;&gt;Cancelled",'JOBS'!$O$5:$O$1504,"&lt;&gt;Rescheduled")+COUNTIFS($B$5:B919,B919,$AJ$5:AJ919,AJ919,$O$5:O919,"&lt;&gt;Cancelled",$O$5:O919,"&lt;&gt;Rescheduled")))</f>
        <v/>
      </c>
      <c r="AL919" s="49">
        <f>IF(N(U919)&lt;=0.005,"",COUNTIFS('JOBS'!$U$5:$U$1504,"&gt;0.005",'JOBS'!$B$5:$B$1504,"&lt;"&amp;B919)+COUNTIFS($U$5:U919,"&gt;0.005",$B$5:B919,B919))</f>
        <v/>
      </c>
    </row>
    <row r="920">
      <c r="A920" s="46" t="inlineStr">
        <is>
          <t>J-0916</t>
        </is>
      </c>
      <c r="B920" s="47" t="n"/>
      <c r="C920" s="94" t="n"/>
      <c r="D920" s="38" t="n"/>
      <c r="E920" s="38" t="n"/>
      <c r="F920" s="38" t="n"/>
      <c r="G920" s="38" t="n"/>
      <c r="H920" s="38" t="n"/>
      <c r="I920" s="57" t="n"/>
      <c r="J920" s="95" t="n"/>
      <c r="K920" s="95" t="n"/>
      <c r="L920" s="48" t="n"/>
      <c r="M920" s="96" t="n"/>
      <c r="N920" s="48" t="n"/>
      <c r="O920" s="38" t="n"/>
      <c r="P920" s="38" t="n"/>
      <c r="Q920" s="97">
        <f>IF(OR(F920="",E920=""),"",IFERROR(IF(INDEX('PROPERTIES'!$F$5:$F$404,MATCH(E920,'PROPERTIES'!$B$5:$B$404,0))=0,"",ROUND((INDEX('PROPERTIES'!$F$5:$F$404,MATCH(E920,'PROPERTIES'!$B$5:$B$404,0))/INDEX('PRICING'!$C$7:$C$16,MATCH(F920,'PRICING'!$A$7:$A$16,0))+INDEX('PROPERTIES'!$G$5:$G$404,MATCH(E920,'PROPERTIES'!$B$5:$B$404,0))*INDEX('PRICING'!$D$7:$D$16,MATCH(F920,'PRICING'!$A$7:$A$16,0))/60+INDEX('PROPERTIES'!$H$5:$H$404,MATCH(E920,'PROPERTIES'!$B$5:$B$404,0))*INDEX('PRICING'!$E$7:$E$16,MATCH(F920,'PRICING'!$A$7:$A$16,0))/60+INDEX('PRICING'!$F$7:$F$16,MATCH(F920,'PRICING'!$A$7:$A$16,0))/60),2)),""))</f>
        <v/>
      </c>
      <c r="R920" s="97">
        <f>IF(B920="","",IF(N(K920)&gt;0,K920,IF(N(J920)&gt;0,J920,N(Q920))))</f>
        <v/>
      </c>
      <c r="S920" s="55">
        <f>IF(L920="","",ROUND(L920*(1+N(M920)),2))</f>
        <v/>
      </c>
      <c r="T920" s="55">
        <f>IF(B920="","",SUMIFS('REVENUE'!$C$5:$C$1504,'REVENUE'!$B$5:$B$1504,A920))</f>
        <v/>
      </c>
      <c r="U920" s="55">
        <f>IF(B920="","",IF(O920="Completed",MAX(0,N(S920)-T920),""))</f>
        <v/>
      </c>
      <c r="V920" s="49">
        <f>IF(B920="","",IF(O920&lt;&gt;"Completed",IF(T920&gt;0,"Deposit","—"),IF(U920&lt;=0.005,"Paid",IF(T920&gt;0,"Partial","Unpaid"))))</f>
        <v/>
      </c>
      <c r="W920" s="55">
        <f>IF(B920="","",IFERROR(1/(1/INDEX('STAFF &amp; TASKS'!$C$5:$C$24,MATCH(H920,'STAFF &amp; TASKS'!$A$5:$A$24,0))),PayRate))</f>
        <v/>
      </c>
      <c r="X920" s="55">
        <f>IF(B920="","",IF(OR(O920="Cancelled",O920="No-Show"),"",ROUND(R920*W920*(1+Burden),2)))</f>
        <v/>
      </c>
      <c r="Y920" s="55">
        <f>IF(B920="","",IF(OR(O920="Cancelled",O920="No-Show"),"",IF(N920&lt;&gt;"",N920,ROUND(R920*SupHr*IFERROR(INDEX('PRICING'!$G$7:$G$16,MATCH(F920,'PRICING'!$A$7:$A$16,0)),1),2))))</f>
        <v/>
      </c>
      <c r="Z920" s="98">
        <f>IF(B920="","",SUMIFS('MILEAGE'!$J$5:$J$1504,'MILEAGE'!$B$5:$B$1504,A920))</f>
        <v/>
      </c>
      <c r="AA920" s="55">
        <f>IF(B920="","",ROUND(Z920*MileRate,2))</f>
        <v/>
      </c>
      <c r="AB920" s="55">
        <f>IF(B920="","",SUMIFS('REVENUE'!$J$5:$J$1504,'REVENUE'!$B$5:$B$1504,A920))</f>
        <v/>
      </c>
      <c r="AC920" s="55">
        <f>IF(L920="","",IF(OR(O920="Cancelled",O920="No-Show"),"",L920-N(X920)-N(Y920)-AA920-AB920))</f>
        <v/>
      </c>
      <c r="AD920" s="99">
        <f>IF(OR(AC920="",N(L920)=0),"",AC920/L920)</f>
        <v/>
      </c>
      <c r="AE920" s="55">
        <f>IF(OR(AC920="",N(R920)=0),"",L920/R920)</f>
        <v/>
      </c>
      <c r="AF920" s="100">
        <f>IF(OR(N(K920)=0,N(J920)+N(Q920)=0),"",K920-IF(N(J920)&gt;0,J920,Q920))</f>
        <v/>
      </c>
      <c r="AG920" s="99">
        <f>IF(B920="","",IFERROR(AVERAGEIFS('QUALITY CONTROL'!$M$5:$M$304,'QUALITY CONTROL'!$B$5:$B$304,A920),""))</f>
        <v/>
      </c>
      <c r="AH920" s="51">
        <f>IF(B920="","",DATE(YEAR(B920),MONTH(B920),1))</f>
        <v/>
      </c>
      <c r="AI920" s="49">
        <f>IF(D920="","",IFERROR(INDEX('CUSTOMERS'!$E$5:$E$404,MATCH(D920,'CUSTOMERS'!$B$5:$B$404,0)),""))</f>
        <v/>
      </c>
      <c r="AJ920" s="49">
        <f>IF(B920="","",N(C920))</f>
        <v/>
      </c>
      <c r="AK920" s="49">
        <f>IF(OR(B920="",O920="Cancelled",O920="Rescheduled"),"",B920&amp;"|"&amp;(COUNTIFS('JOBS'!$B$5:$B$1504,B920,'JOBS'!$AJ$5:$AJ$1504,"&lt;"&amp;AJ920,'JOBS'!$O$5:$O$1504,"&lt;&gt;Cancelled",'JOBS'!$O$5:$O$1504,"&lt;&gt;Rescheduled")+COUNTIFS($B$5:B920,B920,$AJ$5:AJ920,AJ920,$O$5:O920,"&lt;&gt;Cancelled",$O$5:O920,"&lt;&gt;Rescheduled")))</f>
        <v/>
      </c>
      <c r="AL920" s="49">
        <f>IF(N(U920)&lt;=0.005,"",COUNTIFS('JOBS'!$U$5:$U$1504,"&gt;0.005",'JOBS'!$B$5:$B$1504,"&lt;"&amp;B920)+COUNTIFS($U$5:U920,"&gt;0.005",$B$5:B920,B920))</f>
        <v/>
      </c>
    </row>
    <row r="921">
      <c r="A921" s="46" t="inlineStr">
        <is>
          <t>J-0917</t>
        </is>
      </c>
      <c r="B921" s="47" t="n"/>
      <c r="C921" s="94" t="n"/>
      <c r="D921" s="38" t="n"/>
      <c r="E921" s="38" t="n"/>
      <c r="F921" s="38" t="n"/>
      <c r="G921" s="38" t="n"/>
      <c r="H921" s="38" t="n"/>
      <c r="I921" s="57" t="n"/>
      <c r="J921" s="95" t="n"/>
      <c r="K921" s="95" t="n"/>
      <c r="L921" s="48" t="n"/>
      <c r="M921" s="96" t="n"/>
      <c r="N921" s="48" t="n"/>
      <c r="O921" s="38" t="n"/>
      <c r="P921" s="38" t="n"/>
      <c r="Q921" s="97">
        <f>IF(OR(F921="",E921=""),"",IFERROR(IF(INDEX('PROPERTIES'!$F$5:$F$404,MATCH(E921,'PROPERTIES'!$B$5:$B$404,0))=0,"",ROUND((INDEX('PROPERTIES'!$F$5:$F$404,MATCH(E921,'PROPERTIES'!$B$5:$B$404,0))/INDEX('PRICING'!$C$7:$C$16,MATCH(F921,'PRICING'!$A$7:$A$16,0))+INDEX('PROPERTIES'!$G$5:$G$404,MATCH(E921,'PROPERTIES'!$B$5:$B$404,0))*INDEX('PRICING'!$D$7:$D$16,MATCH(F921,'PRICING'!$A$7:$A$16,0))/60+INDEX('PROPERTIES'!$H$5:$H$404,MATCH(E921,'PROPERTIES'!$B$5:$B$404,0))*INDEX('PRICING'!$E$7:$E$16,MATCH(F921,'PRICING'!$A$7:$A$16,0))/60+INDEX('PRICING'!$F$7:$F$16,MATCH(F921,'PRICING'!$A$7:$A$16,0))/60),2)),""))</f>
        <v/>
      </c>
      <c r="R921" s="97">
        <f>IF(B921="","",IF(N(K921)&gt;0,K921,IF(N(J921)&gt;0,J921,N(Q921))))</f>
        <v/>
      </c>
      <c r="S921" s="55">
        <f>IF(L921="","",ROUND(L921*(1+N(M921)),2))</f>
        <v/>
      </c>
      <c r="T921" s="55">
        <f>IF(B921="","",SUMIFS('REVENUE'!$C$5:$C$1504,'REVENUE'!$B$5:$B$1504,A921))</f>
        <v/>
      </c>
      <c r="U921" s="55">
        <f>IF(B921="","",IF(O921="Completed",MAX(0,N(S921)-T921),""))</f>
        <v/>
      </c>
      <c r="V921" s="49">
        <f>IF(B921="","",IF(O921&lt;&gt;"Completed",IF(T921&gt;0,"Deposit","—"),IF(U921&lt;=0.005,"Paid",IF(T921&gt;0,"Partial","Unpaid"))))</f>
        <v/>
      </c>
      <c r="W921" s="55">
        <f>IF(B921="","",IFERROR(1/(1/INDEX('STAFF &amp; TASKS'!$C$5:$C$24,MATCH(H921,'STAFF &amp; TASKS'!$A$5:$A$24,0))),PayRate))</f>
        <v/>
      </c>
      <c r="X921" s="55">
        <f>IF(B921="","",IF(OR(O921="Cancelled",O921="No-Show"),"",ROUND(R921*W921*(1+Burden),2)))</f>
        <v/>
      </c>
      <c r="Y921" s="55">
        <f>IF(B921="","",IF(OR(O921="Cancelled",O921="No-Show"),"",IF(N921&lt;&gt;"",N921,ROUND(R921*SupHr*IFERROR(INDEX('PRICING'!$G$7:$G$16,MATCH(F921,'PRICING'!$A$7:$A$16,0)),1),2))))</f>
        <v/>
      </c>
      <c r="Z921" s="98">
        <f>IF(B921="","",SUMIFS('MILEAGE'!$J$5:$J$1504,'MILEAGE'!$B$5:$B$1504,A921))</f>
        <v/>
      </c>
      <c r="AA921" s="55">
        <f>IF(B921="","",ROUND(Z921*MileRate,2))</f>
        <v/>
      </c>
      <c r="AB921" s="55">
        <f>IF(B921="","",SUMIFS('REVENUE'!$J$5:$J$1504,'REVENUE'!$B$5:$B$1504,A921))</f>
        <v/>
      </c>
      <c r="AC921" s="55">
        <f>IF(L921="","",IF(OR(O921="Cancelled",O921="No-Show"),"",L921-N(X921)-N(Y921)-AA921-AB921))</f>
        <v/>
      </c>
      <c r="AD921" s="99">
        <f>IF(OR(AC921="",N(L921)=0),"",AC921/L921)</f>
        <v/>
      </c>
      <c r="AE921" s="55">
        <f>IF(OR(AC921="",N(R921)=0),"",L921/R921)</f>
        <v/>
      </c>
      <c r="AF921" s="100">
        <f>IF(OR(N(K921)=0,N(J921)+N(Q921)=0),"",K921-IF(N(J921)&gt;0,J921,Q921))</f>
        <v/>
      </c>
      <c r="AG921" s="99">
        <f>IF(B921="","",IFERROR(AVERAGEIFS('QUALITY CONTROL'!$M$5:$M$304,'QUALITY CONTROL'!$B$5:$B$304,A921),""))</f>
        <v/>
      </c>
      <c r="AH921" s="51">
        <f>IF(B921="","",DATE(YEAR(B921),MONTH(B921),1))</f>
        <v/>
      </c>
      <c r="AI921" s="49">
        <f>IF(D921="","",IFERROR(INDEX('CUSTOMERS'!$E$5:$E$404,MATCH(D921,'CUSTOMERS'!$B$5:$B$404,0)),""))</f>
        <v/>
      </c>
      <c r="AJ921" s="49">
        <f>IF(B921="","",N(C921))</f>
        <v/>
      </c>
      <c r="AK921" s="49">
        <f>IF(OR(B921="",O921="Cancelled",O921="Rescheduled"),"",B921&amp;"|"&amp;(COUNTIFS('JOBS'!$B$5:$B$1504,B921,'JOBS'!$AJ$5:$AJ$1504,"&lt;"&amp;AJ921,'JOBS'!$O$5:$O$1504,"&lt;&gt;Cancelled",'JOBS'!$O$5:$O$1504,"&lt;&gt;Rescheduled")+COUNTIFS($B$5:B921,B921,$AJ$5:AJ921,AJ921,$O$5:O921,"&lt;&gt;Cancelled",$O$5:O921,"&lt;&gt;Rescheduled")))</f>
        <v/>
      </c>
      <c r="AL921" s="49">
        <f>IF(N(U921)&lt;=0.005,"",COUNTIFS('JOBS'!$U$5:$U$1504,"&gt;0.005",'JOBS'!$B$5:$B$1504,"&lt;"&amp;B921)+COUNTIFS($U$5:U921,"&gt;0.005",$B$5:B921,B921))</f>
        <v/>
      </c>
    </row>
    <row r="922">
      <c r="A922" s="46" t="inlineStr">
        <is>
          <t>J-0918</t>
        </is>
      </c>
      <c r="B922" s="47" t="n"/>
      <c r="C922" s="94" t="n"/>
      <c r="D922" s="38" t="n"/>
      <c r="E922" s="38" t="n"/>
      <c r="F922" s="38" t="n"/>
      <c r="G922" s="38" t="n"/>
      <c r="H922" s="38" t="n"/>
      <c r="I922" s="57" t="n"/>
      <c r="J922" s="95" t="n"/>
      <c r="K922" s="95" t="n"/>
      <c r="L922" s="48" t="n"/>
      <c r="M922" s="96" t="n"/>
      <c r="N922" s="48" t="n"/>
      <c r="O922" s="38" t="n"/>
      <c r="P922" s="38" t="n"/>
      <c r="Q922" s="97">
        <f>IF(OR(F922="",E922=""),"",IFERROR(IF(INDEX('PROPERTIES'!$F$5:$F$404,MATCH(E922,'PROPERTIES'!$B$5:$B$404,0))=0,"",ROUND((INDEX('PROPERTIES'!$F$5:$F$404,MATCH(E922,'PROPERTIES'!$B$5:$B$404,0))/INDEX('PRICING'!$C$7:$C$16,MATCH(F922,'PRICING'!$A$7:$A$16,0))+INDEX('PROPERTIES'!$G$5:$G$404,MATCH(E922,'PROPERTIES'!$B$5:$B$404,0))*INDEX('PRICING'!$D$7:$D$16,MATCH(F922,'PRICING'!$A$7:$A$16,0))/60+INDEX('PROPERTIES'!$H$5:$H$404,MATCH(E922,'PROPERTIES'!$B$5:$B$404,0))*INDEX('PRICING'!$E$7:$E$16,MATCH(F922,'PRICING'!$A$7:$A$16,0))/60+INDEX('PRICING'!$F$7:$F$16,MATCH(F922,'PRICING'!$A$7:$A$16,0))/60),2)),""))</f>
        <v/>
      </c>
      <c r="R922" s="97">
        <f>IF(B922="","",IF(N(K922)&gt;0,K922,IF(N(J922)&gt;0,J922,N(Q922))))</f>
        <v/>
      </c>
      <c r="S922" s="55">
        <f>IF(L922="","",ROUND(L922*(1+N(M922)),2))</f>
        <v/>
      </c>
      <c r="T922" s="55">
        <f>IF(B922="","",SUMIFS('REVENUE'!$C$5:$C$1504,'REVENUE'!$B$5:$B$1504,A922))</f>
        <v/>
      </c>
      <c r="U922" s="55">
        <f>IF(B922="","",IF(O922="Completed",MAX(0,N(S922)-T922),""))</f>
        <v/>
      </c>
      <c r="V922" s="49">
        <f>IF(B922="","",IF(O922&lt;&gt;"Completed",IF(T922&gt;0,"Deposit","—"),IF(U922&lt;=0.005,"Paid",IF(T922&gt;0,"Partial","Unpaid"))))</f>
        <v/>
      </c>
      <c r="W922" s="55">
        <f>IF(B922="","",IFERROR(1/(1/INDEX('STAFF &amp; TASKS'!$C$5:$C$24,MATCH(H922,'STAFF &amp; TASKS'!$A$5:$A$24,0))),PayRate))</f>
        <v/>
      </c>
      <c r="X922" s="55">
        <f>IF(B922="","",IF(OR(O922="Cancelled",O922="No-Show"),"",ROUND(R922*W922*(1+Burden),2)))</f>
        <v/>
      </c>
      <c r="Y922" s="55">
        <f>IF(B922="","",IF(OR(O922="Cancelled",O922="No-Show"),"",IF(N922&lt;&gt;"",N922,ROUND(R922*SupHr*IFERROR(INDEX('PRICING'!$G$7:$G$16,MATCH(F922,'PRICING'!$A$7:$A$16,0)),1),2))))</f>
        <v/>
      </c>
      <c r="Z922" s="98">
        <f>IF(B922="","",SUMIFS('MILEAGE'!$J$5:$J$1504,'MILEAGE'!$B$5:$B$1504,A922))</f>
        <v/>
      </c>
      <c r="AA922" s="55">
        <f>IF(B922="","",ROUND(Z922*MileRate,2))</f>
        <v/>
      </c>
      <c r="AB922" s="55">
        <f>IF(B922="","",SUMIFS('REVENUE'!$J$5:$J$1504,'REVENUE'!$B$5:$B$1504,A922))</f>
        <v/>
      </c>
      <c r="AC922" s="55">
        <f>IF(L922="","",IF(OR(O922="Cancelled",O922="No-Show"),"",L922-N(X922)-N(Y922)-AA922-AB922))</f>
        <v/>
      </c>
      <c r="AD922" s="99">
        <f>IF(OR(AC922="",N(L922)=0),"",AC922/L922)</f>
        <v/>
      </c>
      <c r="AE922" s="55">
        <f>IF(OR(AC922="",N(R922)=0),"",L922/R922)</f>
        <v/>
      </c>
      <c r="AF922" s="100">
        <f>IF(OR(N(K922)=0,N(J922)+N(Q922)=0),"",K922-IF(N(J922)&gt;0,J922,Q922))</f>
        <v/>
      </c>
      <c r="AG922" s="99">
        <f>IF(B922="","",IFERROR(AVERAGEIFS('QUALITY CONTROL'!$M$5:$M$304,'QUALITY CONTROL'!$B$5:$B$304,A922),""))</f>
        <v/>
      </c>
      <c r="AH922" s="51">
        <f>IF(B922="","",DATE(YEAR(B922),MONTH(B922),1))</f>
        <v/>
      </c>
      <c r="AI922" s="49">
        <f>IF(D922="","",IFERROR(INDEX('CUSTOMERS'!$E$5:$E$404,MATCH(D922,'CUSTOMERS'!$B$5:$B$404,0)),""))</f>
        <v/>
      </c>
      <c r="AJ922" s="49">
        <f>IF(B922="","",N(C922))</f>
        <v/>
      </c>
      <c r="AK922" s="49">
        <f>IF(OR(B922="",O922="Cancelled",O922="Rescheduled"),"",B922&amp;"|"&amp;(COUNTIFS('JOBS'!$B$5:$B$1504,B922,'JOBS'!$AJ$5:$AJ$1504,"&lt;"&amp;AJ922,'JOBS'!$O$5:$O$1504,"&lt;&gt;Cancelled",'JOBS'!$O$5:$O$1504,"&lt;&gt;Rescheduled")+COUNTIFS($B$5:B922,B922,$AJ$5:AJ922,AJ922,$O$5:O922,"&lt;&gt;Cancelled",$O$5:O922,"&lt;&gt;Rescheduled")))</f>
        <v/>
      </c>
      <c r="AL922" s="49">
        <f>IF(N(U922)&lt;=0.005,"",COUNTIFS('JOBS'!$U$5:$U$1504,"&gt;0.005",'JOBS'!$B$5:$B$1504,"&lt;"&amp;B922)+COUNTIFS($U$5:U922,"&gt;0.005",$B$5:B922,B922))</f>
        <v/>
      </c>
    </row>
    <row r="923">
      <c r="A923" s="46" t="inlineStr">
        <is>
          <t>J-0919</t>
        </is>
      </c>
      <c r="B923" s="47" t="n"/>
      <c r="C923" s="94" t="n"/>
      <c r="D923" s="38" t="n"/>
      <c r="E923" s="38" t="n"/>
      <c r="F923" s="38" t="n"/>
      <c r="G923" s="38" t="n"/>
      <c r="H923" s="38" t="n"/>
      <c r="I923" s="57" t="n"/>
      <c r="J923" s="95" t="n"/>
      <c r="K923" s="95" t="n"/>
      <c r="L923" s="48" t="n"/>
      <c r="M923" s="96" t="n"/>
      <c r="N923" s="48" t="n"/>
      <c r="O923" s="38" t="n"/>
      <c r="P923" s="38" t="n"/>
      <c r="Q923" s="97">
        <f>IF(OR(F923="",E923=""),"",IFERROR(IF(INDEX('PROPERTIES'!$F$5:$F$404,MATCH(E923,'PROPERTIES'!$B$5:$B$404,0))=0,"",ROUND((INDEX('PROPERTIES'!$F$5:$F$404,MATCH(E923,'PROPERTIES'!$B$5:$B$404,0))/INDEX('PRICING'!$C$7:$C$16,MATCH(F923,'PRICING'!$A$7:$A$16,0))+INDEX('PROPERTIES'!$G$5:$G$404,MATCH(E923,'PROPERTIES'!$B$5:$B$404,0))*INDEX('PRICING'!$D$7:$D$16,MATCH(F923,'PRICING'!$A$7:$A$16,0))/60+INDEX('PROPERTIES'!$H$5:$H$404,MATCH(E923,'PROPERTIES'!$B$5:$B$404,0))*INDEX('PRICING'!$E$7:$E$16,MATCH(F923,'PRICING'!$A$7:$A$16,0))/60+INDEX('PRICING'!$F$7:$F$16,MATCH(F923,'PRICING'!$A$7:$A$16,0))/60),2)),""))</f>
        <v/>
      </c>
      <c r="R923" s="97">
        <f>IF(B923="","",IF(N(K923)&gt;0,K923,IF(N(J923)&gt;0,J923,N(Q923))))</f>
        <v/>
      </c>
      <c r="S923" s="55">
        <f>IF(L923="","",ROUND(L923*(1+N(M923)),2))</f>
        <v/>
      </c>
      <c r="T923" s="55">
        <f>IF(B923="","",SUMIFS('REVENUE'!$C$5:$C$1504,'REVENUE'!$B$5:$B$1504,A923))</f>
        <v/>
      </c>
      <c r="U923" s="55">
        <f>IF(B923="","",IF(O923="Completed",MAX(0,N(S923)-T923),""))</f>
        <v/>
      </c>
      <c r="V923" s="49">
        <f>IF(B923="","",IF(O923&lt;&gt;"Completed",IF(T923&gt;0,"Deposit","—"),IF(U923&lt;=0.005,"Paid",IF(T923&gt;0,"Partial","Unpaid"))))</f>
        <v/>
      </c>
      <c r="W923" s="55">
        <f>IF(B923="","",IFERROR(1/(1/INDEX('STAFF &amp; TASKS'!$C$5:$C$24,MATCH(H923,'STAFF &amp; TASKS'!$A$5:$A$24,0))),PayRate))</f>
        <v/>
      </c>
      <c r="X923" s="55">
        <f>IF(B923="","",IF(OR(O923="Cancelled",O923="No-Show"),"",ROUND(R923*W923*(1+Burden),2)))</f>
        <v/>
      </c>
      <c r="Y923" s="55">
        <f>IF(B923="","",IF(OR(O923="Cancelled",O923="No-Show"),"",IF(N923&lt;&gt;"",N923,ROUND(R923*SupHr*IFERROR(INDEX('PRICING'!$G$7:$G$16,MATCH(F923,'PRICING'!$A$7:$A$16,0)),1),2))))</f>
        <v/>
      </c>
      <c r="Z923" s="98">
        <f>IF(B923="","",SUMIFS('MILEAGE'!$J$5:$J$1504,'MILEAGE'!$B$5:$B$1504,A923))</f>
        <v/>
      </c>
      <c r="AA923" s="55">
        <f>IF(B923="","",ROUND(Z923*MileRate,2))</f>
        <v/>
      </c>
      <c r="AB923" s="55">
        <f>IF(B923="","",SUMIFS('REVENUE'!$J$5:$J$1504,'REVENUE'!$B$5:$B$1504,A923))</f>
        <v/>
      </c>
      <c r="AC923" s="55">
        <f>IF(L923="","",IF(OR(O923="Cancelled",O923="No-Show"),"",L923-N(X923)-N(Y923)-AA923-AB923))</f>
        <v/>
      </c>
      <c r="AD923" s="99">
        <f>IF(OR(AC923="",N(L923)=0),"",AC923/L923)</f>
        <v/>
      </c>
      <c r="AE923" s="55">
        <f>IF(OR(AC923="",N(R923)=0),"",L923/R923)</f>
        <v/>
      </c>
      <c r="AF923" s="100">
        <f>IF(OR(N(K923)=0,N(J923)+N(Q923)=0),"",K923-IF(N(J923)&gt;0,J923,Q923))</f>
        <v/>
      </c>
      <c r="AG923" s="99">
        <f>IF(B923="","",IFERROR(AVERAGEIFS('QUALITY CONTROL'!$M$5:$M$304,'QUALITY CONTROL'!$B$5:$B$304,A923),""))</f>
        <v/>
      </c>
      <c r="AH923" s="51">
        <f>IF(B923="","",DATE(YEAR(B923),MONTH(B923),1))</f>
        <v/>
      </c>
      <c r="AI923" s="49">
        <f>IF(D923="","",IFERROR(INDEX('CUSTOMERS'!$E$5:$E$404,MATCH(D923,'CUSTOMERS'!$B$5:$B$404,0)),""))</f>
        <v/>
      </c>
      <c r="AJ923" s="49">
        <f>IF(B923="","",N(C923))</f>
        <v/>
      </c>
      <c r="AK923" s="49">
        <f>IF(OR(B923="",O923="Cancelled",O923="Rescheduled"),"",B923&amp;"|"&amp;(COUNTIFS('JOBS'!$B$5:$B$1504,B923,'JOBS'!$AJ$5:$AJ$1504,"&lt;"&amp;AJ923,'JOBS'!$O$5:$O$1504,"&lt;&gt;Cancelled",'JOBS'!$O$5:$O$1504,"&lt;&gt;Rescheduled")+COUNTIFS($B$5:B923,B923,$AJ$5:AJ923,AJ923,$O$5:O923,"&lt;&gt;Cancelled",$O$5:O923,"&lt;&gt;Rescheduled")))</f>
        <v/>
      </c>
      <c r="AL923" s="49">
        <f>IF(N(U923)&lt;=0.005,"",COUNTIFS('JOBS'!$U$5:$U$1504,"&gt;0.005",'JOBS'!$B$5:$B$1504,"&lt;"&amp;B923)+COUNTIFS($U$5:U923,"&gt;0.005",$B$5:B923,B923))</f>
        <v/>
      </c>
    </row>
    <row r="924">
      <c r="A924" s="46" t="inlineStr">
        <is>
          <t>J-0920</t>
        </is>
      </c>
      <c r="B924" s="47" t="n"/>
      <c r="C924" s="94" t="n"/>
      <c r="D924" s="38" t="n"/>
      <c r="E924" s="38" t="n"/>
      <c r="F924" s="38" t="n"/>
      <c r="G924" s="38" t="n"/>
      <c r="H924" s="38" t="n"/>
      <c r="I924" s="57" t="n"/>
      <c r="J924" s="95" t="n"/>
      <c r="K924" s="95" t="n"/>
      <c r="L924" s="48" t="n"/>
      <c r="M924" s="96" t="n"/>
      <c r="N924" s="48" t="n"/>
      <c r="O924" s="38" t="n"/>
      <c r="P924" s="38" t="n"/>
      <c r="Q924" s="97">
        <f>IF(OR(F924="",E924=""),"",IFERROR(IF(INDEX('PROPERTIES'!$F$5:$F$404,MATCH(E924,'PROPERTIES'!$B$5:$B$404,0))=0,"",ROUND((INDEX('PROPERTIES'!$F$5:$F$404,MATCH(E924,'PROPERTIES'!$B$5:$B$404,0))/INDEX('PRICING'!$C$7:$C$16,MATCH(F924,'PRICING'!$A$7:$A$16,0))+INDEX('PROPERTIES'!$G$5:$G$404,MATCH(E924,'PROPERTIES'!$B$5:$B$404,0))*INDEX('PRICING'!$D$7:$D$16,MATCH(F924,'PRICING'!$A$7:$A$16,0))/60+INDEX('PROPERTIES'!$H$5:$H$404,MATCH(E924,'PROPERTIES'!$B$5:$B$404,0))*INDEX('PRICING'!$E$7:$E$16,MATCH(F924,'PRICING'!$A$7:$A$16,0))/60+INDEX('PRICING'!$F$7:$F$16,MATCH(F924,'PRICING'!$A$7:$A$16,0))/60),2)),""))</f>
        <v/>
      </c>
      <c r="R924" s="97">
        <f>IF(B924="","",IF(N(K924)&gt;0,K924,IF(N(J924)&gt;0,J924,N(Q924))))</f>
        <v/>
      </c>
      <c r="S924" s="55">
        <f>IF(L924="","",ROUND(L924*(1+N(M924)),2))</f>
        <v/>
      </c>
      <c r="T924" s="55">
        <f>IF(B924="","",SUMIFS('REVENUE'!$C$5:$C$1504,'REVENUE'!$B$5:$B$1504,A924))</f>
        <v/>
      </c>
      <c r="U924" s="55">
        <f>IF(B924="","",IF(O924="Completed",MAX(0,N(S924)-T924),""))</f>
        <v/>
      </c>
      <c r="V924" s="49">
        <f>IF(B924="","",IF(O924&lt;&gt;"Completed",IF(T924&gt;0,"Deposit","—"),IF(U924&lt;=0.005,"Paid",IF(T924&gt;0,"Partial","Unpaid"))))</f>
        <v/>
      </c>
      <c r="W924" s="55">
        <f>IF(B924="","",IFERROR(1/(1/INDEX('STAFF &amp; TASKS'!$C$5:$C$24,MATCH(H924,'STAFF &amp; TASKS'!$A$5:$A$24,0))),PayRate))</f>
        <v/>
      </c>
      <c r="X924" s="55">
        <f>IF(B924="","",IF(OR(O924="Cancelled",O924="No-Show"),"",ROUND(R924*W924*(1+Burden),2)))</f>
        <v/>
      </c>
      <c r="Y924" s="55">
        <f>IF(B924="","",IF(OR(O924="Cancelled",O924="No-Show"),"",IF(N924&lt;&gt;"",N924,ROUND(R924*SupHr*IFERROR(INDEX('PRICING'!$G$7:$G$16,MATCH(F924,'PRICING'!$A$7:$A$16,0)),1),2))))</f>
        <v/>
      </c>
      <c r="Z924" s="98">
        <f>IF(B924="","",SUMIFS('MILEAGE'!$J$5:$J$1504,'MILEAGE'!$B$5:$B$1504,A924))</f>
        <v/>
      </c>
      <c r="AA924" s="55">
        <f>IF(B924="","",ROUND(Z924*MileRate,2))</f>
        <v/>
      </c>
      <c r="AB924" s="55">
        <f>IF(B924="","",SUMIFS('REVENUE'!$J$5:$J$1504,'REVENUE'!$B$5:$B$1504,A924))</f>
        <v/>
      </c>
      <c r="AC924" s="55">
        <f>IF(L924="","",IF(OR(O924="Cancelled",O924="No-Show"),"",L924-N(X924)-N(Y924)-AA924-AB924))</f>
        <v/>
      </c>
      <c r="AD924" s="99">
        <f>IF(OR(AC924="",N(L924)=0),"",AC924/L924)</f>
        <v/>
      </c>
      <c r="AE924" s="55">
        <f>IF(OR(AC924="",N(R924)=0),"",L924/R924)</f>
        <v/>
      </c>
      <c r="AF924" s="100">
        <f>IF(OR(N(K924)=0,N(J924)+N(Q924)=0),"",K924-IF(N(J924)&gt;0,J924,Q924))</f>
        <v/>
      </c>
      <c r="AG924" s="99">
        <f>IF(B924="","",IFERROR(AVERAGEIFS('QUALITY CONTROL'!$M$5:$M$304,'QUALITY CONTROL'!$B$5:$B$304,A924),""))</f>
        <v/>
      </c>
      <c r="AH924" s="51">
        <f>IF(B924="","",DATE(YEAR(B924),MONTH(B924),1))</f>
        <v/>
      </c>
      <c r="AI924" s="49">
        <f>IF(D924="","",IFERROR(INDEX('CUSTOMERS'!$E$5:$E$404,MATCH(D924,'CUSTOMERS'!$B$5:$B$404,0)),""))</f>
        <v/>
      </c>
      <c r="AJ924" s="49">
        <f>IF(B924="","",N(C924))</f>
        <v/>
      </c>
      <c r="AK924" s="49">
        <f>IF(OR(B924="",O924="Cancelled",O924="Rescheduled"),"",B924&amp;"|"&amp;(COUNTIFS('JOBS'!$B$5:$B$1504,B924,'JOBS'!$AJ$5:$AJ$1504,"&lt;"&amp;AJ924,'JOBS'!$O$5:$O$1504,"&lt;&gt;Cancelled",'JOBS'!$O$5:$O$1504,"&lt;&gt;Rescheduled")+COUNTIFS($B$5:B924,B924,$AJ$5:AJ924,AJ924,$O$5:O924,"&lt;&gt;Cancelled",$O$5:O924,"&lt;&gt;Rescheduled")))</f>
        <v/>
      </c>
      <c r="AL924" s="49">
        <f>IF(N(U924)&lt;=0.005,"",COUNTIFS('JOBS'!$U$5:$U$1504,"&gt;0.005",'JOBS'!$B$5:$B$1504,"&lt;"&amp;B924)+COUNTIFS($U$5:U924,"&gt;0.005",$B$5:B924,B924))</f>
        <v/>
      </c>
    </row>
    <row r="925">
      <c r="A925" s="46" t="inlineStr">
        <is>
          <t>J-0921</t>
        </is>
      </c>
      <c r="B925" s="47" t="n"/>
      <c r="C925" s="94" t="n"/>
      <c r="D925" s="38" t="n"/>
      <c r="E925" s="38" t="n"/>
      <c r="F925" s="38" t="n"/>
      <c r="G925" s="38" t="n"/>
      <c r="H925" s="38" t="n"/>
      <c r="I925" s="57" t="n"/>
      <c r="J925" s="95" t="n"/>
      <c r="K925" s="95" t="n"/>
      <c r="L925" s="48" t="n"/>
      <c r="M925" s="96" t="n"/>
      <c r="N925" s="48" t="n"/>
      <c r="O925" s="38" t="n"/>
      <c r="P925" s="38" t="n"/>
      <c r="Q925" s="97">
        <f>IF(OR(F925="",E925=""),"",IFERROR(IF(INDEX('PROPERTIES'!$F$5:$F$404,MATCH(E925,'PROPERTIES'!$B$5:$B$404,0))=0,"",ROUND((INDEX('PROPERTIES'!$F$5:$F$404,MATCH(E925,'PROPERTIES'!$B$5:$B$404,0))/INDEX('PRICING'!$C$7:$C$16,MATCH(F925,'PRICING'!$A$7:$A$16,0))+INDEX('PROPERTIES'!$G$5:$G$404,MATCH(E925,'PROPERTIES'!$B$5:$B$404,0))*INDEX('PRICING'!$D$7:$D$16,MATCH(F925,'PRICING'!$A$7:$A$16,0))/60+INDEX('PROPERTIES'!$H$5:$H$404,MATCH(E925,'PROPERTIES'!$B$5:$B$404,0))*INDEX('PRICING'!$E$7:$E$16,MATCH(F925,'PRICING'!$A$7:$A$16,0))/60+INDEX('PRICING'!$F$7:$F$16,MATCH(F925,'PRICING'!$A$7:$A$16,0))/60),2)),""))</f>
        <v/>
      </c>
      <c r="R925" s="97">
        <f>IF(B925="","",IF(N(K925)&gt;0,K925,IF(N(J925)&gt;0,J925,N(Q925))))</f>
        <v/>
      </c>
      <c r="S925" s="55">
        <f>IF(L925="","",ROUND(L925*(1+N(M925)),2))</f>
        <v/>
      </c>
      <c r="T925" s="55">
        <f>IF(B925="","",SUMIFS('REVENUE'!$C$5:$C$1504,'REVENUE'!$B$5:$B$1504,A925))</f>
        <v/>
      </c>
      <c r="U925" s="55">
        <f>IF(B925="","",IF(O925="Completed",MAX(0,N(S925)-T925),""))</f>
        <v/>
      </c>
      <c r="V925" s="49">
        <f>IF(B925="","",IF(O925&lt;&gt;"Completed",IF(T925&gt;0,"Deposit","—"),IF(U925&lt;=0.005,"Paid",IF(T925&gt;0,"Partial","Unpaid"))))</f>
        <v/>
      </c>
      <c r="W925" s="55">
        <f>IF(B925="","",IFERROR(1/(1/INDEX('STAFF &amp; TASKS'!$C$5:$C$24,MATCH(H925,'STAFF &amp; TASKS'!$A$5:$A$24,0))),PayRate))</f>
        <v/>
      </c>
      <c r="X925" s="55">
        <f>IF(B925="","",IF(OR(O925="Cancelled",O925="No-Show"),"",ROUND(R925*W925*(1+Burden),2)))</f>
        <v/>
      </c>
      <c r="Y925" s="55">
        <f>IF(B925="","",IF(OR(O925="Cancelled",O925="No-Show"),"",IF(N925&lt;&gt;"",N925,ROUND(R925*SupHr*IFERROR(INDEX('PRICING'!$G$7:$G$16,MATCH(F925,'PRICING'!$A$7:$A$16,0)),1),2))))</f>
        <v/>
      </c>
      <c r="Z925" s="98">
        <f>IF(B925="","",SUMIFS('MILEAGE'!$J$5:$J$1504,'MILEAGE'!$B$5:$B$1504,A925))</f>
        <v/>
      </c>
      <c r="AA925" s="55">
        <f>IF(B925="","",ROUND(Z925*MileRate,2))</f>
        <v/>
      </c>
      <c r="AB925" s="55">
        <f>IF(B925="","",SUMIFS('REVENUE'!$J$5:$J$1504,'REVENUE'!$B$5:$B$1504,A925))</f>
        <v/>
      </c>
      <c r="AC925" s="55">
        <f>IF(L925="","",IF(OR(O925="Cancelled",O925="No-Show"),"",L925-N(X925)-N(Y925)-AA925-AB925))</f>
        <v/>
      </c>
      <c r="AD925" s="99">
        <f>IF(OR(AC925="",N(L925)=0),"",AC925/L925)</f>
        <v/>
      </c>
      <c r="AE925" s="55">
        <f>IF(OR(AC925="",N(R925)=0),"",L925/R925)</f>
        <v/>
      </c>
      <c r="AF925" s="100">
        <f>IF(OR(N(K925)=0,N(J925)+N(Q925)=0),"",K925-IF(N(J925)&gt;0,J925,Q925))</f>
        <v/>
      </c>
      <c r="AG925" s="99">
        <f>IF(B925="","",IFERROR(AVERAGEIFS('QUALITY CONTROL'!$M$5:$M$304,'QUALITY CONTROL'!$B$5:$B$304,A925),""))</f>
        <v/>
      </c>
      <c r="AH925" s="51">
        <f>IF(B925="","",DATE(YEAR(B925),MONTH(B925),1))</f>
        <v/>
      </c>
      <c r="AI925" s="49">
        <f>IF(D925="","",IFERROR(INDEX('CUSTOMERS'!$E$5:$E$404,MATCH(D925,'CUSTOMERS'!$B$5:$B$404,0)),""))</f>
        <v/>
      </c>
      <c r="AJ925" s="49">
        <f>IF(B925="","",N(C925))</f>
        <v/>
      </c>
      <c r="AK925" s="49">
        <f>IF(OR(B925="",O925="Cancelled",O925="Rescheduled"),"",B925&amp;"|"&amp;(COUNTIFS('JOBS'!$B$5:$B$1504,B925,'JOBS'!$AJ$5:$AJ$1504,"&lt;"&amp;AJ925,'JOBS'!$O$5:$O$1504,"&lt;&gt;Cancelled",'JOBS'!$O$5:$O$1504,"&lt;&gt;Rescheduled")+COUNTIFS($B$5:B925,B925,$AJ$5:AJ925,AJ925,$O$5:O925,"&lt;&gt;Cancelled",$O$5:O925,"&lt;&gt;Rescheduled")))</f>
        <v/>
      </c>
      <c r="AL925" s="49">
        <f>IF(N(U925)&lt;=0.005,"",COUNTIFS('JOBS'!$U$5:$U$1504,"&gt;0.005",'JOBS'!$B$5:$B$1504,"&lt;"&amp;B925)+COUNTIFS($U$5:U925,"&gt;0.005",$B$5:B925,B925))</f>
        <v/>
      </c>
    </row>
    <row r="926">
      <c r="A926" s="46" t="inlineStr">
        <is>
          <t>J-0922</t>
        </is>
      </c>
      <c r="B926" s="47" t="n"/>
      <c r="C926" s="94" t="n"/>
      <c r="D926" s="38" t="n"/>
      <c r="E926" s="38" t="n"/>
      <c r="F926" s="38" t="n"/>
      <c r="G926" s="38" t="n"/>
      <c r="H926" s="38" t="n"/>
      <c r="I926" s="57" t="n"/>
      <c r="J926" s="95" t="n"/>
      <c r="K926" s="95" t="n"/>
      <c r="L926" s="48" t="n"/>
      <c r="M926" s="96" t="n"/>
      <c r="N926" s="48" t="n"/>
      <c r="O926" s="38" t="n"/>
      <c r="P926" s="38" t="n"/>
      <c r="Q926" s="97">
        <f>IF(OR(F926="",E926=""),"",IFERROR(IF(INDEX('PROPERTIES'!$F$5:$F$404,MATCH(E926,'PROPERTIES'!$B$5:$B$404,0))=0,"",ROUND((INDEX('PROPERTIES'!$F$5:$F$404,MATCH(E926,'PROPERTIES'!$B$5:$B$404,0))/INDEX('PRICING'!$C$7:$C$16,MATCH(F926,'PRICING'!$A$7:$A$16,0))+INDEX('PROPERTIES'!$G$5:$G$404,MATCH(E926,'PROPERTIES'!$B$5:$B$404,0))*INDEX('PRICING'!$D$7:$D$16,MATCH(F926,'PRICING'!$A$7:$A$16,0))/60+INDEX('PROPERTIES'!$H$5:$H$404,MATCH(E926,'PROPERTIES'!$B$5:$B$404,0))*INDEX('PRICING'!$E$7:$E$16,MATCH(F926,'PRICING'!$A$7:$A$16,0))/60+INDEX('PRICING'!$F$7:$F$16,MATCH(F926,'PRICING'!$A$7:$A$16,0))/60),2)),""))</f>
        <v/>
      </c>
      <c r="R926" s="97">
        <f>IF(B926="","",IF(N(K926)&gt;0,K926,IF(N(J926)&gt;0,J926,N(Q926))))</f>
        <v/>
      </c>
      <c r="S926" s="55">
        <f>IF(L926="","",ROUND(L926*(1+N(M926)),2))</f>
        <v/>
      </c>
      <c r="T926" s="55">
        <f>IF(B926="","",SUMIFS('REVENUE'!$C$5:$C$1504,'REVENUE'!$B$5:$B$1504,A926))</f>
        <v/>
      </c>
      <c r="U926" s="55">
        <f>IF(B926="","",IF(O926="Completed",MAX(0,N(S926)-T926),""))</f>
        <v/>
      </c>
      <c r="V926" s="49">
        <f>IF(B926="","",IF(O926&lt;&gt;"Completed",IF(T926&gt;0,"Deposit","—"),IF(U926&lt;=0.005,"Paid",IF(T926&gt;0,"Partial","Unpaid"))))</f>
        <v/>
      </c>
      <c r="W926" s="55">
        <f>IF(B926="","",IFERROR(1/(1/INDEX('STAFF &amp; TASKS'!$C$5:$C$24,MATCH(H926,'STAFF &amp; TASKS'!$A$5:$A$24,0))),PayRate))</f>
        <v/>
      </c>
      <c r="X926" s="55">
        <f>IF(B926="","",IF(OR(O926="Cancelled",O926="No-Show"),"",ROUND(R926*W926*(1+Burden),2)))</f>
        <v/>
      </c>
      <c r="Y926" s="55">
        <f>IF(B926="","",IF(OR(O926="Cancelled",O926="No-Show"),"",IF(N926&lt;&gt;"",N926,ROUND(R926*SupHr*IFERROR(INDEX('PRICING'!$G$7:$G$16,MATCH(F926,'PRICING'!$A$7:$A$16,0)),1),2))))</f>
        <v/>
      </c>
      <c r="Z926" s="98">
        <f>IF(B926="","",SUMIFS('MILEAGE'!$J$5:$J$1504,'MILEAGE'!$B$5:$B$1504,A926))</f>
        <v/>
      </c>
      <c r="AA926" s="55">
        <f>IF(B926="","",ROUND(Z926*MileRate,2))</f>
        <v/>
      </c>
      <c r="AB926" s="55">
        <f>IF(B926="","",SUMIFS('REVENUE'!$J$5:$J$1504,'REVENUE'!$B$5:$B$1504,A926))</f>
        <v/>
      </c>
      <c r="AC926" s="55">
        <f>IF(L926="","",IF(OR(O926="Cancelled",O926="No-Show"),"",L926-N(X926)-N(Y926)-AA926-AB926))</f>
        <v/>
      </c>
      <c r="AD926" s="99">
        <f>IF(OR(AC926="",N(L926)=0),"",AC926/L926)</f>
        <v/>
      </c>
      <c r="AE926" s="55">
        <f>IF(OR(AC926="",N(R926)=0),"",L926/R926)</f>
        <v/>
      </c>
      <c r="AF926" s="100">
        <f>IF(OR(N(K926)=0,N(J926)+N(Q926)=0),"",K926-IF(N(J926)&gt;0,J926,Q926))</f>
        <v/>
      </c>
      <c r="AG926" s="99">
        <f>IF(B926="","",IFERROR(AVERAGEIFS('QUALITY CONTROL'!$M$5:$M$304,'QUALITY CONTROL'!$B$5:$B$304,A926),""))</f>
        <v/>
      </c>
      <c r="AH926" s="51">
        <f>IF(B926="","",DATE(YEAR(B926),MONTH(B926),1))</f>
        <v/>
      </c>
      <c r="AI926" s="49">
        <f>IF(D926="","",IFERROR(INDEX('CUSTOMERS'!$E$5:$E$404,MATCH(D926,'CUSTOMERS'!$B$5:$B$404,0)),""))</f>
        <v/>
      </c>
      <c r="AJ926" s="49">
        <f>IF(B926="","",N(C926))</f>
        <v/>
      </c>
      <c r="AK926" s="49">
        <f>IF(OR(B926="",O926="Cancelled",O926="Rescheduled"),"",B926&amp;"|"&amp;(COUNTIFS('JOBS'!$B$5:$B$1504,B926,'JOBS'!$AJ$5:$AJ$1504,"&lt;"&amp;AJ926,'JOBS'!$O$5:$O$1504,"&lt;&gt;Cancelled",'JOBS'!$O$5:$O$1504,"&lt;&gt;Rescheduled")+COUNTIFS($B$5:B926,B926,$AJ$5:AJ926,AJ926,$O$5:O926,"&lt;&gt;Cancelled",$O$5:O926,"&lt;&gt;Rescheduled")))</f>
        <v/>
      </c>
      <c r="AL926" s="49">
        <f>IF(N(U926)&lt;=0.005,"",COUNTIFS('JOBS'!$U$5:$U$1504,"&gt;0.005",'JOBS'!$B$5:$B$1504,"&lt;"&amp;B926)+COUNTIFS($U$5:U926,"&gt;0.005",$B$5:B926,B926))</f>
        <v/>
      </c>
    </row>
    <row r="927">
      <c r="A927" s="46" t="inlineStr">
        <is>
          <t>J-0923</t>
        </is>
      </c>
      <c r="B927" s="47" t="n"/>
      <c r="C927" s="94" t="n"/>
      <c r="D927" s="38" t="n"/>
      <c r="E927" s="38" t="n"/>
      <c r="F927" s="38" t="n"/>
      <c r="G927" s="38" t="n"/>
      <c r="H927" s="38" t="n"/>
      <c r="I927" s="57" t="n"/>
      <c r="J927" s="95" t="n"/>
      <c r="K927" s="95" t="n"/>
      <c r="L927" s="48" t="n"/>
      <c r="M927" s="96" t="n"/>
      <c r="N927" s="48" t="n"/>
      <c r="O927" s="38" t="n"/>
      <c r="P927" s="38" t="n"/>
      <c r="Q927" s="97">
        <f>IF(OR(F927="",E927=""),"",IFERROR(IF(INDEX('PROPERTIES'!$F$5:$F$404,MATCH(E927,'PROPERTIES'!$B$5:$B$404,0))=0,"",ROUND((INDEX('PROPERTIES'!$F$5:$F$404,MATCH(E927,'PROPERTIES'!$B$5:$B$404,0))/INDEX('PRICING'!$C$7:$C$16,MATCH(F927,'PRICING'!$A$7:$A$16,0))+INDEX('PROPERTIES'!$G$5:$G$404,MATCH(E927,'PROPERTIES'!$B$5:$B$404,0))*INDEX('PRICING'!$D$7:$D$16,MATCH(F927,'PRICING'!$A$7:$A$16,0))/60+INDEX('PROPERTIES'!$H$5:$H$404,MATCH(E927,'PROPERTIES'!$B$5:$B$404,0))*INDEX('PRICING'!$E$7:$E$16,MATCH(F927,'PRICING'!$A$7:$A$16,0))/60+INDEX('PRICING'!$F$7:$F$16,MATCH(F927,'PRICING'!$A$7:$A$16,0))/60),2)),""))</f>
        <v/>
      </c>
      <c r="R927" s="97">
        <f>IF(B927="","",IF(N(K927)&gt;0,K927,IF(N(J927)&gt;0,J927,N(Q927))))</f>
        <v/>
      </c>
      <c r="S927" s="55">
        <f>IF(L927="","",ROUND(L927*(1+N(M927)),2))</f>
        <v/>
      </c>
      <c r="T927" s="55">
        <f>IF(B927="","",SUMIFS('REVENUE'!$C$5:$C$1504,'REVENUE'!$B$5:$B$1504,A927))</f>
        <v/>
      </c>
      <c r="U927" s="55">
        <f>IF(B927="","",IF(O927="Completed",MAX(0,N(S927)-T927),""))</f>
        <v/>
      </c>
      <c r="V927" s="49">
        <f>IF(B927="","",IF(O927&lt;&gt;"Completed",IF(T927&gt;0,"Deposit","—"),IF(U927&lt;=0.005,"Paid",IF(T927&gt;0,"Partial","Unpaid"))))</f>
        <v/>
      </c>
      <c r="W927" s="55">
        <f>IF(B927="","",IFERROR(1/(1/INDEX('STAFF &amp; TASKS'!$C$5:$C$24,MATCH(H927,'STAFF &amp; TASKS'!$A$5:$A$24,0))),PayRate))</f>
        <v/>
      </c>
      <c r="X927" s="55">
        <f>IF(B927="","",IF(OR(O927="Cancelled",O927="No-Show"),"",ROUND(R927*W927*(1+Burden),2)))</f>
        <v/>
      </c>
      <c r="Y927" s="55">
        <f>IF(B927="","",IF(OR(O927="Cancelled",O927="No-Show"),"",IF(N927&lt;&gt;"",N927,ROUND(R927*SupHr*IFERROR(INDEX('PRICING'!$G$7:$G$16,MATCH(F927,'PRICING'!$A$7:$A$16,0)),1),2))))</f>
        <v/>
      </c>
      <c r="Z927" s="98">
        <f>IF(B927="","",SUMIFS('MILEAGE'!$J$5:$J$1504,'MILEAGE'!$B$5:$B$1504,A927))</f>
        <v/>
      </c>
      <c r="AA927" s="55">
        <f>IF(B927="","",ROUND(Z927*MileRate,2))</f>
        <v/>
      </c>
      <c r="AB927" s="55">
        <f>IF(B927="","",SUMIFS('REVENUE'!$J$5:$J$1504,'REVENUE'!$B$5:$B$1504,A927))</f>
        <v/>
      </c>
      <c r="AC927" s="55">
        <f>IF(L927="","",IF(OR(O927="Cancelled",O927="No-Show"),"",L927-N(X927)-N(Y927)-AA927-AB927))</f>
        <v/>
      </c>
      <c r="AD927" s="99">
        <f>IF(OR(AC927="",N(L927)=0),"",AC927/L927)</f>
        <v/>
      </c>
      <c r="AE927" s="55">
        <f>IF(OR(AC927="",N(R927)=0),"",L927/R927)</f>
        <v/>
      </c>
      <c r="AF927" s="100">
        <f>IF(OR(N(K927)=0,N(J927)+N(Q927)=0),"",K927-IF(N(J927)&gt;0,J927,Q927))</f>
        <v/>
      </c>
      <c r="AG927" s="99">
        <f>IF(B927="","",IFERROR(AVERAGEIFS('QUALITY CONTROL'!$M$5:$M$304,'QUALITY CONTROL'!$B$5:$B$304,A927),""))</f>
        <v/>
      </c>
      <c r="AH927" s="51">
        <f>IF(B927="","",DATE(YEAR(B927),MONTH(B927),1))</f>
        <v/>
      </c>
      <c r="AI927" s="49">
        <f>IF(D927="","",IFERROR(INDEX('CUSTOMERS'!$E$5:$E$404,MATCH(D927,'CUSTOMERS'!$B$5:$B$404,0)),""))</f>
        <v/>
      </c>
      <c r="AJ927" s="49">
        <f>IF(B927="","",N(C927))</f>
        <v/>
      </c>
      <c r="AK927" s="49">
        <f>IF(OR(B927="",O927="Cancelled",O927="Rescheduled"),"",B927&amp;"|"&amp;(COUNTIFS('JOBS'!$B$5:$B$1504,B927,'JOBS'!$AJ$5:$AJ$1504,"&lt;"&amp;AJ927,'JOBS'!$O$5:$O$1504,"&lt;&gt;Cancelled",'JOBS'!$O$5:$O$1504,"&lt;&gt;Rescheduled")+COUNTIFS($B$5:B927,B927,$AJ$5:AJ927,AJ927,$O$5:O927,"&lt;&gt;Cancelled",$O$5:O927,"&lt;&gt;Rescheduled")))</f>
        <v/>
      </c>
      <c r="AL927" s="49">
        <f>IF(N(U927)&lt;=0.005,"",COUNTIFS('JOBS'!$U$5:$U$1504,"&gt;0.005",'JOBS'!$B$5:$B$1504,"&lt;"&amp;B927)+COUNTIFS($U$5:U927,"&gt;0.005",$B$5:B927,B927))</f>
        <v/>
      </c>
    </row>
    <row r="928">
      <c r="A928" s="46" t="inlineStr">
        <is>
          <t>J-0924</t>
        </is>
      </c>
      <c r="B928" s="47" t="n"/>
      <c r="C928" s="94" t="n"/>
      <c r="D928" s="38" t="n"/>
      <c r="E928" s="38" t="n"/>
      <c r="F928" s="38" t="n"/>
      <c r="G928" s="38" t="n"/>
      <c r="H928" s="38" t="n"/>
      <c r="I928" s="57" t="n"/>
      <c r="J928" s="95" t="n"/>
      <c r="K928" s="95" t="n"/>
      <c r="L928" s="48" t="n"/>
      <c r="M928" s="96" t="n"/>
      <c r="N928" s="48" t="n"/>
      <c r="O928" s="38" t="n"/>
      <c r="P928" s="38" t="n"/>
      <c r="Q928" s="97">
        <f>IF(OR(F928="",E928=""),"",IFERROR(IF(INDEX('PROPERTIES'!$F$5:$F$404,MATCH(E928,'PROPERTIES'!$B$5:$B$404,0))=0,"",ROUND((INDEX('PROPERTIES'!$F$5:$F$404,MATCH(E928,'PROPERTIES'!$B$5:$B$404,0))/INDEX('PRICING'!$C$7:$C$16,MATCH(F928,'PRICING'!$A$7:$A$16,0))+INDEX('PROPERTIES'!$G$5:$G$404,MATCH(E928,'PROPERTIES'!$B$5:$B$404,0))*INDEX('PRICING'!$D$7:$D$16,MATCH(F928,'PRICING'!$A$7:$A$16,0))/60+INDEX('PROPERTIES'!$H$5:$H$404,MATCH(E928,'PROPERTIES'!$B$5:$B$404,0))*INDEX('PRICING'!$E$7:$E$16,MATCH(F928,'PRICING'!$A$7:$A$16,0))/60+INDEX('PRICING'!$F$7:$F$16,MATCH(F928,'PRICING'!$A$7:$A$16,0))/60),2)),""))</f>
        <v/>
      </c>
      <c r="R928" s="97">
        <f>IF(B928="","",IF(N(K928)&gt;0,K928,IF(N(J928)&gt;0,J928,N(Q928))))</f>
        <v/>
      </c>
      <c r="S928" s="55">
        <f>IF(L928="","",ROUND(L928*(1+N(M928)),2))</f>
        <v/>
      </c>
      <c r="T928" s="55">
        <f>IF(B928="","",SUMIFS('REVENUE'!$C$5:$C$1504,'REVENUE'!$B$5:$B$1504,A928))</f>
        <v/>
      </c>
      <c r="U928" s="55">
        <f>IF(B928="","",IF(O928="Completed",MAX(0,N(S928)-T928),""))</f>
        <v/>
      </c>
      <c r="V928" s="49">
        <f>IF(B928="","",IF(O928&lt;&gt;"Completed",IF(T928&gt;0,"Deposit","—"),IF(U928&lt;=0.005,"Paid",IF(T928&gt;0,"Partial","Unpaid"))))</f>
        <v/>
      </c>
      <c r="W928" s="55">
        <f>IF(B928="","",IFERROR(1/(1/INDEX('STAFF &amp; TASKS'!$C$5:$C$24,MATCH(H928,'STAFF &amp; TASKS'!$A$5:$A$24,0))),PayRate))</f>
        <v/>
      </c>
      <c r="X928" s="55">
        <f>IF(B928="","",IF(OR(O928="Cancelled",O928="No-Show"),"",ROUND(R928*W928*(1+Burden),2)))</f>
        <v/>
      </c>
      <c r="Y928" s="55">
        <f>IF(B928="","",IF(OR(O928="Cancelled",O928="No-Show"),"",IF(N928&lt;&gt;"",N928,ROUND(R928*SupHr*IFERROR(INDEX('PRICING'!$G$7:$G$16,MATCH(F928,'PRICING'!$A$7:$A$16,0)),1),2))))</f>
        <v/>
      </c>
      <c r="Z928" s="98">
        <f>IF(B928="","",SUMIFS('MILEAGE'!$J$5:$J$1504,'MILEAGE'!$B$5:$B$1504,A928))</f>
        <v/>
      </c>
      <c r="AA928" s="55">
        <f>IF(B928="","",ROUND(Z928*MileRate,2))</f>
        <v/>
      </c>
      <c r="AB928" s="55">
        <f>IF(B928="","",SUMIFS('REVENUE'!$J$5:$J$1504,'REVENUE'!$B$5:$B$1504,A928))</f>
        <v/>
      </c>
      <c r="AC928" s="55">
        <f>IF(L928="","",IF(OR(O928="Cancelled",O928="No-Show"),"",L928-N(X928)-N(Y928)-AA928-AB928))</f>
        <v/>
      </c>
      <c r="AD928" s="99">
        <f>IF(OR(AC928="",N(L928)=0),"",AC928/L928)</f>
        <v/>
      </c>
      <c r="AE928" s="55">
        <f>IF(OR(AC928="",N(R928)=0),"",L928/R928)</f>
        <v/>
      </c>
      <c r="AF928" s="100">
        <f>IF(OR(N(K928)=0,N(J928)+N(Q928)=0),"",K928-IF(N(J928)&gt;0,J928,Q928))</f>
        <v/>
      </c>
      <c r="AG928" s="99">
        <f>IF(B928="","",IFERROR(AVERAGEIFS('QUALITY CONTROL'!$M$5:$M$304,'QUALITY CONTROL'!$B$5:$B$304,A928),""))</f>
        <v/>
      </c>
      <c r="AH928" s="51">
        <f>IF(B928="","",DATE(YEAR(B928),MONTH(B928),1))</f>
        <v/>
      </c>
      <c r="AI928" s="49">
        <f>IF(D928="","",IFERROR(INDEX('CUSTOMERS'!$E$5:$E$404,MATCH(D928,'CUSTOMERS'!$B$5:$B$404,0)),""))</f>
        <v/>
      </c>
      <c r="AJ928" s="49">
        <f>IF(B928="","",N(C928))</f>
        <v/>
      </c>
      <c r="AK928" s="49">
        <f>IF(OR(B928="",O928="Cancelled",O928="Rescheduled"),"",B928&amp;"|"&amp;(COUNTIFS('JOBS'!$B$5:$B$1504,B928,'JOBS'!$AJ$5:$AJ$1504,"&lt;"&amp;AJ928,'JOBS'!$O$5:$O$1504,"&lt;&gt;Cancelled",'JOBS'!$O$5:$O$1504,"&lt;&gt;Rescheduled")+COUNTIFS($B$5:B928,B928,$AJ$5:AJ928,AJ928,$O$5:O928,"&lt;&gt;Cancelled",$O$5:O928,"&lt;&gt;Rescheduled")))</f>
        <v/>
      </c>
      <c r="AL928" s="49">
        <f>IF(N(U928)&lt;=0.005,"",COUNTIFS('JOBS'!$U$5:$U$1504,"&gt;0.005",'JOBS'!$B$5:$B$1504,"&lt;"&amp;B928)+COUNTIFS($U$5:U928,"&gt;0.005",$B$5:B928,B928))</f>
        <v/>
      </c>
    </row>
    <row r="929">
      <c r="A929" s="46" t="inlineStr">
        <is>
          <t>J-0925</t>
        </is>
      </c>
      <c r="B929" s="47" t="n"/>
      <c r="C929" s="94" t="n"/>
      <c r="D929" s="38" t="n"/>
      <c r="E929" s="38" t="n"/>
      <c r="F929" s="38" t="n"/>
      <c r="G929" s="38" t="n"/>
      <c r="H929" s="38" t="n"/>
      <c r="I929" s="57" t="n"/>
      <c r="J929" s="95" t="n"/>
      <c r="K929" s="95" t="n"/>
      <c r="L929" s="48" t="n"/>
      <c r="M929" s="96" t="n"/>
      <c r="N929" s="48" t="n"/>
      <c r="O929" s="38" t="n"/>
      <c r="P929" s="38" t="n"/>
      <c r="Q929" s="97">
        <f>IF(OR(F929="",E929=""),"",IFERROR(IF(INDEX('PROPERTIES'!$F$5:$F$404,MATCH(E929,'PROPERTIES'!$B$5:$B$404,0))=0,"",ROUND((INDEX('PROPERTIES'!$F$5:$F$404,MATCH(E929,'PROPERTIES'!$B$5:$B$404,0))/INDEX('PRICING'!$C$7:$C$16,MATCH(F929,'PRICING'!$A$7:$A$16,0))+INDEX('PROPERTIES'!$G$5:$G$404,MATCH(E929,'PROPERTIES'!$B$5:$B$404,0))*INDEX('PRICING'!$D$7:$D$16,MATCH(F929,'PRICING'!$A$7:$A$16,0))/60+INDEX('PROPERTIES'!$H$5:$H$404,MATCH(E929,'PROPERTIES'!$B$5:$B$404,0))*INDEX('PRICING'!$E$7:$E$16,MATCH(F929,'PRICING'!$A$7:$A$16,0))/60+INDEX('PRICING'!$F$7:$F$16,MATCH(F929,'PRICING'!$A$7:$A$16,0))/60),2)),""))</f>
        <v/>
      </c>
      <c r="R929" s="97">
        <f>IF(B929="","",IF(N(K929)&gt;0,K929,IF(N(J929)&gt;0,J929,N(Q929))))</f>
        <v/>
      </c>
      <c r="S929" s="55">
        <f>IF(L929="","",ROUND(L929*(1+N(M929)),2))</f>
        <v/>
      </c>
      <c r="T929" s="55">
        <f>IF(B929="","",SUMIFS('REVENUE'!$C$5:$C$1504,'REVENUE'!$B$5:$B$1504,A929))</f>
        <v/>
      </c>
      <c r="U929" s="55">
        <f>IF(B929="","",IF(O929="Completed",MAX(0,N(S929)-T929),""))</f>
        <v/>
      </c>
      <c r="V929" s="49">
        <f>IF(B929="","",IF(O929&lt;&gt;"Completed",IF(T929&gt;0,"Deposit","—"),IF(U929&lt;=0.005,"Paid",IF(T929&gt;0,"Partial","Unpaid"))))</f>
        <v/>
      </c>
      <c r="W929" s="55">
        <f>IF(B929="","",IFERROR(1/(1/INDEX('STAFF &amp; TASKS'!$C$5:$C$24,MATCH(H929,'STAFF &amp; TASKS'!$A$5:$A$24,0))),PayRate))</f>
        <v/>
      </c>
      <c r="X929" s="55">
        <f>IF(B929="","",IF(OR(O929="Cancelled",O929="No-Show"),"",ROUND(R929*W929*(1+Burden),2)))</f>
        <v/>
      </c>
      <c r="Y929" s="55">
        <f>IF(B929="","",IF(OR(O929="Cancelled",O929="No-Show"),"",IF(N929&lt;&gt;"",N929,ROUND(R929*SupHr*IFERROR(INDEX('PRICING'!$G$7:$G$16,MATCH(F929,'PRICING'!$A$7:$A$16,0)),1),2))))</f>
        <v/>
      </c>
      <c r="Z929" s="98">
        <f>IF(B929="","",SUMIFS('MILEAGE'!$J$5:$J$1504,'MILEAGE'!$B$5:$B$1504,A929))</f>
        <v/>
      </c>
      <c r="AA929" s="55">
        <f>IF(B929="","",ROUND(Z929*MileRate,2))</f>
        <v/>
      </c>
      <c r="AB929" s="55">
        <f>IF(B929="","",SUMIFS('REVENUE'!$J$5:$J$1504,'REVENUE'!$B$5:$B$1504,A929))</f>
        <v/>
      </c>
      <c r="AC929" s="55">
        <f>IF(L929="","",IF(OR(O929="Cancelled",O929="No-Show"),"",L929-N(X929)-N(Y929)-AA929-AB929))</f>
        <v/>
      </c>
      <c r="AD929" s="99">
        <f>IF(OR(AC929="",N(L929)=0),"",AC929/L929)</f>
        <v/>
      </c>
      <c r="AE929" s="55">
        <f>IF(OR(AC929="",N(R929)=0),"",L929/R929)</f>
        <v/>
      </c>
      <c r="AF929" s="100">
        <f>IF(OR(N(K929)=0,N(J929)+N(Q929)=0),"",K929-IF(N(J929)&gt;0,J929,Q929))</f>
        <v/>
      </c>
      <c r="AG929" s="99">
        <f>IF(B929="","",IFERROR(AVERAGEIFS('QUALITY CONTROL'!$M$5:$M$304,'QUALITY CONTROL'!$B$5:$B$304,A929),""))</f>
        <v/>
      </c>
      <c r="AH929" s="51">
        <f>IF(B929="","",DATE(YEAR(B929),MONTH(B929),1))</f>
        <v/>
      </c>
      <c r="AI929" s="49">
        <f>IF(D929="","",IFERROR(INDEX('CUSTOMERS'!$E$5:$E$404,MATCH(D929,'CUSTOMERS'!$B$5:$B$404,0)),""))</f>
        <v/>
      </c>
      <c r="AJ929" s="49">
        <f>IF(B929="","",N(C929))</f>
        <v/>
      </c>
      <c r="AK929" s="49">
        <f>IF(OR(B929="",O929="Cancelled",O929="Rescheduled"),"",B929&amp;"|"&amp;(COUNTIFS('JOBS'!$B$5:$B$1504,B929,'JOBS'!$AJ$5:$AJ$1504,"&lt;"&amp;AJ929,'JOBS'!$O$5:$O$1504,"&lt;&gt;Cancelled",'JOBS'!$O$5:$O$1504,"&lt;&gt;Rescheduled")+COUNTIFS($B$5:B929,B929,$AJ$5:AJ929,AJ929,$O$5:O929,"&lt;&gt;Cancelled",$O$5:O929,"&lt;&gt;Rescheduled")))</f>
        <v/>
      </c>
      <c r="AL929" s="49">
        <f>IF(N(U929)&lt;=0.005,"",COUNTIFS('JOBS'!$U$5:$U$1504,"&gt;0.005",'JOBS'!$B$5:$B$1504,"&lt;"&amp;B929)+COUNTIFS($U$5:U929,"&gt;0.005",$B$5:B929,B929))</f>
        <v/>
      </c>
    </row>
    <row r="930">
      <c r="A930" s="46" t="inlineStr">
        <is>
          <t>J-0926</t>
        </is>
      </c>
      <c r="B930" s="47" t="n"/>
      <c r="C930" s="94" t="n"/>
      <c r="D930" s="38" t="n"/>
      <c r="E930" s="38" t="n"/>
      <c r="F930" s="38" t="n"/>
      <c r="G930" s="38" t="n"/>
      <c r="H930" s="38" t="n"/>
      <c r="I930" s="57" t="n"/>
      <c r="J930" s="95" t="n"/>
      <c r="K930" s="95" t="n"/>
      <c r="L930" s="48" t="n"/>
      <c r="M930" s="96" t="n"/>
      <c r="N930" s="48" t="n"/>
      <c r="O930" s="38" t="n"/>
      <c r="P930" s="38" t="n"/>
      <c r="Q930" s="97">
        <f>IF(OR(F930="",E930=""),"",IFERROR(IF(INDEX('PROPERTIES'!$F$5:$F$404,MATCH(E930,'PROPERTIES'!$B$5:$B$404,0))=0,"",ROUND((INDEX('PROPERTIES'!$F$5:$F$404,MATCH(E930,'PROPERTIES'!$B$5:$B$404,0))/INDEX('PRICING'!$C$7:$C$16,MATCH(F930,'PRICING'!$A$7:$A$16,0))+INDEX('PROPERTIES'!$G$5:$G$404,MATCH(E930,'PROPERTIES'!$B$5:$B$404,0))*INDEX('PRICING'!$D$7:$D$16,MATCH(F930,'PRICING'!$A$7:$A$16,0))/60+INDEX('PROPERTIES'!$H$5:$H$404,MATCH(E930,'PROPERTIES'!$B$5:$B$404,0))*INDEX('PRICING'!$E$7:$E$16,MATCH(F930,'PRICING'!$A$7:$A$16,0))/60+INDEX('PRICING'!$F$7:$F$16,MATCH(F930,'PRICING'!$A$7:$A$16,0))/60),2)),""))</f>
        <v/>
      </c>
      <c r="R930" s="97">
        <f>IF(B930="","",IF(N(K930)&gt;0,K930,IF(N(J930)&gt;0,J930,N(Q930))))</f>
        <v/>
      </c>
      <c r="S930" s="55">
        <f>IF(L930="","",ROUND(L930*(1+N(M930)),2))</f>
        <v/>
      </c>
      <c r="T930" s="55">
        <f>IF(B930="","",SUMIFS('REVENUE'!$C$5:$C$1504,'REVENUE'!$B$5:$B$1504,A930))</f>
        <v/>
      </c>
      <c r="U930" s="55">
        <f>IF(B930="","",IF(O930="Completed",MAX(0,N(S930)-T930),""))</f>
        <v/>
      </c>
      <c r="V930" s="49">
        <f>IF(B930="","",IF(O930&lt;&gt;"Completed",IF(T930&gt;0,"Deposit","—"),IF(U930&lt;=0.005,"Paid",IF(T930&gt;0,"Partial","Unpaid"))))</f>
        <v/>
      </c>
      <c r="W930" s="55">
        <f>IF(B930="","",IFERROR(1/(1/INDEX('STAFF &amp; TASKS'!$C$5:$C$24,MATCH(H930,'STAFF &amp; TASKS'!$A$5:$A$24,0))),PayRate))</f>
        <v/>
      </c>
      <c r="X930" s="55">
        <f>IF(B930="","",IF(OR(O930="Cancelled",O930="No-Show"),"",ROUND(R930*W930*(1+Burden),2)))</f>
        <v/>
      </c>
      <c r="Y930" s="55">
        <f>IF(B930="","",IF(OR(O930="Cancelled",O930="No-Show"),"",IF(N930&lt;&gt;"",N930,ROUND(R930*SupHr*IFERROR(INDEX('PRICING'!$G$7:$G$16,MATCH(F930,'PRICING'!$A$7:$A$16,0)),1),2))))</f>
        <v/>
      </c>
      <c r="Z930" s="98">
        <f>IF(B930="","",SUMIFS('MILEAGE'!$J$5:$J$1504,'MILEAGE'!$B$5:$B$1504,A930))</f>
        <v/>
      </c>
      <c r="AA930" s="55">
        <f>IF(B930="","",ROUND(Z930*MileRate,2))</f>
        <v/>
      </c>
      <c r="AB930" s="55">
        <f>IF(B930="","",SUMIFS('REVENUE'!$J$5:$J$1504,'REVENUE'!$B$5:$B$1504,A930))</f>
        <v/>
      </c>
      <c r="AC930" s="55">
        <f>IF(L930="","",IF(OR(O930="Cancelled",O930="No-Show"),"",L930-N(X930)-N(Y930)-AA930-AB930))</f>
        <v/>
      </c>
      <c r="AD930" s="99">
        <f>IF(OR(AC930="",N(L930)=0),"",AC930/L930)</f>
        <v/>
      </c>
      <c r="AE930" s="55">
        <f>IF(OR(AC930="",N(R930)=0),"",L930/R930)</f>
        <v/>
      </c>
      <c r="AF930" s="100">
        <f>IF(OR(N(K930)=0,N(J930)+N(Q930)=0),"",K930-IF(N(J930)&gt;0,J930,Q930))</f>
        <v/>
      </c>
      <c r="AG930" s="99">
        <f>IF(B930="","",IFERROR(AVERAGEIFS('QUALITY CONTROL'!$M$5:$M$304,'QUALITY CONTROL'!$B$5:$B$304,A930),""))</f>
        <v/>
      </c>
      <c r="AH930" s="51">
        <f>IF(B930="","",DATE(YEAR(B930),MONTH(B930),1))</f>
        <v/>
      </c>
      <c r="AI930" s="49">
        <f>IF(D930="","",IFERROR(INDEX('CUSTOMERS'!$E$5:$E$404,MATCH(D930,'CUSTOMERS'!$B$5:$B$404,0)),""))</f>
        <v/>
      </c>
      <c r="AJ930" s="49">
        <f>IF(B930="","",N(C930))</f>
        <v/>
      </c>
      <c r="AK930" s="49">
        <f>IF(OR(B930="",O930="Cancelled",O930="Rescheduled"),"",B930&amp;"|"&amp;(COUNTIFS('JOBS'!$B$5:$B$1504,B930,'JOBS'!$AJ$5:$AJ$1504,"&lt;"&amp;AJ930,'JOBS'!$O$5:$O$1504,"&lt;&gt;Cancelled",'JOBS'!$O$5:$O$1504,"&lt;&gt;Rescheduled")+COUNTIFS($B$5:B930,B930,$AJ$5:AJ930,AJ930,$O$5:O930,"&lt;&gt;Cancelled",$O$5:O930,"&lt;&gt;Rescheduled")))</f>
        <v/>
      </c>
      <c r="AL930" s="49">
        <f>IF(N(U930)&lt;=0.005,"",COUNTIFS('JOBS'!$U$5:$U$1504,"&gt;0.005",'JOBS'!$B$5:$B$1504,"&lt;"&amp;B930)+COUNTIFS($U$5:U930,"&gt;0.005",$B$5:B930,B930))</f>
        <v/>
      </c>
    </row>
    <row r="931">
      <c r="A931" s="46" t="inlineStr">
        <is>
          <t>J-0927</t>
        </is>
      </c>
      <c r="B931" s="47" t="n"/>
      <c r="C931" s="94" t="n"/>
      <c r="D931" s="38" t="n"/>
      <c r="E931" s="38" t="n"/>
      <c r="F931" s="38" t="n"/>
      <c r="G931" s="38" t="n"/>
      <c r="H931" s="38" t="n"/>
      <c r="I931" s="57" t="n"/>
      <c r="J931" s="95" t="n"/>
      <c r="K931" s="95" t="n"/>
      <c r="L931" s="48" t="n"/>
      <c r="M931" s="96" t="n"/>
      <c r="N931" s="48" t="n"/>
      <c r="O931" s="38" t="n"/>
      <c r="P931" s="38" t="n"/>
      <c r="Q931" s="97">
        <f>IF(OR(F931="",E931=""),"",IFERROR(IF(INDEX('PROPERTIES'!$F$5:$F$404,MATCH(E931,'PROPERTIES'!$B$5:$B$404,0))=0,"",ROUND((INDEX('PROPERTIES'!$F$5:$F$404,MATCH(E931,'PROPERTIES'!$B$5:$B$404,0))/INDEX('PRICING'!$C$7:$C$16,MATCH(F931,'PRICING'!$A$7:$A$16,0))+INDEX('PROPERTIES'!$G$5:$G$404,MATCH(E931,'PROPERTIES'!$B$5:$B$404,0))*INDEX('PRICING'!$D$7:$D$16,MATCH(F931,'PRICING'!$A$7:$A$16,0))/60+INDEX('PROPERTIES'!$H$5:$H$404,MATCH(E931,'PROPERTIES'!$B$5:$B$404,0))*INDEX('PRICING'!$E$7:$E$16,MATCH(F931,'PRICING'!$A$7:$A$16,0))/60+INDEX('PRICING'!$F$7:$F$16,MATCH(F931,'PRICING'!$A$7:$A$16,0))/60),2)),""))</f>
        <v/>
      </c>
      <c r="R931" s="97">
        <f>IF(B931="","",IF(N(K931)&gt;0,K931,IF(N(J931)&gt;0,J931,N(Q931))))</f>
        <v/>
      </c>
      <c r="S931" s="55">
        <f>IF(L931="","",ROUND(L931*(1+N(M931)),2))</f>
        <v/>
      </c>
      <c r="T931" s="55">
        <f>IF(B931="","",SUMIFS('REVENUE'!$C$5:$C$1504,'REVENUE'!$B$5:$B$1504,A931))</f>
        <v/>
      </c>
      <c r="U931" s="55">
        <f>IF(B931="","",IF(O931="Completed",MAX(0,N(S931)-T931),""))</f>
        <v/>
      </c>
      <c r="V931" s="49">
        <f>IF(B931="","",IF(O931&lt;&gt;"Completed",IF(T931&gt;0,"Deposit","—"),IF(U931&lt;=0.005,"Paid",IF(T931&gt;0,"Partial","Unpaid"))))</f>
        <v/>
      </c>
      <c r="W931" s="55">
        <f>IF(B931="","",IFERROR(1/(1/INDEX('STAFF &amp; TASKS'!$C$5:$C$24,MATCH(H931,'STAFF &amp; TASKS'!$A$5:$A$24,0))),PayRate))</f>
        <v/>
      </c>
      <c r="X931" s="55">
        <f>IF(B931="","",IF(OR(O931="Cancelled",O931="No-Show"),"",ROUND(R931*W931*(1+Burden),2)))</f>
        <v/>
      </c>
      <c r="Y931" s="55">
        <f>IF(B931="","",IF(OR(O931="Cancelled",O931="No-Show"),"",IF(N931&lt;&gt;"",N931,ROUND(R931*SupHr*IFERROR(INDEX('PRICING'!$G$7:$G$16,MATCH(F931,'PRICING'!$A$7:$A$16,0)),1),2))))</f>
        <v/>
      </c>
      <c r="Z931" s="98">
        <f>IF(B931="","",SUMIFS('MILEAGE'!$J$5:$J$1504,'MILEAGE'!$B$5:$B$1504,A931))</f>
        <v/>
      </c>
      <c r="AA931" s="55">
        <f>IF(B931="","",ROUND(Z931*MileRate,2))</f>
        <v/>
      </c>
      <c r="AB931" s="55">
        <f>IF(B931="","",SUMIFS('REVENUE'!$J$5:$J$1504,'REVENUE'!$B$5:$B$1504,A931))</f>
        <v/>
      </c>
      <c r="AC931" s="55">
        <f>IF(L931="","",IF(OR(O931="Cancelled",O931="No-Show"),"",L931-N(X931)-N(Y931)-AA931-AB931))</f>
        <v/>
      </c>
      <c r="AD931" s="99">
        <f>IF(OR(AC931="",N(L931)=0),"",AC931/L931)</f>
        <v/>
      </c>
      <c r="AE931" s="55">
        <f>IF(OR(AC931="",N(R931)=0),"",L931/R931)</f>
        <v/>
      </c>
      <c r="AF931" s="100">
        <f>IF(OR(N(K931)=0,N(J931)+N(Q931)=0),"",K931-IF(N(J931)&gt;0,J931,Q931))</f>
        <v/>
      </c>
      <c r="AG931" s="99">
        <f>IF(B931="","",IFERROR(AVERAGEIFS('QUALITY CONTROL'!$M$5:$M$304,'QUALITY CONTROL'!$B$5:$B$304,A931),""))</f>
        <v/>
      </c>
      <c r="AH931" s="51">
        <f>IF(B931="","",DATE(YEAR(B931),MONTH(B931),1))</f>
        <v/>
      </c>
      <c r="AI931" s="49">
        <f>IF(D931="","",IFERROR(INDEX('CUSTOMERS'!$E$5:$E$404,MATCH(D931,'CUSTOMERS'!$B$5:$B$404,0)),""))</f>
        <v/>
      </c>
      <c r="AJ931" s="49">
        <f>IF(B931="","",N(C931))</f>
        <v/>
      </c>
      <c r="AK931" s="49">
        <f>IF(OR(B931="",O931="Cancelled",O931="Rescheduled"),"",B931&amp;"|"&amp;(COUNTIFS('JOBS'!$B$5:$B$1504,B931,'JOBS'!$AJ$5:$AJ$1504,"&lt;"&amp;AJ931,'JOBS'!$O$5:$O$1504,"&lt;&gt;Cancelled",'JOBS'!$O$5:$O$1504,"&lt;&gt;Rescheduled")+COUNTIFS($B$5:B931,B931,$AJ$5:AJ931,AJ931,$O$5:O931,"&lt;&gt;Cancelled",$O$5:O931,"&lt;&gt;Rescheduled")))</f>
        <v/>
      </c>
      <c r="AL931" s="49">
        <f>IF(N(U931)&lt;=0.005,"",COUNTIFS('JOBS'!$U$5:$U$1504,"&gt;0.005",'JOBS'!$B$5:$B$1504,"&lt;"&amp;B931)+COUNTIFS($U$5:U931,"&gt;0.005",$B$5:B931,B931))</f>
        <v/>
      </c>
    </row>
    <row r="932">
      <c r="A932" s="46" t="inlineStr">
        <is>
          <t>J-0928</t>
        </is>
      </c>
      <c r="B932" s="47" t="n"/>
      <c r="C932" s="94" t="n"/>
      <c r="D932" s="38" t="n"/>
      <c r="E932" s="38" t="n"/>
      <c r="F932" s="38" t="n"/>
      <c r="G932" s="38" t="n"/>
      <c r="H932" s="38" t="n"/>
      <c r="I932" s="57" t="n"/>
      <c r="J932" s="95" t="n"/>
      <c r="K932" s="95" t="n"/>
      <c r="L932" s="48" t="n"/>
      <c r="M932" s="96" t="n"/>
      <c r="N932" s="48" t="n"/>
      <c r="O932" s="38" t="n"/>
      <c r="P932" s="38" t="n"/>
      <c r="Q932" s="97">
        <f>IF(OR(F932="",E932=""),"",IFERROR(IF(INDEX('PROPERTIES'!$F$5:$F$404,MATCH(E932,'PROPERTIES'!$B$5:$B$404,0))=0,"",ROUND((INDEX('PROPERTIES'!$F$5:$F$404,MATCH(E932,'PROPERTIES'!$B$5:$B$404,0))/INDEX('PRICING'!$C$7:$C$16,MATCH(F932,'PRICING'!$A$7:$A$16,0))+INDEX('PROPERTIES'!$G$5:$G$404,MATCH(E932,'PROPERTIES'!$B$5:$B$404,0))*INDEX('PRICING'!$D$7:$D$16,MATCH(F932,'PRICING'!$A$7:$A$16,0))/60+INDEX('PROPERTIES'!$H$5:$H$404,MATCH(E932,'PROPERTIES'!$B$5:$B$404,0))*INDEX('PRICING'!$E$7:$E$16,MATCH(F932,'PRICING'!$A$7:$A$16,0))/60+INDEX('PRICING'!$F$7:$F$16,MATCH(F932,'PRICING'!$A$7:$A$16,0))/60),2)),""))</f>
        <v/>
      </c>
      <c r="R932" s="97">
        <f>IF(B932="","",IF(N(K932)&gt;0,K932,IF(N(J932)&gt;0,J932,N(Q932))))</f>
        <v/>
      </c>
      <c r="S932" s="55">
        <f>IF(L932="","",ROUND(L932*(1+N(M932)),2))</f>
        <v/>
      </c>
      <c r="T932" s="55">
        <f>IF(B932="","",SUMIFS('REVENUE'!$C$5:$C$1504,'REVENUE'!$B$5:$B$1504,A932))</f>
        <v/>
      </c>
      <c r="U932" s="55">
        <f>IF(B932="","",IF(O932="Completed",MAX(0,N(S932)-T932),""))</f>
        <v/>
      </c>
      <c r="V932" s="49">
        <f>IF(B932="","",IF(O932&lt;&gt;"Completed",IF(T932&gt;0,"Deposit","—"),IF(U932&lt;=0.005,"Paid",IF(T932&gt;0,"Partial","Unpaid"))))</f>
        <v/>
      </c>
      <c r="W932" s="55">
        <f>IF(B932="","",IFERROR(1/(1/INDEX('STAFF &amp; TASKS'!$C$5:$C$24,MATCH(H932,'STAFF &amp; TASKS'!$A$5:$A$24,0))),PayRate))</f>
        <v/>
      </c>
      <c r="X932" s="55">
        <f>IF(B932="","",IF(OR(O932="Cancelled",O932="No-Show"),"",ROUND(R932*W932*(1+Burden),2)))</f>
        <v/>
      </c>
      <c r="Y932" s="55">
        <f>IF(B932="","",IF(OR(O932="Cancelled",O932="No-Show"),"",IF(N932&lt;&gt;"",N932,ROUND(R932*SupHr*IFERROR(INDEX('PRICING'!$G$7:$G$16,MATCH(F932,'PRICING'!$A$7:$A$16,0)),1),2))))</f>
        <v/>
      </c>
      <c r="Z932" s="98">
        <f>IF(B932="","",SUMIFS('MILEAGE'!$J$5:$J$1504,'MILEAGE'!$B$5:$B$1504,A932))</f>
        <v/>
      </c>
      <c r="AA932" s="55">
        <f>IF(B932="","",ROUND(Z932*MileRate,2))</f>
        <v/>
      </c>
      <c r="AB932" s="55">
        <f>IF(B932="","",SUMIFS('REVENUE'!$J$5:$J$1504,'REVENUE'!$B$5:$B$1504,A932))</f>
        <v/>
      </c>
      <c r="AC932" s="55">
        <f>IF(L932="","",IF(OR(O932="Cancelled",O932="No-Show"),"",L932-N(X932)-N(Y932)-AA932-AB932))</f>
        <v/>
      </c>
      <c r="AD932" s="99">
        <f>IF(OR(AC932="",N(L932)=0),"",AC932/L932)</f>
        <v/>
      </c>
      <c r="AE932" s="55">
        <f>IF(OR(AC932="",N(R932)=0),"",L932/R932)</f>
        <v/>
      </c>
      <c r="AF932" s="100">
        <f>IF(OR(N(K932)=0,N(J932)+N(Q932)=0),"",K932-IF(N(J932)&gt;0,J932,Q932))</f>
        <v/>
      </c>
      <c r="AG932" s="99">
        <f>IF(B932="","",IFERROR(AVERAGEIFS('QUALITY CONTROL'!$M$5:$M$304,'QUALITY CONTROL'!$B$5:$B$304,A932),""))</f>
        <v/>
      </c>
      <c r="AH932" s="51">
        <f>IF(B932="","",DATE(YEAR(B932),MONTH(B932),1))</f>
        <v/>
      </c>
      <c r="AI932" s="49">
        <f>IF(D932="","",IFERROR(INDEX('CUSTOMERS'!$E$5:$E$404,MATCH(D932,'CUSTOMERS'!$B$5:$B$404,0)),""))</f>
        <v/>
      </c>
      <c r="AJ932" s="49">
        <f>IF(B932="","",N(C932))</f>
        <v/>
      </c>
      <c r="AK932" s="49">
        <f>IF(OR(B932="",O932="Cancelled",O932="Rescheduled"),"",B932&amp;"|"&amp;(COUNTIFS('JOBS'!$B$5:$B$1504,B932,'JOBS'!$AJ$5:$AJ$1504,"&lt;"&amp;AJ932,'JOBS'!$O$5:$O$1504,"&lt;&gt;Cancelled",'JOBS'!$O$5:$O$1504,"&lt;&gt;Rescheduled")+COUNTIFS($B$5:B932,B932,$AJ$5:AJ932,AJ932,$O$5:O932,"&lt;&gt;Cancelled",$O$5:O932,"&lt;&gt;Rescheduled")))</f>
        <v/>
      </c>
      <c r="AL932" s="49">
        <f>IF(N(U932)&lt;=0.005,"",COUNTIFS('JOBS'!$U$5:$U$1504,"&gt;0.005",'JOBS'!$B$5:$B$1504,"&lt;"&amp;B932)+COUNTIFS($U$5:U932,"&gt;0.005",$B$5:B932,B932))</f>
        <v/>
      </c>
    </row>
    <row r="933">
      <c r="A933" s="46" t="inlineStr">
        <is>
          <t>J-0929</t>
        </is>
      </c>
      <c r="B933" s="47" t="n"/>
      <c r="C933" s="94" t="n"/>
      <c r="D933" s="38" t="n"/>
      <c r="E933" s="38" t="n"/>
      <c r="F933" s="38" t="n"/>
      <c r="G933" s="38" t="n"/>
      <c r="H933" s="38" t="n"/>
      <c r="I933" s="57" t="n"/>
      <c r="J933" s="95" t="n"/>
      <c r="K933" s="95" t="n"/>
      <c r="L933" s="48" t="n"/>
      <c r="M933" s="96" t="n"/>
      <c r="N933" s="48" t="n"/>
      <c r="O933" s="38" t="n"/>
      <c r="P933" s="38" t="n"/>
      <c r="Q933" s="97">
        <f>IF(OR(F933="",E933=""),"",IFERROR(IF(INDEX('PROPERTIES'!$F$5:$F$404,MATCH(E933,'PROPERTIES'!$B$5:$B$404,0))=0,"",ROUND((INDEX('PROPERTIES'!$F$5:$F$404,MATCH(E933,'PROPERTIES'!$B$5:$B$404,0))/INDEX('PRICING'!$C$7:$C$16,MATCH(F933,'PRICING'!$A$7:$A$16,0))+INDEX('PROPERTIES'!$G$5:$G$404,MATCH(E933,'PROPERTIES'!$B$5:$B$404,0))*INDEX('PRICING'!$D$7:$D$16,MATCH(F933,'PRICING'!$A$7:$A$16,0))/60+INDEX('PROPERTIES'!$H$5:$H$404,MATCH(E933,'PROPERTIES'!$B$5:$B$404,0))*INDEX('PRICING'!$E$7:$E$16,MATCH(F933,'PRICING'!$A$7:$A$16,0))/60+INDEX('PRICING'!$F$7:$F$16,MATCH(F933,'PRICING'!$A$7:$A$16,0))/60),2)),""))</f>
        <v/>
      </c>
      <c r="R933" s="97">
        <f>IF(B933="","",IF(N(K933)&gt;0,K933,IF(N(J933)&gt;0,J933,N(Q933))))</f>
        <v/>
      </c>
      <c r="S933" s="55">
        <f>IF(L933="","",ROUND(L933*(1+N(M933)),2))</f>
        <v/>
      </c>
      <c r="T933" s="55">
        <f>IF(B933="","",SUMIFS('REVENUE'!$C$5:$C$1504,'REVENUE'!$B$5:$B$1504,A933))</f>
        <v/>
      </c>
      <c r="U933" s="55">
        <f>IF(B933="","",IF(O933="Completed",MAX(0,N(S933)-T933),""))</f>
        <v/>
      </c>
      <c r="V933" s="49">
        <f>IF(B933="","",IF(O933&lt;&gt;"Completed",IF(T933&gt;0,"Deposit","—"),IF(U933&lt;=0.005,"Paid",IF(T933&gt;0,"Partial","Unpaid"))))</f>
        <v/>
      </c>
      <c r="W933" s="55">
        <f>IF(B933="","",IFERROR(1/(1/INDEX('STAFF &amp; TASKS'!$C$5:$C$24,MATCH(H933,'STAFF &amp; TASKS'!$A$5:$A$24,0))),PayRate))</f>
        <v/>
      </c>
      <c r="X933" s="55">
        <f>IF(B933="","",IF(OR(O933="Cancelled",O933="No-Show"),"",ROUND(R933*W933*(1+Burden),2)))</f>
        <v/>
      </c>
      <c r="Y933" s="55">
        <f>IF(B933="","",IF(OR(O933="Cancelled",O933="No-Show"),"",IF(N933&lt;&gt;"",N933,ROUND(R933*SupHr*IFERROR(INDEX('PRICING'!$G$7:$G$16,MATCH(F933,'PRICING'!$A$7:$A$16,0)),1),2))))</f>
        <v/>
      </c>
      <c r="Z933" s="98">
        <f>IF(B933="","",SUMIFS('MILEAGE'!$J$5:$J$1504,'MILEAGE'!$B$5:$B$1504,A933))</f>
        <v/>
      </c>
      <c r="AA933" s="55">
        <f>IF(B933="","",ROUND(Z933*MileRate,2))</f>
        <v/>
      </c>
      <c r="AB933" s="55">
        <f>IF(B933="","",SUMIFS('REVENUE'!$J$5:$J$1504,'REVENUE'!$B$5:$B$1504,A933))</f>
        <v/>
      </c>
      <c r="AC933" s="55">
        <f>IF(L933="","",IF(OR(O933="Cancelled",O933="No-Show"),"",L933-N(X933)-N(Y933)-AA933-AB933))</f>
        <v/>
      </c>
      <c r="AD933" s="99">
        <f>IF(OR(AC933="",N(L933)=0),"",AC933/L933)</f>
        <v/>
      </c>
      <c r="AE933" s="55">
        <f>IF(OR(AC933="",N(R933)=0),"",L933/R933)</f>
        <v/>
      </c>
      <c r="AF933" s="100">
        <f>IF(OR(N(K933)=0,N(J933)+N(Q933)=0),"",K933-IF(N(J933)&gt;0,J933,Q933))</f>
        <v/>
      </c>
      <c r="AG933" s="99">
        <f>IF(B933="","",IFERROR(AVERAGEIFS('QUALITY CONTROL'!$M$5:$M$304,'QUALITY CONTROL'!$B$5:$B$304,A933),""))</f>
        <v/>
      </c>
      <c r="AH933" s="51">
        <f>IF(B933="","",DATE(YEAR(B933),MONTH(B933),1))</f>
        <v/>
      </c>
      <c r="AI933" s="49">
        <f>IF(D933="","",IFERROR(INDEX('CUSTOMERS'!$E$5:$E$404,MATCH(D933,'CUSTOMERS'!$B$5:$B$404,0)),""))</f>
        <v/>
      </c>
      <c r="AJ933" s="49">
        <f>IF(B933="","",N(C933))</f>
        <v/>
      </c>
      <c r="AK933" s="49">
        <f>IF(OR(B933="",O933="Cancelled",O933="Rescheduled"),"",B933&amp;"|"&amp;(COUNTIFS('JOBS'!$B$5:$B$1504,B933,'JOBS'!$AJ$5:$AJ$1504,"&lt;"&amp;AJ933,'JOBS'!$O$5:$O$1504,"&lt;&gt;Cancelled",'JOBS'!$O$5:$O$1504,"&lt;&gt;Rescheduled")+COUNTIFS($B$5:B933,B933,$AJ$5:AJ933,AJ933,$O$5:O933,"&lt;&gt;Cancelled",$O$5:O933,"&lt;&gt;Rescheduled")))</f>
        <v/>
      </c>
      <c r="AL933" s="49">
        <f>IF(N(U933)&lt;=0.005,"",COUNTIFS('JOBS'!$U$5:$U$1504,"&gt;0.005",'JOBS'!$B$5:$B$1504,"&lt;"&amp;B933)+COUNTIFS($U$5:U933,"&gt;0.005",$B$5:B933,B933))</f>
        <v/>
      </c>
    </row>
    <row r="934">
      <c r="A934" s="46" t="inlineStr">
        <is>
          <t>J-0930</t>
        </is>
      </c>
      <c r="B934" s="47" t="n"/>
      <c r="C934" s="94" t="n"/>
      <c r="D934" s="38" t="n"/>
      <c r="E934" s="38" t="n"/>
      <c r="F934" s="38" t="n"/>
      <c r="G934" s="38" t="n"/>
      <c r="H934" s="38" t="n"/>
      <c r="I934" s="57" t="n"/>
      <c r="J934" s="95" t="n"/>
      <c r="K934" s="95" t="n"/>
      <c r="L934" s="48" t="n"/>
      <c r="M934" s="96" t="n"/>
      <c r="N934" s="48" t="n"/>
      <c r="O934" s="38" t="n"/>
      <c r="P934" s="38" t="n"/>
      <c r="Q934" s="97">
        <f>IF(OR(F934="",E934=""),"",IFERROR(IF(INDEX('PROPERTIES'!$F$5:$F$404,MATCH(E934,'PROPERTIES'!$B$5:$B$404,0))=0,"",ROUND((INDEX('PROPERTIES'!$F$5:$F$404,MATCH(E934,'PROPERTIES'!$B$5:$B$404,0))/INDEX('PRICING'!$C$7:$C$16,MATCH(F934,'PRICING'!$A$7:$A$16,0))+INDEX('PROPERTIES'!$G$5:$G$404,MATCH(E934,'PROPERTIES'!$B$5:$B$404,0))*INDEX('PRICING'!$D$7:$D$16,MATCH(F934,'PRICING'!$A$7:$A$16,0))/60+INDEX('PROPERTIES'!$H$5:$H$404,MATCH(E934,'PROPERTIES'!$B$5:$B$404,0))*INDEX('PRICING'!$E$7:$E$16,MATCH(F934,'PRICING'!$A$7:$A$16,0))/60+INDEX('PRICING'!$F$7:$F$16,MATCH(F934,'PRICING'!$A$7:$A$16,0))/60),2)),""))</f>
        <v/>
      </c>
      <c r="R934" s="97">
        <f>IF(B934="","",IF(N(K934)&gt;0,K934,IF(N(J934)&gt;0,J934,N(Q934))))</f>
        <v/>
      </c>
      <c r="S934" s="55">
        <f>IF(L934="","",ROUND(L934*(1+N(M934)),2))</f>
        <v/>
      </c>
      <c r="T934" s="55">
        <f>IF(B934="","",SUMIFS('REVENUE'!$C$5:$C$1504,'REVENUE'!$B$5:$B$1504,A934))</f>
        <v/>
      </c>
      <c r="U934" s="55">
        <f>IF(B934="","",IF(O934="Completed",MAX(0,N(S934)-T934),""))</f>
        <v/>
      </c>
      <c r="V934" s="49">
        <f>IF(B934="","",IF(O934&lt;&gt;"Completed",IF(T934&gt;0,"Deposit","—"),IF(U934&lt;=0.005,"Paid",IF(T934&gt;0,"Partial","Unpaid"))))</f>
        <v/>
      </c>
      <c r="W934" s="55">
        <f>IF(B934="","",IFERROR(1/(1/INDEX('STAFF &amp; TASKS'!$C$5:$C$24,MATCH(H934,'STAFF &amp; TASKS'!$A$5:$A$24,0))),PayRate))</f>
        <v/>
      </c>
      <c r="X934" s="55">
        <f>IF(B934="","",IF(OR(O934="Cancelled",O934="No-Show"),"",ROUND(R934*W934*(1+Burden),2)))</f>
        <v/>
      </c>
      <c r="Y934" s="55">
        <f>IF(B934="","",IF(OR(O934="Cancelled",O934="No-Show"),"",IF(N934&lt;&gt;"",N934,ROUND(R934*SupHr*IFERROR(INDEX('PRICING'!$G$7:$G$16,MATCH(F934,'PRICING'!$A$7:$A$16,0)),1),2))))</f>
        <v/>
      </c>
      <c r="Z934" s="98">
        <f>IF(B934="","",SUMIFS('MILEAGE'!$J$5:$J$1504,'MILEAGE'!$B$5:$B$1504,A934))</f>
        <v/>
      </c>
      <c r="AA934" s="55">
        <f>IF(B934="","",ROUND(Z934*MileRate,2))</f>
        <v/>
      </c>
      <c r="AB934" s="55">
        <f>IF(B934="","",SUMIFS('REVENUE'!$J$5:$J$1504,'REVENUE'!$B$5:$B$1504,A934))</f>
        <v/>
      </c>
      <c r="AC934" s="55">
        <f>IF(L934="","",IF(OR(O934="Cancelled",O934="No-Show"),"",L934-N(X934)-N(Y934)-AA934-AB934))</f>
        <v/>
      </c>
      <c r="AD934" s="99">
        <f>IF(OR(AC934="",N(L934)=0),"",AC934/L934)</f>
        <v/>
      </c>
      <c r="AE934" s="55">
        <f>IF(OR(AC934="",N(R934)=0),"",L934/R934)</f>
        <v/>
      </c>
      <c r="AF934" s="100">
        <f>IF(OR(N(K934)=0,N(J934)+N(Q934)=0),"",K934-IF(N(J934)&gt;0,J934,Q934))</f>
        <v/>
      </c>
      <c r="AG934" s="99">
        <f>IF(B934="","",IFERROR(AVERAGEIFS('QUALITY CONTROL'!$M$5:$M$304,'QUALITY CONTROL'!$B$5:$B$304,A934),""))</f>
        <v/>
      </c>
      <c r="AH934" s="51">
        <f>IF(B934="","",DATE(YEAR(B934),MONTH(B934),1))</f>
        <v/>
      </c>
      <c r="AI934" s="49">
        <f>IF(D934="","",IFERROR(INDEX('CUSTOMERS'!$E$5:$E$404,MATCH(D934,'CUSTOMERS'!$B$5:$B$404,0)),""))</f>
        <v/>
      </c>
      <c r="AJ934" s="49">
        <f>IF(B934="","",N(C934))</f>
        <v/>
      </c>
      <c r="AK934" s="49">
        <f>IF(OR(B934="",O934="Cancelled",O934="Rescheduled"),"",B934&amp;"|"&amp;(COUNTIFS('JOBS'!$B$5:$B$1504,B934,'JOBS'!$AJ$5:$AJ$1504,"&lt;"&amp;AJ934,'JOBS'!$O$5:$O$1504,"&lt;&gt;Cancelled",'JOBS'!$O$5:$O$1504,"&lt;&gt;Rescheduled")+COUNTIFS($B$5:B934,B934,$AJ$5:AJ934,AJ934,$O$5:O934,"&lt;&gt;Cancelled",$O$5:O934,"&lt;&gt;Rescheduled")))</f>
        <v/>
      </c>
      <c r="AL934" s="49">
        <f>IF(N(U934)&lt;=0.005,"",COUNTIFS('JOBS'!$U$5:$U$1504,"&gt;0.005",'JOBS'!$B$5:$B$1504,"&lt;"&amp;B934)+COUNTIFS($U$5:U934,"&gt;0.005",$B$5:B934,B934))</f>
        <v/>
      </c>
    </row>
    <row r="935">
      <c r="A935" s="46" t="inlineStr">
        <is>
          <t>J-0931</t>
        </is>
      </c>
      <c r="B935" s="47" t="n"/>
      <c r="C935" s="94" t="n"/>
      <c r="D935" s="38" t="n"/>
      <c r="E935" s="38" t="n"/>
      <c r="F935" s="38" t="n"/>
      <c r="G935" s="38" t="n"/>
      <c r="H935" s="38" t="n"/>
      <c r="I935" s="57" t="n"/>
      <c r="J935" s="95" t="n"/>
      <c r="K935" s="95" t="n"/>
      <c r="L935" s="48" t="n"/>
      <c r="M935" s="96" t="n"/>
      <c r="N935" s="48" t="n"/>
      <c r="O935" s="38" t="n"/>
      <c r="P935" s="38" t="n"/>
      <c r="Q935" s="97">
        <f>IF(OR(F935="",E935=""),"",IFERROR(IF(INDEX('PROPERTIES'!$F$5:$F$404,MATCH(E935,'PROPERTIES'!$B$5:$B$404,0))=0,"",ROUND((INDEX('PROPERTIES'!$F$5:$F$404,MATCH(E935,'PROPERTIES'!$B$5:$B$404,0))/INDEX('PRICING'!$C$7:$C$16,MATCH(F935,'PRICING'!$A$7:$A$16,0))+INDEX('PROPERTIES'!$G$5:$G$404,MATCH(E935,'PROPERTIES'!$B$5:$B$404,0))*INDEX('PRICING'!$D$7:$D$16,MATCH(F935,'PRICING'!$A$7:$A$16,0))/60+INDEX('PROPERTIES'!$H$5:$H$404,MATCH(E935,'PROPERTIES'!$B$5:$B$404,0))*INDEX('PRICING'!$E$7:$E$16,MATCH(F935,'PRICING'!$A$7:$A$16,0))/60+INDEX('PRICING'!$F$7:$F$16,MATCH(F935,'PRICING'!$A$7:$A$16,0))/60),2)),""))</f>
        <v/>
      </c>
      <c r="R935" s="97">
        <f>IF(B935="","",IF(N(K935)&gt;0,K935,IF(N(J935)&gt;0,J935,N(Q935))))</f>
        <v/>
      </c>
      <c r="S935" s="55">
        <f>IF(L935="","",ROUND(L935*(1+N(M935)),2))</f>
        <v/>
      </c>
      <c r="T935" s="55">
        <f>IF(B935="","",SUMIFS('REVENUE'!$C$5:$C$1504,'REVENUE'!$B$5:$B$1504,A935))</f>
        <v/>
      </c>
      <c r="U935" s="55">
        <f>IF(B935="","",IF(O935="Completed",MAX(0,N(S935)-T935),""))</f>
        <v/>
      </c>
      <c r="V935" s="49">
        <f>IF(B935="","",IF(O935&lt;&gt;"Completed",IF(T935&gt;0,"Deposit","—"),IF(U935&lt;=0.005,"Paid",IF(T935&gt;0,"Partial","Unpaid"))))</f>
        <v/>
      </c>
      <c r="W935" s="55">
        <f>IF(B935="","",IFERROR(1/(1/INDEX('STAFF &amp; TASKS'!$C$5:$C$24,MATCH(H935,'STAFF &amp; TASKS'!$A$5:$A$24,0))),PayRate))</f>
        <v/>
      </c>
      <c r="X935" s="55">
        <f>IF(B935="","",IF(OR(O935="Cancelled",O935="No-Show"),"",ROUND(R935*W935*(1+Burden),2)))</f>
        <v/>
      </c>
      <c r="Y935" s="55">
        <f>IF(B935="","",IF(OR(O935="Cancelled",O935="No-Show"),"",IF(N935&lt;&gt;"",N935,ROUND(R935*SupHr*IFERROR(INDEX('PRICING'!$G$7:$G$16,MATCH(F935,'PRICING'!$A$7:$A$16,0)),1),2))))</f>
        <v/>
      </c>
      <c r="Z935" s="98">
        <f>IF(B935="","",SUMIFS('MILEAGE'!$J$5:$J$1504,'MILEAGE'!$B$5:$B$1504,A935))</f>
        <v/>
      </c>
      <c r="AA935" s="55">
        <f>IF(B935="","",ROUND(Z935*MileRate,2))</f>
        <v/>
      </c>
      <c r="AB935" s="55">
        <f>IF(B935="","",SUMIFS('REVENUE'!$J$5:$J$1504,'REVENUE'!$B$5:$B$1504,A935))</f>
        <v/>
      </c>
      <c r="AC935" s="55">
        <f>IF(L935="","",IF(OR(O935="Cancelled",O935="No-Show"),"",L935-N(X935)-N(Y935)-AA935-AB935))</f>
        <v/>
      </c>
      <c r="AD935" s="99">
        <f>IF(OR(AC935="",N(L935)=0),"",AC935/L935)</f>
        <v/>
      </c>
      <c r="AE935" s="55">
        <f>IF(OR(AC935="",N(R935)=0),"",L935/R935)</f>
        <v/>
      </c>
      <c r="AF935" s="100">
        <f>IF(OR(N(K935)=0,N(J935)+N(Q935)=0),"",K935-IF(N(J935)&gt;0,J935,Q935))</f>
        <v/>
      </c>
      <c r="AG935" s="99">
        <f>IF(B935="","",IFERROR(AVERAGEIFS('QUALITY CONTROL'!$M$5:$M$304,'QUALITY CONTROL'!$B$5:$B$304,A935),""))</f>
        <v/>
      </c>
      <c r="AH935" s="51">
        <f>IF(B935="","",DATE(YEAR(B935),MONTH(B935),1))</f>
        <v/>
      </c>
      <c r="AI935" s="49">
        <f>IF(D935="","",IFERROR(INDEX('CUSTOMERS'!$E$5:$E$404,MATCH(D935,'CUSTOMERS'!$B$5:$B$404,0)),""))</f>
        <v/>
      </c>
      <c r="AJ935" s="49">
        <f>IF(B935="","",N(C935))</f>
        <v/>
      </c>
      <c r="AK935" s="49">
        <f>IF(OR(B935="",O935="Cancelled",O935="Rescheduled"),"",B935&amp;"|"&amp;(COUNTIFS('JOBS'!$B$5:$B$1504,B935,'JOBS'!$AJ$5:$AJ$1504,"&lt;"&amp;AJ935,'JOBS'!$O$5:$O$1504,"&lt;&gt;Cancelled",'JOBS'!$O$5:$O$1504,"&lt;&gt;Rescheduled")+COUNTIFS($B$5:B935,B935,$AJ$5:AJ935,AJ935,$O$5:O935,"&lt;&gt;Cancelled",$O$5:O935,"&lt;&gt;Rescheduled")))</f>
        <v/>
      </c>
      <c r="AL935" s="49">
        <f>IF(N(U935)&lt;=0.005,"",COUNTIFS('JOBS'!$U$5:$U$1504,"&gt;0.005",'JOBS'!$B$5:$B$1504,"&lt;"&amp;B935)+COUNTIFS($U$5:U935,"&gt;0.005",$B$5:B935,B935))</f>
        <v/>
      </c>
    </row>
    <row r="936">
      <c r="A936" s="46" t="inlineStr">
        <is>
          <t>J-0932</t>
        </is>
      </c>
      <c r="B936" s="47" t="n"/>
      <c r="C936" s="94" t="n"/>
      <c r="D936" s="38" t="n"/>
      <c r="E936" s="38" t="n"/>
      <c r="F936" s="38" t="n"/>
      <c r="G936" s="38" t="n"/>
      <c r="H936" s="38" t="n"/>
      <c r="I936" s="57" t="n"/>
      <c r="J936" s="95" t="n"/>
      <c r="K936" s="95" t="n"/>
      <c r="L936" s="48" t="n"/>
      <c r="M936" s="96" t="n"/>
      <c r="N936" s="48" t="n"/>
      <c r="O936" s="38" t="n"/>
      <c r="P936" s="38" t="n"/>
      <c r="Q936" s="97">
        <f>IF(OR(F936="",E936=""),"",IFERROR(IF(INDEX('PROPERTIES'!$F$5:$F$404,MATCH(E936,'PROPERTIES'!$B$5:$B$404,0))=0,"",ROUND((INDEX('PROPERTIES'!$F$5:$F$404,MATCH(E936,'PROPERTIES'!$B$5:$B$404,0))/INDEX('PRICING'!$C$7:$C$16,MATCH(F936,'PRICING'!$A$7:$A$16,0))+INDEX('PROPERTIES'!$G$5:$G$404,MATCH(E936,'PROPERTIES'!$B$5:$B$404,0))*INDEX('PRICING'!$D$7:$D$16,MATCH(F936,'PRICING'!$A$7:$A$16,0))/60+INDEX('PROPERTIES'!$H$5:$H$404,MATCH(E936,'PROPERTIES'!$B$5:$B$404,0))*INDEX('PRICING'!$E$7:$E$16,MATCH(F936,'PRICING'!$A$7:$A$16,0))/60+INDEX('PRICING'!$F$7:$F$16,MATCH(F936,'PRICING'!$A$7:$A$16,0))/60),2)),""))</f>
        <v/>
      </c>
      <c r="R936" s="97">
        <f>IF(B936="","",IF(N(K936)&gt;0,K936,IF(N(J936)&gt;0,J936,N(Q936))))</f>
        <v/>
      </c>
      <c r="S936" s="55">
        <f>IF(L936="","",ROUND(L936*(1+N(M936)),2))</f>
        <v/>
      </c>
      <c r="T936" s="55">
        <f>IF(B936="","",SUMIFS('REVENUE'!$C$5:$C$1504,'REVENUE'!$B$5:$B$1504,A936))</f>
        <v/>
      </c>
      <c r="U936" s="55">
        <f>IF(B936="","",IF(O936="Completed",MAX(0,N(S936)-T936),""))</f>
        <v/>
      </c>
      <c r="V936" s="49">
        <f>IF(B936="","",IF(O936&lt;&gt;"Completed",IF(T936&gt;0,"Deposit","—"),IF(U936&lt;=0.005,"Paid",IF(T936&gt;0,"Partial","Unpaid"))))</f>
        <v/>
      </c>
      <c r="W936" s="55">
        <f>IF(B936="","",IFERROR(1/(1/INDEX('STAFF &amp; TASKS'!$C$5:$C$24,MATCH(H936,'STAFF &amp; TASKS'!$A$5:$A$24,0))),PayRate))</f>
        <v/>
      </c>
      <c r="X936" s="55">
        <f>IF(B936="","",IF(OR(O936="Cancelled",O936="No-Show"),"",ROUND(R936*W936*(1+Burden),2)))</f>
        <v/>
      </c>
      <c r="Y936" s="55">
        <f>IF(B936="","",IF(OR(O936="Cancelled",O936="No-Show"),"",IF(N936&lt;&gt;"",N936,ROUND(R936*SupHr*IFERROR(INDEX('PRICING'!$G$7:$G$16,MATCH(F936,'PRICING'!$A$7:$A$16,0)),1),2))))</f>
        <v/>
      </c>
      <c r="Z936" s="98">
        <f>IF(B936="","",SUMIFS('MILEAGE'!$J$5:$J$1504,'MILEAGE'!$B$5:$B$1504,A936))</f>
        <v/>
      </c>
      <c r="AA936" s="55">
        <f>IF(B936="","",ROUND(Z936*MileRate,2))</f>
        <v/>
      </c>
      <c r="AB936" s="55">
        <f>IF(B936="","",SUMIFS('REVENUE'!$J$5:$J$1504,'REVENUE'!$B$5:$B$1504,A936))</f>
        <v/>
      </c>
      <c r="AC936" s="55">
        <f>IF(L936="","",IF(OR(O936="Cancelled",O936="No-Show"),"",L936-N(X936)-N(Y936)-AA936-AB936))</f>
        <v/>
      </c>
      <c r="AD936" s="99">
        <f>IF(OR(AC936="",N(L936)=0),"",AC936/L936)</f>
        <v/>
      </c>
      <c r="AE936" s="55">
        <f>IF(OR(AC936="",N(R936)=0),"",L936/R936)</f>
        <v/>
      </c>
      <c r="AF936" s="100">
        <f>IF(OR(N(K936)=0,N(J936)+N(Q936)=0),"",K936-IF(N(J936)&gt;0,J936,Q936))</f>
        <v/>
      </c>
      <c r="AG936" s="99">
        <f>IF(B936="","",IFERROR(AVERAGEIFS('QUALITY CONTROL'!$M$5:$M$304,'QUALITY CONTROL'!$B$5:$B$304,A936),""))</f>
        <v/>
      </c>
      <c r="AH936" s="51">
        <f>IF(B936="","",DATE(YEAR(B936),MONTH(B936),1))</f>
        <v/>
      </c>
      <c r="AI936" s="49">
        <f>IF(D936="","",IFERROR(INDEX('CUSTOMERS'!$E$5:$E$404,MATCH(D936,'CUSTOMERS'!$B$5:$B$404,0)),""))</f>
        <v/>
      </c>
      <c r="AJ936" s="49">
        <f>IF(B936="","",N(C936))</f>
        <v/>
      </c>
      <c r="AK936" s="49">
        <f>IF(OR(B936="",O936="Cancelled",O936="Rescheduled"),"",B936&amp;"|"&amp;(COUNTIFS('JOBS'!$B$5:$B$1504,B936,'JOBS'!$AJ$5:$AJ$1504,"&lt;"&amp;AJ936,'JOBS'!$O$5:$O$1504,"&lt;&gt;Cancelled",'JOBS'!$O$5:$O$1504,"&lt;&gt;Rescheduled")+COUNTIFS($B$5:B936,B936,$AJ$5:AJ936,AJ936,$O$5:O936,"&lt;&gt;Cancelled",$O$5:O936,"&lt;&gt;Rescheduled")))</f>
        <v/>
      </c>
      <c r="AL936" s="49">
        <f>IF(N(U936)&lt;=0.005,"",COUNTIFS('JOBS'!$U$5:$U$1504,"&gt;0.005",'JOBS'!$B$5:$B$1504,"&lt;"&amp;B936)+COUNTIFS($U$5:U936,"&gt;0.005",$B$5:B936,B936))</f>
        <v/>
      </c>
    </row>
    <row r="937">
      <c r="A937" s="46" t="inlineStr">
        <is>
          <t>J-0933</t>
        </is>
      </c>
      <c r="B937" s="47" t="n"/>
      <c r="C937" s="94" t="n"/>
      <c r="D937" s="38" t="n"/>
      <c r="E937" s="38" t="n"/>
      <c r="F937" s="38" t="n"/>
      <c r="G937" s="38" t="n"/>
      <c r="H937" s="38" t="n"/>
      <c r="I937" s="57" t="n"/>
      <c r="J937" s="95" t="n"/>
      <c r="K937" s="95" t="n"/>
      <c r="L937" s="48" t="n"/>
      <c r="M937" s="96" t="n"/>
      <c r="N937" s="48" t="n"/>
      <c r="O937" s="38" t="n"/>
      <c r="P937" s="38" t="n"/>
      <c r="Q937" s="97">
        <f>IF(OR(F937="",E937=""),"",IFERROR(IF(INDEX('PROPERTIES'!$F$5:$F$404,MATCH(E937,'PROPERTIES'!$B$5:$B$404,0))=0,"",ROUND((INDEX('PROPERTIES'!$F$5:$F$404,MATCH(E937,'PROPERTIES'!$B$5:$B$404,0))/INDEX('PRICING'!$C$7:$C$16,MATCH(F937,'PRICING'!$A$7:$A$16,0))+INDEX('PROPERTIES'!$G$5:$G$404,MATCH(E937,'PROPERTIES'!$B$5:$B$404,0))*INDEX('PRICING'!$D$7:$D$16,MATCH(F937,'PRICING'!$A$7:$A$16,0))/60+INDEX('PROPERTIES'!$H$5:$H$404,MATCH(E937,'PROPERTIES'!$B$5:$B$404,0))*INDEX('PRICING'!$E$7:$E$16,MATCH(F937,'PRICING'!$A$7:$A$16,0))/60+INDEX('PRICING'!$F$7:$F$16,MATCH(F937,'PRICING'!$A$7:$A$16,0))/60),2)),""))</f>
        <v/>
      </c>
      <c r="R937" s="97">
        <f>IF(B937="","",IF(N(K937)&gt;0,K937,IF(N(J937)&gt;0,J937,N(Q937))))</f>
        <v/>
      </c>
      <c r="S937" s="55">
        <f>IF(L937="","",ROUND(L937*(1+N(M937)),2))</f>
        <v/>
      </c>
      <c r="T937" s="55">
        <f>IF(B937="","",SUMIFS('REVENUE'!$C$5:$C$1504,'REVENUE'!$B$5:$B$1504,A937))</f>
        <v/>
      </c>
      <c r="U937" s="55">
        <f>IF(B937="","",IF(O937="Completed",MAX(0,N(S937)-T937),""))</f>
        <v/>
      </c>
      <c r="V937" s="49">
        <f>IF(B937="","",IF(O937&lt;&gt;"Completed",IF(T937&gt;0,"Deposit","—"),IF(U937&lt;=0.005,"Paid",IF(T937&gt;0,"Partial","Unpaid"))))</f>
        <v/>
      </c>
      <c r="W937" s="55">
        <f>IF(B937="","",IFERROR(1/(1/INDEX('STAFF &amp; TASKS'!$C$5:$C$24,MATCH(H937,'STAFF &amp; TASKS'!$A$5:$A$24,0))),PayRate))</f>
        <v/>
      </c>
      <c r="X937" s="55">
        <f>IF(B937="","",IF(OR(O937="Cancelled",O937="No-Show"),"",ROUND(R937*W937*(1+Burden),2)))</f>
        <v/>
      </c>
      <c r="Y937" s="55">
        <f>IF(B937="","",IF(OR(O937="Cancelled",O937="No-Show"),"",IF(N937&lt;&gt;"",N937,ROUND(R937*SupHr*IFERROR(INDEX('PRICING'!$G$7:$G$16,MATCH(F937,'PRICING'!$A$7:$A$16,0)),1),2))))</f>
        <v/>
      </c>
      <c r="Z937" s="98">
        <f>IF(B937="","",SUMIFS('MILEAGE'!$J$5:$J$1504,'MILEAGE'!$B$5:$B$1504,A937))</f>
        <v/>
      </c>
      <c r="AA937" s="55">
        <f>IF(B937="","",ROUND(Z937*MileRate,2))</f>
        <v/>
      </c>
      <c r="AB937" s="55">
        <f>IF(B937="","",SUMIFS('REVENUE'!$J$5:$J$1504,'REVENUE'!$B$5:$B$1504,A937))</f>
        <v/>
      </c>
      <c r="AC937" s="55">
        <f>IF(L937="","",IF(OR(O937="Cancelled",O937="No-Show"),"",L937-N(X937)-N(Y937)-AA937-AB937))</f>
        <v/>
      </c>
      <c r="AD937" s="99">
        <f>IF(OR(AC937="",N(L937)=0),"",AC937/L937)</f>
        <v/>
      </c>
      <c r="AE937" s="55">
        <f>IF(OR(AC937="",N(R937)=0),"",L937/R937)</f>
        <v/>
      </c>
      <c r="AF937" s="100">
        <f>IF(OR(N(K937)=0,N(J937)+N(Q937)=0),"",K937-IF(N(J937)&gt;0,J937,Q937))</f>
        <v/>
      </c>
      <c r="AG937" s="99">
        <f>IF(B937="","",IFERROR(AVERAGEIFS('QUALITY CONTROL'!$M$5:$M$304,'QUALITY CONTROL'!$B$5:$B$304,A937),""))</f>
        <v/>
      </c>
      <c r="AH937" s="51">
        <f>IF(B937="","",DATE(YEAR(B937),MONTH(B937),1))</f>
        <v/>
      </c>
      <c r="AI937" s="49">
        <f>IF(D937="","",IFERROR(INDEX('CUSTOMERS'!$E$5:$E$404,MATCH(D937,'CUSTOMERS'!$B$5:$B$404,0)),""))</f>
        <v/>
      </c>
      <c r="AJ937" s="49">
        <f>IF(B937="","",N(C937))</f>
        <v/>
      </c>
      <c r="AK937" s="49">
        <f>IF(OR(B937="",O937="Cancelled",O937="Rescheduled"),"",B937&amp;"|"&amp;(COUNTIFS('JOBS'!$B$5:$B$1504,B937,'JOBS'!$AJ$5:$AJ$1504,"&lt;"&amp;AJ937,'JOBS'!$O$5:$O$1504,"&lt;&gt;Cancelled",'JOBS'!$O$5:$O$1504,"&lt;&gt;Rescheduled")+COUNTIFS($B$5:B937,B937,$AJ$5:AJ937,AJ937,$O$5:O937,"&lt;&gt;Cancelled",$O$5:O937,"&lt;&gt;Rescheduled")))</f>
        <v/>
      </c>
      <c r="AL937" s="49">
        <f>IF(N(U937)&lt;=0.005,"",COUNTIFS('JOBS'!$U$5:$U$1504,"&gt;0.005",'JOBS'!$B$5:$B$1504,"&lt;"&amp;B937)+COUNTIFS($U$5:U937,"&gt;0.005",$B$5:B937,B937))</f>
        <v/>
      </c>
    </row>
    <row r="938">
      <c r="A938" s="46" t="inlineStr">
        <is>
          <t>J-0934</t>
        </is>
      </c>
      <c r="B938" s="47" t="n"/>
      <c r="C938" s="94" t="n"/>
      <c r="D938" s="38" t="n"/>
      <c r="E938" s="38" t="n"/>
      <c r="F938" s="38" t="n"/>
      <c r="G938" s="38" t="n"/>
      <c r="H938" s="38" t="n"/>
      <c r="I938" s="57" t="n"/>
      <c r="J938" s="95" t="n"/>
      <c r="K938" s="95" t="n"/>
      <c r="L938" s="48" t="n"/>
      <c r="M938" s="96" t="n"/>
      <c r="N938" s="48" t="n"/>
      <c r="O938" s="38" t="n"/>
      <c r="P938" s="38" t="n"/>
      <c r="Q938" s="97">
        <f>IF(OR(F938="",E938=""),"",IFERROR(IF(INDEX('PROPERTIES'!$F$5:$F$404,MATCH(E938,'PROPERTIES'!$B$5:$B$404,0))=0,"",ROUND((INDEX('PROPERTIES'!$F$5:$F$404,MATCH(E938,'PROPERTIES'!$B$5:$B$404,0))/INDEX('PRICING'!$C$7:$C$16,MATCH(F938,'PRICING'!$A$7:$A$16,0))+INDEX('PROPERTIES'!$G$5:$G$404,MATCH(E938,'PROPERTIES'!$B$5:$B$404,0))*INDEX('PRICING'!$D$7:$D$16,MATCH(F938,'PRICING'!$A$7:$A$16,0))/60+INDEX('PROPERTIES'!$H$5:$H$404,MATCH(E938,'PROPERTIES'!$B$5:$B$404,0))*INDEX('PRICING'!$E$7:$E$16,MATCH(F938,'PRICING'!$A$7:$A$16,0))/60+INDEX('PRICING'!$F$7:$F$16,MATCH(F938,'PRICING'!$A$7:$A$16,0))/60),2)),""))</f>
        <v/>
      </c>
      <c r="R938" s="97">
        <f>IF(B938="","",IF(N(K938)&gt;0,K938,IF(N(J938)&gt;0,J938,N(Q938))))</f>
        <v/>
      </c>
      <c r="S938" s="55">
        <f>IF(L938="","",ROUND(L938*(1+N(M938)),2))</f>
        <v/>
      </c>
      <c r="T938" s="55">
        <f>IF(B938="","",SUMIFS('REVENUE'!$C$5:$C$1504,'REVENUE'!$B$5:$B$1504,A938))</f>
        <v/>
      </c>
      <c r="U938" s="55">
        <f>IF(B938="","",IF(O938="Completed",MAX(0,N(S938)-T938),""))</f>
        <v/>
      </c>
      <c r="V938" s="49">
        <f>IF(B938="","",IF(O938&lt;&gt;"Completed",IF(T938&gt;0,"Deposit","—"),IF(U938&lt;=0.005,"Paid",IF(T938&gt;0,"Partial","Unpaid"))))</f>
        <v/>
      </c>
      <c r="W938" s="55">
        <f>IF(B938="","",IFERROR(1/(1/INDEX('STAFF &amp; TASKS'!$C$5:$C$24,MATCH(H938,'STAFF &amp; TASKS'!$A$5:$A$24,0))),PayRate))</f>
        <v/>
      </c>
      <c r="X938" s="55">
        <f>IF(B938="","",IF(OR(O938="Cancelled",O938="No-Show"),"",ROUND(R938*W938*(1+Burden),2)))</f>
        <v/>
      </c>
      <c r="Y938" s="55">
        <f>IF(B938="","",IF(OR(O938="Cancelled",O938="No-Show"),"",IF(N938&lt;&gt;"",N938,ROUND(R938*SupHr*IFERROR(INDEX('PRICING'!$G$7:$G$16,MATCH(F938,'PRICING'!$A$7:$A$16,0)),1),2))))</f>
        <v/>
      </c>
      <c r="Z938" s="98">
        <f>IF(B938="","",SUMIFS('MILEAGE'!$J$5:$J$1504,'MILEAGE'!$B$5:$B$1504,A938))</f>
        <v/>
      </c>
      <c r="AA938" s="55">
        <f>IF(B938="","",ROUND(Z938*MileRate,2))</f>
        <v/>
      </c>
      <c r="AB938" s="55">
        <f>IF(B938="","",SUMIFS('REVENUE'!$J$5:$J$1504,'REVENUE'!$B$5:$B$1504,A938))</f>
        <v/>
      </c>
      <c r="AC938" s="55">
        <f>IF(L938="","",IF(OR(O938="Cancelled",O938="No-Show"),"",L938-N(X938)-N(Y938)-AA938-AB938))</f>
        <v/>
      </c>
      <c r="AD938" s="99">
        <f>IF(OR(AC938="",N(L938)=0),"",AC938/L938)</f>
        <v/>
      </c>
      <c r="AE938" s="55">
        <f>IF(OR(AC938="",N(R938)=0),"",L938/R938)</f>
        <v/>
      </c>
      <c r="AF938" s="100">
        <f>IF(OR(N(K938)=0,N(J938)+N(Q938)=0),"",K938-IF(N(J938)&gt;0,J938,Q938))</f>
        <v/>
      </c>
      <c r="AG938" s="99">
        <f>IF(B938="","",IFERROR(AVERAGEIFS('QUALITY CONTROL'!$M$5:$M$304,'QUALITY CONTROL'!$B$5:$B$304,A938),""))</f>
        <v/>
      </c>
      <c r="AH938" s="51">
        <f>IF(B938="","",DATE(YEAR(B938),MONTH(B938),1))</f>
        <v/>
      </c>
      <c r="AI938" s="49">
        <f>IF(D938="","",IFERROR(INDEX('CUSTOMERS'!$E$5:$E$404,MATCH(D938,'CUSTOMERS'!$B$5:$B$404,0)),""))</f>
        <v/>
      </c>
      <c r="AJ938" s="49">
        <f>IF(B938="","",N(C938))</f>
        <v/>
      </c>
      <c r="AK938" s="49">
        <f>IF(OR(B938="",O938="Cancelled",O938="Rescheduled"),"",B938&amp;"|"&amp;(COUNTIFS('JOBS'!$B$5:$B$1504,B938,'JOBS'!$AJ$5:$AJ$1504,"&lt;"&amp;AJ938,'JOBS'!$O$5:$O$1504,"&lt;&gt;Cancelled",'JOBS'!$O$5:$O$1504,"&lt;&gt;Rescheduled")+COUNTIFS($B$5:B938,B938,$AJ$5:AJ938,AJ938,$O$5:O938,"&lt;&gt;Cancelled",$O$5:O938,"&lt;&gt;Rescheduled")))</f>
        <v/>
      </c>
      <c r="AL938" s="49">
        <f>IF(N(U938)&lt;=0.005,"",COUNTIFS('JOBS'!$U$5:$U$1504,"&gt;0.005",'JOBS'!$B$5:$B$1504,"&lt;"&amp;B938)+COUNTIFS($U$5:U938,"&gt;0.005",$B$5:B938,B938))</f>
        <v/>
      </c>
    </row>
    <row r="939">
      <c r="A939" s="46" t="inlineStr">
        <is>
          <t>J-0935</t>
        </is>
      </c>
      <c r="B939" s="47" t="n"/>
      <c r="C939" s="94" t="n"/>
      <c r="D939" s="38" t="n"/>
      <c r="E939" s="38" t="n"/>
      <c r="F939" s="38" t="n"/>
      <c r="G939" s="38" t="n"/>
      <c r="H939" s="38" t="n"/>
      <c r="I939" s="57" t="n"/>
      <c r="J939" s="95" t="n"/>
      <c r="K939" s="95" t="n"/>
      <c r="L939" s="48" t="n"/>
      <c r="M939" s="96" t="n"/>
      <c r="N939" s="48" t="n"/>
      <c r="O939" s="38" t="n"/>
      <c r="P939" s="38" t="n"/>
      <c r="Q939" s="97">
        <f>IF(OR(F939="",E939=""),"",IFERROR(IF(INDEX('PROPERTIES'!$F$5:$F$404,MATCH(E939,'PROPERTIES'!$B$5:$B$404,0))=0,"",ROUND((INDEX('PROPERTIES'!$F$5:$F$404,MATCH(E939,'PROPERTIES'!$B$5:$B$404,0))/INDEX('PRICING'!$C$7:$C$16,MATCH(F939,'PRICING'!$A$7:$A$16,0))+INDEX('PROPERTIES'!$G$5:$G$404,MATCH(E939,'PROPERTIES'!$B$5:$B$404,0))*INDEX('PRICING'!$D$7:$D$16,MATCH(F939,'PRICING'!$A$7:$A$16,0))/60+INDEX('PROPERTIES'!$H$5:$H$404,MATCH(E939,'PROPERTIES'!$B$5:$B$404,0))*INDEX('PRICING'!$E$7:$E$16,MATCH(F939,'PRICING'!$A$7:$A$16,0))/60+INDEX('PRICING'!$F$7:$F$16,MATCH(F939,'PRICING'!$A$7:$A$16,0))/60),2)),""))</f>
        <v/>
      </c>
      <c r="R939" s="97">
        <f>IF(B939="","",IF(N(K939)&gt;0,K939,IF(N(J939)&gt;0,J939,N(Q939))))</f>
        <v/>
      </c>
      <c r="S939" s="55">
        <f>IF(L939="","",ROUND(L939*(1+N(M939)),2))</f>
        <v/>
      </c>
      <c r="T939" s="55">
        <f>IF(B939="","",SUMIFS('REVENUE'!$C$5:$C$1504,'REVENUE'!$B$5:$B$1504,A939))</f>
        <v/>
      </c>
      <c r="U939" s="55">
        <f>IF(B939="","",IF(O939="Completed",MAX(0,N(S939)-T939),""))</f>
        <v/>
      </c>
      <c r="V939" s="49">
        <f>IF(B939="","",IF(O939&lt;&gt;"Completed",IF(T939&gt;0,"Deposit","—"),IF(U939&lt;=0.005,"Paid",IF(T939&gt;0,"Partial","Unpaid"))))</f>
        <v/>
      </c>
      <c r="W939" s="55">
        <f>IF(B939="","",IFERROR(1/(1/INDEX('STAFF &amp; TASKS'!$C$5:$C$24,MATCH(H939,'STAFF &amp; TASKS'!$A$5:$A$24,0))),PayRate))</f>
        <v/>
      </c>
      <c r="X939" s="55">
        <f>IF(B939="","",IF(OR(O939="Cancelled",O939="No-Show"),"",ROUND(R939*W939*(1+Burden),2)))</f>
        <v/>
      </c>
      <c r="Y939" s="55">
        <f>IF(B939="","",IF(OR(O939="Cancelled",O939="No-Show"),"",IF(N939&lt;&gt;"",N939,ROUND(R939*SupHr*IFERROR(INDEX('PRICING'!$G$7:$G$16,MATCH(F939,'PRICING'!$A$7:$A$16,0)),1),2))))</f>
        <v/>
      </c>
      <c r="Z939" s="98">
        <f>IF(B939="","",SUMIFS('MILEAGE'!$J$5:$J$1504,'MILEAGE'!$B$5:$B$1504,A939))</f>
        <v/>
      </c>
      <c r="AA939" s="55">
        <f>IF(B939="","",ROUND(Z939*MileRate,2))</f>
        <v/>
      </c>
      <c r="AB939" s="55">
        <f>IF(B939="","",SUMIFS('REVENUE'!$J$5:$J$1504,'REVENUE'!$B$5:$B$1504,A939))</f>
        <v/>
      </c>
      <c r="AC939" s="55">
        <f>IF(L939="","",IF(OR(O939="Cancelled",O939="No-Show"),"",L939-N(X939)-N(Y939)-AA939-AB939))</f>
        <v/>
      </c>
      <c r="AD939" s="99">
        <f>IF(OR(AC939="",N(L939)=0),"",AC939/L939)</f>
        <v/>
      </c>
      <c r="AE939" s="55">
        <f>IF(OR(AC939="",N(R939)=0),"",L939/R939)</f>
        <v/>
      </c>
      <c r="AF939" s="100">
        <f>IF(OR(N(K939)=0,N(J939)+N(Q939)=0),"",K939-IF(N(J939)&gt;0,J939,Q939))</f>
        <v/>
      </c>
      <c r="AG939" s="99">
        <f>IF(B939="","",IFERROR(AVERAGEIFS('QUALITY CONTROL'!$M$5:$M$304,'QUALITY CONTROL'!$B$5:$B$304,A939),""))</f>
        <v/>
      </c>
      <c r="AH939" s="51">
        <f>IF(B939="","",DATE(YEAR(B939),MONTH(B939),1))</f>
        <v/>
      </c>
      <c r="AI939" s="49">
        <f>IF(D939="","",IFERROR(INDEX('CUSTOMERS'!$E$5:$E$404,MATCH(D939,'CUSTOMERS'!$B$5:$B$404,0)),""))</f>
        <v/>
      </c>
      <c r="AJ939" s="49">
        <f>IF(B939="","",N(C939))</f>
        <v/>
      </c>
      <c r="AK939" s="49">
        <f>IF(OR(B939="",O939="Cancelled",O939="Rescheduled"),"",B939&amp;"|"&amp;(COUNTIFS('JOBS'!$B$5:$B$1504,B939,'JOBS'!$AJ$5:$AJ$1504,"&lt;"&amp;AJ939,'JOBS'!$O$5:$O$1504,"&lt;&gt;Cancelled",'JOBS'!$O$5:$O$1504,"&lt;&gt;Rescheduled")+COUNTIFS($B$5:B939,B939,$AJ$5:AJ939,AJ939,$O$5:O939,"&lt;&gt;Cancelled",$O$5:O939,"&lt;&gt;Rescheduled")))</f>
        <v/>
      </c>
      <c r="AL939" s="49">
        <f>IF(N(U939)&lt;=0.005,"",COUNTIFS('JOBS'!$U$5:$U$1504,"&gt;0.005",'JOBS'!$B$5:$B$1504,"&lt;"&amp;B939)+COUNTIFS($U$5:U939,"&gt;0.005",$B$5:B939,B939))</f>
        <v/>
      </c>
    </row>
    <row r="940">
      <c r="A940" s="46" t="inlineStr">
        <is>
          <t>J-0936</t>
        </is>
      </c>
      <c r="B940" s="47" t="n"/>
      <c r="C940" s="94" t="n"/>
      <c r="D940" s="38" t="n"/>
      <c r="E940" s="38" t="n"/>
      <c r="F940" s="38" t="n"/>
      <c r="G940" s="38" t="n"/>
      <c r="H940" s="38" t="n"/>
      <c r="I940" s="57" t="n"/>
      <c r="J940" s="95" t="n"/>
      <c r="K940" s="95" t="n"/>
      <c r="L940" s="48" t="n"/>
      <c r="M940" s="96" t="n"/>
      <c r="N940" s="48" t="n"/>
      <c r="O940" s="38" t="n"/>
      <c r="P940" s="38" t="n"/>
      <c r="Q940" s="97">
        <f>IF(OR(F940="",E940=""),"",IFERROR(IF(INDEX('PROPERTIES'!$F$5:$F$404,MATCH(E940,'PROPERTIES'!$B$5:$B$404,0))=0,"",ROUND((INDEX('PROPERTIES'!$F$5:$F$404,MATCH(E940,'PROPERTIES'!$B$5:$B$404,0))/INDEX('PRICING'!$C$7:$C$16,MATCH(F940,'PRICING'!$A$7:$A$16,0))+INDEX('PROPERTIES'!$G$5:$G$404,MATCH(E940,'PROPERTIES'!$B$5:$B$404,0))*INDEX('PRICING'!$D$7:$D$16,MATCH(F940,'PRICING'!$A$7:$A$16,0))/60+INDEX('PROPERTIES'!$H$5:$H$404,MATCH(E940,'PROPERTIES'!$B$5:$B$404,0))*INDEX('PRICING'!$E$7:$E$16,MATCH(F940,'PRICING'!$A$7:$A$16,0))/60+INDEX('PRICING'!$F$7:$F$16,MATCH(F940,'PRICING'!$A$7:$A$16,0))/60),2)),""))</f>
        <v/>
      </c>
      <c r="R940" s="97">
        <f>IF(B940="","",IF(N(K940)&gt;0,K940,IF(N(J940)&gt;0,J940,N(Q940))))</f>
        <v/>
      </c>
      <c r="S940" s="55">
        <f>IF(L940="","",ROUND(L940*(1+N(M940)),2))</f>
        <v/>
      </c>
      <c r="T940" s="55">
        <f>IF(B940="","",SUMIFS('REVENUE'!$C$5:$C$1504,'REVENUE'!$B$5:$B$1504,A940))</f>
        <v/>
      </c>
      <c r="U940" s="55">
        <f>IF(B940="","",IF(O940="Completed",MAX(0,N(S940)-T940),""))</f>
        <v/>
      </c>
      <c r="V940" s="49">
        <f>IF(B940="","",IF(O940&lt;&gt;"Completed",IF(T940&gt;0,"Deposit","—"),IF(U940&lt;=0.005,"Paid",IF(T940&gt;0,"Partial","Unpaid"))))</f>
        <v/>
      </c>
      <c r="W940" s="55">
        <f>IF(B940="","",IFERROR(1/(1/INDEX('STAFF &amp; TASKS'!$C$5:$C$24,MATCH(H940,'STAFF &amp; TASKS'!$A$5:$A$24,0))),PayRate))</f>
        <v/>
      </c>
      <c r="X940" s="55">
        <f>IF(B940="","",IF(OR(O940="Cancelled",O940="No-Show"),"",ROUND(R940*W940*(1+Burden),2)))</f>
        <v/>
      </c>
      <c r="Y940" s="55">
        <f>IF(B940="","",IF(OR(O940="Cancelled",O940="No-Show"),"",IF(N940&lt;&gt;"",N940,ROUND(R940*SupHr*IFERROR(INDEX('PRICING'!$G$7:$G$16,MATCH(F940,'PRICING'!$A$7:$A$16,0)),1),2))))</f>
        <v/>
      </c>
      <c r="Z940" s="98">
        <f>IF(B940="","",SUMIFS('MILEAGE'!$J$5:$J$1504,'MILEAGE'!$B$5:$B$1504,A940))</f>
        <v/>
      </c>
      <c r="AA940" s="55">
        <f>IF(B940="","",ROUND(Z940*MileRate,2))</f>
        <v/>
      </c>
      <c r="AB940" s="55">
        <f>IF(B940="","",SUMIFS('REVENUE'!$J$5:$J$1504,'REVENUE'!$B$5:$B$1504,A940))</f>
        <v/>
      </c>
      <c r="AC940" s="55">
        <f>IF(L940="","",IF(OR(O940="Cancelled",O940="No-Show"),"",L940-N(X940)-N(Y940)-AA940-AB940))</f>
        <v/>
      </c>
      <c r="AD940" s="99">
        <f>IF(OR(AC940="",N(L940)=0),"",AC940/L940)</f>
        <v/>
      </c>
      <c r="AE940" s="55">
        <f>IF(OR(AC940="",N(R940)=0),"",L940/R940)</f>
        <v/>
      </c>
      <c r="AF940" s="100">
        <f>IF(OR(N(K940)=0,N(J940)+N(Q940)=0),"",K940-IF(N(J940)&gt;0,J940,Q940))</f>
        <v/>
      </c>
      <c r="AG940" s="99">
        <f>IF(B940="","",IFERROR(AVERAGEIFS('QUALITY CONTROL'!$M$5:$M$304,'QUALITY CONTROL'!$B$5:$B$304,A940),""))</f>
        <v/>
      </c>
      <c r="AH940" s="51">
        <f>IF(B940="","",DATE(YEAR(B940),MONTH(B940),1))</f>
        <v/>
      </c>
      <c r="AI940" s="49">
        <f>IF(D940="","",IFERROR(INDEX('CUSTOMERS'!$E$5:$E$404,MATCH(D940,'CUSTOMERS'!$B$5:$B$404,0)),""))</f>
        <v/>
      </c>
      <c r="AJ940" s="49">
        <f>IF(B940="","",N(C940))</f>
        <v/>
      </c>
      <c r="AK940" s="49">
        <f>IF(OR(B940="",O940="Cancelled",O940="Rescheduled"),"",B940&amp;"|"&amp;(COUNTIFS('JOBS'!$B$5:$B$1504,B940,'JOBS'!$AJ$5:$AJ$1504,"&lt;"&amp;AJ940,'JOBS'!$O$5:$O$1504,"&lt;&gt;Cancelled",'JOBS'!$O$5:$O$1504,"&lt;&gt;Rescheduled")+COUNTIFS($B$5:B940,B940,$AJ$5:AJ940,AJ940,$O$5:O940,"&lt;&gt;Cancelled",$O$5:O940,"&lt;&gt;Rescheduled")))</f>
        <v/>
      </c>
      <c r="AL940" s="49">
        <f>IF(N(U940)&lt;=0.005,"",COUNTIFS('JOBS'!$U$5:$U$1504,"&gt;0.005",'JOBS'!$B$5:$B$1504,"&lt;"&amp;B940)+COUNTIFS($U$5:U940,"&gt;0.005",$B$5:B940,B940))</f>
        <v/>
      </c>
    </row>
    <row r="941">
      <c r="A941" s="46" t="inlineStr">
        <is>
          <t>J-0937</t>
        </is>
      </c>
      <c r="B941" s="47" t="n"/>
      <c r="C941" s="94" t="n"/>
      <c r="D941" s="38" t="n"/>
      <c r="E941" s="38" t="n"/>
      <c r="F941" s="38" t="n"/>
      <c r="G941" s="38" t="n"/>
      <c r="H941" s="38" t="n"/>
      <c r="I941" s="57" t="n"/>
      <c r="J941" s="95" t="n"/>
      <c r="K941" s="95" t="n"/>
      <c r="L941" s="48" t="n"/>
      <c r="M941" s="96" t="n"/>
      <c r="N941" s="48" t="n"/>
      <c r="O941" s="38" t="n"/>
      <c r="P941" s="38" t="n"/>
      <c r="Q941" s="97">
        <f>IF(OR(F941="",E941=""),"",IFERROR(IF(INDEX('PROPERTIES'!$F$5:$F$404,MATCH(E941,'PROPERTIES'!$B$5:$B$404,0))=0,"",ROUND((INDEX('PROPERTIES'!$F$5:$F$404,MATCH(E941,'PROPERTIES'!$B$5:$B$404,0))/INDEX('PRICING'!$C$7:$C$16,MATCH(F941,'PRICING'!$A$7:$A$16,0))+INDEX('PROPERTIES'!$G$5:$G$404,MATCH(E941,'PROPERTIES'!$B$5:$B$404,0))*INDEX('PRICING'!$D$7:$D$16,MATCH(F941,'PRICING'!$A$7:$A$16,0))/60+INDEX('PROPERTIES'!$H$5:$H$404,MATCH(E941,'PROPERTIES'!$B$5:$B$404,0))*INDEX('PRICING'!$E$7:$E$16,MATCH(F941,'PRICING'!$A$7:$A$16,0))/60+INDEX('PRICING'!$F$7:$F$16,MATCH(F941,'PRICING'!$A$7:$A$16,0))/60),2)),""))</f>
        <v/>
      </c>
      <c r="R941" s="97">
        <f>IF(B941="","",IF(N(K941)&gt;0,K941,IF(N(J941)&gt;0,J941,N(Q941))))</f>
        <v/>
      </c>
      <c r="S941" s="55">
        <f>IF(L941="","",ROUND(L941*(1+N(M941)),2))</f>
        <v/>
      </c>
      <c r="T941" s="55">
        <f>IF(B941="","",SUMIFS('REVENUE'!$C$5:$C$1504,'REVENUE'!$B$5:$B$1504,A941))</f>
        <v/>
      </c>
      <c r="U941" s="55">
        <f>IF(B941="","",IF(O941="Completed",MAX(0,N(S941)-T941),""))</f>
        <v/>
      </c>
      <c r="V941" s="49">
        <f>IF(B941="","",IF(O941&lt;&gt;"Completed",IF(T941&gt;0,"Deposit","—"),IF(U941&lt;=0.005,"Paid",IF(T941&gt;0,"Partial","Unpaid"))))</f>
        <v/>
      </c>
      <c r="W941" s="55">
        <f>IF(B941="","",IFERROR(1/(1/INDEX('STAFF &amp; TASKS'!$C$5:$C$24,MATCH(H941,'STAFF &amp; TASKS'!$A$5:$A$24,0))),PayRate))</f>
        <v/>
      </c>
      <c r="X941" s="55">
        <f>IF(B941="","",IF(OR(O941="Cancelled",O941="No-Show"),"",ROUND(R941*W941*(1+Burden),2)))</f>
        <v/>
      </c>
      <c r="Y941" s="55">
        <f>IF(B941="","",IF(OR(O941="Cancelled",O941="No-Show"),"",IF(N941&lt;&gt;"",N941,ROUND(R941*SupHr*IFERROR(INDEX('PRICING'!$G$7:$G$16,MATCH(F941,'PRICING'!$A$7:$A$16,0)),1),2))))</f>
        <v/>
      </c>
      <c r="Z941" s="98">
        <f>IF(B941="","",SUMIFS('MILEAGE'!$J$5:$J$1504,'MILEAGE'!$B$5:$B$1504,A941))</f>
        <v/>
      </c>
      <c r="AA941" s="55">
        <f>IF(B941="","",ROUND(Z941*MileRate,2))</f>
        <v/>
      </c>
      <c r="AB941" s="55">
        <f>IF(B941="","",SUMIFS('REVENUE'!$J$5:$J$1504,'REVENUE'!$B$5:$B$1504,A941))</f>
        <v/>
      </c>
      <c r="AC941" s="55">
        <f>IF(L941="","",IF(OR(O941="Cancelled",O941="No-Show"),"",L941-N(X941)-N(Y941)-AA941-AB941))</f>
        <v/>
      </c>
      <c r="AD941" s="99">
        <f>IF(OR(AC941="",N(L941)=0),"",AC941/L941)</f>
        <v/>
      </c>
      <c r="AE941" s="55">
        <f>IF(OR(AC941="",N(R941)=0),"",L941/R941)</f>
        <v/>
      </c>
      <c r="AF941" s="100">
        <f>IF(OR(N(K941)=0,N(J941)+N(Q941)=0),"",K941-IF(N(J941)&gt;0,J941,Q941))</f>
        <v/>
      </c>
      <c r="AG941" s="99">
        <f>IF(B941="","",IFERROR(AVERAGEIFS('QUALITY CONTROL'!$M$5:$M$304,'QUALITY CONTROL'!$B$5:$B$304,A941),""))</f>
        <v/>
      </c>
      <c r="AH941" s="51">
        <f>IF(B941="","",DATE(YEAR(B941),MONTH(B941),1))</f>
        <v/>
      </c>
      <c r="AI941" s="49">
        <f>IF(D941="","",IFERROR(INDEX('CUSTOMERS'!$E$5:$E$404,MATCH(D941,'CUSTOMERS'!$B$5:$B$404,0)),""))</f>
        <v/>
      </c>
      <c r="AJ941" s="49">
        <f>IF(B941="","",N(C941))</f>
        <v/>
      </c>
      <c r="AK941" s="49">
        <f>IF(OR(B941="",O941="Cancelled",O941="Rescheduled"),"",B941&amp;"|"&amp;(COUNTIFS('JOBS'!$B$5:$B$1504,B941,'JOBS'!$AJ$5:$AJ$1504,"&lt;"&amp;AJ941,'JOBS'!$O$5:$O$1504,"&lt;&gt;Cancelled",'JOBS'!$O$5:$O$1504,"&lt;&gt;Rescheduled")+COUNTIFS($B$5:B941,B941,$AJ$5:AJ941,AJ941,$O$5:O941,"&lt;&gt;Cancelled",$O$5:O941,"&lt;&gt;Rescheduled")))</f>
        <v/>
      </c>
      <c r="AL941" s="49">
        <f>IF(N(U941)&lt;=0.005,"",COUNTIFS('JOBS'!$U$5:$U$1504,"&gt;0.005",'JOBS'!$B$5:$B$1504,"&lt;"&amp;B941)+COUNTIFS($U$5:U941,"&gt;0.005",$B$5:B941,B941))</f>
        <v/>
      </c>
    </row>
    <row r="942">
      <c r="A942" s="46" t="inlineStr">
        <is>
          <t>J-0938</t>
        </is>
      </c>
      <c r="B942" s="47" t="n"/>
      <c r="C942" s="94" t="n"/>
      <c r="D942" s="38" t="n"/>
      <c r="E942" s="38" t="n"/>
      <c r="F942" s="38" t="n"/>
      <c r="G942" s="38" t="n"/>
      <c r="H942" s="38" t="n"/>
      <c r="I942" s="57" t="n"/>
      <c r="J942" s="95" t="n"/>
      <c r="K942" s="95" t="n"/>
      <c r="L942" s="48" t="n"/>
      <c r="M942" s="96" t="n"/>
      <c r="N942" s="48" t="n"/>
      <c r="O942" s="38" t="n"/>
      <c r="P942" s="38" t="n"/>
      <c r="Q942" s="97">
        <f>IF(OR(F942="",E942=""),"",IFERROR(IF(INDEX('PROPERTIES'!$F$5:$F$404,MATCH(E942,'PROPERTIES'!$B$5:$B$404,0))=0,"",ROUND((INDEX('PROPERTIES'!$F$5:$F$404,MATCH(E942,'PROPERTIES'!$B$5:$B$404,0))/INDEX('PRICING'!$C$7:$C$16,MATCH(F942,'PRICING'!$A$7:$A$16,0))+INDEX('PROPERTIES'!$G$5:$G$404,MATCH(E942,'PROPERTIES'!$B$5:$B$404,0))*INDEX('PRICING'!$D$7:$D$16,MATCH(F942,'PRICING'!$A$7:$A$16,0))/60+INDEX('PROPERTIES'!$H$5:$H$404,MATCH(E942,'PROPERTIES'!$B$5:$B$404,0))*INDEX('PRICING'!$E$7:$E$16,MATCH(F942,'PRICING'!$A$7:$A$16,0))/60+INDEX('PRICING'!$F$7:$F$16,MATCH(F942,'PRICING'!$A$7:$A$16,0))/60),2)),""))</f>
        <v/>
      </c>
      <c r="R942" s="97">
        <f>IF(B942="","",IF(N(K942)&gt;0,K942,IF(N(J942)&gt;0,J942,N(Q942))))</f>
        <v/>
      </c>
      <c r="S942" s="55">
        <f>IF(L942="","",ROUND(L942*(1+N(M942)),2))</f>
        <v/>
      </c>
      <c r="T942" s="55">
        <f>IF(B942="","",SUMIFS('REVENUE'!$C$5:$C$1504,'REVENUE'!$B$5:$B$1504,A942))</f>
        <v/>
      </c>
      <c r="U942" s="55">
        <f>IF(B942="","",IF(O942="Completed",MAX(0,N(S942)-T942),""))</f>
        <v/>
      </c>
      <c r="V942" s="49">
        <f>IF(B942="","",IF(O942&lt;&gt;"Completed",IF(T942&gt;0,"Deposit","—"),IF(U942&lt;=0.005,"Paid",IF(T942&gt;0,"Partial","Unpaid"))))</f>
        <v/>
      </c>
      <c r="W942" s="55">
        <f>IF(B942="","",IFERROR(1/(1/INDEX('STAFF &amp; TASKS'!$C$5:$C$24,MATCH(H942,'STAFF &amp; TASKS'!$A$5:$A$24,0))),PayRate))</f>
        <v/>
      </c>
      <c r="X942" s="55">
        <f>IF(B942="","",IF(OR(O942="Cancelled",O942="No-Show"),"",ROUND(R942*W942*(1+Burden),2)))</f>
        <v/>
      </c>
      <c r="Y942" s="55">
        <f>IF(B942="","",IF(OR(O942="Cancelled",O942="No-Show"),"",IF(N942&lt;&gt;"",N942,ROUND(R942*SupHr*IFERROR(INDEX('PRICING'!$G$7:$G$16,MATCH(F942,'PRICING'!$A$7:$A$16,0)),1),2))))</f>
        <v/>
      </c>
      <c r="Z942" s="98">
        <f>IF(B942="","",SUMIFS('MILEAGE'!$J$5:$J$1504,'MILEAGE'!$B$5:$B$1504,A942))</f>
        <v/>
      </c>
      <c r="AA942" s="55">
        <f>IF(B942="","",ROUND(Z942*MileRate,2))</f>
        <v/>
      </c>
      <c r="AB942" s="55">
        <f>IF(B942="","",SUMIFS('REVENUE'!$J$5:$J$1504,'REVENUE'!$B$5:$B$1504,A942))</f>
        <v/>
      </c>
      <c r="AC942" s="55">
        <f>IF(L942="","",IF(OR(O942="Cancelled",O942="No-Show"),"",L942-N(X942)-N(Y942)-AA942-AB942))</f>
        <v/>
      </c>
      <c r="AD942" s="99">
        <f>IF(OR(AC942="",N(L942)=0),"",AC942/L942)</f>
        <v/>
      </c>
      <c r="AE942" s="55">
        <f>IF(OR(AC942="",N(R942)=0),"",L942/R942)</f>
        <v/>
      </c>
      <c r="AF942" s="100">
        <f>IF(OR(N(K942)=0,N(J942)+N(Q942)=0),"",K942-IF(N(J942)&gt;0,J942,Q942))</f>
        <v/>
      </c>
      <c r="AG942" s="99">
        <f>IF(B942="","",IFERROR(AVERAGEIFS('QUALITY CONTROL'!$M$5:$M$304,'QUALITY CONTROL'!$B$5:$B$304,A942),""))</f>
        <v/>
      </c>
      <c r="AH942" s="51">
        <f>IF(B942="","",DATE(YEAR(B942),MONTH(B942),1))</f>
        <v/>
      </c>
      <c r="AI942" s="49">
        <f>IF(D942="","",IFERROR(INDEX('CUSTOMERS'!$E$5:$E$404,MATCH(D942,'CUSTOMERS'!$B$5:$B$404,0)),""))</f>
        <v/>
      </c>
      <c r="AJ942" s="49">
        <f>IF(B942="","",N(C942))</f>
        <v/>
      </c>
      <c r="AK942" s="49">
        <f>IF(OR(B942="",O942="Cancelled",O942="Rescheduled"),"",B942&amp;"|"&amp;(COUNTIFS('JOBS'!$B$5:$B$1504,B942,'JOBS'!$AJ$5:$AJ$1504,"&lt;"&amp;AJ942,'JOBS'!$O$5:$O$1504,"&lt;&gt;Cancelled",'JOBS'!$O$5:$O$1504,"&lt;&gt;Rescheduled")+COUNTIFS($B$5:B942,B942,$AJ$5:AJ942,AJ942,$O$5:O942,"&lt;&gt;Cancelled",$O$5:O942,"&lt;&gt;Rescheduled")))</f>
        <v/>
      </c>
      <c r="AL942" s="49">
        <f>IF(N(U942)&lt;=0.005,"",COUNTIFS('JOBS'!$U$5:$U$1504,"&gt;0.005",'JOBS'!$B$5:$B$1504,"&lt;"&amp;B942)+COUNTIFS($U$5:U942,"&gt;0.005",$B$5:B942,B942))</f>
        <v/>
      </c>
    </row>
    <row r="943">
      <c r="A943" s="46" t="inlineStr">
        <is>
          <t>J-0939</t>
        </is>
      </c>
      <c r="B943" s="47" t="n"/>
      <c r="C943" s="94" t="n"/>
      <c r="D943" s="38" t="n"/>
      <c r="E943" s="38" t="n"/>
      <c r="F943" s="38" t="n"/>
      <c r="G943" s="38" t="n"/>
      <c r="H943" s="38" t="n"/>
      <c r="I943" s="57" t="n"/>
      <c r="J943" s="95" t="n"/>
      <c r="K943" s="95" t="n"/>
      <c r="L943" s="48" t="n"/>
      <c r="M943" s="96" t="n"/>
      <c r="N943" s="48" t="n"/>
      <c r="O943" s="38" t="n"/>
      <c r="P943" s="38" t="n"/>
      <c r="Q943" s="97">
        <f>IF(OR(F943="",E943=""),"",IFERROR(IF(INDEX('PROPERTIES'!$F$5:$F$404,MATCH(E943,'PROPERTIES'!$B$5:$B$404,0))=0,"",ROUND((INDEX('PROPERTIES'!$F$5:$F$404,MATCH(E943,'PROPERTIES'!$B$5:$B$404,0))/INDEX('PRICING'!$C$7:$C$16,MATCH(F943,'PRICING'!$A$7:$A$16,0))+INDEX('PROPERTIES'!$G$5:$G$404,MATCH(E943,'PROPERTIES'!$B$5:$B$404,0))*INDEX('PRICING'!$D$7:$D$16,MATCH(F943,'PRICING'!$A$7:$A$16,0))/60+INDEX('PROPERTIES'!$H$5:$H$404,MATCH(E943,'PROPERTIES'!$B$5:$B$404,0))*INDEX('PRICING'!$E$7:$E$16,MATCH(F943,'PRICING'!$A$7:$A$16,0))/60+INDEX('PRICING'!$F$7:$F$16,MATCH(F943,'PRICING'!$A$7:$A$16,0))/60),2)),""))</f>
        <v/>
      </c>
      <c r="R943" s="97">
        <f>IF(B943="","",IF(N(K943)&gt;0,K943,IF(N(J943)&gt;0,J943,N(Q943))))</f>
        <v/>
      </c>
      <c r="S943" s="55">
        <f>IF(L943="","",ROUND(L943*(1+N(M943)),2))</f>
        <v/>
      </c>
      <c r="T943" s="55">
        <f>IF(B943="","",SUMIFS('REVENUE'!$C$5:$C$1504,'REVENUE'!$B$5:$B$1504,A943))</f>
        <v/>
      </c>
      <c r="U943" s="55">
        <f>IF(B943="","",IF(O943="Completed",MAX(0,N(S943)-T943),""))</f>
        <v/>
      </c>
      <c r="V943" s="49">
        <f>IF(B943="","",IF(O943&lt;&gt;"Completed",IF(T943&gt;0,"Deposit","—"),IF(U943&lt;=0.005,"Paid",IF(T943&gt;0,"Partial","Unpaid"))))</f>
        <v/>
      </c>
      <c r="W943" s="55">
        <f>IF(B943="","",IFERROR(1/(1/INDEX('STAFF &amp; TASKS'!$C$5:$C$24,MATCH(H943,'STAFF &amp; TASKS'!$A$5:$A$24,0))),PayRate))</f>
        <v/>
      </c>
      <c r="X943" s="55">
        <f>IF(B943="","",IF(OR(O943="Cancelled",O943="No-Show"),"",ROUND(R943*W943*(1+Burden),2)))</f>
        <v/>
      </c>
      <c r="Y943" s="55">
        <f>IF(B943="","",IF(OR(O943="Cancelled",O943="No-Show"),"",IF(N943&lt;&gt;"",N943,ROUND(R943*SupHr*IFERROR(INDEX('PRICING'!$G$7:$G$16,MATCH(F943,'PRICING'!$A$7:$A$16,0)),1),2))))</f>
        <v/>
      </c>
      <c r="Z943" s="98">
        <f>IF(B943="","",SUMIFS('MILEAGE'!$J$5:$J$1504,'MILEAGE'!$B$5:$B$1504,A943))</f>
        <v/>
      </c>
      <c r="AA943" s="55">
        <f>IF(B943="","",ROUND(Z943*MileRate,2))</f>
        <v/>
      </c>
      <c r="AB943" s="55">
        <f>IF(B943="","",SUMIFS('REVENUE'!$J$5:$J$1504,'REVENUE'!$B$5:$B$1504,A943))</f>
        <v/>
      </c>
      <c r="AC943" s="55">
        <f>IF(L943="","",IF(OR(O943="Cancelled",O943="No-Show"),"",L943-N(X943)-N(Y943)-AA943-AB943))</f>
        <v/>
      </c>
      <c r="AD943" s="99">
        <f>IF(OR(AC943="",N(L943)=0),"",AC943/L943)</f>
        <v/>
      </c>
      <c r="AE943" s="55">
        <f>IF(OR(AC943="",N(R943)=0),"",L943/R943)</f>
        <v/>
      </c>
      <c r="AF943" s="100">
        <f>IF(OR(N(K943)=0,N(J943)+N(Q943)=0),"",K943-IF(N(J943)&gt;0,J943,Q943))</f>
        <v/>
      </c>
      <c r="AG943" s="99">
        <f>IF(B943="","",IFERROR(AVERAGEIFS('QUALITY CONTROL'!$M$5:$M$304,'QUALITY CONTROL'!$B$5:$B$304,A943),""))</f>
        <v/>
      </c>
      <c r="AH943" s="51">
        <f>IF(B943="","",DATE(YEAR(B943),MONTH(B943),1))</f>
        <v/>
      </c>
      <c r="AI943" s="49">
        <f>IF(D943="","",IFERROR(INDEX('CUSTOMERS'!$E$5:$E$404,MATCH(D943,'CUSTOMERS'!$B$5:$B$404,0)),""))</f>
        <v/>
      </c>
      <c r="AJ943" s="49">
        <f>IF(B943="","",N(C943))</f>
        <v/>
      </c>
      <c r="AK943" s="49">
        <f>IF(OR(B943="",O943="Cancelled",O943="Rescheduled"),"",B943&amp;"|"&amp;(COUNTIFS('JOBS'!$B$5:$B$1504,B943,'JOBS'!$AJ$5:$AJ$1504,"&lt;"&amp;AJ943,'JOBS'!$O$5:$O$1504,"&lt;&gt;Cancelled",'JOBS'!$O$5:$O$1504,"&lt;&gt;Rescheduled")+COUNTIFS($B$5:B943,B943,$AJ$5:AJ943,AJ943,$O$5:O943,"&lt;&gt;Cancelled",$O$5:O943,"&lt;&gt;Rescheduled")))</f>
        <v/>
      </c>
      <c r="AL943" s="49">
        <f>IF(N(U943)&lt;=0.005,"",COUNTIFS('JOBS'!$U$5:$U$1504,"&gt;0.005",'JOBS'!$B$5:$B$1504,"&lt;"&amp;B943)+COUNTIFS($U$5:U943,"&gt;0.005",$B$5:B943,B943))</f>
        <v/>
      </c>
    </row>
    <row r="944">
      <c r="A944" s="46" t="inlineStr">
        <is>
          <t>J-0940</t>
        </is>
      </c>
      <c r="B944" s="47" t="n"/>
      <c r="C944" s="94" t="n"/>
      <c r="D944" s="38" t="n"/>
      <c r="E944" s="38" t="n"/>
      <c r="F944" s="38" t="n"/>
      <c r="G944" s="38" t="n"/>
      <c r="H944" s="38" t="n"/>
      <c r="I944" s="57" t="n"/>
      <c r="J944" s="95" t="n"/>
      <c r="K944" s="95" t="n"/>
      <c r="L944" s="48" t="n"/>
      <c r="M944" s="96" t="n"/>
      <c r="N944" s="48" t="n"/>
      <c r="O944" s="38" t="n"/>
      <c r="P944" s="38" t="n"/>
      <c r="Q944" s="97">
        <f>IF(OR(F944="",E944=""),"",IFERROR(IF(INDEX('PROPERTIES'!$F$5:$F$404,MATCH(E944,'PROPERTIES'!$B$5:$B$404,0))=0,"",ROUND((INDEX('PROPERTIES'!$F$5:$F$404,MATCH(E944,'PROPERTIES'!$B$5:$B$404,0))/INDEX('PRICING'!$C$7:$C$16,MATCH(F944,'PRICING'!$A$7:$A$16,0))+INDEX('PROPERTIES'!$G$5:$G$404,MATCH(E944,'PROPERTIES'!$B$5:$B$404,0))*INDEX('PRICING'!$D$7:$D$16,MATCH(F944,'PRICING'!$A$7:$A$16,0))/60+INDEX('PROPERTIES'!$H$5:$H$404,MATCH(E944,'PROPERTIES'!$B$5:$B$404,0))*INDEX('PRICING'!$E$7:$E$16,MATCH(F944,'PRICING'!$A$7:$A$16,0))/60+INDEX('PRICING'!$F$7:$F$16,MATCH(F944,'PRICING'!$A$7:$A$16,0))/60),2)),""))</f>
        <v/>
      </c>
      <c r="R944" s="97">
        <f>IF(B944="","",IF(N(K944)&gt;0,K944,IF(N(J944)&gt;0,J944,N(Q944))))</f>
        <v/>
      </c>
      <c r="S944" s="55">
        <f>IF(L944="","",ROUND(L944*(1+N(M944)),2))</f>
        <v/>
      </c>
      <c r="T944" s="55">
        <f>IF(B944="","",SUMIFS('REVENUE'!$C$5:$C$1504,'REVENUE'!$B$5:$B$1504,A944))</f>
        <v/>
      </c>
      <c r="U944" s="55">
        <f>IF(B944="","",IF(O944="Completed",MAX(0,N(S944)-T944),""))</f>
        <v/>
      </c>
      <c r="V944" s="49">
        <f>IF(B944="","",IF(O944&lt;&gt;"Completed",IF(T944&gt;0,"Deposit","—"),IF(U944&lt;=0.005,"Paid",IF(T944&gt;0,"Partial","Unpaid"))))</f>
        <v/>
      </c>
      <c r="W944" s="55">
        <f>IF(B944="","",IFERROR(1/(1/INDEX('STAFF &amp; TASKS'!$C$5:$C$24,MATCH(H944,'STAFF &amp; TASKS'!$A$5:$A$24,0))),PayRate))</f>
        <v/>
      </c>
      <c r="X944" s="55">
        <f>IF(B944="","",IF(OR(O944="Cancelled",O944="No-Show"),"",ROUND(R944*W944*(1+Burden),2)))</f>
        <v/>
      </c>
      <c r="Y944" s="55">
        <f>IF(B944="","",IF(OR(O944="Cancelled",O944="No-Show"),"",IF(N944&lt;&gt;"",N944,ROUND(R944*SupHr*IFERROR(INDEX('PRICING'!$G$7:$G$16,MATCH(F944,'PRICING'!$A$7:$A$16,0)),1),2))))</f>
        <v/>
      </c>
      <c r="Z944" s="98">
        <f>IF(B944="","",SUMIFS('MILEAGE'!$J$5:$J$1504,'MILEAGE'!$B$5:$B$1504,A944))</f>
        <v/>
      </c>
      <c r="AA944" s="55">
        <f>IF(B944="","",ROUND(Z944*MileRate,2))</f>
        <v/>
      </c>
      <c r="AB944" s="55">
        <f>IF(B944="","",SUMIFS('REVENUE'!$J$5:$J$1504,'REVENUE'!$B$5:$B$1504,A944))</f>
        <v/>
      </c>
      <c r="AC944" s="55">
        <f>IF(L944="","",IF(OR(O944="Cancelled",O944="No-Show"),"",L944-N(X944)-N(Y944)-AA944-AB944))</f>
        <v/>
      </c>
      <c r="AD944" s="99">
        <f>IF(OR(AC944="",N(L944)=0),"",AC944/L944)</f>
        <v/>
      </c>
      <c r="AE944" s="55">
        <f>IF(OR(AC944="",N(R944)=0),"",L944/R944)</f>
        <v/>
      </c>
      <c r="AF944" s="100">
        <f>IF(OR(N(K944)=0,N(J944)+N(Q944)=0),"",K944-IF(N(J944)&gt;0,J944,Q944))</f>
        <v/>
      </c>
      <c r="AG944" s="99">
        <f>IF(B944="","",IFERROR(AVERAGEIFS('QUALITY CONTROL'!$M$5:$M$304,'QUALITY CONTROL'!$B$5:$B$304,A944),""))</f>
        <v/>
      </c>
      <c r="AH944" s="51">
        <f>IF(B944="","",DATE(YEAR(B944),MONTH(B944),1))</f>
        <v/>
      </c>
      <c r="AI944" s="49">
        <f>IF(D944="","",IFERROR(INDEX('CUSTOMERS'!$E$5:$E$404,MATCH(D944,'CUSTOMERS'!$B$5:$B$404,0)),""))</f>
        <v/>
      </c>
      <c r="AJ944" s="49">
        <f>IF(B944="","",N(C944))</f>
        <v/>
      </c>
      <c r="AK944" s="49">
        <f>IF(OR(B944="",O944="Cancelled",O944="Rescheduled"),"",B944&amp;"|"&amp;(COUNTIFS('JOBS'!$B$5:$B$1504,B944,'JOBS'!$AJ$5:$AJ$1504,"&lt;"&amp;AJ944,'JOBS'!$O$5:$O$1504,"&lt;&gt;Cancelled",'JOBS'!$O$5:$O$1504,"&lt;&gt;Rescheduled")+COUNTIFS($B$5:B944,B944,$AJ$5:AJ944,AJ944,$O$5:O944,"&lt;&gt;Cancelled",$O$5:O944,"&lt;&gt;Rescheduled")))</f>
        <v/>
      </c>
      <c r="AL944" s="49">
        <f>IF(N(U944)&lt;=0.005,"",COUNTIFS('JOBS'!$U$5:$U$1504,"&gt;0.005",'JOBS'!$B$5:$B$1504,"&lt;"&amp;B944)+COUNTIFS($U$5:U944,"&gt;0.005",$B$5:B944,B944))</f>
        <v/>
      </c>
    </row>
    <row r="945">
      <c r="A945" s="46" t="inlineStr">
        <is>
          <t>J-0941</t>
        </is>
      </c>
      <c r="B945" s="47" t="n"/>
      <c r="C945" s="94" t="n"/>
      <c r="D945" s="38" t="n"/>
      <c r="E945" s="38" t="n"/>
      <c r="F945" s="38" t="n"/>
      <c r="G945" s="38" t="n"/>
      <c r="H945" s="38" t="n"/>
      <c r="I945" s="57" t="n"/>
      <c r="J945" s="95" t="n"/>
      <c r="K945" s="95" t="n"/>
      <c r="L945" s="48" t="n"/>
      <c r="M945" s="96" t="n"/>
      <c r="N945" s="48" t="n"/>
      <c r="O945" s="38" t="n"/>
      <c r="P945" s="38" t="n"/>
      <c r="Q945" s="97">
        <f>IF(OR(F945="",E945=""),"",IFERROR(IF(INDEX('PROPERTIES'!$F$5:$F$404,MATCH(E945,'PROPERTIES'!$B$5:$B$404,0))=0,"",ROUND((INDEX('PROPERTIES'!$F$5:$F$404,MATCH(E945,'PROPERTIES'!$B$5:$B$404,0))/INDEX('PRICING'!$C$7:$C$16,MATCH(F945,'PRICING'!$A$7:$A$16,0))+INDEX('PROPERTIES'!$G$5:$G$404,MATCH(E945,'PROPERTIES'!$B$5:$B$404,0))*INDEX('PRICING'!$D$7:$D$16,MATCH(F945,'PRICING'!$A$7:$A$16,0))/60+INDEX('PROPERTIES'!$H$5:$H$404,MATCH(E945,'PROPERTIES'!$B$5:$B$404,0))*INDEX('PRICING'!$E$7:$E$16,MATCH(F945,'PRICING'!$A$7:$A$16,0))/60+INDEX('PRICING'!$F$7:$F$16,MATCH(F945,'PRICING'!$A$7:$A$16,0))/60),2)),""))</f>
        <v/>
      </c>
      <c r="R945" s="97">
        <f>IF(B945="","",IF(N(K945)&gt;0,K945,IF(N(J945)&gt;0,J945,N(Q945))))</f>
        <v/>
      </c>
      <c r="S945" s="55">
        <f>IF(L945="","",ROUND(L945*(1+N(M945)),2))</f>
        <v/>
      </c>
      <c r="T945" s="55">
        <f>IF(B945="","",SUMIFS('REVENUE'!$C$5:$C$1504,'REVENUE'!$B$5:$B$1504,A945))</f>
        <v/>
      </c>
      <c r="U945" s="55">
        <f>IF(B945="","",IF(O945="Completed",MAX(0,N(S945)-T945),""))</f>
        <v/>
      </c>
      <c r="V945" s="49">
        <f>IF(B945="","",IF(O945&lt;&gt;"Completed",IF(T945&gt;0,"Deposit","—"),IF(U945&lt;=0.005,"Paid",IF(T945&gt;0,"Partial","Unpaid"))))</f>
        <v/>
      </c>
      <c r="W945" s="55">
        <f>IF(B945="","",IFERROR(1/(1/INDEX('STAFF &amp; TASKS'!$C$5:$C$24,MATCH(H945,'STAFF &amp; TASKS'!$A$5:$A$24,0))),PayRate))</f>
        <v/>
      </c>
      <c r="X945" s="55">
        <f>IF(B945="","",IF(OR(O945="Cancelled",O945="No-Show"),"",ROUND(R945*W945*(1+Burden),2)))</f>
        <v/>
      </c>
      <c r="Y945" s="55">
        <f>IF(B945="","",IF(OR(O945="Cancelled",O945="No-Show"),"",IF(N945&lt;&gt;"",N945,ROUND(R945*SupHr*IFERROR(INDEX('PRICING'!$G$7:$G$16,MATCH(F945,'PRICING'!$A$7:$A$16,0)),1),2))))</f>
        <v/>
      </c>
      <c r="Z945" s="98">
        <f>IF(B945="","",SUMIFS('MILEAGE'!$J$5:$J$1504,'MILEAGE'!$B$5:$B$1504,A945))</f>
        <v/>
      </c>
      <c r="AA945" s="55">
        <f>IF(B945="","",ROUND(Z945*MileRate,2))</f>
        <v/>
      </c>
      <c r="AB945" s="55">
        <f>IF(B945="","",SUMIFS('REVENUE'!$J$5:$J$1504,'REVENUE'!$B$5:$B$1504,A945))</f>
        <v/>
      </c>
      <c r="AC945" s="55">
        <f>IF(L945="","",IF(OR(O945="Cancelled",O945="No-Show"),"",L945-N(X945)-N(Y945)-AA945-AB945))</f>
        <v/>
      </c>
      <c r="AD945" s="99">
        <f>IF(OR(AC945="",N(L945)=0),"",AC945/L945)</f>
        <v/>
      </c>
      <c r="AE945" s="55">
        <f>IF(OR(AC945="",N(R945)=0),"",L945/R945)</f>
        <v/>
      </c>
      <c r="AF945" s="100">
        <f>IF(OR(N(K945)=0,N(J945)+N(Q945)=0),"",K945-IF(N(J945)&gt;0,J945,Q945))</f>
        <v/>
      </c>
      <c r="AG945" s="99">
        <f>IF(B945="","",IFERROR(AVERAGEIFS('QUALITY CONTROL'!$M$5:$M$304,'QUALITY CONTROL'!$B$5:$B$304,A945),""))</f>
        <v/>
      </c>
      <c r="AH945" s="51">
        <f>IF(B945="","",DATE(YEAR(B945),MONTH(B945),1))</f>
        <v/>
      </c>
      <c r="AI945" s="49">
        <f>IF(D945="","",IFERROR(INDEX('CUSTOMERS'!$E$5:$E$404,MATCH(D945,'CUSTOMERS'!$B$5:$B$404,0)),""))</f>
        <v/>
      </c>
      <c r="AJ945" s="49">
        <f>IF(B945="","",N(C945))</f>
        <v/>
      </c>
      <c r="AK945" s="49">
        <f>IF(OR(B945="",O945="Cancelled",O945="Rescheduled"),"",B945&amp;"|"&amp;(COUNTIFS('JOBS'!$B$5:$B$1504,B945,'JOBS'!$AJ$5:$AJ$1504,"&lt;"&amp;AJ945,'JOBS'!$O$5:$O$1504,"&lt;&gt;Cancelled",'JOBS'!$O$5:$O$1504,"&lt;&gt;Rescheduled")+COUNTIFS($B$5:B945,B945,$AJ$5:AJ945,AJ945,$O$5:O945,"&lt;&gt;Cancelled",$O$5:O945,"&lt;&gt;Rescheduled")))</f>
        <v/>
      </c>
      <c r="AL945" s="49">
        <f>IF(N(U945)&lt;=0.005,"",COUNTIFS('JOBS'!$U$5:$U$1504,"&gt;0.005",'JOBS'!$B$5:$B$1504,"&lt;"&amp;B945)+COUNTIFS($U$5:U945,"&gt;0.005",$B$5:B945,B945))</f>
        <v/>
      </c>
    </row>
    <row r="946">
      <c r="A946" s="46" t="inlineStr">
        <is>
          <t>J-0942</t>
        </is>
      </c>
      <c r="B946" s="47" t="n"/>
      <c r="C946" s="94" t="n"/>
      <c r="D946" s="38" t="n"/>
      <c r="E946" s="38" t="n"/>
      <c r="F946" s="38" t="n"/>
      <c r="G946" s="38" t="n"/>
      <c r="H946" s="38" t="n"/>
      <c r="I946" s="57" t="n"/>
      <c r="J946" s="95" t="n"/>
      <c r="K946" s="95" t="n"/>
      <c r="L946" s="48" t="n"/>
      <c r="M946" s="96" t="n"/>
      <c r="N946" s="48" t="n"/>
      <c r="O946" s="38" t="n"/>
      <c r="P946" s="38" t="n"/>
      <c r="Q946" s="97">
        <f>IF(OR(F946="",E946=""),"",IFERROR(IF(INDEX('PROPERTIES'!$F$5:$F$404,MATCH(E946,'PROPERTIES'!$B$5:$B$404,0))=0,"",ROUND((INDEX('PROPERTIES'!$F$5:$F$404,MATCH(E946,'PROPERTIES'!$B$5:$B$404,0))/INDEX('PRICING'!$C$7:$C$16,MATCH(F946,'PRICING'!$A$7:$A$16,0))+INDEX('PROPERTIES'!$G$5:$G$404,MATCH(E946,'PROPERTIES'!$B$5:$B$404,0))*INDEX('PRICING'!$D$7:$D$16,MATCH(F946,'PRICING'!$A$7:$A$16,0))/60+INDEX('PROPERTIES'!$H$5:$H$404,MATCH(E946,'PROPERTIES'!$B$5:$B$404,0))*INDEX('PRICING'!$E$7:$E$16,MATCH(F946,'PRICING'!$A$7:$A$16,0))/60+INDEX('PRICING'!$F$7:$F$16,MATCH(F946,'PRICING'!$A$7:$A$16,0))/60),2)),""))</f>
        <v/>
      </c>
      <c r="R946" s="97">
        <f>IF(B946="","",IF(N(K946)&gt;0,K946,IF(N(J946)&gt;0,J946,N(Q946))))</f>
        <v/>
      </c>
      <c r="S946" s="55">
        <f>IF(L946="","",ROUND(L946*(1+N(M946)),2))</f>
        <v/>
      </c>
      <c r="T946" s="55">
        <f>IF(B946="","",SUMIFS('REVENUE'!$C$5:$C$1504,'REVENUE'!$B$5:$B$1504,A946))</f>
        <v/>
      </c>
      <c r="U946" s="55">
        <f>IF(B946="","",IF(O946="Completed",MAX(0,N(S946)-T946),""))</f>
        <v/>
      </c>
      <c r="V946" s="49">
        <f>IF(B946="","",IF(O946&lt;&gt;"Completed",IF(T946&gt;0,"Deposit","—"),IF(U946&lt;=0.005,"Paid",IF(T946&gt;0,"Partial","Unpaid"))))</f>
        <v/>
      </c>
      <c r="W946" s="55">
        <f>IF(B946="","",IFERROR(1/(1/INDEX('STAFF &amp; TASKS'!$C$5:$C$24,MATCH(H946,'STAFF &amp; TASKS'!$A$5:$A$24,0))),PayRate))</f>
        <v/>
      </c>
      <c r="X946" s="55">
        <f>IF(B946="","",IF(OR(O946="Cancelled",O946="No-Show"),"",ROUND(R946*W946*(1+Burden),2)))</f>
        <v/>
      </c>
      <c r="Y946" s="55">
        <f>IF(B946="","",IF(OR(O946="Cancelled",O946="No-Show"),"",IF(N946&lt;&gt;"",N946,ROUND(R946*SupHr*IFERROR(INDEX('PRICING'!$G$7:$G$16,MATCH(F946,'PRICING'!$A$7:$A$16,0)),1),2))))</f>
        <v/>
      </c>
      <c r="Z946" s="98">
        <f>IF(B946="","",SUMIFS('MILEAGE'!$J$5:$J$1504,'MILEAGE'!$B$5:$B$1504,A946))</f>
        <v/>
      </c>
      <c r="AA946" s="55">
        <f>IF(B946="","",ROUND(Z946*MileRate,2))</f>
        <v/>
      </c>
      <c r="AB946" s="55">
        <f>IF(B946="","",SUMIFS('REVENUE'!$J$5:$J$1504,'REVENUE'!$B$5:$B$1504,A946))</f>
        <v/>
      </c>
      <c r="AC946" s="55">
        <f>IF(L946="","",IF(OR(O946="Cancelled",O946="No-Show"),"",L946-N(X946)-N(Y946)-AA946-AB946))</f>
        <v/>
      </c>
      <c r="AD946" s="99">
        <f>IF(OR(AC946="",N(L946)=0),"",AC946/L946)</f>
        <v/>
      </c>
      <c r="AE946" s="55">
        <f>IF(OR(AC946="",N(R946)=0),"",L946/R946)</f>
        <v/>
      </c>
      <c r="AF946" s="100">
        <f>IF(OR(N(K946)=0,N(J946)+N(Q946)=0),"",K946-IF(N(J946)&gt;0,J946,Q946))</f>
        <v/>
      </c>
      <c r="AG946" s="99">
        <f>IF(B946="","",IFERROR(AVERAGEIFS('QUALITY CONTROL'!$M$5:$M$304,'QUALITY CONTROL'!$B$5:$B$304,A946),""))</f>
        <v/>
      </c>
      <c r="AH946" s="51">
        <f>IF(B946="","",DATE(YEAR(B946),MONTH(B946),1))</f>
        <v/>
      </c>
      <c r="AI946" s="49">
        <f>IF(D946="","",IFERROR(INDEX('CUSTOMERS'!$E$5:$E$404,MATCH(D946,'CUSTOMERS'!$B$5:$B$404,0)),""))</f>
        <v/>
      </c>
      <c r="AJ946" s="49">
        <f>IF(B946="","",N(C946))</f>
        <v/>
      </c>
      <c r="AK946" s="49">
        <f>IF(OR(B946="",O946="Cancelled",O946="Rescheduled"),"",B946&amp;"|"&amp;(COUNTIFS('JOBS'!$B$5:$B$1504,B946,'JOBS'!$AJ$5:$AJ$1504,"&lt;"&amp;AJ946,'JOBS'!$O$5:$O$1504,"&lt;&gt;Cancelled",'JOBS'!$O$5:$O$1504,"&lt;&gt;Rescheduled")+COUNTIFS($B$5:B946,B946,$AJ$5:AJ946,AJ946,$O$5:O946,"&lt;&gt;Cancelled",$O$5:O946,"&lt;&gt;Rescheduled")))</f>
        <v/>
      </c>
      <c r="AL946" s="49">
        <f>IF(N(U946)&lt;=0.005,"",COUNTIFS('JOBS'!$U$5:$U$1504,"&gt;0.005",'JOBS'!$B$5:$B$1504,"&lt;"&amp;B946)+COUNTIFS($U$5:U946,"&gt;0.005",$B$5:B946,B946))</f>
        <v/>
      </c>
    </row>
    <row r="947">
      <c r="A947" s="46" t="inlineStr">
        <is>
          <t>J-0943</t>
        </is>
      </c>
      <c r="B947" s="47" t="n"/>
      <c r="C947" s="94" t="n"/>
      <c r="D947" s="38" t="n"/>
      <c r="E947" s="38" t="n"/>
      <c r="F947" s="38" t="n"/>
      <c r="G947" s="38" t="n"/>
      <c r="H947" s="38" t="n"/>
      <c r="I947" s="57" t="n"/>
      <c r="J947" s="95" t="n"/>
      <c r="K947" s="95" t="n"/>
      <c r="L947" s="48" t="n"/>
      <c r="M947" s="96" t="n"/>
      <c r="N947" s="48" t="n"/>
      <c r="O947" s="38" t="n"/>
      <c r="P947" s="38" t="n"/>
      <c r="Q947" s="97">
        <f>IF(OR(F947="",E947=""),"",IFERROR(IF(INDEX('PROPERTIES'!$F$5:$F$404,MATCH(E947,'PROPERTIES'!$B$5:$B$404,0))=0,"",ROUND((INDEX('PROPERTIES'!$F$5:$F$404,MATCH(E947,'PROPERTIES'!$B$5:$B$404,0))/INDEX('PRICING'!$C$7:$C$16,MATCH(F947,'PRICING'!$A$7:$A$16,0))+INDEX('PROPERTIES'!$G$5:$G$404,MATCH(E947,'PROPERTIES'!$B$5:$B$404,0))*INDEX('PRICING'!$D$7:$D$16,MATCH(F947,'PRICING'!$A$7:$A$16,0))/60+INDEX('PROPERTIES'!$H$5:$H$404,MATCH(E947,'PROPERTIES'!$B$5:$B$404,0))*INDEX('PRICING'!$E$7:$E$16,MATCH(F947,'PRICING'!$A$7:$A$16,0))/60+INDEX('PRICING'!$F$7:$F$16,MATCH(F947,'PRICING'!$A$7:$A$16,0))/60),2)),""))</f>
        <v/>
      </c>
      <c r="R947" s="97">
        <f>IF(B947="","",IF(N(K947)&gt;0,K947,IF(N(J947)&gt;0,J947,N(Q947))))</f>
        <v/>
      </c>
      <c r="S947" s="55">
        <f>IF(L947="","",ROUND(L947*(1+N(M947)),2))</f>
        <v/>
      </c>
      <c r="T947" s="55">
        <f>IF(B947="","",SUMIFS('REVENUE'!$C$5:$C$1504,'REVENUE'!$B$5:$B$1504,A947))</f>
        <v/>
      </c>
      <c r="U947" s="55">
        <f>IF(B947="","",IF(O947="Completed",MAX(0,N(S947)-T947),""))</f>
        <v/>
      </c>
      <c r="V947" s="49">
        <f>IF(B947="","",IF(O947&lt;&gt;"Completed",IF(T947&gt;0,"Deposit","—"),IF(U947&lt;=0.005,"Paid",IF(T947&gt;0,"Partial","Unpaid"))))</f>
        <v/>
      </c>
      <c r="W947" s="55">
        <f>IF(B947="","",IFERROR(1/(1/INDEX('STAFF &amp; TASKS'!$C$5:$C$24,MATCH(H947,'STAFF &amp; TASKS'!$A$5:$A$24,0))),PayRate))</f>
        <v/>
      </c>
      <c r="X947" s="55">
        <f>IF(B947="","",IF(OR(O947="Cancelled",O947="No-Show"),"",ROUND(R947*W947*(1+Burden),2)))</f>
        <v/>
      </c>
      <c r="Y947" s="55">
        <f>IF(B947="","",IF(OR(O947="Cancelled",O947="No-Show"),"",IF(N947&lt;&gt;"",N947,ROUND(R947*SupHr*IFERROR(INDEX('PRICING'!$G$7:$G$16,MATCH(F947,'PRICING'!$A$7:$A$16,0)),1),2))))</f>
        <v/>
      </c>
      <c r="Z947" s="98">
        <f>IF(B947="","",SUMIFS('MILEAGE'!$J$5:$J$1504,'MILEAGE'!$B$5:$B$1504,A947))</f>
        <v/>
      </c>
      <c r="AA947" s="55">
        <f>IF(B947="","",ROUND(Z947*MileRate,2))</f>
        <v/>
      </c>
      <c r="AB947" s="55">
        <f>IF(B947="","",SUMIFS('REVENUE'!$J$5:$J$1504,'REVENUE'!$B$5:$B$1504,A947))</f>
        <v/>
      </c>
      <c r="AC947" s="55">
        <f>IF(L947="","",IF(OR(O947="Cancelled",O947="No-Show"),"",L947-N(X947)-N(Y947)-AA947-AB947))</f>
        <v/>
      </c>
      <c r="AD947" s="99">
        <f>IF(OR(AC947="",N(L947)=0),"",AC947/L947)</f>
        <v/>
      </c>
      <c r="AE947" s="55">
        <f>IF(OR(AC947="",N(R947)=0),"",L947/R947)</f>
        <v/>
      </c>
      <c r="AF947" s="100">
        <f>IF(OR(N(K947)=0,N(J947)+N(Q947)=0),"",K947-IF(N(J947)&gt;0,J947,Q947))</f>
        <v/>
      </c>
      <c r="AG947" s="99">
        <f>IF(B947="","",IFERROR(AVERAGEIFS('QUALITY CONTROL'!$M$5:$M$304,'QUALITY CONTROL'!$B$5:$B$304,A947),""))</f>
        <v/>
      </c>
      <c r="AH947" s="51">
        <f>IF(B947="","",DATE(YEAR(B947),MONTH(B947),1))</f>
        <v/>
      </c>
      <c r="AI947" s="49">
        <f>IF(D947="","",IFERROR(INDEX('CUSTOMERS'!$E$5:$E$404,MATCH(D947,'CUSTOMERS'!$B$5:$B$404,0)),""))</f>
        <v/>
      </c>
      <c r="AJ947" s="49">
        <f>IF(B947="","",N(C947))</f>
        <v/>
      </c>
      <c r="AK947" s="49">
        <f>IF(OR(B947="",O947="Cancelled",O947="Rescheduled"),"",B947&amp;"|"&amp;(COUNTIFS('JOBS'!$B$5:$B$1504,B947,'JOBS'!$AJ$5:$AJ$1504,"&lt;"&amp;AJ947,'JOBS'!$O$5:$O$1504,"&lt;&gt;Cancelled",'JOBS'!$O$5:$O$1504,"&lt;&gt;Rescheduled")+COUNTIFS($B$5:B947,B947,$AJ$5:AJ947,AJ947,$O$5:O947,"&lt;&gt;Cancelled",$O$5:O947,"&lt;&gt;Rescheduled")))</f>
        <v/>
      </c>
      <c r="AL947" s="49">
        <f>IF(N(U947)&lt;=0.005,"",COUNTIFS('JOBS'!$U$5:$U$1504,"&gt;0.005",'JOBS'!$B$5:$B$1504,"&lt;"&amp;B947)+COUNTIFS($U$5:U947,"&gt;0.005",$B$5:B947,B947))</f>
        <v/>
      </c>
    </row>
    <row r="948">
      <c r="A948" s="46" t="inlineStr">
        <is>
          <t>J-0944</t>
        </is>
      </c>
      <c r="B948" s="47" t="n"/>
      <c r="C948" s="94" t="n"/>
      <c r="D948" s="38" t="n"/>
      <c r="E948" s="38" t="n"/>
      <c r="F948" s="38" t="n"/>
      <c r="G948" s="38" t="n"/>
      <c r="H948" s="38" t="n"/>
      <c r="I948" s="57" t="n"/>
      <c r="J948" s="95" t="n"/>
      <c r="K948" s="95" t="n"/>
      <c r="L948" s="48" t="n"/>
      <c r="M948" s="96" t="n"/>
      <c r="N948" s="48" t="n"/>
      <c r="O948" s="38" t="n"/>
      <c r="P948" s="38" t="n"/>
      <c r="Q948" s="97">
        <f>IF(OR(F948="",E948=""),"",IFERROR(IF(INDEX('PROPERTIES'!$F$5:$F$404,MATCH(E948,'PROPERTIES'!$B$5:$B$404,0))=0,"",ROUND((INDEX('PROPERTIES'!$F$5:$F$404,MATCH(E948,'PROPERTIES'!$B$5:$B$404,0))/INDEX('PRICING'!$C$7:$C$16,MATCH(F948,'PRICING'!$A$7:$A$16,0))+INDEX('PROPERTIES'!$G$5:$G$404,MATCH(E948,'PROPERTIES'!$B$5:$B$404,0))*INDEX('PRICING'!$D$7:$D$16,MATCH(F948,'PRICING'!$A$7:$A$16,0))/60+INDEX('PROPERTIES'!$H$5:$H$404,MATCH(E948,'PROPERTIES'!$B$5:$B$404,0))*INDEX('PRICING'!$E$7:$E$16,MATCH(F948,'PRICING'!$A$7:$A$16,0))/60+INDEX('PRICING'!$F$7:$F$16,MATCH(F948,'PRICING'!$A$7:$A$16,0))/60),2)),""))</f>
        <v/>
      </c>
      <c r="R948" s="97">
        <f>IF(B948="","",IF(N(K948)&gt;0,K948,IF(N(J948)&gt;0,J948,N(Q948))))</f>
        <v/>
      </c>
      <c r="S948" s="55">
        <f>IF(L948="","",ROUND(L948*(1+N(M948)),2))</f>
        <v/>
      </c>
      <c r="T948" s="55">
        <f>IF(B948="","",SUMIFS('REVENUE'!$C$5:$C$1504,'REVENUE'!$B$5:$B$1504,A948))</f>
        <v/>
      </c>
      <c r="U948" s="55">
        <f>IF(B948="","",IF(O948="Completed",MAX(0,N(S948)-T948),""))</f>
        <v/>
      </c>
      <c r="V948" s="49">
        <f>IF(B948="","",IF(O948&lt;&gt;"Completed",IF(T948&gt;0,"Deposit","—"),IF(U948&lt;=0.005,"Paid",IF(T948&gt;0,"Partial","Unpaid"))))</f>
        <v/>
      </c>
      <c r="W948" s="55">
        <f>IF(B948="","",IFERROR(1/(1/INDEX('STAFF &amp; TASKS'!$C$5:$C$24,MATCH(H948,'STAFF &amp; TASKS'!$A$5:$A$24,0))),PayRate))</f>
        <v/>
      </c>
      <c r="X948" s="55">
        <f>IF(B948="","",IF(OR(O948="Cancelled",O948="No-Show"),"",ROUND(R948*W948*(1+Burden),2)))</f>
        <v/>
      </c>
      <c r="Y948" s="55">
        <f>IF(B948="","",IF(OR(O948="Cancelled",O948="No-Show"),"",IF(N948&lt;&gt;"",N948,ROUND(R948*SupHr*IFERROR(INDEX('PRICING'!$G$7:$G$16,MATCH(F948,'PRICING'!$A$7:$A$16,0)),1),2))))</f>
        <v/>
      </c>
      <c r="Z948" s="98">
        <f>IF(B948="","",SUMIFS('MILEAGE'!$J$5:$J$1504,'MILEAGE'!$B$5:$B$1504,A948))</f>
        <v/>
      </c>
      <c r="AA948" s="55">
        <f>IF(B948="","",ROUND(Z948*MileRate,2))</f>
        <v/>
      </c>
      <c r="AB948" s="55">
        <f>IF(B948="","",SUMIFS('REVENUE'!$J$5:$J$1504,'REVENUE'!$B$5:$B$1504,A948))</f>
        <v/>
      </c>
      <c r="AC948" s="55">
        <f>IF(L948="","",IF(OR(O948="Cancelled",O948="No-Show"),"",L948-N(X948)-N(Y948)-AA948-AB948))</f>
        <v/>
      </c>
      <c r="AD948" s="99">
        <f>IF(OR(AC948="",N(L948)=0),"",AC948/L948)</f>
        <v/>
      </c>
      <c r="AE948" s="55">
        <f>IF(OR(AC948="",N(R948)=0),"",L948/R948)</f>
        <v/>
      </c>
      <c r="AF948" s="100">
        <f>IF(OR(N(K948)=0,N(J948)+N(Q948)=0),"",K948-IF(N(J948)&gt;0,J948,Q948))</f>
        <v/>
      </c>
      <c r="AG948" s="99">
        <f>IF(B948="","",IFERROR(AVERAGEIFS('QUALITY CONTROL'!$M$5:$M$304,'QUALITY CONTROL'!$B$5:$B$304,A948),""))</f>
        <v/>
      </c>
      <c r="AH948" s="51">
        <f>IF(B948="","",DATE(YEAR(B948),MONTH(B948),1))</f>
        <v/>
      </c>
      <c r="AI948" s="49">
        <f>IF(D948="","",IFERROR(INDEX('CUSTOMERS'!$E$5:$E$404,MATCH(D948,'CUSTOMERS'!$B$5:$B$404,0)),""))</f>
        <v/>
      </c>
      <c r="AJ948" s="49">
        <f>IF(B948="","",N(C948))</f>
        <v/>
      </c>
      <c r="AK948" s="49">
        <f>IF(OR(B948="",O948="Cancelled",O948="Rescheduled"),"",B948&amp;"|"&amp;(COUNTIFS('JOBS'!$B$5:$B$1504,B948,'JOBS'!$AJ$5:$AJ$1504,"&lt;"&amp;AJ948,'JOBS'!$O$5:$O$1504,"&lt;&gt;Cancelled",'JOBS'!$O$5:$O$1504,"&lt;&gt;Rescheduled")+COUNTIFS($B$5:B948,B948,$AJ$5:AJ948,AJ948,$O$5:O948,"&lt;&gt;Cancelled",$O$5:O948,"&lt;&gt;Rescheduled")))</f>
        <v/>
      </c>
      <c r="AL948" s="49">
        <f>IF(N(U948)&lt;=0.005,"",COUNTIFS('JOBS'!$U$5:$U$1504,"&gt;0.005",'JOBS'!$B$5:$B$1504,"&lt;"&amp;B948)+COUNTIFS($U$5:U948,"&gt;0.005",$B$5:B948,B948))</f>
        <v/>
      </c>
    </row>
    <row r="949">
      <c r="A949" s="46" t="inlineStr">
        <is>
          <t>J-0945</t>
        </is>
      </c>
      <c r="B949" s="47" t="n"/>
      <c r="C949" s="94" t="n"/>
      <c r="D949" s="38" t="n"/>
      <c r="E949" s="38" t="n"/>
      <c r="F949" s="38" t="n"/>
      <c r="G949" s="38" t="n"/>
      <c r="H949" s="38" t="n"/>
      <c r="I949" s="57" t="n"/>
      <c r="J949" s="95" t="n"/>
      <c r="K949" s="95" t="n"/>
      <c r="L949" s="48" t="n"/>
      <c r="M949" s="96" t="n"/>
      <c r="N949" s="48" t="n"/>
      <c r="O949" s="38" t="n"/>
      <c r="P949" s="38" t="n"/>
      <c r="Q949" s="97">
        <f>IF(OR(F949="",E949=""),"",IFERROR(IF(INDEX('PROPERTIES'!$F$5:$F$404,MATCH(E949,'PROPERTIES'!$B$5:$B$404,0))=0,"",ROUND((INDEX('PROPERTIES'!$F$5:$F$404,MATCH(E949,'PROPERTIES'!$B$5:$B$404,0))/INDEX('PRICING'!$C$7:$C$16,MATCH(F949,'PRICING'!$A$7:$A$16,0))+INDEX('PROPERTIES'!$G$5:$G$404,MATCH(E949,'PROPERTIES'!$B$5:$B$404,0))*INDEX('PRICING'!$D$7:$D$16,MATCH(F949,'PRICING'!$A$7:$A$16,0))/60+INDEX('PROPERTIES'!$H$5:$H$404,MATCH(E949,'PROPERTIES'!$B$5:$B$404,0))*INDEX('PRICING'!$E$7:$E$16,MATCH(F949,'PRICING'!$A$7:$A$16,0))/60+INDEX('PRICING'!$F$7:$F$16,MATCH(F949,'PRICING'!$A$7:$A$16,0))/60),2)),""))</f>
        <v/>
      </c>
      <c r="R949" s="97">
        <f>IF(B949="","",IF(N(K949)&gt;0,K949,IF(N(J949)&gt;0,J949,N(Q949))))</f>
        <v/>
      </c>
      <c r="S949" s="55">
        <f>IF(L949="","",ROUND(L949*(1+N(M949)),2))</f>
        <v/>
      </c>
      <c r="T949" s="55">
        <f>IF(B949="","",SUMIFS('REVENUE'!$C$5:$C$1504,'REVENUE'!$B$5:$B$1504,A949))</f>
        <v/>
      </c>
      <c r="U949" s="55">
        <f>IF(B949="","",IF(O949="Completed",MAX(0,N(S949)-T949),""))</f>
        <v/>
      </c>
      <c r="V949" s="49">
        <f>IF(B949="","",IF(O949&lt;&gt;"Completed",IF(T949&gt;0,"Deposit","—"),IF(U949&lt;=0.005,"Paid",IF(T949&gt;0,"Partial","Unpaid"))))</f>
        <v/>
      </c>
      <c r="W949" s="55">
        <f>IF(B949="","",IFERROR(1/(1/INDEX('STAFF &amp; TASKS'!$C$5:$C$24,MATCH(H949,'STAFF &amp; TASKS'!$A$5:$A$24,0))),PayRate))</f>
        <v/>
      </c>
      <c r="X949" s="55">
        <f>IF(B949="","",IF(OR(O949="Cancelled",O949="No-Show"),"",ROUND(R949*W949*(1+Burden),2)))</f>
        <v/>
      </c>
      <c r="Y949" s="55">
        <f>IF(B949="","",IF(OR(O949="Cancelled",O949="No-Show"),"",IF(N949&lt;&gt;"",N949,ROUND(R949*SupHr*IFERROR(INDEX('PRICING'!$G$7:$G$16,MATCH(F949,'PRICING'!$A$7:$A$16,0)),1),2))))</f>
        <v/>
      </c>
      <c r="Z949" s="98">
        <f>IF(B949="","",SUMIFS('MILEAGE'!$J$5:$J$1504,'MILEAGE'!$B$5:$B$1504,A949))</f>
        <v/>
      </c>
      <c r="AA949" s="55">
        <f>IF(B949="","",ROUND(Z949*MileRate,2))</f>
        <v/>
      </c>
      <c r="AB949" s="55">
        <f>IF(B949="","",SUMIFS('REVENUE'!$J$5:$J$1504,'REVENUE'!$B$5:$B$1504,A949))</f>
        <v/>
      </c>
      <c r="AC949" s="55">
        <f>IF(L949="","",IF(OR(O949="Cancelled",O949="No-Show"),"",L949-N(X949)-N(Y949)-AA949-AB949))</f>
        <v/>
      </c>
      <c r="AD949" s="99">
        <f>IF(OR(AC949="",N(L949)=0),"",AC949/L949)</f>
        <v/>
      </c>
      <c r="AE949" s="55">
        <f>IF(OR(AC949="",N(R949)=0),"",L949/R949)</f>
        <v/>
      </c>
      <c r="AF949" s="100">
        <f>IF(OR(N(K949)=0,N(J949)+N(Q949)=0),"",K949-IF(N(J949)&gt;0,J949,Q949))</f>
        <v/>
      </c>
      <c r="AG949" s="99">
        <f>IF(B949="","",IFERROR(AVERAGEIFS('QUALITY CONTROL'!$M$5:$M$304,'QUALITY CONTROL'!$B$5:$B$304,A949),""))</f>
        <v/>
      </c>
      <c r="AH949" s="51">
        <f>IF(B949="","",DATE(YEAR(B949),MONTH(B949),1))</f>
        <v/>
      </c>
      <c r="AI949" s="49">
        <f>IF(D949="","",IFERROR(INDEX('CUSTOMERS'!$E$5:$E$404,MATCH(D949,'CUSTOMERS'!$B$5:$B$404,0)),""))</f>
        <v/>
      </c>
      <c r="AJ949" s="49">
        <f>IF(B949="","",N(C949))</f>
        <v/>
      </c>
      <c r="AK949" s="49">
        <f>IF(OR(B949="",O949="Cancelled",O949="Rescheduled"),"",B949&amp;"|"&amp;(COUNTIFS('JOBS'!$B$5:$B$1504,B949,'JOBS'!$AJ$5:$AJ$1504,"&lt;"&amp;AJ949,'JOBS'!$O$5:$O$1504,"&lt;&gt;Cancelled",'JOBS'!$O$5:$O$1504,"&lt;&gt;Rescheduled")+COUNTIFS($B$5:B949,B949,$AJ$5:AJ949,AJ949,$O$5:O949,"&lt;&gt;Cancelled",$O$5:O949,"&lt;&gt;Rescheduled")))</f>
        <v/>
      </c>
      <c r="AL949" s="49">
        <f>IF(N(U949)&lt;=0.005,"",COUNTIFS('JOBS'!$U$5:$U$1504,"&gt;0.005",'JOBS'!$B$5:$B$1504,"&lt;"&amp;B949)+COUNTIFS($U$5:U949,"&gt;0.005",$B$5:B949,B949))</f>
        <v/>
      </c>
    </row>
    <row r="950">
      <c r="A950" s="46" t="inlineStr">
        <is>
          <t>J-0946</t>
        </is>
      </c>
      <c r="B950" s="47" t="n"/>
      <c r="C950" s="94" t="n"/>
      <c r="D950" s="38" t="n"/>
      <c r="E950" s="38" t="n"/>
      <c r="F950" s="38" t="n"/>
      <c r="G950" s="38" t="n"/>
      <c r="H950" s="38" t="n"/>
      <c r="I950" s="57" t="n"/>
      <c r="J950" s="95" t="n"/>
      <c r="K950" s="95" t="n"/>
      <c r="L950" s="48" t="n"/>
      <c r="M950" s="96" t="n"/>
      <c r="N950" s="48" t="n"/>
      <c r="O950" s="38" t="n"/>
      <c r="P950" s="38" t="n"/>
      <c r="Q950" s="97">
        <f>IF(OR(F950="",E950=""),"",IFERROR(IF(INDEX('PROPERTIES'!$F$5:$F$404,MATCH(E950,'PROPERTIES'!$B$5:$B$404,0))=0,"",ROUND((INDEX('PROPERTIES'!$F$5:$F$404,MATCH(E950,'PROPERTIES'!$B$5:$B$404,0))/INDEX('PRICING'!$C$7:$C$16,MATCH(F950,'PRICING'!$A$7:$A$16,0))+INDEX('PROPERTIES'!$G$5:$G$404,MATCH(E950,'PROPERTIES'!$B$5:$B$404,0))*INDEX('PRICING'!$D$7:$D$16,MATCH(F950,'PRICING'!$A$7:$A$16,0))/60+INDEX('PROPERTIES'!$H$5:$H$404,MATCH(E950,'PROPERTIES'!$B$5:$B$404,0))*INDEX('PRICING'!$E$7:$E$16,MATCH(F950,'PRICING'!$A$7:$A$16,0))/60+INDEX('PRICING'!$F$7:$F$16,MATCH(F950,'PRICING'!$A$7:$A$16,0))/60),2)),""))</f>
        <v/>
      </c>
      <c r="R950" s="97">
        <f>IF(B950="","",IF(N(K950)&gt;0,K950,IF(N(J950)&gt;0,J950,N(Q950))))</f>
        <v/>
      </c>
      <c r="S950" s="55">
        <f>IF(L950="","",ROUND(L950*(1+N(M950)),2))</f>
        <v/>
      </c>
      <c r="T950" s="55">
        <f>IF(B950="","",SUMIFS('REVENUE'!$C$5:$C$1504,'REVENUE'!$B$5:$B$1504,A950))</f>
        <v/>
      </c>
      <c r="U950" s="55">
        <f>IF(B950="","",IF(O950="Completed",MAX(0,N(S950)-T950),""))</f>
        <v/>
      </c>
      <c r="V950" s="49">
        <f>IF(B950="","",IF(O950&lt;&gt;"Completed",IF(T950&gt;0,"Deposit","—"),IF(U950&lt;=0.005,"Paid",IF(T950&gt;0,"Partial","Unpaid"))))</f>
        <v/>
      </c>
      <c r="W950" s="55">
        <f>IF(B950="","",IFERROR(1/(1/INDEX('STAFF &amp; TASKS'!$C$5:$C$24,MATCH(H950,'STAFF &amp; TASKS'!$A$5:$A$24,0))),PayRate))</f>
        <v/>
      </c>
      <c r="X950" s="55">
        <f>IF(B950="","",IF(OR(O950="Cancelled",O950="No-Show"),"",ROUND(R950*W950*(1+Burden),2)))</f>
        <v/>
      </c>
      <c r="Y950" s="55">
        <f>IF(B950="","",IF(OR(O950="Cancelled",O950="No-Show"),"",IF(N950&lt;&gt;"",N950,ROUND(R950*SupHr*IFERROR(INDEX('PRICING'!$G$7:$G$16,MATCH(F950,'PRICING'!$A$7:$A$16,0)),1),2))))</f>
        <v/>
      </c>
      <c r="Z950" s="98">
        <f>IF(B950="","",SUMIFS('MILEAGE'!$J$5:$J$1504,'MILEAGE'!$B$5:$B$1504,A950))</f>
        <v/>
      </c>
      <c r="AA950" s="55">
        <f>IF(B950="","",ROUND(Z950*MileRate,2))</f>
        <v/>
      </c>
      <c r="AB950" s="55">
        <f>IF(B950="","",SUMIFS('REVENUE'!$J$5:$J$1504,'REVENUE'!$B$5:$B$1504,A950))</f>
        <v/>
      </c>
      <c r="AC950" s="55">
        <f>IF(L950="","",IF(OR(O950="Cancelled",O950="No-Show"),"",L950-N(X950)-N(Y950)-AA950-AB950))</f>
        <v/>
      </c>
      <c r="AD950" s="99">
        <f>IF(OR(AC950="",N(L950)=0),"",AC950/L950)</f>
        <v/>
      </c>
      <c r="AE950" s="55">
        <f>IF(OR(AC950="",N(R950)=0),"",L950/R950)</f>
        <v/>
      </c>
      <c r="AF950" s="100">
        <f>IF(OR(N(K950)=0,N(J950)+N(Q950)=0),"",K950-IF(N(J950)&gt;0,J950,Q950))</f>
        <v/>
      </c>
      <c r="AG950" s="99">
        <f>IF(B950="","",IFERROR(AVERAGEIFS('QUALITY CONTROL'!$M$5:$M$304,'QUALITY CONTROL'!$B$5:$B$304,A950),""))</f>
        <v/>
      </c>
      <c r="AH950" s="51">
        <f>IF(B950="","",DATE(YEAR(B950),MONTH(B950),1))</f>
        <v/>
      </c>
      <c r="AI950" s="49">
        <f>IF(D950="","",IFERROR(INDEX('CUSTOMERS'!$E$5:$E$404,MATCH(D950,'CUSTOMERS'!$B$5:$B$404,0)),""))</f>
        <v/>
      </c>
      <c r="AJ950" s="49">
        <f>IF(B950="","",N(C950))</f>
        <v/>
      </c>
      <c r="AK950" s="49">
        <f>IF(OR(B950="",O950="Cancelled",O950="Rescheduled"),"",B950&amp;"|"&amp;(COUNTIFS('JOBS'!$B$5:$B$1504,B950,'JOBS'!$AJ$5:$AJ$1504,"&lt;"&amp;AJ950,'JOBS'!$O$5:$O$1504,"&lt;&gt;Cancelled",'JOBS'!$O$5:$O$1504,"&lt;&gt;Rescheduled")+COUNTIFS($B$5:B950,B950,$AJ$5:AJ950,AJ950,$O$5:O950,"&lt;&gt;Cancelled",$O$5:O950,"&lt;&gt;Rescheduled")))</f>
        <v/>
      </c>
      <c r="AL950" s="49">
        <f>IF(N(U950)&lt;=0.005,"",COUNTIFS('JOBS'!$U$5:$U$1504,"&gt;0.005",'JOBS'!$B$5:$B$1504,"&lt;"&amp;B950)+COUNTIFS($U$5:U950,"&gt;0.005",$B$5:B950,B950))</f>
        <v/>
      </c>
    </row>
    <row r="951">
      <c r="A951" s="46" t="inlineStr">
        <is>
          <t>J-0947</t>
        </is>
      </c>
      <c r="B951" s="47" t="n"/>
      <c r="C951" s="94" t="n"/>
      <c r="D951" s="38" t="n"/>
      <c r="E951" s="38" t="n"/>
      <c r="F951" s="38" t="n"/>
      <c r="G951" s="38" t="n"/>
      <c r="H951" s="38" t="n"/>
      <c r="I951" s="57" t="n"/>
      <c r="J951" s="95" t="n"/>
      <c r="K951" s="95" t="n"/>
      <c r="L951" s="48" t="n"/>
      <c r="M951" s="96" t="n"/>
      <c r="N951" s="48" t="n"/>
      <c r="O951" s="38" t="n"/>
      <c r="P951" s="38" t="n"/>
      <c r="Q951" s="97">
        <f>IF(OR(F951="",E951=""),"",IFERROR(IF(INDEX('PROPERTIES'!$F$5:$F$404,MATCH(E951,'PROPERTIES'!$B$5:$B$404,0))=0,"",ROUND((INDEX('PROPERTIES'!$F$5:$F$404,MATCH(E951,'PROPERTIES'!$B$5:$B$404,0))/INDEX('PRICING'!$C$7:$C$16,MATCH(F951,'PRICING'!$A$7:$A$16,0))+INDEX('PROPERTIES'!$G$5:$G$404,MATCH(E951,'PROPERTIES'!$B$5:$B$404,0))*INDEX('PRICING'!$D$7:$D$16,MATCH(F951,'PRICING'!$A$7:$A$16,0))/60+INDEX('PROPERTIES'!$H$5:$H$404,MATCH(E951,'PROPERTIES'!$B$5:$B$404,0))*INDEX('PRICING'!$E$7:$E$16,MATCH(F951,'PRICING'!$A$7:$A$16,0))/60+INDEX('PRICING'!$F$7:$F$16,MATCH(F951,'PRICING'!$A$7:$A$16,0))/60),2)),""))</f>
        <v/>
      </c>
      <c r="R951" s="97">
        <f>IF(B951="","",IF(N(K951)&gt;0,K951,IF(N(J951)&gt;0,J951,N(Q951))))</f>
        <v/>
      </c>
      <c r="S951" s="55">
        <f>IF(L951="","",ROUND(L951*(1+N(M951)),2))</f>
        <v/>
      </c>
      <c r="T951" s="55">
        <f>IF(B951="","",SUMIFS('REVENUE'!$C$5:$C$1504,'REVENUE'!$B$5:$B$1504,A951))</f>
        <v/>
      </c>
      <c r="U951" s="55">
        <f>IF(B951="","",IF(O951="Completed",MAX(0,N(S951)-T951),""))</f>
        <v/>
      </c>
      <c r="V951" s="49">
        <f>IF(B951="","",IF(O951&lt;&gt;"Completed",IF(T951&gt;0,"Deposit","—"),IF(U951&lt;=0.005,"Paid",IF(T951&gt;0,"Partial","Unpaid"))))</f>
        <v/>
      </c>
      <c r="W951" s="55">
        <f>IF(B951="","",IFERROR(1/(1/INDEX('STAFF &amp; TASKS'!$C$5:$C$24,MATCH(H951,'STAFF &amp; TASKS'!$A$5:$A$24,0))),PayRate))</f>
        <v/>
      </c>
      <c r="X951" s="55">
        <f>IF(B951="","",IF(OR(O951="Cancelled",O951="No-Show"),"",ROUND(R951*W951*(1+Burden),2)))</f>
        <v/>
      </c>
      <c r="Y951" s="55">
        <f>IF(B951="","",IF(OR(O951="Cancelled",O951="No-Show"),"",IF(N951&lt;&gt;"",N951,ROUND(R951*SupHr*IFERROR(INDEX('PRICING'!$G$7:$G$16,MATCH(F951,'PRICING'!$A$7:$A$16,0)),1),2))))</f>
        <v/>
      </c>
      <c r="Z951" s="98">
        <f>IF(B951="","",SUMIFS('MILEAGE'!$J$5:$J$1504,'MILEAGE'!$B$5:$B$1504,A951))</f>
        <v/>
      </c>
      <c r="AA951" s="55">
        <f>IF(B951="","",ROUND(Z951*MileRate,2))</f>
        <v/>
      </c>
      <c r="AB951" s="55">
        <f>IF(B951="","",SUMIFS('REVENUE'!$J$5:$J$1504,'REVENUE'!$B$5:$B$1504,A951))</f>
        <v/>
      </c>
      <c r="AC951" s="55">
        <f>IF(L951="","",IF(OR(O951="Cancelled",O951="No-Show"),"",L951-N(X951)-N(Y951)-AA951-AB951))</f>
        <v/>
      </c>
      <c r="AD951" s="99">
        <f>IF(OR(AC951="",N(L951)=0),"",AC951/L951)</f>
        <v/>
      </c>
      <c r="AE951" s="55">
        <f>IF(OR(AC951="",N(R951)=0),"",L951/R951)</f>
        <v/>
      </c>
      <c r="AF951" s="100">
        <f>IF(OR(N(K951)=0,N(J951)+N(Q951)=0),"",K951-IF(N(J951)&gt;0,J951,Q951))</f>
        <v/>
      </c>
      <c r="AG951" s="99">
        <f>IF(B951="","",IFERROR(AVERAGEIFS('QUALITY CONTROL'!$M$5:$M$304,'QUALITY CONTROL'!$B$5:$B$304,A951),""))</f>
        <v/>
      </c>
      <c r="AH951" s="51">
        <f>IF(B951="","",DATE(YEAR(B951),MONTH(B951),1))</f>
        <v/>
      </c>
      <c r="AI951" s="49">
        <f>IF(D951="","",IFERROR(INDEX('CUSTOMERS'!$E$5:$E$404,MATCH(D951,'CUSTOMERS'!$B$5:$B$404,0)),""))</f>
        <v/>
      </c>
      <c r="AJ951" s="49">
        <f>IF(B951="","",N(C951))</f>
        <v/>
      </c>
      <c r="AK951" s="49">
        <f>IF(OR(B951="",O951="Cancelled",O951="Rescheduled"),"",B951&amp;"|"&amp;(COUNTIFS('JOBS'!$B$5:$B$1504,B951,'JOBS'!$AJ$5:$AJ$1504,"&lt;"&amp;AJ951,'JOBS'!$O$5:$O$1504,"&lt;&gt;Cancelled",'JOBS'!$O$5:$O$1504,"&lt;&gt;Rescheduled")+COUNTIFS($B$5:B951,B951,$AJ$5:AJ951,AJ951,$O$5:O951,"&lt;&gt;Cancelled",$O$5:O951,"&lt;&gt;Rescheduled")))</f>
        <v/>
      </c>
      <c r="AL951" s="49">
        <f>IF(N(U951)&lt;=0.005,"",COUNTIFS('JOBS'!$U$5:$U$1504,"&gt;0.005",'JOBS'!$B$5:$B$1504,"&lt;"&amp;B951)+COUNTIFS($U$5:U951,"&gt;0.005",$B$5:B951,B951))</f>
        <v/>
      </c>
    </row>
    <row r="952">
      <c r="A952" s="46" t="inlineStr">
        <is>
          <t>J-0948</t>
        </is>
      </c>
      <c r="B952" s="47" t="n"/>
      <c r="C952" s="94" t="n"/>
      <c r="D952" s="38" t="n"/>
      <c r="E952" s="38" t="n"/>
      <c r="F952" s="38" t="n"/>
      <c r="G952" s="38" t="n"/>
      <c r="H952" s="38" t="n"/>
      <c r="I952" s="57" t="n"/>
      <c r="J952" s="95" t="n"/>
      <c r="K952" s="95" t="n"/>
      <c r="L952" s="48" t="n"/>
      <c r="M952" s="96" t="n"/>
      <c r="N952" s="48" t="n"/>
      <c r="O952" s="38" t="n"/>
      <c r="P952" s="38" t="n"/>
      <c r="Q952" s="97">
        <f>IF(OR(F952="",E952=""),"",IFERROR(IF(INDEX('PROPERTIES'!$F$5:$F$404,MATCH(E952,'PROPERTIES'!$B$5:$B$404,0))=0,"",ROUND((INDEX('PROPERTIES'!$F$5:$F$404,MATCH(E952,'PROPERTIES'!$B$5:$B$404,0))/INDEX('PRICING'!$C$7:$C$16,MATCH(F952,'PRICING'!$A$7:$A$16,0))+INDEX('PROPERTIES'!$G$5:$G$404,MATCH(E952,'PROPERTIES'!$B$5:$B$404,0))*INDEX('PRICING'!$D$7:$D$16,MATCH(F952,'PRICING'!$A$7:$A$16,0))/60+INDEX('PROPERTIES'!$H$5:$H$404,MATCH(E952,'PROPERTIES'!$B$5:$B$404,0))*INDEX('PRICING'!$E$7:$E$16,MATCH(F952,'PRICING'!$A$7:$A$16,0))/60+INDEX('PRICING'!$F$7:$F$16,MATCH(F952,'PRICING'!$A$7:$A$16,0))/60),2)),""))</f>
        <v/>
      </c>
      <c r="R952" s="97">
        <f>IF(B952="","",IF(N(K952)&gt;0,K952,IF(N(J952)&gt;0,J952,N(Q952))))</f>
        <v/>
      </c>
      <c r="S952" s="55">
        <f>IF(L952="","",ROUND(L952*(1+N(M952)),2))</f>
        <v/>
      </c>
      <c r="T952" s="55">
        <f>IF(B952="","",SUMIFS('REVENUE'!$C$5:$C$1504,'REVENUE'!$B$5:$B$1504,A952))</f>
        <v/>
      </c>
      <c r="U952" s="55">
        <f>IF(B952="","",IF(O952="Completed",MAX(0,N(S952)-T952),""))</f>
        <v/>
      </c>
      <c r="V952" s="49">
        <f>IF(B952="","",IF(O952&lt;&gt;"Completed",IF(T952&gt;0,"Deposit","—"),IF(U952&lt;=0.005,"Paid",IF(T952&gt;0,"Partial","Unpaid"))))</f>
        <v/>
      </c>
      <c r="W952" s="55">
        <f>IF(B952="","",IFERROR(1/(1/INDEX('STAFF &amp; TASKS'!$C$5:$C$24,MATCH(H952,'STAFF &amp; TASKS'!$A$5:$A$24,0))),PayRate))</f>
        <v/>
      </c>
      <c r="X952" s="55">
        <f>IF(B952="","",IF(OR(O952="Cancelled",O952="No-Show"),"",ROUND(R952*W952*(1+Burden),2)))</f>
        <v/>
      </c>
      <c r="Y952" s="55">
        <f>IF(B952="","",IF(OR(O952="Cancelled",O952="No-Show"),"",IF(N952&lt;&gt;"",N952,ROUND(R952*SupHr*IFERROR(INDEX('PRICING'!$G$7:$G$16,MATCH(F952,'PRICING'!$A$7:$A$16,0)),1),2))))</f>
        <v/>
      </c>
      <c r="Z952" s="98">
        <f>IF(B952="","",SUMIFS('MILEAGE'!$J$5:$J$1504,'MILEAGE'!$B$5:$B$1504,A952))</f>
        <v/>
      </c>
      <c r="AA952" s="55">
        <f>IF(B952="","",ROUND(Z952*MileRate,2))</f>
        <v/>
      </c>
      <c r="AB952" s="55">
        <f>IF(B952="","",SUMIFS('REVENUE'!$J$5:$J$1504,'REVENUE'!$B$5:$B$1504,A952))</f>
        <v/>
      </c>
      <c r="AC952" s="55">
        <f>IF(L952="","",IF(OR(O952="Cancelled",O952="No-Show"),"",L952-N(X952)-N(Y952)-AA952-AB952))</f>
        <v/>
      </c>
      <c r="AD952" s="99">
        <f>IF(OR(AC952="",N(L952)=0),"",AC952/L952)</f>
        <v/>
      </c>
      <c r="AE952" s="55">
        <f>IF(OR(AC952="",N(R952)=0),"",L952/R952)</f>
        <v/>
      </c>
      <c r="AF952" s="100">
        <f>IF(OR(N(K952)=0,N(J952)+N(Q952)=0),"",K952-IF(N(J952)&gt;0,J952,Q952))</f>
        <v/>
      </c>
      <c r="AG952" s="99">
        <f>IF(B952="","",IFERROR(AVERAGEIFS('QUALITY CONTROL'!$M$5:$M$304,'QUALITY CONTROL'!$B$5:$B$304,A952),""))</f>
        <v/>
      </c>
      <c r="AH952" s="51">
        <f>IF(B952="","",DATE(YEAR(B952),MONTH(B952),1))</f>
        <v/>
      </c>
      <c r="AI952" s="49">
        <f>IF(D952="","",IFERROR(INDEX('CUSTOMERS'!$E$5:$E$404,MATCH(D952,'CUSTOMERS'!$B$5:$B$404,0)),""))</f>
        <v/>
      </c>
      <c r="AJ952" s="49">
        <f>IF(B952="","",N(C952))</f>
        <v/>
      </c>
      <c r="AK952" s="49">
        <f>IF(OR(B952="",O952="Cancelled",O952="Rescheduled"),"",B952&amp;"|"&amp;(COUNTIFS('JOBS'!$B$5:$B$1504,B952,'JOBS'!$AJ$5:$AJ$1504,"&lt;"&amp;AJ952,'JOBS'!$O$5:$O$1504,"&lt;&gt;Cancelled",'JOBS'!$O$5:$O$1504,"&lt;&gt;Rescheduled")+COUNTIFS($B$5:B952,B952,$AJ$5:AJ952,AJ952,$O$5:O952,"&lt;&gt;Cancelled",$O$5:O952,"&lt;&gt;Rescheduled")))</f>
        <v/>
      </c>
      <c r="AL952" s="49">
        <f>IF(N(U952)&lt;=0.005,"",COUNTIFS('JOBS'!$U$5:$U$1504,"&gt;0.005",'JOBS'!$B$5:$B$1504,"&lt;"&amp;B952)+COUNTIFS($U$5:U952,"&gt;0.005",$B$5:B952,B952))</f>
        <v/>
      </c>
    </row>
    <row r="953">
      <c r="A953" s="46" t="inlineStr">
        <is>
          <t>J-0949</t>
        </is>
      </c>
      <c r="B953" s="47" t="n"/>
      <c r="C953" s="94" t="n"/>
      <c r="D953" s="38" t="n"/>
      <c r="E953" s="38" t="n"/>
      <c r="F953" s="38" t="n"/>
      <c r="G953" s="38" t="n"/>
      <c r="H953" s="38" t="n"/>
      <c r="I953" s="57" t="n"/>
      <c r="J953" s="95" t="n"/>
      <c r="K953" s="95" t="n"/>
      <c r="L953" s="48" t="n"/>
      <c r="M953" s="96" t="n"/>
      <c r="N953" s="48" t="n"/>
      <c r="O953" s="38" t="n"/>
      <c r="P953" s="38" t="n"/>
      <c r="Q953" s="97">
        <f>IF(OR(F953="",E953=""),"",IFERROR(IF(INDEX('PROPERTIES'!$F$5:$F$404,MATCH(E953,'PROPERTIES'!$B$5:$B$404,0))=0,"",ROUND((INDEX('PROPERTIES'!$F$5:$F$404,MATCH(E953,'PROPERTIES'!$B$5:$B$404,0))/INDEX('PRICING'!$C$7:$C$16,MATCH(F953,'PRICING'!$A$7:$A$16,0))+INDEX('PROPERTIES'!$G$5:$G$404,MATCH(E953,'PROPERTIES'!$B$5:$B$404,0))*INDEX('PRICING'!$D$7:$D$16,MATCH(F953,'PRICING'!$A$7:$A$16,0))/60+INDEX('PROPERTIES'!$H$5:$H$404,MATCH(E953,'PROPERTIES'!$B$5:$B$404,0))*INDEX('PRICING'!$E$7:$E$16,MATCH(F953,'PRICING'!$A$7:$A$16,0))/60+INDEX('PRICING'!$F$7:$F$16,MATCH(F953,'PRICING'!$A$7:$A$16,0))/60),2)),""))</f>
        <v/>
      </c>
      <c r="R953" s="97">
        <f>IF(B953="","",IF(N(K953)&gt;0,K953,IF(N(J953)&gt;0,J953,N(Q953))))</f>
        <v/>
      </c>
      <c r="S953" s="55">
        <f>IF(L953="","",ROUND(L953*(1+N(M953)),2))</f>
        <v/>
      </c>
      <c r="T953" s="55">
        <f>IF(B953="","",SUMIFS('REVENUE'!$C$5:$C$1504,'REVENUE'!$B$5:$B$1504,A953))</f>
        <v/>
      </c>
      <c r="U953" s="55">
        <f>IF(B953="","",IF(O953="Completed",MAX(0,N(S953)-T953),""))</f>
        <v/>
      </c>
      <c r="V953" s="49">
        <f>IF(B953="","",IF(O953&lt;&gt;"Completed",IF(T953&gt;0,"Deposit","—"),IF(U953&lt;=0.005,"Paid",IF(T953&gt;0,"Partial","Unpaid"))))</f>
        <v/>
      </c>
      <c r="W953" s="55">
        <f>IF(B953="","",IFERROR(1/(1/INDEX('STAFF &amp; TASKS'!$C$5:$C$24,MATCH(H953,'STAFF &amp; TASKS'!$A$5:$A$24,0))),PayRate))</f>
        <v/>
      </c>
      <c r="X953" s="55">
        <f>IF(B953="","",IF(OR(O953="Cancelled",O953="No-Show"),"",ROUND(R953*W953*(1+Burden),2)))</f>
        <v/>
      </c>
      <c r="Y953" s="55">
        <f>IF(B953="","",IF(OR(O953="Cancelled",O953="No-Show"),"",IF(N953&lt;&gt;"",N953,ROUND(R953*SupHr*IFERROR(INDEX('PRICING'!$G$7:$G$16,MATCH(F953,'PRICING'!$A$7:$A$16,0)),1),2))))</f>
        <v/>
      </c>
      <c r="Z953" s="98">
        <f>IF(B953="","",SUMIFS('MILEAGE'!$J$5:$J$1504,'MILEAGE'!$B$5:$B$1504,A953))</f>
        <v/>
      </c>
      <c r="AA953" s="55">
        <f>IF(B953="","",ROUND(Z953*MileRate,2))</f>
        <v/>
      </c>
      <c r="AB953" s="55">
        <f>IF(B953="","",SUMIFS('REVENUE'!$J$5:$J$1504,'REVENUE'!$B$5:$B$1504,A953))</f>
        <v/>
      </c>
      <c r="AC953" s="55">
        <f>IF(L953="","",IF(OR(O953="Cancelled",O953="No-Show"),"",L953-N(X953)-N(Y953)-AA953-AB953))</f>
        <v/>
      </c>
      <c r="AD953" s="99">
        <f>IF(OR(AC953="",N(L953)=0),"",AC953/L953)</f>
        <v/>
      </c>
      <c r="AE953" s="55">
        <f>IF(OR(AC953="",N(R953)=0),"",L953/R953)</f>
        <v/>
      </c>
      <c r="AF953" s="100">
        <f>IF(OR(N(K953)=0,N(J953)+N(Q953)=0),"",K953-IF(N(J953)&gt;0,J953,Q953))</f>
        <v/>
      </c>
      <c r="AG953" s="99">
        <f>IF(B953="","",IFERROR(AVERAGEIFS('QUALITY CONTROL'!$M$5:$M$304,'QUALITY CONTROL'!$B$5:$B$304,A953),""))</f>
        <v/>
      </c>
      <c r="AH953" s="51">
        <f>IF(B953="","",DATE(YEAR(B953),MONTH(B953),1))</f>
        <v/>
      </c>
      <c r="AI953" s="49">
        <f>IF(D953="","",IFERROR(INDEX('CUSTOMERS'!$E$5:$E$404,MATCH(D953,'CUSTOMERS'!$B$5:$B$404,0)),""))</f>
        <v/>
      </c>
      <c r="AJ953" s="49">
        <f>IF(B953="","",N(C953))</f>
        <v/>
      </c>
      <c r="AK953" s="49">
        <f>IF(OR(B953="",O953="Cancelled",O953="Rescheduled"),"",B953&amp;"|"&amp;(COUNTIFS('JOBS'!$B$5:$B$1504,B953,'JOBS'!$AJ$5:$AJ$1504,"&lt;"&amp;AJ953,'JOBS'!$O$5:$O$1504,"&lt;&gt;Cancelled",'JOBS'!$O$5:$O$1504,"&lt;&gt;Rescheduled")+COUNTIFS($B$5:B953,B953,$AJ$5:AJ953,AJ953,$O$5:O953,"&lt;&gt;Cancelled",$O$5:O953,"&lt;&gt;Rescheduled")))</f>
        <v/>
      </c>
      <c r="AL953" s="49">
        <f>IF(N(U953)&lt;=0.005,"",COUNTIFS('JOBS'!$U$5:$U$1504,"&gt;0.005",'JOBS'!$B$5:$B$1504,"&lt;"&amp;B953)+COUNTIFS($U$5:U953,"&gt;0.005",$B$5:B953,B953))</f>
        <v/>
      </c>
    </row>
    <row r="954">
      <c r="A954" s="46" t="inlineStr">
        <is>
          <t>J-0950</t>
        </is>
      </c>
      <c r="B954" s="47" t="n"/>
      <c r="C954" s="94" t="n"/>
      <c r="D954" s="38" t="n"/>
      <c r="E954" s="38" t="n"/>
      <c r="F954" s="38" t="n"/>
      <c r="G954" s="38" t="n"/>
      <c r="H954" s="38" t="n"/>
      <c r="I954" s="57" t="n"/>
      <c r="J954" s="95" t="n"/>
      <c r="K954" s="95" t="n"/>
      <c r="L954" s="48" t="n"/>
      <c r="M954" s="96" t="n"/>
      <c r="N954" s="48" t="n"/>
      <c r="O954" s="38" t="n"/>
      <c r="P954" s="38" t="n"/>
      <c r="Q954" s="97">
        <f>IF(OR(F954="",E954=""),"",IFERROR(IF(INDEX('PROPERTIES'!$F$5:$F$404,MATCH(E954,'PROPERTIES'!$B$5:$B$404,0))=0,"",ROUND((INDEX('PROPERTIES'!$F$5:$F$404,MATCH(E954,'PROPERTIES'!$B$5:$B$404,0))/INDEX('PRICING'!$C$7:$C$16,MATCH(F954,'PRICING'!$A$7:$A$16,0))+INDEX('PROPERTIES'!$G$5:$G$404,MATCH(E954,'PROPERTIES'!$B$5:$B$404,0))*INDEX('PRICING'!$D$7:$D$16,MATCH(F954,'PRICING'!$A$7:$A$16,0))/60+INDEX('PROPERTIES'!$H$5:$H$404,MATCH(E954,'PROPERTIES'!$B$5:$B$404,0))*INDEX('PRICING'!$E$7:$E$16,MATCH(F954,'PRICING'!$A$7:$A$16,0))/60+INDEX('PRICING'!$F$7:$F$16,MATCH(F954,'PRICING'!$A$7:$A$16,0))/60),2)),""))</f>
        <v/>
      </c>
      <c r="R954" s="97">
        <f>IF(B954="","",IF(N(K954)&gt;0,K954,IF(N(J954)&gt;0,J954,N(Q954))))</f>
        <v/>
      </c>
      <c r="S954" s="55">
        <f>IF(L954="","",ROUND(L954*(1+N(M954)),2))</f>
        <v/>
      </c>
      <c r="T954" s="55">
        <f>IF(B954="","",SUMIFS('REVENUE'!$C$5:$C$1504,'REVENUE'!$B$5:$B$1504,A954))</f>
        <v/>
      </c>
      <c r="U954" s="55">
        <f>IF(B954="","",IF(O954="Completed",MAX(0,N(S954)-T954),""))</f>
        <v/>
      </c>
      <c r="V954" s="49">
        <f>IF(B954="","",IF(O954&lt;&gt;"Completed",IF(T954&gt;0,"Deposit","—"),IF(U954&lt;=0.005,"Paid",IF(T954&gt;0,"Partial","Unpaid"))))</f>
        <v/>
      </c>
      <c r="W954" s="55">
        <f>IF(B954="","",IFERROR(1/(1/INDEX('STAFF &amp; TASKS'!$C$5:$C$24,MATCH(H954,'STAFF &amp; TASKS'!$A$5:$A$24,0))),PayRate))</f>
        <v/>
      </c>
      <c r="X954" s="55">
        <f>IF(B954="","",IF(OR(O954="Cancelled",O954="No-Show"),"",ROUND(R954*W954*(1+Burden),2)))</f>
        <v/>
      </c>
      <c r="Y954" s="55">
        <f>IF(B954="","",IF(OR(O954="Cancelled",O954="No-Show"),"",IF(N954&lt;&gt;"",N954,ROUND(R954*SupHr*IFERROR(INDEX('PRICING'!$G$7:$G$16,MATCH(F954,'PRICING'!$A$7:$A$16,0)),1),2))))</f>
        <v/>
      </c>
      <c r="Z954" s="98">
        <f>IF(B954="","",SUMIFS('MILEAGE'!$J$5:$J$1504,'MILEAGE'!$B$5:$B$1504,A954))</f>
        <v/>
      </c>
      <c r="AA954" s="55">
        <f>IF(B954="","",ROUND(Z954*MileRate,2))</f>
        <v/>
      </c>
      <c r="AB954" s="55">
        <f>IF(B954="","",SUMIFS('REVENUE'!$J$5:$J$1504,'REVENUE'!$B$5:$B$1504,A954))</f>
        <v/>
      </c>
      <c r="AC954" s="55">
        <f>IF(L954="","",IF(OR(O954="Cancelled",O954="No-Show"),"",L954-N(X954)-N(Y954)-AA954-AB954))</f>
        <v/>
      </c>
      <c r="AD954" s="99">
        <f>IF(OR(AC954="",N(L954)=0),"",AC954/L954)</f>
        <v/>
      </c>
      <c r="AE954" s="55">
        <f>IF(OR(AC954="",N(R954)=0),"",L954/R954)</f>
        <v/>
      </c>
      <c r="AF954" s="100">
        <f>IF(OR(N(K954)=0,N(J954)+N(Q954)=0),"",K954-IF(N(J954)&gt;0,J954,Q954))</f>
        <v/>
      </c>
      <c r="AG954" s="99">
        <f>IF(B954="","",IFERROR(AVERAGEIFS('QUALITY CONTROL'!$M$5:$M$304,'QUALITY CONTROL'!$B$5:$B$304,A954),""))</f>
        <v/>
      </c>
      <c r="AH954" s="51">
        <f>IF(B954="","",DATE(YEAR(B954),MONTH(B954),1))</f>
        <v/>
      </c>
      <c r="AI954" s="49">
        <f>IF(D954="","",IFERROR(INDEX('CUSTOMERS'!$E$5:$E$404,MATCH(D954,'CUSTOMERS'!$B$5:$B$404,0)),""))</f>
        <v/>
      </c>
      <c r="AJ954" s="49">
        <f>IF(B954="","",N(C954))</f>
        <v/>
      </c>
      <c r="AK954" s="49">
        <f>IF(OR(B954="",O954="Cancelled",O954="Rescheduled"),"",B954&amp;"|"&amp;(COUNTIFS('JOBS'!$B$5:$B$1504,B954,'JOBS'!$AJ$5:$AJ$1504,"&lt;"&amp;AJ954,'JOBS'!$O$5:$O$1504,"&lt;&gt;Cancelled",'JOBS'!$O$5:$O$1504,"&lt;&gt;Rescheduled")+COUNTIFS($B$5:B954,B954,$AJ$5:AJ954,AJ954,$O$5:O954,"&lt;&gt;Cancelled",$O$5:O954,"&lt;&gt;Rescheduled")))</f>
        <v/>
      </c>
      <c r="AL954" s="49">
        <f>IF(N(U954)&lt;=0.005,"",COUNTIFS('JOBS'!$U$5:$U$1504,"&gt;0.005",'JOBS'!$B$5:$B$1504,"&lt;"&amp;B954)+COUNTIFS($U$5:U954,"&gt;0.005",$B$5:B954,B954))</f>
        <v/>
      </c>
    </row>
    <row r="955">
      <c r="A955" s="46" t="inlineStr">
        <is>
          <t>J-0951</t>
        </is>
      </c>
      <c r="B955" s="47" t="n"/>
      <c r="C955" s="94" t="n"/>
      <c r="D955" s="38" t="n"/>
      <c r="E955" s="38" t="n"/>
      <c r="F955" s="38" t="n"/>
      <c r="G955" s="38" t="n"/>
      <c r="H955" s="38" t="n"/>
      <c r="I955" s="57" t="n"/>
      <c r="J955" s="95" t="n"/>
      <c r="K955" s="95" t="n"/>
      <c r="L955" s="48" t="n"/>
      <c r="M955" s="96" t="n"/>
      <c r="N955" s="48" t="n"/>
      <c r="O955" s="38" t="n"/>
      <c r="P955" s="38" t="n"/>
      <c r="Q955" s="97">
        <f>IF(OR(F955="",E955=""),"",IFERROR(IF(INDEX('PROPERTIES'!$F$5:$F$404,MATCH(E955,'PROPERTIES'!$B$5:$B$404,0))=0,"",ROUND((INDEX('PROPERTIES'!$F$5:$F$404,MATCH(E955,'PROPERTIES'!$B$5:$B$404,0))/INDEX('PRICING'!$C$7:$C$16,MATCH(F955,'PRICING'!$A$7:$A$16,0))+INDEX('PROPERTIES'!$G$5:$G$404,MATCH(E955,'PROPERTIES'!$B$5:$B$404,0))*INDEX('PRICING'!$D$7:$D$16,MATCH(F955,'PRICING'!$A$7:$A$16,0))/60+INDEX('PROPERTIES'!$H$5:$H$404,MATCH(E955,'PROPERTIES'!$B$5:$B$404,0))*INDEX('PRICING'!$E$7:$E$16,MATCH(F955,'PRICING'!$A$7:$A$16,0))/60+INDEX('PRICING'!$F$7:$F$16,MATCH(F955,'PRICING'!$A$7:$A$16,0))/60),2)),""))</f>
        <v/>
      </c>
      <c r="R955" s="97">
        <f>IF(B955="","",IF(N(K955)&gt;0,K955,IF(N(J955)&gt;0,J955,N(Q955))))</f>
        <v/>
      </c>
      <c r="S955" s="55">
        <f>IF(L955="","",ROUND(L955*(1+N(M955)),2))</f>
        <v/>
      </c>
      <c r="T955" s="55">
        <f>IF(B955="","",SUMIFS('REVENUE'!$C$5:$C$1504,'REVENUE'!$B$5:$B$1504,A955))</f>
        <v/>
      </c>
      <c r="U955" s="55">
        <f>IF(B955="","",IF(O955="Completed",MAX(0,N(S955)-T955),""))</f>
        <v/>
      </c>
      <c r="V955" s="49">
        <f>IF(B955="","",IF(O955&lt;&gt;"Completed",IF(T955&gt;0,"Deposit","—"),IF(U955&lt;=0.005,"Paid",IF(T955&gt;0,"Partial","Unpaid"))))</f>
        <v/>
      </c>
      <c r="W955" s="55">
        <f>IF(B955="","",IFERROR(1/(1/INDEX('STAFF &amp; TASKS'!$C$5:$C$24,MATCH(H955,'STAFF &amp; TASKS'!$A$5:$A$24,0))),PayRate))</f>
        <v/>
      </c>
      <c r="X955" s="55">
        <f>IF(B955="","",IF(OR(O955="Cancelled",O955="No-Show"),"",ROUND(R955*W955*(1+Burden),2)))</f>
        <v/>
      </c>
      <c r="Y955" s="55">
        <f>IF(B955="","",IF(OR(O955="Cancelled",O955="No-Show"),"",IF(N955&lt;&gt;"",N955,ROUND(R955*SupHr*IFERROR(INDEX('PRICING'!$G$7:$G$16,MATCH(F955,'PRICING'!$A$7:$A$16,0)),1),2))))</f>
        <v/>
      </c>
      <c r="Z955" s="98">
        <f>IF(B955="","",SUMIFS('MILEAGE'!$J$5:$J$1504,'MILEAGE'!$B$5:$B$1504,A955))</f>
        <v/>
      </c>
      <c r="AA955" s="55">
        <f>IF(B955="","",ROUND(Z955*MileRate,2))</f>
        <v/>
      </c>
      <c r="AB955" s="55">
        <f>IF(B955="","",SUMIFS('REVENUE'!$J$5:$J$1504,'REVENUE'!$B$5:$B$1504,A955))</f>
        <v/>
      </c>
      <c r="AC955" s="55">
        <f>IF(L955="","",IF(OR(O955="Cancelled",O955="No-Show"),"",L955-N(X955)-N(Y955)-AA955-AB955))</f>
        <v/>
      </c>
      <c r="AD955" s="99">
        <f>IF(OR(AC955="",N(L955)=0),"",AC955/L955)</f>
        <v/>
      </c>
      <c r="AE955" s="55">
        <f>IF(OR(AC955="",N(R955)=0),"",L955/R955)</f>
        <v/>
      </c>
      <c r="AF955" s="100">
        <f>IF(OR(N(K955)=0,N(J955)+N(Q955)=0),"",K955-IF(N(J955)&gt;0,J955,Q955))</f>
        <v/>
      </c>
      <c r="AG955" s="99">
        <f>IF(B955="","",IFERROR(AVERAGEIFS('QUALITY CONTROL'!$M$5:$M$304,'QUALITY CONTROL'!$B$5:$B$304,A955),""))</f>
        <v/>
      </c>
      <c r="AH955" s="51">
        <f>IF(B955="","",DATE(YEAR(B955),MONTH(B955),1))</f>
        <v/>
      </c>
      <c r="AI955" s="49">
        <f>IF(D955="","",IFERROR(INDEX('CUSTOMERS'!$E$5:$E$404,MATCH(D955,'CUSTOMERS'!$B$5:$B$404,0)),""))</f>
        <v/>
      </c>
      <c r="AJ955" s="49">
        <f>IF(B955="","",N(C955))</f>
        <v/>
      </c>
      <c r="AK955" s="49">
        <f>IF(OR(B955="",O955="Cancelled",O955="Rescheduled"),"",B955&amp;"|"&amp;(COUNTIFS('JOBS'!$B$5:$B$1504,B955,'JOBS'!$AJ$5:$AJ$1504,"&lt;"&amp;AJ955,'JOBS'!$O$5:$O$1504,"&lt;&gt;Cancelled",'JOBS'!$O$5:$O$1504,"&lt;&gt;Rescheduled")+COUNTIFS($B$5:B955,B955,$AJ$5:AJ955,AJ955,$O$5:O955,"&lt;&gt;Cancelled",$O$5:O955,"&lt;&gt;Rescheduled")))</f>
        <v/>
      </c>
      <c r="AL955" s="49">
        <f>IF(N(U955)&lt;=0.005,"",COUNTIFS('JOBS'!$U$5:$U$1504,"&gt;0.005",'JOBS'!$B$5:$B$1504,"&lt;"&amp;B955)+COUNTIFS($U$5:U955,"&gt;0.005",$B$5:B955,B955))</f>
        <v/>
      </c>
    </row>
    <row r="956">
      <c r="A956" s="46" t="inlineStr">
        <is>
          <t>J-0952</t>
        </is>
      </c>
      <c r="B956" s="47" t="n"/>
      <c r="C956" s="94" t="n"/>
      <c r="D956" s="38" t="n"/>
      <c r="E956" s="38" t="n"/>
      <c r="F956" s="38" t="n"/>
      <c r="G956" s="38" t="n"/>
      <c r="H956" s="38" t="n"/>
      <c r="I956" s="57" t="n"/>
      <c r="J956" s="95" t="n"/>
      <c r="K956" s="95" t="n"/>
      <c r="L956" s="48" t="n"/>
      <c r="M956" s="96" t="n"/>
      <c r="N956" s="48" t="n"/>
      <c r="O956" s="38" t="n"/>
      <c r="P956" s="38" t="n"/>
      <c r="Q956" s="97">
        <f>IF(OR(F956="",E956=""),"",IFERROR(IF(INDEX('PROPERTIES'!$F$5:$F$404,MATCH(E956,'PROPERTIES'!$B$5:$B$404,0))=0,"",ROUND((INDEX('PROPERTIES'!$F$5:$F$404,MATCH(E956,'PROPERTIES'!$B$5:$B$404,0))/INDEX('PRICING'!$C$7:$C$16,MATCH(F956,'PRICING'!$A$7:$A$16,0))+INDEX('PROPERTIES'!$G$5:$G$404,MATCH(E956,'PROPERTIES'!$B$5:$B$404,0))*INDEX('PRICING'!$D$7:$D$16,MATCH(F956,'PRICING'!$A$7:$A$16,0))/60+INDEX('PROPERTIES'!$H$5:$H$404,MATCH(E956,'PROPERTIES'!$B$5:$B$404,0))*INDEX('PRICING'!$E$7:$E$16,MATCH(F956,'PRICING'!$A$7:$A$16,0))/60+INDEX('PRICING'!$F$7:$F$16,MATCH(F956,'PRICING'!$A$7:$A$16,0))/60),2)),""))</f>
        <v/>
      </c>
      <c r="R956" s="97">
        <f>IF(B956="","",IF(N(K956)&gt;0,K956,IF(N(J956)&gt;0,J956,N(Q956))))</f>
        <v/>
      </c>
      <c r="S956" s="55">
        <f>IF(L956="","",ROUND(L956*(1+N(M956)),2))</f>
        <v/>
      </c>
      <c r="T956" s="55">
        <f>IF(B956="","",SUMIFS('REVENUE'!$C$5:$C$1504,'REVENUE'!$B$5:$B$1504,A956))</f>
        <v/>
      </c>
      <c r="U956" s="55">
        <f>IF(B956="","",IF(O956="Completed",MAX(0,N(S956)-T956),""))</f>
        <v/>
      </c>
      <c r="V956" s="49">
        <f>IF(B956="","",IF(O956&lt;&gt;"Completed",IF(T956&gt;0,"Deposit","—"),IF(U956&lt;=0.005,"Paid",IF(T956&gt;0,"Partial","Unpaid"))))</f>
        <v/>
      </c>
      <c r="W956" s="55">
        <f>IF(B956="","",IFERROR(1/(1/INDEX('STAFF &amp; TASKS'!$C$5:$C$24,MATCH(H956,'STAFF &amp; TASKS'!$A$5:$A$24,0))),PayRate))</f>
        <v/>
      </c>
      <c r="X956" s="55">
        <f>IF(B956="","",IF(OR(O956="Cancelled",O956="No-Show"),"",ROUND(R956*W956*(1+Burden),2)))</f>
        <v/>
      </c>
      <c r="Y956" s="55">
        <f>IF(B956="","",IF(OR(O956="Cancelled",O956="No-Show"),"",IF(N956&lt;&gt;"",N956,ROUND(R956*SupHr*IFERROR(INDEX('PRICING'!$G$7:$G$16,MATCH(F956,'PRICING'!$A$7:$A$16,0)),1),2))))</f>
        <v/>
      </c>
      <c r="Z956" s="98">
        <f>IF(B956="","",SUMIFS('MILEAGE'!$J$5:$J$1504,'MILEAGE'!$B$5:$B$1504,A956))</f>
        <v/>
      </c>
      <c r="AA956" s="55">
        <f>IF(B956="","",ROUND(Z956*MileRate,2))</f>
        <v/>
      </c>
      <c r="AB956" s="55">
        <f>IF(B956="","",SUMIFS('REVENUE'!$J$5:$J$1504,'REVENUE'!$B$5:$B$1504,A956))</f>
        <v/>
      </c>
      <c r="AC956" s="55">
        <f>IF(L956="","",IF(OR(O956="Cancelled",O956="No-Show"),"",L956-N(X956)-N(Y956)-AA956-AB956))</f>
        <v/>
      </c>
      <c r="AD956" s="99">
        <f>IF(OR(AC956="",N(L956)=0),"",AC956/L956)</f>
        <v/>
      </c>
      <c r="AE956" s="55">
        <f>IF(OR(AC956="",N(R956)=0),"",L956/R956)</f>
        <v/>
      </c>
      <c r="AF956" s="100">
        <f>IF(OR(N(K956)=0,N(J956)+N(Q956)=0),"",K956-IF(N(J956)&gt;0,J956,Q956))</f>
        <v/>
      </c>
      <c r="AG956" s="99">
        <f>IF(B956="","",IFERROR(AVERAGEIFS('QUALITY CONTROL'!$M$5:$M$304,'QUALITY CONTROL'!$B$5:$B$304,A956),""))</f>
        <v/>
      </c>
      <c r="AH956" s="51">
        <f>IF(B956="","",DATE(YEAR(B956),MONTH(B956),1))</f>
        <v/>
      </c>
      <c r="AI956" s="49">
        <f>IF(D956="","",IFERROR(INDEX('CUSTOMERS'!$E$5:$E$404,MATCH(D956,'CUSTOMERS'!$B$5:$B$404,0)),""))</f>
        <v/>
      </c>
      <c r="AJ956" s="49">
        <f>IF(B956="","",N(C956))</f>
        <v/>
      </c>
      <c r="AK956" s="49">
        <f>IF(OR(B956="",O956="Cancelled",O956="Rescheduled"),"",B956&amp;"|"&amp;(COUNTIFS('JOBS'!$B$5:$B$1504,B956,'JOBS'!$AJ$5:$AJ$1504,"&lt;"&amp;AJ956,'JOBS'!$O$5:$O$1504,"&lt;&gt;Cancelled",'JOBS'!$O$5:$O$1504,"&lt;&gt;Rescheduled")+COUNTIFS($B$5:B956,B956,$AJ$5:AJ956,AJ956,$O$5:O956,"&lt;&gt;Cancelled",$O$5:O956,"&lt;&gt;Rescheduled")))</f>
        <v/>
      </c>
      <c r="AL956" s="49">
        <f>IF(N(U956)&lt;=0.005,"",COUNTIFS('JOBS'!$U$5:$U$1504,"&gt;0.005",'JOBS'!$B$5:$B$1504,"&lt;"&amp;B956)+COUNTIFS($U$5:U956,"&gt;0.005",$B$5:B956,B956))</f>
        <v/>
      </c>
    </row>
    <row r="957">
      <c r="A957" s="46" t="inlineStr">
        <is>
          <t>J-0953</t>
        </is>
      </c>
      <c r="B957" s="47" t="n"/>
      <c r="C957" s="94" t="n"/>
      <c r="D957" s="38" t="n"/>
      <c r="E957" s="38" t="n"/>
      <c r="F957" s="38" t="n"/>
      <c r="G957" s="38" t="n"/>
      <c r="H957" s="38" t="n"/>
      <c r="I957" s="57" t="n"/>
      <c r="J957" s="95" t="n"/>
      <c r="K957" s="95" t="n"/>
      <c r="L957" s="48" t="n"/>
      <c r="M957" s="96" t="n"/>
      <c r="N957" s="48" t="n"/>
      <c r="O957" s="38" t="n"/>
      <c r="P957" s="38" t="n"/>
      <c r="Q957" s="97">
        <f>IF(OR(F957="",E957=""),"",IFERROR(IF(INDEX('PROPERTIES'!$F$5:$F$404,MATCH(E957,'PROPERTIES'!$B$5:$B$404,0))=0,"",ROUND((INDEX('PROPERTIES'!$F$5:$F$404,MATCH(E957,'PROPERTIES'!$B$5:$B$404,0))/INDEX('PRICING'!$C$7:$C$16,MATCH(F957,'PRICING'!$A$7:$A$16,0))+INDEX('PROPERTIES'!$G$5:$G$404,MATCH(E957,'PROPERTIES'!$B$5:$B$404,0))*INDEX('PRICING'!$D$7:$D$16,MATCH(F957,'PRICING'!$A$7:$A$16,0))/60+INDEX('PROPERTIES'!$H$5:$H$404,MATCH(E957,'PROPERTIES'!$B$5:$B$404,0))*INDEX('PRICING'!$E$7:$E$16,MATCH(F957,'PRICING'!$A$7:$A$16,0))/60+INDEX('PRICING'!$F$7:$F$16,MATCH(F957,'PRICING'!$A$7:$A$16,0))/60),2)),""))</f>
        <v/>
      </c>
      <c r="R957" s="97">
        <f>IF(B957="","",IF(N(K957)&gt;0,K957,IF(N(J957)&gt;0,J957,N(Q957))))</f>
        <v/>
      </c>
      <c r="S957" s="55">
        <f>IF(L957="","",ROUND(L957*(1+N(M957)),2))</f>
        <v/>
      </c>
      <c r="T957" s="55">
        <f>IF(B957="","",SUMIFS('REVENUE'!$C$5:$C$1504,'REVENUE'!$B$5:$B$1504,A957))</f>
        <v/>
      </c>
      <c r="U957" s="55">
        <f>IF(B957="","",IF(O957="Completed",MAX(0,N(S957)-T957),""))</f>
        <v/>
      </c>
      <c r="V957" s="49">
        <f>IF(B957="","",IF(O957&lt;&gt;"Completed",IF(T957&gt;0,"Deposit","—"),IF(U957&lt;=0.005,"Paid",IF(T957&gt;0,"Partial","Unpaid"))))</f>
        <v/>
      </c>
      <c r="W957" s="55">
        <f>IF(B957="","",IFERROR(1/(1/INDEX('STAFF &amp; TASKS'!$C$5:$C$24,MATCH(H957,'STAFF &amp; TASKS'!$A$5:$A$24,0))),PayRate))</f>
        <v/>
      </c>
      <c r="X957" s="55">
        <f>IF(B957="","",IF(OR(O957="Cancelled",O957="No-Show"),"",ROUND(R957*W957*(1+Burden),2)))</f>
        <v/>
      </c>
      <c r="Y957" s="55">
        <f>IF(B957="","",IF(OR(O957="Cancelled",O957="No-Show"),"",IF(N957&lt;&gt;"",N957,ROUND(R957*SupHr*IFERROR(INDEX('PRICING'!$G$7:$G$16,MATCH(F957,'PRICING'!$A$7:$A$16,0)),1),2))))</f>
        <v/>
      </c>
      <c r="Z957" s="98">
        <f>IF(B957="","",SUMIFS('MILEAGE'!$J$5:$J$1504,'MILEAGE'!$B$5:$B$1504,A957))</f>
        <v/>
      </c>
      <c r="AA957" s="55">
        <f>IF(B957="","",ROUND(Z957*MileRate,2))</f>
        <v/>
      </c>
      <c r="AB957" s="55">
        <f>IF(B957="","",SUMIFS('REVENUE'!$J$5:$J$1504,'REVENUE'!$B$5:$B$1504,A957))</f>
        <v/>
      </c>
      <c r="AC957" s="55">
        <f>IF(L957="","",IF(OR(O957="Cancelled",O957="No-Show"),"",L957-N(X957)-N(Y957)-AA957-AB957))</f>
        <v/>
      </c>
      <c r="AD957" s="99">
        <f>IF(OR(AC957="",N(L957)=0),"",AC957/L957)</f>
        <v/>
      </c>
      <c r="AE957" s="55">
        <f>IF(OR(AC957="",N(R957)=0),"",L957/R957)</f>
        <v/>
      </c>
      <c r="AF957" s="100">
        <f>IF(OR(N(K957)=0,N(J957)+N(Q957)=0),"",K957-IF(N(J957)&gt;0,J957,Q957))</f>
        <v/>
      </c>
      <c r="AG957" s="99">
        <f>IF(B957="","",IFERROR(AVERAGEIFS('QUALITY CONTROL'!$M$5:$M$304,'QUALITY CONTROL'!$B$5:$B$304,A957),""))</f>
        <v/>
      </c>
      <c r="AH957" s="51">
        <f>IF(B957="","",DATE(YEAR(B957),MONTH(B957),1))</f>
        <v/>
      </c>
      <c r="AI957" s="49">
        <f>IF(D957="","",IFERROR(INDEX('CUSTOMERS'!$E$5:$E$404,MATCH(D957,'CUSTOMERS'!$B$5:$B$404,0)),""))</f>
        <v/>
      </c>
      <c r="AJ957" s="49">
        <f>IF(B957="","",N(C957))</f>
        <v/>
      </c>
      <c r="AK957" s="49">
        <f>IF(OR(B957="",O957="Cancelled",O957="Rescheduled"),"",B957&amp;"|"&amp;(COUNTIFS('JOBS'!$B$5:$B$1504,B957,'JOBS'!$AJ$5:$AJ$1504,"&lt;"&amp;AJ957,'JOBS'!$O$5:$O$1504,"&lt;&gt;Cancelled",'JOBS'!$O$5:$O$1504,"&lt;&gt;Rescheduled")+COUNTIFS($B$5:B957,B957,$AJ$5:AJ957,AJ957,$O$5:O957,"&lt;&gt;Cancelled",$O$5:O957,"&lt;&gt;Rescheduled")))</f>
        <v/>
      </c>
      <c r="AL957" s="49">
        <f>IF(N(U957)&lt;=0.005,"",COUNTIFS('JOBS'!$U$5:$U$1504,"&gt;0.005",'JOBS'!$B$5:$B$1504,"&lt;"&amp;B957)+COUNTIFS($U$5:U957,"&gt;0.005",$B$5:B957,B957))</f>
        <v/>
      </c>
    </row>
    <row r="958">
      <c r="A958" s="46" t="inlineStr">
        <is>
          <t>J-0954</t>
        </is>
      </c>
      <c r="B958" s="47" t="n"/>
      <c r="C958" s="94" t="n"/>
      <c r="D958" s="38" t="n"/>
      <c r="E958" s="38" t="n"/>
      <c r="F958" s="38" t="n"/>
      <c r="G958" s="38" t="n"/>
      <c r="H958" s="38" t="n"/>
      <c r="I958" s="57" t="n"/>
      <c r="J958" s="95" t="n"/>
      <c r="K958" s="95" t="n"/>
      <c r="L958" s="48" t="n"/>
      <c r="M958" s="96" t="n"/>
      <c r="N958" s="48" t="n"/>
      <c r="O958" s="38" t="n"/>
      <c r="P958" s="38" t="n"/>
      <c r="Q958" s="97">
        <f>IF(OR(F958="",E958=""),"",IFERROR(IF(INDEX('PROPERTIES'!$F$5:$F$404,MATCH(E958,'PROPERTIES'!$B$5:$B$404,0))=0,"",ROUND((INDEX('PROPERTIES'!$F$5:$F$404,MATCH(E958,'PROPERTIES'!$B$5:$B$404,0))/INDEX('PRICING'!$C$7:$C$16,MATCH(F958,'PRICING'!$A$7:$A$16,0))+INDEX('PROPERTIES'!$G$5:$G$404,MATCH(E958,'PROPERTIES'!$B$5:$B$404,0))*INDEX('PRICING'!$D$7:$D$16,MATCH(F958,'PRICING'!$A$7:$A$16,0))/60+INDEX('PROPERTIES'!$H$5:$H$404,MATCH(E958,'PROPERTIES'!$B$5:$B$404,0))*INDEX('PRICING'!$E$7:$E$16,MATCH(F958,'PRICING'!$A$7:$A$16,0))/60+INDEX('PRICING'!$F$7:$F$16,MATCH(F958,'PRICING'!$A$7:$A$16,0))/60),2)),""))</f>
        <v/>
      </c>
      <c r="R958" s="97">
        <f>IF(B958="","",IF(N(K958)&gt;0,K958,IF(N(J958)&gt;0,J958,N(Q958))))</f>
        <v/>
      </c>
      <c r="S958" s="55">
        <f>IF(L958="","",ROUND(L958*(1+N(M958)),2))</f>
        <v/>
      </c>
      <c r="T958" s="55">
        <f>IF(B958="","",SUMIFS('REVENUE'!$C$5:$C$1504,'REVENUE'!$B$5:$B$1504,A958))</f>
        <v/>
      </c>
      <c r="U958" s="55">
        <f>IF(B958="","",IF(O958="Completed",MAX(0,N(S958)-T958),""))</f>
        <v/>
      </c>
      <c r="V958" s="49">
        <f>IF(B958="","",IF(O958&lt;&gt;"Completed",IF(T958&gt;0,"Deposit","—"),IF(U958&lt;=0.005,"Paid",IF(T958&gt;0,"Partial","Unpaid"))))</f>
        <v/>
      </c>
      <c r="W958" s="55">
        <f>IF(B958="","",IFERROR(1/(1/INDEX('STAFF &amp; TASKS'!$C$5:$C$24,MATCH(H958,'STAFF &amp; TASKS'!$A$5:$A$24,0))),PayRate))</f>
        <v/>
      </c>
      <c r="X958" s="55">
        <f>IF(B958="","",IF(OR(O958="Cancelled",O958="No-Show"),"",ROUND(R958*W958*(1+Burden),2)))</f>
        <v/>
      </c>
      <c r="Y958" s="55">
        <f>IF(B958="","",IF(OR(O958="Cancelled",O958="No-Show"),"",IF(N958&lt;&gt;"",N958,ROUND(R958*SupHr*IFERROR(INDEX('PRICING'!$G$7:$G$16,MATCH(F958,'PRICING'!$A$7:$A$16,0)),1),2))))</f>
        <v/>
      </c>
      <c r="Z958" s="98">
        <f>IF(B958="","",SUMIFS('MILEAGE'!$J$5:$J$1504,'MILEAGE'!$B$5:$B$1504,A958))</f>
        <v/>
      </c>
      <c r="AA958" s="55">
        <f>IF(B958="","",ROUND(Z958*MileRate,2))</f>
        <v/>
      </c>
      <c r="AB958" s="55">
        <f>IF(B958="","",SUMIFS('REVENUE'!$J$5:$J$1504,'REVENUE'!$B$5:$B$1504,A958))</f>
        <v/>
      </c>
      <c r="AC958" s="55">
        <f>IF(L958="","",IF(OR(O958="Cancelled",O958="No-Show"),"",L958-N(X958)-N(Y958)-AA958-AB958))</f>
        <v/>
      </c>
      <c r="AD958" s="99">
        <f>IF(OR(AC958="",N(L958)=0),"",AC958/L958)</f>
        <v/>
      </c>
      <c r="AE958" s="55">
        <f>IF(OR(AC958="",N(R958)=0),"",L958/R958)</f>
        <v/>
      </c>
      <c r="AF958" s="100">
        <f>IF(OR(N(K958)=0,N(J958)+N(Q958)=0),"",K958-IF(N(J958)&gt;0,J958,Q958))</f>
        <v/>
      </c>
      <c r="AG958" s="99">
        <f>IF(B958="","",IFERROR(AVERAGEIFS('QUALITY CONTROL'!$M$5:$M$304,'QUALITY CONTROL'!$B$5:$B$304,A958),""))</f>
        <v/>
      </c>
      <c r="AH958" s="51">
        <f>IF(B958="","",DATE(YEAR(B958),MONTH(B958),1))</f>
        <v/>
      </c>
      <c r="AI958" s="49">
        <f>IF(D958="","",IFERROR(INDEX('CUSTOMERS'!$E$5:$E$404,MATCH(D958,'CUSTOMERS'!$B$5:$B$404,0)),""))</f>
        <v/>
      </c>
      <c r="AJ958" s="49">
        <f>IF(B958="","",N(C958))</f>
        <v/>
      </c>
      <c r="AK958" s="49">
        <f>IF(OR(B958="",O958="Cancelled",O958="Rescheduled"),"",B958&amp;"|"&amp;(COUNTIFS('JOBS'!$B$5:$B$1504,B958,'JOBS'!$AJ$5:$AJ$1504,"&lt;"&amp;AJ958,'JOBS'!$O$5:$O$1504,"&lt;&gt;Cancelled",'JOBS'!$O$5:$O$1504,"&lt;&gt;Rescheduled")+COUNTIFS($B$5:B958,B958,$AJ$5:AJ958,AJ958,$O$5:O958,"&lt;&gt;Cancelled",$O$5:O958,"&lt;&gt;Rescheduled")))</f>
        <v/>
      </c>
      <c r="AL958" s="49">
        <f>IF(N(U958)&lt;=0.005,"",COUNTIFS('JOBS'!$U$5:$U$1504,"&gt;0.005",'JOBS'!$B$5:$B$1504,"&lt;"&amp;B958)+COUNTIFS($U$5:U958,"&gt;0.005",$B$5:B958,B958))</f>
        <v/>
      </c>
    </row>
    <row r="959">
      <c r="A959" s="46" t="inlineStr">
        <is>
          <t>J-0955</t>
        </is>
      </c>
      <c r="B959" s="47" t="n"/>
      <c r="C959" s="94" t="n"/>
      <c r="D959" s="38" t="n"/>
      <c r="E959" s="38" t="n"/>
      <c r="F959" s="38" t="n"/>
      <c r="G959" s="38" t="n"/>
      <c r="H959" s="38" t="n"/>
      <c r="I959" s="57" t="n"/>
      <c r="J959" s="95" t="n"/>
      <c r="K959" s="95" t="n"/>
      <c r="L959" s="48" t="n"/>
      <c r="M959" s="96" t="n"/>
      <c r="N959" s="48" t="n"/>
      <c r="O959" s="38" t="n"/>
      <c r="P959" s="38" t="n"/>
      <c r="Q959" s="97">
        <f>IF(OR(F959="",E959=""),"",IFERROR(IF(INDEX('PROPERTIES'!$F$5:$F$404,MATCH(E959,'PROPERTIES'!$B$5:$B$404,0))=0,"",ROUND((INDEX('PROPERTIES'!$F$5:$F$404,MATCH(E959,'PROPERTIES'!$B$5:$B$404,0))/INDEX('PRICING'!$C$7:$C$16,MATCH(F959,'PRICING'!$A$7:$A$16,0))+INDEX('PROPERTIES'!$G$5:$G$404,MATCH(E959,'PROPERTIES'!$B$5:$B$404,0))*INDEX('PRICING'!$D$7:$D$16,MATCH(F959,'PRICING'!$A$7:$A$16,0))/60+INDEX('PROPERTIES'!$H$5:$H$404,MATCH(E959,'PROPERTIES'!$B$5:$B$404,0))*INDEX('PRICING'!$E$7:$E$16,MATCH(F959,'PRICING'!$A$7:$A$16,0))/60+INDEX('PRICING'!$F$7:$F$16,MATCH(F959,'PRICING'!$A$7:$A$16,0))/60),2)),""))</f>
        <v/>
      </c>
      <c r="R959" s="97">
        <f>IF(B959="","",IF(N(K959)&gt;0,K959,IF(N(J959)&gt;0,J959,N(Q959))))</f>
        <v/>
      </c>
      <c r="S959" s="55">
        <f>IF(L959="","",ROUND(L959*(1+N(M959)),2))</f>
        <v/>
      </c>
      <c r="T959" s="55">
        <f>IF(B959="","",SUMIFS('REVENUE'!$C$5:$C$1504,'REVENUE'!$B$5:$B$1504,A959))</f>
        <v/>
      </c>
      <c r="U959" s="55">
        <f>IF(B959="","",IF(O959="Completed",MAX(0,N(S959)-T959),""))</f>
        <v/>
      </c>
      <c r="V959" s="49">
        <f>IF(B959="","",IF(O959&lt;&gt;"Completed",IF(T959&gt;0,"Deposit","—"),IF(U959&lt;=0.005,"Paid",IF(T959&gt;0,"Partial","Unpaid"))))</f>
        <v/>
      </c>
      <c r="W959" s="55">
        <f>IF(B959="","",IFERROR(1/(1/INDEX('STAFF &amp; TASKS'!$C$5:$C$24,MATCH(H959,'STAFF &amp; TASKS'!$A$5:$A$24,0))),PayRate))</f>
        <v/>
      </c>
      <c r="X959" s="55">
        <f>IF(B959="","",IF(OR(O959="Cancelled",O959="No-Show"),"",ROUND(R959*W959*(1+Burden),2)))</f>
        <v/>
      </c>
      <c r="Y959" s="55">
        <f>IF(B959="","",IF(OR(O959="Cancelled",O959="No-Show"),"",IF(N959&lt;&gt;"",N959,ROUND(R959*SupHr*IFERROR(INDEX('PRICING'!$G$7:$G$16,MATCH(F959,'PRICING'!$A$7:$A$16,0)),1),2))))</f>
        <v/>
      </c>
      <c r="Z959" s="98">
        <f>IF(B959="","",SUMIFS('MILEAGE'!$J$5:$J$1504,'MILEAGE'!$B$5:$B$1504,A959))</f>
        <v/>
      </c>
      <c r="AA959" s="55">
        <f>IF(B959="","",ROUND(Z959*MileRate,2))</f>
        <v/>
      </c>
      <c r="AB959" s="55">
        <f>IF(B959="","",SUMIFS('REVENUE'!$J$5:$J$1504,'REVENUE'!$B$5:$B$1504,A959))</f>
        <v/>
      </c>
      <c r="AC959" s="55">
        <f>IF(L959="","",IF(OR(O959="Cancelled",O959="No-Show"),"",L959-N(X959)-N(Y959)-AA959-AB959))</f>
        <v/>
      </c>
      <c r="AD959" s="99">
        <f>IF(OR(AC959="",N(L959)=0),"",AC959/L959)</f>
        <v/>
      </c>
      <c r="AE959" s="55">
        <f>IF(OR(AC959="",N(R959)=0),"",L959/R959)</f>
        <v/>
      </c>
      <c r="AF959" s="100">
        <f>IF(OR(N(K959)=0,N(J959)+N(Q959)=0),"",K959-IF(N(J959)&gt;0,J959,Q959))</f>
        <v/>
      </c>
      <c r="AG959" s="99">
        <f>IF(B959="","",IFERROR(AVERAGEIFS('QUALITY CONTROL'!$M$5:$M$304,'QUALITY CONTROL'!$B$5:$B$304,A959),""))</f>
        <v/>
      </c>
      <c r="AH959" s="51">
        <f>IF(B959="","",DATE(YEAR(B959),MONTH(B959),1))</f>
        <v/>
      </c>
      <c r="AI959" s="49">
        <f>IF(D959="","",IFERROR(INDEX('CUSTOMERS'!$E$5:$E$404,MATCH(D959,'CUSTOMERS'!$B$5:$B$404,0)),""))</f>
        <v/>
      </c>
      <c r="AJ959" s="49">
        <f>IF(B959="","",N(C959))</f>
        <v/>
      </c>
      <c r="AK959" s="49">
        <f>IF(OR(B959="",O959="Cancelled",O959="Rescheduled"),"",B959&amp;"|"&amp;(COUNTIFS('JOBS'!$B$5:$B$1504,B959,'JOBS'!$AJ$5:$AJ$1504,"&lt;"&amp;AJ959,'JOBS'!$O$5:$O$1504,"&lt;&gt;Cancelled",'JOBS'!$O$5:$O$1504,"&lt;&gt;Rescheduled")+COUNTIFS($B$5:B959,B959,$AJ$5:AJ959,AJ959,$O$5:O959,"&lt;&gt;Cancelled",$O$5:O959,"&lt;&gt;Rescheduled")))</f>
        <v/>
      </c>
      <c r="AL959" s="49">
        <f>IF(N(U959)&lt;=0.005,"",COUNTIFS('JOBS'!$U$5:$U$1504,"&gt;0.005",'JOBS'!$B$5:$B$1504,"&lt;"&amp;B959)+COUNTIFS($U$5:U959,"&gt;0.005",$B$5:B959,B959))</f>
        <v/>
      </c>
    </row>
    <row r="960">
      <c r="A960" s="46" t="inlineStr">
        <is>
          <t>J-0956</t>
        </is>
      </c>
      <c r="B960" s="47" t="n"/>
      <c r="C960" s="94" t="n"/>
      <c r="D960" s="38" t="n"/>
      <c r="E960" s="38" t="n"/>
      <c r="F960" s="38" t="n"/>
      <c r="G960" s="38" t="n"/>
      <c r="H960" s="38" t="n"/>
      <c r="I960" s="57" t="n"/>
      <c r="J960" s="95" t="n"/>
      <c r="K960" s="95" t="n"/>
      <c r="L960" s="48" t="n"/>
      <c r="M960" s="96" t="n"/>
      <c r="N960" s="48" t="n"/>
      <c r="O960" s="38" t="n"/>
      <c r="P960" s="38" t="n"/>
      <c r="Q960" s="97">
        <f>IF(OR(F960="",E960=""),"",IFERROR(IF(INDEX('PROPERTIES'!$F$5:$F$404,MATCH(E960,'PROPERTIES'!$B$5:$B$404,0))=0,"",ROUND((INDEX('PROPERTIES'!$F$5:$F$404,MATCH(E960,'PROPERTIES'!$B$5:$B$404,0))/INDEX('PRICING'!$C$7:$C$16,MATCH(F960,'PRICING'!$A$7:$A$16,0))+INDEX('PROPERTIES'!$G$5:$G$404,MATCH(E960,'PROPERTIES'!$B$5:$B$404,0))*INDEX('PRICING'!$D$7:$D$16,MATCH(F960,'PRICING'!$A$7:$A$16,0))/60+INDEX('PROPERTIES'!$H$5:$H$404,MATCH(E960,'PROPERTIES'!$B$5:$B$404,0))*INDEX('PRICING'!$E$7:$E$16,MATCH(F960,'PRICING'!$A$7:$A$16,0))/60+INDEX('PRICING'!$F$7:$F$16,MATCH(F960,'PRICING'!$A$7:$A$16,0))/60),2)),""))</f>
        <v/>
      </c>
      <c r="R960" s="97">
        <f>IF(B960="","",IF(N(K960)&gt;0,K960,IF(N(J960)&gt;0,J960,N(Q960))))</f>
        <v/>
      </c>
      <c r="S960" s="55">
        <f>IF(L960="","",ROUND(L960*(1+N(M960)),2))</f>
        <v/>
      </c>
      <c r="T960" s="55">
        <f>IF(B960="","",SUMIFS('REVENUE'!$C$5:$C$1504,'REVENUE'!$B$5:$B$1504,A960))</f>
        <v/>
      </c>
      <c r="U960" s="55">
        <f>IF(B960="","",IF(O960="Completed",MAX(0,N(S960)-T960),""))</f>
        <v/>
      </c>
      <c r="V960" s="49">
        <f>IF(B960="","",IF(O960&lt;&gt;"Completed",IF(T960&gt;0,"Deposit","—"),IF(U960&lt;=0.005,"Paid",IF(T960&gt;0,"Partial","Unpaid"))))</f>
        <v/>
      </c>
      <c r="W960" s="55">
        <f>IF(B960="","",IFERROR(1/(1/INDEX('STAFF &amp; TASKS'!$C$5:$C$24,MATCH(H960,'STAFF &amp; TASKS'!$A$5:$A$24,0))),PayRate))</f>
        <v/>
      </c>
      <c r="X960" s="55">
        <f>IF(B960="","",IF(OR(O960="Cancelled",O960="No-Show"),"",ROUND(R960*W960*(1+Burden),2)))</f>
        <v/>
      </c>
      <c r="Y960" s="55">
        <f>IF(B960="","",IF(OR(O960="Cancelled",O960="No-Show"),"",IF(N960&lt;&gt;"",N960,ROUND(R960*SupHr*IFERROR(INDEX('PRICING'!$G$7:$G$16,MATCH(F960,'PRICING'!$A$7:$A$16,0)),1),2))))</f>
        <v/>
      </c>
      <c r="Z960" s="98">
        <f>IF(B960="","",SUMIFS('MILEAGE'!$J$5:$J$1504,'MILEAGE'!$B$5:$B$1504,A960))</f>
        <v/>
      </c>
      <c r="AA960" s="55">
        <f>IF(B960="","",ROUND(Z960*MileRate,2))</f>
        <v/>
      </c>
      <c r="AB960" s="55">
        <f>IF(B960="","",SUMIFS('REVENUE'!$J$5:$J$1504,'REVENUE'!$B$5:$B$1504,A960))</f>
        <v/>
      </c>
      <c r="AC960" s="55">
        <f>IF(L960="","",IF(OR(O960="Cancelled",O960="No-Show"),"",L960-N(X960)-N(Y960)-AA960-AB960))</f>
        <v/>
      </c>
      <c r="AD960" s="99">
        <f>IF(OR(AC960="",N(L960)=0),"",AC960/L960)</f>
        <v/>
      </c>
      <c r="AE960" s="55">
        <f>IF(OR(AC960="",N(R960)=0),"",L960/R960)</f>
        <v/>
      </c>
      <c r="AF960" s="100">
        <f>IF(OR(N(K960)=0,N(J960)+N(Q960)=0),"",K960-IF(N(J960)&gt;0,J960,Q960))</f>
        <v/>
      </c>
      <c r="AG960" s="99">
        <f>IF(B960="","",IFERROR(AVERAGEIFS('QUALITY CONTROL'!$M$5:$M$304,'QUALITY CONTROL'!$B$5:$B$304,A960),""))</f>
        <v/>
      </c>
      <c r="AH960" s="51">
        <f>IF(B960="","",DATE(YEAR(B960),MONTH(B960),1))</f>
        <v/>
      </c>
      <c r="AI960" s="49">
        <f>IF(D960="","",IFERROR(INDEX('CUSTOMERS'!$E$5:$E$404,MATCH(D960,'CUSTOMERS'!$B$5:$B$404,0)),""))</f>
        <v/>
      </c>
      <c r="AJ960" s="49">
        <f>IF(B960="","",N(C960))</f>
        <v/>
      </c>
      <c r="AK960" s="49">
        <f>IF(OR(B960="",O960="Cancelled",O960="Rescheduled"),"",B960&amp;"|"&amp;(COUNTIFS('JOBS'!$B$5:$B$1504,B960,'JOBS'!$AJ$5:$AJ$1504,"&lt;"&amp;AJ960,'JOBS'!$O$5:$O$1504,"&lt;&gt;Cancelled",'JOBS'!$O$5:$O$1504,"&lt;&gt;Rescheduled")+COUNTIFS($B$5:B960,B960,$AJ$5:AJ960,AJ960,$O$5:O960,"&lt;&gt;Cancelled",$O$5:O960,"&lt;&gt;Rescheduled")))</f>
        <v/>
      </c>
      <c r="AL960" s="49">
        <f>IF(N(U960)&lt;=0.005,"",COUNTIFS('JOBS'!$U$5:$U$1504,"&gt;0.005",'JOBS'!$B$5:$B$1504,"&lt;"&amp;B960)+COUNTIFS($U$5:U960,"&gt;0.005",$B$5:B960,B960))</f>
        <v/>
      </c>
    </row>
    <row r="961">
      <c r="A961" s="46" t="inlineStr">
        <is>
          <t>J-0957</t>
        </is>
      </c>
      <c r="B961" s="47" t="n"/>
      <c r="C961" s="94" t="n"/>
      <c r="D961" s="38" t="n"/>
      <c r="E961" s="38" t="n"/>
      <c r="F961" s="38" t="n"/>
      <c r="G961" s="38" t="n"/>
      <c r="H961" s="38" t="n"/>
      <c r="I961" s="57" t="n"/>
      <c r="J961" s="95" t="n"/>
      <c r="K961" s="95" t="n"/>
      <c r="L961" s="48" t="n"/>
      <c r="M961" s="96" t="n"/>
      <c r="N961" s="48" t="n"/>
      <c r="O961" s="38" t="n"/>
      <c r="P961" s="38" t="n"/>
      <c r="Q961" s="97">
        <f>IF(OR(F961="",E961=""),"",IFERROR(IF(INDEX('PROPERTIES'!$F$5:$F$404,MATCH(E961,'PROPERTIES'!$B$5:$B$404,0))=0,"",ROUND((INDEX('PROPERTIES'!$F$5:$F$404,MATCH(E961,'PROPERTIES'!$B$5:$B$404,0))/INDEX('PRICING'!$C$7:$C$16,MATCH(F961,'PRICING'!$A$7:$A$16,0))+INDEX('PROPERTIES'!$G$5:$G$404,MATCH(E961,'PROPERTIES'!$B$5:$B$404,0))*INDEX('PRICING'!$D$7:$D$16,MATCH(F961,'PRICING'!$A$7:$A$16,0))/60+INDEX('PROPERTIES'!$H$5:$H$404,MATCH(E961,'PROPERTIES'!$B$5:$B$404,0))*INDEX('PRICING'!$E$7:$E$16,MATCH(F961,'PRICING'!$A$7:$A$16,0))/60+INDEX('PRICING'!$F$7:$F$16,MATCH(F961,'PRICING'!$A$7:$A$16,0))/60),2)),""))</f>
        <v/>
      </c>
      <c r="R961" s="97">
        <f>IF(B961="","",IF(N(K961)&gt;0,K961,IF(N(J961)&gt;0,J961,N(Q961))))</f>
        <v/>
      </c>
      <c r="S961" s="55">
        <f>IF(L961="","",ROUND(L961*(1+N(M961)),2))</f>
        <v/>
      </c>
      <c r="T961" s="55">
        <f>IF(B961="","",SUMIFS('REVENUE'!$C$5:$C$1504,'REVENUE'!$B$5:$B$1504,A961))</f>
        <v/>
      </c>
      <c r="U961" s="55">
        <f>IF(B961="","",IF(O961="Completed",MAX(0,N(S961)-T961),""))</f>
        <v/>
      </c>
      <c r="V961" s="49">
        <f>IF(B961="","",IF(O961&lt;&gt;"Completed",IF(T961&gt;0,"Deposit","—"),IF(U961&lt;=0.005,"Paid",IF(T961&gt;0,"Partial","Unpaid"))))</f>
        <v/>
      </c>
      <c r="W961" s="55">
        <f>IF(B961="","",IFERROR(1/(1/INDEX('STAFF &amp; TASKS'!$C$5:$C$24,MATCH(H961,'STAFF &amp; TASKS'!$A$5:$A$24,0))),PayRate))</f>
        <v/>
      </c>
      <c r="X961" s="55">
        <f>IF(B961="","",IF(OR(O961="Cancelled",O961="No-Show"),"",ROUND(R961*W961*(1+Burden),2)))</f>
        <v/>
      </c>
      <c r="Y961" s="55">
        <f>IF(B961="","",IF(OR(O961="Cancelled",O961="No-Show"),"",IF(N961&lt;&gt;"",N961,ROUND(R961*SupHr*IFERROR(INDEX('PRICING'!$G$7:$G$16,MATCH(F961,'PRICING'!$A$7:$A$16,0)),1),2))))</f>
        <v/>
      </c>
      <c r="Z961" s="98">
        <f>IF(B961="","",SUMIFS('MILEAGE'!$J$5:$J$1504,'MILEAGE'!$B$5:$B$1504,A961))</f>
        <v/>
      </c>
      <c r="AA961" s="55">
        <f>IF(B961="","",ROUND(Z961*MileRate,2))</f>
        <v/>
      </c>
      <c r="AB961" s="55">
        <f>IF(B961="","",SUMIFS('REVENUE'!$J$5:$J$1504,'REVENUE'!$B$5:$B$1504,A961))</f>
        <v/>
      </c>
      <c r="AC961" s="55">
        <f>IF(L961="","",IF(OR(O961="Cancelled",O961="No-Show"),"",L961-N(X961)-N(Y961)-AA961-AB961))</f>
        <v/>
      </c>
      <c r="AD961" s="99">
        <f>IF(OR(AC961="",N(L961)=0),"",AC961/L961)</f>
        <v/>
      </c>
      <c r="AE961" s="55">
        <f>IF(OR(AC961="",N(R961)=0),"",L961/R961)</f>
        <v/>
      </c>
      <c r="AF961" s="100">
        <f>IF(OR(N(K961)=0,N(J961)+N(Q961)=0),"",K961-IF(N(J961)&gt;0,J961,Q961))</f>
        <v/>
      </c>
      <c r="AG961" s="99">
        <f>IF(B961="","",IFERROR(AVERAGEIFS('QUALITY CONTROL'!$M$5:$M$304,'QUALITY CONTROL'!$B$5:$B$304,A961),""))</f>
        <v/>
      </c>
      <c r="AH961" s="51">
        <f>IF(B961="","",DATE(YEAR(B961),MONTH(B961),1))</f>
        <v/>
      </c>
      <c r="AI961" s="49">
        <f>IF(D961="","",IFERROR(INDEX('CUSTOMERS'!$E$5:$E$404,MATCH(D961,'CUSTOMERS'!$B$5:$B$404,0)),""))</f>
        <v/>
      </c>
      <c r="AJ961" s="49">
        <f>IF(B961="","",N(C961))</f>
        <v/>
      </c>
      <c r="AK961" s="49">
        <f>IF(OR(B961="",O961="Cancelled",O961="Rescheduled"),"",B961&amp;"|"&amp;(COUNTIFS('JOBS'!$B$5:$B$1504,B961,'JOBS'!$AJ$5:$AJ$1504,"&lt;"&amp;AJ961,'JOBS'!$O$5:$O$1504,"&lt;&gt;Cancelled",'JOBS'!$O$5:$O$1504,"&lt;&gt;Rescheduled")+COUNTIFS($B$5:B961,B961,$AJ$5:AJ961,AJ961,$O$5:O961,"&lt;&gt;Cancelled",$O$5:O961,"&lt;&gt;Rescheduled")))</f>
        <v/>
      </c>
      <c r="AL961" s="49">
        <f>IF(N(U961)&lt;=0.005,"",COUNTIFS('JOBS'!$U$5:$U$1504,"&gt;0.005",'JOBS'!$B$5:$B$1504,"&lt;"&amp;B961)+COUNTIFS($U$5:U961,"&gt;0.005",$B$5:B961,B961))</f>
        <v/>
      </c>
    </row>
    <row r="962">
      <c r="A962" s="46" t="inlineStr">
        <is>
          <t>J-0958</t>
        </is>
      </c>
      <c r="B962" s="47" t="n"/>
      <c r="C962" s="94" t="n"/>
      <c r="D962" s="38" t="n"/>
      <c r="E962" s="38" t="n"/>
      <c r="F962" s="38" t="n"/>
      <c r="G962" s="38" t="n"/>
      <c r="H962" s="38" t="n"/>
      <c r="I962" s="57" t="n"/>
      <c r="J962" s="95" t="n"/>
      <c r="K962" s="95" t="n"/>
      <c r="L962" s="48" t="n"/>
      <c r="M962" s="96" t="n"/>
      <c r="N962" s="48" t="n"/>
      <c r="O962" s="38" t="n"/>
      <c r="P962" s="38" t="n"/>
      <c r="Q962" s="97">
        <f>IF(OR(F962="",E962=""),"",IFERROR(IF(INDEX('PROPERTIES'!$F$5:$F$404,MATCH(E962,'PROPERTIES'!$B$5:$B$404,0))=0,"",ROUND((INDEX('PROPERTIES'!$F$5:$F$404,MATCH(E962,'PROPERTIES'!$B$5:$B$404,0))/INDEX('PRICING'!$C$7:$C$16,MATCH(F962,'PRICING'!$A$7:$A$16,0))+INDEX('PROPERTIES'!$G$5:$G$404,MATCH(E962,'PROPERTIES'!$B$5:$B$404,0))*INDEX('PRICING'!$D$7:$D$16,MATCH(F962,'PRICING'!$A$7:$A$16,0))/60+INDEX('PROPERTIES'!$H$5:$H$404,MATCH(E962,'PROPERTIES'!$B$5:$B$404,0))*INDEX('PRICING'!$E$7:$E$16,MATCH(F962,'PRICING'!$A$7:$A$16,0))/60+INDEX('PRICING'!$F$7:$F$16,MATCH(F962,'PRICING'!$A$7:$A$16,0))/60),2)),""))</f>
        <v/>
      </c>
      <c r="R962" s="97">
        <f>IF(B962="","",IF(N(K962)&gt;0,K962,IF(N(J962)&gt;0,J962,N(Q962))))</f>
        <v/>
      </c>
      <c r="S962" s="55">
        <f>IF(L962="","",ROUND(L962*(1+N(M962)),2))</f>
        <v/>
      </c>
      <c r="T962" s="55">
        <f>IF(B962="","",SUMIFS('REVENUE'!$C$5:$C$1504,'REVENUE'!$B$5:$B$1504,A962))</f>
        <v/>
      </c>
      <c r="U962" s="55">
        <f>IF(B962="","",IF(O962="Completed",MAX(0,N(S962)-T962),""))</f>
        <v/>
      </c>
      <c r="V962" s="49">
        <f>IF(B962="","",IF(O962&lt;&gt;"Completed",IF(T962&gt;0,"Deposit","—"),IF(U962&lt;=0.005,"Paid",IF(T962&gt;0,"Partial","Unpaid"))))</f>
        <v/>
      </c>
      <c r="W962" s="55">
        <f>IF(B962="","",IFERROR(1/(1/INDEX('STAFF &amp; TASKS'!$C$5:$C$24,MATCH(H962,'STAFF &amp; TASKS'!$A$5:$A$24,0))),PayRate))</f>
        <v/>
      </c>
      <c r="X962" s="55">
        <f>IF(B962="","",IF(OR(O962="Cancelled",O962="No-Show"),"",ROUND(R962*W962*(1+Burden),2)))</f>
        <v/>
      </c>
      <c r="Y962" s="55">
        <f>IF(B962="","",IF(OR(O962="Cancelled",O962="No-Show"),"",IF(N962&lt;&gt;"",N962,ROUND(R962*SupHr*IFERROR(INDEX('PRICING'!$G$7:$G$16,MATCH(F962,'PRICING'!$A$7:$A$16,0)),1),2))))</f>
        <v/>
      </c>
      <c r="Z962" s="98">
        <f>IF(B962="","",SUMIFS('MILEAGE'!$J$5:$J$1504,'MILEAGE'!$B$5:$B$1504,A962))</f>
        <v/>
      </c>
      <c r="AA962" s="55">
        <f>IF(B962="","",ROUND(Z962*MileRate,2))</f>
        <v/>
      </c>
      <c r="AB962" s="55">
        <f>IF(B962="","",SUMIFS('REVENUE'!$J$5:$J$1504,'REVENUE'!$B$5:$B$1504,A962))</f>
        <v/>
      </c>
      <c r="AC962" s="55">
        <f>IF(L962="","",IF(OR(O962="Cancelled",O962="No-Show"),"",L962-N(X962)-N(Y962)-AA962-AB962))</f>
        <v/>
      </c>
      <c r="AD962" s="99">
        <f>IF(OR(AC962="",N(L962)=0),"",AC962/L962)</f>
        <v/>
      </c>
      <c r="AE962" s="55">
        <f>IF(OR(AC962="",N(R962)=0),"",L962/R962)</f>
        <v/>
      </c>
      <c r="AF962" s="100">
        <f>IF(OR(N(K962)=0,N(J962)+N(Q962)=0),"",K962-IF(N(J962)&gt;0,J962,Q962))</f>
        <v/>
      </c>
      <c r="AG962" s="99">
        <f>IF(B962="","",IFERROR(AVERAGEIFS('QUALITY CONTROL'!$M$5:$M$304,'QUALITY CONTROL'!$B$5:$B$304,A962),""))</f>
        <v/>
      </c>
      <c r="AH962" s="51">
        <f>IF(B962="","",DATE(YEAR(B962),MONTH(B962),1))</f>
        <v/>
      </c>
      <c r="AI962" s="49">
        <f>IF(D962="","",IFERROR(INDEX('CUSTOMERS'!$E$5:$E$404,MATCH(D962,'CUSTOMERS'!$B$5:$B$404,0)),""))</f>
        <v/>
      </c>
      <c r="AJ962" s="49">
        <f>IF(B962="","",N(C962))</f>
        <v/>
      </c>
      <c r="AK962" s="49">
        <f>IF(OR(B962="",O962="Cancelled",O962="Rescheduled"),"",B962&amp;"|"&amp;(COUNTIFS('JOBS'!$B$5:$B$1504,B962,'JOBS'!$AJ$5:$AJ$1504,"&lt;"&amp;AJ962,'JOBS'!$O$5:$O$1504,"&lt;&gt;Cancelled",'JOBS'!$O$5:$O$1504,"&lt;&gt;Rescheduled")+COUNTIFS($B$5:B962,B962,$AJ$5:AJ962,AJ962,$O$5:O962,"&lt;&gt;Cancelled",$O$5:O962,"&lt;&gt;Rescheduled")))</f>
        <v/>
      </c>
      <c r="AL962" s="49">
        <f>IF(N(U962)&lt;=0.005,"",COUNTIFS('JOBS'!$U$5:$U$1504,"&gt;0.005",'JOBS'!$B$5:$B$1504,"&lt;"&amp;B962)+COUNTIFS($U$5:U962,"&gt;0.005",$B$5:B962,B962))</f>
        <v/>
      </c>
    </row>
    <row r="963">
      <c r="A963" s="46" t="inlineStr">
        <is>
          <t>J-0959</t>
        </is>
      </c>
      <c r="B963" s="47" t="n"/>
      <c r="C963" s="94" t="n"/>
      <c r="D963" s="38" t="n"/>
      <c r="E963" s="38" t="n"/>
      <c r="F963" s="38" t="n"/>
      <c r="G963" s="38" t="n"/>
      <c r="H963" s="38" t="n"/>
      <c r="I963" s="57" t="n"/>
      <c r="J963" s="95" t="n"/>
      <c r="K963" s="95" t="n"/>
      <c r="L963" s="48" t="n"/>
      <c r="M963" s="96" t="n"/>
      <c r="N963" s="48" t="n"/>
      <c r="O963" s="38" t="n"/>
      <c r="P963" s="38" t="n"/>
      <c r="Q963" s="97">
        <f>IF(OR(F963="",E963=""),"",IFERROR(IF(INDEX('PROPERTIES'!$F$5:$F$404,MATCH(E963,'PROPERTIES'!$B$5:$B$404,0))=0,"",ROUND((INDEX('PROPERTIES'!$F$5:$F$404,MATCH(E963,'PROPERTIES'!$B$5:$B$404,0))/INDEX('PRICING'!$C$7:$C$16,MATCH(F963,'PRICING'!$A$7:$A$16,0))+INDEX('PROPERTIES'!$G$5:$G$404,MATCH(E963,'PROPERTIES'!$B$5:$B$404,0))*INDEX('PRICING'!$D$7:$D$16,MATCH(F963,'PRICING'!$A$7:$A$16,0))/60+INDEX('PROPERTIES'!$H$5:$H$404,MATCH(E963,'PROPERTIES'!$B$5:$B$404,0))*INDEX('PRICING'!$E$7:$E$16,MATCH(F963,'PRICING'!$A$7:$A$16,0))/60+INDEX('PRICING'!$F$7:$F$16,MATCH(F963,'PRICING'!$A$7:$A$16,0))/60),2)),""))</f>
        <v/>
      </c>
      <c r="R963" s="97">
        <f>IF(B963="","",IF(N(K963)&gt;0,K963,IF(N(J963)&gt;0,J963,N(Q963))))</f>
        <v/>
      </c>
      <c r="S963" s="55">
        <f>IF(L963="","",ROUND(L963*(1+N(M963)),2))</f>
        <v/>
      </c>
      <c r="T963" s="55">
        <f>IF(B963="","",SUMIFS('REVENUE'!$C$5:$C$1504,'REVENUE'!$B$5:$B$1504,A963))</f>
        <v/>
      </c>
      <c r="U963" s="55">
        <f>IF(B963="","",IF(O963="Completed",MAX(0,N(S963)-T963),""))</f>
        <v/>
      </c>
      <c r="V963" s="49">
        <f>IF(B963="","",IF(O963&lt;&gt;"Completed",IF(T963&gt;0,"Deposit","—"),IF(U963&lt;=0.005,"Paid",IF(T963&gt;0,"Partial","Unpaid"))))</f>
        <v/>
      </c>
      <c r="W963" s="55">
        <f>IF(B963="","",IFERROR(1/(1/INDEX('STAFF &amp; TASKS'!$C$5:$C$24,MATCH(H963,'STAFF &amp; TASKS'!$A$5:$A$24,0))),PayRate))</f>
        <v/>
      </c>
      <c r="X963" s="55">
        <f>IF(B963="","",IF(OR(O963="Cancelled",O963="No-Show"),"",ROUND(R963*W963*(1+Burden),2)))</f>
        <v/>
      </c>
      <c r="Y963" s="55">
        <f>IF(B963="","",IF(OR(O963="Cancelled",O963="No-Show"),"",IF(N963&lt;&gt;"",N963,ROUND(R963*SupHr*IFERROR(INDEX('PRICING'!$G$7:$G$16,MATCH(F963,'PRICING'!$A$7:$A$16,0)),1),2))))</f>
        <v/>
      </c>
      <c r="Z963" s="98">
        <f>IF(B963="","",SUMIFS('MILEAGE'!$J$5:$J$1504,'MILEAGE'!$B$5:$B$1504,A963))</f>
        <v/>
      </c>
      <c r="AA963" s="55">
        <f>IF(B963="","",ROUND(Z963*MileRate,2))</f>
        <v/>
      </c>
      <c r="AB963" s="55">
        <f>IF(B963="","",SUMIFS('REVENUE'!$J$5:$J$1504,'REVENUE'!$B$5:$B$1504,A963))</f>
        <v/>
      </c>
      <c r="AC963" s="55">
        <f>IF(L963="","",IF(OR(O963="Cancelled",O963="No-Show"),"",L963-N(X963)-N(Y963)-AA963-AB963))</f>
        <v/>
      </c>
      <c r="AD963" s="99">
        <f>IF(OR(AC963="",N(L963)=0),"",AC963/L963)</f>
        <v/>
      </c>
      <c r="AE963" s="55">
        <f>IF(OR(AC963="",N(R963)=0),"",L963/R963)</f>
        <v/>
      </c>
      <c r="AF963" s="100">
        <f>IF(OR(N(K963)=0,N(J963)+N(Q963)=0),"",K963-IF(N(J963)&gt;0,J963,Q963))</f>
        <v/>
      </c>
      <c r="AG963" s="99">
        <f>IF(B963="","",IFERROR(AVERAGEIFS('QUALITY CONTROL'!$M$5:$M$304,'QUALITY CONTROL'!$B$5:$B$304,A963),""))</f>
        <v/>
      </c>
      <c r="AH963" s="51">
        <f>IF(B963="","",DATE(YEAR(B963),MONTH(B963),1))</f>
        <v/>
      </c>
      <c r="AI963" s="49">
        <f>IF(D963="","",IFERROR(INDEX('CUSTOMERS'!$E$5:$E$404,MATCH(D963,'CUSTOMERS'!$B$5:$B$404,0)),""))</f>
        <v/>
      </c>
      <c r="AJ963" s="49">
        <f>IF(B963="","",N(C963))</f>
        <v/>
      </c>
      <c r="AK963" s="49">
        <f>IF(OR(B963="",O963="Cancelled",O963="Rescheduled"),"",B963&amp;"|"&amp;(COUNTIFS('JOBS'!$B$5:$B$1504,B963,'JOBS'!$AJ$5:$AJ$1504,"&lt;"&amp;AJ963,'JOBS'!$O$5:$O$1504,"&lt;&gt;Cancelled",'JOBS'!$O$5:$O$1504,"&lt;&gt;Rescheduled")+COUNTIFS($B$5:B963,B963,$AJ$5:AJ963,AJ963,$O$5:O963,"&lt;&gt;Cancelled",$O$5:O963,"&lt;&gt;Rescheduled")))</f>
        <v/>
      </c>
      <c r="AL963" s="49">
        <f>IF(N(U963)&lt;=0.005,"",COUNTIFS('JOBS'!$U$5:$U$1504,"&gt;0.005",'JOBS'!$B$5:$B$1504,"&lt;"&amp;B963)+COUNTIFS($U$5:U963,"&gt;0.005",$B$5:B963,B963))</f>
        <v/>
      </c>
    </row>
    <row r="964">
      <c r="A964" s="46" t="inlineStr">
        <is>
          <t>J-0960</t>
        </is>
      </c>
      <c r="B964" s="47" t="n"/>
      <c r="C964" s="94" t="n"/>
      <c r="D964" s="38" t="n"/>
      <c r="E964" s="38" t="n"/>
      <c r="F964" s="38" t="n"/>
      <c r="G964" s="38" t="n"/>
      <c r="H964" s="38" t="n"/>
      <c r="I964" s="57" t="n"/>
      <c r="J964" s="95" t="n"/>
      <c r="K964" s="95" t="n"/>
      <c r="L964" s="48" t="n"/>
      <c r="M964" s="96" t="n"/>
      <c r="N964" s="48" t="n"/>
      <c r="O964" s="38" t="n"/>
      <c r="P964" s="38" t="n"/>
      <c r="Q964" s="97">
        <f>IF(OR(F964="",E964=""),"",IFERROR(IF(INDEX('PROPERTIES'!$F$5:$F$404,MATCH(E964,'PROPERTIES'!$B$5:$B$404,0))=0,"",ROUND((INDEX('PROPERTIES'!$F$5:$F$404,MATCH(E964,'PROPERTIES'!$B$5:$B$404,0))/INDEX('PRICING'!$C$7:$C$16,MATCH(F964,'PRICING'!$A$7:$A$16,0))+INDEX('PROPERTIES'!$G$5:$G$404,MATCH(E964,'PROPERTIES'!$B$5:$B$404,0))*INDEX('PRICING'!$D$7:$D$16,MATCH(F964,'PRICING'!$A$7:$A$16,0))/60+INDEX('PROPERTIES'!$H$5:$H$404,MATCH(E964,'PROPERTIES'!$B$5:$B$404,0))*INDEX('PRICING'!$E$7:$E$16,MATCH(F964,'PRICING'!$A$7:$A$16,0))/60+INDEX('PRICING'!$F$7:$F$16,MATCH(F964,'PRICING'!$A$7:$A$16,0))/60),2)),""))</f>
        <v/>
      </c>
      <c r="R964" s="97">
        <f>IF(B964="","",IF(N(K964)&gt;0,K964,IF(N(J964)&gt;0,J964,N(Q964))))</f>
        <v/>
      </c>
      <c r="S964" s="55">
        <f>IF(L964="","",ROUND(L964*(1+N(M964)),2))</f>
        <v/>
      </c>
      <c r="T964" s="55">
        <f>IF(B964="","",SUMIFS('REVENUE'!$C$5:$C$1504,'REVENUE'!$B$5:$B$1504,A964))</f>
        <v/>
      </c>
      <c r="U964" s="55">
        <f>IF(B964="","",IF(O964="Completed",MAX(0,N(S964)-T964),""))</f>
        <v/>
      </c>
      <c r="V964" s="49">
        <f>IF(B964="","",IF(O964&lt;&gt;"Completed",IF(T964&gt;0,"Deposit","—"),IF(U964&lt;=0.005,"Paid",IF(T964&gt;0,"Partial","Unpaid"))))</f>
        <v/>
      </c>
      <c r="W964" s="55">
        <f>IF(B964="","",IFERROR(1/(1/INDEX('STAFF &amp; TASKS'!$C$5:$C$24,MATCH(H964,'STAFF &amp; TASKS'!$A$5:$A$24,0))),PayRate))</f>
        <v/>
      </c>
      <c r="X964" s="55">
        <f>IF(B964="","",IF(OR(O964="Cancelled",O964="No-Show"),"",ROUND(R964*W964*(1+Burden),2)))</f>
        <v/>
      </c>
      <c r="Y964" s="55">
        <f>IF(B964="","",IF(OR(O964="Cancelled",O964="No-Show"),"",IF(N964&lt;&gt;"",N964,ROUND(R964*SupHr*IFERROR(INDEX('PRICING'!$G$7:$G$16,MATCH(F964,'PRICING'!$A$7:$A$16,0)),1),2))))</f>
        <v/>
      </c>
      <c r="Z964" s="98">
        <f>IF(B964="","",SUMIFS('MILEAGE'!$J$5:$J$1504,'MILEAGE'!$B$5:$B$1504,A964))</f>
        <v/>
      </c>
      <c r="AA964" s="55">
        <f>IF(B964="","",ROUND(Z964*MileRate,2))</f>
        <v/>
      </c>
      <c r="AB964" s="55">
        <f>IF(B964="","",SUMIFS('REVENUE'!$J$5:$J$1504,'REVENUE'!$B$5:$B$1504,A964))</f>
        <v/>
      </c>
      <c r="AC964" s="55">
        <f>IF(L964="","",IF(OR(O964="Cancelled",O964="No-Show"),"",L964-N(X964)-N(Y964)-AA964-AB964))</f>
        <v/>
      </c>
      <c r="AD964" s="99">
        <f>IF(OR(AC964="",N(L964)=0),"",AC964/L964)</f>
        <v/>
      </c>
      <c r="AE964" s="55">
        <f>IF(OR(AC964="",N(R964)=0),"",L964/R964)</f>
        <v/>
      </c>
      <c r="AF964" s="100">
        <f>IF(OR(N(K964)=0,N(J964)+N(Q964)=0),"",K964-IF(N(J964)&gt;0,J964,Q964))</f>
        <v/>
      </c>
      <c r="AG964" s="99">
        <f>IF(B964="","",IFERROR(AVERAGEIFS('QUALITY CONTROL'!$M$5:$M$304,'QUALITY CONTROL'!$B$5:$B$304,A964),""))</f>
        <v/>
      </c>
      <c r="AH964" s="51">
        <f>IF(B964="","",DATE(YEAR(B964),MONTH(B964),1))</f>
        <v/>
      </c>
      <c r="AI964" s="49">
        <f>IF(D964="","",IFERROR(INDEX('CUSTOMERS'!$E$5:$E$404,MATCH(D964,'CUSTOMERS'!$B$5:$B$404,0)),""))</f>
        <v/>
      </c>
      <c r="AJ964" s="49">
        <f>IF(B964="","",N(C964))</f>
        <v/>
      </c>
      <c r="AK964" s="49">
        <f>IF(OR(B964="",O964="Cancelled",O964="Rescheduled"),"",B964&amp;"|"&amp;(COUNTIFS('JOBS'!$B$5:$B$1504,B964,'JOBS'!$AJ$5:$AJ$1504,"&lt;"&amp;AJ964,'JOBS'!$O$5:$O$1504,"&lt;&gt;Cancelled",'JOBS'!$O$5:$O$1504,"&lt;&gt;Rescheduled")+COUNTIFS($B$5:B964,B964,$AJ$5:AJ964,AJ964,$O$5:O964,"&lt;&gt;Cancelled",$O$5:O964,"&lt;&gt;Rescheduled")))</f>
        <v/>
      </c>
      <c r="AL964" s="49">
        <f>IF(N(U964)&lt;=0.005,"",COUNTIFS('JOBS'!$U$5:$U$1504,"&gt;0.005",'JOBS'!$B$5:$B$1504,"&lt;"&amp;B964)+COUNTIFS($U$5:U964,"&gt;0.005",$B$5:B964,B964))</f>
        <v/>
      </c>
    </row>
    <row r="965">
      <c r="A965" s="46" t="inlineStr">
        <is>
          <t>J-0961</t>
        </is>
      </c>
      <c r="B965" s="47" t="n"/>
      <c r="C965" s="94" t="n"/>
      <c r="D965" s="38" t="n"/>
      <c r="E965" s="38" t="n"/>
      <c r="F965" s="38" t="n"/>
      <c r="G965" s="38" t="n"/>
      <c r="H965" s="38" t="n"/>
      <c r="I965" s="57" t="n"/>
      <c r="J965" s="95" t="n"/>
      <c r="K965" s="95" t="n"/>
      <c r="L965" s="48" t="n"/>
      <c r="M965" s="96" t="n"/>
      <c r="N965" s="48" t="n"/>
      <c r="O965" s="38" t="n"/>
      <c r="P965" s="38" t="n"/>
      <c r="Q965" s="97">
        <f>IF(OR(F965="",E965=""),"",IFERROR(IF(INDEX('PROPERTIES'!$F$5:$F$404,MATCH(E965,'PROPERTIES'!$B$5:$B$404,0))=0,"",ROUND((INDEX('PROPERTIES'!$F$5:$F$404,MATCH(E965,'PROPERTIES'!$B$5:$B$404,0))/INDEX('PRICING'!$C$7:$C$16,MATCH(F965,'PRICING'!$A$7:$A$16,0))+INDEX('PROPERTIES'!$G$5:$G$404,MATCH(E965,'PROPERTIES'!$B$5:$B$404,0))*INDEX('PRICING'!$D$7:$D$16,MATCH(F965,'PRICING'!$A$7:$A$16,0))/60+INDEX('PROPERTIES'!$H$5:$H$404,MATCH(E965,'PROPERTIES'!$B$5:$B$404,0))*INDEX('PRICING'!$E$7:$E$16,MATCH(F965,'PRICING'!$A$7:$A$16,0))/60+INDEX('PRICING'!$F$7:$F$16,MATCH(F965,'PRICING'!$A$7:$A$16,0))/60),2)),""))</f>
        <v/>
      </c>
      <c r="R965" s="97">
        <f>IF(B965="","",IF(N(K965)&gt;0,K965,IF(N(J965)&gt;0,J965,N(Q965))))</f>
        <v/>
      </c>
      <c r="S965" s="55">
        <f>IF(L965="","",ROUND(L965*(1+N(M965)),2))</f>
        <v/>
      </c>
      <c r="T965" s="55">
        <f>IF(B965="","",SUMIFS('REVENUE'!$C$5:$C$1504,'REVENUE'!$B$5:$B$1504,A965))</f>
        <v/>
      </c>
      <c r="U965" s="55">
        <f>IF(B965="","",IF(O965="Completed",MAX(0,N(S965)-T965),""))</f>
        <v/>
      </c>
      <c r="V965" s="49">
        <f>IF(B965="","",IF(O965&lt;&gt;"Completed",IF(T965&gt;0,"Deposit","—"),IF(U965&lt;=0.005,"Paid",IF(T965&gt;0,"Partial","Unpaid"))))</f>
        <v/>
      </c>
      <c r="W965" s="55">
        <f>IF(B965="","",IFERROR(1/(1/INDEX('STAFF &amp; TASKS'!$C$5:$C$24,MATCH(H965,'STAFF &amp; TASKS'!$A$5:$A$24,0))),PayRate))</f>
        <v/>
      </c>
      <c r="X965" s="55">
        <f>IF(B965="","",IF(OR(O965="Cancelled",O965="No-Show"),"",ROUND(R965*W965*(1+Burden),2)))</f>
        <v/>
      </c>
      <c r="Y965" s="55">
        <f>IF(B965="","",IF(OR(O965="Cancelled",O965="No-Show"),"",IF(N965&lt;&gt;"",N965,ROUND(R965*SupHr*IFERROR(INDEX('PRICING'!$G$7:$G$16,MATCH(F965,'PRICING'!$A$7:$A$16,0)),1),2))))</f>
        <v/>
      </c>
      <c r="Z965" s="98">
        <f>IF(B965="","",SUMIFS('MILEAGE'!$J$5:$J$1504,'MILEAGE'!$B$5:$B$1504,A965))</f>
        <v/>
      </c>
      <c r="AA965" s="55">
        <f>IF(B965="","",ROUND(Z965*MileRate,2))</f>
        <v/>
      </c>
      <c r="AB965" s="55">
        <f>IF(B965="","",SUMIFS('REVENUE'!$J$5:$J$1504,'REVENUE'!$B$5:$B$1504,A965))</f>
        <v/>
      </c>
      <c r="AC965" s="55">
        <f>IF(L965="","",IF(OR(O965="Cancelled",O965="No-Show"),"",L965-N(X965)-N(Y965)-AA965-AB965))</f>
        <v/>
      </c>
      <c r="AD965" s="99">
        <f>IF(OR(AC965="",N(L965)=0),"",AC965/L965)</f>
        <v/>
      </c>
      <c r="AE965" s="55">
        <f>IF(OR(AC965="",N(R965)=0),"",L965/R965)</f>
        <v/>
      </c>
      <c r="AF965" s="100">
        <f>IF(OR(N(K965)=0,N(J965)+N(Q965)=0),"",K965-IF(N(J965)&gt;0,J965,Q965))</f>
        <v/>
      </c>
      <c r="AG965" s="99">
        <f>IF(B965="","",IFERROR(AVERAGEIFS('QUALITY CONTROL'!$M$5:$M$304,'QUALITY CONTROL'!$B$5:$B$304,A965),""))</f>
        <v/>
      </c>
      <c r="AH965" s="51">
        <f>IF(B965="","",DATE(YEAR(B965),MONTH(B965),1))</f>
        <v/>
      </c>
      <c r="AI965" s="49">
        <f>IF(D965="","",IFERROR(INDEX('CUSTOMERS'!$E$5:$E$404,MATCH(D965,'CUSTOMERS'!$B$5:$B$404,0)),""))</f>
        <v/>
      </c>
      <c r="AJ965" s="49">
        <f>IF(B965="","",N(C965))</f>
        <v/>
      </c>
      <c r="AK965" s="49">
        <f>IF(OR(B965="",O965="Cancelled",O965="Rescheduled"),"",B965&amp;"|"&amp;(COUNTIFS('JOBS'!$B$5:$B$1504,B965,'JOBS'!$AJ$5:$AJ$1504,"&lt;"&amp;AJ965,'JOBS'!$O$5:$O$1504,"&lt;&gt;Cancelled",'JOBS'!$O$5:$O$1504,"&lt;&gt;Rescheduled")+COUNTIFS($B$5:B965,B965,$AJ$5:AJ965,AJ965,$O$5:O965,"&lt;&gt;Cancelled",$O$5:O965,"&lt;&gt;Rescheduled")))</f>
        <v/>
      </c>
      <c r="AL965" s="49">
        <f>IF(N(U965)&lt;=0.005,"",COUNTIFS('JOBS'!$U$5:$U$1504,"&gt;0.005",'JOBS'!$B$5:$B$1504,"&lt;"&amp;B965)+COUNTIFS($U$5:U965,"&gt;0.005",$B$5:B965,B965))</f>
        <v/>
      </c>
    </row>
    <row r="966">
      <c r="A966" s="46" t="inlineStr">
        <is>
          <t>J-0962</t>
        </is>
      </c>
      <c r="B966" s="47" t="n"/>
      <c r="C966" s="94" t="n"/>
      <c r="D966" s="38" t="n"/>
      <c r="E966" s="38" t="n"/>
      <c r="F966" s="38" t="n"/>
      <c r="G966" s="38" t="n"/>
      <c r="H966" s="38" t="n"/>
      <c r="I966" s="57" t="n"/>
      <c r="J966" s="95" t="n"/>
      <c r="K966" s="95" t="n"/>
      <c r="L966" s="48" t="n"/>
      <c r="M966" s="96" t="n"/>
      <c r="N966" s="48" t="n"/>
      <c r="O966" s="38" t="n"/>
      <c r="P966" s="38" t="n"/>
      <c r="Q966" s="97">
        <f>IF(OR(F966="",E966=""),"",IFERROR(IF(INDEX('PROPERTIES'!$F$5:$F$404,MATCH(E966,'PROPERTIES'!$B$5:$B$404,0))=0,"",ROUND((INDEX('PROPERTIES'!$F$5:$F$404,MATCH(E966,'PROPERTIES'!$B$5:$B$404,0))/INDEX('PRICING'!$C$7:$C$16,MATCH(F966,'PRICING'!$A$7:$A$16,0))+INDEX('PROPERTIES'!$G$5:$G$404,MATCH(E966,'PROPERTIES'!$B$5:$B$404,0))*INDEX('PRICING'!$D$7:$D$16,MATCH(F966,'PRICING'!$A$7:$A$16,0))/60+INDEX('PROPERTIES'!$H$5:$H$404,MATCH(E966,'PROPERTIES'!$B$5:$B$404,0))*INDEX('PRICING'!$E$7:$E$16,MATCH(F966,'PRICING'!$A$7:$A$16,0))/60+INDEX('PRICING'!$F$7:$F$16,MATCH(F966,'PRICING'!$A$7:$A$16,0))/60),2)),""))</f>
        <v/>
      </c>
      <c r="R966" s="97">
        <f>IF(B966="","",IF(N(K966)&gt;0,K966,IF(N(J966)&gt;0,J966,N(Q966))))</f>
        <v/>
      </c>
      <c r="S966" s="55">
        <f>IF(L966="","",ROUND(L966*(1+N(M966)),2))</f>
        <v/>
      </c>
      <c r="T966" s="55">
        <f>IF(B966="","",SUMIFS('REVENUE'!$C$5:$C$1504,'REVENUE'!$B$5:$B$1504,A966))</f>
        <v/>
      </c>
      <c r="U966" s="55">
        <f>IF(B966="","",IF(O966="Completed",MAX(0,N(S966)-T966),""))</f>
        <v/>
      </c>
      <c r="V966" s="49">
        <f>IF(B966="","",IF(O966&lt;&gt;"Completed",IF(T966&gt;0,"Deposit","—"),IF(U966&lt;=0.005,"Paid",IF(T966&gt;0,"Partial","Unpaid"))))</f>
        <v/>
      </c>
      <c r="W966" s="55">
        <f>IF(B966="","",IFERROR(1/(1/INDEX('STAFF &amp; TASKS'!$C$5:$C$24,MATCH(H966,'STAFF &amp; TASKS'!$A$5:$A$24,0))),PayRate))</f>
        <v/>
      </c>
      <c r="X966" s="55">
        <f>IF(B966="","",IF(OR(O966="Cancelled",O966="No-Show"),"",ROUND(R966*W966*(1+Burden),2)))</f>
        <v/>
      </c>
      <c r="Y966" s="55">
        <f>IF(B966="","",IF(OR(O966="Cancelled",O966="No-Show"),"",IF(N966&lt;&gt;"",N966,ROUND(R966*SupHr*IFERROR(INDEX('PRICING'!$G$7:$G$16,MATCH(F966,'PRICING'!$A$7:$A$16,0)),1),2))))</f>
        <v/>
      </c>
      <c r="Z966" s="98">
        <f>IF(B966="","",SUMIFS('MILEAGE'!$J$5:$J$1504,'MILEAGE'!$B$5:$B$1504,A966))</f>
        <v/>
      </c>
      <c r="AA966" s="55">
        <f>IF(B966="","",ROUND(Z966*MileRate,2))</f>
        <v/>
      </c>
      <c r="AB966" s="55">
        <f>IF(B966="","",SUMIFS('REVENUE'!$J$5:$J$1504,'REVENUE'!$B$5:$B$1504,A966))</f>
        <v/>
      </c>
      <c r="AC966" s="55">
        <f>IF(L966="","",IF(OR(O966="Cancelled",O966="No-Show"),"",L966-N(X966)-N(Y966)-AA966-AB966))</f>
        <v/>
      </c>
      <c r="AD966" s="99">
        <f>IF(OR(AC966="",N(L966)=0),"",AC966/L966)</f>
        <v/>
      </c>
      <c r="AE966" s="55">
        <f>IF(OR(AC966="",N(R966)=0),"",L966/R966)</f>
        <v/>
      </c>
      <c r="AF966" s="100">
        <f>IF(OR(N(K966)=0,N(J966)+N(Q966)=0),"",K966-IF(N(J966)&gt;0,J966,Q966))</f>
        <v/>
      </c>
      <c r="AG966" s="99">
        <f>IF(B966="","",IFERROR(AVERAGEIFS('QUALITY CONTROL'!$M$5:$M$304,'QUALITY CONTROL'!$B$5:$B$304,A966),""))</f>
        <v/>
      </c>
      <c r="AH966" s="51">
        <f>IF(B966="","",DATE(YEAR(B966),MONTH(B966),1))</f>
        <v/>
      </c>
      <c r="AI966" s="49">
        <f>IF(D966="","",IFERROR(INDEX('CUSTOMERS'!$E$5:$E$404,MATCH(D966,'CUSTOMERS'!$B$5:$B$404,0)),""))</f>
        <v/>
      </c>
      <c r="AJ966" s="49">
        <f>IF(B966="","",N(C966))</f>
        <v/>
      </c>
      <c r="AK966" s="49">
        <f>IF(OR(B966="",O966="Cancelled",O966="Rescheduled"),"",B966&amp;"|"&amp;(COUNTIFS('JOBS'!$B$5:$B$1504,B966,'JOBS'!$AJ$5:$AJ$1504,"&lt;"&amp;AJ966,'JOBS'!$O$5:$O$1504,"&lt;&gt;Cancelled",'JOBS'!$O$5:$O$1504,"&lt;&gt;Rescheduled")+COUNTIFS($B$5:B966,B966,$AJ$5:AJ966,AJ966,$O$5:O966,"&lt;&gt;Cancelled",$O$5:O966,"&lt;&gt;Rescheduled")))</f>
        <v/>
      </c>
      <c r="AL966" s="49">
        <f>IF(N(U966)&lt;=0.005,"",COUNTIFS('JOBS'!$U$5:$U$1504,"&gt;0.005",'JOBS'!$B$5:$B$1504,"&lt;"&amp;B966)+COUNTIFS($U$5:U966,"&gt;0.005",$B$5:B966,B966))</f>
        <v/>
      </c>
    </row>
    <row r="967">
      <c r="A967" s="46" t="inlineStr">
        <is>
          <t>J-0963</t>
        </is>
      </c>
      <c r="B967" s="47" t="n"/>
      <c r="C967" s="94" t="n"/>
      <c r="D967" s="38" t="n"/>
      <c r="E967" s="38" t="n"/>
      <c r="F967" s="38" t="n"/>
      <c r="G967" s="38" t="n"/>
      <c r="H967" s="38" t="n"/>
      <c r="I967" s="57" t="n"/>
      <c r="J967" s="95" t="n"/>
      <c r="K967" s="95" t="n"/>
      <c r="L967" s="48" t="n"/>
      <c r="M967" s="96" t="n"/>
      <c r="N967" s="48" t="n"/>
      <c r="O967" s="38" t="n"/>
      <c r="P967" s="38" t="n"/>
      <c r="Q967" s="97">
        <f>IF(OR(F967="",E967=""),"",IFERROR(IF(INDEX('PROPERTIES'!$F$5:$F$404,MATCH(E967,'PROPERTIES'!$B$5:$B$404,0))=0,"",ROUND((INDEX('PROPERTIES'!$F$5:$F$404,MATCH(E967,'PROPERTIES'!$B$5:$B$404,0))/INDEX('PRICING'!$C$7:$C$16,MATCH(F967,'PRICING'!$A$7:$A$16,0))+INDEX('PROPERTIES'!$G$5:$G$404,MATCH(E967,'PROPERTIES'!$B$5:$B$404,0))*INDEX('PRICING'!$D$7:$D$16,MATCH(F967,'PRICING'!$A$7:$A$16,0))/60+INDEX('PROPERTIES'!$H$5:$H$404,MATCH(E967,'PROPERTIES'!$B$5:$B$404,0))*INDEX('PRICING'!$E$7:$E$16,MATCH(F967,'PRICING'!$A$7:$A$16,0))/60+INDEX('PRICING'!$F$7:$F$16,MATCH(F967,'PRICING'!$A$7:$A$16,0))/60),2)),""))</f>
        <v/>
      </c>
      <c r="R967" s="97">
        <f>IF(B967="","",IF(N(K967)&gt;0,K967,IF(N(J967)&gt;0,J967,N(Q967))))</f>
        <v/>
      </c>
      <c r="S967" s="55">
        <f>IF(L967="","",ROUND(L967*(1+N(M967)),2))</f>
        <v/>
      </c>
      <c r="T967" s="55">
        <f>IF(B967="","",SUMIFS('REVENUE'!$C$5:$C$1504,'REVENUE'!$B$5:$B$1504,A967))</f>
        <v/>
      </c>
      <c r="U967" s="55">
        <f>IF(B967="","",IF(O967="Completed",MAX(0,N(S967)-T967),""))</f>
        <v/>
      </c>
      <c r="V967" s="49">
        <f>IF(B967="","",IF(O967&lt;&gt;"Completed",IF(T967&gt;0,"Deposit","—"),IF(U967&lt;=0.005,"Paid",IF(T967&gt;0,"Partial","Unpaid"))))</f>
        <v/>
      </c>
      <c r="W967" s="55">
        <f>IF(B967="","",IFERROR(1/(1/INDEX('STAFF &amp; TASKS'!$C$5:$C$24,MATCH(H967,'STAFF &amp; TASKS'!$A$5:$A$24,0))),PayRate))</f>
        <v/>
      </c>
      <c r="X967" s="55">
        <f>IF(B967="","",IF(OR(O967="Cancelled",O967="No-Show"),"",ROUND(R967*W967*(1+Burden),2)))</f>
        <v/>
      </c>
      <c r="Y967" s="55">
        <f>IF(B967="","",IF(OR(O967="Cancelled",O967="No-Show"),"",IF(N967&lt;&gt;"",N967,ROUND(R967*SupHr*IFERROR(INDEX('PRICING'!$G$7:$G$16,MATCH(F967,'PRICING'!$A$7:$A$16,0)),1),2))))</f>
        <v/>
      </c>
      <c r="Z967" s="98">
        <f>IF(B967="","",SUMIFS('MILEAGE'!$J$5:$J$1504,'MILEAGE'!$B$5:$B$1504,A967))</f>
        <v/>
      </c>
      <c r="AA967" s="55">
        <f>IF(B967="","",ROUND(Z967*MileRate,2))</f>
        <v/>
      </c>
      <c r="AB967" s="55">
        <f>IF(B967="","",SUMIFS('REVENUE'!$J$5:$J$1504,'REVENUE'!$B$5:$B$1504,A967))</f>
        <v/>
      </c>
      <c r="AC967" s="55">
        <f>IF(L967="","",IF(OR(O967="Cancelled",O967="No-Show"),"",L967-N(X967)-N(Y967)-AA967-AB967))</f>
        <v/>
      </c>
      <c r="AD967" s="99">
        <f>IF(OR(AC967="",N(L967)=0),"",AC967/L967)</f>
        <v/>
      </c>
      <c r="AE967" s="55">
        <f>IF(OR(AC967="",N(R967)=0),"",L967/R967)</f>
        <v/>
      </c>
      <c r="AF967" s="100">
        <f>IF(OR(N(K967)=0,N(J967)+N(Q967)=0),"",K967-IF(N(J967)&gt;0,J967,Q967))</f>
        <v/>
      </c>
      <c r="AG967" s="99">
        <f>IF(B967="","",IFERROR(AVERAGEIFS('QUALITY CONTROL'!$M$5:$M$304,'QUALITY CONTROL'!$B$5:$B$304,A967),""))</f>
        <v/>
      </c>
      <c r="AH967" s="51">
        <f>IF(B967="","",DATE(YEAR(B967),MONTH(B967),1))</f>
        <v/>
      </c>
      <c r="AI967" s="49">
        <f>IF(D967="","",IFERROR(INDEX('CUSTOMERS'!$E$5:$E$404,MATCH(D967,'CUSTOMERS'!$B$5:$B$404,0)),""))</f>
        <v/>
      </c>
      <c r="AJ967" s="49">
        <f>IF(B967="","",N(C967))</f>
        <v/>
      </c>
      <c r="AK967" s="49">
        <f>IF(OR(B967="",O967="Cancelled",O967="Rescheduled"),"",B967&amp;"|"&amp;(COUNTIFS('JOBS'!$B$5:$B$1504,B967,'JOBS'!$AJ$5:$AJ$1504,"&lt;"&amp;AJ967,'JOBS'!$O$5:$O$1504,"&lt;&gt;Cancelled",'JOBS'!$O$5:$O$1504,"&lt;&gt;Rescheduled")+COUNTIFS($B$5:B967,B967,$AJ$5:AJ967,AJ967,$O$5:O967,"&lt;&gt;Cancelled",$O$5:O967,"&lt;&gt;Rescheduled")))</f>
        <v/>
      </c>
      <c r="AL967" s="49">
        <f>IF(N(U967)&lt;=0.005,"",COUNTIFS('JOBS'!$U$5:$U$1504,"&gt;0.005",'JOBS'!$B$5:$B$1504,"&lt;"&amp;B967)+COUNTIFS($U$5:U967,"&gt;0.005",$B$5:B967,B967))</f>
        <v/>
      </c>
    </row>
    <row r="968">
      <c r="A968" s="46" t="inlineStr">
        <is>
          <t>J-0964</t>
        </is>
      </c>
      <c r="B968" s="47" t="n"/>
      <c r="C968" s="94" t="n"/>
      <c r="D968" s="38" t="n"/>
      <c r="E968" s="38" t="n"/>
      <c r="F968" s="38" t="n"/>
      <c r="G968" s="38" t="n"/>
      <c r="H968" s="38" t="n"/>
      <c r="I968" s="57" t="n"/>
      <c r="J968" s="95" t="n"/>
      <c r="K968" s="95" t="n"/>
      <c r="L968" s="48" t="n"/>
      <c r="M968" s="96" t="n"/>
      <c r="N968" s="48" t="n"/>
      <c r="O968" s="38" t="n"/>
      <c r="P968" s="38" t="n"/>
      <c r="Q968" s="97">
        <f>IF(OR(F968="",E968=""),"",IFERROR(IF(INDEX('PROPERTIES'!$F$5:$F$404,MATCH(E968,'PROPERTIES'!$B$5:$B$404,0))=0,"",ROUND((INDEX('PROPERTIES'!$F$5:$F$404,MATCH(E968,'PROPERTIES'!$B$5:$B$404,0))/INDEX('PRICING'!$C$7:$C$16,MATCH(F968,'PRICING'!$A$7:$A$16,0))+INDEX('PROPERTIES'!$G$5:$G$404,MATCH(E968,'PROPERTIES'!$B$5:$B$404,0))*INDEX('PRICING'!$D$7:$D$16,MATCH(F968,'PRICING'!$A$7:$A$16,0))/60+INDEX('PROPERTIES'!$H$5:$H$404,MATCH(E968,'PROPERTIES'!$B$5:$B$404,0))*INDEX('PRICING'!$E$7:$E$16,MATCH(F968,'PRICING'!$A$7:$A$16,0))/60+INDEX('PRICING'!$F$7:$F$16,MATCH(F968,'PRICING'!$A$7:$A$16,0))/60),2)),""))</f>
        <v/>
      </c>
      <c r="R968" s="97">
        <f>IF(B968="","",IF(N(K968)&gt;0,K968,IF(N(J968)&gt;0,J968,N(Q968))))</f>
        <v/>
      </c>
      <c r="S968" s="55">
        <f>IF(L968="","",ROUND(L968*(1+N(M968)),2))</f>
        <v/>
      </c>
      <c r="T968" s="55">
        <f>IF(B968="","",SUMIFS('REVENUE'!$C$5:$C$1504,'REVENUE'!$B$5:$B$1504,A968))</f>
        <v/>
      </c>
      <c r="U968" s="55">
        <f>IF(B968="","",IF(O968="Completed",MAX(0,N(S968)-T968),""))</f>
        <v/>
      </c>
      <c r="V968" s="49">
        <f>IF(B968="","",IF(O968&lt;&gt;"Completed",IF(T968&gt;0,"Deposit","—"),IF(U968&lt;=0.005,"Paid",IF(T968&gt;0,"Partial","Unpaid"))))</f>
        <v/>
      </c>
      <c r="W968" s="55">
        <f>IF(B968="","",IFERROR(1/(1/INDEX('STAFF &amp; TASKS'!$C$5:$C$24,MATCH(H968,'STAFF &amp; TASKS'!$A$5:$A$24,0))),PayRate))</f>
        <v/>
      </c>
      <c r="X968" s="55">
        <f>IF(B968="","",IF(OR(O968="Cancelled",O968="No-Show"),"",ROUND(R968*W968*(1+Burden),2)))</f>
        <v/>
      </c>
      <c r="Y968" s="55">
        <f>IF(B968="","",IF(OR(O968="Cancelled",O968="No-Show"),"",IF(N968&lt;&gt;"",N968,ROUND(R968*SupHr*IFERROR(INDEX('PRICING'!$G$7:$G$16,MATCH(F968,'PRICING'!$A$7:$A$16,0)),1),2))))</f>
        <v/>
      </c>
      <c r="Z968" s="98">
        <f>IF(B968="","",SUMIFS('MILEAGE'!$J$5:$J$1504,'MILEAGE'!$B$5:$B$1504,A968))</f>
        <v/>
      </c>
      <c r="AA968" s="55">
        <f>IF(B968="","",ROUND(Z968*MileRate,2))</f>
        <v/>
      </c>
      <c r="AB968" s="55">
        <f>IF(B968="","",SUMIFS('REVENUE'!$J$5:$J$1504,'REVENUE'!$B$5:$B$1504,A968))</f>
        <v/>
      </c>
      <c r="AC968" s="55">
        <f>IF(L968="","",IF(OR(O968="Cancelled",O968="No-Show"),"",L968-N(X968)-N(Y968)-AA968-AB968))</f>
        <v/>
      </c>
      <c r="AD968" s="99">
        <f>IF(OR(AC968="",N(L968)=0),"",AC968/L968)</f>
        <v/>
      </c>
      <c r="AE968" s="55">
        <f>IF(OR(AC968="",N(R968)=0),"",L968/R968)</f>
        <v/>
      </c>
      <c r="AF968" s="100">
        <f>IF(OR(N(K968)=0,N(J968)+N(Q968)=0),"",K968-IF(N(J968)&gt;0,J968,Q968))</f>
        <v/>
      </c>
      <c r="AG968" s="99">
        <f>IF(B968="","",IFERROR(AVERAGEIFS('QUALITY CONTROL'!$M$5:$M$304,'QUALITY CONTROL'!$B$5:$B$304,A968),""))</f>
        <v/>
      </c>
      <c r="AH968" s="51">
        <f>IF(B968="","",DATE(YEAR(B968),MONTH(B968),1))</f>
        <v/>
      </c>
      <c r="AI968" s="49">
        <f>IF(D968="","",IFERROR(INDEX('CUSTOMERS'!$E$5:$E$404,MATCH(D968,'CUSTOMERS'!$B$5:$B$404,0)),""))</f>
        <v/>
      </c>
      <c r="AJ968" s="49">
        <f>IF(B968="","",N(C968))</f>
        <v/>
      </c>
      <c r="AK968" s="49">
        <f>IF(OR(B968="",O968="Cancelled",O968="Rescheduled"),"",B968&amp;"|"&amp;(COUNTIFS('JOBS'!$B$5:$B$1504,B968,'JOBS'!$AJ$5:$AJ$1504,"&lt;"&amp;AJ968,'JOBS'!$O$5:$O$1504,"&lt;&gt;Cancelled",'JOBS'!$O$5:$O$1504,"&lt;&gt;Rescheduled")+COUNTIFS($B$5:B968,B968,$AJ$5:AJ968,AJ968,$O$5:O968,"&lt;&gt;Cancelled",$O$5:O968,"&lt;&gt;Rescheduled")))</f>
        <v/>
      </c>
      <c r="AL968" s="49">
        <f>IF(N(U968)&lt;=0.005,"",COUNTIFS('JOBS'!$U$5:$U$1504,"&gt;0.005",'JOBS'!$B$5:$B$1504,"&lt;"&amp;B968)+COUNTIFS($U$5:U968,"&gt;0.005",$B$5:B968,B968))</f>
        <v/>
      </c>
    </row>
    <row r="969">
      <c r="A969" s="46" t="inlineStr">
        <is>
          <t>J-0965</t>
        </is>
      </c>
      <c r="B969" s="47" t="n"/>
      <c r="C969" s="94" t="n"/>
      <c r="D969" s="38" t="n"/>
      <c r="E969" s="38" t="n"/>
      <c r="F969" s="38" t="n"/>
      <c r="G969" s="38" t="n"/>
      <c r="H969" s="38" t="n"/>
      <c r="I969" s="57" t="n"/>
      <c r="J969" s="95" t="n"/>
      <c r="K969" s="95" t="n"/>
      <c r="L969" s="48" t="n"/>
      <c r="M969" s="96" t="n"/>
      <c r="N969" s="48" t="n"/>
      <c r="O969" s="38" t="n"/>
      <c r="P969" s="38" t="n"/>
      <c r="Q969" s="97">
        <f>IF(OR(F969="",E969=""),"",IFERROR(IF(INDEX('PROPERTIES'!$F$5:$F$404,MATCH(E969,'PROPERTIES'!$B$5:$B$404,0))=0,"",ROUND((INDEX('PROPERTIES'!$F$5:$F$404,MATCH(E969,'PROPERTIES'!$B$5:$B$404,0))/INDEX('PRICING'!$C$7:$C$16,MATCH(F969,'PRICING'!$A$7:$A$16,0))+INDEX('PROPERTIES'!$G$5:$G$404,MATCH(E969,'PROPERTIES'!$B$5:$B$404,0))*INDEX('PRICING'!$D$7:$D$16,MATCH(F969,'PRICING'!$A$7:$A$16,0))/60+INDEX('PROPERTIES'!$H$5:$H$404,MATCH(E969,'PROPERTIES'!$B$5:$B$404,0))*INDEX('PRICING'!$E$7:$E$16,MATCH(F969,'PRICING'!$A$7:$A$16,0))/60+INDEX('PRICING'!$F$7:$F$16,MATCH(F969,'PRICING'!$A$7:$A$16,0))/60),2)),""))</f>
        <v/>
      </c>
      <c r="R969" s="97">
        <f>IF(B969="","",IF(N(K969)&gt;0,K969,IF(N(J969)&gt;0,J969,N(Q969))))</f>
        <v/>
      </c>
      <c r="S969" s="55">
        <f>IF(L969="","",ROUND(L969*(1+N(M969)),2))</f>
        <v/>
      </c>
      <c r="T969" s="55">
        <f>IF(B969="","",SUMIFS('REVENUE'!$C$5:$C$1504,'REVENUE'!$B$5:$B$1504,A969))</f>
        <v/>
      </c>
      <c r="U969" s="55">
        <f>IF(B969="","",IF(O969="Completed",MAX(0,N(S969)-T969),""))</f>
        <v/>
      </c>
      <c r="V969" s="49">
        <f>IF(B969="","",IF(O969&lt;&gt;"Completed",IF(T969&gt;0,"Deposit","—"),IF(U969&lt;=0.005,"Paid",IF(T969&gt;0,"Partial","Unpaid"))))</f>
        <v/>
      </c>
      <c r="W969" s="55">
        <f>IF(B969="","",IFERROR(1/(1/INDEX('STAFF &amp; TASKS'!$C$5:$C$24,MATCH(H969,'STAFF &amp; TASKS'!$A$5:$A$24,0))),PayRate))</f>
        <v/>
      </c>
      <c r="X969" s="55">
        <f>IF(B969="","",IF(OR(O969="Cancelled",O969="No-Show"),"",ROUND(R969*W969*(1+Burden),2)))</f>
        <v/>
      </c>
      <c r="Y969" s="55">
        <f>IF(B969="","",IF(OR(O969="Cancelled",O969="No-Show"),"",IF(N969&lt;&gt;"",N969,ROUND(R969*SupHr*IFERROR(INDEX('PRICING'!$G$7:$G$16,MATCH(F969,'PRICING'!$A$7:$A$16,0)),1),2))))</f>
        <v/>
      </c>
      <c r="Z969" s="98">
        <f>IF(B969="","",SUMIFS('MILEAGE'!$J$5:$J$1504,'MILEAGE'!$B$5:$B$1504,A969))</f>
        <v/>
      </c>
      <c r="AA969" s="55">
        <f>IF(B969="","",ROUND(Z969*MileRate,2))</f>
        <v/>
      </c>
      <c r="AB969" s="55">
        <f>IF(B969="","",SUMIFS('REVENUE'!$J$5:$J$1504,'REVENUE'!$B$5:$B$1504,A969))</f>
        <v/>
      </c>
      <c r="AC969" s="55">
        <f>IF(L969="","",IF(OR(O969="Cancelled",O969="No-Show"),"",L969-N(X969)-N(Y969)-AA969-AB969))</f>
        <v/>
      </c>
      <c r="AD969" s="99">
        <f>IF(OR(AC969="",N(L969)=0),"",AC969/L969)</f>
        <v/>
      </c>
      <c r="AE969" s="55">
        <f>IF(OR(AC969="",N(R969)=0),"",L969/R969)</f>
        <v/>
      </c>
      <c r="AF969" s="100">
        <f>IF(OR(N(K969)=0,N(J969)+N(Q969)=0),"",K969-IF(N(J969)&gt;0,J969,Q969))</f>
        <v/>
      </c>
      <c r="AG969" s="99">
        <f>IF(B969="","",IFERROR(AVERAGEIFS('QUALITY CONTROL'!$M$5:$M$304,'QUALITY CONTROL'!$B$5:$B$304,A969),""))</f>
        <v/>
      </c>
      <c r="AH969" s="51">
        <f>IF(B969="","",DATE(YEAR(B969),MONTH(B969),1))</f>
        <v/>
      </c>
      <c r="AI969" s="49">
        <f>IF(D969="","",IFERROR(INDEX('CUSTOMERS'!$E$5:$E$404,MATCH(D969,'CUSTOMERS'!$B$5:$B$404,0)),""))</f>
        <v/>
      </c>
      <c r="AJ969" s="49">
        <f>IF(B969="","",N(C969))</f>
        <v/>
      </c>
      <c r="AK969" s="49">
        <f>IF(OR(B969="",O969="Cancelled",O969="Rescheduled"),"",B969&amp;"|"&amp;(COUNTIFS('JOBS'!$B$5:$B$1504,B969,'JOBS'!$AJ$5:$AJ$1504,"&lt;"&amp;AJ969,'JOBS'!$O$5:$O$1504,"&lt;&gt;Cancelled",'JOBS'!$O$5:$O$1504,"&lt;&gt;Rescheduled")+COUNTIFS($B$5:B969,B969,$AJ$5:AJ969,AJ969,$O$5:O969,"&lt;&gt;Cancelled",$O$5:O969,"&lt;&gt;Rescheduled")))</f>
        <v/>
      </c>
      <c r="AL969" s="49">
        <f>IF(N(U969)&lt;=0.005,"",COUNTIFS('JOBS'!$U$5:$U$1504,"&gt;0.005",'JOBS'!$B$5:$B$1504,"&lt;"&amp;B969)+COUNTIFS($U$5:U969,"&gt;0.005",$B$5:B969,B969))</f>
        <v/>
      </c>
    </row>
    <row r="970">
      <c r="A970" s="46" t="inlineStr">
        <is>
          <t>J-0966</t>
        </is>
      </c>
      <c r="B970" s="47" t="n"/>
      <c r="C970" s="94" t="n"/>
      <c r="D970" s="38" t="n"/>
      <c r="E970" s="38" t="n"/>
      <c r="F970" s="38" t="n"/>
      <c r="G970" s="38" t="n"/>
      <c r="H970" s="38" t="n"/>
      <c r="I970" s="57" t="n"/>
      <c r="J970" s="95" t="n"/>
      <c r="K970" s="95" t="n"/>
      <c r="L970" s="48" t="n"/>
      <c r="M970" s="96" t="n"/>
      <c r="N970" s="48" t="n"/>
      <c r="O970" s="38" t="n"/>
      <c r="P970" s="38" t="n"/>
      <c r="Q970" s="97">
        <f>IF(OR(F970="",E970=""),"",IFERROR(IF(INDEX('PROPERTIES'!$F$5:$F$404,MATCH(E970,'PROPERTIES'!$B$5:$B$404,0))=0,"",ROUND((INDEX('PROPERTIES'!$F$5:$F$404,MATCH(E970,'PROPERTIES'!$B$5:$B$404,0))/INDEX('PRICING'!$C$7:$C$16,MATCH(F970,'PRICING'!$A$7:$A$16,0))+INDEX('PROPERTIES'!$G$5:$G$404,MATCH(E970,'PROPERTIES'!$B$5:$B$404,0))*INDEX('PRICING'!$D$7:$D$16,MATCH(F970,'PRICING'!$A$7:$A$16,0))/60+INDEX('PROPERTIES'!$H$5:$H$404,MATCH(E970,'PROPERTIES'!$B$5:$B$404,0))*INDEX('PRICING'!$E$7:$E$16,MATCH(F970,'PRICING'!$A$7:$A$16,0))/60+INDEX('PRICING'!$F$7:$F$16,MATCH(F970,'PRICING'!$A$7:$A$16,0))/60),2)),""))</f>
        <v/>
      </c>
      <c r="R970" s="97">
        <f>IF(B970="","",IF(N(K970)&gt;0,K970,IF(N(J970)&gt;0,J970,N(Q970))))</f>
        <v/>
      </c>
      <c r="S970" s="55">
        <f>IF(L970="","",ROUND(L970*(1+N(M970)),2))</f>
        <v/>
      </c>
      <c r="T970" s="55">
        <f>IF(B970="","",SUMIFS('REVENUE'!$C$5:$C$1504,'REVENUE'!$B$5:$B$1504,A970))</f>
        <v/>
      </c>
      <c r="U970" s="55">
        <f>IF(B970="","",IF(O970="Completed",MAX(0,N(S970)-T970),""))</f>
        <v/>
      </c>
      <c r="V970" s="49">
        <f>IF(B970="","",IF(O970&lt;&gt;"Completed",IF(T970&gt;0,"Deposit","—"),IF(U970&lt;=0.005,"Paid",IF(T970&gt;0,"Partial","Unpaid"))))</f>
        <v/>
      </c>
      <c r="W970" s="55">
        <f>IF(B970="","",IFERROR(1/(1/INDEX('STAFF &amp; TASKS'!$C$5:$C$24,MATCH(H970,'STAFF &amp; TASKS'!$A$5:$A$24,0))),PayRate))</f>
        <v/>
      </c>
      <c r="X970" s="55">
        <f>IF(B970="","",IF(OR(O970="Cancelled",O970="No-Show"),"",ROUND(R970*W970*(1+Burden),2)))</f>
        <v/>
      </c>
      <c r="Y970" s="55">
        <f>IF(B970="","",IF(OR(O970="Cancelled",O970="No-Show"),"",IF(N970&lt;&gt;"",N970,ROUND(R970*SupHr*IFERROR(INDEX('PRICING'!$G$7:$G$16,MATCH(F970,'PRICING'!$A$7:$A$16,0)),1),2))))</f>
        <v/>
      </c>
      <c r="Z970" s="98">
        <f>IF(B970="","",SUMIFS('MILEAGE'!$J$5:$J$1504,'MILEAGE'!$B$5:$B$1504,A970))</f>
        <v/>
      </c>
      <c r="AA970" s="55">
        <f>IF(B970="","",ROUND(Z970*MileRate,2))</f>
        <v/>
      </c>
      <c r="AB970" s="55">
        <f>IF(B970="","",SUMIFS('REVENUE'!$J$5:$J$1504,'REVENUE'!$B$5:$B$1504,A970))</f>
        <v/>
      </c>
      <c r="AC970" s="55">
        <f>IF(L970="","",IF(OR(O970="Cancelled",O970="No-Show"),"",L970-N(X970)-N(Y970)-AA970-AB970))</f>
        <v/>
      </c>
      <c r="AD970" s="99">
        <f>IF(OR(AC970="",N(L970)=0),"",AC970/L970)</f>
        <v/>
      </c>
      <c r="AE970" s="55">
        <f>IF(OR(AC970="",N(R970)=0),"",L970/R970)</f>
        <v/>
      </c>
      <c r="AF970" s="100">
        <f>IF(OR(N(K970)=0,N(J970)+N(Q970)=0),"",K970-IF(N(J970)&gt;0,J970,Q970))</f>
        <v/>
      </c>
      <c r="AG970" s="99">
        <f>IF(B970="","",IFERROR(AVERAGEIFS('QUALITY CONTROL'!$M$5:$M$304,'QUALITY CONTROL'!$B$5:$B$304,A970),""))</f>
        <v/>
      </c>
      <c r="AH970" s="51">
        <f>IF(B970="","",DATE(YEAR(B970),MONTH(B970),1))</f>
        <v/>
      </c>
      <c r="AI970" s="49">
        <f>IF(D970="","",IFERROR(INDEX('CUSTOMERS'!$E$5:$E$404,MATCH(D970,'CUSTOMERS'!$B$5:$B$404,0)),""))</f>
        <v/>
      </c>
      <c r="AJ970" s="49">
        <f>IF(B970="","",N(C970))</f>
        <v/>
      </c>
      <c r="AK970" s="49">
        <f>IF(OR(B970="",O970="Cancelled",O970="Rescheduled"),"",B970&amp;"|"&amp;(COUNTIFS('JOBS'!$B$5:$B$1504,B970,'JOBS'!$AJ$5:$AJ$1504,"&lt;"&amp;AJ970,'JOBS'!$O$5:$O$1504,"&lt;&gt;Cancelled",'JOBS'!$O$5:$O$1504,"&lt;&gt;Rescheduled")+COUNTIFS($B$5:B970,B970,$AJ$5:AJ970,AJ970,$O$5:O970,"&lt;&gt;Cancelled",$O$5:O970,"&lt;&gt;Rescheduled")))</f>
        <v/>
      </c>
      <c r="AL970" s="49">
        <f>IF(N(U970)&lt;=0.005,"",COUNTIFS('JOBS'!$U$5:$U$1504,"&gt;0.005",'JOBS'!$B$5:$B$1504,"&lt;"&amp;B970)+COUNTIFS($U$5:U970,"&gt;0.005",$B$5:B970,B970))</f>
        <v/>
      </c>
    </row>
    <row r="971">
      <c r="A971" s="46" t="inlineStr">
        <is>
          <t>J-0967</t>
        </is>
      </c>
      <c r="B971" s="47" t="n"/>
      <c r="C971" s="94" t="n"/>
      <c r="D971" s="38" t="n"/>
      <c r="E971" s="38" t="n"/>
      <c r="F971" s="38" t="n"/>
      <c r="G971" s="38" t="n"/>
      <c r="H971" s="38" t="n"/>
      <c r="I971" s="57" t="n"/>
      <c r="J971" s="95" t="n"/>
      <c r="K971" s="95" t="n"/>
      <c r="L971" s="48" t="n"/>
      <c r="M971" s="96" t="n"/>
      <c r="N971" s="48" t="n"/>
      <c r="O971" s="38" t="n"/>
      <c r="P971" s="38" t="n"/>
      <c r="Q971" s="97">
        <f>IF(OR(F971="",E971=""),"",IFERROR(IF(INDEX('PROPERTIES'!$F$5:$F$404,MATCH(E971,'PROPERTIES'!$B$5:$B$404,0))=0,"",ROUND((INDEX('PROPERTIES'!$F$5:$F$404,MATCH(E971,'PROPERTIES'!$B$5:$B$404,0))/INDEX('PRICING'!$C$7:$C$16,MATCH(F971,'PRICING'!$A$7:$A$16,0))+INDEX('PROPERTIES'!$G$5:$G$404,MATCH(E971,'PROPERTIES'!$B$5:$B$404,0))*INDEX('PRICING'!$D$7:$D$16,MATCH(F971,'PRICING'!$A$7:$A$16,0))/60+INDEX('PROPERTIES'!$H$5:$H$404,MATCH(E971,'PROPERTIES'!$B$5:$B$404,0))*INDEX('PRICING'!$E$7:$E$16,MATCH(F971,'PRICING'!$A$7:$A$16,0))/60+INDEX('PRICING'!$F$7:$F$16,MATCH(F971,'PRICING'!$A$7:$A$16,0))/60),2)),""))</f>
        <v/>
      </c>
      <c r="R971" s="97">
        <f>IF(B971="","",IF(N(K971)&gt;0,K971,IF(N(J971)&gt;0,J971,N(Q971))))</f>
        <v/>
      </c>
      <c r="S971" s="55">
        <f>IF(L971="","",ROUND(L971*(1+N(M971)),2))</f>
        <v/>
      </c>
      <c r="T971" s="55">
        <f>IF(B971="","",SUMIFS('REVENUE'!$C$5:$C$1504,'REVENUE'!$B$5:$B$1504,A971))</f>
        <v/>
      </c>
      <c r="U971" s="55">
        <f>IF(B971="","",IF(O971="Completed",MAX(0,N(S971)-T971),""))</f>
        <v/>
      </c>
      <c r="V971" s="49">
        <f>IF(B971="","",IF(O971&lt;&gt;"Completed",IF(T971&gt;0,"Deposit","—"),IF(U971&lt;=0.005,"Paid",IF(T971&gt;0,"Partial","Unpaid"))))</f>
        <v/>
      </c>
      <c r="W971" s="55">
        <f>IF(B971="","",IFERROR(1/(1/INDEX('STAFF &amp; TASKS'!$C$5:$C$24,MATCH(H971,'STAFF &amp; TASKS'!$A$5:$A$24,0))),PayRate))</f>
        <v/>
      </c>
      <c r="X971" s="55">
        <f>IF(B971="","",IF(OR(O971="Cancelled",O971="No-Show"),"",ROUND(R971*W971*(1+Burden),2)))</f>
        <v/>
      </c>
      <c r="Y971" s="55">
        <f>IF(B971="","",IF(OR(O971="Cancelled",O971="No-Show"),"",IF(N971&lt;&gt;"",N971,ROUND(R971*SupHr*IFERROR(INDEX('PRICING'!$G$7:$G$16,MATCH(F971,'PRICING'!$A$7:$A$16,0)),1),2))))</f>
        <v/>
      </c>
      <c r="Z971" s="98">
        <f>IF(B971="","",SUMIFS('MILEAGE'!$J$5:$J$1504,'MILEAGE'!$B$5:$B$1504,A971))</f>
        <v/>
      </c>
      <c r="AA971" s="55">
        <f>IF(B971="","",ROUND(Z971*MileRate,2))</f>
        <v/>
      </c>
      <c r="AB971" s="55">
        <f>IF(B971="","",SUMIFS('REVENUE'!$J$5:$J$1504,'REVENUE'!$B$5:$B$1504,A971))</f>
        <v/>
      </c>
      <c r="AC971" s="55">
        <f>IF(L971="","",IF(OR(O971="Cancelled",O971="No-Show"),"",L971-N(X971)-N(Y971)-AA971-AB971))</f>
        <v/>
      </c>
      <c r="AD971" s="99">
        <f>IF(OR(AC971="",N(L971)=0),"",AC971/L971)</f>
        <v/>
      </c>
      <c r="AE971" s="55">
        <f>IF(OR(AC971="",N(R971)=0),"",L971/R971)</f>
        <v/>
      </c>
      <c r="AF971" s="100">
        <f>IF(OR(N(K971)=0,N(J971)+N(Q971)=0),"",K971-IF(N(J971)&gt;0,J971,Q971))</f>
        <v/>
      </c>
      <c r="AG971" s="99">
        <f>IF(B971="","",IFERROR(AVERAGEIFS('QUALITY CONTROL'!$M$5:$M$304,'QUALITY CONTROL'!$B$5:$B$304,A971),""))</f>
        <v/>
      </c>
      <c r="AH971" s="51">
        <f>IF(B971="","",DATE(YEAR(B971),MONTH(B971),1))</f>
        <v/>
      </c>
      <c r="AI971" s="49">
        <f>IF(D971="","",IFERROR(INDEX('CUSTOMERS'!$E$5:$E$404,MATCH(D971,'CUSTOMERS'!$B$5:$B$404,0)),""))</f>
        <v/>
      </c>
      <c r="AJ971" s="49">
        <f>IF(B971="","",N(C971))</f>
        <v/>
      </c>
      <c r="AK971" s="49">
        <f>IF(OR(B971="",O971="Cancelled",O971="Rescheduled"),"",B971&amp;"|"&amp;(COUNTIFS('JOBS'!$B$5:$B$1504,B971,'JOBS'!$AJ$5:$AJ$1504,"&lt;"&amp;AJ971,'JOBS'!$O$5:$O$1504,"&lt;&gt;Cancelled",'JOBS'!$O$5:$O$1504,"&lt;&gt;Rescheduled")+COUNTIFS($B$5:B971,B971,$AJ$5:AJ971,AJ971,$O$5:O971,"&lt;&gt;Cancelled",$O$5:O971,"&lt;&gt;Rescheduled")))</f>
        <v/>
      </c>
      <c r="AL971" s="49">
        <f>IF(N(U971)&lt;=0.005,"",COUNTIFS('JOBS'!$U$5:$U$1504,"&gt;0.005",'JOBS'!$B$5:$B$1504,"&lt;"&amp;B971)+COUNTIFS($U$5:U971,"&gt;0.005",$B$5:B971,B971))</f>
        <v/>
      </c>
    </row>
    <row r="972">
      <c r="A972" s="46" t="inlineStr">
        <is>
          <t>J-0968</t>
        </is>
      </c>
      <c r="B972" s="47" t="n"/>
      <c r="C972" s="94" t="n"/>
      <c r="D972" s="38" t="n"/>
      <c r="E972" s="38" t="n"/>
      <c r="F972" s="38" t="n"/>
      <c r="G972" s="38" t="n"/>
      <c r="H972" s="38" t="n"/>
      <c r="I972" s="57" t="n"/>
      <c r="J972" s="95" t="n"/>
      <c r="K972" s="95" t="n"/>
      <c r="L972" s="48" t="n"/>
      <c r="M972" s="96" t="n"/>
      <c r="N972" s="48" t="n"/>
      <c r="O972" s="38" t="n"/>
      <c r="P972" s="38" t="n"/>
      <c r="Q972" s="97">
        <f>IF(OR(F972="",E972=""),"",IFERROR(IF(INDEX('PROPERTIES'!$F$5:$F$404,MATCH(E972,'PROPERTIES'!$B$5:$B$404,0))=0,"",ROUND((INDEX('PROPERTIES'!$F$5:$F$404,MATCH(E972,'PROPERTIES'!$B$5:$B$404,0))/INDEX('PRICING'!$C$7:$C$16,MATCH(F972,'PRICING'!$A$7:$A$16,0))+INDEX('PROPERTIES'!$G$5:$G$404,MATCH(E972,'PROPERTIES'!$B$5:$B$404,0))*INDEX('PRICING'!$D$7:$D$16,MATCH(F972,'PRICING'!$A$7:$A$16,0))/60+INDEX('PROPERTIES'!$H$5:$H$404,MATCH(E972,'PROPERTIES'!$B$5:$B$404,0))*INDEX('PRICING'!$E$7:$E$16,MATCH(F972,'PRICING'!$A$7:$A$16,0))/60+INDEX('PRICING'!$F$7:$F$16,MATCH(F972,'PRICING'!$A$7:$A$16,0))/60),2)),""))</f>
        <v/>
      </c>
      <c r="R972" s="97">
        <f>IF(B972="","",IF(N(K972)&gt;0,K972,IF(N(J972)&gt;0,J972,N(Q972))))</f>
        <v/>
      </c>
      <c r="S972" s="55">
        <f>IF(L972="","",ROUND(L972*(1+N(M972)),2))</f>
        <v/>
      </c>
      <c r="T972" s="55">
        <f>IF(B972="","",SUMIFS('REVENUE'!$C$5:$C$1504,'REVENUE'!$B$5:$B$1504,A972))</f>
        <v/>
      </c>
      <c r="U972" s="55">
        <f>IF(B972="","",IF(O972="Completed",MAX(0,N(S972)-T972),""))</f>
        <v/>
      </c>
      <c r="V972" s="49">
        <f>IF(B972="","",IF(O972&lt;&gt;"Completed",IF(T972&gt;0,"Deposit","—"),IF(U972&lt;=0.005,"Paid",IF(T972&gt;0,"Partial","Unpaid"))))</f>
        <v/>
      </c>
      <c r="W972" s="55">
        <f>IF(B972="","",IFERROR(1/(1/INDEX('STAFF &amp; TASKS'!$C$5:$C$24,MATCH(H972,'STAFF &amp; TASKS'!$A$5:$A$24,0))),PayRate))</f>
        <v/>
      </c>
      <c r="X972" s="55">
        <f>IF(B972="","",IF(OR(O972="Cancelled",O972="No-Show"),"",ROUND(R972*W972*(1+Burden),2)))</f>
        <v/>
      </c>
      <c r="Y972" s="55">
        <f>IF(B972="","",IF(OR(O972="Cancelled",O972="No-Show"),"",IF(N972&lt;&gt;"",N972,ROUND(R972*SupHr*IFERROR(INDEX('PRICING'!$G$7:$G$16,MATCH(F972,'PRICING'!$A$7:$A$16,0)),1),2))))</f>
        <v/>
      </c>
      <c r="Z972" s="98">
        <f>IF(B972="","",SUMIFS('MILEAGE'!$J$5:$J$1504,'MILEAGE'!$B$5:$B$1504,A972))</f>
        <v/>
      </c>
      <c r="AA972" s="55">
        <f>IF(B972="","",ROUND(Z972*MileRate,2))</f>
        <v/>
      </c>
      <c r="AB972" s="55">
        <f>IF(B972="","",SUMIFS('REVENUE'!$J$5:$J$1504,'REVENUE'!$B$5:$B$1504,A972))</f>
        <v/>
      </c>
      <c r="AC972" s="55">
        <f>IF(L972="","",IF(OR(O972="Cancelled",O972="No-Show"),"",L972-N(X972)-N(Y972)-AA972-AB972))</f>
        <v/>
      </c>
      <c r="AD972" s="99">
        <f>IF(OR(AC972="",N(L972)=0),"",AC972/L972)</f>
        <v/>
      </c>
      <c r="AE972" s="55">
        <f>IF(OR(AC972="",N(R972)=0),"",L972/R972)</f>
        <v/>
      </c>
      <c r="AF972" s="100">
        <f>IF(OR(N(K972)=0,N(J972)+N(Q972)=0),"",K972-IF(N(J972)&gt;0,J972,Q972))</f>
        <v/>
      </c>
      <c r="AG972" s="99">
        <f>IF(B972="","",IFERROR(AVERAGEIFS('QUALITY CONTROL'!$M$5:$M$304,'QUALITY CONTROL'!$B$5:$B$304,A972),""))</f>
        <v/>
      </c>
      <c r="AH972" s="51">
        <f>IF(B972="","",DATE(YEAR(B972),MONTH(B972),1))</f>
        <v/>
      </c>
      <c r="AI972" s="49">
        <f>IF(D972="","",IFERROR(INDEX('CUSTOMERS'!$E$5:$E$404,MATCH(D972,'CUSTOMERS'!$B$5:$B$404,0)),""))</f>
        <v/>
      </c>
      <c r="AJ972" s="49">
        <f>IF(B972="","",N(C972))</f>
        <v/>
      </c>
      <c r="AK972" s="49">
        <f>IF(OR(B972="",O972="Cancelled",O972="Rescheduled"),"",B972&amp;"|"&amp;(COUNTIFS('JOBS'!$B$5:$B$1504,B972,'JOBS'!$AJ$5:$AJ$1504,"&lt;"&amp;AJ972,'JOBS'!$O$5:$O$1504,"&lt;&gt;Cancelled",'JOBS'!$O$5:$O$1504,"&lt;&gt;Rescheduled")+COUNTIFS($B$5:B972,B972,$AJ$5:AJ972,AJ972,$O$5:O972,"&lt;&gt;Cancelled",$O$5:O972,"&lt;&gt;Rescheduled")))</f>
        <v/>
      </c>
      <c r="AL972" s="49">
        <f>IF(N(U972)&lt;=0.005,"",COUNTIFS('JOBS'!$U$5:$U$1504,"&gt;0.005",'JOBS'!$B$5:$B$1504,"&lt;"&amp;B972)+COUNTIFS($U$5:U972,"&gt;0.005",$B$5:B972,B972))</f>
        <v/>
      </c>
    </row>
    <row r="973">
      <c r="A973" s="46" t="inlineStr">
        <is>
          <t>J-0969</t>
        </is>
      </c>
      <c r="B973" s="47" t="n"/>
      <c r="C973" s="94" t="n"/>
      <c r="D973" s="38" t="n"/>
      <c r="E973" s="38" t="n"/>
      <c r="F973" s="38" t="n"/>
      <c r="G973" s="38" t="n"/>
      <c r="H973" s="38" t="n"/>
      <c r="I973" s="57" t="n"/>
      <c r="J973" s="95" t="n"/>
      <c r="K973" s="95" t="n"/>
      <c r="L973" s="48" t="n"/>
      <c r="M973" s="96" t="n"/>
      <c r="N973" s="48" t="n"/>
      <c r="O973" s="38" t="n"/>
      <c r="P973" s="38" t="n"/>
      <c r="Q973" s="97">
        <f>IF(OR(F973="",E973=""),"",IFERROR(IF(INDEX('PROPERTIES'!$F$5:$F$404,MATCH(E973,'PROPERTIES'!$B$5:$B$404,0))=0,"",ROUND((INDEX('PROPERTIES'!$F$5:$F$404,MATCH(E973,'PROPERTIES'!$B$5:$B$404,0))/INDEX('PRICING'!$C$7:$C$16,MATCH(F973,'PRICING'!$A$7:$A$16,0))+INDEX('PROPERTIES'!$G$5:$G$404,MATCH(E973,'PROPERTIES'!$B$5:$B$404,0))*INDEX('PRICING'!$D$7:$D$16,MATCH(F973,'PRICING'!$A$7:$A$16,0))/60+INDEX('PROPERTIES'!$H$5:$H$404,MATCH(E973,'PROPERTIES'!$B$5:$B$404,0))*INDEX('PRICING'!$E$7:$E$16,MATCH(F973,'PRICING'!$A$7:$A$16,0))/60+INDEX('PRICING'!$F$7:$F$16,MATCH(F973,'PRICING'!$A$7:$A$16,0))/60),2)),""))</f>
        <v/>
      </c>
      <c r="R973" s="97">
        <f>IF(B973="","",IF(N(K973)&gt;0,K973,IF(N(J973)&gt;0,J973,N(Q973))))</f>
        <v/>
      </c>
      <c r="S973" s="55">
        <f>IF(L973="","",ROUND(L973*(1+N(M973)),2))</f>
        <v/>
      </c>
      <c r="T973" s="55">
        <f>IF(B973="","",SUMIFS('REVENUE'!$C$5:$C$1504,'REVENUE'!$B$5:$B$1504,A973))</f>
        <v/>
      </c>
      <c r="U973" s="55">
        <f>IF(B973="","",IF(O973="Completed",MAX(0,N(S973)-T973),""))</f>
        <v/>
      </c>
      <c r="V973" s="49">
        <f>IF(B973="","",IF(O973&lt;&gt;"Completed",IF(T973&gt;0,"Deposit","—"),IF(U973&lt;=0.005,"Paid",IF(T973&gt;0,"Partial","Unpaid"))))</f>
        <v/>
      </c>
      <c r="W973" s="55">
        <f>IF(B973="","",IFERROR(1/(1/INDEX('STAFF &amp; TASKS'!$C$5:$C$24,MATCH(H973,'STAFF &amp; TASKS'!$A$5:$A$24,0))),PayRate))</f>
        <v/>
      </c>
      <c r="X973" s="55">
        <f>IF(B973="","",IF(OR(O973="Cancelled",O973="No-Show"),"",ROUND(R973*W973*(1+Burden),2)))</f>
        <v/>
      </c>
      <c r="Y973" s="55">
        <f>IF(B973="","",IF(OR(O973="Cancelled",O973="No-Show"),"",IF(N973&lt;&gt;"",N973,ROUND(R973*SupHr*IFERROR(INDEX('PRICING'!$G$7:$G$16,MATCH(F973,'PRICING'!$A$7:$A$16,0)),1),2))))</f>
        <v/>
      </c>
      <c r="Z973" s="98">
        <f>IF(B973="","",SUMIFS('MILEAGE'!$J$5:$J$1504,'MILEAGE'!$B$5:$B$1504,A973))</f>
        <v/>
      </c>
      <c r="AA973" s="55">
        <f>IF(B973="","",ROUND(Z973*MileRate,2))</f>
        <v/>
      </c>
      <c r="AB973" s="55">
        <f>IF(B973="","",SUMIFS('REVENUE'!$J$5:$J$1504,'REVENUE'!$B$5:$B$1504,A973))</f>
        <v/>
      </c>
      <c r="AC973" s="55">
        <f>IF(L973="","",IF(OR(O973="Cancelled",O973="No-Show"),"",L973-N(X973)-N(Y973)-AA973-AB973))</f>
        <v/>
      </c>
      <c r="AD973" s="99">
        <f>IF(OR(AC973="",N(L973)=0),"",AC973/L973)</f>
        <v/>
      </c>
      <c r="AE973" s="55">
        <f>IF(OR(AC973="",N(R973)=0),"",L973/R973)</f>
        <v/>
      </c>
      <c r="AF973" s="100">
        <f>IF(OR(N(K973)=0,N(J973)+N(Q973)=0),"",K973-IF(N(J973)&gt;0,J973,Q973))</f>
        <v/>
      </c>
      <c r="AG973" s="99">
        <f>IF(B973="","",IFERROR(AVERAGEIFS('QUALITY CONTROL'!$M$5:$M$304,'QUALITY CONTROL'!$B$5:$B$304,A973),""))</f>
        <v/>
      </c>
      <c r="AH973" s="51">
        <f>IF(B973="","",DATE(YEAR(B973),MONTH(B973),1))</f>
        <v/>
      </c>
      <c r="AI973" s="49">
        <f>IF(D973="","",IFERROR(INDEX('CUSTOMERS'!$E$5:$E$404,MATCH(D973,'CUSTOMERS'!$B$5:$B$404,0)),""))</f>
        <v/>
      </c>
      <c r="AJ973" s="49">
        <f>IF(B973="","",N(C973))</f>
        <v/>
      </c>
      <c r="AK973" s="49">
        <f>IF(OR(B973="",O973="Cancelled",O973="Rescheduled"),"",B973&amp;"|"&amp;(COUNTIFS('JOBS'!$B$5:$B$1504,B973,'JOBS'!$AJ$5:$AJ$1504,"&lt;"&amp;AJ973,'JOBS'!$O$5:$O$1504,"&lt;&gt;Cancelled",'JOBS'!$O$5:$O$1504,"&lt;&gt;Rescheduled")+COUNTIFS($B$5:B973,B973,$AJ$5:AJ973,AJ973,$O$5:O973,"&lt;&gt;Cancelled",$O$5:O973,"&lt;&gt;Rescheduled")))</f>
        <v/>
      </c>
      <c r="AL973" s="49">
        <f>IF(N(U973)&lt;=0.005,"",COUNTIFS('JOBS'!$U$5:$U$1504,"&gt;0.005",'JOBS'!$B$5:$B$1504,"&lt;"&amp;B973)+COUNTIFS($U$5:U973,"&gt;0.005",$B$5:B973,B973))</f>
        <v/>
      </c>
    </row>
    <row r="974">
      <c r="A974" s="46" t="inlineStr">
        <is>
          <t>J-0970</t>
        </is>
      </c>
      <c r="B974" s="47" t="n"/>
      <c r="C974" s="94" t="n"/>
      <c r="D974" s="38" t="n"/>
      <c r="E974" s="38" t="n"/>
      <c r="F974" s="38" t="n"/>
      <c r="G974" s="38" t="n"/>
      <c r="H974" s="38" t="n"/>
      <c r="I974" s="57" t="n"/>
      <c r="J974" s="95" t="n"/>
      <c r="K974" s="95" t="n"/>
      <c r="L974" s="48" t="n"/>
      <c r="M974" s="96" t="n"/>
      <c r="N974" s="48" t="n"/>
      <c r="O974" s="38" t="n"/>
      <c r="P974" s="38" t="n"/>
      <c r="Q974" s="97">
        <f>IF(OR(F974="",E974=""),"",IFERROR(IF(INDEX('PROPERTIES'!$F$5:$F$404,MATCH(E974,'PROPERTIES'!$B$5:$B$404,0))=0,"",ROUND((INDEX('PROPERTIES'!$F$5:$F$404,MATCH(E974,'PROPERTIES'!$B$5:$B$404,0))/INDEX('PRICING'!$C$7:$C$16,MATCH(F974,'PRICING'!$A$7:$A$16,0))+INDEX('PROPERTIES'!$G$5:$G$404,MATCH(E974,'PROPERTIES'!$B$5:$B$404,0))*INDEX('PRICING'!$D$7:$D$16,MATCH(F974,'PRICING'!$A$7:$A$16,0))/60+INDEX('PROPERTIES'!$H$5:$H$404,MATCH(E974,'PROPERTIES'!$B$5:$B$404,0))*INDEX('PRICING'!$E$7:$E$16,MATCH(F974,'PRICING'!$A$7:$A$16,0))/60+INDEX('PRICING'!$F$7:$F$16,MATCH(F974,'PRICING'!$A$7:$A$16,0))/60),2)),""))</f>
        <v/>
      </c>
      <c r="R974" s="97">
        <f>IF(B974="","",IF(N(K974)&gt;0,K974,IF(N(J974)&gt;0,J974,N(Q974))))</f>
        <v/>
      </c>
      <c r="S974" s="55">
        <f>IF(L974="","",ROUND(L974*(1+N(M974)),2))</f>
        <v/>
      </c>
      <c r="T974" s="55">
        <f>IF(B974="","",SUMIFS('REVENUE'!$C$5:$C$1504,'REVENUE'!$B$5:$B$1504,A974))</f>
        <v/>
      </c>
      <c r="U974" s="55">
        <f>IF(B974="","",IF(O974="Completed",MAX(0,N(S974)-T974),""))</f>
        <v/>
      </c>
      <c r="V974" s="49">
        <f>IF(B974="","",IF(O974&lt;&gt;"Completed",IF(T974&gt;0,"Deposit","—"),IF(U974&lt;=0.005,"Paid",IF(T974&gt;0,"Partial","Unpaid"))))</f>
        <v/>
      </c>
      <c r="W974" s="55">
        <f>IF(B974="","",IFERROR(1/(1/INDEX('STAFF &amp; TASKS'!$C$5:$C$24,MATCH(H974,'STAFF &amp; TASKS'!$A$5:$A$24,0))),PayRate))</f>
        <v/>
      </c>
      <c r="X974" s="55">
        <f>IF(B974="","",IF(OR(O974="Cancelled",O974="No-Show"),"",ROUND(R974*W974*(1+Burden),2)))</f>
        <v/>
      </c>
      <c r="Y974" s="55">
        <f>IF(B974="","",IF(OR(O974="Cancelled",O974="No-Show"),"",IF(N974&lt;&gt;"",N974,ROUND(R974*SupHr*IFERROR(INDEX('PRICING'!$G$7:$G$16,MATCH(F974,'PRICING'!$A$7:$A$16,0)),1),2))))</f>
        <v/>
      </c>
      <c r="Z974" s="98">
        <f>IF(B974="","",SUMIFS('MILEAGE'!$J$5:$J$1504,'MILEAGE'!$B$5:$B$1504,A974))</f>
        <v/>
      </c>
      <c r="AA974" s="55">
        <f>IF(B974="","",ROUND(Z974*MileRate,2))</f>
        <v/>
      </c>
      <c r="AB974" s="55">
        <f>IF(B974="","",SUMIFS('REVENUE'!$J$5:$J$1504,'REVENUE'!$B$5:$B$1504,A974))</f>
        <v/>
      </c>
      <c r="AC974" s="55">
        <f>IF(L974="","",IF(OR(O974="Cancelled",O974="No-Show"),"",L974-N(X974)-N(Y974)-AA974-AB974))</f>
        <v/>
      </c>
      <c r="AD974" s="99">
        <f>IF(OR(AC974="",N(L974)=0),"",AC974/L974)</f>
        <v/>
      </c>
      <c r="AE974" s="55">
        <f>IF(OR(AC974="",N(R974)=0),"",L974/R974)</f>
        <v/>
      </c>
      <c r="AF974" s="100">
        <f>IF(OR(N(K974)=0,N(J974)+N(Q974)=0),"",K974-IF(N(J974)&gt;0,J974,Q974))</f>
        <v/>
      </c>
      <c r="AG974" s="99">
        <f>IF(B974="","",IFERROR(AVERAGEIFS('QUALITY CONTROL'!$M$5:$M$304,'QUALITY CONTROL'!$B$5:$B$304,A974),""))</f>
        <v/>
      </c>
      <c r="AH974" s="51">
        <f>IF(B974="","",DATE(YEAR(B974),MONTH(B974),1))</f>
        <v/>
      </c>
      <c r="AI974" s="49">
        <f>IF(D974="","",IFERROR(INDEX('CUSTOMERS'!$E$5:$E$404,MATCH(D974,'CUSTOMERS'!$B$5:$B$404,0)),""))</f>
        <v/>
      </c>
      <c r="AJ974" s="49">
        <f>IF(B974="","",N(C974))</f>
        <v/>
      </c>
      <c r="AK974" s="49">
        <f>IF(OR(B974="",O974="Cancelled",O974="Rescheduled"),"",B974&amp;"|"&amp;(COUNTIFS('JOBS'!$B$5:$B$1504,B974,'JOBS'!$AJ$5:$AJ$1504,"&lt;"&amp;AJ974,'JOBS'!$O$5:$O$1504,"&lt;&gt;Cancelled",'JOBS'!$O$5:$O$1504,"&lt;&gt;Rescheduled")+COUNTIFS($B$5:B974,B974,$AJ$5:AJ974,AJ974,$O$5:O974,"&lt;&gt;Cancelled",$O$5:O974,"&lt;&gt;Rescheduled")))</f>
        <v/>
      </c>
      <c r="AL974" s="49">
        <f>IF(N(U974)&lt;=0.005,"",COUNTIFS('JOBS'!$U$5:$U$1504,"&gt;0.005",'JOBS'!$B$5:$B$1504,"&lt;"&amp;B974)+COUNTIFS($U$5:U974,"&gt;0.005",$B$5:B974,B974))</f>
        <v/>
      </c>
    </row>
    <row r="975">
      <c r="A975" s="46" t="inlineStr">
        <is>
          <t>J-0971</t>
        </is>
      </c>
      <c r="B975" s="47" t="n"/>
      <c r="C975" s="94" t="n"/>
      <c r="D975" s="38" t="n"/>
      <c r="E975" s="38" t="n"/>
      <c r="F975" s="38" t="n"/>
      <c r="G975" s="38" t="n"/>
      <c r="H975" s="38" t="n"/>
      <c r="I975" s="57" t="n"/>
      <c r="J975" s="95" t="n"/>
      <c r="K975" s="95" t="n"/>
      <c r="L975" s="48" t="n"/>
      <c r="M975" s="96" t="n"/>
      <c r="N975" s="48" t="n"/>
      <c r="O975" s="38" t="n"/>
      <c r="P975" s="38" t="n"/>
      <c r="Q975" s="97">
        <f>IF(OR(F975="",E975=""),"",IFERROR(IF(INDEX('PROPERTIES'!$F$5:$F$404,MATCH(E975,'PROPERTIES'!$B$5:$B$404,0))=0,"",ROUND((INDEX('PROPERTIES'!$F$5:$F$404,MATCH(E975,'PROPERTIES'!$B$5:$B$404,0))/INDEX('PRICING'!$C$7:$C$16,MATCH(F975,'PRICING'!$A$7:$A$16,0))+INDEX('PROPERTIES'!$G$5:$G$404,MATCH(E975,'PROPERTIES'!$B$5:$B$404,0))*INDEX('PRICING'!$D$7:$D$16,MATCH(F975,'PRICING'!$A$7:$A$16,0))/60+INDEX('PROPERTIES'!$H$5:$H$404,MATCH(E975,'PROPERTIES'!$B$5:$B$404,0))*INDEX('PRICING'!$E$7:$E$16,MATCH(F975,'PRICING'!$A$7:$A$16,0))/60+INDEX('PRICING'!$F$7:$F$16,MATCH(F975,'PRICING'!$A$7:$A$16,0))/60),2)),""))</f>
        <v/>
      </c>
      <c r="R975" s="97">
        <f>IF(B975="","",IF(N(K975)&gt;0,K975,IF(N(J975)&gt;0,J975,N(Q975))))</f>
        <v/>
      </c>
      <c r="S975" s="55">
        <f>IF(L975="","",ROUND(L975*(1+N(M975)),2))</f>
        <v/>
      </c>
      <c r="T975" s="55">
        <f>IF(B975="","",SUMIFS('REVENUE'!$C$5:$C$1504,'REVENUE'!$B$5:$B$1504,A975))</f>
        <v/>
      </c>
      <c r="U975" s="55">
        <f>IF(B975="","",IF(O975="Completed",MAX(0,N(S975)-T975),""))</f>
        <v/>
      </c>
      <c r="V975" s="49">
        <f>IF(B975="","",IF(O975&lt;&gt;"Completed",IF(T975&gt;0,"Deposit","—"),IF(U975&lt;=0.005,"Paid",IF(T975&gt;0,"Partial","Unpaid"))))</f>
        <v/>
      </c>
      <c r="W975" s="55">
        <f>IF(B975="","",IFERROR(1/(1/INDEX('STAFF &amp; TASKS'!$C$5:$C$24,MATCH(H975,'STAFF &amp; TASKS'!$A$5:$A$24,0))),PayRate))</f>
        <v/>
      </c>
      <c r="X975" s="55">
        <f>IF(B975="","",IF(OR(O975="Cancelled",O975="No-Show"),"",ROUND(R975*W975*(1+Burden),2)))</f>
        <v/>
      </c>
      <c r="Y975" s="55">
        <f>IF(B975="","",IF(OR(O975="Cancelled",O975="No-Show"),"",IF(N975&lt;&gt;"",N975,ROUND(R975*SupHr*IFERROR(INDEX('PRICING'!$G$7:$G$16,MATCH(F975,'PRICING'!$A$7:$A$16,0)),1),2))))</f>
        <v/>
      </c>
      <c r="Z975" s="98">
        <f>IF(B975="","",SUMIFS('MILEAGE'!$J$5:$J$1504,'MILEAGE'!$B$5:$B$1504,A975))</f>
        <v/>
      </c>
      <c r="AA975" s="55">
        <f>IF(B975="","",ROUND(Z975*MileRate,2))</f>
        <v/>
      </c>
      <c r="AB975" s="55">
        <f>IF(B975="","",SUMIFS('REVENUE'!$J$5:$J$1504,'REVENUE'!$B$5:$B$1504,A975))</f>
        <v/>
      </c>
      <c r="AC975" s="55">
        <f>IF(L975="","",IF(OR(O975="Cancelled",O975="No-Show"),"",L975-N(X975)-N(Y975)-AA975-AB975))</f>
        <v/>
      </c>
      <c r="AD975" s="99">
        <f>IF(OR(AC975="",N(L975)=0),"",AC975/L975)</f>
        <v/>
      </c>
      <c r="AE975" s="55">
        <f>IF(OR(AC975="",N(R975)=0),"",L975/R975)</f>
        <v/>
      </c>
      <c r="AF975" s="100">
        <f>IF(OR(N(K975)=0,N(J975)+N(Q975)=0),"",K975-IF(N(J975)&gt;0,J975,Q975))</f>
        <v/>
      </c>
      <c r="AG975" s="99">
        <f>IF(B975="","",IFERROR(AVERAGEIFS('QUALITY CONTROL'!$M$5:$M$304,'QUALITY CONTROL'!$B$5:$B$304,A975),""))</f>
        <v/>
      </c>
      <c r="AH975" s="51">
        <f>IF(B975="","",DATE(YEAR(B975),MONTH(B975),1))</f>
        <v/>
      </c>
      <c r="AI975" s="49">
        <f>IF(D975="","",IFERROR(INDEX('CUSTOMERS'!$E$5:$E$404,MATCH(D975,'CUSTOMERS'!$B$5:$B$404,0)),""))</f>
        <v/>
      </c>
      <c r="AJ975" s="49">
        <f>IF(B975="","",N(C975))</f>
        <v/>
      </c>
      <c r="AK975" s="49">
        <f>IF(OR(B975="",O975="Cancelled",O975="Rescheduled"),"",B975&amp;"|"&amp;(COUNTIFS('JOBS'!$B$5:$B$1504,B975,'JOBS'!$AJ$5:$AJ$1504,"&lt;"&amp;AJ975,'JOBS'!$O$5:$O$1504,"&lt;&gt;Cancelled",'JOBS'!$O$5:$O$1504,"&lt;&gt;Rescheduled")+COUNTIFS($B$5:B975,B975,$AJ$5:AJ975,AJ975,$O$5:O975,"&lt;&gt;Cancelled",$O$5:O975,"&lt;&gt;Rescheduled")))</f>
        <v/>
      </c>
      <c r="AL975" s="49">
        <f>IF(N(U975)&lt;=0.005,"",COUNTIFS('JOBS'!$U$5:$U$1504,"&gt;0.005",'JOBS'!$B$5:$B$1504,"&lt;"&amp;B975)+COUNTIFS($U$5:U975,"&gt;0.005",$B$5:B975,B975))</f>
        <v/>
      </c>
    </row>
    <row r="976">
      <c r="A976" s="46" t="inlineStr">
        <is>
          <t>J-0972</t>
        </is>
      </c>
      <c r="B976" s="47" t="n"/>
      <c r="C976" s="94" t="n"/>
      <c r="D976" s="38" t="n"/>
      <c r="E976" s="38" t="n"/>
      <c r="F976" s="38" t="n"/>
      <c r="G976" s="38" t="n"/>
      <c r="H976" s="38" t="n"/>
      <c r="I976" s="57" t="n"/>
      <c r="J976" s="95" t="n"/>
      <c r="K976" s="95" t="n"/>
      <c r="L976" s="48" t="n"/>
      <c r="M976" s="96" t="n"/>
      <c r="N976" s="48" t="n"/>
      <c r="O976" s="38" t="n"/>
      <c r="P976" s="38" t="n"/>
      <c r="Q976" s="97">
        <f>IF(OR(F976="",E976=""),"",IFERROR(IF(INDEX('PROPERTIES'!$F$5:$F$404,MATCH(E976,'PROPERTIES'!$B$5:$B$404,0))=0,"",ROUND((INDEX('PROPERTIES'!$F$5:$F$404,MATCH(E976,'PROPERTIES'!$B$5:$B$404,0))/INDEX('PRICING'!$C$7:$C$16,MATCH(F976,'PRICING'!$A$7:$A$16,0))+INDEX('PROPERTIES'!$G$5:$G$404,MATCH(E976,'PROPERTIES'!$B$5:$B$404,0))*INDEX('PRICING'!$D$7:$D$16,MATCH(F976,'PRICING'!$A$7:$A$16,0))/60+INDEX('PROPERTIES'!$H$5:$H$404,MATCH(E976,'PROPERTIES'!$B$5:$B$404,0))*INDEX('PRICING'!$E$7:$E$16,MATCH(F976,'PRICING'!$A$7:$A$16,0))/60+INDEX('PRICING'!$F$7:$F$16,MATCH(F976,'PRICING'!$A$7:$A$16,0))/60),2)),""))</f>
        <v/>
      </c>
      <c r="R976" s="97">
        <f>IF(B976="","",IF(N(K976)&gt;0,K976,IF(N(J976)&gt;0,J976,N(Q976))))</f>
        <v/>
      </c>
      <c r="S976" s="55">
        <f>IF(L976="","",ROUND(L976*(1+N(M976)),2))</f>
        <v/>
      </c>
      <c r="T976" s="55">
        <f>IF(B976="","",SUMIFS('REVENUE'!$C$5:$C$1504,'REVENUE'!$B$5:$B$1504,A976))</f>
        <v/>
      </c>
      <c r="U976" s="55">
        <f>IF(B976="","",IF(O976="Completed",MAX(0,N(S976)-T976),""))</f>
        <v/>
      </c>
      <c r="V976" s="49">
        <f>IF(B976="","",IF(O976&lt;&gt;"Completed",IF(T976&gt;0,"Deposit","—"),IF(U976&lt;=0.005,"Paid",IF(T976&gt;0,"Partial","Unpaid"))))</f>
        <v/>
      </c>
      <c r="W976" s="55">
        <f>IF(B976="","",IFERROR(1/(1/INDEX('STAFF &amp; TASKS'!$C$5:$C$24,MATCH(H976,'STAFF &amp; TASKS'!$A$5:$A$24,0))),PayRate))</f>
        <v/>
      </c>
      <c r="X976" s="55">
        <f>IF(B976="","",IF(OR(O976="Cancelled",O976="No-Show"),"",ROUND(R976*W976*(1+Burden),2)))</f>
        <v/>
      </c>
      <c r="Y976" s="55">
        <f>IF(B976="","",IF(OR(O976="Cancelled",O976="No-Show"),"",IF(N976&lt;&gt;"",N976,ROUND(R976*SupHr*IFERROR(INDEX('PRICING'!$G$7:$G$16,MATCH(F976,'PRICING'!$A$7:$A$16,0)),1),2))))</f>
        <v/>
      </c>
      <c r="Z976" s="98">
        <f>IF(B976="","",SUMIFS('MILEAGE'!$J$5:$J$1504,'MILEAGE'!$B$5:$B$1504,A976))</f>
        <v/>
      </c>
      <c r="AA976" s="55">
        <f>IF(B976="","",ROUND(Z976*MileRate,2))</f>
        <v/>
      </c>
      <c r="AB976" s="55">
        <f>IF(B976="","",SUMIFS('REVENUE'!$J$5:$J$1504,'REVENUE'!$B$5:$B$1504,A976))</f>
        <v/>
      </c>
      <c r="AC976" s="55">
        <f>IF(L976="","",IF(OR(O976="Cancelled",O976="No-Show"),"",L976-N(X976)-N(Y976)-AA976-AB976))</f>
        <v/>
      </c>
      <c r="AD976" s="99">
        <f>IF(OR(AC976="",N(L976)=0),"",AC976/L976)</f>
        <v/>
      </c>
      <c r="AE976" s="55">
        <f>IF(OR(AC976="",N(R976)=0),"",L976/R976)</f>
        <v/>
      </c>
      <c r="AF976" s="100">
        <f>IF(OR(N(K976)=0,N(J976)+N(Q976)=0),"",K976-IF(N(J976)&gt;0,J976,Q976))</f>
        <v/>
      </c>
      <c r="AG976" s="99">
        <f>IF(B976="","",IFERROR(AVERAGEIFS('QUALITY CONTROL'!$M$5:$M$304,'QUALITY CONTROL'!$B$5:$B$304,A976),""))</f>
        <v/>
      </c>
      <c r="AH976" s="51">
        <f>IF(B976="","",DATE(YEAR(B976),MONTH(B976),1))</f>
        <v/>
      </c>
      <c r="AI976" s="49">
        <f>IF(D976="","",IFERROR(INDEX('CUSTOMERS'!$E$5:$E$404,MATCH(D976,'CUSTOMERS'!$B$5:$B$404,0)),""))</f>
        <v/>
      </c>
      <c r="AJ976" s="49">
        <f>IF(B976="","",N(C976))</f>
        <v/>
      </c>
      <c r="AK976" s="49">
        <f>IF(OR(B976="",O976="Cancelled",O976="Rescheduled"),"",B976&amp;"|"&amp;(COUNTIFS('JOBS'!$B$5:$B$1504,B976,'JOBS'!$AJ$5:$AJ$1504,"&lt;"&amp;AJ976,'JOBS'!$O$5:$O$1504,"&lt;&gt;Cancelled",'JOBS'!$O$5:$O$1504,"&lt;&gt;Rescheduled")+COUNTIFS($B$5:B976,B976,$AJ$5:AJ976,AJ976,$O$5:O976,"&lt;&gt;Cancelled",$O$5:O976,"&lt;&gt;Rescheduled")))</f>
        <v/>
      </c>
      <c r="AL976" s="49">
        <f>IF(N(U976)&lt;=0.005,"",COUNTIFS('JOBS'!$U$5:$U$1504,"&gt;0.005",'JOBS'!$B$5:$B$1504,"&lt;"&amp;B976)+COUNTIFS($U$5:U976,"&gt;0.005",$B$5:B976,B976))</f>
        <v/>
      </c>
    </row>
    <row r="977">
      <c r="A977" s="46" t="inlineStr">
        <is>
          <t>J-0973</t>
        </is>
      </c>
      <c r="B977" s="47" t="n"/>
      <c r="C977" s="94" t="n"/>
      <c r="D977" s="38" t="n"/>
      <c r="E977" s="38" t="n"/>
      <c r="F977" s="38" t="n"/>
      <c r="G977" s="38" t="n"/>
      <c r="H977" s="38" t="n"/>
      <c r="I977" s="57" t="n"/>
      <c r="J977" s="95" t="n"/>
      <c r="K977" s="95" t="n"/>
      <c r="L977" s="48" t="n"/>
      <c r="M977" s="96" t="n"/>
      <c r="N977" s="48" t="n"/>
      <c r="O977" s="38" t="n"/>
      <c r="P977" s="38" t="n"/>
      <c r="Q977" s="97">
        <f>IF(OR(F977="",E977=""),"",IFERROR(IF(INDEX('PROPERTIES'!$F$5:$F$404,MATCH(E977,'PROPERTIES'!$B$5:$B$404,0))=0,"",ROUND((INDEX('PROPERTIES'!$F$5:$F$404,MATCH(E977,'PROPERTIES'!$B$5:$B$404,0))/INDEX('PRICING'!$C$7:$C$16,MATCH(F977,'PRICING'!$A$7:$A$16,0))+INDEX('PROPERTIES'!$G$5:$G$404,MATCH(E977,'PROPERTIES'!$B$5:$B$404,0))*INDEX('PRICING'!$D$7:$D$16,MATCH(F977,'PRICING'!$A$7:$A$16,0))/60+INDEX('PROPERTIES'!$H$5:$H$404,MATCH(E977,'PROPERTIES'!$B$5:$B$404,0))*INDEX('PRICING'!$E$7:$E$16,MATCH(F977,'PRICING'!$A$7:$A$16,0))/60+INDEX('PRICING'!$F$7:$F$16,MATCH(F977,'PRICING'!$A$7:$A$16,0))/60),2)),""))</f>
        <v/>
      </c>
      <c r="R977" s="97">
        <f>IF(B977="","",IF(N(K977)&gt;0,K977,IF(N(J977)&gt;0,J977,N(Q977))))</f>
        <v/>
      </c>
      <c r="S977" s="55">
        <f>IF(L977="","",ROUND(L977*(1+N(M977)),2))</f>
        <v/>
      </c>
      <c r="T977" s="55">
        <f>IF(B977="","",SUMIFS('REVENUE'!$C$5:$C$1504,'REVENUE'!$B$5:$B$1504,A977))</f>
        <v/>
      </c>
      <c r="U977" s="55">
        <f>IF(B977="","",IF(O977="Completed",MAX(0,N(S977)-T977),""))</f>
        <v/>
      </c>
      <c r="V977" s="49">
        <f>IF(B977="","",IF(O977&lt;&gt;"Completed",IF(T977&gt;0,"Deposit","—"),IF(U977&lt;=0.005,"Paid",IF(T977&gt;0,"Partial","Unpaid"))))</f>
        <v/>
      </c>
      <c r="W977" s="55">
        <f>IF(B977="","",IFERROR(1/(1/INDEX('STAFF &amp; TASKS'!$C$5:$C$24,MATCH(H977,'STAFF &amp; TASKS'!$A$5:$A$24,0))),PayRate))</f>
        <v/>
      </c>
      <c r="X977" s="55">
        <f>IF(B977="","",IF(OR(O977="Cancelled",O977="No-Show"),"",ROUND(R977*W977*(1+Burden),2)))</f>
        <v/>
      </c>
      <c r="Y977" s="55">
        <f>IF(B977="","",IF(OR(O977="Cancelled",O977="No-Show"),"",IF(N977&lt;&gt;"",N977,ROUND(R977*SupHr*IFERROR(INDEX('PRICING'!$G$7:$G$16,MATCH(F977,'PRICING'!$A$7:$A$16,0)),1),2))))</f>
        <v/>
      </c>
      <c r="Z977" s="98">
        <f>IF(B977="","",SUMIFS('MILEAGE'!$J$5:$J$1504,'MILEAGE'!$B$5:$B$1504,A977))</f>
        <v/>
      </c>
      <c r="AA977" s="55">
        <f>IF(B977="","",ROUND(Z977*MileRate,2))</f>
        <v/>
      </c>
      <c r="AB977" s="55">
        <f>IF(B977="","",SUMIFS('REVENUE'!$J$5:$J$1504,'REVENUE'!$B$5:$B$1504,A977))</f>
        <v/>
      </c>
      <c r="AC977" s="55">
        <f>IF(L977="","",IF(OR(O977="Cancelled",O977="No-Show"),"",L977-N(X977)-N(Y977)-AA977-AB977))</f>
        <v/>
      </c>
      <c r="AD977" s="99">
        <f>IF(OR(AC977="",N(L977)=0),"",AC977/L977)</f>
        <v/>
      </c>
      <c r="AE977" s="55">
        <f>IF(OR(AC977="",N(R977)=0),"",L977/R977)</f>
        <v/>
      </c>
      <c r="AF977" s="100">
        <f>IF(OR(N(K977)=0,N(J977)+N(Q977)=0),"",K977-IF(N(J977)&gt;0,J977,Q977))</f>
        <v/>
      </c>
      <c r="AG977" s="99">
        <f>IF(B977="","",IFERROR(AVERAGEIFS('QUALITY CONTROL'!$M$5:$M$304,'QUALITY CONTROL'!$B$5:$B$304,A977),""))</f>
        <v/>
      </c>
      <c r="AH977" s="51">
        <f>IF(B977="","",DATE(YEAR(B977),MONTH(B977),1))</f>
        <v/>
      </c>
      <c r="AI977" s="49">
        <f>IF(D977="","",IFERROR(INDEX('CUSTOMERS'!$E$5:$E$404,MATCH(D977,'CUSTOMERS'!$B$5:$B$404,0)),""))</f>
        <v/>
      </c>
      <c r="AJ977" s="49">
        <f>IF(B977="","",N(C977))</f>
        <v/>
      </c>
      <c r="AK977" s="49">
        <f>IF(OR(B977="",O977="Cancelled",O977="Rescheduled"),"",B977&amp;"|"&amp;(COUNTIFS('JOBS'!$B$5:$B$1504,B977,'JOBS'!$AJ$5:$AJ$1504,"&lt;"&amp;AJ977,'JOBS'!$O$5:$O$1504,"&lt;&gt;Cancelled",'JOBS'!$O$5:$O$1504,"&lt;&gt;Rescheduled")+COUNTIFS($B$5:B977,B977,$AJ$5:AJ977,AJ977,$O$5:O977,"&lt;&gt;Cancelled",$O$5:O977,"&lt;&gt;Rescheduled")))</f>
        <v/>
      </c>
      <c r="AL977" s="49">
        <f>IF(N(U977)&lt;=0.005,"",COUNTIFS('JOBS'!$U$5:$U$1504,"&gt;0.005",'JOBS'!$B$5:$B$1504,"&lt;"&amp;B977)+COUNTIFS($U$5:U977,"&gt;0.005",$B$5:B977,B977))</f>
        <v/>
      </c>
    </row>
    <row r="978">
      <c r="A978" s="46" t="inlineStr">
        <is>
          <t>J-0974</t>
        </is>
      </c>
      <c r="B978" s="47" t="n"/>
      <c r="C978" s="94" t="n"/>
      <c r="D978" s="38" t="n"/>
      <c r="E978" s="38" t="n"/>
      <c r="F978" s="38" t="n"/>
      <c r="G978" s="38" t="n"/>
      <c r="H978" s="38" t="n"/>
      <c r="I978" s="57" t="n"/>
      <c r="J978" s="95" t="n"/>
      <c r="K978" s="95" t="n"/>
      <c r="L978" s="48" t="n"/>
      <c r="M978" s="96" t="n"/>
      <c r="N978" s="48" t="n"/>
      <c r="O978" s="38" t="n"/>
      <c r="P978" s="38" t="n"/>
      <c r="Q978" s="97">
        <f>IF(OR(F978="",E978=""),"",IFERROR(IF(INDEX('PROPERTIES'!$F$5:$F$404,MATCH(E978,'PROPERTIES'!$B$5:$B$404,0))=0,"",ROUND((INDEX('PROPERTIES'!$F$5:$F$404,MATCH(E978,'PROPERTIES'!$B$5:$B$404,0))/INDEX('PRICING'!$C$7:$C$16,MATCH(F978,'PRICING'!$A$7:$A$16,0))+INDEX('PROPERTIES'!$G$5:$G$404,MATCH(E978,'PROPERTIES'!$B$5:$B$404,0))*INDEX('PRICING'!$D$7:$D$16,MATCH(F978,'PRICING'!$A$7:$A$16,0))/60+INDEX('PROPERTIES'!$H$5:$H$404,MATCH(E978,'PROPERTIES'!$B$5:$B$404,0))*INDEX('PRICING'!$E$7:$E$16,MATCH(F978,'PRICING'!$A$7:$A$16,0))/60+INDEX('PRICING'!$F$7:$F$16,MATCH(F978,'PRICING'!$A$7:$A$16,0))/60),2)),""))</f>
        <v/>
      </c>
      <c r="R978" s="97">
        <f>IF(B978="","",IF(N(K978)&gt;0,K978,IF(N(J978)&gt;0,J978,N(Q978))))</f>
        <v/>
      </c>
      <c r="S978" s="55">
        <f>IF(L978="","",ROUND(L978*(1+N(M978)),2))</f>
        <v/>
      </c>
      <c r="T978" s="55">
        <f>IF(B978="","",SUMIFS('REVENUE'!$C$5:$C$1504,'REVENUE'!$B$5:$B$1504,A978))</f>
        <v/>
      </c>
      <c r="U978" s="55">
        <f>IF(B978="","",IF(O978="Completed",MAX(0,N(S978)-T978),""))</f>
        <v/>
      </c>
      <c r="V978" s="49">
        <f>IF(B978="","",IF(O978&lt;&gt;"Completed",IF(T978&gt;0,"Deposit","—"),IF(U978&lt;=0.005,"Paid",IF(T978&gt;0,"Partial","Unpaid"))))</f>
        <v/>
      </c>
      <c r="W978" s="55">
        <f>IF(B978="","",IFERROR(1/(1/INDEX('STAFF &amp; TASKS'!$C$5:$C$24,MATCH(H978,'STAFF &amp; TASKS'!$A$5:$A$24,0))),PayRate))</f>
        <v/>
      </c>
      <c r="X978" s="55">
        <f>IF(B978="","",IF(OR(O978="Cancelled",O978="No-Show"),"",ROUND(R978*W978*(1+Burden),2)))</f>
        <v/>
      </c>
      <c r="Y978" s="55">
        <f>IF(B978="","",IF(OR(O978="Cancelled",O978="No-Show"),"",IF(N978&lt;&gt;"",N978,ROUND(R978*SupHr*IFERROR(INDEX('PRICING'!$G$7:$G$16,MATCH(F978,'PRICING'!$A$7:$A$16,0)),1),2))))</f>
        <v/>
      </c>
      <c r="Z978" s="98">
        <f>IF(B978="","",SUMIFS('MILEAGE'!$J$5:$J$1504,'MILEAGE'!$B$5:$B$1504,A978))</f>
        <v/>
      </c>
      <c r="AA978" s="55">
        <f>IF(B978="","",ROUND(Z978*MileRate,2))</f>
        <v/>
      </c>
      <c r="AB978" s="55">
        <f>IF(B978="","",SUMIFS('REVENUE'!$J$5:$J$1504,'REVENUE'!$B$5:$B$1504,A978))</f>
        <v/>
      </c>
      <c r="AC978" s="55">
        <f>IF(L978="","",IF(OR(O978="Cancelled",O978="No-Show"),"",L978-N(X978)-N(Y978)-AA978-AB978))</f>
        <v/>
      </c>
      <c r="AD978" s="99">
        <f>IF(OR(AC978="",N(L978)=0),"",AC978/L978)</f>
        <v/>
      </c>
      <c r="AE978" s="55">
        <f>IF(OR(AC978="",N(R978)=0),"",L978/R978)</f>
        <v/>
      </c>
      <c r="AF978" s="100">
        <f>IF(OR(N(K978)=0,N(J978)+N(Q978)=0),"",K978-IF(N(J978)&gt;0,J978,Q978))</f>
        <v/>
      </c>
      <c r="AG978" s="99">
        <f>IF(B978="","",IFERROR(AVERAGEIFS('QUALITY CONTROL'!$M$5:$M$304,'QUALITY CONTROL'!$B$5:$B$304,A978),""))</f>
        <v/>
      </c>
      <c r="AH978" s="51">
        <f>IF(B978="","",DATE(YEAR(B978),MONTH(B978),1))</f>
        <v/>
      </c>
      <c r="AI978" s="49">
        <f>IF(D978="","",IFERROR(INDEX('CUSTOMERS'!$E$5:$E$404,MATCH(D978,'CUSTOMERS'!$B$5:$B$404,0)),""))</f>
        <v/>
      </c>
      <c r="AJ978" s="49">
        <f>IF(B978="","",N(C978))</f>
        <v/>
      </c>
      <c r="AK978" s="49">
        <f>IF(OR(B978="",O978="Cancelled",O978="Rescheduled"),"",B978&amp;"|"&amp;(COUNTIFS('JOBS'!$B$5:$B$1504,B978,'JOBS'!$AJ$5:$AJ$1504,"&lt;"&amp;AJ978,'JOBS'!$O$5:$O$1504,"&lt;&gt;Cancelled",'JOBS'!$O$5:$O$1504,"&lt;&gt;Rescheduled")+COUNTIFS($B$5:B978,B978,$AJ$5:AJ978,AJ978,$O$5:O978,"&lt;&gt;Cancelled",$O$5:O978,"&lt;&gt;Rescheduled")))</f>
        <v/>
      </c>
      <c r="AL978" s="49">
        <f>IF(N(U978)&lt;=0.005,"",COUNTIFS('JOBS'!$U$5:$U$1504,"&gt;0.005",'JOBS'!$B$5:$B$1504,"&lt;"&amp;B978)+COUNTIFS($U$5:U978,"&gt;0.005",$B$5:B978,B978))</f>
        <v/>
      </c>
    </row>
    <row r="979">
      <c r="A979" s="46" t="inlineStr">
        <is>
          <t>J-0975</t>
        </is>
      </c>
      <c r="B979" s="47" t="n"/>
      <c r="C979" s="94" t="n"/>
      <c r="D979" s="38" t="n"/>
      <c r="E979" s="38" t="n"/>
      <c r="F979" s="38" t="n"/>
      <c r="G979" s="38" t="n"/>
      <c r="H979" s="38" t="n"/>
      <c r="I979" s="57" t="n"/>
      <c r="J979" s="95" t="n"/>
      <c r="K979" s="95" t="n"/>
      <c r="L979" s="48" t="n"/>
      <c r="M979" s="96" t="n"/>
      <c r="N979" s="48" t="n"/>
      <c r="O979" s="38" t="n"/>
      <c r="P979" s="38" t="n"/>
      <c r="Q979" s="97">
        <f>IF(OR(F979="",E979=""),"",IFERROR(IF(INDEX('PROPERTIES'!$F$5:$F$404,MATCH(E979,'PROPERTIES'!$B$5:$B$404,0))=0,"",ROUND((INDEX('PROPERTIES'!$F$5:$F$404,MATCH(E979,'PROPERTIES'!$B$5:$B$404,0))/INDEX('PRICING'!$C$7:$C$16,MATCH(F979,'PRICING'!$A$7:$A$16,0))+INDEX('PROPERTIES'!$G$5:$G$404,MATCH(E979,'PROPERTIES'!$B$5:$B$404,0))*INDEX('PRICING'!$D$7:$D$16,MATCH(F979,'PRICING'!$A$7:$A$16,0))/60+INDEX('PROPERTIES'!$H$5:$H$404,MATCH(E979,'PROPERTIES'!$B$5:$B$404,0))*INDEX('PRICING'!$E$7:$E$16,MATCH(F979,'PRICING'!$A$7:$A$16,0))/60+INDEX('PRICING'!$F$7:$F$16,MATCH(F979,'PRICING'!$A$7:$A$16,0))/60),2)),""))</f>
        <v/>
      </c>
      <c r="R979" s="97">
        <f>IF(B979="","",IF(N(K979)&gt;0,K979,IF(N(J979)&gt;0,J979,N(Q979))))</f>
        <v/>
      </c>
      <c r="S979" s="55">
        <f>IF(L979="","",ROUND(L979*(1+N(M979)),2))</f>
        <v/>
      </c>
      <c r="T979" s="55">
        <f>IF(B979="","",SUMIFS('REVENUE'!$C$5:$C$1504,'REVENUE'!$B$5:$B$1504,A979))</f>
        <v/>
      </c>
      <c r="U979" s="55">
        <f>IF(B979="","",IF(O979="Completed",MAX(0,N(S979)-T979),""))</f>
        <v/>
      </c>
      <c r="V979" s="49">
        <f>IF(B979="","",IF(O979&lt;&gt;"Completed",IF(T979&gt;0,"Deposit","—"),IF(U979&lt;=0.005,"Paid",IF(T979&gt;0,"Partial","Unpaid"))))</f>
        <v/>
      </c>
      <c r="W979" s="55">
        <f>IF(B979="","",IFERROR(1/(1/INDEX('STAFF &amp; TASKS'!$C$5:$C$24,MATCH(H979,'STAFF &amp; TASKS'!$A$5:$A$24,0))),PayRate))</f>
        <v/>
      </c>
      <c r="X979" s="55">
        <f>IF(B979="","",IF(OR(O979="Cancelled",O979="No-Show"),"",ROUND(R979*W979*(1+Burden),2)))</f>
        <v/>
      </c>
      <c r="Y979" s="55">
        <f>IF(B979="","",IF(OR(O979="Cancelled",O979="No-Show"),"",IF(N979&lt;&gt;"",N979,ROUND(R979*SupHr*IFERROR(INDEX('PRICING'!$G$7:$G$16,MATCH(F979,'PRICING'!$A$7:$A$16,0)),1),2))))</f>
        <v/>
      </c>
      <c r="Z979" s="98">
        <f>IF(B979="","",SUMIFS('MILEAGE'!$J$5:$J$1504,'MILEAGE'!$B$5:$B$1504,A979))</f>
        <v/>
      </c>
      <c r="AA979" s="55">
        <f>IF(B979="","",ROUND(Z979*MileRate,2))</f>
        <v/>
      </c>
      <c r="AB979" s="55">
        <f>IF(B979="","",SUMIFS('REVENUE'!$J$5:$J$1504,'REVENUE'!$B$5:$B$1504,A979))</f>
        <v/>
      </c>
      <c r="AC979" s="55">
        <f>IF(L979="","",IF(OR(O979="Cancelled",O979="No-Show"),"",L979-N(X979)-N(Y979)-AA979-AB979))</f>
        <v/>
      </c>
      <c r="AD979" s="99">
        <f>IF(OR(AC979="",N(L979)=0),"",AC979/L979)</f>
        <v/>
      </c>
      <c r="AE979" s="55">
        <f>IF(OR(AC979="",N(R979)=0),"",L979/R979)</f>
        <v/>
      </c>
      <c r="AF979" s="100">
        <f>IF(OR(N(K979)=0,N(J979)+N(Q979)=0),"",K979-IF(N(J979)&gt;0,J979,Q979))</f>
        <v/>
      </c>
      <c r="AG979" s="99">
        <f>IF(B979="","",IFERROR(AVERAGEIFS('QUALITY CONTROL'!$M$5:$M$304,'QUALITY CONTROL'!$B$5:$B$304,A979),""))</f>
        <v/>
      </c>
      <c r="AH979" s="51">
        <f>IF(B979="","",DATE(YEAR(B979),MONTH(B979),1))</f>
        <v/>
      </c>
      <c r="AI979" s="49">
        <f>IF(D979="","",IFERROR(INDEX('CUSTOMERS'!$E$5:$E$404,MATCH(D979,'CUSTOMERS'!$B$5:$B$404,0)),""))</f>
        <v/>
      </c>
      <c r="AJ979" s="49">
        <f>IF(B979="","",N(C979))</f>
        <v/>
      </c>
      <c r="AK979" s="49">
        <f>IF(OR(B979="",O979="Cancelled",O979="Rescheduled"),"",B979&amp;"|"&amp;(COUNTIFS('JOBS'!$B$5:$B$1504,B979,'JOBS'!$AJ$5:$AJ$1504,"&lt;"&amp;AJ979,'JOBS'!$O$5:$O$1504,"&lt;&gt;Cancelled",'JOBS'!$O$5:$O$1504,"&lt;&gt;Rescheduled")+COUNTIFS($B$5:B979,B979,$AJ$5:AJ979,AJ979,$O$5:O979,"&lt;&gt;Cancelled",$O$5:O979,"&lt;&gt;Rescheduled")))</f>
        <v/>
      </c>
      <c r="AL979" s="49">
        <f>IF(N(U979)&lt;=0.005,"",COUNTIFS('JOBS'!$U$5:$U$1504,"&gt;0.005",'JOBS'!$B$5:$B$1504,"&lt;"&amp;B979)+COUNTIFS($U$5:U979,"&gt;0.005",$B$5:B979,B979))</f>
        <v/>
      </c>
    </row>
    <row r="980">
      <c r="A980" s="46" t="inlineStr">
        <is>
          <t>J-0976</t>
        </is>
      </c>
      <c r="B980" s="47" t="n"/>
      <c r="C980" s="94" t="n"/>
      <c r="D980" s="38" t="n"/>
      <c r="E980" s="38" t="n"/>
      <c r="F980" s="38" t="n"/>
      <c r="G980" s="38" t="n"/>
      <c r="H980" s="38" t="n"/>
      <c r="I980" s="57" t="n"/>
      <c r="J980" s="95" t="n"/>
      <c r="K980" s="95" t="n"/>
      <c r="L980" s="48" t="n"/>
      <c r="M980" s="96" t="n"/>
      <c r="N980" s="48" t="n"/>
      <c r="O980" s="38" t="n"/>
      <c r="P980" s="38" t="n"/>
      <c r="Q980" s="97">
        <f>IF(OR(F980="",E980=""),"",IFERROR(IF(INDEX('PROPERTIES'!$F$5:$F$404,MATCH(E980,'PROPERTIES'!$B$5:$B$404,0))=0,"",ROUND((INDEX('PROPERTIES'!$F$5:$F$404,MATCH(E980,'PROPERTIES'!$B$5:$B$404,0))/INDEX('PRICING'!$C$7:$C$16,MATCH(F980,'PRICING'!$A$7:$A$16,0))+INDEX('PROPERTIES'!$G$5:$G$404,MATCH(E980,'PROPERTIES'!$B$5:$B$404,0))*INDEX('PRICING'!$D$7:$D$16,MATCH(F980,'PRICING'!$A$7:$A$16,0))/60+INDEX('PROPERTIES'!$H$5:$H$404,MATCH(E980,'PROPERTIES'!$B$5:$B$404,0))*INDEX('PRICING'!$E$7:$E$16,MATCH(F980,'PRICING'!$A$7:$A$16,0))/60+INDEX('PRICING'!$F$7:$F$16,MATCH(F980,'PRICING'!$A$7:$A$16,0))/60),2)),""))</f>
        <v/>
      </c>
      <c r="R980" s="97">
        <f>IF(B980="","",IF(N(K980)&gt;0,K980,IF(N(J980)&gt;0,J980,N(Q980))))</f>
        <v/>
      </c>
      <c r="S980" s="55">
        <f>IF(L980="","",ROUND(L980*(1+N(M980)),2))</f>
        <v/>
      </c>
      <c r="T980" s="55">
        <f>IF(B980="","",SUMIFS('REVENUE'!$C$5:$C$1504,'REVENUE'!$B$5:$B$1504,A980))</f>
        <v/>
      </c>
      <c r="U980" s="55">
        <f>IF(B980="","",IF(O980="Completed",MAX(0,N(S980)-T980),""))</f>
        <v/>
      </c>
      <c r="V980" s="49">
        <f>IF(B980="","",IF(O980&lt;&gt;"Completed",IF(T980&gt;0,"Deposit","—"),IF(U980&lt;=0.005,"Paid",IF(T980&gt;0,"Partial","Unpaid"))))</f>
        <v/>
      </c>
      <c r="W980" s="55">
        <f>IF(B980="","",IFERROR(1/(1/INDEX('STAFF &amp; TASKS'!$C$5:$C$24,MATCH(H980,'STAFF &amp; TASKS'!$A$5:$A$24,0))),PayRate))</f>
        <v/>
      </c>
      <c r="X980" s="55">
        <f>IF(B980="","",IF(OR(O980="Cancelled",O980="No-Show"),"",ROUND(R980*W980*(1+Burden),2)))</f>
        <v/>
      </c>
      <c r="Y980" s="55">
        <f>IF(B980="","",IF(OR(O980="Cancelled",O980="No-Show"),"",IF(N980&lt;&gt;"",N980,ROUND(R980*SupHr*IFERROR(INDEX('PRICING'!$G$7:$G$16,MATCH(F980,'PRICING'!$A$7:$A$16,0)),1),2))))</f>
        <v/>
      </c>
      <c r="Z980" s="98">
        <f>IF(B980="","",SUMIFS('MILEAGE'!$J$5:$J$1504,'MILEAGE'!$B$5:$B$1504,A980))</f>
        <v/>
      </c>
      <c r="AA980" s="55">
        <f>IF(B980="","",ROUND(Z980*MileRate,2))</f>
        <v/>
      </c>
      <c r="AB980" s="55">
        <f>IF(B980="","",SUMIFS('REVENUE'!$J$5:$J$1504,'REVENUE'!$B$5:$B$1504,A980))</f>
        <v/>
      </c>
      <c r="AC980" s="55">
        <f>IF(L980="","",IF(OR(O980="Cancelled",O980="No-Show"),"",L980-N(X980)-N(Y980)-AA980-AB980))</f>
        <v/>
      </c>
      <c r="AD980" s="99">
        <f>IF(OR(AC980="",N(L980)=0),"",AC980/L980)</f>
        <v/>
      </c>
      <c r="AE980" s="55">
        <f>IF(OR(AC980="",N(R980)=0),"",L980/R980)</f>
        <v/>
      </c>
      <c r="AF980" s="100">
        <f>IF(OR(N(K980)=0,N(J980)+N(Q980)=0),"",K980-IF(N(J980)&gt;0,J980,Q980))</f>
        <v/>
      </c>
      <c r="AG980" s="99">
        <f>IF(B980="","",IFERROR(AVERAGEIFS('QUALITY CONTROL'!$M$5:$M$304,'QUALITY CONTROL'!$B$5:$B$304,A980),""))</f>
        <v/>
      </c>
      <c r="AH980" s="51">
        <f>IF(B980="","",DATE(YEAR(B980),MONTH(B980),1))</f>
        <v/>
      </c>
      <c r="AI980" s="49">
        <f>IF(D980="","",IFERROR(INDEX('CUSTOMERS'!$E$5:$E$404,MATCH(D980,'CUSTOMERS'!$B$5:$B$404,0)),""))</f>
        <v/>
      </c>
      <c r="AJ980" s="49">
        <f>IF(B980="","",N(C980))</f>
        <v/>
      </c>
      <c r="AK980" s="49">
        <f>IF(OR(B980="",O980="Cancelled",O980="Rescheduled"),"",B980&amp;"|"&amp;(COUNTIFS('JOBS'!$B$5:$B$1504,B980,'JOBS'!$AJ$5:$AJ$1504,"&lt;"&amp;AJ980,'JOBS'!$O$5:$O$1504,"&lt;&gt;Cancelled",'JOBS'!$O$5:$O$1504,"&lt;&gt;Rescheduled")+COUNTIFS($B$5:B980,B980,$AJ$5:AJ980,AJ980,$O$5:O980,"&lt;&gt;Cancelled",$O$5:O980,"&lt;&gt;Rescheduled")))</f>
        <v/>
      </c>
      <c r="AL980" s="49">
        <f>IF(N(U980)&lt;=0.005,"",COUNTIFS('JOBS'!$U$5:$U$1504,"&gt;0.005",'JOBS'!$B$5:$B$1504,"&lt;"&amp;B980)+COUNTIFS($U$5:U980,"&gt;0.005",$B$5:B980,B980))</f>
        <v/>
      </c>
    </row>
    <row r="981">
      <c r="A981" s="46" t="inlineStr">
        <is>
          <t>J-0977</t>
        </is>
      </c>
      <c r="B981" s="47" t="n"/>
      <c r="C981" s="94" t="n"/>
      <c r="D981" s="38" t="n"/>
      <c r="E981" s="38" t="n"/>
      <c r="F981" s="38" t="n"/>
      <c r="G981" s="38" t="n"/>
      <c r="H981" s="38" t="n"/>
      <c r="I981" s="57" t="n"/>
      <c r="J981" s="95" t="n"/>
      <c r="K981" s="95" t="n"/>
      <c r="L981" s="48" t="n"/>
      <c r="M981" s="96" t="n"/>
      <c r="N981" s="48" t="n"/>
      <c r="O981" s="38" t="n"/>
      <c r="P981" s="38" t="n"/>
      <c r="Q981" s="97">
        <f>IF(OR(F981="",E981=""),"",IFERROR(IF(INDEX('PROPERTIES'!$F$5:$F$404,MATCH(E981,'PROPERTIES'!$B$5:$B$404,0))=0,"",ROUND((INDEX('PROPERTIES'!$F$5:$F$404,MATCH(E981,'PROPERTIES'!$B$5:$B$404,0))/INDEX('PRICING'!$C$7:$C$16,MATCH(F981,'PRICING'!$A$7:$A$16,0))+INDEX('PROPERTIES'!$G$5:$G$404,MATCH(E981,'PROPERTIES'!$B$5:$B$404,0))*INDEX('PRICING'!$D$7:$D$16,MATCH(F981,'PRICING'!$A$7:$A$16,0))/60+INDEX('PROPERTIES'!$H$5:$H$404,MATCH(E981,'PROPERTIES'!$B$5:$B$404,0))*INDEX('PRICING'!$E$7:$E$16,MATCH(F981,'PRICING'!$A$7:$A$16,0))/60+INDEX('PRICING'!$F$7:$F$16,MATCH(F981,'PRICING'!$A$7:$A$16,0))/60),2)),""))</f>
        <v/>
      </c>
      <c r="R981" s="97">
        <f>IF(B981="","",IF(N(K981)&gt;0,K981,IF(N(J981)&gt;0,J981,N(Q981))))</f>
        <v/>
      </c>
      <c r="S981" s="55">
        <f>IF(L981="","",ROUND(L981*(1+N(M981)),2))</f>
        <v/>
      </c>
      <c r="T981" s="55">
        <f>IF(B981="","",SUMIFS('REVENUE'!$C$5:$C$1504,'REVENUE'!$B$5:$B$1504,A981))</f>
        <v/>
      </c>
      <c r="U981" s="55">
        <f>IF(B981="","",IF(O981="Completed",MAX(0,N(S981)-T981),""))</f>
        <v/>
      </c>
      <c r="V981" s="49">
        <f>IF(B981="","",IF(O981&lt;&gt;"Completed",IF(T981&gt;0,"Deposit","—"),IF(U981&lt;=0.005,"Paid",IF(T981&gt;0,"Partial","Unpaid"))))</f>
        <v/>
      </c>
      <c r="W981" s="55">
        <f>IF(B981="","",IFERROR(1/(1/INDEX('STAFF &amp; TASKS'!$C$5:$C$24,MATCH(H981,'STAFF &amp; TASKS'!$A$5:$A$24,0))),PayRate))</f>
        <v/>
      </c>
      <c r="X981" s="55">
        <f>IF(B981="","",IF(OR(O981="Cancelled",O981="No-Show"),"",ROUND(R981*W981*(1+Burden),2)))</f>
        <v/>
      </c>
      <c r="Y981" s="55">
        <f>IF(B981="","",IF(OR(O981="Cancelled",O981="No-Show"),"",IF(N981&lt;&gt;"",N981,ROUND(R981*SupHr*IFERROR(INDEX('PRICING'!$G$7:$G$16,MATCH(F981,'PRICING'!$A$7:$A$16,0)),1),2))))</f>
        <v/>
      </c>
      <c r="Z981" s="98">
        <f>IF(B981="","",SUMIFS('MILEAGE'!$J$5:$J$1504,'MILEAGE'!$B$5:$B$1504,A981))</f>
        <v/>
      </c>
      <c r="AA981" s="55">
        <f>IF(B981="","",ROUND(Z981*MileRate,2))</f>
        <v/>
      </c>
      <c r="AB981" s="55">
        <f>IF(B981="","",SUMIFS('REVENUE'!$J$5:$J$1504,'REVENUE'!$B$5:$B$1504,A981))</f>
        <v/>
      </c>
      <c r="AC981" s="55">
        <f>IF(L981="","",IF(OR(O981="Cancelled",O981="No-Show"),"",L981-N(X981)-N(Y981)-AA981-AB981))</f>
        <v/>
      </c>
      <c r="AD981" s="99">
        <f>IF(OR(AC981="",N(L981)=0),"",AC981/L981)</f>
        <v/>
      </c>
      <c r="AE981" s="55">
        <f>IF(OR(AC981="",N(R981)=0),"",L981/R981)</f>
        <v/>
      </c>
      <c r="AF981" s="100">
        <f>IF(OR(N(K981)=0,N(J981)+N(Q981)=0),"",K981-IF(N(J981)&gt;0,J981,Q981))</f>
        <v/>
      </c>
      <c r="AG981" s="99">
        <f>IF(B981="","",IFERROR(AVERAGEIFS('QUALITY CONTROL'!$M$5:$M$304,'QUALITY CONTROL'!$B$5:$B$304,A981),""))</f>
        <v/>
      </c>
      <c r="AH981" s="51">
        <f>IF(B981="","",DATE(YEAR(B981),MONTH(B981),1))</f>
        <v/>
      </c>
      <c r="AI981" s="49">
        <f>IF(D981="","",IFERROR(INDEX('CUSTOMERS'!$E$5:$E$404,MATCH(D981,'CUSTOMERS'!$B$5:$B$404,0)),""))</f>
        <v/>
      </c>
      <c r="AJ981" s="49">
        <f>IF(B981="","",N(C981))</f>
        <v/>
      </c>
      <c r="AK981" s="49">
        <f>IF(OR(B981="",O981="Cancelled",O981="Rescheduled"),"",B981&amp;"|"&amp;(COUNTIFS('JOBS'!$B$5:$B$1504,B981,'JOBS'!$AJ$5:$AJ$1504,"&lt;"&amp;AJ981,'JOBS'!$O$5:$O$1504,"&lt;&gt;Cancelled",'JOBS'!$O$5:$O$1504,"&lt;&gt;Rescheduled")+COUNTIFS($B$5:B981,B981,$AJ$5:AJ981,AJ981,$O$5:O981,"&lt;&gt;Cancelled",$O$5:O981,"&lt;&gt;Rescheduled")))</f>
        <v/>
      </c>
      <c r="AL981" s="49">
        <f>IF(N(U981)&lt;=0.005,"",COUNTIFS('JOBS'!$U$5:$U$1504,"&gt;0.005",'JOBS'!$B$5:$B$1504,"&lt;"&amp;B981)+COUNTIFS($U$5:U981,"&gt;0.005",$B$5:B981,B981))</f>
        <v/>
      </c>
    </row>
    <row r="982">
      <c r="A982" s="46" t="inlineStr">
        <is>
          <t>J-0978</t>
        </is>
      </c>
      <c r="B982" s="47" t="n"/>
      <c r="C982" s="94" t="n"/>
      <c r="D982" s="38" t="n"/>
      <c r="E982" s="38" t="n"/>
      <c r="F982" s="38" t="n"/>
      <c r="G982" s="38" t="n"/>
      <c r="H982" s="38" t="n"/>
      <c r="I982" s="57" t="n"/>
      <c r="J982" s="95" t="n"/>
      <c r="K982" s="95" t="n"/>
      <c r="L982" s="48" t="n"/>
      <c r="M982" s="96" t="n"/>
      <c r="N982" s="48" t="n"/>
      <c r="O982" s="38" t="n"/>
      <c r="P982" s="38" t="n"/>
      <c r="Q982" s="97">
        <f>IF(OR(F982="",E982=""),"",IFERROR(IF(INDEX('PROPERTIES'!$F$5:$F$404,MATCH(E982,'PROPERTIES'!$B$5:$B$404,0))=0,"",ROUND((INDEX('PROPERTIES'!$F$5:$F$404,MATCH(E982,'PROPERTIES'!$B$5:$B$404,0))/INDEX('PRICING'!$C$7:$C$16,MATCH(F982,'PRICING'!$A$7:$A$16,0))+INDEX('PROPERTIES'!$G$5:$G$404,MATCH(E982,'PROPERTIES'!$B$5:$B$404,0))*INDEX('PRICING'!$D$7:$D$16,MATCH(F982,'PRICING'!$A$7:$A$16,0))/60+INDEX('PROPERTIES'!$H$5:$H$404,MATCH(E982,'PROPERTIES'!$B$5:$B$404,0))*INDEX('PRICING'!$E$7:$E$16,MATCH(F982,'PRICING'!$A$7:$A$16,0))/60+INDEX('PRICING'!$F$7:$F$16,MATCH(F982,'PRICING'!$A$7:$A$16,0))/60),2)),""))</f>
        <v/>
      </c>
      <c r="R982" s="97">
        <f>IF(B982="","",IF(N(K982)&gt;0,K982,IF(N(J982)&gt;0,J982,N(Q982))))</f>
        <v/>
      </c>
      <c r="S982" s="55">
        <f>IF(L982="","",ROUND(L982*(1+N(M982)),2))</f>
        <v/>
      </c>
      <c r="T982" s="55">
        <f>IF(B982="","",SUMIFS('REVENUE'!$C$5:$C$1504,'REVENUE'!$B$5:$B$1504,A982))</f>
        <v/>
      </c>
      <c r="U982" s="55">
        <f>IF(B982="","",IF(O982="Completed",MAX(0,N(S982)-T982),""))</f>
        <v/>
      </c>
      <c r="V982" s="49">
        <f>IF(B982="","",IF(O982&lt;&gt;"Completed",IF(T982&gt;0,"Deposit","—"),IF(U982&lt;=0.005,"Paid",IF(T982&gt;0,"Partial","Unpaid"))))</f>
        <v/>
      </c>
      <c r="W982" s="55">
        <f>IF(B982="","",IFERROR(1/(1/INDEX('STAFF &amp; TASKS'!$C$5:$C$24,MATCH(H982,'STAFF &amp; TASKS'!$A$5:$A$24,0))),PayRate))</f>
        <v/>
      </c>
      <c r="X982" s="55">
        <f>IF(B982="","",IF(OR(O982="Cancelled",O982="No-Show"),"",ROUND(R982*W982*(1+Burden),2)))</f>
        <v/>
      </c>
      <c r="Y982" s="55">
        <f>IF(B982="","",IF(OR(O982="Cancelled",O982="No-Show"),"",IF(N982&lt;&gt;"",N982,ROUND(R982*SupHr*IFERROR(INDEX('PRICING'!$G$7:$G$16,MATCH(F982,'PRICING'!$A$7:$A$16,0)),1),2))))</f>
        <v/>
      </c>
      <c r="Z982" s="98">
        <f>IF(B982="","",SUMIFS('MILEAGE'!$J$5:$J$1504,'MILEAGE'!$B$5:$B$1504,A982))</f>
        <v/>
      </c>
      <c r="AA982" s="55">
        <f>IF(B982="","",ROUND(Z982*MileRate,2))</f>
        <v/>
      </c>
      <c r="AB982" s="55">
        <f>IF(B982="","",SUMIFS('REVENUE'!$J$5:$J$1504,'REVENUE'!$B$5:$B$1504,A982))</f>
        <v/>
      </c>
      <c r="AC982" s="55">
        <f>IF(L982="","",IF(OR(O982="Cancelled",O982="No-Show"),"",L982-N(X982)-N(Y982)-AA982-AB982))</f>
        <v/>
      </c>
      <c r="AD982" s="99">
        <f>IF(OR(AC982="",N(L982)=0),"",AC982/L982)</f>
        <v/>
      </c>
      <c r="AE982" s="55">
        <f>IF(OR(AC982="",N(R982)=0),"",L982/R982)</f>
        <v/>
      </c>
      <c r="AF982" s="100">
        <f>IF(OR(N(K982)=0,N(J982)+N(Q982)=0),"",K982-IF(N(J982)&gt;0,J982,Q982))</f>
        <v/>
      </c>
      <c r="AG982" s="99">
        <f>IF(B982="","",IFERROR(AVERAGEIFS('QUALITY CONTROL'!$M$5:$M$304,'QUALITY CONTROL'!$B$5:$B$304,A982),""))</f>
        <v/>
      </c>
      <c r="AH982" s="51">
        <f>IF(B982="","",DATE(YEAR(B982),MONTH(B982),1))</f>
        <v/>
      </c>
      <c r="AI982" s="49">
        <f>IF(D982="","",IFERROR(INDEX('CUSTOMERS'!$E$5:$E$404,MATCH(D982,'CUSTOMERS'!$B$5:$B$404,0)),""))</f>
        <v/>
      </c>
      <c r="AJ982" s="49">
        <f>IF(B982="","",N(C982))</f>
        <v/>
      </c>
      <c r="AK982" s="49">
        <f>IF(OR(B982="",O982="Cancelled",O982="Rescheduled"),"",B982&amp;"|"&amp;(COUNTIFS('JOBS'!$B$5:$B$1504,B982,'JOBS'!$AJ$5:$AJ$1504,"&lt;"&amp;AJ982,'JOBS'!$O$5:$O$1504,"&lt;&gt;Cancelled",'JOBS'!$O$5:$O$1504,"&lt;&gt;Rescheduled")+COUNTIFS($B$5:B982,B982,$AJ$5:AJ982,AJ982,$O$5:O982,"&lt;&gt;Cancelled",$O$5:O982,"&lt;&gt;Rescheduled")))</f>
        <v/>
      </c>
      <c r="AL982" s="49">
        <f>IF(N(U982)&lt;=0.005,"",COUNTIFS('JOBS'!$U$5:$U$1504,"&gt;0.005",'JOBS'!$B$5:$B$1504,"&lt;"&amp;B982)+COUNTIFS($U$5:U982,"&gt;0.005",$B$5:B982,B982))</f>
        <v/>
      </c>
    </row>
    <row r="983">
      <c r="A983" s="46" t="inlineStr">
        <is>
          <t>J-0979</t>
        </is>
      </c>
      <c r="B983" s="47" t="n"/>
      <c r="C983" s="94" t="n"/>
      <c r="D983" s="38" t="n"/>
      <c r="E983" s="38" t="n"/>
      <c r="F983" s="38" t="n"/>
      <c r="G983" s="38" t="n"/>
      <c r="H983" s="38" t="n"/>
      <c r="I983" s="57" t="n"/>
      <c r="J983" s="95" t="n"/>
      <c r="K983" s="95" t="n"/>
      <c r="L983" s="48" t="n"/>
      <c r="M983" s="96" t="n"/>
      <c r="N983" s="48" t="n"/>
      <c r="O983" s="38" t="n"/>
      <c r="P983" s="38" t="n"/>
      <c r="Q983" s="97">
        <f>IF(OR(F983="",E983=""),"",IFERROR(IF(INDEX('PROPERTIES'!$F$5:$F$404,MATCH(E983,'PROPERTIES'!$B$5:$B$404,0))=0,"",ROUND((INDEX('PROPERTIES'!$F$5:$F$404,MATCH(E983,'PROPERTIES'!$B$5:$B$404,0))/INDEX('PRICING'!$C$7:$C$16,MATCH(F983,'PRICING'!$A$7:$A$16,0))+INDEX('PROPERTIES'!$G$5:$G$404,MATCH(E983,'PROPERTIES'!$B$5:$B$404,0))*INDEX('PRICING'!$D$7:$D$16,MATCH(F983,'PRICING'!$A$7:$A$16,0))/60+INDEX('PROPERTIES'!$H$5:$H$404,MATCH(E983,'PROPERTIES'!$B$5:$B$404,0))*INDEX('PRICING'!$E$7:$E$16,MATCH(F983,'PRICING'!$A$7:$A$16,0))/60+INDEX('PRICING'!$F$7:$F$16,MATCH(F983,'PRICING'!$A$7:$A$16,0))/60),2)),""))</f>
        <v/>
      </c>
      <c r="R983" s="97">
        <f>IF(B983="","",IF(N(K983)&gt;0,K983,IF(N(J983)&gt;0,J983,N(Q983))))</f>
        <v/>
      </c>
      <c r="S983" s="55">
        <f>IF(L983="","",ROUND(L983*(1+N(M983)),2))</f>
        <v/>
      </c>
      <c r="T983" s="55">
        <f>IF(B983="","",SUMIFS('REVENUE'!$C$5:$C$1504,'REVENUE'!$B$5:$B$1504,A983))</f>
        <v/>
      </c>
      <c r="U983" s="55">
        <f>IF(B983="","",IF(O983="Completed",MAX(0,N(S983)-T983),""))</f>
        <v/>
      </c>
      <c r="V983" s="49">
        <f>IF(B983="","",IF(O983&lt;&gt;"Completed",IF(T983&gt;0,"Deposit","—"),IF(U983&lt;=0.005,"Paid",IF(T983&gt;0,"Partial","Unpaid"))))</f>
        <v/>
      </c>
      <c r="W983" s="55">
        <f>IF(B983="","",IFERROR(1/(1/INDEX('STAFF &amp; TASKS'!$C$5:$C$24,MATCH(H983,'STAFF &amp; TASKS'!$A$5:$A$24,0))),PayRate))</f>
        <v/>
      </c>
      <c r="X983" s="55">
        <f>IF(B983="","",IF(OR(O983="Cancelled",O983="No-Show"),"",ROUND(R983*W983*(1+Burden),2)))</f>
        <v/>
      </c>
      <c r="Y983" s="55">
        <f>IF(B983="","",IF(OR(O983="Cancelled",O983="No-Show"),"",IF(N983&lt;&gt;"",N983,ROUND(R983*SupHr*IFERROR(INDEX('PRICING'!$G$7:$G$16,MATCH(F983,'PRICING'!$A$7:$A$16,0)),1),2))))</f>
        <v/>
      </c>
      <c r="Z983" s="98">
        <f>IF(B983="","",SUMIFS('MILEAGE'!$J$5:$J$1504,'MILEAGE'!$B$5:$B$1504,A983))</f>
        <v/>
      </c>
      <c r="AA983" s="55">
        <f>IF(B983="","",ROUND(Z983*MileRate,2))</f>
        <v/>
      </c>
      <c r="AB983" s="55">
        <f>IF(B983="","",SUMIFS('REVENUE'!$J$5:$J$1504,'REVENUE'!$B$5:$B$1504,A983))</f>
        <v/>
      </c>
      <c r="AC983" s="55">
        <f>IF(L983="","",IF(OR(O983="Cancelled",O983="No-Show"),"",L983-N(X983)-N(Y983)-AA983-AB983))</f>
        <v/>
      </c>
      <c r="AD983" s="99">
        <f>IF(OR(AC983="",N(L983)=0),"",AC983/L983)</f>
        <v/>
      </c>
      <c r="AE983" s="55">
        <f>IF(OR(AC983="",N(R983)=0),"",L983/R983)</f>
        <v/>
      </c>
      <c r="AF983" s="100">
        <f>IF(OR(N(K983)=0,N(J983)+N(Q983)=0),"",K983-IF(N(J983)&gt;0,J983,Q983))</f>
        <v/>
      </c>
      <c r="AG983" s="99">
        <f>IF(B983="","",IFERROR(AVERAGEIFS('QUALITY CONTROL'!$M$5:$M$304,'QUALITY CONTROL'!$B$5:$B$304,A983),""))</f>
        <v/>
      </c>
      <c r="AH983" s="51">
        <f>IF(B983="","",DATE(YEAR(B983),MONTH(B983),1))</f>
        <v/>
      </c>
      <c r="AI983" s="49">
        <f>IF(D983="","",IFERROR(INDEX('CUSTOMERS'!$E$5:$E$404,MATCH(D983,'CUSTOMERS'!$B$5:$B$404,0)),""))</f>
        <v/>
      </c>
      <c r="AJ983" s="49">
        <f>IF(B983="","",N(C983))</f>
        <v/>
      </c>
      <c r="AK983" s="49">
        <f>IF(OR(B983="",O983="Cancelled",O983="Rescheduled"),"",B983&amp;"|"&amp;(COUNTIFS('JOBS'!$B$5:$B$1504,B983,'JOBS'!$AJ$5:$AJ$1504,"&lt;"&amp;AJ983,'JOBS'!$O$5:$O$1504,"&lt;&gt;Cancelled",'JOBS'!$O$5:$O$1504,"&lt;&gt;Rescheduled")+COUNTIFS($B$5:B983,B983,$AJ$5:AJ983,AJ983,$O$5:O983,"&lt;&gt;Cancelled",$O$5:O983,"&lt;&gt;Rescheduled")))</f>
        <v/>
      </c>
      <c r="AL983" s="49">
        <f>IF(N(U983)&lt;=0.005,"",COUNTIFS('JOBS'!$U$5:$U$1504,"&gt;0.005",'JOBS'!$B$5:$B$1504,"&lt;"&amp;B983)+COUNTIFS($U$5:U983,"&gt;0.005",$B$5:B983,B983))</f>
        <v/>
      </c>
    </row>
    <row r="984">
      <c r="A984" s="46" t="inlineStr">
        <is>
          <t>J-0980</t>
        </is>
      </c>
      <c r="B984" s="47" t="n"/>
      <c r="C984" s="94" t="n"/>
      <c r="D984" s="38" t="n"/>
      <c r="E984" s="38" t="n"/>
      <c r="F984" s="38" t="n"/>
      <c r="G984" s="38" t="n"/>
      <c r="H984" s="38" t="n"/>
      <c r="I984" s="57" t="n"/>
      <c r="J984" s="95" t="n"/>
      <c r="K984" s="95" t="n"/>
      <c r="L984" s="48" t="n"/>
      <c r="M984" s="96" t="n"/>
      <c r="N984" s="48" t="n"/>
      <c r="O984" s="38" t="n"/>
      <c r="P984" s="38" t="n"/>
      <c r="Q984" s="97">
        <f>IF(OR(F984="",E984=""),"",IFERROR(IF(INDEX('PROPERTIES'!$F$5:$F$404,MATCH(E984,'PROPERTIES'!$B$5:$B$404,0))=0,"",ROUND((INDEX('PROPERTIES'!$F$5:$F$404,MATCH(E984,'PROPERTIES'!$B$5:$B$404,0))/INDEX('PRICING'!$C$7:$C$16,MATCH(F984,'PRICING'!$A$7:$A$16,0))+INDEX('PROPERTIES'!$G$5:$G$404,MATCH(E984,'PROPERTIES'!$B$5:$B$404,0))*INDEX('PRICING'!$D$7:$D$16,MATCH(F984,'PRICING'!$A$7:$A$16,0))/60+INDEX('PROPERTIES'!$H$5:$H$404,MATCH(E984,'PROPERTIES'!$B$5:$B$404,0))*INDEX('PRICING'!$E$7:$E$16,MATCH(F984,'PRICING'!$A$7:$A$16,0))/60+INDEX('PRICING'!$F$7:$F$16,MATCH(F984,'PRICING'!$A$7:$A$16,0))/60),2)),""))</f>
        <v/>
      </c>
      <c r="R984" s="97">
        <f>IF(B984="","",IF(N(K984)&gt;0,K984,IF(N(J984)&gt;0,J984,N(Q984))))</f>
        <v/>
      </c>
      <c r="S984" s="55">
        <f>IF(L984="","",ROUND(L984*(1+N(M984)),2))</f>
        <v/>
      </c>
      <c r="T984" s="55">
        <f>IF(B984="","",SUMIFS('REVENUE'!$C$5:$C$1504,'REVENUE'!$B$5:$B$1504,A984))</f>
        <v/>
      </c>
      <c r="U984" s="55">
        <f>IF(B984="","",IF(O984="Completed",MAX(0,N(S984)-T984),""))</f>
        <v/>
      </c>
      <c r="V984" s="49">
        <f>IF(B984="","",IF(O984&lt;&gt;"Completed",IF(T984&gt;0,"Deposit","—"),IF(U984&lt;=0.005,"Paid",IF(T984&gt;0,"Partial","Unpaid"))))</f>
        <v/>
      </c>
      <c r="W984" s="55">
        <f>IF(B984="","",IFERROR(1/(1/INDEX('STAFF &amp; TASKS'!$C$5:$C$24,MATCH(H984,'STAFF &amp; TASKS'!$A$5:$A$24,0))),PayRate))</f>
        <v/>
      </c>
      <c r="X984" s="55">
        <f>IF(B984="","",IF(OR(O984="Cancelled",O984="No-Show"),"",ROUND(R984*W984*(1+Burden),2)))</f>
        <v/>
      </c>
      <c r="Y984" s="55">
        <f>IF(B984="","",IF(OR(O984="Cancelled",O984="No-Show"),"",IF(N984&lt;&gt;"",N984,ROUND(R984*SupHr*IFERROR(INDEX('PRICING'!$G$7:$G$16,MATCH(F984,'PRICING'!$A$7:$A$16,0)),1),2))))</f>
        <v/>
      </c>
      <c r="Z984" s="98">
        <f>IF(B984="","",SUMIFS('MILEAGE'!$J$5:$J$1504,'MILEAGE'!$B$5:$B$1504,A984))</f>
        <v/>
      </c>
      <c r="AA984" s="55">
        <f>IF(B984="","",ROUND(Z984*MileRate,2))</f>
        <v/>
      </c>
      <c r="AB984" s="55">
        <f>IF(B984="","",SUMIFS('REVENUE'!$J$5:$J$1504,'REVENUE'!$B$5:$B$1504,A984))</f>
        <v/>
      </c>
      <c r="AC984" s="55">
        <f>IF(L984="","",IF(OR(O984="Cancelled",O984="No-Show"),"",L984-N(X984)-N(Y984)-AA984-AB984))</f>
        <v/>
      </c>
      <c r="AD984" s="99">
        <f>IF(OR(AC984="",N(L984)=0),"",AC984/L984)</f>
        <v/>
      </c>
      <c r="AE984" s="55">
        <f>IF(OR(AC984="",N(R984)=0),"",L984/R984)</f>
        <v/>
      </c>
      <c r="AF984" s="100">
        <f>IF(OR(N(K984)=0,N(J984)+N(Q984)=0),"",K984-IF(N(J984)&gt;0,J984,Q984))</f>
        <v/>
      </c>
      <c r="AG984" s="99">
        <f>IF(B984="","",IFERROR(AVERAGEIFS('QUALITY CONTROL'!$M$5:$M$304,'QUALITY CONTROL'!$B$5:$B$304,A984),""))</f>
        <v/>
      </c>
      <c r="AH984" s="51">
        <f>IF(B984="","",DATE(YEAR(B984),MONTH(B984),1))</f>
        <v/>
      </c>
      <c r="AI984" s="49">
        <f>IF(D984="","",IFERROR(INDEX('CUSTOMERS'!$E$5:$E$404,MATCH(D984,'CUSTOMERS'!$B$5:$B$404,0)),""))</f>
        <v/>
      </c>
      <c r="AJ984" s="49">
        <f>IF(B984="","",N(C984))</f>
        <v/>
      </c>
      <c r="AK984" s="49">
        <f>IF(OR(B984="",O984="Cancelled",O984="Rescheduled"),"",B984&amp;"|"&amp;(COUNTIFS('JOBS'!$B$5:$B$1504,B984,'JOBS'!$AJ$5:$AJ$1504,"&lt;"&amp;AJ984,'JOBS'!$O$5:$O$1504,"&lt;&gt;Cancelled",'JOBS'!$O$5:$O$1504,"&lt;&gt;Rescheduled")+COUNTIFS($B$5:B984,B984,$AJ$5:AJ984,AJ984,$O$5:O984,"&lt;&gt;Cancelled",$O$5:O984,"&lt;&gt;Rescheduled")))</f>
        <v/>
      </c>
      <c r="AL984" s="49">
        <f>IF(N(U984)&lt;=0.005,"",COUNTIFS('JOBS'!$U$5:$U$1504,"&gt;0.005",'JOBS'!$B$5:$B$1504,"&lt;"&amp;B984)+COUNTIFS($U$5:U984,"&gt;0.005",$B$5:B984,B984))</f>
        <v/>
      </c>
    </row>
    <row r="985">
      <c r="A985" s="46" t="inlineStr">
        <is>
          <t>J-0981</t>
        </is>
      </c>
      <c r="B985" s="47" t="n"/>
      <c r="C985" s="94" t="n"/>
      <c r="D985" s="38" t="n"/>
      <c r="E985" s="38" t="n"/>
      <c r="F985" s="38" t="n"/>
      <c r="G985" s="38" t="n"/>
      <c r="H985" s="38" t="n"/>
      <c r="I985" s="57" t="n"/>
      <c r="J985" s="95" t="n"/>
      <c r="K985" s="95" t="n"/>
      <c r="L985" s="48" t="n"/>
      <c r="M985" s="96" t="n"/>
      <c r="N985" s="48" t="n"/>
      <c r="O985" s="38" t="n"/>
      <c r="P985" s="38" t="n"/>
      <c r="Q985" s="97">
        <f>IF(OR(F985="",E985=""),"",IFERROR(IF(INDEX('PROPERTIES'!$F$5:$F$404,MATCH(E985,'PROPERTIES'!$B$5:$B$404,0))=0,"",ROUND((INDEX('PROPERTIES'!$F$5:$F$404,MATCH(E985,'PROPERTIES'!$B$5:$B$404,0))/INDEX('PRICING'!$C$7:$C$16,MATCH(F985,'PRICING'!$A$7:$A$16,0))+INDEX('PROPERTIES'!$G$5:$G$404,MATCH(E985,'PROPERTIES'!$B$5:$B$404,0))*INDEX('PRICING'!$D$7:$D$16,MATCH(F985,'PRICING'!$A$7:$A$16,0))/60+INDEX('PROPERTIES'!$H$5:$H$404,MATCH(E985,'PROPERTIES'!$B$5:$B$404,0))*INDEX('PRICING'!$E$7:$E$16,MATCH(F985,'PRICING'!$A$7:$A$16,0))/60+INDEX('PRICING'!$F$7:$F$16,MATCH(F985,'PRICING'!$A$7:$A$16,0))/60),2)),""))</f>
        <v/>
      </c>
      <c r="R985" s="97">
        <f>IF(B985="","",IF(N(K985)&gt;0,K985,IF(N(J985)&gt;0,J985,N(Q985))))</f>
        <v/>
      </c>
      <c r="S985" s="55">
        <f>IF(L985="","",ROUND(L985*(1+N(M985)),2))</f>
        <v/>
      </c>
      <c r="T985" s="55">
        <f>IF(B985="","",SUMIFS('REVENUE'!$C$5:$C$1504,'REVENUE'!$B$5:$B$1504,A985))</f>
        <v/>
      </c>
      <c r="U985" s="55">
        <f>IF(B985="","",IF(O985="Completed",MAX(0,N(S985)-T985),""))</f>
        <v/>
      </c>
      <c r="V985" s="49">
        <f>IF(B985="","",IF(O985&lt;&gt;"Completed",IF(T985&gt;0,"Deposit","—"),IF(U985&lt;=0.005,"Paid",IF(T985&gt;0,"Partial","Unpaid"))))</f>
        <v/>
      </c>
      <c r="W985" s="55">
        <f>IF(B985="","",IFERROR(1/(1/INDEX('STAFF &amp; TASKS'!$C$5:$C$24,MATCH(H985,'STAFF &amp; TASKS'!$A$5:$A$24,0))),PayRate))</f>
        <v/>
      </c>
      <c r="X985" s="55">
        <f>IF(B985="","",IF(OR(O985="Cancelled",O985="No-Show"),"",ROUND(R985*W985*(1+Burden),2)))</f>
        <v/>
      </c>
      <c r="Y985" s="55">
        <f>IF(B985="","",IF(OR(O985="Cancelled",O985="No-Show"),"",IF(N985&lt;&gt;"",N985,ROUND(R985*SupHr*IFERROR(INDEX('PRICING'!$G$7:$G$16,MATCH(F985,'PRICING'!$A$7:$A$16,0)),1),2))))</f>
        <v/>
      </c>
      <c r="Z985" s="98">
        <f>IF(B985="","",SUMIFS('MILEAGE'!$J$5:$J$1504,'MILEAGE'!$B$5:$B$1504,A985))</f>
        <v/>
      </c>
      <c r="AA985" s="55">
        <f>IF(B985="","",ROUND(Z985*MileRate,2))</f>
        <v/>
      </c>
      <c r="AB985" s="55">
        <f>IF(B985="","",SUMIFS('REVENUE'!$J$5:$J$1504,'REVENUE'!$B$5:$B$1504,A985))</f>
        <v/>
      </c>
      <c r="AC985" s="55">
        <f>IF(L985="","",IF(OR(O985="Cancelled",O985="No-Show"),"",L985-N(X985)-N(Y985)-AA985-AB985))</f>
        <v/>
      </c>
      <c r="AD985" s="99">
        <f>IF(OR(AC985="",N(L985)=0),"",AC985/L985)</f>
        <v/>
      </c>
      <c r="AE985" s="55">
        <f>IF(OR(AC985="",N(R985)=0),"",L985/R985)</f>
        <v/>
      </c>
      <c r="AF985" s="100">
        <f>IF(OR(N(K985)=0,N(J985)+N(Q985)=0),"",K985-IF(N(J985)&gt;0,J985,Q985))</f>
        <v/>
      </c>
      <c r="AG985" s="99">
        <f>IF(B985="","",IFERROR(AVERAGEIFS('QUALITY CONTROL'!$M$5:$M$304,'QUALITY CONTROL'!$B$5:$B$304,A985),""))</f>
        <v/>
      </c>
      <c r="AH985" s="51">
        <f>IF(B985="","",DATE(YEAR(B985),MONTH(B985),1))</f>
        <v/>
      </c>
      <c r="AI985" s="49">
        <f>IF(D985="","",IFERROR(INDEX('CUSTOMERS'!$E$5:$E$404,MATCH(D985,'CUSTOMERS'!$B$5:$B$404,0)),""))</f>
        <v/>
      </c>
      <c r="AJ985" s="49">
        <f>IF(B985="","",N(C985))</f>
        <v/>
      </c>
      <c r="AK985" s="49">
        <f>IF(OR(B985="",O985="Cancelled",O985="Rescheduled"),"",B985&amp;"|"&amp;(COUNTIFS('JOBS'!$B$5:$B$1504,B985,'JOBS'!$AJ$5:$AJ$1504,"&lt;"&amp;AJ985,'JOBS'!$O$5:$O$1504,"&lt;&gt;Cancelled",'JOBS'!$O$5:$O$1504,"&lt;&gt;Rescheduled")+COUNTIFS($B$5:B985,B985,$AJ$5:AJ985,AJ985,$O$5:O985,"&lt;&gt;Cancelled",$O$5:O985,"&lt;&gt;Rescheduled")))</f>
        <v/>
      </c>
      <c r="AL985" s="49">
        <f>IF(N(U985)&lt;=0.005,"",COUNTIFS('JOBS'!$U$5:$U$1504,"&gt;0.005",'JOBS'!$B$5:$B$1504,"&lt;"&amp;B985)+COUNTIFS($U$5:U985,"&gt;0.005",$B$5:B985,B985))</f>
        <v/>
      </c>
    </row>
    <row r="986">
      <c r="A986" s="46" t="inlineStr">
        <is>
          <t>J-0982</t>
        </is>
      </c>
      <c r="B986" s="47" t="n"/>
      <c r="C986" s="94" t="n"/>
      <c r="D986" s="38" t="n"/>
      <c r="E986" s="38" t="n"/>
      <c r="F986" s="38" t="n"/>
      <c r="G986" s="38" t="n"/>
      <c r="H986" s="38" t="n"/>
      <c r="I986" s="57" t="n"/>
      <c r="J986" s="95" t="n"/>
      <c r="K986" s="95" t="n"/>
      <c r="L986" s="48" t="n"/>
      <c r="M986" s="96" t="n"/>
      <c r="N986" s="48" t="n"/>
      <c r="O986" s="38" t="n"/>
      <c r="P986" s="38" t="n"/>
      <c r="Q986" s="97">
        <f>IF(OR(F986="",E986=""),"",IFERROR(IF(INDEX('PROPERTIES'!$F$5:$F$404,MATCH(E986,'PROPERTIES'!$B$5:$B$404,0))=0,"",ROUND((INDEX('PROPERTIES'!$F$5:$F$404,MATCH(E986,'PROPERTIES'!$B$5:$B$404,0))/INDEX('PRICING'!$C$7:$C$16,MATCH(F986,'PRICING'!$A$7:$A$16,0))+INDEX('PROPERTIES'!$G$5:$G$404,MATCH(E986,'PROPERTIES'!$B$5:$B$404,0))*INDEX('PRICING'!$D$7:$D$16,MATCH(F986,'PRICING'!$A$7:$A$16,0))/60+INDEX('PROPERTIES'!$H$5:$H$404,MATCH(E986,'PROPERTIES'!$B$5:$B$404,0))*INDEX('PRICING'!$E$7:$E$16,MATCH(F986,'PRICING'!$A$7:$A$16,0))/60+INDEX('PRICING'!$F$7:$F$16,MATCH(F986,'PRICING'!$A$7:$A$16,0))/60),2)),""))</f>
        <v/>
      </c>
      <c r="R986" s="97">
        <f>IF(B986="","",IF(N(K986)&gt;0,K986,IF(N(J986)&gt;0,J986,N(Q986))))</f>
        <v/>
      </c>
      <c r="S986" s="55">
        <f>IF(L986="","",ROUND(L986*(1+N(M986)),2))</f>
        <v/>
      </c>
      <c r="T986" s="55">
        <f>IF(B986="","",SUMIFS('REVENUE'!$C$5:$C$1504,'REVENUE'!$B$5:$B$1504,A986))</f>
        <v/>
      </c>
      <c r="U986" s="55">
        <f>IF(B986="","",IF(O986="Completed",MAX(0,N(S986)-T986),""))</f>
        <v/>
      </c>
      <c r="V986" s="49">
        <f>IF(B986="","",IF(O986&lt;&gt;"Completed",IF(T986&gt;0,"Deposit","—"),IF(U986&lt;=0.005,"Paid",IF(T986&gt;0,"Partial","Unpaid"))))</f>
        <v/>
      </c>
      <c r="W986" s="55">
        <f>IF(B986="","",IFERROR(1/(1/INDEX('STAFF &amp; TASKS'!$C$5:$C$24,MATCH(H986,'STAFF &amp; TASKS'!$A$5:$A$24,0))),PayRate))</f>
        <v/>
      </c>
      <c r="X986" s="55">
        <f>IF(B986="","",IF(OR(O986="Cancelled",O986="No-Show"),"",ROUND(R986*W986*(1+Burden),2)))</f>
        <v/>
      </c>
      <c r="Y986" s="55">
        <f>IF(B986="","",IF(OR(O986="Cancelled",O986="No-Show"),"",IF(N986&lt;&gt;"",N986,ROUND(R986*SupHr*IFERROR(INDEX('PRICING'!$G$7:$G$16,MATCH(F986,'PRICING'!$A$7:$A$16,0)),1),2))))</f>
        <v/>
      </c>
      <c r="Z986" s="98">
        <f>IF(B986="","",SUMIFS('MILEAGE'!$J$5:$J$1504,'MILEAGE'!$B$5:$B$1504,A986))</f>
        <v/>
      </c>
      <c r="AA986" s="55">
        <f>IF(B986="","",ROUND(Z986*MileRate,2))</f>
        <v/>
      </c>
      <c r="AB986" s="55">
        <f>IF(B986="","",SUMIFS('REVENUE'!$J$5:$J$1504,'REVENUE'!$B$5:$B$1504,A986))</f>
        <v/>
      </c>
      <c r="AC986" s="55">
        <f>IF(L986="","",IF(OR(O986="Cancelled",O986="No-Show"),"",L986-N(X986)-N(Y986)-AA986-AB986))</f>
        <v/>
      </c>
      <c r="AD986" s="99">
        <f>IF(OR(AC986="",N(L986)=0),"",AC986/L986)</f>
        <v/>
      </c>
      <c r="AE986" s="55">
        <f>IF(OR(AC986="",N(R986)=0),"",L986/R986)</f>
        <v/>
      </c>
      <c r="AF986" s="100">
        <f>IF(OR(N(K986)=0,N(J986)+N(Q986)=0),"",K986-IF(N(J986)&gt;0,J986,Q986))</f>
        <v/>
      </c>
      <c r="AG986" s="99">
        <f>IF(B986="","",IFERROR(AVERAGEIFS('QUALITY CONTROL'!$M$5:$M$304,'QUALITY CONTROL'!$B$5:$B$304,A986),""))</f>
        <v/>
      </c>
      <c r="AH986" s="51">
        <f>IF(B986="","",DATE(YEAR(B986),MONTH(B986),1))</f>
        <v/>
      </c>
      <c r="AI986" s="49">
        <f>IF(D986="","",IFERROR(INDEX('CUSTOMERS'!$E$5:$E$404,MATCH(D986,'CUSTOMERS'!$B$5:$B$404,0)),""))</f>
        <v/>
      </c>
      <c r="AJ986" s="49">
        <f>IF(B986="","",N(C986))</f>
        <v/>
      </c>
      <c r="AK986" s="49">
        <f>IF(OR(B986="",O986="Cancelled",O986="Rescheduled"),"",B986&amp;"|"&amp;(COUNTIFS('JOBS'!$B$5:$B$1504,B986,'JOBS'!$AJ$5:$AJ$1504,"&lt;"&amp;AJ986,'JOBS'!$O$5:$O$1504,"&lt;&gt;Cancelled",'JOBS'!$O$5:$O$1504,"&lt;&gt;Rescheduled")+COUNTIFS($B$5:B986,B986,$AJ$5:AJ986,AJ986,$O$5:O986,"&lt;&gt;Cancelled",$O$5:O986,"&lt;&gt;Rescheduled")))</f>
        <v/>
      </c>
      <c r="AL986" s="49">
        <f>IF(N(U986)&lt;=0.005,"",COUNTIFS('JOBS'!$U$5:$U$1504,"&gt;0.005",'JOBS'!$B$5:$B$1504,"&lt;"&amp;B986)+COUNTIFS($U$5:U986,"&gt;0.005",$B$5:B986,B986))</f>
        <v/>
      </c>
    </row>
    <row r="987">
      <c r="A987" s="46" t="inlineStr">
        <is>
          <t>J-0983</t>
        </is>
      </c>
      <c r="B987" s="47" t="n"/>
      <c r="C987" s="94" t="n"/>
      <c r="D987" s="38" t="n"/>
      <c r="E987" s="38" t="n"/>
      <c r="F987" s="38" t="n"/>
      <c r="G987" s="38" t="n"/>
      <c r="H987" s="38" t="n"/>
      <c r="I987" s="57" t="n"/>
      <c r="J987" s="95" t="n"/>
      <c r="K987" s="95" t="n"/>
      <c r="L987" s="48" t="n"/>
      <c r="M987" s="96" t="n"/>
      <c r="N987" s="48" t="n"/>
      <c r="O987" s="38" t="n"/>
      <c r="P987" s="38" t="n"/>
      <c r="Q987" s="97">
        <f>IF(OR(F987="",E987=""),"",IFERROR(IF(INDEX('PROPERTIES'!$F$5:$F$404,MATCH(E987,'PROPERTIES'!$B$5:$B$404,0))=0,"",ROUND((INDEX('PROPERTIES'!$F$5:$F$404,MATCH(E987,'PROPERTIES'!$B$5:$B$404,0))/INDEX('PRICING'!$C$7:$C$16,MATCH(F987,'PRICING'!$A$7:$A$16,0))+INDEX('PROPERTIES'!$G$5:$G$404,MATCH(E987,'PROPERTIES'!$B$5:$B$404,0))*INDEX('PRICING'!$D$7:$D$16,MATCH(F987,'PRICING'!$A$7:$A$16,0))/60+INDEX('PROPERTIES'!$H$5:$H$404,MATCH(E987,'PROPERTIES'!$B$5:$B$404,0))*INDEX('PRICING'!$E$7:$E$16,MATCH(F987,'PRICING'!$A$7:$A$16,0))/60+INDEX('PRICING'!$F$7:$F$16,MATCH(F987,'PRICING'!$A$7:$A$16,0))/60),2)),""))</f>
        <v/>
      </c>
      <c r="R987" s="97">
        <f>IF(B987="","",IF(N(K987)&gt;0,K987,IF(N(J987)&gt;0,J987,N(Q987))))</f>
        <v/>
      </c>
      <c r="S987" s="55">
        <f>IF(L987="","",ROUND(L987*(1+N(M987)),2))</f>
        <v/>
      </c>
      <c r="T987" s="55">
        <f>IF(B987="","",SUMIFS('REVENUE'!$C$5:$C$1504,'REVENUE'!$B$5:$B$1504,A987))</f>
        <v/>
      </c>
      <c r="U987" s="55">
        <f>IF(B987="","",IF(O987="Completed",MAX(0,N(S987)-T987),""))</f>
        <v/>
      </c>
      <c r="V987" s="49">
        <f>IF(B987="","",IF(O987&lt;&gt;"Completed",IF(T987&gt;0,"Deposit","—"),IF(U987&lt;=0.005,"Paid",IF(T987&gt;0,"Partial","Unpaid"))))</f>
        <v/>
      </c>
      <c r="W987" s="55">
        <f>IF(B987="","",IFERROR(1/(1/INDEX('STAFF &amp; TASKS'!$C$5:$C$24,MATCH(H987,'STAFF &amp; TASKS'!$A$5:$A$24,0))),PayRate))</f>
        <v/>
      </c>
      <c r="X987" s="55">
        <f>IF(B987="","",IF(OR(O987="Cancelled",O987="No-Show"),"",ROUND(R987*W987*(1+Burden),2)))</f>
        <v/>
      </c>
      <c r="Y987" s="55">
        <f>IF(B987="","",IF(OR(O987="Cancelled",O987="No-Show"),"",IF(N987&lt;&gt;"",N987,ROUND(R987*SupHr*IFERROR(INDEX('PRICING'!$G$7:$G$16,MATCH(F987,'PRICING'!$A$7:$A$16,0)),1),2))))</f>
        <v/>
      </c>
      <c r="Z987" s="98">
        <f>IF(B987="","",SUMIFS('MILEAGE'!$J$5:$J$1504,'MILEAGE'!$B$5:$B$1504,A987))</f>
        <v/>
      </c>
      <c r="AA987" s="55">
        <f>IF(B987="","",ROUND(Z987*MileRate,2))</f>
        <v/>
      </c>
      <c r="AB987" s="55">
        <f>IF(B987="","",SUMIFS('REVENUE'!$J$5:$J$1504,'REVENUE'!$B$5:$B$1504,A987))</f>
        <v/>
      </c>
      <c r="AC987" s="55">
        <f>IF(L987="","",IF(OR(O987="Cancelled",O987="No-Show"),"",L987-N(X987)-N(Y987)-AA987-AB987))</f>
        <v/>
      </c>
      <c r="AD987" s="99">
        <f>IF(OR(AC987="",N(L987)=0),"",AC987/L987)</f>
        <v/>
      </c>
      <c r="AE987" s="55">
        <f>IF(OR(AC987="",N(R987)=0),"",L987/R987)</f>
        <v/>
      </c>
      <c r="AF987" s="100">
        <f>IF(OR(N(K987)=0,N(J987)+N(Q987)=0),"",K987-IF(N(J987)&gt;0,J987,Q987))</f>
        <v/>
      </c>
      <c r="AG987" s="99">
        <f>IF(B987="","",IFERROR(AVERAGEIFS('QUALITY CONTROL'!$M$5:$M$304,'QUALITY CONTROL'!$B$5:$B$304,A987),""))</f>
        <v/>
      </c>
      <c r="AH987" s="51">
        <f>IF(B987="","",DATE(YEAR(B987),MONTH(B987),1))</f>
        <v/>
      </c>
      <c r="AI987" s="49">
        <f>IF(D987="","",IFERROR(INDEX('CUSTOMERS'!$E$5:$E$404,MATCH(D987,'CUSTOMERS'!$B$5:$B$404,0)),""))</f>
        <v/>
      </c>
      <c r="AJ987" s="49">
        <f>IF(B987="","",N(C987))</f>
        <v/>
      </c>
      <c r="AK987" s="49">
        <f>IF(OR(B987="",O987="Cancelled",O987="Rescheduled"),"",B987&amp;"|"&amp;(COUNTIFS('JOBS'!$B$5:$B$1504,B987,'JOBS'!$AJ$5:$AJ$1504,"&lt;"&amp;AJ987,'JOBS'!$O$5:$O$1504,"&lt;&gt;Cancelled",'JOBS'!$O$5:$O$1504,"&lt;&gt;Rescheduled")+COUNTIFS($B$5:B987,B987,$AJ$5:AJ987,AJ987,$O$5:O987,"&lt;&gt;Cancelled",$O$5:O987,"&lt;&gt;Rescheduled")))</f>
        <v/>
      </c>
      <c r="AL987" s="49">
        <f>IF(N(U987)&lt;=0.005,"",COUNTIFS('JOBS'!$U$5:$U$1504,"&gt;0.005",'JOBS'!$B$5:$B$1504,"&lt;"&amp;B987)+COUNTIFS($U$5:U987,"&gt;0.005",$B$5:B987,B987))</f>
        <v/>
      </c>
    </row>
    <row r="988">
      <c r="A988" s="46" t="inlineStr">
        <is>
          <t>J-0984</t>
        </is>
      </c>
      <c r="B988" s="47" t="n"/>
      <c r="C988" s="94" t="n"/>
      <c r="D988" s="38" t="n"/>
      <c r="E988" s="38" t="n"/>
      <c r="F988" s="38" t="n"/>
      <c r="G988" s="38" t="n"/>
      <c r="H988" s="38" t="n"/>
      <c r="I988" s="57" t="n"/>
      <c r="J988" s="95" t="n"/>
      <c r="K988" s="95" t="n"/>
      <c r="L988" s="48" t="n"/>
      <c r="M988" s="96" t="n"/>
      <c r="N988" s="48" t="n"/>
      <c r="O988" s="38" t="n"/>
      <c r="P988" s="38" t="n"/>
      <c r="Q988" s="97">
        <f>IF(OR(F988="",E988=""),"",IFERROR(IF(INDEX('PROPERTIES'!$F$5:$F$404,MATCH(E988,'PROPERTIES'!$B$5:$B$404,0))=0,"",ROUND((INDEX('PROPERTIES'!$F$5:$F$404,MATCH(E988,'PROPERTIES'!$B$5:$B$404,0))/INDEX('PRICING'!$C$7:$C$16,MATCH(F988,'PRICING'!$A$7:$A$16,0))+INDEX('PROPERTIES'!$G$5:$G$404,MATCH(E988,'PROPERTIES'!$B$5:$B$404,0))*INDEX('PRICING'!$D$7:$D$16,MATCH(F988,'PRICING'!$A$7:$A$16,0))/60+INDEX('PROPERTIES'!$H$5:$H$404,MATCH(E988,'PROPERTIES'!$B$5:$B$404,0))*INDEX('PRICING'!$E$7:$E$16,MATCH(F988,'PRICING'!$A$7:$A$16,0))/60+INDEX('PRICING'!$F$7:$F$16,MATCH(F988,'PRICING'!$A$7:$A$16,0))/60),2)),""))</f>
        <v/>
      </c>
      <c r="R988" s="97">
        <f>IF(B988="","",IF(N(K988)&gt;0,K988,IF(N(J988)&gt;0,J988,N(Q988))))</f>
        <v/>
      </c>
      <c r="S988" s="55">
        <f>IF(L988="","",ROUND(L988*(1+N(M988)),2))</f>
        <v/>
      </c>
      <c r="T988" s="55">
        <f>IF(B988="","",SUMIFS('REVENUE'!$C$5:$C$1504,'REVENUE'!$B$5:$B$1504,A988))</f>
        <v/>
      </c>
      <c r="U988" s="55">
        <f>IF(B988="","",IF(O988="Completed",MAX(0,N(S988)-T988),""))</f>
        <v/>
      </c>
      <c r="V988" s="49">
        <f>IF(B988="","",IF(O988&lt;&gt;"Completed",IF(T988&gt;0,"Deposit","—"),IF(U988&lt;=0.005,"Paid",IF(T988&gt;0,"Partial","Unpaid"))))</f>
        <v/>
      </c>
      <c r="W988" s="55">
        <f>IF(B988="","",IFERROR(1/(1/INDEX('STAFF &amp; TASKS'!$C$5:$C$24,MATCH(H988,'STAFF &amp; TASKS'!$A$5:$A$24,0))),PayRate))</f>
        <v/>
      </c>
      <c r="X988" s="55">
        <f>IF(B988="","",IF(OR(O988="Cancelled",O988="No-Show"),"",ROUND(R988*W988*(1+Burden),2)))</f>
        <v/>
      </c>
      <c r="Y988" s="55">
        <f>IF(B988="","",IF(OR(O988="Cancelled",O988="No-Show"),"",IF(N988&lt;&gt;"",N988,ROUND(R988*SupHr*IFERROR(INDEX('PRICING'!$G$7:$G$16,MATCH(F988,'PRICING'!$A$7:$A$16,0)),1),2))))</f>
        <v/>
      </c>
      <c r="Z988" s="98">
        <f>IF(B988="","",SUMIFS('MILEAGE'!$J$5:$J$1504,'MILEAGE'!$B$5:$B$1504,A988))</f>
        <v/>
      </c>
      <c r="AA988" s="55">
        <f>IF(B988="","",ROUND(Z988*MileRate,2))</f>
        <v/>
      </c>
      <c r="AB988" s="55">
        <f>IF(B988="","",SUMIFS('REVENUE'!$J$5:$J$1504,'REVENUE'!$B$5:$B$1504,A988))</f>
        <v/>
      </c>
      <c r="AC988" s="55">
        <f>IF(L988="","",IF(OR(O988="Cancelled",O988="No-Show"),"",L988-N(X988)-N(Y988)-AA988-AB988))</f>
        <v/>
      </c>
      <c r="AD988" s="99">
        <f>IF(OR(AC988="",N(L988)=0),"",AC988/L988)</f>
        <v/>
      </c>
      <c r="AE988" s="55">
        <f>IF(OR(AC988="",N(R988)=0),"",L988/R988)</f>
        <v/>
      </c>
      <c r="AF988" s="100">
        <f>IF(OR(N(K988)=0,N(J988)+N(Q988)=0),"",K988-IF(N(J988)&gt;0,J988,Q988))</f>
        <v/>
      </c>
      <c r="AG988" s="99">
        <f>IF(B988="","",IFERROR(AVERAGEIFS('QUALITY CONTROL'!$M$5:$M$304,'QUALITY CONTROL'!$B$5:$B$304,A988),""))</f>
        <v/>
      </c>
      <c r="AH988" s="51">
        <f>IF(B988="","",DATE(YEAR(B988),MONTH(B988),1))</f>
        <v/>
      </c>
      <c r="AI988" s="49">
        <f>IF(D988="","",IFERROR(INDEX('CUSTOMERS'!$E$5:$E$404,MATCH(D988,'CUSTOMERS'!$B$5:$B$404,0)),""))</f>
        <v/>
      </c>
      <c r="AJ988" s="49">
        <f>IF(B988="","",N(C988))</f>
        <v/>
      </c>
      <c r="AK988" s="49">
        <f>IF(OR(B988="",O988="Cancelled",O988="Rescheduled"),"",B988&amp;"|"&amp;(COUNTIFS('JOBS'!$B$5:$B$1504,B988,'JOBS'!$AJ$5:$AJ$1504,"&lt;"&amp;AJ988,'JOBS'!$O$5:$O$1504,"&lt;&gt;Cancelled",'JOBS'!$O$5:$O$1504,"&lt;&gt;Rescheduled")+COUNTIFS($B$5:B988,B988,$AJ$5:AJ988,AJ988,$O$5:O988,"&lt;&gt;Cancelled",$O$5:O988,"&lt;&gt;Rescheduled")))</f>
        <v/>
      </c>
      <c r="AL988" s="49">
        <f>IF(N(U988)&lt;=0.005,"",COUNTIFS('JOBS'!$U$5:$U$1504,"&gt;0.005",'JOBS'!$B$5:$B$1504,"&lt;"&amp;B988)+COUNTIFS($U$5:U988,"&gt;0.005",$B$5:B988,B988))</f>
        <v/>
      </c>
    </row>
    <row r="989">
      <c r="A989" s="46" t="inlineStr">
        <is>
          <t>J-0985</t>
        </is>
      </c>
      <c r="B989" s="47" t="n"/>
      <c r="C989" s="94" t="n"/>
      <c r="D989" s="38" t="n"/>
      <c r="E989" s="38" t="n"/>
      <c r="F989" s="38" t="n"/>
      <c r="G989" s="38" t="n"/>
      <c r="H989" s="38" t="n"/>
      <c r="I989" s="57" t="n"/>
      <c r="J989" s="95" t="n"/>
      <c r="K989" s="95" t="n"/>
      <c r="L989" s="48" t="n"/>
      <c r="M989" s="96" t="n"/>
      <c r="N989" s="48" t="n"/>
      <c r="O989" s="38" t="n"/>
      <c r="P989" s="38" t="n"/>
      <c r="Q989" s="97">
        <f>IF(OR(F989="",E989=""),"",IFERROR(IF(INDEX('PROPERTIES'!$F$5:$F$404,MATCH(E989,'PROPERTIES'!$B$5:$B$404,0))=0,"",ROUND((INDEX('PROPERTIES'!$F$5:$F$404,MATCH(E989,'PROPERTIES'!$B$5:$B$404,0))/INDEX('PRICING'!$C$7:$C$16,MATCH(F989,'PRICING'!$A$7:$A$16,0))+INDEX('PROPERTIES'!$G$5:$G$404,MATCH(E989,'PROPERTIES'!$B$5:$B$404,0))*INDEX('PRICING'!$D$7:$D$16,MATCH(F989,'PRICING'!$A$7:$A$16,0))/60+INDEX('PROPERTIES'!$H$5:$H$404,MATCH(E989,'PROPERTIES'!$B$5:$B$404,0))*INDEX('PRICING'!$E$7:$E$16,MATCH(F989,'PRICING'!$A$7:$A$16,0))/60+INDEX('PRICING'!$F$7:$F$16,MATCH(F989,'PRICING'!$A$7:$A$16,0))/60),2)),""))</f>
        <v/>
      </c>
      <c r="R989" s="97">
        <f>IF(B989="","",IF(N(K989)&gt;0,K989,IF(N(J989)&gt;0,J989,N(Q989))))</f>
        <v/>
      </c>
      <c r="S989" s="55">
        <f>IF(L989="","",ROUND(L989*(1+N(M989)),2))</f>
        <v/>
      </c>
      <c r="T989" s="55">
        <f>IF(B989="","",SUMIFS('REVENUE'!$C$5:$C$1504,'REVENUE'!$B$5:$B$1504,A989))</f>
        <v/>
      </c>
      <c r="U989" s="55">
        <f>IF(B989="","",IF(O989="Completed",MAX(0,N(S989)-T989),""))</f>
        <v/>
      </c>
      <c r="V989" s="49">
        <f>IF(B989="","",IF(O989&lt;&gt;"Completed",IF(T989&gt;0,"Deposit","—"),IF(U989&lt;=0.005,"Paid",IF(T989&gt;0,"Partial","Unpaid"))))</f>
        <v/>
      </c>
      <c r="W989" s="55">
        <f>IF(B989="","",IFERROR(1/(1/INDEX('STAFF &amp; TASKS'!$C$5:$C$24,MATCH(H989,'STAFF &amp; TASKS'!$A$5:$A$24,0))),PayRate))</f>
        <v/>
      </c>
      <c r="X989" s="55">
        <f>IF(B989="","",IF(OR(O989="Cancelled",O989="No-Show"),"",ROUND(R989*W989*(1+Burden),2)))</f>
        <v/>
      </c>
      <c r="Y989" s="55">
        <f>IF(B989="","",IF(OR(O989="Cancelled",O989="No-Show"),"",IF(N989&lt;&gt;"",N989,ROUND(R989*SupHr*IFERROR(INDEX('PRICING'!$G$7:$G$16,MATCH(F989,'PRICING'!$A$7:$A$16,0)),1),2))))</f>
        <v/>
      </c>
      <c r="Z989" s="98">
        <f>IF(B989="","",SUMIFS('MILEAGE'!$J$5:$J$1504,'MILEAGE'!$B$5:$B$1504,A989))</f>
        <v/>
      </c>
      <c r="AA989" s="55">
        <f>IF(B989="","",ROUND(Z989*MileRate,2))</f>
        <v/>
      </c>
      <c r="AB989" s="55">
        <f>IF(B989="","",SUMIFS('REVENUE'!$J$5:$J$1504,'REVENUE'!$B$5:$B$1504,A989))</f>
        <v/>
      </c>
      <c r="AC989" s="55">
        <f>IF(L989="","",IF(OR(O989="Cancelled",O989="No-Show"),"",L989-N(X989)-N(Y989)-AA989-AB989))</f>
        <v/>
      </c>
      <c r="AD989" s="99">
        <f>IF(OR(AC989="",N(L989)=0),"",AC989/L989)</f>
        <v/>
      </c>
      <c r="AE989" s="55">
        <f>IF(OR(AC989="",N(R989)=0),"",L989/R989)</f>
        <v/>
      </c>
      <c r="AF989" s="100">
        <f>IF(OR(N(K989)=0,N(J989)+N(Q989)=0),"",K989-IF(N(J989)&gt;0,J989,Q989))</f>
        <v/>
      </c>
      <c r="AG989" s="99">
        <f>IF(B989="","",IFERROR(AVERAGEIFS('QUALITY CONTROL'!$M$5:$M$304,'QUALITY CONTROL'!$B$5:$B$304,A989),""))</f>
        <v/>
      </c>
      <c r="AH989" s="51">
        <f>IF(B989="","",DATE(YEAR(B989),MONTH(B989),1))</f>
        <v/>
      </c>
      <c r="AI989" s="49">
        <f>IF(D989="","",IFERROR(INDEX('CUSTOMERS'!$E$5:$E$404,MATCH(D989,'CUSTOMERS'!$B$5:$B$404,0)),""))</f>
        <v/>
      </c>
      <c r="AJ989" s="49">
        <f>IF(B989="","",N(C989))</f>
        <v/>
      </c>
      <c r="AK989" s="49">
        <f>IF(OR(B989="",O989="Cancelled",O989="Rescheduled"),"",B989&amp;"|"&amp;(COUNTIFS('JOBS'!$B$5:$B$1504,B989,'JOBS'!$AJ$5:$AJ$1504,"&lt;"&amp;AJ989,'JOBS'!$O$5:$O$1504,"&lt;&gt;Cancelled",'JOBS'!$O$5:$O$1504,"&lt;&gt;Rescheduled")+COUNTIFS($B$5:B989,B989,$AJ$5:AJ989,AJ989,$O$5:O989,"&lt;&gt;Cancelled",$O$5:O989,"&lt;&gt;Rescheduled")))</f>
        <v/>
      </c>
      <c r="AL989" s="49">
        <f>IF(N(U989)&lt;=0.005,"",COUNTIFS('JOBS'!$U$5:$U$1504,"&gt;0.005",'JOBS'!$B$5:$B$1504,"&lt;"&amp;B989)+COUNTIFS($U$5:U989,"&gt;0.005",$B$5:B989,B989))</f>
        <v/>
      </c>
    </row>
    <row r="990">
      <c r="A990" s="46" t="inlineStr">
        <is>
          <t>J-0986</t>
        </is>
      </c>
      <c r="B990" s="47" t="n"/>
      <c r="C990" s="94" t="n"/>
      <c r="D990" s="38" t="n"/>
      <c r="E990" s="38" t="n"/>
      <c r="F990" s="38" t="n"/>
      <c r="G990" s="38" t="n"/>
      <c r="H990" s="38" t="n"/>
      <c r="I990" s="57" t="n"/>
      <c r="J990" s="95" t="n"/>
      <c r="K990" s="95" t="n"/>
      <c r="L990" s="48" t="n"/>
      <c r="M990" s="96" t="n"/>
      <c r="N990" s="48" t="n"/>
      <c r="O990" s="38" t="n"/>
      <c r="P990" s="38" t="n"/>
      <c r="Q990" s="97">
        <f>IF(OR(F990="",E990=""),"",IFERROR(IF(INDEX('PROPERTIES'!$F$5:$F$404,MATCH(E990,'PROPERTIES'!$B$5:$B$404,0))=0,"",ROUND((INDEX('PROPERTIES'!$F$5:$F$404,MATCH(E990,'PROPERTIES'!$B$5:$B$404,0))/INDEX('PRICING'!$C$7:$C$16,MATCH(F990,'PRICING'!$A$7:$A$16,0))+INDEX('PROPERTIES'!$G$5:$G$404,MATCH(E990,'PROPERTIES'!$B$5:$B$404,0))*INDEX('PRICING'!$D$7:$D$16,MATCH(F990,'PRICING'!$A$7:$A$16,0))/60+INDEX('PROPERTIES'!$H$5:$H$404,MATCH(E990,'PROPERTIES'!$B$5:$B$404,0))*INDEX('PRICING'!$E$7:$E$16,MATCH(F990,'PRICING'!$A$7:$A$16,0))/60+INDEX('PRICING'!$F$7:$F$16,MATCH(F990,'PRICING'!$A$7:$A$16,0))/60),2)),""))</f>
        <v/>
      </c>
      <c r="R990" s="97">
        <f>IF(B990="","",IF(N(K990)&gt;0,K990,IF(N(J990)&gt;0,J990,N(Q990))))</f>
        <v/>
      </c>
      <c r="S990" s="55">
        <f>IF(L990="","",ROUND(L990*(1+N(M990)),2))</f>
        <v/>
      </c>
      <c r="T990" s="55">
        <f>IF(B990="","",SUMIFS('REVENUE'!$C$5:$C$1504,'REVENUE'!$B$5:$B$1504,A990))</f>
        <v/>
      </c>
      <c r="U990" s="55">
        <f>IF(B990="","",IF(O990="Completed",MAX(0,N(S990)-T990),""))</f>
        <v/>
      </c>
      <c r="V990" s="49">
        <f>IF(B990="","",IF(O990&lt;&gt;"Completed",IF(T990&gt;0,"Deposit","—"),IF(U990&lt;=0.005,"Paid",IF(T990&gt;0,"Partial","Unpaid"))))</f>
        <v/>
      </c>
      <c r="W990" s="55">
        <f>IF(B990="","",IFERROR(1/(1/INDEX('STAFF &amp; TASKS'!$C$5:$C$24,MATCH(H990,'STAFF &amp; TASKS'!$A$5:$A$24,0))),PayRate))</f>
        <v/>
      </c>
      <c r="X990" s="55">
        <f>IF(B990="","",IF(OR(O990="Cancelled",O990="No-Show"),"",ROUND(R990*W990*(1+Burden),2)))</f>
        <v/>
      </c>
      <c r="Y990" s="55">
        <f>IF(B990="","",IF(OR(O990="Cancelled",O990="No-Show"),"",IF(N990&lt;&gt;"",N990,ROUND(R990*SupHr*IFERROR(INDEX('PRICING'!$G$7:$G$16,MATCH(F990,'PRICING'!$A$7:$A$16,0)),1),2))))</f>
        <v/>
      </c>
      <c r="Z990" s="98">
        <f>IF(B990="","",SUMIFS('MILEAGE'!$J$5:$J$1504,'MILEAGE'!$B$5:$B$1504,A990))</f>
        <v/>
      </c>
      <c r="AA990" s="55">
        <f>IF(B990="","",ROUND(Z990*MileRate,2))</f>
        <v/>
      </c>
      <c r="AB990" s="55">
        <f>IF(B990="","",SUMIFS('REVENUE'!$J$5:$J$1504,'REVENUE'!$B$5:$B$1504,A990))</f>
        <v/>
      </c>
      <c r="AC990" s="55">
        <f>IF(L990="","",IF(OR(O990="Cancelled",O990="No-Show"),"",L990-N(X990)-N(Y990)-AA990-AB990))</f>
        <v/>
      </c>
      <c r="AD990" s="99">
        <f>IF(OR(AC990="",N(L990)=0),"",AC990/L990)</f>
        <v/>
      </c>
      <c r="AE990" s="55">
        <f>IF(OR(AC990="",N(R990)=0),"",L990/R990)</f>
        <v/>
      </c>
      <c r="AF990" s="100">
        <f>IF(OR(N(K990)=0,N(J990)+N(Q990)=0),"",K990-IF(N(J990)&gt;0,J990,Q990))</f>
        <v/>
      </c>
      <c r="AG990" s="99">
        <f>IF(B990="","",IFERROR(AVERAGEIFS('QUALITY CONTROL'!$M$5:$M$304,'QUALITY CONTROL'!$B$5:$B$304,A990),""))</f>
        <v/>
      </c>
      <c r="AH990" s="51">
        <f>IF(B990="","",DATE(YEAR(B990),MONTH(B990),1))</f>
        <v/>
      </c>
      <c r="AI990" s="49">
        <f>IF(D990="","",IFERROR(INDEX('CUSTOMERS'!$E$5:$E$404,MATCH(D990,'CUSTOMERS'!$B$5:$B$404,0)),""))</f>
        <v/>
      </c>
      <c r="AJ990" s="49">
        <f>IF(B990="","",N(C990))</f>
        <v/>
      </c>
      <c r="AK990" s="49">
        <f>IF(OR(B990="",O990="Cancelled",O990="Rescheduled"),"",B990&amp;"|"&amp;(COUNTIFS('JOBS'!$B$5:$B$1504,B990,'JOBS'!$AJ$5:$AJ$1504,"&lt;"&amp;AJ990,'JOBS'!$O$5:$O$1504,"&lt;&gt;Cancelled",'JOBS'!$O$5:$O$1504,"&lt;&gt;Rescheduled")+COUNTIFS($B$5:B990,B990,$AJ$5:AJ990,AJ990,$O$5:O990,"&lt;&gt;Cancelled",$O$5:O990,"&lt;&gt;Rescheduled")))</f>
        <v/>
      </c>
      <c r="AL990" s="49">
        <f>IF(N(U990)&lt;=0.005,"",COUNTIFS('JOBS'!$U$5:$U$1504,"&gt;0.005",'JOBS'!$B$5:$B$1504,"&lt;"&amp;B990)+COUNTIFS($U$5:U990,"&gt;0.005",$B$5:B990,B990))</f>
        <v/>
      </c>
    </row>
    <row r="991">
      <c r="A991" s="46" t="inlineStr">
        <is>
          <t>J-0987</t>
        </is>
      </c>
      <c r="B991" s="47" t="n"/>
      <c r="C991" s="94" t="n"/>
      <c r="D991" s="38" t="n"/>
      <c r="E991" s="38" t="n"/>
      <c r="F991" s="38" t="n"/>
      <c r="G991" s="38" t="n"/>
      <c r="H991" s="38" t="n"/>
      <c r="I991" s="57" t="n"/>
      <c r="J991" s="95" t="n"/>
      <c r="K991" s="95" t="n"/>
      <c r="L991" s="48" t="n"/>
      <c r="M991" s="96" t="n"/>
      <c r="N991" s="48" t="n"/>
      <c r="O991" s="38" t="n"/>
      <c r="P991" s="38" t="n"/>
      <c r="Q991" s="97">
        <f>IF(OR(F991="",E991=""),"",IFERROR(IF(INDEX('PROPERTIES'!$F$5:$F$404,MATCH(E991,'PROPERTIES'!$B$5:$B$404,0))=0,"",ROUND((INDEX('PROPERTIES'!$F$5:$F$404,MATCH(E991,'PROPERTIES'!$B$5:$B$404,0))/INDEX('PRICING'!$C$7:$C$16,MATCH(F991,'PRICING'!$A$7:$A$16,0))+INDEX('PROPERTIES'!$G$5:$G$404,MATCH(E991,'PROPERTIES'!$B$5:$B$404,0))*INDEX('PRICING'!$D$7:$D$16,MATCH(F991,'PRICING'!$A$7:$A$16,0))/60+INDEX('PROPERTIES'!$H$5:$H$404,MATCH(E991,'PROPERTIES'!$B$5:$B$404,0))*INDEX('PRICING'!$E$7:$E$16,MATCH(F991,'PRICING'!$A$7:$A$16,0))/60+INDEX('PRICING'!$F$7:$F$16,MATCH(F991,'PRICING'!$A$7:$A$16,0))/60),2)),""))</f>
        <v/>
      </c>
      <c r="R991" s="97">
        <f>IF(B991="","",IF(N(K991)&gt;0,K991,IF(N(J991)&gt;0,J991,N(Q991))))</f>
        <v/>
      </c>
      <c r="S991" s="55">
        <f>IF(L991="","",ROUND(L991*(1+N(M991)),2))</f>
        <v/>
      </c>
      <c r="T991" s="55">
        <f>IF(B991="","",SUMIFS('REVENUE'!$C$5:$C$1504,'REVENUE'!$B$5:$B$1504,A991))</f>
        <v/>
      </c>
      <c r="U991" s="55">
        <f>IF(B991="","",IF(O991="Completed",MAX(0,N(S991)-T991),""))</f>
        <v/>
      </c>
      <c r="V991" s="49">
        <f>IF(B991="","",IF(O991&lt;&gt;"Completed",IF(T991&gt;0,"Deposit","—"),IF(U991&lt;=0.005,"Paid",IF(T991&gt;0,"Partial","Unpaid"))))</f>
        <v/>
      </c>
      <c r="W991" s="55">
        <f>IF(B991="","",IFERROR(1/(1/INDEX('STAFF &amp; TASKS'!$C$5:$C$24,MATCH(H991,'STAFF &amp; TASKS'!$A$5:$A$24,0))),PayRate))</f>
        <v/>
      </c>
      <c r="X991" s="55">
        <f>IF(B991="","",IF(OR(O991="Cancelled",O991="No-Show"),"",ROUND(R991*W991*(1+Burden),2)))</f>
        <v/>
      </c>
      <c r="Y991" s="55">
        <f>IF(B991="","",IF(OR(O991="Cancelled",O991="No-Show"),"",IF(N991&lt;&gt;"",N991,ROUND(R991*SupHr*IFERROR(INDEX('PRICING'!$G$7:$G$16,MATCH(F991,'PRICING'!$A$7:$A$16,0)),1),2))))</f>
        <v/>
      </c>
      <c r="Z991" s="98">
        <f>IF(B991="","",SUMIFS('MILEAGE'!$J$5:$J$1504,'MILEAGE'!$B$5:$B$1504,A991))</f>
        <v/>
      </c>
      <c r="AA991" s="55">
        <f>IF(B991="","",ROUND(Z991*MileRate,2))</f>
        <v/>
      </c>
      <c r="AB991" s="55">
        <f>IF(B991="","",SUMIFS('REVENUE'!$J$5:$J$1504,'REVENUE'!$B$5:$B$1504,A991))</f>
        <v/>
      </c>
      <c r="AC991" s="55">
        <f>IF(L991="","",IF(OR(O991="Cancelled",O991="No-Show"),"",L991-N(X991)-N(Y991)-AA991-AB991))</f>
        <v/>
      </c>
      <c r="AD991" s="99">
        <f>IF(OR(AC991="",N(L991)=0),"",AC991/L991)</f>
        <v/>
      </c>
      <c r="AE991" s="55">
        <f>IF(OR(AC991="",N(R991)=0),"",L991/R991)</f>
        <v/>
      </c>
      <c r="AF991" s="100">
        <f>IF(OR(N(K991)=0,N(J991)+N(Q991)=0),"",K991-IF(N(J991)&gt;0,J991,Q991))</f>
        <v/>
      </c>
      <c r="AG991" s="99">
        <f>IF(B991="","",IFERROR(AVERAGEIFS('QUALITY CONTROL'!$M$5:$M$304,'QUALITY CONTROL'!$B$5:$B$304,A991),""))</f>
        <v/>
      </c>
      <c r="AH991" s="51">
        <f>IF(B991="","",DATE(YEAR(B991),MONTH(B991),1))</f>
        <v/>
      </c>
      <c r="AI991" s="49">
        <f>IF(D991="","",IFERROR(INDEX('CUSTOMERS'!$E$5:$E$404,MATCH(D991,'CUSTOMERS'!$B$5:$B$404,0)),""))</f>
        <v/>
      </c>
      <c r="AJ991" s="49">
        <f>IF(B991="","",N(C991))</f>
        <v/>
      </c>
      <c r="AK991" s="49">
        <f>IF(OR(B991="",O991="Cancelled",O991="Rescheduled"),"",B991&amp;"|"&amp;(COUNTIFS('JOBS'!$B$5:$B$1504,B991,'JOBS'!$AJ$5:$AJ$1504,"&lt;"&amp;AJ991,'JOBS'!$O$5:$O$1504,"&lt;&gt;Cancelled",'JOBS'!$O$5:$O$1504,"&lt;&gt;Rescheduled")+COUNTIFS($B$5:B991,B991,$AJ$5:AJ991,AJ991,$O$5:O991,"&lt;&gt;Cancelled",$O$5:O991,"&lt;&gt;Rescheduled")))</f>
        <v/>
      </c>
      <c r="AL991" s="49">
        <f>IF(N(U991)&lt;=0.005,"",COUNTIFS('JOBS'!$U$5:$U$1504,"&gt;0.005",'JOBS'!$B$5:$B$1504,"&lt;"&amp;B991)+COUNTIFS($U$5:U991,"&gt;0.005",$B$5:B991,B991))</f>
        <v/>
      </c>
    </row>
    <row r="992">
      <c r="A992" s="46" t="inlineStr">
        <is>
          <t>J-0988</t>
        </is>
      </c>
      <c r="B992" s="47" t="n"/>
      <c r="C992" s="94" t="n"/>
      <c r="D992" s="38" t="n"/>
      <c r="E992" s="38" t="n"/>
      <c r="F992" s="38" t="n"/>
      <c r="G992" s="38" t="n"/>
      <c r="H992" s="38" t="n"/>
      <c r="I992" s="57" t="n"/>
      <c r="J992" s="95" t="n"/>
      <c r="K992" s="95" t="n"/>
      <c r="L992" s="48" t="n"/>
      <c r="M992" s="96" t="n"/>
      <c r="N992" s="48" t="n"/>
      <c r="O992" s="38" t="n"/>
      <c r="P992" s="38" t="n"/>
      <c r="Q992" s="97">
        <f>IF(OR(F992="",E992=""),"",IFERROR(IF(INDEX('PROPERTIES'!$F$5:$F$404,MATCH(E992,'PROPERTIES'!$B$5:$B$404,0))=0,"",ROUND((INDEX('PROPERTIES'!$F$5:$F$404,MATCH(E992,'PROPERTIES'!$B$5:$B$404,0))/INDEX('PRICING'!$C$7:$C$16,MATCH(F992,'PRICING'!$A$7:$A$16,0))+INDEX('PROPERTIES'!$G$5:$G$404,MATCH(E992,'PROPERTIES'!$B$5:$B$404,0))*INDEX('PRICING'!$D$7:$D$16,MATCH(F992,'PRICING'!$A$7:$A$16,0))/60+INDEX('PROPERTIES'!$H$5:$H$404,MATCH(E992,'PROPERTIES'!$B$5:$B$404,0))*INDEX('PRICING'!$E$7:$E$16,MATCH(F992,'PRICING'!$A$7:$A$16,0))/60+INDEX('PRICING'!$F$7:$F$16,MATCH(F992,'PRICING'!$A$7:$A$16,0))/60),2)),""))</f>
        <v/>
      </c>
      <c r="R992" s="97">
        <f>IF(B992="","",IF(N(K992)&gt;0,K992,IF(N(J992)&gt;0,J992,N(Q992))))</f>
        <v/>
      </c>
      <c r="S992" s="55">
        <f>IF(L992="","",ROUND(L992*(1+N(M992)),2))</f>
        <v/>
      </c>
      <c r="T992" s="55">
        <f>IF(B992="","",SUMIFS('REVENUE'!$C$5:$C$1504,'REVENUE'!$B$5:$B$1504,A992))</f>
        <v/>
      </c>
      <c r="U992" s="55">
        <f>IF(B992="","",IF(O992="Completed",MAX(0,N(S992)-T992),""))</f>
        <v/>
      </c>
      <c r="V992" s="49">
        <f>IF(B992="","",IF(O992&lt;&gt;"Completed",IF(T992&gt;0,"Deposit","—"),IF(U992&lt;=0.005,"Paid",IF(T992&gt;0,"Partial","Unpaid"))))</f>
        <v/>
      </c>
      <c r="W992" s="55">
        <f>IF(B992="","",IFERROR(1/(1/INDEX('STAFF &amp; TASKS'!$C$5:$C$24,MATCH(H992,'STAFF &amp; TASKS'!$A$5:$A$24,0))),PayRate))</f>
        <v/>
      </c>
      <c r="X992" s="55">
        <f>IF(B992="","",IF(OR(O992="Cancelled",O992="No-Show"),"",ROUND(R992*W992*(1+Burden),2)))</f>
        <v/>
      </c>
      <c r="Y992" s="55">
        <f>IF(B992="","",IF(OR(O992="Cancelled",O992="No-Show"),"",IF(N992&lt;&gt;"",N992,ROUND(R992*SupHr*IFERROR(INDEX('PRICING'!$G$7:$G$16,MATCH(F992,'PRICING'!$A$7:$A$16,0)),1),2))))</f>
        <v/>
      </c>
      <c r="Z992" s="98">
        <f>IF(B992="","",SUMIFS('MILEAGE'!$J$5:$J$1504,'MILEAGE'!$B$5:$B$1504,A992))</f>
        <v/>
      </c>
      <c r="AA992" s="55">
        <f>IF(B992="","",ROUND(Z992*MileRate,2))</f>
        <v/>
      </c>
      <c r="AB992" s="55">
        <f>IF(B992="","",SUMIFS('REVENUE'!$J$5:$J$1504,'REVENUE'!$B$5:$B$1504,A992))</f>
        <v/>
      </c>
      <c r="AC992" s="55">
        <f>IF(L992="","",IF(OR(O992="Cancelled",O992="No-Show"),"",L992-N(X992)-N(Y992)-AA992-AB992))</f>
        <v/>
      </c>
      <c r="AD992" s="99">
        <f>IF(OR(AC992="",N(L992)=0),"",AC992/L992)</f>
        <v/>
      </c>
      <c r="AE992" s="55">
        <f>IF(OR(AC992="",N(R992)=0),"",L992/R992)</f>
        <v/>
      </c>
      <c r="AF992" s="100">
        <f>IF(OR(N(K992)=0,N(J992)+N(Q992)=0),"",K992-IF(N(J992)&gt;0,J992,Q992))</f>
        <v/>
      </c>
      <c r="AG992" s="99">
        <f>IF(B992="","",IFERROR(AVERAGEIFS('QUALITY CONTROL'!$M$5:$M$304,'QUALITY CONTROL'!$B$5:$B$304,A992),""))</f>
        <v/>
      </c>
      <c r="AH992" s="51">
        <f>IF(B992="","",DATE(YEAR(B992),MONTH(B992),1))</f>
        <v/>
      </c>
      <c r="AI992" s="49">
        <f>IF(D992="","",IFERROR(INDEX('CUSTOMERS'!$E$5:$E$404,MATCH(D992,'CUSTOMERS'!$B$5:$B$404,0)),""))</f>
        <v/>
      </c>
      <c r="AJ992" s="49">
        <f>IF(B992="","",N(C992))</f>
        <v/>
      </c>
      <c r="AK992" s="49">
        <f>IF(OR(B992="",O992="Cancelled",O992="Rescheduled"),"",B992&amp;"|"&amp;(COUNTIFS('JOBS'!$B$5:$B$1504,B992,'JOBS'!$AJ$5:$AJ$1504,"&lt;"&amp;AJ992,'JOBS'!$O$5:$O$1504,"&lt;&gt;Cancelled",'JOBS'!$O$5:$O$1504,"&lt;&gt;Rescheduled")+COUNTIFS($B$5:B992,B992,$AJ$5:AJ992,AJ992,$O$5:O992,"&lt;&gt;Cancelled",$O$5:O992,"&lt;&gt;Rescheduled")))</f>
        <v/>
      </c>
      <c r="AL992" s="49">
        <f>IF(N(U992)&lt;=0.005,"",COUNTIFS('JOBS'!$U$5:$U$1504,"&gt;0.005",'JOBS'!$B$5:$B$1504,"&lt;"&amp;B992)+COUNTIFS($U$5:U992,"&gt;0.005",$B$5:B992,B992))</f>
        <v/>
      </c>
    </row>
    <row r="993">
      <c r="A993" s="46" t="inlineStr">
        <is>
          <t>J-0989</t>
        </is>
      </c>
      <c r="B993" s="47" t="n"/>
      <c r="C993" s="94" t="n"/>
      <c r="D993" s="38" t="n"/>
      <c r="E993" s="38" t="n"/>
      <c r="F993" s="38" t="n"/>
      <c r="G993" s="38" t="n"/>
      <c r="H993" s="38" t="n"/>
      <c r="I993" s="57" t="n"/>
      <c r="J993" s="95" t="n"/>
      <c r="K993" s="95" t="n"/>
      <c r="L993" s="48" t="n"/>
      <c r="M993" s="96" t="n"/>
      <c r="N993" s="48" t="n"/>
      <c r="O993" s="38" t="n"/>
      <c r="P993" s="38" t="n"/>
      <c r="Q993" s="97">
        <f>IF(OR(F993="",E993=""),"",IFERROR(IF(INDEX('PROPERTIES'!$F$5:$F$404,MATCH(E993,'PROPERTIES'!$B$5:$B$404,0))=0,"",ROUND((INDEX('PROPERTIES'!$F$5:$F$404,MATCH(E993,'PROPERTIES'!$B$5:$B$404,0))/INDEX('PRICING'!$C$7:$C$16,MATCH(F993,'PRICING'!$A$7:$A$16,0))+INDEX('PROPERTIES'!$G$5:$G$404,MATCH(E993,'PROPERTIES'!$B$5:$B$404,0))*INDEX('PRICING'!$D$7:$D$16,MATCH(F993,'PRICING'!$A$7:$A$16,0))/60+INDEX('PROPERTIES'!$H$5:$H$404,MATCH(E993,'PROPERTIES'!$B$5:$B$404,0))*INDEX('PRICING'!$E$7:$E$16,MATCH(F993,'PRICING'!$A$7:$A$16,0))/60+INDEX('PRICING'!$F$7:$F$16,MATCH(F993,'PRICING'!$A$7:$A$16,0))/60),2)),""))</f>
        <v/>
      </c>
      <c r="R993" s="97">
        <f>IF(B993="","",IF(N(K993)&gt;0,K993,IF(N(J993)&gt;0,J993,N(Q993))))</f>
        <v/>
      </c>
      <c r="S993" s="55">
        <f>IF(L993="","",ROUND(L993*(1+N(M993)),2))</f>
        <v/>
      </c>
      <c r="T993" s="55">
        <f>IF(B993="","",SUMIFS('REVENUE'!$C$5:$C$1504,'REVENUE'!$B$5:$B$1504,A993))</f>
        <v/>
      </c>
      <c r="U993" s="55">
        <f>IF(B993="","",IF(O993="Completed",MAX(0,N(S993)-T993),""))</f>
        <v/>
      </c>
      <c r="V993" s="49">
        <f>IF(B993="","",IF(O993&lt;&gt;"Completed",IF(T993&gt;0,"Deposit","—"),IF(U993&lt;=0.005,"Paid",IF(T993&gt;0,"Partial","Unpaid"))))</f>
        <v/>
      </c>
      <c r="W993" s="55">
        <f>IF(B993="","",IFERROR(1/(1/INDEX('STAFF &amp; TASKS'!$C$5:$C$24,MATCH(H993,'STAFF &amp; TASKS'!$A$5:$A$24,0))),PayRate))</f>
        <v/>
      </c>
      <c r="X993" s="55">
        <f>IF(B993="","",IF(OR(O993="Cancelled",O993="No-Show"),"",ROUND(R993*W993*(1+Burden),2)))</f>
        <v/>
      </c>
      <c r="Y993" s="55">
        <f>IF(B993="","",IF(OR(O993="Cancelled",O993="No-Show"),"",IF(N993&lt;&gt;"",N993,ROUND(R993*SupHr*IFERROR(INDEX('PRICING'!$G$7:$G$16,MATCH(F993,'PRICING'!$A$7:$A$16,0)),1),2))))</f>
        <v/>
      </c>
      <c r="Z993" s="98">
        <f>IF(B993="","",SUMIFS('MILEAGE'!$J$5:$J$1504,'MILEAGE'!$B$5:$B$1504,A993))</f>
        <v/>
      </c>
      <c r="AA993" s="55">
        <f>IF(B993="","",ROUND(Z993*MileRate,2))</f>
        <v/>
      </c>
      <c r="AB993" s="55">
        <f>IF(B993="","",SUMIFS('REVENUE'!$J$5:$J$1504,'REVENUE'!$B$5:$B$1504,A993))</f>
        <v/>
      </c>
      <c r="AC993" s="55">
        <f>IF(L993="","",IF(OR(O993="Cancelled",O993="No-Show"),"",L993-N(X993)-N(Y993)-AA993-AB993))</f>
        <v/>
      </c>
      <c r="AD993" s="99">
        <f>IF(OR(AC993="",N(L993)=0),"",AC993/L993)</f>
        <v/>
      </c>
      <c r="AE993" s="55">
        <f>IF(OR(AC993="",N(R993)=0),"",L993/R993)</f>
        <v/>
      </c>
      <c r="AF993" s="100">
        <f>IF(OR(N(K993)=0,N(J993)+N(Q993)=0),"",K993-IF(N(J993)&gt;0,J993,Q993))</f>
        <v/>
      </c>
      <c r="AG993" s="99">
        <f>IF(B993="","",IFERROR(AVERAGEIFS('QUALITY CONTROL'!$M$5:$M$304,'QUALITY CONTROL'!$B$5:$B$304,A993),""))</f>
        <v/>
      </c>
      <c r="AH993" s="51">
        <f>IF(B993="","",DATE(YEAR(B993),MONTH(B993),1))</f>
        <v/>
      </c>
      <c r="AI993" s="49">
        <f>IF(D993="","",IFERROR(INDEX('CUSTOMERS'!$E$5:$E$404,MATCH(D993,'CUSTOMERS'!$B$5:$B$404,0)),""))</f>
        <v/>
      </c>
      <c r="AJ993" s="49">
        <f>IF(B993="","",N(C993))</f>
        <v/>
      </c>
      <c r="AK993" s="49">
        <f>IF(OR(B993="",O993="Cancelled",O993="Rescheduled"),"",B993&amp;"|"&amp;(COUNTIFS('JOBS'!$B$5:$B$1504,B993,'JOBS'!$AJ$5:$AJ$1504,"&lt;"&amp;AJ993,'JOBS'!$O$5:$O$1504,"&lt;&gt;Cancelled",'JOBS'!$O$5:$O$1504,"&lt;&gt;Rescheduled")+COUNTIFS($B$5:B993,B993,$AJ$5:AJ993,AJ993,$O$5:O993,"&lt;&gt;Cancelled",$O$5:O993,"&lt;&gt;Rescheduled")))</f>
        <v/>
      </c>
      <c r="AL993" s="49">
        <f>IF(N(U993)&lt;=0.005,"",COUNTIFS('JOBS'!$U$5:$U$1504,"&gt;0.005",'JOBS'!$B$5:$B$1504,"&lt;"&amp;B993)+COUNTIFS($U$5:U993,"&gt;0.005",$B$5:B993,B993))</f>
        <v/>
      </c>
    </row>
    <row r="994">
      <c r="A994" s="46" t="inlineStr">
        <is>
          <t>J-0990</t>
        </is>
      </c>
      <c r="B994" s="47" t="n"/>
      <c r="C994" s="94" t="n"/>
      <c r="D994" s="38" t="n"/>
      <c r="E994" s="38" t="n"/>
      <c r="F994" s="38" t="n"/>
      <c r="G994" s="38" t="n"/>
      <c r="H994" s="38" t="n"/>
      <c r="I994" s="57" t="n"/>
      <c r="J994" s="95" t="n"/>
      <c r="K994" s="95" t="n"/>
      <c r="L994" s="48" t="n"/>
      <c r="M994" s="96" t="n"/>
      <c r="N994" s="48" t="n"/>
      <c r="O994" s="38" t="n"/>
      <c r="P994" s="38" t="n"/>
      <c r="Q994" s="97">
        <f>IF(OR(F994="",E994=""),"",IFERROR(IF(INDEX('PROPERTIES'!$F$5:$F$404,MATCH(E994,'PROPERTIES'!$B$5:$B$404,0))=0,"",ROUND((INDEX('PROPERTIES'!$F$5:$F$404,MATCH(E994,'PROPERTIES'!$B$5:$B$404,0))/INDEX('PRICING'!$C$7:$C$16,MATCH(F994,'PRICING'!$A$7:$A$16,0))+INDEX('PROPERTIES'!$G$5:$G$404,MATCH(E994,'PROPERTIES'!$B$5:$B$404,0))*INDEX('PRICING'!$D$7:$D$16,MATCH(F994,'PRICING'!$A$7:$A$16,0))/60+INDEX('PROPERTIES'!$H$5:$H$404,MATCH(E994,'PROPERTIES'!$B$5:$B$404,0))*INDEX('PRICING'!$E$7:$E$16,MATCH(F994,'PRICING'!$A$7:$A$16,0))/60+INDEX('PRICING'!$F$7:$F$16,MATCH(F994,'PRICING'!$A$7:$A$16,0))/60),2)),""))</f>
        <v/>
      </c>
      <c r="R994" s="97">
        <f>IF(B994="","",IF(N(K994)&gt;0,K994,IF(N(J994)&gt;0,J994,N(Q994))))</f>
        <v/>
      </c>
      <c r="S994" s="55">
        <f>IF(L994="","",ROUND(L994*(1+N(M994)),2))</f>
        <v/>
      </c>
      <c r="T994" s="55">
        <f>IF(B994="","",SUMIFS('REVENUE'!$C$5:$C$1504,'REVENUE'!$B$5:$B$1504,A994))</f>
        <v/>
      </c>
      <c r="U994" s="55">
        <f>IF(B994="","",IF(O994="Completed",MAX(0,N(S994)-T994),""))</f>
        <v/>
      </c>
      <c r="V994" s="49">
        <f>IF(B994="","",IF(O994&lt;&gt;"Completed",IF(T994&gt;0,"Deposit","—"),IF(U994&lt;=0.005,"Paid",IF(T994&gt;0,"Partial","Unpaid"))))</f>
        <v/>
      </c>
      <c r="W994" s="55">
        <f>IF(B994="","",IFERROR(1/(1/INDEX('STAFF &amp; TASKS'!$C$5:$C$24,MATCH(H994,'STAFF &amp; TASKS'!$A$5:$A$24,0))),PayRate))</f>
        <v/>
      </c>
      <c r="X994" s="55">
        <f>IF(B994="","",IF(OR(O994="Cancelled",O994="No-Show"),"",ROUND(R994*W994*(1+Burden),2)))</f>
        <v/>
      </c>
      <c r="Y994" s="55">
        <f>IF(B994="","",IF(OR(O994="Cancelled",O994="No-Show"),"",IF(N994&lt;&gt;"",N994,ROUND(R994*SupHr*IFERROR(INDEX('PRICING'!$G$7:$G$16,MATCH(F994,'PRICING'!$A$7:$A$16,0)),1),2))))</f>
        <v/>
      </c>
      <c r="Z994" s="98">
        <f>IF(B994="","",SUMIFS('MILEAGE'!$J$5:$J$1504,'MILEAGE'!$B$5:$B$1504,A994))</f>
        <v/>
      </c>
      <c r="AA994" s="55">
        <f>IF(B994="","",ROUND(Z994*MileRate,2))</f>
        <v/>
      </c>
      <c r="AB994" s="55">
        <f>IF(B994="","",SUMIFS('REVENUE'!$J$5:$J$1504,'REVENUE'!$B$5:$B$1504,A994))</f>
        <v/>
      </c>
      <c r="AC994" s="55">
        <f>IF(L994="","",IF(OR(O994="Cancelled",O994="No-Show"),"",L994-N(X994)-N(Y994)-AA994-AB994))</f>
        <v/>
      </c>
      <c r="AD994" s="99">
        <f>IF(OR(AC994="",N(L994)=0),"",AC994/L994)</f>
        <v/>
      </c>
      <c r="AE994" s="55">
        <f>IF(OR(AC994="",N(R994)=0),"",L994/R994)</f>
        <v/>
      </c>
      <c r="AF994" s="100">
        <f>IF(OR(N(K994)=0,N(J994)+N(Q994)=0),"",K994-IF(N(J994)&gt;0,J994,Q994))</f>
        <v/>
      </c>
      <c r="AG994" s="99">
        <f>IF(B994="","",IFERROR(AVERAGEIFS('QUALITY CONTROL'!$M$5:$M$304,'QUALITY CONTROL'!$B$5:$B$304,A994),""))</f>
        <v/>
      </c>
      <c r="AH994" s="51">
        <f>IF(B994="","",DATE(YEAR(B994),MONTH(B994),1))</f>
        <v/>
      </c>
      <c r="AI994" s="49">
        <f>IF(D994="","",IFERROR(INDEX('CUSTOMERS'!$E$5:$E$404,MATCH(D994,'CUSTOMERS'!$B$5:$B$404,0)),""))</f>
        <v/>
      </c>
      <c r="AJ994" s="49">
        <f>IF(B994="","",N(C994))</f>
        <v/>
      </c>
      <c r="AK994" s="49">
        <f>IF(OR(B994="",O994="Cancelled",O994="Rescheduled"),"",B994&amp;"|"&amp;(COUNTIFS('JOBS'!$B$5:$B$1504,B994,'JOBS'!$AJ$5:$AJ$1504,"&lt;"&amp;AJ994,'JOBS'!$O$5:$O$1504,"&lt;&gt;Cancelled",'JOBS'!$O$5:$O$1504,"&lt;&gt;Rescheduled")+COUNTIFS($B$5:B994,B994,$AJ$5:AJ994,AJ994,$O$5:O994,"&lt;&gt;Cancelled",$O$5:O994,"&lt;&gt;Rescheduled")))</f>
        <v/>
      </c>
      <c r="AL994" s="49">
        <f>IF(N(U994)&lt;=0.005,"",COUNTIFS('JOBS'!$U$5:$U$1504,"&gt;0.005",'JOBS'!$B$5:$B$1504,"&lt;"&amp;B994)+COUNTIFS($U$5:U994,"&gt;0.005",$B$5:B994,B994))</f>
        <v/>
      </c>
    </row>
    <row r="995">
      <c r="A995" s="46" t="inlineStr">
        <is>
          <t>J-0991</t>
        </is>
      </c>
      <c r="B995" s="47" t="n"/>
      <c r="C995" s="94" t="n"/>
      <c r="D995" s="38" t="n"/>
      <c r="E995" s="38" t="n"/>
      <c r="F995" s="38" t="n"/>
      <c r="G995" s="38" t="n"/>
      <c r="H995" s="38" t="n"/>
      <c r="I995" s="57" t="n"/>
      <c r="J995" s="95" t="n"/>
      <c r="K995" s="95" t="n"/>
      <c r="L995" s="48" t="n"/>
      <c r="M995" s="96" t="n"/>
      <c r="N995" s="48" t="n"/>
      <c r="O995" s="38" t="n"/>
      <c r="P995" s="38" t="n"/>
      <c r="Q995" s="97">
        <f>IF(OR(F995="",E995=""),"",IFERROR(IF(INDEX('PROPERTIES'!$F$5:$F$404,MATCH(E995,'PROPERTIES'!$B$5:$B$404,0))=0,"",ROUND((INDEX('PROPERTIES'!$F$5:$F$404,MATCH(E995,'PROPERTIES'!$B$5:$B$404,0))/INDEX('PRICING'!$C$7:$C$16,MATCH(F995,'PRICING'!$A$7:$A$16,0))+INDEX('PROPERTIES'!$G$5:$G$404,MATCH(E995,'PROPERTIES'!$B$5:$B$404,0))*INDEX('PRICING'!$D$7:$D$16,MATCH(F995,'PRICING'!$A$7:$A$16,0))/60+INDEX('PROPERTIES'!$H$5:$H$404,MATCH(E995,'PROPERTIES'!$B$5:$B$404,0))*INDEX('PRICING'!$E$7:$E$16,MATCH(F995,'PRICING'!$A$7:$A$16,0))/60+INDEX('PRICING'!$F$7:$F$16,MATCH(F995,'PRICING'!$A$7:$A$16,0))/60),2)),""))</f>
        <v/>
      </c>
      <c r="R995" s="97">
        <f>IF(B995="","",IF(N(K995)&gt;0,K995,IF(N(J995)&gt;0,J995,N(Q995))))</f>
        <v/>
      </c>
      <c r="S995" s="55">
        <f>IF(L995="","",ROUND(L995*(1+N(M995)),2))</f>
        <v/>
      </c>
      <c r="T995" s="55">
        <f>IF(B995="","",SUMIFS('REVENUE'!$C$5:$C$1504,'REVENUE'!$B$5:$B$1504,A995))</f>
        <v/>
      </c>
      <c r="U995" s="55">
        <f>IF(B995="","",IF(O995="Completed",MAX(0,N(S995)-T995),""))</f>
        <v/>
      </c>
      <c r="V995" s="49">
        <f>IF(B995="","",IF(O995&lt;&gt;"Completed",IF(T995&gt;0,"Deposit","—"),IF(U995&lt;=0.005,"Paid",IF(T995&gt;0,"Partial","Unpaid"))))</f>
        <v/>
      </c>
      <c r="W995" s="55">
        <f>IF(B995="","",IFERROR(1/(1/INDEX('STAFF &amp; TASKS'!$C$5:$C$24,MATCH(H995,'STAFF &amp; TASKS'!$A$5:$A$24,0))),PayRate))</f>
        <v/>
      </c>
      <c r="X995" s="55">
        <f>IF(B995="","",IF(OR(O995="Cancelled",O995="No-Show"),"",ROUND(R995*W995*(1+Burden),2)))</f>
        <v/>
      </c>
      <c r="Y995" s="55">
        <f>IF(B995="","",IF(OR(O995="Cancelled",O995="No-Show"),"",IF(N995&lt;&gt;"",N995,ROUND(R995*SupHr*IFERROR(INDEX('PRICING'!$G$7:$G$16,MATCH(F995,'PRICING'!$A$7:$A$16,0)),1),2))))</f>
        <v/>
      </c>
      <c r="Z995" s="98">
        <f>IF(B995="","",SUMIFS('MILEAGE'!$J$5:$J$1504,'MILEAGE'!$B$5:$B$1504,A995))</f>
        <v/>
      </c>
      <c r="AA995" s="55">
        <f>IF(B995="","",ROUND(Z995*MileRate,2))</f>
        <v/>
      </c>
      <c r="AB995" s="55">
        <f>IF(B995="","",SUMIFS('REVENUE'!$J$5:$J$1504,'REVENUE'!$B$5:$B$1504,A995))</f>
        <v/>
      </c>
      <c r="AC995" s="55">
        <f>IF(L995="","",IF(OR(O995="Cancelled",O995="No-Show"),"",L995-N(X995)-N(Y995)-AA995-AB995))</f>
        <v/>
      </c>
      <c r="AD995" s="99">
        <f>IF(OR(AC995="",N(L995)=0),"",AC995/L995)</f>
        <v/>
      </c>
      <c r="AE995" s="55">
        <f>IF(OR(AC995="",N(R995)=0),"",L995/R995)</f>
        <v/>
      </c>
      <c r="AF995" s="100">
        <f>IF(OR(N(K995)=0,N(J995)+N(Q995)=0),"",K995-IF(N(J995)&gt;0,J995,Q995))</f>
        <v/>
      </c>
      <c r="AG995" s="99">
        <f>IF(B995="","",IFERROR(AVERAGEIFS('QUALITY CONTROL'!$M$5:$M$304,'QUALITY CONTROL'!$B$5:$B$304,A995),""))</f>
        <v/>
      </c>
      <c r="AH995" s="51">
        <f>IF(B995="","",DATE(YEAR(B995),MONTH(B995),1))</f>
        <v/>
      </c>
      <c r="AI995" s="49">
        <f>IF(D995="","",IFERROR(INDEX('CUSTOMERS'!$E$5:$E$404,MATCH(D995,'CUSTOMERS'!$B$5:$B$404,0)),""))</f>
        <v/>
      </c>
      <c r="AJ995" s="49">
        <f>IF(B995="","",N(C995))</f>
        <v/>
      </c>
      <c r="AK995" s="49">
        <f>IF(OR(B995="",O995="Cancelled",O995="Rescheduled"),"",B995&amp;"|"&amp;(COUNTIFS('JOBS'!$B$5:$B$1504,B995,'JOBS'!$AJ$5:$AJ$1504,"&lt;"&amp;AJ995,'JOBS'!$O$5:$O$1504,"&lt;&gt;Cancelled",'JOBS'!$O$5:$O$1504,"&lt;&gt;Rescheduled")+COUNTIFS($B$5:B995,B995,$AJ$5:AJ995,AJ995,$O$5:O995,"&lt;&gt;Cancelled",$O$5:O995,"&lt;&gt;Rescheduled")))</f>
        <v/>
      </c>
      <c r="AL995" s="49">
        <f>IF(N(U995)&lt;=0.005,"",COUNTIFS('JOBS'!$U$5:$U$1504,"&gt;0.005",'JOBS'!$B$5:$B$1504,"&lt;"&amp;B995)+COUNTIFS($U$5:U995,"&gt;0.005",$B$5:B995,B995))</f>
        <v/>
      </c>
    </row>
    <row r="996">
      <c r="A996" s="46" t="inlineStr">
        <is>
          <t>J-0992</t>
        </is>
      </c>
      <c r="B996" s="47" t="n"/>
      <c r="C996" s="94" t="n"/>
      <c r="D996" s="38" t="n"/>
      <c r="E996" s="38" t="n"/>
      <c r="F996" s="38" t="n"/>
      <c r="G996" s="38" t="n"/>
      <c r="H996" s="38" t="n"/>
      <c r="I996" s="57" t="n"/>
      <c r="J996" s="95" t="n"/>
      <c r="K996" s="95" t="n"/>
      <c r="L996" s="48" t="n"/>
      <c r="M996" s="96" t="n"/>
      <c r="N996" s="48" t="n"/>
      <c r="O996" s="38" t="n"/>
      <c r="P996" s="38" t="n"/>
      <c r="Q996" s="97">
        <f>IF(OR(F996="",E996=""),"",IFERROR(IF(INDEX('PROPERTIES'!$F$5:$F$404,MATCH(E996,'PROPERTIES'!$B$5:$B$404,0))=0,"",ROUND((INDEX('PROPERTIES'!$F$5:$F$404,MATCH(E996,'PROPERTIES'!$B$5:$B$404,0))/INDEX('PRICING'!$C$7:$C$16,MATCH(F996,'PRICING'!$A$7:$A$16,0))+INDEX('PROPERTIES'!$G$5:$G$404,MATCH(E996,'PROPERTIES'!$B$5:$B$404,0))*INDEX('PRICING'!$D$7:$D$16,MATCH(F996,'PRICING'!$A$7:$A$16,0))/60+INDEX('PROPERTIES'!$H$5:$H$404,MATCH(E996,'PROPERTIES'!$B$5:$B$404,0))*INDEX('PRICING'!$E$7:$E$16,MATCH(F996,'PRICING'!$A$7:$A$16,0))/60+INDEX('PRICING'!$F$7:$F$16,MATCH(F996,'PRICING'!$A$7:$A$16,0))/60),2)),""))</f>
        <v/>
      </c>
      <c r="R996" s="97">
        <f>IF(B996="","",IF(N(K996)&gt;0,K996,IF(N(J996)&gt;0,J996,N(Q996))))</f>
        <v/>
      </c>
      <c r="S996" s="55">
        <f>IF(L996="","",ROUND(L996*(1+N(M996)),2))</f>
        <v/>
      </c>
      <c r="T996" s="55">
        <f>IF(B996="","",SUMIFS('REVENUE'!$C$5:$C$1504,'REVENUE'!$B$5:$B$1504,A996))</f>
        <v/>
      </c>
      <c r="U996" s="55">
        <f>IF(B996="","",IF(O996="Completed",MAX(0,N(S996)-T996),""))</f>
        <v/>
      </c>
      <c r="V996" s="49">
        <f>IF(B996="","",IF(O996&lt;&gt;"Completed",IF(T996&gt;0,"Deposit","—"),IF(U996&lt;=0.005,"Paid",IF(T996&gt;0,"Partial","Unpaid"))))</f>
        <v/>
      </c>
      <c r="W996" s="55">
        <f>IF(B996="","",IFERROR(1/(1/INDEX('STAFF &amp; TASKS'!$C$5:$C$24,MATCH(H996,'STAFF &amp; TASKS'!$A$5:$A$24,0))),PayRate))</f>
        <v/>
      </c>
      <c r="X996" s="55">
        <f>IF(B996="","",IF(OR(O996="Cancelled",O996="No-Show"),"",ROUND(R996*W996*(1+Burden),2)))</f>
        <v/>
      </c>
      <c r="Y996" s="55">
        <f>IF(B996="","",IF(OR(O996="Cancelled",O996="No-Show"),"",IF(N996&lt;&gt;"",N996,ROUND(R996*SupHr*IFERROR(INDEX('PRICING'!$G$7:$G$16,MATCH(F996,'PRICING'!$A$7:$A$16,0)),1),2))))</f>
        <v/>
      </c>
      <c r="Z996" s="98">
        <f>IF(B996="","",SUMIFS('MILEAGE'!$J$5:$J$1504,'MILEAGE'!$B$5:$B$1504,A996))</f>
        <v/>
      </c>
      <c r="AA996" s="55">
        <f>IF(B996="","",ROUND(Z996*MileRate,2))</f>
        <v/>
      </c>
      <c r="AB996" s="55">
        <f>IF(B996="","",SUMIFS('REVENUE'!$J$5:$J$1504,'REVENUE'!$B$5:$B$1504,A996))</f>
        <v/>
      </c>
      <c r="AC996" s="55">
        <f>IF(L996="","",IF(OR(O996="Cancelled",O996="No-Show"),"",L996-N(X996)-N(Y996)-AA996-AB996))</f>
        <v/>
      </c>
      <c r="AD996" s="99">
        <f>IF(OR(AC996="",N(L996)=0),"",AC996/L996)</f>
        <v/>
      </c>
      <c r="AE996" s="55">
        <f>IF(OR(AC996="",N(R996)=0),"",L996/R996)</f>
        <v/>
      </c>
      <c r="AF996" s="100">
        <f>IF(OR(N(K996)=0,N(J996)+N(Q996)=0),"",K996-IF(N(J996)&gt;0,J996,Q996))</f>
        <v/>
      </c>
      <c r="AG996" s="99">
        <f>IF(B996="","",IFERROR(AVERAGEIFS('QUALITY CONTROL'!$M$5:$M$304,'QUALITY CONTROL'!$B$5:$B$304,A996),""))</f>
        <v/>
      </c>
      <c r="AH996" s="51">
        <f>IF(B996="","",DATE(YEAR(B996),MONTH(B996),1))</f>
        <v/>
      </c>
      <c r="AI996" s="49">
        <f>IF(D996="","",IFERROR(INDEX('CUSTOMERS'!$E$5:$E$404,MATCH(D996,'CUSTOMERS'!$B$5:$B$404,0)),""))</f>
        <v/>
      </c>
      <c r="AJ996" s="49">
        <f>IF(B996="","",N(C996))</f>
        <v/>
      </c>
      <c r="AK996" s="49">
        <f>IF(OR(B996="",O996="Cancelled",O996="Rescheduled"),"",B996&amp;"|"&amp;(COUNTIFS('JOBS'!$B$5:$B$1504,B996,'JOBS'!$AJ$5:$AJ$1504,"&lt;"&amp;AJ996,'JOBS'!$O$5:$O$1504,"&lt;&gt;Cancelled",'JOBS'!$O$5:$O$1504,"&lt;&gt;Rescheduled")+COUNTIFS($B$5:B996,B996,$AJ$5:AJ996,AJ996,$O$5:O996,"&lt;&gt;Cancelled",$O$5:O996,"&lt;&gt;Rescheduled")))</f>
        <v/>
      </c>
      <c r="AL996" s="49">
        <f>IF(N(U996)&lt;=0.005,"",COUNTIFS('JOBS'!$U$5:$U$1504,"&gt;0.005",'JOBS'!$B$5:$B$1504,"&lt;"&amp;B996)+COUNTIFS($U$5:U996,"&gt;0.005",$B$5:B996,B996))</f>
        <v/>
      </c>
    </row>
    <row r="997">
      <c r="A997" s="46" t="inlineStr">
        <is>
          <t>J-0993</t>
        </is>
      </c>
      <c r="B997" s="47" t="n"/>
      <c r="C997" s="94" t="n"/>
      <c r="D997" s="38" t="n"/>
      <c r="E997" s="38" t="n"/>
      <c r="F997" s="38" t="n"/>
      <c r="G997" s="38" t="n"/>
      <c r="H997" s="38" t="n"/>
      <c r="I997" s="57" t="n"/>
      <c r="J997" s="95" t="n"/>
      <c r="K997" s="95" t="n"/>
      <c r="L997" s="48" t="n"/>
      <c r="M997" s="96" t="n"/>
      <c r="N997" s="48" t="n"/>
      <c r="O997" s="38" t="n"/>
      <c r="P997" s="38" t="n"/>
      <c r="Q997" s="97">
        <f>IF(OR(F997="",E997=""),"",IFERROR(IF(INDEX('PROPERTIES'!$F$5:$F$404,MATCH(E997,'PROPERTIES'!$B$5:$B$404,0))=0,"",ROUND((INDEX('PROPERTIES'!$F$5:$F$404,MATCH(E997,'PROPERTIES'!$B$5:$B$404,0))/INDEX('PRICING'!$C$7:$C$16,MATCH(F997,'PRICING'!$A$7:$A$16,0))+INDEX('PROPERTIES'!$G$5:$G$404,MATCH(E997,'PROPERTIES'!$B$5:$B$404,0))*INDEX('PRICING'!$D$7:$D$16,MATCH(F997,'PRICING'!$A$7:$A$16,0))/60+INDEX('PROPERTIES'!$H$5:$H$404,MATCH(E997,'PROPERTIES'!$B$5:$B$404,0))*INDEX('PRICING'!$E$7:$E$16,MATCH(F997,'PRICING'!$A$7:$A$16,0))/60+INDEX('PRICING'!$F$7:$F$16,MATCH(F997,'PRICING'!$A$7:$A$16,0))/60),2)),""))</f>
        <v/>
      </c>
      <c r="R997" s="97">
        <f>IF(B997="","",IF(N(K997)&gt;0,K997,IF(N(J997)&gt;0,J997,N(Q997))))</f>
        <v/>
      </c>
      <c r="S997" s="55">
        <f>IF(L997="","",ROUND(L997*(1+N(M997)),2))</f>
        <v/>
      </c>
      <c r="T997" s="55">
        <f>IF(B997="","",SUMIFS('REVENUE'!$C$5:$C$1504,'REVENUE'!$B$5:$B$1504,A997))</f>
        <v/>
      </c>
      <c r="U997" s="55">
        <f>IF(B997="","",IF(O997="Completed",MAX(0,N(S997)-T997),""))</f>
        <v/>
      </c>
      <c r="V997" s="49">
        <f>IF(B997="","",IF(O997&lt;&gt;"Completed",IF(T997&gt;0,"Deposit","—"),IF(U997&lt;=0.005,"Paid",IF(T997&gt;0,"Partial","Unpaid"))))</f>
        <v/>
      </c>
      <c r="W997" s="55">
        <f>IF(B997="","",IFERROR(1/(1/INDEX('STAFF &amp; TASKS'!$C$5:$C$24,MATCH(H997,'STAFF &amp; TASKS'!$A$5:$A$24,0))),PayRate))</f>
        <v/>
      </c>
      <c r="X997" s="55">
        <f>IF(B997="","",IF(OR(O997="Cancelled",O997="No-Show"),"",ROUND(R997*W997*(1+Burden),2)))</f>
        <v/>
      </c>
      <c r="Y997" s="55">
        <f>IF(B997="","",IF(OR(O997="Cancelled",O997="No-Show"),"",IF(N997&lt;&gt;"",N997,ROUND(R997*SupHr*IFERROR(INDEX('PRICING'!$G$7:$G$16,MATCH(F997,'PRICING'!$A$7:$A$16,0)),1),2))))</f>
        <v/>
      </c>
      <c r="Z997" s="98">
        <f>IF(B997="","",SUMIFS('MILEAGE'!$J$5:$J$1504,'MILEAGE'!$B$5:$B$1504,A997))</f>
        <v/>
      </c>
      <c r="AA997" s="55">
        <f>IF(B997="","",ROUND(Z997*MileRate,2))</f>
        <v/>
      </c>
      <c r="AB997" s="55">
        <f>IF(B997="","",SUMIFS('REVENUE'!$J$5:$J$1504,'REVENUE'!$B$5:$B$1504,A997))</f>
        <v/>
      </c>
      <c r="AC997" s="55">
        <f>IF(L997="","",IF(OR(O997="Cancelled",O997="No-Show"),"",L997-N(X997)-N(Y997)-AA997-AB997))</f>
        <v/>
      </c>
      <c r="AD997" s="99">
        <f>IF(OR(AC997="",N(L997)=0),"",AC997/L997)</f>
        <v/>
      </c>
      <c r="AE997" s="55">
        <f>IF(OR(AC997="",N(R997)=0),"",L997/R997)</f>
        <v/>
      </c>
      <c r="AF997" s="100">
        <f>IF(OR(N(K997)=0,N(J997)+N(Q997)=0),"",K997-IF(N(J997)&gt;0,J997,Q997))</f>
        <v/>
      </c>
      <c r="AG997" s="99">
        <f>IF(B997="","",IFERROR(AVERAGEIFS('QUALITY CONTROL'!$M$5:$M$304,'QUALITY CONTROL'!$B$5:$B$304,A997),""))</f>
        <v/>
      </c>
      <c r="AH997" s="51">
        <f>IF(B997="","",DATE(YEAR(B997),MONTH(B997),1))</f>
        <v/>
      </c>
      <c r="AI997" s="49">
        <f>IF(D997="","",IFERROR(INDEX('CUSTOMERS'!$E$5:$E$404,MATCH(D997,'CUSTOMERS'!$B$5:$B$404,0)),""))</f>
        <v/>
      </c>
      <c r="AJ997" s="49">
        <f>IF(B997="","",N(C997))</f>
        <v/>
      </c>
      <c r="AK997" s="49">
        <f>IF(OR(B997="",O997="Cancelled",O997="Rescheduled"),"",B997&amp;"|"&amp;(COUNTIFS('JOBS'!$B$5:$B$1504,B997,'JOBS'!$AJ$5:$AJ$1504,"&lt;"&amp;AJ997,'JOBS'!$O$5:$O$1504,"&lt;&gt;Cancelled",'JOBS'!$O$5:$O$1504,"&lt;&gt;Rescheduled")+COUNTIFS($B$5:B997,B997,$AJ$5:AJ997,AJ997,$O$5:O997,"&lt;&gt;Cancelled",$O$5:O997,"&lt;&gt;Rescheduled")))</f>
        <v/>
      </c>
      <c r="AL997" s="49">
        <f>IF(N(U997)&lt;=0.005,"",COUNTIFS('JOBS'!$U$5:$U$1504,"&gt;0.005",'JOBS'!$B$5:$B$1504,"&lt;"&amp;B997)+COUNTIFS($U$5:U997,"&gt;0.005",$B$5:B997,B997))</f>
        <v/>
      </c>
    </row>
    <row r="998">
      <c r="A998" s="46" t="inlineStr">
        <is>
          <t>J-0994</t>
        </is>
      </c>
      <c r="B998" s="47" t="n"/>
      <c r="C998" s="94" t="n"/>
      <c r="D998" s="38" t="n"/>
      <c r="E998" s="38" t="n"/>
      <c r="F998" s="38" t="n"/>
      <c r="G998" s="38" t="n"/>
      <c r="H998" s="38" t="n"/>
      <c r="I998" s="57" t="n"/>
      <c r="J998" s="95" t="n"/>
      <c r="K998" s="95" t="n"/>
      <c r="L998" s="48" t="n"/>
      <c r="M998" s="96" t="n"/>
      <c r="N998" s="48" t="n"/>
      <c r="O998" s="38" t="n"/>
      <c r="P998" s="38" t="n"/>
      <c r="Q998" s="97">
        <f>IF(OR(F998="",E998=""),"",IFERROR(IF(INDEX('PROPERTIES'!$F$5:$F$404,MATCH(E998,'PROPERTIES'!$B$5:$B$404,0))=0,"",ROUND((INDEX('PROPERTIES'!$F$5:$F$404,MATCH(E998,'PROPERTIES'!$B$5:$B$404,0))/INDEX('PRICING'!$C$7:$C$16,MATCH(F998,'PRICING'!$A$7:$A$16,0))+INDEX('PROPERTIES'!$G$5:$G$404,MATCH(E998,'PROPERTIES'!$B$5:$B$404,0))*INDEX('PRICING'!$D$7:$D$16,MATCH(F998,'PRICING'!$A$7:$A$16,0))/60+INDEX('PROPERTIES'!$H$5:$H$404,MATCH(E998,'PROPERTIES'!$B$5:$B$404,0))*INDEX('PRICING'!$E$7:$E$16,MATCH(F998,'PRICING'!$A$7:$A$16,0))/60+INDEX('PRICING'!$F$7:$F$16,MATCH(F998,'PRICING'!$A$7:$A$16,0))/60),2)),""))</f>
        <v/>
      </c>
      <c r="R998" s="97">
        <f>IF(B998="","",IF(N(K998)&gt;0,K998,IF(N(J998)&gt;0,J998,N(Q998))))</f>
        <v/>
      </c>
      <c r="S998" s="55">
        <f>IF(L998="","",ROUND(L998*(1+N(M998)),2))</f>
        <v/>
      </c>
      <c r="T998" s="55">
        <f>IF(B998="","",SUMIFS('REVENUE'!$C$5:$C$1504,'REVENUE'!$B$5:$B$1504,A998))</f>
        <v/>
      </c>
      <c r="U998" s="55">
        <f>IF(B998="","",IF(O998="Completed",MAX(0,N(S998)-T998),""))</f>
        <v/>
      </c>
      <c r="V998" s="49">
        <f>IF(B998="","",IF(O998&lt;&gt;"Completed",IF(T998&gt;0,"Deposit","—"),IF(U998&lt;=0.005,"Paid",IF(T998&gt;0,"Partial","Unpaid"))))</f>
        <v/>
      </c>
      <c r="W998" s="55">
        <f>IF(B998="","",IFERROR(1/(1/INDEX('STAFF &amp; TASKS'!$C$5:$C$24,MATCH(H998,'STAFF &amp; TASKS'!$A$5:$A$24,0))),PayRate))</f>
        <v/>
      </c>
      <c r="X998" s="55">
        <f>IF(B998="","",IF(OR(O998="Cancelled",O998="No-Show"),"",ROUND(R998*W998*(1+Burden),2)))</f>
        <v/>
      </c>
      <c r="Y998" s="55">
        <f>IF(B998="","",IF(OR(O998="Cancelled",O998="No-Show"),"",IF(N998&lt;&gt;"",N998,ROUND(R998*SupHr*IFERROR(INDEX('PRICING'!$G$7:$G$16,MATCH(F998,'PRICING'!$A$7:$A$16,0)),1),2))))</f>
        <v/>
      </c>
      <c r="Z998" s="98">
        <f>IF(B998="","",SUMIFS('MILEAGE'!$J$5:$J$1504,'MILEAGE'!$B$5:$B$1504,A998))</f>
        <v/>
      </c>
      <c r="AA998" s="55">
        <f>IF(B998="","",ROUND(Z998*MileRate,2))</f>
        <v/>
      </c>
      <c r="AB998" s="55">
        <f>IF(B998="","",SUMIFS('REVENUE'!$J$5:$J$1504,'REVENUE'!$B$5:$B$1504,A998))</f>
        <v/>
      </c>
      <c r="AC998" s="55">
        <f>IF(L998="","",IF(OR(O998="Cancelled",O998="No-Show"),"",L998-N(X998)-N(Y998)-AA998-AB998))</f>
        <v/>
      </c>
      <c r="AD998" s="99">
        <f>IF(OR(AC998="",N(L998)=0),"",AC998/L998)</f>
        <v/>
      </c>
      <c r="AE998" s="55">
        <f>IF(OR(AC998="",N(R998)=0),"",L998/R998)</f>
        <v/>
      </c>
      <c r="AF998" s="100">
        <f>IF(OR(N(K998)=0,N(J998)+N(Q998)=0),"",K998-IF(N(J998)&gt;0,J998,Q998))</f>
        <v/>
      </c>
      <c r="AG998" s="99">
        <f>IF(B998="","",IFERROR(AVERAGEIFS('QUALITY CONTROL'!$M$5:$M$304,'QUALITY CONTROL'!$B$5:$B$304,A998),""))</f>
        <v/>
      </c>
      <c r="AH998" s="51">
        <f>IF(B998="","",DATE(YEAR(B998),MONTH(B998),1))</f>
        <v/>
      </c>
      <c r="AI998" s="49">
        <f>IF(D998="","",IFERROR(INDEX('CUSTOMERS'!$E$5:$E$404,MATCH(D998,'CUSTOMERS'!$B$5:$B$404,0)),""))</f>
        <v/>
      </c>
      <c r="AJ998" s="49">
        <f>IF(B998="","",N(C998))</f>
        <v/>
      </c>
      <c r="AK998" s="49">
        <f>IF(OR(B998="",O998="Cancelled",O998="Rescheduled"),"",B998&amp;"|"&amp;(COUNTIFS('JOBS'!$B$5:$B$1504,B998,'JOBS'!$AJ$5:$AJ$1504,"&lt;"&amp;AJ998,'JOBS'!$O$5:$O$1504,"&lt;&gt;Cancelled",'JOBS'!$O$5:$O$1504,"&lt;&gt;Rescheduled")+COUNTIFS($B$5:B998,B998,$AJ$5:AJ998,AJ998,$O$5:O998,"&lt;&gt;Cancelled",$O$5:O998,"&lt;&gt;Rescheduled")))</f>
        <v/>
      </c>
      <c r="AL998" s="49">
        <f>IF(N(U998)&lt;=0.005,"",COUNTIFS('JOBS'!$U$5:$U$1504,"&gt;0.005",'JOBS'!$B$5:$B$1504,"&lt;"&amp;B998)+COUNTIFS($U$5:U998,"&gt;0.005",$B$5:B998,B998))</f>
        <v/>
      </c>
    </row>
    <row r="999">
      <c r="A999" s="46" t="inlineStr">
        <is>
          <t>J-0995</t>
        </is>
      </c>
      <c r="B999" s="47" t="n"/>
      <c r="C999" s="94" t="n"/>
      <c r="D999" s="38" t="n"/>
      <c r="E999" s="38" t="n"/>
      <c r="F999" s="38" t="n"/>
      <c r="G999" s="38" t="n"/>
      <c r="H999" s="38" t="n"/>
      <c r="I999" s="57" t="n"/>
      <c r="J999" s="95" t="n"/>
      <c r="K999" s="95" t="n"/>
      <c r="L999" s="48" t="n"/>
      <c r="M999" s="96" t="n"/>
      <c r="N999" s="48" t="n"/>
      <c r="O999" s="38" t="n"/>
      <c r="P999" s="38" t="n"/>
      <c r="Q999" s="97">
        <f>IF(OR(F999="",E999=""),"",IFERROR(IF(INDEX('PROPERTIES'!$F$5:$F$404,MATCH(E999,'PROPERTIES'!$B$5:$B$404,0))=0,"",ROUND((INDEX('PROPERTIES'!$F$5:$F$404,MATCH(E999,'PROPERTIES'!$B$5:$B$404,0))/INDEX('PRICING'!$C$7:$C$16,MATCH(F999,'PRICING'!$A$7:$A$16,0))+INDEX('PROPERTIES'!$G$5:$G$404,MATCH(E999,'PROPERTIES'!$B$5:$B$404,0))*INDEX('PRICING'!$D$7:$D$16,MATCH(F999,'PRICING'!$A$7:$A$16,0))/60+INDEX('PROPERTIES'!$H$5:$H$404,MATCH(E999,'PROPERTIES'!$B$5:$B$404,0))*INDEX('PRICING'!$E$7:$E$16,MATCH(F999,'PRICING'!$A$7:$A$16,0))/60+INDEX('PRICING'!$F$7:$F$16,MATCH(F999,'PRICING'!$A$7:$A$16,0))/60),2)),""))</f>
        <v/>
      </c>
      <c r="R999" s="97">
        <f>IF(B999="","",IF(N(K999)&gt;0,K999,IF(N(J999)&gt;0,J999,N(Q999))))</f>
        <v/>
      </c>
      <c r="S999" s="55">
        <f>IF(L999="","",ROUND(L999*(1+N(M999)),2))</f>
        <v/>
      </c>
      <c r="T999" s="55">
        <f>IF(B999="","",SUMIFS('REVENUE'!$C$5:$C$1504,'REVENUE'!$B$5:$B$1504,A999))</f>
        <v/>
      </c>
      <c r="U999" s="55">
        <f>IF(B999="","",IF(O999="Completed",MAX(0,N(S999)-T999),""))</f>
        <v/>
      </c>
      <c r="V999" s="49">
        <f>IF(B999="","",IF(O999&lt;&gt;"Completed",IF(T999&gt;0,"Deposit","—"),IF(U999&lt;=0.005,"Paid",IF(T999&gt;0,"Partial","Unpaid"))))</f>
        <v/>
      </c>
      <c r="W999" s="55">
        <f>IF(B999="","",IFERROR(1/(1/INDEX('STAFF &amp; TASKS'!$C$5:$C$24,MATCH(H999,'STAFF &amp; TASKS'!$A$5:$A$24,0))),PayRate))</f>
        <v/>
      </c>
      <c r="X999" s="55">
        <f>IF(B999="","",IF(OR(O999="Cancelled",O999="No-Show"),"",ROUND(R999*W999*(1+Burden),2)))</f>
        <v/>
      </c>
      <c r="Y999" s="55">
        <f>IF(B999="","",IF(OR(O999="Cancelled",O999="No-Show"),"",IF(N999&lt;&gt;"",N999,ROUND(R999*SupHr*IFERROR(INDEX('PRICING'!$G$7:$G$16,MATCH(F999,'PRICING'!$A$7:$A$16,0)),1),2))))</f>
        <v/>
      </c>
      <c r="Z999" s="98">
        <f>IF(B999="","",SUMIFS('MILEAGE'!$J$5:$J$1504,'MILEAGE'!$B$5:$B$1504,A999))</f>
        <v/>
      </c>
      <c r="AA999" s="55">
        <f>IF(B999="","",ROUND(Z999*MileRate,2))</f>
        <v/>
      </c>
      <c r="AB999" s="55">
        <f>IF(B999="","",SUMIFS('REVENUE'!$J$5:$J$1504,'REVENUE'!$B$5:$B$1504,A999))</f>
        <v/>
      </c>
      <c r="AC999" s="55">
        <f>IF(L999="","",IF(OR(O999="Cancelled",O999="No-Show"),"",L999-N(X999)-N(Y999)-AA999-AB999))</f>
        <v/>
      </c>
      <c r="AD999" s="99">
        <f>IF(OR(AC999="",N(L999)=0),"",AC999/L999)</f>
        <v/>
      </c>
      <c r="AE999" s="55">
        <f>IF(OR(AC999="",N(R999)=0),"",L999/R999)</f>
        <v/>
      </c>
      <c r="AF999" s="100">
        <f>IF(OR(N(K999)=0,N(J999)+N(Q999)=0),"",K999-IF(N(J999)&gt;0,J999,Q999))</f>
        <v/>
      </c>
      <c r="AG999" s="99">
        <f>IF(B999="","",IFERROR(AVERAGEIFS('QUALITY CONTROL'!$M$5:$M$304,'QUALITY CONTROL'!$B$5:$B$304,A999),""))</f>
        <v/>
      </c>
      <c r="AH999" s="51">
        <f>IF(B999="","",DATE(YEAR(B999),MONTH(B999),1))</f>
        <v/>
      </c>
      <c r="AI999" s="49">
        <f>IF(D999="","",IFERROR(INDEX('CUSTOMERS'!$E$5:$E$404,MATCH(D999,'CUSTOMERS'!$B$5:$B$404,0)),""))</f>
        <v/>
      </c>
      <c r="AJ999" s="49">
        <f>IF(B999="","",N(C999))</f>
        <v/>
      </c>
      <c r="AK999" s="49">
        <f>IF(OR(B999="",O999="Cancelled",O999="Rescheduled"),"",B999&amp;"|"&amp;(COUNTIFS('JOBS'!$B$5:$B$1504,B999,'JOBS'!$AJ$5:$AJ$1504,"&lt;"&amp;AJ999,'JOBS'!$O$5:$O$1504,"&lt;&gt;Cancelled",'JOBS'!$O$5:$O$1504,"&lt;&gt;Rescheduled")+COUNTIFS($B$5:B999,B999,$AJ$5:AJ999,AJ999,$O$5:O999,"&lt;&gt;Cancelled",$O$5:O999,"&lt;&gt;Rescheduled")))</f>
        <v/>
      </c>
      <c r="AL999" s="49">
        <f>IF(N(U999)&lt;=0.005,"",COUNTIFS('JOBS'!$U$5:$U$1504,"&gt;0.005",'JOBS'!$B$5:$B$1504,"&lt;"&amp;B999)+COUNTIFS($U$5:U999,"&gt;0.005",$B$5:B999,B999))</f>
        <v/>
      </c>
    </row>
    <row r="1000">
      <c r="A1000" s="46" t="inlineStr">
        <is>
          <t>J-0996</t>
        </is>
      </c>
      <c r="B1000" s="47" t="n"/>
      <c r="C1000" s="94" t="n"/>
      <c r="D1000" s="38" t="n"/>
      <c r="E1000" s="38" t="n"/>
      <c r="F1000" s="38" t="n"/>
      <c r="G1000" s="38" t="n"/>
      <c r="H1000" s="38" t="n"/>
      <c r="I1000" s="57" t="n"/>
      <c r="J1000" s="95" t="n"/>
      <c r="K1000" s="95" t="n"/>
      <c r="L1000" s="48" t="n"/>
      <c r="M1000" s="96" t="n"/>
      <c r="N1000" s="48" t="n"/>
      <c r="O1000" s="38" t="n"/>
      <c r="P1000" s="38" t="n"/>
      <c r="Q1000" s="97">
        <f>IF(OR(F1000="",E1000=""),"",IFERROR(IF(INDEX('PROPERTIES'!$F$5:$F$404,MATCH(E1000,'PROPERTIES'!$B$5:$B$404,0))=0,"",ROUND((INDEX('PROPERTIES'!$F$5:$F$404,MATCH(E1000,'PROPERTIES'!$B$5:$B$404,0))/INDEX('PRICING'!$C$7:$C$16,MATCH(F1000,'PRICING'!$A$7:$A$16,0))+INDEX('PROPERTIES'!$G$5:$G$404,MATCH(E1000,'PROPERTIES'!$B$5:$B$404,0))*INDEX('PRICING'!$D$7:$D$16,MATCH(F1000,'PRICING'!$A$7:$A$16,0))/60+INDEX('PROPERTIES'!$H$5:$H$404,MATCH(E1000,'PROPERTIES'!$B$5:$B$404,0))*INDEX('PRICING'!$E$7:$E$16,MATCH(F1000,'PRICING'!$A$7:$A$16,0))/60+INDEX('PRICING'!$F$7:$F$16,MATCH(F1000,'PRICING'!$A$7:$A$16,0))/60),2)),""))</f>
        <v/>
      </c>
      <c r="R1000" s="97">
        <f>IF(B1000="","",IF(N(K1000)&gt;0,K1000,IF(N(J1000)&gt;0,J1000,N(Q1000))))</f>
        <v/>
      </c>
      <c r="S1000" s="55">
        <f>IF(L1000="","",ROUND(L1000*(1+N(M1000)),2))</f>
        <v/>
      </c>
      <c r="T1000" s="55">
        <f>IF(B1000="","",SUMIFS('REVENUE'!$C$5:$C$1504,'REVENUE'!$B$5:$B$1504,A1000))</f>
        <v/>
      </c>
      <c r="U1000" s="55">
        <f>IF(B1000="","",IF(O1000="Completed",MAX(0,N(S1000)-T1000),""))</f>
        <v/>
      </c>
      <c r="V1000" s="49">
        <f>IF(B1000="","",IF(O1000&lt;&gt;"Completed",IF(T1000&gt;0,"Deposit","—"),IF(U1000&lt;=0.005,"Paid",IF(T1000&gt;0,"Partial","Unpaid"))))</f>
        <v/>
      </c>
      <c r="W1000" s="55">
        <f>IF(B1000="","",IFERROR(1/(1/INDEX('STAFF &amp; TASKS'!$C$5:$C$24,MATCH(H1000,'STAFF &amp; TASKS'!$A$5:$A$24,0))),PayRate))</f>
        <v/>
      </c>
      <c r="X1000" s="55">
        <f>IF(B1000="","",IF(OR(O1000="Cancelled",O1000="No-Show"),"",ROUND(R1000*W1000*(1+Burden),2)))</f>
        <v/>
      </c>
      <c r="Y1000" s="55">
        <f>IF(B1000="","",IF(OR(O1000="Cancelled",O1000="No-Show"),"",IF(N1000&lt;&gt;"",N1000,ROUND(R1000*SupHr*IFERROR(INDEX('PRICING'!$G$7:$G$16,MATCH(F1000,'PRICING'!$A$7:$A$16,0)),1),2))))</f>
        <v/>
      </c>
      <c r="Z1000" s="98">
        <f>IF(B1000="","",SUMIFS('MILEAGE'!$J$5:$J$1504,'MILEAGE'!$B$5:$B$1504,A1000))</f>
        <v/>
      </c>
      <c r="AA1000" s="55">
        <f>IF(B1000="","",ROUND(Z1000*MileRate,2))</f>
        <v/>
      </c>
      <c r="AB1000" s="55">
        <f>IF(B1000="","",SUMIFS('REVENUE'!$J$5:$J$1504,'REVENUE'!$B$5:$B$1504,A1000))</f>
        <v/>
      </c>
      <c r="AC1000" s="55">
        <f>IF(L1000="","",IF(OR(O1000="Cancelled",O1000="No-Show"),"",L1000-N(X1000)-N(Y1000)-AA1000-AB1000))</f>
        <v/>
      </c>
      <c r="AD1000" s="99">
        <f>IF(OR(AC1000="",N(L1000)=0),"",AC1000/L1000)</f>
        <v/>
      </c>
      <c r="AE1000" s="55">
        <f>IF(OR(AC1000="",N(R1000)=0),"",L1000/R1000)</f>
        <v/>
      </c>
      <c r="AF1000" s="100">
        <f>IF(OR(N(K1000)=0,N(J1000)+N(Q1000)=0),"",K1000-IF(N(J1000)&gt;0,J1000,Q1000))</f>
        <v/>
      </c>
      <c r="AG1000" s="99">
        <f>IF(B1000="","",IFERROR(AVERAGEIFS('QUALITY CONTROL'!$M$5:$M$304,'QUALITY CONTROL'!$B$5:$B$304,A1000),""))</f>
        <v/>
      </c>
      <c r="AH1000" s="51">
        <f>IF(B1000="","",DATE(YEAR(B1000),MONTH(B1000),1))</f>
        <v/>
      </c>
      <c r="AI1000" s="49">
        <f>IF(D1000="","",IFERROR(INDEX('CUSTOMERS'!$E$5:$E$404,MATCH(D1000,'CUSTOMERS'!$B$5:$B$404,0)),""))</f>
        <v/>
      </c>
      <c r="AJ1000" s="49">
        <f>IF(B1000="","",N(C1000))</f>
        <v/>
      </c>
      <c r="AK1000" s="49">
        <f>IF(OR(B1000="",O1000="Cancelled",O1000="Rescheduled"),"",B1000&amp;"|"&amp;(COUNTIFS('JOBS'!$B$5:$B$1504,B1000,'JOBS'!$AJ$5:$AJ$1504,"&lt;"&amp;AJ1000,'JOBS'!$O$5:$O$1504,"&lt;&gt;Cancelled",'JOBS'!$O$5:$O$1504,"&lt;&gt;Rescheduled")+COUNTIFS($B$5:B1000,B1000,$AJ$5:AJ1000,AJ1000,$O$5:O1000,"&lt;&gt;Cancelled",$O$5:O1000,"&lt;&gt;Rescheduled")))</f>
        <v/>
      </c>
      <c r="AL1000" s="49">
        <f>IF(N(U1000)&lt;=0.005,"",COUNTIFS('JOBS'!$U$5:$U$1504,"&gt;0.005",'JOBS'!$B$5:$B$1504,"&lt;"&amp;B1000)+COUNTIFS($U$5:U1000,"&gt;0.005",$B$5:B1000,B1000))</f>
        <v/>
      </c>
    </row>
    <row r="1001">
      <c r="A1001" s="46" t="inlineStr">
        <is>
          <t>J-0997</t>
        </is>
      </c>
      <c r="B1001" s="47" t="n"/>
      <c r="C1001" s="94" t="n"/>
      <c r="D1001" s="38" t="n"/>
      <c r="E1001" s="38" t="n"/>
      <c r="F1001" s="38" t="n"/>
      <c r="G1001" s="38" t="n"/>
      <c r="H1001" s="38" t="n"/>
      <c r="I1001" s="57" t="n"/>
      <c r="J1001" s="95" t="n"/>
      <c r="K1001" s="95" t="n"/>
      <c r="L1001" s="48" t="n"/>
      <c r="M1001" s="96" t="n"/>
      <c r="N1001" s="48" t="n"/>
      <c r="O1001" s="38" t="n"/>
      <c r="P1001" s="38" t="n"/>
      <c r="Q1001" s="97">
        <f>IF(OR(F1001="",E1001=""),"",IFERROR(IF(INDEX('PROPERTIES'!$F$5:$F$404,MATCH(E1001,'PROPERTIES'!$B$5:$B$404,0))=0,"",ROUND((INDEX('PROPERTIES'!$F$5:$F$404,MATCH(E1001,'PROPERTIES'!$B$5:$B$404,0))/INDEX('PRICING'!$C$7:$C$16,MATCH(F1001,'PRICING'!$A$7:$A$16,0))+INDEX('PROPERTIES'!$G$5:$G$404,MATCH(E1001,'PROPERTIES'!$B$5:$B$404,0))*INDEX('PRICING'!$D$7:$D$16,MATCH(F1001,'PRICING'!$A$7:$A$16,0))/60+INDEX('PROPERTIES'!$H$5:$H$404,MATCH(E1001,'PROPERTIES'!$B$5:$B$404,0))*INDEX('PRICING'!$E$7:$E$16,MATCH(F1001,'PRICING'!$A$7:$A$16,0))/60+INDEX('PRICING'!$F$7:$F$16,MATCH(F1001,'PRICING'!$A$7:$A$16,0))/60),2)),""))</f>
        <v/>
      </c>
      <c r="R1001" s="97">
        <f>IF(B1001="","",IF(N(K1001)&gt;0,K1001,IF(N(J1001)&gt;0,J1001,N(Q1001))))</f>
        <v/>
      </c>
      <c r="S1001" s="55">
        <f>IF(L1001="","",ROUND(L1001*(1+N(M1001)),2))</f>
        <v/>
      </c>
      <c r="T1001" s="55">
        <f>IF(B1001="","",SUMIFS('REVENUE'!$C$5:$C$1504,'REVENUE'!$B$5:$B$1504,A1001))</f>
        <v/>
      </c>
      <c r="U1001" s="55">
        <f>IF(B1001="","",IF(O1001="Completed",MAX(0,N(S1001)-T1001),""))</f>
        <v/>
      </c>
      <c r="V1001" s="49">
        <f>IF(B1001="","",IF(O1001&lt;&gt;"Completed",IF(T1001&gt;0,"Deposit","—"),IF(U1001&lt;=0.005,"Paid",IF(T1001&gt;0,"Partial","Unpaid"))))</f>
        <v/>
      </c>
      <c r="W1001" s="55">
        <f>IF(B1001="","",IFERROR(1/(1/INDEX('STAFF &amp; TASKS'!$C$5:$C$24,MATCH(H1001,'STAFF &amp; TASKS'!$A$5:$A$24,0))),PayRate))</f>
        <v/>
      </c>
      <c r="X1001" s="55">
        <f>IF(B1001="","",IF(OR(O1001="Cancelled",O1001="No-Show"),"",ROUND(R1001*W1001*(1+Burden),2)))</f>
        <v/>
      </c>
      <c r="Y1001" s="55">
        <f>IF(B1001="","",IF(OR(O1001="Cancelled",O1001="No-Show"),"",IF(N1001&lt;&gt;"",N1001,ROUND(R1001*SupHr*IFERROR(INDEX('PRICING'!$G$7:$G$16,MATCH(F1001,'PRICING'!$A$7:$A$16,0)),1),2))))</f>
        <v/>
      </c>
      <c r="Z1001" s="98">
        <f>IF(B1001="","",SUMIFS('MILEAGE'!$J$5:$J$1504,'MILEAGE'!$B$5:$B$1504,A1001))</f>
        <v/>
      </c>
      <c r="AA1001" s="55">
        <f>IF(B1001="","",ROUND(Z1001*MileRate,2))</f>
        <v/>
      </c>
      <c r="AB1001" s="55">
        <f>IF(B1001="","",SUMIFS('REVENUE'!$J$5:$J$1504,'REVENUE'!$B$5:$B$1504,A1001))</f>
        <v/>
      </c>
      <c r="AC1001" s="55">
        <f>IF(L1001="","",IF(OR(O1001="Cancelled",O1001="No-Show"),"",L1001-N(X1001)-N(Y1001)-AA1001-AB1001))</f>
        <v/>
      </c>
      <c r="AD1001" s="99">
        <f>IF(OR(AC1001="",N(L1001)=0),"",AC1001/L1001)</f>
        <v/>
      </c>
      <c r="AE1001" s="55">
        <f>IF(OR(AC1001="",N(R1001)=0),"",L1001/R1001)</f>
        <v/>
      </c>
      <c r="AF1001" s="100">
        <f>IF(OR(N(K1001)=0,N(J1001)+N(Q1001)=0),"",K1001-IF(N(J1001)&gt;0,J1001,Q1001))</f>
        <v/>
      </c>
      <c r="AG1001" s="99">
        <f>IF(B1001="","",IFERROR(AVERAGEIFS('QUALITY CONTROL'!$M$5:$M$304,'QUALITY CONTROL'!$B$5:$B$304,A1001),""))</f>
        <v/>
      </c>
      <c r="AH1001" s="51">
        <f>IF(B1001="","",DATE(YEAR(B1001),MONTH(B1001),1))</f>
        <v/>
      </c>
      <c r="AI1001" s="49">
        <f>IF(D1001="","",IFERROR(INDEX('CUSTOMERS'!$E$5:$E$404,MATCH(D1001,'CUSTOMERS'!$B$5:$B$404,0)),""))</f>
        <v/>
      </c>
      <c r="AJ1001" s="49">
        <f>IF(B1001="","",N(C1001))</f>
        <v/>
      </c>
      <c r="AK1001" s="49">
        <f>IF(OR(B1001="",O1001="Cancelled",O1001="Rescheduled"),"",B1001&amp;"|"&amp;(COUNTIFS('JOBS'!$B$5:$B$1504,B1001,'JOBS'!$AJ$5:$AJ$1504,"&lt;"&amp;AJ1001,'JOBS'!$O$5:$O$1504,"&lt;&gt;Cancelled",'JOBS'!$O$5:$O$1504,"&lt;&gt;Rescheduled")+COUNTIFS($B$5:B1001,B1001,$AJ$5:AJ1001,AJ1001,$O$5:O1001,"&lt;&gt;Cancelled",$O$5:O1001,"&lt;&gt;Rescheduled")))</f>
        <v/>
      </c>
      <c r="AL1001" s="49">
        <f>IF(N(U1001)&lt;=0.005,"",COUNTIFS('JOBS'!$U$5:$U$1504,"&gt;0.005",'JOBS'!$B$5:$B$1504,"&lt;"&amp;B1001)+COUNTIFS($U$5:U1001,"&gt;0.005",$B$5:B1001,B1001))</f>
        <v/>
      </c>
    </row>
    <row r="1002">
      <c r="A1002" s="46" t="inlineStr">
        <is>
          <t>J-0998</t>
        </is>
      </c>
      <c r="B1002" s="47" t="n"/>
      <c r="C1002" s="94" t="n"/>
      <c r="D1002" s="38" t="n"/>
      <c r="E1002" s="38" t="n"/>
      <c r="F1002" s="38" t="n"/>
      <c r="G1002" s="38" t="n"/>
      <c r="H1002" s="38" t="n"/>
      <c r="I1002" s="57" t="n"/>
      <c r="J1002" s="95" t="n"/>
      <c r="K1002" s="95" t="n"/>
      <c r="L1002" s="48" t="n"/>
      <c r="M1002" s="96" t="n"/>
      <c r="N1002" s="48" t="n"/>
      <c r="O1002" s="38" t="n"/>
      <c r="P1002" s="38" t="n"/>
      <c r="Q1002" s="97">
        <f>IF(OR(F1002="",E1002=""),"",IFERROR(IF(INDEX('PROPERTIES'!$F$5:$F$404,MATCH(E1002,'PROPERTIES'!$B$5:$B$404,0))=0,"",ROUND((INDEX('PROPERTIES'!$F$5:$F$404,MATCH(E1002,'PROPERTIES'!$B$5:$B$404,0))/INDEX('PRICING'!$C$7:$C$16,MATCH(F1002,'PRICING'!$A$7:$A$16,0))+INDEX('PROPERTIES'!$G$5:$G$404,MATCH(E1002,'PROPERTIES'!$B$5:$B$404,0))*INDEX('PRICING'!$D$7:$D$16,MATCH(F1002,'PRICING'!$A$7:$A$16,0))/60+INDEX('PROPERTIES'!$H$5:$H$404,MATCH(E1002,'PROPERTIES'!$B$5:$B$404,0))*INDEX('PRICING'!$E$7:$E$16,MATCH(F1002,'PRICING'!$A$7:$A$16,0))/60+INDEX('PRICING'!$F$7:$F$16,MATCH(F1002,'PRICING'!$A$7:$A$16,0))/60),2)),""))</f>
        <v/>
      </c>
      <c r="R1002" s="97">
        <f>IF(B1002="","",IF(N(K1002)&gt;0,K1002,IF(N(J1002)&gt;0,J1002,N(Q1002))))</f>
        <v/>
      </c>
      <c r="S1002" s="55">
        <f>IF(L1002="","",ROUND(L1002*(1+N(M1002)),2))</f>
        <v/>
      </c>
      <c r="T1002" s="55">
        <f>IF(B1002="","",SUMIFS('REVENUE'!$C$5:$C$1504,'REVENUE'!$B$5:$B$1504,A1002))</f>
        <v/>
      </c>
      <c r="U1002" s="55">
        <f>IF(B1002="","",IF(O1002="Completed",MAX(0,N(S1002)-T1002),""))</f>
        <v/>
      </c>
      <c r="V1002" s="49">
        <f>IF(B1002="","",IF(O1002&lt;&gt;"Completed",IF(T1002&gt;0,"Deposit","—"),IF(U1002&lt;=0.005,"Paid",IF(T1002&gt;0,"Partial","Unpaid"))))</f>
        <v/>
      </c>
      <c r="W1002" s="55">
        <f>IF(B1002="","",IFERROR(1/(1/INDEX('STAFF &amp; TASKS'!$C$5:$C$24,MATCH(H1002,'STAFF &amp; TASKS'!$A$5:$A$24,0))),PayRate))</f>
        <v/>
      </c>
      <c r="X1002" s="55">
        <f>IF(B1002="","",IF(OR(O1002="Cancelled",O1002="No-Show"),"",ROUND(R1002*W1002*(1+Burden),2)))</f>
        <v/>
      </c>
      <c r="Y1002" s="55">
        <f>IF(B1002="","",IF(OR(O1002="Cancelled",O1002="No-Show"),"",IF(N1002&lt;&gt;"",N1002,ROUND(R1002*SupHr*IFERROR(INDEX('PRICING'!$G$7:$G$16,MATCH(F1002,'PRICING'!$A$7:$A$16,0)),1),2))))</f>
        <v/>
      </c>
      <c r="Z1002" s="98">
        <f>IF(B1002="","",SUMIFS('MILEAGE'!$J$5:$J$1504,'MILEAGE'!$B$5:$B$1504,A1002))</f>
        <v/>
      </c>
      <c r="AA1002" s="55">
        <f>IF(B1002="","",ROUND(Z1002*MileRate,2))</f>
        <v/>
      </c>
      <c r="AB1002" s="55">
        <f>IF(B1002="","",SUMIFS('REVENUE'!$J$5:$J$1504,'REVENUE'!$B$5:$B$1504,A1002))</f>
        <v/>
      </c>
      <c r="AC1002" s="55">
        <f>IF(L1002="","",IF(OR(O1002="Cancelled",O1002="No-Show"),"",L1002-N(X1002)-N(Y1002)-AA1002-AB1002))</f>
        <v/>
      </c>
      <c r="AD1002" s="99">
        <f>IF(OR(AC1002="",N(L1002)=0),"",AC1002/L1002)</f>
        <v/>
      </c>
      <c r="AE1002" s="55">
        <f>IF(OR(AC1002="",N(R1002)=0),"",L1002/R1002)</f>
        <v/>
      </c>
      <c r="AF1002" s="100">
        <f>IF(OR(N(K1002)=0,N(J1002)+N(Q1002)=0),"",K1002-IF(N(J1002)&gt;0,J1002,Q1002))</f>
        <v/>
      </c>
      <c r="AG1002" s="99">
        <f>IF(B1002="","",IFERROR(AVERAGEIFS('QUALITY CONTROL'!$M$5:$M$304,'QUALITY CONTROL'!$B$5:$B$304,A1002),""))</f>
        <v/>
      </c>
      <c r="AH1002" s="51">
        <f>IF(B1002="","",DATE(YEAR(B1002),MONTH(B1002),1))</f>
        <v/>
      </c>
      <c r="AI1002" s="49">
        <f>IF(D1002="","",IFERROR(INDEX('CUSTOMERS'!$E$5:$E$404,MATCH(D1002,'CUSTOMERS'!$B$5:$B$404,0)),""))</f>
        <v/>
      </c>
      <c r="AJ1002" s="49">
        <f>IF(B1002="","",N(C1002))</f>
        <v/>
      </c>
      <c r="AK1002" s="49">
        <f>IF(OR(B1002="",O1002="Cancelled",O1002="Rescheduled"),"",B1002&amp;"|"&amp;(COUNTIFS('JOBS'!$B$5:$B$1504,B1002,'JOBS'!$AJ$5:$AJ$1504,"&lt;"&amp;AJ1002,'JOBS'!$O$5:$O$1504,"&lt;&gt;Cancelled",'JOBS'!$O$5:$O$1504,"&lt;&gt;Rescheduled")+COUNTIFS($B$5:B1002,B1002,$AJ$5:AJ1002,AJ1002,$O$5:O1002,"&lt;&gt;Cancelled",$O$5:O1002,"&lt;&gt;Rescheduled")))</f>
        <v/>
      </c>
      <c r="AL1002" s="49">
        <f>IF(N(U1002)&lt;=0.005,"",COUNTIFS('JOBS'!$U$5:$U$1504,"&gt;0.005",'JOBS'!$B$5:$B$1504,"&lt;"&amp;B1002)+COUNTIFS($U$5:U1002,"&gt;0.005",$B$5:B1002,B1002))</f>
        <v/>
      </c>
    </row>
    <row r="1003">
      <c r="A1003" s="46" t="inlineStr">
        <is>
          <t>J-0999</t>
        </is>
      </c>
      <c r="B1003" s="47" t="n"/>
      <c r="C1003" s="94" t="n"/>
      <c r="D1003" s="38" t="n"/>
      <c r="E1003" s="38" t="n"/>
      <c r="F1003" s="38" t="n"/>
      <c r="G1003" s="38" t="n"/>
      <c r="H1003" s="38" t="n"/>
      <c r="I1003" s="57" t="n"/>
      <c r="J1003" s="95" t="n"/>
      <c r="K1003" s="95" t="n"/>
      <c r="L1003" s="48" t="n"/>
      <c r="M1003" s="96" t="n"/>
      <c r="N1003" s="48" t="n"/>
      <c r="O1003" s="38" t="n"/>
      <c r="P1003" s="38" t="n"/>
      <c r="Q1003" s="97">
        <f>IF(OR(F1003="",E1003=""),"",IFERROR(IF(INDEX('PROPERTIES'!$F$5:$F$404,MATCH(E1003,'PROPERTIES'!$B$5:$B$404,0))=0,"",ROUND((INDEX('PROPERTIES'!$F$5:$F$404,MATCH(E1003,'PROPERTIES'!$B$5:$B$404,0))/INDEX('PRICING'!$C$7:$C$16,MATCH(F1003,'PRICING'!$A$7:$A$16,0))+INDEX('PROPERTIES'!$G$5:$G$404,MATCH(E1003,'PROPERTIES'!$B$5:$B$404,0))*INDEX('PRICING'!$D$7:$D$16,MATCH(F1003,'PRICING'!$A$7:$A$16,0))/60+INDEX('PROPERTIES'!$H$5:$H$404,MATCH(E1003,'PROPERTIES'!$B$5:$B$404,0))*INDEX('PRICING'!$E$7:$E$16,MATCH(F1003,'PRICING'!$A$7:$A$16,0))/60+INDEX('PRICING'!$F$7:$F$16,MATCH(F1003,'PRICING'!$A$7:$A$16,0))/60),2)),""))</f>
        <v/>
      </c>
      <c r="R1003" s="97">
        <f>IF(B1003="","",IF(N(K1003)&gt;0,K1003,IF(N(J1003)&gt;0,J1003,N(Q1003))))</f>
        <v/>
      </c>
      <c r="S1003" s="55">
        <f>IF(L1003="","",ROUND(L1003*(1+N(M1003)),2))</f>
        <v/>
      </c>
      <c r="T1003" s="55">
        <f>IF(B1003="","",SUMIFS('REVENUE'!$C$5:$C$1504,'REVENUE'!$B$5:$B$1504,A1003))</f>
        <v/>
      </c>
      <c r="U1003" s="55">
        <f>IF(B1003="","",IF(O1003="Completed",MAX(0,N(S1003)-T1003),""))</f>
        <v/>
      </c>
      <c r="V1003" s="49">
        <f>IF(B1003="","",IF(O1003&lt;&gt;"Completed",IF(T1003&gt;0,"Deposit","—"),IF(U1003&lt;=0.005,"Paid",IF(T1003&gt;0,"Partial","Unpaid"))))</f>
        <v/>
      </c>
      <c r="W1003" s="55">
        <f>IF(B1003="","",IFERROR(1/(1/INDEX('STAFF &amp; TASKS'!$C$5:$C$24,MATCH(H1003,'STAFF &amp; TASKS'!$A$5:$A$24,0))),PayRate))</f>
        <v/>
      </c>
      <c r="X1003" s="55">
        <f>IF(B1003="","",IF(OR(O1003="Cancelled",O1003="No-Show"),"",ROUND(R1003*W1003*(1+Burden),2)))</f>
        <v/>
      </c>
      <c r="Y1003" s="55">
        <f>IF(B1003="","",IF(OR(O1003="Cancelled",O1003="No-Show"),"",IF(N1003&lt;&gt;"",N1003,ROUND(R1003*SupHr*IFERROR(INDEX('PRICING'!$G$7:$G$16,MATCH(F1003,'PRICING'!$A$7:$A$16,0)),1),2))))</f>
        <v/>
      </c>
      <c r="Z1003" s="98">
        <f>IF(B1003="","",SUMIFS('MILEAGE'!$J$5:$J$1504,'MILEAGE'!$B$5:$B$1504,A1003))</f>
        <v/>
      </c>
      <c r="AA1003" s="55">
        <f>IF(B1003="","",ROUND(Z1003*MileRate,2))</f>
        <v/>
      </c>
      <c r="AB1003" s="55">
        <f>IF(B1003="","",SUMIFS('REVENUE'!$J$5:$J$1504,'REVENUE'!$B$5:$B$1504,A1003))</f>
        <v/>
      </c>
      <c r="AC1003" s="55">
        <f>IF(L1003="","",IF(OR(O1003="Cancelled",O1003="No-Show"),"",L1003-N(X1003)-N(Y1003)-AA1003-AB1003))</f>
        <v/>
      </c>
      <c r="AD1003" s="99">
        <f>IF(OR(AC1003="",N(L1003)=0),"",AC1003/L1003)</f>
        <v/>
      </c>
      <c r="AE1003" s="55">
        <f>IF(OR(AC1003="",N(R1003)=0),"",L1003/R1003)</f>
        <v/>
      </c>
      <c r="AF1003" s="100">
        <f>IF(OR(N(K1003)=0,N(J1003)+N(Q1003)=0),"",K1003-IF(N(J1003)&gt;0,J1003,Q1003))</f>
        <v/>
      </c>
      <c r="AG1003" s="99">
        <f>IF(B1003="","",IFERROR(AVERAGEIFS('QUALITY CONTROL'!$M$5:$M$304,'QUALITY CONTROL'!$B$5:$B$304,A1003),""))</f>
        <v/>
      </c>
      <c r="AH1003" s="51">
        <f>IF(B1003="","",DATE(YEAR(B1003),MONTH(B1003),1))</f>
        <v/>
      </c>
      <c r="AI1003" s="49">
        <f>IF(D1003="","",IFERROR(INDEX('CUSTOMERS'!$E$5:$E$404,MATCH(D1003,'CUSTOMERS'!$B$5:$B$404,0)),""))</f>
        <v/>
      </c>
      <c r="AJ1003" s="49">
        <f>IF(B1003="","",N(C1003))</f>
        <v/>
      </c>
      <c r="AK1003" s="49">
        <f>IF(OR(B1003="",O1003="Cancelled",O1003="Rescheduled"),"",B1003&amp;"|"&amp;(COUNTIFS('JOBS'!$B$5:$B$1504,B1003,'JOBS'!$AJ$5:$AJ$1504,"&lt;"&amp;AJ1003,'JOBS'!$O$5:$O$1504,"&lt;&gt;Cancelled",'JOBS'!$O$5:$O$1504,"&lt;&gt;Rescheduled")+COUNTIFS($B$5:B1003,B1003,$AJ$5:AJ1003,AJ1003,$O$5:O1003,"&lt;&gt;Cancelled",$O$5:O1003,"&lt;&gt;Rescheduled")))</f>
        <v/>
      </c>
      <c r="AL1003" s="49">
        <f>IF(N(U1003)&lt;=0.005,"",COUNTIFS('JOBS'!$U$5:$U$1504,"&gt;0.005",'JOBS'!$B$5:$B$1504,"&lt;"&amp;B1003)+COUNTIFS($U$5:U1003,"&gt;0.005",$B$5:B1003,B1003))</f>
        <v/>
      </c>
    </row>
    <row r="1004">
      <c r="A1004" s="46" t="inlineStr">
        <is>
          <t>J-1000</t>
        </is>
      </c>
      <c r="B1004" s="47" t="n"/>
      <c r="C1004" s="94" t="n"/>
      <c r="D1004" s="38" t="n"/>
      <c r="E1004" s="38" t="n"/>
      <c r="F1004" s="38" t="n"/>
      <c r="G1004" s="38" t="n"/>
      <c r="H1004" s="38" t="n"/>
      <c r="I1004" s="57" t="n"/>
      <c r="J1004" s="95" t="n"/>
      <c r="K1004" s="95" t="n"/>
      <c r="L1004" s="48" t="n"/>
      <c r="M1004" s="96" t="n"/>
      <c r="N1004" s="48" t="n"/>
      <c r="O1004" s="38" t="n"/>
      <c r="P1004" s="38" t="n"/>
      <c r="Q1004" s="97">
        <f>IF(OR(F1004="",E1004=""),"",IFERROR(IF(INDEX('PROPERTIES'!$F$5:$F$404,MATCH(E1004,'PROPERTIES'!$B$5:$B$404,0))=0,"",ROUND((INDEX('PROPERTIES'!$F$5:$F$404,MATCH(E1004,'PROPERTIES'!$B$5:$B$404,0))/INDEX('PRICING'!$C$7:$C$16,MATCH(F1004,'PRICING'!$A$7:$A$16,0))+INDEX('PROPERTIES'!$G$5:$G$404,MATCH(E1004,'PROPERTIES'!$B$5:$B$404,0))*INDEX('PRICING'!$D$7:$D$16,MATCH(F1004,'PRICING'!$A$7:$A$16,0))/60+INDEX('PROPERTIES'!$H$5:$H$404,MATCH(E1004,'PROPERTIES'!$B$5:$B$404,0))*INDEX('PRICING'!$E$7:$E$16,MATCH(F1004,'PRICING'!$A$7:$A$16,0))/60+INDEX('PRICING'!$F$7:$F$16,MATCH(F1004,'PRICING'!$A$7:$A$16,0))/60),2)),""))</f>
        <v/>
      </c>
      <c r="R1004" s="97">
        <f>IF(B1004="","",IF(N(K1004)&gt;0,K1004,IF(N(J1004)&gt;0,J1004,N(Q1004))))</f>
        <v/>
      </c>
      <c r="S1004" s="55">
        <f>IF(L1004="","",ROUND(L1004*(1+N(M1004)),2))</f>
        <v/>
      </c>
      <c r="T1004" s="55">
        <f>IF(B1004="","",SUMIFS('REVENUE'!$C$5:$C$1504,'REVENUE'!$B$5:$B$1504,A1004))</f>
        <v/>
      </c>
      <c r="U1004" s="55">
        <f>IF(B1004="","",IF(O1004="Completed",MAX(0,N(S1004)-T1004),""))</f>
        <v/>
      </c>
      <c r="V1004" s="49">
        <f>IF(B1004="","",IF(O1004&lt;&gt;"Completed",IF(T1004&gt;0,"Deposit","—"),IF(U1004&lt;=0.005,"Paid",IF(T1004&gt;0,"Partial","Unpaid"))))</f>
        <v/>
      </c>
      <c r="W1004" s="55">
        <f>IF(B1004="","",IFERROR(1/(1/INDEX('STAFF &amp; TASKS'!$C$5:$C$24,MATCH(H1004,'STAFF &amp; TASKS'!$A$5:$A$24,0))),PayRate))</f>
        <v/>
      </c>
      <c r="X1004" s="55">
        <f>IF(B1004="","",IF(OR(O1004="Cancelled",O1004="No-Show"),"",ROUND(R1004*W1004*(1+Burden),2)))</f>
        <v/>
      </c>
      <c r="Y1004" s="55">
        <f>IF(B1004="","",IF(OR(O1004="Cancelled",O1004="No-Show"),"",IF(N1004&lt;&gt;"",N1004,ROUND(R1004*SupHr*IFERROR(INDEX('PRICING'!$G$7:$G$16,MATCH(F1004,'PRICING'!$A$7:$A$16,0)),1),2))))</f>
        <v/>
      </c>
      <c r="Z1004" s="98">
        <f>IF(B1004="","",SUMIFS('MILEAGE'!$J$5:$J$1504,'MILEAGE'!$B$5:$B$1504,A1004))</f>
        <v/>
      </c>
      <c r="AA1004" s="55">
        <f>IF(B1004="","",ROUND(Z1004*MileRate,2))</f>
        <v/>
      </c>
      <c r="AB1004" s="55">
        <f>IF(B1004="","",SUMIFS('REVENUE'!$J$5:$J$1504,'REVENUE'!$B$5:$B$1504,A1004))</f>
        <v/>
      </c>
      <c r="AC1004" s="55">
        <f>IF(L1004="","",IF(OR(O1004="Cancelled",O1004="No-Show"),"",L1004-N(X1004)-N(Y1004)-AA1004-AB1004))</f>
        <v/>
      </c>
      <c r="AD1004" s="99">
        <f>IF(OR(AC1004="",N(L1004)=0),"",AC1004/L1004)</f>
        <v/>
      </c>
      <c r="AE1004" s="55">
        <f>IF(OR(AC1004="",N(R1004)=0),"",L1004/R1004)</f>
        <v/>
      </c>
      <c r="AF1004" s="100">
        <f>IF(OR(N(K1004)=0,N(J1004)+N(Q1004)=0),"",K1004-IF(N(J1004)&gt;0,J1004,Q1004))</f>
        <v/>
      </c>
      <c r="AG1004" s="99">
        <f>IF(B1004="","",IFERROR(AVERAGEIFS('QUALITY CONTROL'!$M$5:$M$304,'QUALITY CONTROL'!$B$5:$B$304,A1004),""))</f>
        <v/>
      </c>
      <c r="AH1004" s="51">
        <f>IF(B1004="","",DATE(YEAR(B1004),MONTH(B1004),1))</f>
        <v/>
      </c>
      <c r="AI1004" s="49">
        <f>IF(D1004="","",IFERROR(INDEX('CUSTOMERS'!$E$5:$E$404,MATCH(D1004,'CUSTOMERS'!$B$5:$B$404,0)),""))</f>
        <v/>
      </c>
      <c r="AJ1004" s="49">
        <f>IF(B1004="","",N(C1004))</f>
        <v/>
      </c>
      <c r="AK1004" s="49">
        <f>IF(OR(B1004="",O1004="Cancelled",O1004="Rescheduled"),"",B1004&amp;"|"&amp;(COUNTIFS('JOBS'!$B$5:$B$1504,B1004,'JOBS'!$AJ$5:$AJ$1504,"&lt;"&amp;AJ1004,'JOBS'!$O$5:$O$1504,"&lt;&gt;Cancelled",'JOBS'!$O$5:$O$1504,"&lt;&gt;Rescheduled")+COUNTIFS($B$5:B1004,B1004,$AJ$5:AJ1004,AJ1004,$O$5:O1004,"&lt;&gt;Cancelled",$O$5:O1004,"&lt;&gt;Rescheduled")))</f>
        <v/>
      </c>
      <c r="AL1004" s="49">
        <f>IF(N(U1004)&lt;=0.005,"",COUNTIFS('JOBS'!$U$5:$U$1504,"&gt;0.005",'JOBS'!$B$5:$B$1504,"&lt;"&amp;B1004)+COUNTIFS($U$5:U1004,"&gt;0.005",$B$5:B1004,B1004))</f>
        <v/>
      </c>
    </row>
    <row r="1005">
      <c r="A1005" s="46" t="inlineStr">
        <is>
          <t>J-1001</t>
        </is>
      </c>
      <c r="B1005" s="47" t="n"/>
      <c r="C1005" s="94" t="n"/>
      <c r="D1005" s="38" t="n"/>
      <c r="E1005" s="38" t="n"/>
      <c r="F1005" s="38" t="n"/>
      <c r="G1005" s="38" t="n"/>
      <c r="H1005" s="38" t="n"/>
      <c r="I1005" s="57" t="n"/>
      <c r="J1005" s="95" t="n"/>
      <c r="K1005" s="95" t="n"/>
      <c r="L1005" s="48" t="n"/>
      <c r="M1005" s="96" t="n"/>
      <c r="N1005" s="48" t="n"/>
      <c r="O1005" s="38" t="n"/>
      <c r="P1005" s="38" t="n"/>
      <c r="Q1005" s="97">
        <f>IF(OR(F1005="",E1005=""),"",IFERROR(IF(INDEX('PROPERTIES'!$F$5:$F$404,MATCH(E1005,'PROPERTIES'!$B$5:$B$404,0))=0,"",ROUND((INDEX('PROPERTIES'!$F$5:$F$404,MATCH(E1005,'PROPERTIES'!$B$5:$B$404,0))/INDEX('PRICING'!$C$7:$C$16,MATCH(F1005,'PRICING'!$A$7:$A$16,0))+INDEX('PROPERTIES'!$G$5:$G$404,MATCH(E1005,'PROPERTIES'!$B$5:$B$404,0))*INDEX('PRICING'!$D$7:$D$16,MATCH(F1005,'PRICING'!$A$7:$A$16,0))/60+INDEX('PROPERTIES'!$H$5:$H$404,MATCH(E1005,'PROPERTIES'!$B$5:$B$404,0))*INDEX('PRICING'!$E$7:$E$16,MATCH(F1005,'PRICING'!$A$7:$A$16,0))/60+INDEX('PRICING'!$F$7:$F$16,MATCH(F1005,'PRICING'!$A$7:$A$16,0))/60),2)),""))</f>
        <v/>
      </c>
      <c r="R1005" s="97">
        <f>IF(B1005="","",IF(N(K1005)&gt;0,K1005,IF(N(J1005)&gt;0,J1005,N(Q1005))))</f>
        <v/>
      </c>
      <c r="S1005" s="55">
        <f>IF(L1005="","",ROUND(L1005*(1+N(M1005)),2))</f>
        <v/>
      </c>
      <c r="T1005" s="55">
        <f>IF(B1005="","",SUMIFS('REVENUE'!$C$5:$C$1504,'REVENUE'!$B$5:$B$1504,A1005))</f>
        <v/>
      </c>
      <c r="U1005" s="55">
        <f>IF(B1005="","",IF(O1005="Completed",MAX(0,N(S1005)-T1005),""))</f>
        <v/>
      </c>
      <c r="V1005" s="49">
        <f>IF(B1005="","",IF(O1005&lt;&gt;"Completed",IF(T1005&gt;0,"Deposit","—"),IF(U1005&lt;=0.005,"Paid",IF(T1005&gt;0,"Partial","Unpaid"))))</f>
        <v/>
      </c>
      <c r="W1005" s="55">
        <f>IF(B1005="","",IFERROR(1/(1/INDEX('STAFF &amp; TASKS'!$C$5:$C$24,MATCH(H1005,'STAFF &amp; TASKS'!$A$5:$A$24,0))),PayRate))</f>
        <v/>
      </c>
      <c r="X1005" s="55">
        <f>IF(B1005="","",IF(OR(O1005="Cancelled",O1005="No-Show"),"",ROUND(R1005*W1005*(1+Burden),2)))</f>
        <v/>
      </c>
      <c r="Y1005" s="55">
        <f>IF(B1005="","",IF(OR(O1005="Cancelled",O1005="No-Show"),"",IF(N1005&lt;&gt;"",N1005,ROUND(R1005*SupHr*IFERROR(INDEX('PRICING'!$G$7:$G$16,MATCH(F1005,'PRICING'!$A$7:$A$16,0)),1),2))))</f>
        <v/>
      </c>
      <c r="Z1005" s="98">
        <f>IF(B1005="","",SUMIFS('MILEAGE'!$J$5:$J$1504,'MILEAGE'!$B$5:$B$1504,A1005))</f>
        <v/>
      </c>
      <c r="AA1005" s="55">
        <f>IF(B1005="","",ROUND(Z1005*MileRate,2))</f>
        <v/>
      </c>
      <c r="AB1005" s="55">
        <f>IF(B1005="","",SUMIFS('REVENUE'!$J$5:$J$1504,'REVENUE'!$B$5:$B$1504,A1005))</f>
        <v/>
      </c>
      <c r="AC1005" s="55">
        <f>IF(L1005="","",IF(OR(O1005="Cancelled",O1005="No-Show"),"",L1005-N(X1005)-N(Y1005)-AA1005-AB1005))</f>
        <v/>
      </c>
      <c r="AD1005" s="99">
        <f>IF(OR(AC1005="",N(L1005)=0),"",AC1005/L1005)</f>
        <v/>
      </c>
      <c r="AE1005" s="55">
        <f>IF(OR(AC1005="",N(R1005)=0),"",L1005/R1005)</f>
        <v/>
      </c>
      <c r="AF1005" s="100">
        <f>IF(OR(N(K1005)=0,N(J1005)+N(Q1005)=0),"",K1005-IF(N(J1005)&gt;0,J1005,Q1005))</f>
        <v/>
      </c>
      <c r="AG1005" s="99">
        <f>IF(B1005="","",IFERROR(AVERAGEIFS('QUALITY CONTROL'!$M$5:$M$304,'QUALITY CONTROL'!$B$5:$B$304,A1005),""))</f>
        <v/>
      </c>
      <c r="AH1005" s="51">
        <f>IF(B1005="","",DATE(YEAR(B1005),MONTH(B1005),1))</f>
        <v/>
      </c>
      <c r="AI1005" s="49">
        <f>IF(D1005="","",IFERROR(INDEX('CUSTOMERS'!$E$5:$E$404,MATCH(D1005,'CUSTOMERS'!$B$5:$B$404,0)),""))</f>
        <v/>
      </c>
      <c r="AJ1005" s="49">
        <f>IF(B1005="","",N(C1005))</f>
        <v/>
      </c>
      <c r="AK1005" s="49">
        <f>IF(OR(B1005="",O1005="Cancelled",O1005="Rescheduled"),"",B1005&amp;"|"&amp;(COUNTIFS('JOBS'!$B$5:$B$1504,B1005,'JOBS'!$AJ$5:$AJ$1504,"&lt;"&amp;AJ1005,'JOBS'!$O$5:$O$1504,"&lt;&gt;Cancelled",'JOBS'!$O$5:$O$1504,"&lt;&gt;Rescheduled")+COUNTIFS($B$5:B1005,B1005,$AJ$5:AJ1005,AJ1005,$O$5:O1005,"&lt;&gt;Cancelled",$O$5:O1005,"&lt;&gt;Rescheduled")))</f>
        <v/>
      </c>
      <c r="AL1005" s="49">
        <f>IF(N(U1005)&lt;=0.005,"",COUNTIFS('JOBS'!$U$5:$U$1504,"&gt;0.005",'JOBS'!$B$5:$B$1504,"&lt;"&amp;B1005)+COUNTIFS($U$5:U1005,"&gt;0.005",$B$5:B1005,B1005))</f>
        <v/>
      </c>
    </row>
    <row r="1006">
      <c r="A1006" s="46" t="inlineStr">
        <is>
          <t>J-1002</t>
        </is>
      </c>
      <c r="B1006" s="47" t="n"/>
      <c r="C1006" s="94" t="n"/>
      <c r="D1006" s="38" t="n"/>
      <c r="E1006" s="38" t="n"/>
      <c r="F1006" s="38" t="n"/>
      <c r="G1006" s="38" t="n"/>
      <c r="H1006" s="38" t="n"/>
      <c r="I1006" s="57" t="n"/>
      <c r="J1006" s="95" t="n"/>
      <c r="K1006" s="95" t="n"/>
      <c r="L1006" s="48" t="n"/>
      <c r="M1006" s="96" t="n"/>
      <c r="N1006" s="48" t="n"/>
      <c r="O1006" s="38" t="n"/>
      <c r="P1006" s="38" t="n"/>
      <c r="Q1006" s="97">
        <f>IF(OR(F1006="",E1006=""),"",IFERROR(IF(INDEX('PROPERTIES'!$F$5:$F$404,MATCH(E1006,'PROPERTIES'!$B$5:$B$404,0))=0,"",ROUND((INDEX('PROPERTIES'!$F$5:$F$404,MATCH(E1006,'PROPERTIES'!$B$5:$B$404,0))/INDEX('PRICING'!$C$7:$C$16,MATCH(F1006,'PRICING'!$A$7:$A$16,0))+INDEX('PROPERTIES'!$G$5:$G$404,MATCH(E1006,'PROPERTIES'!$B$5:$B$404,0))*INDEX('PRICING'!$D$7:$D$16,MATCH(F1006,'PRICING'!$A$7:$A$16,0))/60+INDEX('PROPERTIES'!$H$5:$H$404,MATCH(E1006,'PROPERTIES'!$B$5:$B$404,0))*INDEX('PRICING'!$E$7:$E$16,MATCH(F1006,'PRICING'!$A$7:$A$16,0))/60+INDEX('PRICING'!$F$7:$F$16,MATCH(F1006,'PRICING'!$A$7:$A$16,0))/60),2)),""))</f>
        <v/>
      </c>
      <c r="R1006" s="97">
        <f>IF(B1006="","",IF(N(K1006)&gt;0,K1006,IF(N(J1006)&gt;0,J1006,N(Q1006))))</f>
        <v/>
      </c>
      <c r="S1006" s="55">
        <f>IF(L1006="","",ROUND(L1006*(1+N(M1006)),2))</f>
        <v/>
      </c>
      <c r="T1006" s="55">
        <f>IF(B1006="","",SUMIFS('REVENUE'!$C$5:$C$1504,'REVENUE'!$B$5:$B$1504,A1006))</f>
        <v/>
      </c>
      <c r="U1006" s="55">
        <f>IF(B1006="","",IF(O1006="Completed",MAX(0,N(S1006)-T1006),""))</f>
        <v/>
      </c>
      <c r="V1006" s="49">
        <f>IF(B1006="","",IF(O1006&lt;&gt;"Completed",IF(T1006&gt;0,"Deposit","—"),IF(U1006&lt;=0.005,"Paid",IF(T1006&gt;0,"Partial","Unpaid"))))</f>
        <v/>
      </c>
      <c r="W1006" s="55">
        <f>IF(B1006="","",IFERROR(1/(1/INDEX('STAFF &amp; TASKS'!$C$5:$C$24,MATCH(H1006,'STAFF &amp; TASKS'!$A$5:$A$24,0))),PayRate))</f>
        <v/>
      </c>
      <c r="X1006" s="55">
        <f>IF(B1006="","",IF(OR(O1006="Cancelled",O1006="No-Show"),"",ROUND(R1006*W1006*(1+Burden),2)))</f>
        <v/>
      </c>
      <c r="Y1006" s="55">
        <f>IF(B1006="","",IF(OR(O1006="Cancelled",O1006="No-Show"),"",IF(N1006&lt;&gt;"",N1006,ROUND(R1006*SupHr*IFERROR(INDEX('PRICING'!$G$7:$G$16,MATCH(F1006,'PRICING'!$A$7:$A$16,0)),1),2))))</f>
        <v/>
      </c>
      <c r="Z1006" s="98">
        <f>IF(B1006="","",SUMIFS('MILEAGE'!$J$5:$J$1504,'MILEAGE'!$B$5:$B$1504,A1006))</f>
        <v/>
      </c>
      <c r="AA1006" s="55">
        <f>IF(B1006="","",ROUND(Z1006*MileRate,2))</f>
        <v/>
      </c>
      <c r="AB1006" s="55">
        <f>IF(B1006="","",SUMIFS('REVENUE'!$J$5:$J$1504,'REVENUE'!$B$5:$B$1504,A1006))</f>
        <v/>
      </c>
      <c r="AC1006" s="55">
        <f>IF(L1006="","",IF(OR(O1006="Cancelled",O1006="No-Show"),"",L1006-N(X1006)-N(Y1006)-AA1006-AB1006))</f>
        <v/>
      </c>
      <c r="AD1006" s="99">
        <f>IF(OR(AC1006="",N(L1006)=0),"",AC1006/L1006)</f>
        <v/>
      </c>
      <c r="AE1006" s="55">
        <f>IF(OR(AC1006="",N(R1006)=0),"",L1006/R1006)</f>
        <v/>
      </c>
      <c r="AF1006" s="100">
        <f>IF(OR(N(K1006)=0,N(J1006)+N(Q1006)=0),"",K1006-IF(N(J1006)&gt;0,J1006,Q1006))</f>
        <v/>
      </c>
      <c r="AG1006" s="99">
        <f>IF(B1006="","",IFERROR(AVERAGEIFS('QUALITY CONTROL'!$M$5:$M$304,'QUALITY CONTROL'!$B$5:$B$304,A1006),""))</f>
        <v/>
      </c>
      <c r="AH1006" s="51">
        <f>IF(B1006="","",DATE(YEAR(B1006),MONTH(B1006),1))</f>
        <v/>
      </c>
      <c r="AI1006" s="49">
        <f>IF(D1006="","",IFERROR(INDEX('CUSTOMERS'!$E$5:$E$404,MATCH(D1006,'CUSTOMERS'!$B$5:$B$404,0)),""))</f>
        <v/>
      </c>
      <c r="AJ1006" s="49">
        <f>IF(B1006="","",N(C1006))</f>
        <v/>
      </c>
      <c r="AK1006" s="49">
        <f>IF(OR(B1006="",O1006="Cancelled",O1006="Rescheduled"),"",B1006&amp;"|"&amp;(COUNTIFS('JOBS'!$B$5:$B$1504,B1006,'JOBS'!$AJ$5:$AJ$1504,"&lt;"&amp;AJ1006,'JOBS'!$O$5:$O$1504,"&lt;&gt;Cancelled",'JOBS'!$O$5:$O$1504,"&lt;&gt;Rescheduled")+COUNTIFS($B$5:B1006,B1006,$AJ$5:AJ1006,AJ1006,$O$5:O1006,"&lt;&gt;Cancelled",$O$5:O1006,"&lt;&gt;Rescheduled")))</f>
        <v/>
      </c>
      <c r="AL1006" s="49">
        <f>IF(N(U1006)&lt;=0.005,"",COUNTIFS('JOBS'!$U$5:$U$1504,"&gt;0.005",'JOBS'!$B$5:$B$1504,"&lt;"&amp;B1006)+COUNTIFS($U$5:U1006,"&gt;0.005",$B$5:B1006,B1006))</f>
        <v/>
      </c>
    </row>
    <row r="1007">
      <c r="A1007" s="46" t="inlineStr">
        <is>
          <t>J-1003</t>
        </is>
      </c>
      <c r="B1007" s="47" t="n"/>
      <c r="C1007" s="94" t="n"/>
      <c r="D1007" s="38" t="n"/>
      <c r="E1007" s="38" t="n"/>
      <c r="F1007" s="38" t="n"/>
      <c r="G1007" s="38" t="n"/>
      <c r="H1007" s="38" t="n"/>
      <c r="I1007" s="57" t="n"/>
      <c r="J1007" s="95" t="n"/>
      <c r="K1007" s="95" t="n"/>
      <c r="L1007" s="48" t="n"/>
      <c r="M1007" s="96" t="n"/>
      <c r="N1007" s="48" t="n"/>
      <c r="O1007" s="38" t="n"/>
      <c r="P1007" s="38" t="n"/>
      <c r="Q1007" s="97">
        <f>IF(OR(F1007="",E1007=""),"",IFERROR(IF(INDEX('PROPERTIES'!$F$5:$F$404,MATCH(E1007,'PROPERTIES'!$B$5:$B$404,0))=0,"",ROUND((INDEX('PROPERTIES'!$F$5:$F$404,MATCH(E1007,'PROPERTIES'!$B$5:$B$404,0))/INDEX('PRICING'!$C$7:$C$16,MATCH(F1007,'PRICING'!$A$7:$A$16,0))+INDEX('PROPERTIES'!$G$5:$G$404,MATCH(E1007,'PROPERTIES'!$B$5:$B$404,0))*INDEX('PRICING'!$D$7:$D$16,MATCH(F1007,'PRICING'!$A$7:$A$16,0))/60+INDEX('PROPERTIES'!$H$5:$H$404,MATCH(E1007,'PROPERTIES'!$B$5:$B$404,0))*INDEX('PRICING'!$E$7:$E$16,MATCH(F1007,'PRICING'!$A$7:$A$16,0))/60+INDEX('PRICING'!$F$7:$F$16,MATCH(F1007,'PRICING'!$A$7:$A$16,0))/60),2)),""))</f>
        <v/>
      </c>
      <c r="R1007" s="97">
        <f>IF(B1007="","",IF(N(K1007)&gt;0,K1007,IF(N(J1007)&gt;0,J1007,N(Q1007))))</f>
        <v/>
      </c>
      <c r="S1007" s="55">
        <f>IF(L1007="","",ROUND(L1007*(1+N(M1007)),2))</f>
        <v/>
      </c>
      <c r="T1007" s="55">
        <f>IF(B1007="","",SUMIFS('REVENUE'!$C$5:$C$1504,'REVENUE'!$B$5:$B$1504,A1007))</f>
        <v/>
      </c>
      <c r="U1007" s="55">
        <f>IF(B1007="","",IF(O1007="Completed",MAX(0,N(S1007)-T1007),""))</f>
        <v/>
      </c>
      <c r="V1007" s="49">
        <f>IF(B1007="","",IF(O1007&lt;&gt;"Completed",IF(T1007&gt;0,"Deposit","—"),IF(U1007&lt;=0.005,"Paid",IF(T1007&gt;0,"Partial","Unpaid"))))</f>
        <v/>
      </c>
      <c r="W1007" s="55">
        <f>IF(B1007="","",IFERROR(1/(1/INDEX('STAFF &amp; TASKS'!$C$5:$C$24,MATCH(H1007,'STAFF &amp; TASKS'!$A$5:$A$24,0))),PayRate))</f>
        <v/>
      </c>
      <c r="X1007" s="55">
        <f>IF(B1007="","",IF(OR(O1007="Cancelled",O1007="No-Show"),"",ROUND(R1007*W1007*(1+Burden),2)))</f>
        <v/>
      </c>
      <c r="Y1007" s="55">
        <f>IF(B1007="","",IF(OR(O1007="Cancelled",O1007="No-Show"),"",IF(N1007&lt;&gt;"",N1007,ROUND(R1007*SupHr*IFERROR(INDEX('PRICING'!$G$7:$G$16,MATCH(F1007,'PRICING'!$A$7:$A$16,0)),1),2))))</f>
        <v/>
      </c>
      <c r="Z1007" s="98">
        <f>IF(B1007="","",SUMIFS('MILEAGE'!$J$5:$J$1504,'MILEAGE'!$B$5:$B$1504,A1007))</f>
        <v/>
      </c>
      <c r="AA1007" s="55">
        <f>IF(B1007="","",ROUND(Z1007*MileRate,2))</f>
        <v/>
      </c>
      <c r="AB1007" s="55">
        <f>IF(B1007="","",SUMIFS('REVENUE'!$J$5:$J$1504,'REVENUE'!$B$5:$B$1504,A1007))</f>
        <v/>
      </c>
      <c r="AC1007" s="55">
        <f>IF(L1007="","",IF(OR(O1007="Cancelled",O1007="No-Show"),"",L1007-N(X1007)-N(Y1007)-AA1007-AB1007))</f>
        <v/>
      </c>
      <c r="AD1007" s="99">
        <f>IF(OR(AC1007="",N(L1007)=0),"",AC1007/L1007)</f>
        <v/>
      </c>
      <c r="AE1007" s="55">
        <f>IF(OR(AC1007="",N(R1007)=0),"",L1007/R1007)</f>
        <v/>
      </c>
      <c r="AF1007" s="100">
        <f>IF(OR(N(K1007)=0,N(J1007)+N(Q1007)=0),"",K1007-IF(N(J1007)&gt;0,J1007,Q1007))</f>
        <v/>
      </c>
      <c r="AG1007" s="99">
        <f>IF(B1007="","",IFERROR(AVERAGEIFS('QUALITY CONTROL'!$M$5:$M$304,'QUALITY CONTROL'!$B$5:$B$304,A1007),""))</f>
        <v/>
      </c>
      <c r="AH1007" s="51">
        <f>IF(B1007="","",DATE(YEAR(B1007),MONTH(B1007),1))</f>
        <v/>
      </c>
      <c r="AI1007" s="49">
        <f>IF(D1007="","",IFERROR(INDEX('CUSTOMERS'!$E$5:$E$404,MATCH(D1007,'CUSTOMERS'!$B$5:$B$404,0)),""))</f>
        <v/>
      </c>
      <c r="AJ1007" s="49">
        <f>IF(B1007="","",N(C1007))</f>
        <v/>
      </c>
      <c r="AK1007" s="49">
        <f>IF(OR(B1007="",O1007="Cancelled",O1007="Rescheduled"),"",B1007&amp;"|"&amp;(COUNTIFS('JOBS'!$B$5:$B$1504,B1007,'JOBS'!$AJ$5:$AJ$1504,"&lt;"&amp;AJ1007,'JOBS'!$O$5:$O$1504,"&lt;&gt;Cancelled",'JOBS'!$O$5:$O$1504,"&lt;&gt;Rescheduled")+COUNTIFS($B$5:B1007,B1007,$AJ$5:AJ1007,AJ1007,$O$5:O1007,"&lt;&gt;Cancelled",$O$5:O1007,"&lt;&gt;Rescheduled")))</f>
        <v/>
      </c>
      <c r="AL1007" s="49">
        <f>IF(N(U1007)&lt;=0.005,"",COUNTIFS('JOBS'!$U$5:$U$1504,"&gt;0.005",'JOBS'!$B$5:$B$1504,"&lt;"&amp;B1007)+COUNTIFS($U$5:U1007,"&gt;0.005",$B$5:B1007,B1007))</f>
        <v/>
      </c>
    </row>
    <row r="1008">
      <c r="A1008" s="46" t="inlineStr">
        <is>
          <t>J-1004</t>
        </is>
      </c>
      <c r="B1008" s="47" t="n"/>
      <c r="C1008" s="94" t="n"/>
      <c r="D1008" s="38" t="n"/>
      <c r="E1008" s="38" t="n"/>
      <c r="F1008" s="38" t="n"/>
      <c r="G1008" s="38" t="n"/>
      <c r="H1008" s="38" t="n"/>
      <c r="I1008" s="57" t="n"/>
      <c r="J1008" s="95" t="n"/>
      <c r="K1008" s="95" t="n"/>
      <c r="L1008" s="48" t="n"/>
      <c r="M1008" s="96" t="n"/>
      <c r="N1008" s="48" t="n"/>
      <c r="O1008" s="38" t="n"/>
      <c r="P1008" s="38" t="n"/>
      <c r="Q1008" s="97">
        <f>IF(OR(F1008="",E1008=""),"",IFERROR(IF(INDEX('PROPERTIES'!$F$5:$F$404,MATCH(E1008,'PROPERTIES'!$B$5:$B$404,0))=0,"",ROUND((INDEX('PROPERTIES'!$F$5:$F$404,MATCH(E1008,'PROPERTIES'!$B$5:$B$404,0))/INDEX('PRICING'!$C$7:$C$16,MATCH(F1008,'PRICING'!$A$7:$A$16,0))+INDEX('PROPERTIES'!$G$5:$G$404,MATCH(E1008,'PROPERTIES'!$B$5:$B$404,0))*INDEX('PRICING'!$D$7:$D$16,MATCH(F1008,'PRICING'!$A$7:$A$16,0))/60+INDEX('PROPERTIES'!$H$5:$H$404,MATCH(E1008,'PROPERTIES'!$B$5:$B$404,0))*INDEX('PRICING'!$E$7:$E$16,MATCH(F1008,'PRICING'!$A$7:$A$16,0))/60+INDEX('PRICING'!$F$7:$F$16,MATCH(F1008,'PRICING'!$A$7:$A$16,0))/60),2)),""))</f>
        <v/>
      </c>
      <c r="R1008" s="97">
        <f>IF(B1008="","",IF(N(K1008)&gt;0,K1008,IF(N(J1008)&gt;0,J1008,N(Q1008))))</f>
        <v/>
      </c>
      <c r="S1008" s="55">
        <f>IF(L1008="","",ROUND(L1008*(1+N(M1008)),2))</f>
        <v/>
      </c>
      <c r="T1008" s="55">
        <f>IF(B1008="","",SUMIFS('REVENUE'!$C$5:$C$1504,'REVENUE'!$B$5:$B$1504,A1008))</f>
        <v/>
      </c>
      <c r="U1008" s="55">
        <f>IF(B1008="","",IF(O1008="Completed",MAX(0,N(S1008)-T1008),""))</f>
        <v/>
      </c>
      <c r="V1008" s="49">
        <f>IF(B1008="","",IF(O1008&lt;&gt;"Completed",IF(T1008&gt;0,"Deposit","—"),IF(U1008&lt;=0.005,"Paid",IF(T1008&gt;0,"Partial","Unpaid"))))</f>
        <v/>
      </c>
      <c r="W1008" s="55">
        <f>IF(B1008="","",IFERROR(1/(1/INDEX('STAFF &amp; TASKS'!$C$5:$C$24,MATCH(H1008,'STAFF &amp; TASKS'!$A$5:$A$24,0))),PayRate))</f>
        <v/>
      </c>
      <c r="X1008" s="55">
        <f>IF(B1008="","",IF(OR(O1008="Cancelled",O1008="No-Show"),"",ROUND(R1008*W1008*(1+Burden),2)))</f>
        <v/>
      </c>
      <c r="Y1008" s="55">
        <f>IF(B1008="","",IF(OR(O1008="Cancelled",O1008="No-Show"),"",IF(N1008&lt;&gt;"",N1008,ROUND(R1008*SupHr*IFERROR(INDEX('PRICING'!$G$7:$G$16,MATCH(F1008,'PRICING'!$A$7:$A$16,0)),1),2))))</f>
        <v/>
      </c>
      <c r="Z1008" s="98">
        <f>IF(B1008="","",SUMIFS('MILEAGE'!$J$5:$J$1504,'MILEAGE'!$B$5:$B$1504,A1008))</f>
        <v/>
      </c>
      <c r="AA1008" s="55">
        <f>IF(B1008="","",ROUND(Z1008*MileRate,2))</f>
        <v/>
      </c>
      <c r="AB1008" s="55">
        <f>IF(B1008="","",SUMIFS('REVENUE'!$J$5:$J$1504,'REVENUE'!$B$5:$B$1504,A1008))</f>
        <v/>
      </c>
      <c r="AC1008" s="55">
        <f>IF(L1008="","",IF(OR(O1008="Cancelled",O1008="No-Show"),"",L1008-N(X1008)-N(Y1008)-AA1008-AB1008))</f>
        <v/>
      </c>
      <c r="AD1008" s="99">
        <f>IF(OR(AC1008="",N(L1008)=0),"",AC1008/L1008)</f>
        <v/>
      </c>
      <c r="AE1008" s="55">
        <f>IF(OR(AC1008="",N(R1008)=0),"",L1008/R1008)</f>
        <v/>
      </c>
      <c r="AF1008" s="100">
        <f>IF(OR(N(K1008)=0,N(J1008)+N(Q1008)=0),"",K1008-IF(N(J1008)&gt;0,J1008,Q1008))</f>
        <v/>
      </c>
      <c r="AG1008" s="99">
        <f>IF(B1008="","",IFERROR(AVERAGEIFS('QUALITY CONTROL'!$M$5:$M$304,'QUALITY CONTROL'!$B$5:$B$304,A1008),""))</f>
        <v/>
      </c>
      <c r="AH1008" s="51">
        <f>IF(B1008="","",DATE(YEAR(B1008),MONTH(B1008),1))</f>
        <v/>
      </c>
      <c r="AI1008" s="49">
        <f>IF(D1008="","",IFERROR(INDEX('CUSTOMERS'!$E$5:$E$404,MATCH(D1008,'CUSTOMERS'!$B$5:$B$404,0)),""))</f>
        <v/>
      </c>
      <c r="AJ1008" s="49">
        <f>IF(B1008="","",N(C1008))</f>
        <v/>
      </c>
      <c r="AK1008" s="49">
        <f>IF(OR(B1008="",O1008="Cancelled",O1008="Rescheduled"),"",B1008&amp;"|"&amp;(COUNTIFS('JOBS'!$B$5:$B$1504,B1008,'JOBS'!$AJ$5:$AJ$1504,"&lt;"&amp;AJ1008,'JOBS'!$O$5:$O$1504,"&lt;&gt;Cancelled",'JOBS'!$O$5:$O$1504,"&lt;&gt;Rescheduled")+COUNTIFS($B$5:B1008,B1008,$AJ$5:AJ1008,AJ1008,$O$5:O1008,"&lt;&gt;Cancelled",$O$5:O1008,"&lt;&gt;Rescheduled")))</f>
        <v/>
      </c>
      <c r="AL1008" s="49">
        <f>IF(N(U1008)&lt;=0.005,"",COUNTIFS('JOBS'!$U$5:$U$1504,"&gt;0.005",'JOBS'!$B$5:$B$1504,"&lt;"&amp;B1008)+COUNTIFS($U$5:U1008,"&gt;0.005",$B$5:B1008,B1008))</f>
        <v/>
      </c>
    </row>
    <row r="1009">
      <c r="A1009" s="46" t="inlineStr">
        <is>
          <t>J-1005</t>
        </is>
      </c>
      <c r="B1009" s="47" t="n"/>
      <c r="C1009" s="94" t="n"/>
      <c r="D1009" s="38" t="n"/>
      <c r="E1009" s="38" t="n"/>
      <c r="F1009" s="38" t="n"/>
      <c r="G1009" s="38" t="n"/>
      <c r="H1009" s="38" t="n"/>
      <c r="I1009" s="57" t="n"/>
      <c r="J1009" s="95" t="n"/>
      <c r="K1009" s="95" t="n"/>
      <c r="L1009" s="48" t="n"/>
      <c r="M1009" s="96" t="n"/>
      <c r="N1009" s="48" t="n"/>
      <c r="O1009" s="38" t="n"/>
      <c r="P1009" s="38" t="n"/>
      <c r="Q1009" s="97">
        <f>IF(OR(F1009="",E1009=""),"",IFERROR(IF(INDEX('PROPERTIES'!$F$5:$F$404,MATCH(E1009,'PROPERTIES'!$B$5:$B$404,0))=0,"",ROUND((INDEX('PROPERTIES'!$F$5:$F$404,MATCH(E1009,'PROPERTIES'!$B$5:$B$404,0))/INDEX('PRICING'!$C$7:$C$16,MATCH(F1009,'PRICING'!$A$7:$A$16,0))+INDEX('PROPERTIES'!$G$5:$G$404,MATCH(E1009,'PROPERTIES'!$B$5:$B$404,0))*INDEX('PRICING'!$D$7:$D$16,MATCH(F1009,'PRICING'!$A$7:$A$16,0))/60+INDEX('PROPERTIES'!$H$5:$H$404,MATCH(E1009,'PROPERTIES'!$B$5:$B$404,0))*INDEX('PRICING'!$E$7:$E$16,MATCH(F1009,'PRICING'!$A$7:$A$16,0))/60+INDEX('PRICING'!$F$7:$F$16,MATCH(F1009,'PRICING'!$A$7:$A$16,0))/60),2)),""))</f>
        <v/>
      </c>
      <c r="R1009" s="97">
        <f>IF(B1009="","",IF(N(K1009)&gt;0,K1009,IF(N(J1009)&gt;0,J1009,N(Q1009))))</f>
        <v/>
      </c>
      <c r="S1009" s="55">
        <f>IF(L1009="","",ROUND(L1009*(1+N(M1009)),2))</f>
        <v/>
      </c>
      <c r="T1009" s="55">
        <f>IF(B1009="","",SUMIFS('REVENUE'!$C$5:$C$1504,'REVENUE'!$B$5:$B$1504,A1009))</f>
        <v/>
      </c>
      <c r="U1009" s="55">
        <f>IF(B1009="","",IF(O1009="Completed",MAX(0,N(S1009)-T1009),""))</f>
        <v/>
      </c>
      <c r="V1009" s="49">
        <f>IF(B1009="","",IF(O1009&lt;&gt;"Completed",IF(T1009&gt;0,"Deposit","—"),IF(U1009&lt;=0.005,"Paid",IF(T1009&gt;0,"Partial","Unpaid"))))</f>
        <v/>
      </c>
      <c r="W1009" s="55">
        <f>IF(B1009="","",IFERROR(1/(1/INDEX('STAFF &amp; TASKS'!$C$5:$C$24,MATCH(H1009,'STAFF &amp; TASKS'!$A$5:$A$24,0))),PayRate))</f>
        <v/>
      </c>
      <c r="X1009" s="55">
        <f>IF(B1009="","",IF(OR(O1009="Cancelled",O1009="No-Show"),"",ROUND(R1009*W1009*(1+Burden),2)))</f>
        <v/>
      </c>
      <c r="Y1009" s="55">
        <f>IF(B1009="","",IF(OR(O1009="Cancelled",O1009="No-Show"),"",IF(N1009&lt;&gt;"",N1009,ROUND(R1009*SupHr*IFERROR(INDEX('PRICING'!$G$7:$G$16,MATCH(F1009,'PRICING'!$A$7:$A$16,0)),1),2))))</f>
        <v/>
      </c>
      <c r="Z1009" s="98">
        <f>IF(B1009="","",SUMIFS('MILEAGE'!$J$5:$J$1504,'MILEAGE'!$B$5:$B$1504,A1009))</f>
        <v/>
      </c>
      <c r="AA1009" s="55">
        <f>IF(B1009="","",ROUND(Z1009*MileRate,2))</f>
        <v/>
      </c>
      <c r="AB1009" s="55">
        <f>IF(B1009="","",SUMIFS('REVENUE'!$J$5:$J$1504,'REVENUE'!$B$5:$B$1504,A1009))</f>
        <v/>
      </c>
      <c r="AC1009" s="55">
        <f>IF(L1009="","",IF(OR(O1009="Cancelled",O1009="No-Show"),"",L1009-N(X1009)-N(Y1009)-AA1009-AB1009))</f>
        <v/>
      </c>
      <c r="AD1009" s="99">
        <f>IF(OR(AC1009="",N(L1009)=0),"",AC1009/L1009)</f>
        <v/>
      </c>
      <c r="AE1009" s="55">
        <f>IF(OR(AC1009="",N(R1009)=0),"",L1009/R1009)</f>
        <v/>
      </c>
      <c r="AF1009" s="100">
        <f>IF(OR(N(K1009)=0,N(J1009)+N(Q1009)=0),"",K1009-IF(N(J1009)&gt;0,J1009,Q1009))</f>
        <v/>
      </c>
      <c r="AG1009" s="99">
        <f>IF(B1009="","",IFERROR(AVERAGEIFS('QUALITY CONTROL'!$M$5:$M$304,'QUALITY CONTROL'!$B$5:$B$304,A1009),""))</f>
        <v/>
      </c>
      <c r="AH1009" s="51">
        <f>IF(B1009="","",DATE(YEAR(B1009),MONTH(B1009),1))</f>
        <v/>
      </c>
      <c r="AI1009" s="49">
        <f>IF(D1009="","",IFERROR(INDEX('CUSTOMERS'!$E$5:$E$404,MATCH(D1009,'CUSTOMERS'!$B$5:$B$404,0)),""))</f>
        <v/>
      </c>
      <c r="AJ1009" s="49">
        <f>IF(B1009="","",N(C1009))</f>
        <v/>
      </c>
      <c r="AK1009" s="49">
        <f>IF(OR(B1009="",O1009="Cancelled",O1009="Rescheduled"),"",B1009&amp;"|"&amp;(COUNTIFS('JOBS'!$B$5:$B$1504,B1009,'JOBS'!$AJ$5:$AJ$1504,"&lt;"&amp;AJ1009,'JOBS'!$O$5:$O$1504,"&lt;&gt;Cancelled",'JOBS'!$O$5:$O$1504,"&lt;&gt;Rescheduled")+COUNTIFS($B$5:B1009,B1009,$AJ$5:AJ1009,AJ1009,$O$5:O1009,"&lt;&gt;Cancelled",$O$5:O1009,"&lt;&gt;Rescheduled")))</f>
        <v/>
      </c>
      <c r="AL1009" s="49">
        <f>IF(N(U1009)&lt;=0.005,"",COUNTIFS('JOBS'!$U$5:$U$1504,"&gt;0.005",'JOBS'!$B$5:$B$1504,"&lt;"&amp;B1009)+COUNTIFS($U$5:U1009,"&gt;0.005",$B$5:B1009,B1009))</f>
        <v/>
      </c>
    </row>
    <row r="1010">
      <c r="A1010" s="46" t="inlineStr">
        <is>
          <t>J-1006</t>
        </is>
      </c>
      <c r="B1010" s="47" t="n"/>
      <c r="C1010" s="94" t="n"/>
      <c r="D1010" s="38" t="n"/>
      <c r="E1010" s="38" t="n"/>
      <c r="F1010" s="38" t="n"/>
      <c r="G1010" s="38" t="n"/>
      <c r="H1010" s="38" t="n"/>
      <c r="I1010" s="57" t="n"/>
      <c r="J1010" s="95" t="n"/>
      <c r="K1010" s="95" t="n"/>
      <c r="L1010" s="48" t="n"/>
      <c r="M1010" s="96" t="n"/>
      <c r="N1010" s="48" t="n"/>
      <c r="O1010" s="38" t="n"/>
      <c r="P1010" s="38" t="n"/>
      <c r="Q1010" s="97">
        <f>IF(OR(F1010="",E1010=""),"",IFERROR(IF(INDEX('PROPERTIES'!$F$5:$F$404,MATCH(E1010,'PROPERTIES'!$B$5:$B$404,0))=0,"",ROUND((INDEX('PROPERTIES'!$F$5:$F$404,MATCH(E1010,'PROPERTIES'!$B$5:$B$404,0))/INDEX('PRICING'!$C$7:$C$16,MATCH(F1010,'PRICING'!$A$7:$A$16,0))+INDEX('PROPERTIES'!$G$5:$G$404,MATCH(E1010,'PROPERTIES'!$B$5:$B$404,0))*INDEX('PRICING'!$D$7:$D$16,MATCH(F1010,'PRICING'!$A$7:$A$16,0))/60+INDEX('PROPERTIES'!$H$5:$H$404,MATCH(E1010,'PROPERTIES'!$B$5:$B$404,0))*INDEX('PRICING'!$E$7:$E$16,MATCH(F1010,'PRICING'!$A$7:$A$16,0))/60+INDEX('PRICING'!$F$7:$F$16,MATCH(F1010,'PRICING'!$A$7:$A$16,0))/60),2)),""))</f>
        <v/>
      </c>
      <c r="R1010" s="97">
        <f>IF(B1010="","",IF(N(K1010)&gt;0,K1010,IF(N(J1010)&gt;0,J1010,N(Q1010))))</f>
        <v/>
      </c>
      <c r="S1010" s="55">
        <f>IF(L1010="","",ROUND(L1010*(1+N(M1010)),2))</f>
        <v/>
      </c>
      <c r="T1010" s="55">
        <f>IF(B1010="","",SUMIFS('REVENUE'!$C$5:$C$1504,'REVENUE'!$B$5:$B$1504,A1010))</f>
        <v/>
      </c>
      <c r="U1010" s="55">
        <f>IF(B1010="","",IF(O1010="Completed",MAX(0,N(S1010)-T1010),""))</f>
        <v/>
      </c>
      <c r="V1010" s="49">
        <f>IF(B1010="","",IF(O1010&lt;&gt;"Completed",IF(T1010&gt;0,"Deposit","—"),IF(U1010&lt;=0.005,"Paid",IF(T1010&gt;0,"Partial","Unpaid"))))</f>
        <v/>
      </c>
      <c r="W1010" s="55">
        <f>IF(B1010="","",IFERROR(1/(1/INDEX('STAFF &amp; TASKS'!$C$5:$C$24,MATCH(H1010,'STAFF &amp; TASKS'!$A$5:$A$24,0))),PayRate))</f>
        <v/>
      </c>
      <c r="X1010" s="55">
        <f>IF(B1010="","",IF(OR(O1010="Cancelled",O1010="No-Show"),"",ROUND(R1010*W1010*(1+Burden),2)))</f>
        <v/>
      </c>
      <c r="Y1010" s="55">
        <f>IF(B1010="","",IF(OR(O1010="Cancelled",O1010="No-Show"),"",IF(N1010&lt;&gt;"",N1010,ROUND(R1010*SupHr*IFERROR(INDEX('PRICING'!$G$7:$G$16,MATCH(F1010,'PRICING'!$A$7:$A$16,0)),1),2))))</f>
        <v/>
      </c>
      <c r="Z1010" s="98">
        <f>IF(B1010="","",SUMIFS('MILEAGE'!$J$5:$J$1504,'MILEAGE'!$B$5:$B$1504,A1010))</f>
        <v/>
      </c>
      <c r="AA1010" s="55">
        <f>IF(B1010="","",ROUND(Z1010*MileRate,2))</f>
        <v/>
      </c>
      <c r="AB1010" s="55">
        <f>IF(B1010="","",SUMIFS('REVENUE'!$J$5:$J$1504,'REVENUE'!$B$5:$B$1504,A1010))</f>
        <v/>
      </c>
      <c r="AC1010" s="55">
        <f>IF(L1010="","",IF(OR(O1010="Cancelled",O1010="No-Show"),"",L1010-N(X1010)-N(Y1010)-AA1010-AB1010))</f>
        <v/>
      </c>
      <c r="AD1010" s="99">
        <f>IF(OR(AC1010="",N(L1010)=0),"",AC1010/L1010)</f>
        <v/>
      </c>
      <c r="AE1010" s="55">
        <f>IF(OR(AC1010="",N(R1010)=0),"",L1010/R1010)</f>
        <v/>
      </c>
      <c r="AF1010" s="100">
        <f>IF(OR(N(K1010)=0,N(J1010)+N(Q1010)=0),"",K1010-IF(N(J1010)&gt;0,J1010,Q1010))</f>
        <v/>
      </c>
      <c r="AG1010" s="99">
        <f>IF(B1010="","",IFERROR(AVERAGEIFS('QUALITY CONTROL'!$M$5:$M$304,'QUALITY CONTROL'!$B$5:$B$304,A1010),""))</f>
        <v/>
      </c>
      <c r="AH1010" s="51">
        <f>IF(B1010="","",DATE(YEAR(B1010),MONTH(B1010),1))</f>
        <v/>
      </c>
      <c r="AI1010" s="49">
        <f>IF(D1010="","",IFERROR(INDEX('CUSTOMERS'!$E$5:$E$404,MATCH(D1010,'CUSTOMERS'!$B$5:$B$404,0)),""))</f>
        <v/>
      </c>
      <c r="AJ1010" s="49">
        <f>IF(B1010="","",N(C1010))</f>
        <v/>
      </c>
      <c r="AK1010" s="49">
        <f>IF(OR(B1010="",O1010="Cancelled",O1010="Rescheduled"),"",B1010&amp;"|"&amp;(COUNTIFS('JOBS'!$B$5:$B$1504,B1010,'JOBS'!$AJ$5:$AJ$1504,"&lt;"&amp;AJ1010,'JOBS'!$O$5:$O$1504,"&lt;&gt;Cancelled",'JOBS'!$O$5:$O$1504,"&lt;&gt;Rescheduled")+COUNTIFS($B$5:B1010,B1010,$AJ$5:AJ1010,AJ1010,$O$5:O1010,"&lt;&gt;Cancelled",$O$5:O1010,"&lt;&gt;Rescheduled")))</f>
        <v/>
      </c>
      <c r="AL1010" s="49">
        <f>IF(N(U1010)&lt;=0.005,"",COUNTIFS('JOBS'!$U$5:$U$1504,"&gt;0.005",'JOBS'!$B$5:$B$1504,"&lt;"&amp;B1010)+COUNTIFS($U$5:U1010,"&gt;0.005",$B$5:B1010,B1010))</f>
        <v/>
      </c>
    </row>
    <row r="1011">
      <c r="A1011" s="46" t="inlineStr">
        <is>
          <t>J-1007</t>
        </is>
      </c>
      <c r="B1011" s="47" t="n"/>
      <c r="C1011" s="94" t="n"/>
      <c r="D1011" s="38" t="n"/>
      <c r="E1011" s="38" t="n"/>
      <c r="F1011" s="38" t="n"/>
      <c r="G1011" s="38" t="n"/>
      <c r="H1011" s="38" t="n"/>
      <c r="I1011" s="57" t="n"/>
      <c r="J1011" s="95" t="n"/>
      <c r="K1011" s="95" t="n"/>
      <c r="L1011" s="48" t="n"/>
      <c r="M1011" s="96" t="n"/>
      <c r="N1011" s="48" t="n"/>
      <c r="O1011" s="38" t="n"/>
      <c r="P1011" s="38" t="n"/>
      <c r="Q1011" s="97">
        <f>IF(OR(F1011="",E1011=""),"",IFERROR(IF(INDEX('PROPERTIES'!$F$5:$F$404,MATCH(E1011,'PROPERTIES'!$B$5:$B$404,0))=0,"",ROUND((INDEX('PROPERTIES'!$F$5:$F$404,MATCH(E1011,'PROPERTIES'!$B$5:$B$404,0))/INDEX('PRICING'!$C$7:$C$16,MATCH(F1011,'PRICING'!$A$7:$A$16,0))+INDEX('PROPERTIES'!$G$5:$G$404,MATCH(E1011,'PROPERTIES'!$B$5:$B$404,0))*INDEX('PRICING'!$D$7:$D$16,MATCH(F1011,'PRICING'!$A$7:$A$16,0))/60+INDEX('PROPERTIES'!$H$5:$H$404,MATCH(E1011,'PROPERTIES'!$B$5:$B$404,0))*INDEX('PRICING'!$E$7:$E$16,MATCH(F1011,'PRICING'!$A$7:$A$16,0))/60+INDEX('PRICING'!$F$7:$F$16,MATCH(F1011,'PRICING'!$A$7:$A$16,0))/60),2)),""))</f>
        <v/>
      </c>
      <c r="R1011" s="97">
        <f>IF(B1011="","",IF(N(K1011)&gt;0,K1011,IF(N(J1011)&gt;0,J1011,N(Q1011))))</f>
        <v/>
      </c>
      <c r="S1011" s="55">
        <f>IF(L1011="","",ROUND(L1011*(1+N(M1011)),2))</f>
        <v/>
      </c>
      <c r="T1011" s="55">
        <f>IF(B1011="","",SUMIFS('REVENUE'!$C$5:$C$1504,'REVENUE'!$B$5:$B$1504,A1011))</f>
        <v/>
      </c>
      <c r="U1011" s="55">
        <f>IF(B1011="","",IF(O1011="Completed",MAX(0,N(S1011)-T1011),""))</f>
        <v/>
      </c>
      <c r="V1011" s="49">
        <f>IF(B1011="","",IF(O1011&lt;&gt;"Completed",IF(T1011&gt;0,"Deposit","—"),IF(U1011&lt;=0.005,"Paid",IF(T1011&gt;0,"Partial","Unpaid"))))</f>
        <v/>
      </c>
      <c r="W1011" s="55">
        <f>IF(B1011="","",IFERROR(1/(1/INDEX('STAFF &amp; TASKS'!$C$5:$C$24,MATCH(H1011,'STAFF &amp; TASKS'!$A$5:$A$24,0))),PayRate))</f>
        <v/>
      </c>
      <c r="X1011" s="55">
        <f>IF(B1011="","",IF(OR(O1011="Cancelled",O1011="No-Show"),"",ROUND(R1011*W1011*(1+Burden),2)))</f>
        <v/>
      </c>
      <c r="Y1011" s="55">
        <f>IF(B1011="","",IF(OR(O1011="Cancelled",O1011="No-Show"),"",IF(N1011&lt;&gt;"",N1011,ROUND(R1011*SupHr*IFERROR(INDEX('PRICING'!$G$7:$G$16,MATCH(F1011,'PRICING'!$A$7:$A$16,0)),1),2))))</f>
        <v/>
      </c>
      <c r="Z1011" s="98">
        <f>IF(B1011="","",SUMIFS('MILEAGE'!$J$5:$J$1504,'MILEAGE'!$B$5:$B$1504,A1011))</f>
        <v/>
      </c>
      <c r="AA1011" s="55">
        <f>IF(B1011="","",ROUND(Z1011*MileRate,2))</f>
        <v/>
      </c>
      <c r="AB1011" s="55">
        <f>IF(B1011="","",SUMIFS('REVENUE'!$J$5:$J$1504,'REVENUE'!$B$5:$B$1504,A1011))</f>
        <v/>
      </c>
      <c r="AC1011" s="55">
        <f>IF(L1011="","",IF(OR(O1011="Cancelled",O1011="No-Show"),"",L1011-N(X1011)-N(Y1011)-AA1011-AB1011))</f>
        <v/>
      </c>
      <c r="AD1011" s="99">
        <f>IF(OR(AC1011="",N(L1011)=0),"",AC1011/L1011)</f>
        <v/>
      </c>
      <c r="AE1011" s="55">
        <f>IF(OR(AC1011="",N(R1011)=0),"",L1011/R1011)</f>
        <v/>
      </c>
      <c r="AF1011" s="100">
        <f>IF(OR(N(K1011)=0,N(J1011)+N(Q1011)=0),"",K1011-IF(N(J1011)&gt;0,J1011,Q1011))</f>
        <v/>
      </c>
      <c r="AG1011" s="99">
        <f>IF(B1011="","",IFERROR(AVERAGEIFS('QUALITY CONTROL'!$M$5:$M$304,'QUALITY CONTROL'!$B$5:$B$304,A1011),""))</f>
        <v/>
      </c>
      <c r="AH1011" s="51">
        <f>IF(B1011="","",DATE(YEAR(B1011),MONTH(B1011),1))</f>
        <v/>
      </c>
      <c r="AI1011" s="49">
        <f>IF(D1011="","",IFERROR(INDEX('CUSTOMERS'!$E$5:$E$404,MATCH(D1011,'CUSTOMERS'!$B$5:$B$404,0)),""))</f>
        <v/>
      </c>
      <c r="AJ1011" s="49">
        <f>IF(B1011="","",N(C1011))</f>
        <v/>
      </c>
      <c r="AK1011" s="49">
        <f>IF(OR(B1011="",O1011="Cancelled",O1011="Rescheduled"),"",B1011&amp;"|"&amp;(COUNTIFS('JOBS'!$B$5:$B$1504,B1011,'JOBS'!$AJ$5:$AJ$1504,"&lt;"&amp;AJ1011,'JOBS'!$O$5:$O$1504,"&lt;&gt;Cancelled",'JOBS'!$O$5:$O$1504,"&lt;&gt;Rescheduled")+COUNTIFS($B$5:B1011,B1011,$AJ$5:AJ1011,AJ1011,$O$5:O1011,"&lt;&gt;Cancelled",$O$5:O1011,"&lt;&gt;Rescheduled")))</f>
        <v/>
      </c>
      <c r="AL1011" s="49">
        <f>IF(N(U1011)&lt;=0.005,"",COUNTIFS('JOBS'!$U$5:$U$1504,"&gt;0.005",'JOBS'!$B$5:$B$1504,"&lt;"&amp;B1011)+COUNTIFS($U$5:U1011,"&gt;0.005",$B$5:B1011,B1011))</f>
        <v/>
      </c>
    </row>
    <row r="1012">
      <c r="A1012" s="46" t="inlineStr">
        <is>
          <t>J-1008</t>
        </is>
      </c>
      <c r="B1012" s="47" t="n"/>
      <c r="C1012" s="94" t="n"/>
      <c r="D1012" s="38" t="n"/>
      <c r="E1012" s="38" t="n"/>
      <c r="F1012" s="38" t="n"/>
      <c r="G1012" s="38" t="n"/>
      <c r="H1012" s="38" t="n"/>
      <c r="I1012" s="57" t="n"/>
      <c r="J1012" s="95" t="n"/>
      <c r="K1012" s="95" t="n"/>
      <c r="L1012" s="48" t="n"/>
      <c r="M1012" s="96" t="n"/>
      <c r="N1012" s="48" t="n"/>
      <c r="O1012" s="38" t="n"/>
      <c r="P1012" s="38" t="n"/>
      <c r="Q1012" s="97">
        <f>IF(OR(F1012="",E1012=""),"",IFERROR(IF(INDEX('PROPERTIES'!$F$5:$F$404,MATCH(E1012,'PROPERTIES'!$B$5:$B$404,0))=0,"",ROUND((INDEX('PROPERTIES'!$F$5:$F$404,MATCH(E1012,'PROPERTIES'!$B$5:$B$404,0))/INDEX('PRICING'!$C$7:$C$16,MATCH(F1012,'PRICING'!$A$7:$A$16,0))+INDEX('PROPERTIES'!$G$5:$G$404,MATCH(E1012,'PROPERTIES'!$B$5:$B$404,0))*INDEX('PRICING'!$D$7:$D$16,MATCH(F1012,'PRICING'!$A$7:$A$16,0))/60+INDEX('PROPERTIES'!$H$5:$H$404,MATCH(E1012,'PROPERTIES'!$B$5:$B$404,0))*INDEX('PRICING'!$E$7:$E$16,MATCH(F1012,'PRICING'!$A$7:$A$16,0))/60+INDEX('PRICING'!$F$7:$F$16,MATCH(F1012,'PRICING'!$A$7:$A$16,0))/60),2)),""))</f>
        <v/>
      </c>
      <c r="R1012" s="97">
        <f>IF(B1012="","",IF(N(K1012)&gt;0,K1012,IF(N(J1012)&gt;0,J1012,N(Q1012))))</f>
        <v/>
      </c>
      <c r="S1012" s="55">
        <f>IF(L1012="","",ROUND(L1012*(1+N(M1012)),2))</f>
        <v/>
      </c>
      <c r="T1012" s="55">
        <f>IF(B1012="","",SUMIFS('REVENUE'!$C$5:$C$1504,'REVENUE'!$B$5:$B$1504,A1012))</f>
        <v/>
      </c>
      <c r="U1012" s="55">
        <f>IF(B1012="","",IF(O1012="Completed",MAX(0,N(S1012)-T1012),""))</f>
        <v/>
      </c>
      <c r="V1012" s="49">
        <f>IF(B1012="","",IF(O1012&lt;&gt;"Completed",IF(T1012&gt;0,"Deposit","—"),IF(U1012&lt;=0.005,"Paid",IF(T1012&gt;0,"Partial","Unpaid"))))</f>
        <v/>
      </c>
      <c r="W1012" s="55">
        <f>IF(B1012="","",IFERROR(1/(1/INDEX('STAFF &amp; TASKS'!$C$5:$C$24,MATCH(H1012,'STAFF &amp; TASKS'!$A$5:$A$24,0))),PayRate))</f>
        <v/>
      </c>
      <c r="X1012" s="55">
        <f>IF(B1012="","",IF(OR(O1012="Cancelled",O1012="No-Show"),"",ROUND(R1012*W1012*(1+Burden),2)))</f>
        <v/>
      </c>
      <c r="Y1012" s="55">
        <f>IF(B1012="","",IF(OR(O1012="Cancelled",O1012="No-Show"),"",IF(N1012&lt;&gt;"",N1012,ROUND(R1012*SupHr*IFERROR(INDEX('PRICING'!$G$7:$G$16,MATCH(F1012,'PRICING'!$A$7:$A$16,0)),1),2))))</f>
        <v/>
      </c>
      <c r="Z1012" s="98">
        <f>IF(B1012="","",SUMIFS('MILEAGE'!$J$5:$J$1504,'MILEAGE'!$B$5:$B$1504,A1012))</f>
        <v/>
      </c>
      <c r="AA1012" s="55">
        <f>IF(B1012="","",ROUND(Z1012*MileRate,2))</f>
        <v/>
      </c>
      <c r="AB1012" s="55">
        <f>IF(B1012="","",SUMIFS('REVENUE'!$J$5:$J$1504,'REVENUE'!$B$5:$B$1504,A1012))</f>
        <v/>
      </c>
      <c r="AC1012" s="55">
        <f>IF(L1012="","",IF(OR(O1012="Cancelled",O1012="No-Show"),"",L1012-N(X1012)-N(Y1012)-AA1012-AB1012))</f>
        <v/>
      </c>
      <c r="AD1012" s="99">
        <f>IF(OR(AC1012="",N(L1012)=0),"",AC1012/L1012)</f>
        <v/>
      </c>
      <c r="AE1012" s="55">
        <f>IF(OR(AC1012="",N(R1012)=0),"",L1012/R1012)</f>
        <v/>
      </c>
      <c r="AF1012" s="100">
        <f>IF(OR(N(K1012)=0,N(J1012)+N(Q1012)=0),"",K1012-IF(N(J1012)&gt;0,J1012,Q1012))</f>
        <v/>
      </c>
      <c r="AG1012" s="99">
        <f>IF(B1012="","",IFERROR(AVERAGEIFS('QUALITY CONTROL'!$M$5:$M$304,'QUALITY CONTROL'!$B$5:$B$304,A1012),""))</f>
        <v/>
      </c>
      <c r="AH1012" s="51">
        <f>IF(B1012="","",DATE(YEAR(B1012),MONTH(B1012),1))</f>
        <v/>
      </c>
      <c r="AI1012" s="49">
        <f>IF(D1012="","",IFERROR(INDEX('CUSTOMERS'!$E$5:$E$404,MATCH(D1012,'CUSTOMERS'!$B$5:$B$404,0)),""))</f>
        <v/>
      </c>
      <c r="AJ1012" s="49">
        <f>IF(B1012="","",N(C1012))</f>
        <v/>
      </c>
      <c r="AK1012" s="49">
        <f>IF(OR(B1012="",O1012="Cancelled",O1012="Rescheduled"),"",B1012&amp;"|"&amp;(COUNTIFS('JOBS'!$B$5:$B$1504,B1012,'JOBS'!$AJ$5:$AJ$1504,"&lt;"&amp;AJ1012,'JOBS'!$O$5:$O$1504,"&lt;&gt;Cancelled",'JOBS'!$O$5:$O$1504,"&lt;&gt;Rescheduled")+COUNTIFS($B$5:B1012,B1012,$AJ$5:AJ1012,AJ1012,$O$5:O1012,"&lt;&gt;Cancelled",$O$5:O1012,"&lt;&gt;Rescheduled")))</f>
        <v/>
      </c>
      <c r="AL1012" s="49">
        <f>IF(N(U1012)&lt;=0.005,"",COUNTIFS('JOBS'!$U$5:$U$1504,"&gt;0.005",'JOBS'!$B$5:$B$1504,"&lt;"&amp;B1012)+COUNTIFS($U$5:U1012,"&gt;0.005",$B$5:B1012,B1012))</f>
        <v/>
      </c>
    </row>
    <row r="1013">
      <c r="A1013" s="46" t="inlineStr">
        <is>
          <t>J-1009</t>
        </is>
      </c>
      <c r="B1013" s="47" t="n"/>
      <c r="C1013" s="94" t="n"/>
      <c r="D1013" s="38" t="n"/>
      <c r="E1013" s="38" t="n"/>
      <c r="F1013" s="38" t="n"/>
      <c r="G1013" s="38" t="n"/>
      <c r="H1013" s="38" t="n"/>
      <c r="I1013" s="57" t="n"/>
      <c r="J1013" s="95" t="n"/>
      <c r="K1013" s="95" t="n"/>
      <c r="L1013" s="48" t="n"/>
      <c r="M1013" s="96" t="n"/>
      <c r="N1013" s="48" t="n"/>
      <c r="O1013" s="38" t="n"/>
      <c r="P1013" s="38" t="n"/>
      <c r="Q1013" s="97">
        <f>IF(OR(F1013="",E1013=""),"",IFERROR(IF(INDEX('PROPERTIES'!$F$5:$F$404,MATCH(E1013,'PROPERTIES'!$B$5:$B$404,0))=0,"",ROUND((INDEX('PROPERTIES'!$F$5:$F$404,MATCH(E1013,'PROPERTIES'!$B$5:$B$404,0))/INDEX('PRICING'!$C$7:$C$16,MATCH(F1013,'PRICING'!$A$7:$A$16,0))+INDEX('PROPERTIES'!$G$5:$G$404,MATCH(E1013,'PROPERTIES'!$B$5:$B$404,0))*INDEX('PRICING'!$D$7:$D$16,MATCH(F1013,'PRICING'!$A$7:$A$16,0))/60+INDEX('PROPERTIES'!$H$5:$H$404,MATCH(E1013,'PROPERTIES'!$B$5:$B$404,0))*INDEX('PRICING'!$E$7:$E$16,MATCH(F1013,'PRICING'!$A$7:$A$16,0))/60+INDEX('PRICING'!$F$7:$F$16,MATCH(F1013,'PRICING'!$A$7:$A$16,0))/60),2)),""))</f>
        <v/>
      </c>
      <c r="R1013" s="97">
        <f>IF(B1013="","",IF(N(K1013)&gt;0,K1013,IF(N(J1013)&gt;0,J1013,N(Q1013))))</f>
        <v/>
      </c>
      <c r="S1013" s="55">
        <f>IF(L1013="","",ROUND(L1013*(1+N(M1013)),2))</f>
        <v/>
      </c>
      <c r="T1013" s="55">
        <f>IF(B1013="","",SUMIFS('REVENUE'!$C$5:$C$1504,'REVENUE'!$B$5:$B$1504,A1013))</f>
        <v/>
      </c>
      <c r="U1013" s="55">
        <f>IF(B1013="","",IF(O1013="Completed",MAX(0,N(S1013)-T1013),""))</f>
        <v/>
      </c>
      <c r="V1013" s="49">
        <f>IF(B1013="","",IF(O1013&lt;&gt;"Completed",IF(T1013&gt;0,"Deposit","—"),IF(U1013&lt;=0.005,"Paid",IF(T1013&gt;0,"Partial","Unpaid"))))</f>
        <v/>
      </c>
      <c r="W1013" s="55">
        <f>IF(B1013="","",IFERROR(1/(1/INDEX('STAFF &amp; TASKS'!$C$5:$C$24,MATCH(H1013,'STAFF &amp; TASKS'!$A$5:$A$24,0))),PayRate))</f>
        <v/>
      </c>
      <c r="X1013" s="55">
        <f>IF(B1013="","",IF(OR(O1013="Cancelled",O1013="No-Show"),"",ROUND(R1013*W1013*(1+Burden),2)))</f>
        <v/>
      </c>
      <c r="Y1013" s="55">
        <f>IF(B1013="","",IF(OR(O1013="Cancelled",O1013="No-Show"),"",IF(N1013&lt;&gt;"",N1013,ROUND(R1013*SupHr*IFERROR(INDEX('PRICING'!$G$7:$G$16,MATCH(F1013,'PRICING'!$A$7:$A$16,0)),1),2))))</f>
        <v/>
      </c>
      <c r="Z1013" s="98">
        <f>IF(B1013="","",SUMIFS('MILEAGE'!$J$5:$J$1504,'MILEAGE'!$B$5:$B$1504,A1013))</f>
        <v/>
      </c>
      <c r="AA1013" s="55">
        <f>IF(B1013="","",ROUND(Z1013*MileRate,2))</f>
        <v/>
      </c>
      <c r="AB1013" s="55">
        <f>IF(B1013="","",SUMIFS('REVENUE'!$J$5:$J$1504,'REVENUE'!$B$5:$B$1504,A1013))</f>
        <v/>
      </c>
      <c r="AC1013" s="55">
        <f>IF(L1013="","",IF(OR(O1013="Cancelled",O1013="No-Show"),"",L1013-N(X1013)-N(Y1013)-AA1013-AB1013))</f>
        <v/>
      </c>
      <c r="AD1013" s="99">
        <f>IF(OR(AC1013="",N(L1013)=0),"",AC1013/L1013)</f>
        <v/>
      </c>
      <c r="AE1013" s="55">
        <f>IF(OR(AC1013="",N(R1013)=0),"",L1013/R1013)</f>
        <v/>
      </c>
      <c r="AF1013" s="100">
        <f>IF(OR(N(K1013)=0,N(J1013)+N(Q1013)=0),"",K1013-IF(N(J1013)&gt;0,J1013,Q1013))</f>
        <v/>
      </c>
      <c r="AG1013" s="99">
        <f>IF(B1013="","",IFERROR(AVERAGEIFS('QUALITY CONTROL'!$M$5:$M$304,'QUALITY CONTROL'!$B$5:$B$304,A1013),""))</f>
        <v/>
      </c>
      <c r="AH1013" s="51">
        <f>IF(B1013="","",DATE(YEAR(B1013),MONTH(B1013),1))</f>
        <v/>
      </c>
      <c r="AI1013" s="49">
        <f>IF(D1013="","",IFERROR(INDEX('CUSTOMERS'!$E$5:$E$404,MATCH(D1013,'CUSTOMERS'!$B$5:$B$404,0)),""))</f>
        <v/>
      </c>
      <c r="AJ1013" s="49">
        <f>IF(B1013="","",N(C1013))</f>
        <v/>
      </c>
      <c r="AK1013" s="49">
        <f>IF(OR(B1013="",O1013="Cancelled",O1013="Rescheduled"),"",B1013&amp;"|"&amp;(COUNTIFS('JOBS'!$B$5:$B$1504,B1013,'JOBS'!$AJ$5:$AJ$1504,"&lt;"&amp;AJ1013,'JOBS'!$O$5:$O$1504,"&lt;&gt;Cancelled",'JOBS'!$O$5:$O$1504,"&lt;&gt;Rescheduled")+COUNTIFS($B$5:B1013,B1013,$AJ$5:AJ1013,AJ1013,$O$5:O1013,"&lt;&gt;Cancelled",$O$5:O1013,"&lt;&gt;Rescheduled")))</f>
        <v/>
      </c>
      <c r="AL1013" s="49">
        <f>IF(N(U1013)&lt;=0.005,"",COUNTIFS('JOBS'!$U$5:$U$1504,"&gt;0.005",'JOBS'!$B$5:$B$1504,"&lt;"&amp;B1013)+COUNTIFS($U$5:U1013,"&gt;0.005",$B$5:B1013,B1013))</f>
        <v/>
      </c>
    </row>
    <row r="1014">
      <c r="A1014" s="46" t="inlineStr">
        <is>
          <t>J-1010</t>
        </is>
      </c>
      <c r="B1014" s="47" t="n"/>
      <c r="C1014" s="94" t="n"/>
      <c r="D1014" s="38" t="n"/>
      <c r="E1014" s="38" t="n"/>
      <c r="F1014" s="38" t="n"/>
      <c r="G1014" s="38" t="n"/>
      <c r="H1014" s="38" t="n"/>
      <c r="I1014" s="57" t="n"/>
      <c r="J1014" s="95" t="n"/>
      <c r="K1014" s="95" t="n"/>
      <c r="L1014" s="48" t="n"/>
      <c r="M1014" s="96" t="n"/>
      <c r="N1014" s="48" t="n"/>
      <c r="O1014" s="38" t="n"/>
      <c r="P1014" s="38" t="n"/>
      <c r="Q1014" s="97">
        <f>IF(OR(F1014="",E1014=""),"",IFERROR(IF(INDEX('PROPERTIES'!$F$5:$F$404,MATCH(E1014,'PROPERTIES'!$B$5:$B$404,0))=0,"",ROUND((INDEX('PROPERTIES'!$F$5:$F$404,MATCH(E1014,'PROPERTIES'!$B$5:$B$404,0))/INDEX('PRICING'!$C$7:$C$16,MATCH(F1014,'PRICING'!$A$7:$A$16,0))+INDEX('PROPERTIES'!$G$5:$G$404,MATCH(E1014,'PROPERTIES'!$B$5:$B$404,0))*INDEX('PRICING'!$D$7:$D$16,MATCH(F1014,'PRICING'!$A$7:$A$16,0))/60+INDEX('PROPERTIES'!$H$5:$H$404,MATCH(E1014,'PROPERTIES'!$B$5:$B$404,0))*INDEX('PRICING'!$E$7:$E$16,MATCH(F1014,'PRICING'!$A$7:$A$16,0))/60+INDEX('PRICING'!$F$7:$F$16,MATCH(F1014,'PRICING'!$A$7:$A$16,0))/60),2)),""))</f>
        <v/>
      </c>
      <c r="R1014" s="97">
        <f>IF(B1014="","",IF(N(K1014)&gt;0,K1014,IF(N(J1014)&gt;0,J1014,N(Q1014))))</f>
        <v/>
      </c>
      <c r="S1014" s="55">
        <f>IF(L1014="","",ROUND(L1014*(1+N(M1014)),2))</f>
        <v/>
      </c>
      <c r="T1014" s="55">
        <f>IF(B1014="","",SUMIFS('REVENUE'!$C$5:$C$1504,'REVENUE'!$B$5:$B$1504,A1014))</f>
        <v/>
      </c>
      <c r="U1014" s="55">
        <f>IF(B1014="","",IF(O1014="Completed",MAX(0,N(S1014)-T1014),""))</f>
        <v/>
      </c>
      <c r="V1014" s="49">
        <f>IF(B1014="","",IF(O1014&lt;&gt;"Completed",IF(T1014&gt;0,"Deposit","—"),IF(U1014&lt;=0.005,"Paid",IF(T1014&gt;0,"Partial","Unpaid"))))</f>
        <v/>
      </c>
      <c r="W1014" s="55">
        <f>IF(B1014="","",IFERROR(1/(1/INDEX('STAFF &amp; TASKS'!$C$5:$C$24,MATCH(H1014,'STAFF &amp; TASKS'!$A$5:$A$24,0))),PayRate))</f>
        <v/>
      </c>
      <c r="X1014" s="55">
        <f>IF(B1014="","",IF(OR(O1014="Cancelled",O1014="No-Show"),"",ROUND(R1014*W1014*(1+Burden),2)))</f>
        <v/>
      </c>
      <c r="Y1014" s="55">
        <f>IF(B1014="","",IF(OR(O1014="Cancelled",O1014="No-Show"),"",IF(N1014&lt;&gt;"",N1014,ROUND(R1014*SupHr*IFERROR(INDEX('PRICING'!$G$7:$G$16,MATCH(F1014,'PRICING'!$A$7:$A$16,0)),1),2))))</f>
        <v/>
      </c>
      <c r="Z1014" s="98">
        <f>IF(B1014="","",SUMIFS('MILEAGE'!$J$5:$J$1504,'MILEAGE'!$B$5:$B$1504,A1014))</f>
        <v/>
      </c>
      <c r="AA1014" s="55">
        <f>IF(B1014="","",ROUND(Z1014*MileRate,2))</f>
        <v/>
      </c>
      <c r="AB1014" s="55">
        <f>IF(B1014="","",SUMIFS('REVENUE'!$J$5:$J$1504,'REVENUE'!$B$5:$B$1504,A1014))</f>
        <v/>
      </c>
      <c r="AC1014" s="55">
        <f>IF(L1014="","",IF(OR(O1014="Cancelled",O1014="No-Show"),"",L1014-N(X1014)-N(Y1014)-AA1014-AB1014))</f>
        <v/>
      </c>
      <c r="AD1014" s="99">
        <f>IF(OR(AC1014="",N(L1014)=0),"",AC1014/L1014)</f>
        <v/>
      </c>
      <c r="AE1014" s="55">
        <f>IF(OR(AC1014="",N(R1014)=0),"",L1014/R1014)</f>
        <v/>
      </c>
      <c r="AF1014" s="100">
        <f>IF(OR(N(K1014)=0,N(J1014)+N(Q1014)=0),"",K1014-IF(N(J1014)&gt;0,J1014,Q1014))</f>
        <v/>
      </c>
      <c r="AG1014" s="99">
        <f>IF(B1014="","",IFERROR(AVERAGEIFS('QUALITY CONTROL'!$M$5:$M$304,'QUALITY CONTROL'!$B$5:$B$304,A1014),""))</f>
        <v/>
      </c>
      <c r="AH1014" s="51">
        <f>IF(B1014="","",DATE(YEAR(B1014),MONTH(B1014),1))</f>
        <v/>
      </c>
      <c r="AI1014" s="49">
        <f>IF(D1014="","",IFERROR(INDEX('CUSTOMERS'!$E$5:$E$404,MATCH(D1014,'CUSTOMERS'!$B$5:$B$404,0)),""))</f>
        <v/>
      </c>
      <c r="AJ1014" s="49">
        <f>IF(B1014="","",N(C1014))</f>
        <v/>
      </c>
      <c r="AK1014" s="49">
        <f>IF(OR(B1014="",O1014="Cancelled",O1014="Rescheduled"),"",B1014&amp;"|"&amp;(COUNTIFS('JOBS'!$B$5:$B$1504,B1014,'JOBS'!$AJ$5:$AJ$1504,"&lt;"&amp;AJ1014,'JOBS'!$O$5:$O$1504,"&lt;&gt;Cancelled",'JOBS'!$O$5:$O$1504,"&lt;&gt;Rescheduled")+COUNTIFS($B$5:B1014,B1014,$AJ$5:AJ1014,AJ1014,$O$5:O1014,"&lt;&gt;Cancelled",$O$5:O1014,"&lt;&gt;Rescheduled")))</f>
        <v/>
      </c>
      <c r="AL1014" s="49">
        <f>IF(N(U1014)&lt;=0.005,"",COUNTIFS('JOBS'!$U$5:$U$1504,"&gt;0.005",'JOBS'!$B$5:$B$1504,"&lt;"&amp;B1014)+COUNTIFS($U$5:U1014,"&gt;0.005",$B$5:B1014,B1014))</f>
        <v/>
      </c>
    </row>
    <row r="1015">
      <c r="A1015" s="46" t="inlineStr">
        <is>
          <t>J-1011</t>
        </is>
      </c>
      <c r="B1015" s="47" t="n"/>
      <c r="C1015" s="94" t="n"/>
      <c r="D1015" s="38" t="n"/>
      <c r="E1015" s="38" t="n"/>
      <c r="F1015" s="38" t="n"/>
      <c r="G1015" s="38" t="n"/>
      <c r="H1015" s="38" t="n"/>
      <c r="I1015" s="57" t="n"/>
      <c r="J1015" s="95" t="n"/>
      <c r="K1015" s="95" t="n"/>
      <c r="L1015" s="48" t="n"/>
      <c r="M1015" s="96" t="n"/>
      <c r="N1015" s="48" t="n"/>
      <c r="O1015" s="38" t="n"/>
      <c r="P1015" s="38" t="n"/>
      <c r="Q1015" s="97">
        <f>IF(OR(F1015="",E1015=""),"",IFERROR(IF(INDEX('PROPERTIES'!$F$5:$F$404,MATCH(E1015,'PROPERTIES'!$B$5:$B$404,0))=0,"",ROUND((INDEX('PROPERTIES'!$F$5:$F$404,MATCH(E1015,'PROPERTIES'!$B$5:$B$404,0))/INDEX('PRICING'!$C$7:$C$16,MATCH(F1015,'PRICING'!$A$7:$A$16,0))+INDEX('PROPERTIES'!$G$5:$G$404,MATCH(E1015,'PROPERTIES'!$B$5:$B$404,0))*INDEX('PRICING'!$D$7:$D$16,MATCH(F1015,'PRICING'!$A$7:$A$16,0))/60+INDEX('PROPERTIES'!$H$5:$H$404,MATCH(E1015,'PROPERTIES'!$B$5:$B$404,0))*INDEX('PRICING'!$E$7:$E$16,MATCH(F1015,'PRICING'!$A$7:$A$16,0))/60+INDEX('PRICING'!$F$7:$F$16,MATCH(F1015,'PRICING'!$A$7:$A$16,0))/60),2)),""))</f>
        <v/>
      </c>
      <c r="R1015" s="97">
        <f>IF(B1015="","",IF(N(K1015)&gt;0,K1015,IF(N(J1015)&gt;0,J1015,N(Q1015))))</f>
        <v/>
      </c>
      <c r="S1015" s="55">
        <f>IF(L1015="","",ROUND(L1015*(1+N(M1015)),2))</f>
        <v/>
      </c>
      <c r="T1015" s="55">
        <f>IF(B1015="","",SUMIFS('REVENUE'!$C$5:$C$1504,'REVENUE'!$B$5:$B$1504,A1015))</f>
        <v/>
      </c>
      <c r="U1015" s="55">
        <f>IF(B1015="","",IF(O1015="Completed",MAX(0,N(S1015)-T1015),""))</f>
        <v/>
      </c>
      <c r="V1015" s="49">
        <f>IF(B1015="","",IF(O1015&lt;&gt;"Completed",IF(T1015&gt;0,"Deposit","—"),IF(U1015&lt;=0.005,"Paid",IF(T1015&gt;0,"Partial","Unpaid"))))</f>
        <v/>
      </c>
      <c r="W1015" s="55">
        <f>IF(B1015="","",IFERROR(1/(1/INDEX('STAFF &amp; TASKS'!$C$5:$C$24,MATCH(H1015,'STAFF &amp; TASKS'!$A$5:$A$24,0))),PayRate))</f>
        <v/>
      </c>
      <c r="X1015" s="55">
        <f>IF(B1015="","",IF(OR(O1015="Cancelled",O1015="No-Show"),"",ROUND(R1015*W1015*(1+Burden),2)))</f>
        <v/>
      </c>
      <c r="Y1015" s="55">
        <f>IF(B1015="","",IF(OR(O1015="Cancelled",O1015="No-Show"),"",IF(N1015&lt;&gt;"",N1015,ROUND(R1015*SupHr*IFERROR(INDEX('PRICING'!$G$7:$G$16,MATCH(F1015,'PRICING'!$A$7:$A$16,0)),1),2))))</f>
        <v/>
      </c>
      <c r="Z1015" s="98">
        <f>IF(B1015="","",SUMIFS('MILEAGE'!$J$5:$J$1504,'MILEAGE'!$B$5:$B$1504,A1015))</f>
        <v/>
      </c>
      <c r="AA1015" s="55">
        <f>IF(B1015="","",ROUND(Z1015*MileRate,2))</f>
        <v/>
      </c>
      <c r="AB1015" s="55">
        <f>IF(B1015="","",SUMIFS('REVENUE'!$J$5:$J$1504,'REVENUE'!$B$5:$B$1504,A1015))</f>
        <v/>
      </c>
      <c r="AC1015" s="55">
        <f>IF(L1015="","",IF(OR(O1015="Cancelled",O1015="No-Show"),"",L1015-N(X1015)-N(Y1015)-AA1015-AB1015))</f>
        <v/>
      </c>
      <c r="AD1015" s="99">
        <f>IF(OR(AC1015="",N(L1015)=0),"",AC1015/L1015)</f>
        <v/>
      </c>
      <c r="AE1015" s="55">
        <f>IF(OR(AC1015="",N(R1015)=0),"",L1015/R1015)</f>
        <v/>
      </c>
      <c r="AF1015" s="100">
        <f>IF(OR(N(K1015)=0,N(J1015)+N(Q1015)=0),"",K1015-IF(N(J1015)&gt;0,J1015,Q1015))</f>
        <v/>
      </c>
      <c r="AG1015" s="99">
        <f>IF(B1015="","",IFERROR(AVERAGEIFS('QUALITY CONTROL'!$M$5:$M$304,'QUALITY CONTROL'!$B$5:$B$304,A1015),""))</f>
        <v/>
      </c>
      <c r="AH1015" s="51">
        <f>IF(B1015="","",DATE(YEAR(B1015),MONTH(B1015),1))</f>
        <v/>
      </c>
      <c r="AI1015" s="49">
        <f>IF(D1015="","",IFERROR(INDEX('CUSTOMERS'!$E$5:$E$404,MATCH(D1015,'CUSTOMERS'!$B$5:$B$404,0)),""))</f>
        <v/>
      </c>
      <c r="AJ1015" s="49">
        <f>IF(B1015="","",N(C1015))</f>
        <v/>
      </c>
      <c r="AK1015" s="49">
        <f>IF(OR(B1015="",O1015="Cancelled",O1015="Rescheduled"),"",B1015&amp;"|"&amp;(COUNTIFS('JOBS'!$B$5:$B$1504,B1015,'JOBS'!$AJ$5:$AJ$1504,"&lt;"&amp;AJ1015,'JOBS'!$O$5:$O$1504,"&lt;&gt;Cancelled",'JOBS'!$O$5:$O$1504,"&lt;&gt;Rescheduled")+COUNTIFS($B$5:B1015,B1015,$AJ$5:AJ1015,AJ1015,$O$5:O1015,"&lt;&gt;Cancelled",$O$5:O1015,"&lt;&gt;Rescheduled")))</f>
        <v/>
      </c>
      <c r="AL1015" s="49">
        <f>IF(N(U1015)&lt;=0.005,"",COUNTIFS('JOBS'!$U$5:$U$1504,"&gt;0.005",'JOBS'!$B$5:$B$1504,"&lt;"&amp;B1015)+COUNTIFS($U$5:U1015,"&gt;0.005",$B$5:B1015,B1015))</f>
        <v/>
      </c>
    </row>
    <row r="1016">
      <c r="A1016" s="46" t="inlineStr">
        <is>
          <t>J-1012</t>
        </is>
      </c>
      <c r="B1016" s="47" t="n"/>
      <c r="C1016" s="94" t="n"/>
      <c r="D1016" s="38" t="n"/>
      <c r="E1016" s="38" t="n"/>
      <c r="F1016" s="38" t="n"/>
      <c r="G1016" s="38" t="n"/>
      <c r="H1016" s="38" t="n"/>
      <c r="I1016" s="57" t="n"/>
      <c r="J1016" s="95" t="n"/>
      <c r="K1016" s="95" t="n"/>
      <c r="L1016" s="48" t="n"/>
      <c r="M1016" s="96" t="n"/>
      <c r="N1016" s="48" t="n"/>
      <c r="O1016" s="38" t="n"/>
      <c r="P1016" s="38" t="n"/>
      <c r="Q1016" s="97">
        <f>IF(OR(F1016="",E1016=""),"",IFERROR(IF(INDEX('PROPERTIES'!$F$5:$F$404,MATCH(E1016,'PROPERTIES'!$B$5:$B$404,0))=0,"",ROUND((INDEX('PROPERTIES'!$F$5:$F$404,MATCH(E1016,'PROPERTIES'!$B$5:$B$404,0))/INDEX('PRICING'!$C$7:$C$16,MATCH(F1016,'PRICING'!$A$7:$A$16,0))+INDEX('PROPERTIES'!$G$5:$G$404,MATCH(E1016,'PROPERTIES'!$B$5:$B$404,0))*INDEX('PRICING'!$D$7:$D$16,MATCH(F1016,'PRICING'!$A$7:$A$16,0))/60+INDEX('PROPERTIES'!$H$5:$H$404,MATCH(E1016,'PROPERTIES'!$B$5:$B$404,0))*INDEX('PRICING'!$E$7:$E$16,MATCH(F1016,'PRICING'!$A$7:$A$16,0))/60+INDEX('PRICING'!$F$7:$F$16,MATCH(F1016,'PRICING'!$A$7:$A$16,0))/60),2)),""))</f>
        <v/>
      </c>
      <c r="R1016" s="97">
        <f>IF(B1016="","",IF(N(K1016)&gt;0,K1016,IF(N(J1016)&gt;0,J1016,N(Q1016))))</f>
        <v/>
      </c>
      <c r="S1016" s="55">
        <f>IF(L1016="","",ROUND(L1016*(1+N(M1016)),2))</f>
        <v/>
      </c>
      <c r="T1016" s="55">
        <f>IF(B1016="","",SUMIFS('REVENUE'!$C$5:$C$1504,'REVENUE'!$B$5:$B$1504,A1016))</f>
        <v/>
      </c>
      <c r="U1016" s="55">
        <f>IF(B1016="","",IF(O1016="Completed",MAX(0,N(S1016)-T1016),""))</f>
        <v/>
      </c>
      <c r="V1016" s="49">
        <f>IF(B1016="","",IF(O1016&lt;&gt;"Completed",IF(T1016&gt;0,"Deposit","—"),IF(U1016&lt;=0.005,"Paid",IF(T1016&gt;0,"Partial","Unpaid"))))</f>
        <v/>
      </c>
      <c r="W1016" s="55">
        <f>IF(B1016="","",IFERROR(1/(1/INDEX('STAFF &amp; TASKS'!$C$5:$C$24,MATCH(H1016,'STAFF &amp; TASKS'!$A$5:$A$24,0))),PayRate))</f>
        <v/>
      </c>
      <c r="X1016" s="55">
        <f>IF(B1016="","",IF(OR(O1016="Cancelled",O1016="No-Show"),"",ROUND(R1016*W1016*(1+Burden),2)))</f>
        <v/>
      </c>
      <c r="Y1016" s="55">
        <f>IF(B1016="","",IF(OR(O1016="Cancelled",O1016="No-Show"),"",IF(N1016&lt;&gt;"",N1016,ROUND(R1016*SupHr*IFERROR(INDEX('PRICING'!$G$7:$G$16,MATCH(F1016,'PRICING'!$A$7:$A$16,0)),1),2))))</f>
        <v/>
      </c>
      <c r="Z1016" s="98">
        <f>IF(B1016="","",SUMIFS('MILEAGE'!$J$5:$J$1504,'MILEAGE'!$B$5:$B$1504,A1016))</f>
        <v/>
      </c>
      <c r="AA1016" s="55">
        <f>IF(B1016="","",ROUND(Z1016*MileRate,2))</f>
        <v/>
      </c>
      <c r="AB1016" s="55">
        <f>IF(B1016="","",SUMIFS('REVENUE'!$J$5:$J$1504,'REVENUE'!$B$5:$B$1504,A1016))</f>
        <v/>
      </c>
      <c r="AC1016" s="55">
        <f>IF(L1016="","",IF(OR(O1016="Cancelled",O1016="No-Show"),"",L1016-N(X1016)-N(Y1016)-AA1016-AB1016))</f>
        <v/>
      </c>
      <c r="AD1016" s="99">
        <f>IF(OR(AC1016="",N(L1016)=0),"",AC1016/L1016)</f>
        <v/>
      </c>
      <c r="AE1016" s="55">
        <f>IF(OR(AC1016="",N(R1016)=0),"",L1016/R1016)</f>
        <v/>
      </c>
      <c r="AF1016" s="100">
        <f>IF(OR(N(K1016)=0,N(J1016)+N(Q1016)=0),"",K1016-IF(N(J1016)&gt;0,J1016,Q1016))</f>
        <v/>
      </c>
      <c r="AG1016" s="99">
        <f>IF(B1016="","",IFERROR(AVERAGEIFS('QUALITY CONTROL'!$M$5:$M$304,'QUALITY CONTROL'!$B$5:$B$304,A1016),""))</f>
        <v/>
      </c>
      <c r="AH1016" s="51">
        <f>IF(B1016="","",DATE(YEAR(B1016),MONTH(B1016),1))</f>
        <v/>
      </c>
      <c r="AI1016" s="49">
        <f>IF(D1016="","",IFERROR(INDEX('CUSTOMERS'!$E$5:$E$404,MATCH(D1016,'CUSTOMERS'!$B$5:$B$404,0)),""))</f>
        <v/>
      </c>
      <c r="AJ1016" s="49">
        <f>IF(B1016="","",N(C1016))</f>
        <v/>
      </c>
      <c r="AK1016" s="49">
        <f>IF(OR(B1016="",O1016="Cancelled",O1016="Rescheduled"),"",B1016&amp;"|"&amp;(COUNTIFS('JOBS'!$B$5:$B$1504,B1016,'JOBS'!$AJ$5:$AJ$1504,"&lt;"&amp;AJ1016,'JOBS'!$O$5:$O$1504,"&lt;&gt;Cancelled",'JOBS'!$O$5:$O$1504,"&lt;&gt;Rescheduled")+COUNTIFS($B$5:B1016,B1016,$AJ$5:AJ1016,AJ1016,$O$5:O1016,"&lt;&gt;Cancelled",$O$5:O1016,"&lt;&gt;Rescheduled")))</f>
        <v/>
      </c>
      <c r="AL1016" s="49">
        <f>IF(N(U1016)&lt;=0.005,"",COUNTIFS('JOBS'!$U$5:$U$1504,"&gt;0.005",'JOBS'!$B$5:$B$1504,"&lt;"&amp;B1016)+COUNTIFS($U$5:U1016,"&gt;0.005",$B$5:B1016,B1016))</f>
        <v/>
      </c>
    </row>
    <row r="1017">
      <c r="A1017" s="46" t="inlineStr">
        <is>
          <t>J-1013</t>
        </is>
      </c>
      <c r="B1017" s="47" t="n"/>
      <c r="C1017" s="94" t="n"/>
      <c r="D1017" s="38" t="n"/>
      <c r="E1017" s="38" t="n"/>
      <c r="F1017" s="38" t="n"/>
      <c r="G1017" s="38" t="n"/>
      <c r="H1017" s="38" t="n"/>
      <c r="I1017" s="57" t="n"/>
      <c r="J1017" s="95" t="n"/>
      <c r="K1017" s="95" t="n"/>
      <c r="L1017" s="48" t="n"/>
      <c r="M1017" s="96" t="n"/>
      <c r="N1017" s="48" t="n"/>
      <c r="O1017" s="38" t="n"/>
      <c r="P1017" s="38" t="n"/>
      <c r="Q1017" s="97">
        <f>IF(OR(F1017="",E1017=""),"",IFERROR(IF(INDEX('PROPERTIES'!$F$5:$F$404,MATCH(E1017,'PROPERTIES'!$B$5:$B$404,0))=0,"",ROUND((INDEX('PROPERTIES'!$F$5:$F$404,MATCH(E1017,'PROPERTIES'!$B$5:$B$404,0))/INDEX('PRICING'!$C$7:$C$16,MATCH(F1017,'PRICING'!$A$7:$A$16,0))+INDEX('PROPERTIES'!$G$5:$G$404,MATCH(E1017,'PROPERTIES'!$B$5:$B$404,0))*INDEX('PRICING'!$D$7:$D$16,MATCH(F1017,'PRICING'!$A$7:$A$16,0))/60+INDEX('PROPERTIES'!$H$5:$H$404,MATCH(E1017,'PROPERTIES'!$B$5:$B$404,0))*INDEX('PRICING'!$E$7:$E$16,MATCH(F1017,'PRICING'!$A$7:$A$16,0))/60+INDEX('PRICING'!$F$7:$F$16,MATCH(F1017,'PRICING'!$A$7:$A$16,0))/60),2)),""))</f>
        <v/>
      </c>
      <c r="R1017" s="97">
        <f>IF(B1017="","",IF(N(K1017)&gt;0,K1017,IF(N(J1017)&gt;0,J1017,N(Q1017))))</f>
        <v/>
      </c>
      <c r="S1017" s="55">
        <f>IF(L1017="","",ROUND(L1017*(1+N(M1017)),2))</f>
        <v/>
      </c>
      <c r="T1017" s="55">
        <f>IF(B1017="","",SUMIFS('REVENUE'!$C$5:$C$1504,'REVENUE'!$B$5:$B$1504,A1017))</f>
        <v/>
      </c>
      <c r="U1017" s="55">
        <f>IF(B1017="","",IF(O1017="Completed",MAX(0,N(S1017)-T1017),""))</f>
        <v/>
      </c>
      <c r="V1017" s="49">
        <f>IF(B1017="","",IF(O1017&lt;&gt;"Completed",IF(T1017&gt;0,"Deposit","—"),IF(U1017&lt;=0.005,"Paid",IF(T1017&gt;0,"Partial","Unpaid"))))</f>
        <v/>
      </c>
      <c r="W1017" s="55">
        <f>IF(B1017="","",IFERROR(1/(1/INDEX('STAFF &amp; TASKS'!$C$5:$C$24,MATCH(H1017,'STAFF &amp; TASKS'!$A$5:$A$24,0))),PayRate))</f>
        <v/>
      </c>
      <c r="X1017" s="55">
        <f>IF(B1017="","",IF(OR(O1017="Cancelled",O1017="No-Show"),"",ROUND(R1017*W1017*(1+Burden),2)))</f>
        <v/>
      </c>
      <c r="Y1017" s="55">
        <f>IF(B1017="","",IF(OR(O1017="Cancelled",O1017="No-Show"),"",IF(N1017&lt;&gt;"",N1017,ROUND(R1017*SupHr*IFERROR(INDEX('PRICING'!$G$7:$G$16,MATCH(F1017,'PRICING'!$A$7:$A$16,0)),1),2))))</f>
        <v/>
      </c>
      <c r="Z1017" s="98">
        <f>IF(B1017="","",SUMIFS('MILEAGE'!$J$5:$J$1504,'MILEAGE'!$B$5:$B$1504,A1017))</f>
        <v/>
      </c>
      <c r="AA1017" s="55">
        <f>IF(B1017="","",ROUND(Z1017*MileRate,2))</f>
        <v/>
      </c>
      <c r="AB1017" s="55">
        <f>IF(B1017="","",SUMIFS('REVENUE'!$J$5:$J$1504,'REVENUE'!$B$5:$B$1504,A1017))</f>
        <v/>
      </c>
      <c r="AC1017" s="55">
        <f>IF(L1017="","",IF(OR(O1017="Cancelled",O1017="No-Show"),"",L1017-N(X1017)-N(Y1017)-AA1017-AB1017))</f>
        <v/>
      </c>
      <c r="AD1017" s="99">
        <f>IF(OR(AC1017="",N(L1017)=0),"",AC1017/L1017)</f>
        <v/>
      </c>
      <c r="AE1017" s="55">
        <f>IF(OR(AC1017="",N(R1017)=0),"",L1017/R1017)</f>
        <v/>
      </c>
      <c r="AF1017" s="100">
        <f>IF(OR(N(K1017)=0,N(J1017)+N(Q1017)=0),"",K1017-IF(N(J1017)&gt;0,J1017,Q1017))</f>
        <v/>
      </c>
      <c r="AG1017" s="99">
        <f>IF(B1017="","",IFERROR(AVERAGEIFS('QUALITY CONTROL'!$M$5:$M$304,'QUALITY CONTROL'!$B$5:$B$304,A1017),""))</f>
        <v/>
      </c>
      <c r="AH1017" s="51">
        <f>IF(B1017="","",DATE(YEAR(B1017),MONTH(B1017),1))</f>
        <v/>
      </c>
      <c r="AI1017" s="49">
        <f>IF(D1017="","",IFERROR(INDEX('CUSTOMERS'!$E$5:$E$404,MATCH(D1017,'CUSTOMERS'!$B$5:$B$404,0)),""))</f>
        <v/>
      </c>
      <c r="AJ1017" s="49">
        <f>IF(B1017="","",N(C1017))</f>
        <v/>
      </c>
      <c r="AK1017" s="49">
        <f>IF(OR(B1017="",O1017="Cancelled",O1017="Rescheduled"),"",B1017&amp;"|"&amp;(COUNTIFS('JOBS'!$B$5:$B$1504,B1017,'JOBS'!$AJ$5:$AJ$1504,"&lt;"&amp;AJ1017,'JOBS'!$O$5:$O$1504,"&lt;&gt;Cancelled",'JOBS'!$O$5:$O$1504,"&lt;&gt;Rescheduled")+COUNTIFS($B$5:B1017,B1017,$AJ$5:AJ1017,AJ1017,$O$5:O1017,"&lt;&gt;Cancelled",$O$5:O1017,"&lt;&gt;Rescheduled")))</f>
        <v/>
      </c>
      <c r="AL1017" s="49">
        <f>IF(N(U1017)&lt;=0.005,"",COUNTIFS('JOBS'!$U$5:$U$1504,"&gt;0.005",'JOBS'!$B$5:$B$1504,"&lt;"&amp;B1017)+COUNTIFS($U$5:U1017,"&gt;0.005",$B$5:B1017,B1017))</f>
        <v/>
      </c>
    </row>
    <row r="1018">
      <c r="A1018" s="46" t="inlineStr">
        <is>
          <t>J-1014</t>
        </is>
      </c>
      <c r="B1018" s="47" t="n"/>
      <c r="C1018" s="94" t="n"/>
      <c r="D1018" s="38" t="n"/>
      <c r="E1018" s="38" t="n"/>
      <c r="F1018" s="38" t="n"/>
      <c r="G1018" s="38" t="n"/>
      <c r="H1018" s="38" t="n"/>
      <c r="I1018" s="57" t="n"/>
      <c r="J1018" s="95" t="n"/>
      <c r="K1018" s="95" t="n"/>
      <c r="L1018" s="48" t="n"/>
      <c r="M1018" s="96" t="n"/>
      <c r="N1018" s="48" t="n"/>
      <c r="O1018" s="38" t="n"/>
      <c r="P1018" s="38" t="n"/>
      <c r="Q1018" s="97">
        <f>IF(OR(F1018="",E1018=""),"",IFERROR(IF(INDEX('PROPERTIES'!$F$5:$F$404,MATCH(E1018,'PROPERTIES'!$B$5:$B$404,0))=0,"",ROUND((INDEX('PROPERTIES'!$F$5:$F$404,MATCH(E1018,'PROPERTIES'!$B$5:$B$404,0))/INDEX('PRICING'!$C$7:$C$16,MATCH(F1018,'PRICING'!$A$7:$A$16,0))+INDEX('PROPERTIES'!$G$5:$G$404,MATCH(E1018,'PROPERTIES'!$B$5:$B$404,0))*INDEX('PRICING'!$D$7:$D$16,MATCH(F1018,'PRICING'!$A$7:$A$16,0))/60+INDEX('PROPERTIES'!$H$5:$H$404,MATCH(E1018,'PROPERTIES'!$B$5:$B$404,0))*INDEX('PRICING'!$E$7:$E$16,MATCH(F1018,'PRICING'!$A$7:$A$16,0))/60+INDEX('PRICING'!$F$7:$F$16,MATCH(F1018,'PRICING'!$A$7:$A$16,0))/60),2)),""))</f>
        <v/>
      </c>
      <c r="R1018" s="97">
        <f>IF(B1018="","",IF(N(K1018)&gt;0,K1018,IF(N(J1018)&gt;0,J1018,N(Q1018))))</f>
        <v/>
      </c>
      <c r="S1018" s="55">
        <f>IF(L1018="","",ROUND(L1018*(1+N(M1018)),2))</f>
        <v/>
      </c>
      <c r="T1018" s="55">
        <f>IF(B1018="","",SUMIFS('REVENUE'!$C$5:$C$1504,'REVENUE'!$B$5:$B$1504,A1018))</f>
        <v/>
      </c>
      <c r="U1018" s="55">
        <f>IF(B1018="","",IF(O1018="Completed",MAX(0,N(S1018)-T1018),""))</f>
        <v/>
      </c>
      <c r="V1018" s="49">
        <f>IF(B1018="","",IF(O1018&lt;&gt;"Completed",IF(T1018&gt;0,"Deposit","—"),IF(U1018&lt;=0.005,"Paid",IF(T1018&gt;0,"Partial","Unpaid"))))</f>
        <v/>
      </c>
      <c r="W1018" s="55">
        <f>IF(B1018="","",IFERROR(1/(1/INDEX('STAFF &amp; TASKS'!$C$5:$C$24,MATCH(H1018,'STAFF &amp; TASKS'!$A$5:$A$24,0))),PayRate))</f>
        <v/>
      </c>
      <c r="X1018" s="55">
        <f>IF(B1018="","",IF(OR(O1018="Cancelled",O1018="No-Show"),"",ROUND(R1018*W1018*(1+Burden),2)))</f>
        <v/>
      </c>
      <c r="Y1018" s="55">
        <f>IF(B1018="","",IF(OR(O1018="Cancelled",O1018="No-Show"),"",IF(N1018&lt;&gt;"",N1018,ROUND(R1018*SupHr*IFERROR(INDEX('PRICING'!$G$7:$G$16,MATCH(F1018,'PRICING'!$A$7:$A$16,0)),1),2))))</f>
        <v/>
      </c>
      <c r="Z1018" s="98">
        <f>IF(B1018="","",SUMIFS('MILEAGE'!$J$5:$J$1504,'MILEAGE'!$B$5:$B$1504,A1018))</f>
        <v/>
      </c>
      <c r="AA1018" s="55">
        <f>IF(B1018="","",ROUND(Z1018*MileRate,2))</f>
        <v/>
      </c>
      <c r="AB1018" s="55">
        <f>IF(B1018="","",SUMIFS('REVENUE'!$J$5:$J$1504,'REVENUE'!$B$5:$B$1504,A1018))</f>
        <v/>
      </c>
      <c r="AC1018" s="55">
        <f>IF(L1018="","",IF(OR(O1018="Cancelled",O1018="No-Show"),"",L1018-N(X1018)-N(Y1018)-AA1018-AB1018))</f>
        <v/>
      </c>
      <c r="AD1018" s="99">
        <f>IF(OR(AC1018="",N(L1018)=0),"",AC1018/L1018)</f>
        <v/>
      </c>
      <c r="AE1018" s="55">
        <f>IF(OR(AC1018="",N(R1018)=0),"",L1018/R1018)</f>
        <v/>
      </c>
      <c r="AF1018" s="100">
        <f>IF(OR(N(K1018)=0,N(J1018)+N(Q1018)=0),"",K1018-IF(N(J1018)&gt;0,J1018,Q1018))</f>
        <v/>
      </c>
      <c r="AG1018" s="99">
        <f>IF(B1018="","",IFERROR(AVERAGEIFS('QUALITY CONTROL'!$M$5:$M$304,'QUALITY CONTROL'!$B$5:$B$304,A1018),""))</f>
        <v/>
      </c>
      <c r="AH1018" s="51">
        <f>IF(B1018="","",DATE(YEAR(B1018),MONTH(B1018),1))</f>
        <v/>
      </c>
      <c r="AI1018" s="49">
        <f>IF(D1018="","",IFERROR(INDEX('CUSTOMERS'!$E$5:$E$404,MATCH(D1018,'CUSTOMERS'!$B$5:$B$404,0)),""))</f>
        <v/>
      </c>
      <c r="AJ1018" s="49">
        <f>IF(B1018="","",N(C1018))</f>
        <v/>
      </c>
      <c r="AK1018" s="49">
        <f>IF(OR(B1018="",O1018="Cancelled",O1018="Rescheduled"),"",B1018&amp;"|"&amp;(COUNTIFS('JOBS'!$B$5:$B$1504,B1018,'JOBS'!$AJ$5:$AJ$1504,"&lt;"&amp;AJ1018,'JOBS'!$O$5:$O$1504,"&lt;&gt;Cancelled",'JOBS'!$O$5:$O$1504,"&lt;&gt;Rescheduled")+COUNTIFS($B$5:B1018,B1018,$AJ$5:AJ1018,AJ1018,$O$5:O1018,"&lt;&gt;Cancelled",$O$5:O1018,"&lt;&gt;Rescheduled")))</f>
        <v/>
      </c>
      <c r="AL1018" s="49">
        <f>IF(N(U1018)&lt;=0.005,"",COUNTIFS('JOBS'!$U$5:$U$1504,"&gt;0.005",'JOBS'!$B$5:$B$1504,"&lt;"&amp;B1018)+COUNTIFS($U$5:U1018,"&gt;0.005",$B$5:B1018,B1018))</f>
        <v/>
      </c>
    </row>
    <row r="1019">
      <c r="A1019" s="46" t="inlineStr">
        <is>
          <t>J-1015</t>
        </is>
      </c>
      <c r="B1019" s="47" t="n"/>
      <c r="C1019" s="94" t="n"/>
      <c r="D1019" s="38" t="n"/>
      <c r="E1019" s="38" t="n"/>
      <c r="F1019" s="38" t="n"/>
      <c r="G1019" s="38" t="n"/>
      <c r="H1019" s="38" t="n"/>
      <c r="I1019" s="57" t="n"/>
      <c r="J1019" s="95" t="n"/>
      <c r="K1019" s="95" t="n"/>
      <c r="L1019" s="48" t="n"/>
      <c r="M1019" s="96" t="n"/>
      <c r="N1019" s="48" t="n"/>
      <c r="O1019" s="38" t="n"/>
      <c r="P1019" s="38" t="n"/>
      <c r="Q1019" s="97">
        <f>IF(OR(F1019="",E1019=""),"",IFERROR(IF(INDEX('PROPERTIES'!$F$5:$F$404,MATCH(E1019,'PROPERTIES'!$B$5:$B$404,0))=0,"",ROUND((INDEX('PROPERTIES'!$F$5:$F$404,MATCH(E1019,'PROPERTIES'!$B$5:$B$404,0))/INDEX('PRICING'!$C$7:$C$16,MATCH(F1019,'PRICING'!$A$7:$A$16,0))+INDEX('PROPERTIES'!$G$5:$G$404,MATCH(E1019,'PROPERTIES'!$B$5:$B$404,0))*INDEX('PRICING'!$D$7:$D$16,MATCH(F1019,'PRICING'!$A$7:$A$16,0))/60+INDEX('PROPERTIES'!$H$5:$H$404,MATCH(E1019,'PROPERTIES'!$B$5:$B$404,0))*INDEX('PRICING'!$E$7:$E$16,MATCH(F1019,'PRICING'!$A$7:$A$16,0))/60+INDEX('PRICING'!$F$7:$F$16,MATCH(F1019,'PRICING'!$A$7:$A$16,0))/60),2)),""))</f>
        <v/>
      </c>
      <c r="R1019" s="97">
        <f>IF(B1019="","",IF(N(K1019)&gt;0,K1019,IF(N(J1019)&gt;0,J1019,N(Q1019))))</f>
        <v/>
      </c>
      <c r="S1019" s="55">
        <f>IF(L1019="","",ROUND(L1019*(1+N(M1019)),2))</f>
        <v/>
      </c>
      <c r="T1019" s="55">
        <f>IF(B1019="","",SUMIFS('REVENUE'!$C$5:$C$1504,'REVENUE'!$B$5:$B$1504,A1019))</f>
        <v/>
      </c>
      <c r="U1019" s="55">
        <f>IF(B1019="","",IF(O1019="Completed",MAX(0,N(S1019)-T1019),""))</f>
        <v/>
      </c>
      <c r="V1019" s="49">
        <f>IF(B1019="","",IF(O1019&lt;&gt;"Completed",IF(T1019&gt;0,"Deposit","—"),IF(U1019&lt;=0.005,"Paid",IF(T1019&gt;0,"Partial","Unpaid"))))</f>
        <v/>
      </c>
      <c r="W1019" s="55">
        <f>IF(B1019="","",IFERROR(1/(1/INDEX('STAFF &amp; TASKS'!$C$5:$C$24,MATCH(H1019,'STAFF &amp; TASKS'!$A$5:$A$24,0))),PayRate))</f>
        <v/>
      </c>
      <c r="X1019" s="55">
        <f>IF(B1019="","",IF(OR(O1019="Cancelled",O1019="No-Show"),"",ROUND(R1019*W1019*(1+Burden),2)))</f>
        <v/>
      </c>
      <c r="Y1019" s="55">
        <f>IF(B1019="","",IF(OR(O1019="Cancelled",O1019="No-Show"),"",IF(N1019&lt;&gt;"",N1019,ROUND(R1019*SupHr*IFERROR(INDEX('PRICING'!$G$7:$G$16,MATCH(F1019,'PRICING'!$A$7:$A$16,0)),1),2))))</f>
        <v/>
      </c>
      <c r="Z1019" s="98">
        <f>IF(B1019="","",SUMIFS('MILEAGE'!$J$5:$J$1504,'MILEAGE'!$B$5:$B$1504,A1019))</f>
        <v/>
      </c>
      <c r="AA1019" s="55">
        <f>IF(B1019="","",ROUND(Z1019*MileRate,2))</f>
        <v/>
      </c>
      <c r="AB1019" s="55">
        <f>IF(B1019="","",SUMIFS('REVENUE'!$J$5:$J$1504,'REVENUE'!$B$5:$B$1504,A1019))</f>
        <v/>
      </c>
      <c r="AC1019" s="55">
        <f>IF(L1019="","",IF(OR(O1019="Cancelled",O1019="No-Show"),"",L1019-N(X1019)-N(Y1019)-AA1019-AB1019))</f>
        <v/>
      </c>
      <c r="AD1019" s="99">
        <f>IF(OR(AC1019="",N(L1019)=0),"",AC1019/L1019)</f>
        <v/>
      </c>
      <c r="AE1019" s="55">
        <f>IF(OR(AC1019="",N(R1019)=0),"",L1019/R1019)</f>
        <v/>
      </c>
      <c r="AF1019" s="100">
        <f>IF(OR(N(K1019)=0,N(J1019)+N(Q1019)=0),"",K1019-IF(N(J1019)&gt;0,J1019,Q1019))</f>
        <v/>
      </c>
      <c r="AG1019" s="99">
        <f>IF(B1019="","",IFERROR(AVERAGEIFS('QUALITY CONTROL'!$M$5:$M$304,'QUALITY CONTROL'!$B$5:$B$304,A1019),""))</f>
        <v/>
      </c>
      <c r="AH1019" s="51">
        <f>IF(B1019="","",DATE(YEAR(B1019),MONTH(B1019),1))</f>
        <v/>
      </c>
      <c r="AI1019" s="49">
        <f>IF(D1019="","",IFERROR(INDEX('CUSTOMERS'!$E$5:$E$404,MATCH(D1019,'CUSTOMERS'!$B$5:$B$404,0)),""))</f>
        <v/>
      </c>
      <c r="AJ1019" s="49">
        <f>IF(B1019="","",N(C1019))</f>
        <v/>
      </c>
      <c r="AK1019" s="49">
        <f>IF(OR(B1019="",O1019="Cancelled",O1019="Rescheduled"),"",B1019&amp;"|"&amp;(COUNTIFS('JOBS'!$B$5:$B$1504,B1019,'JOBS'!$AJ$5:$AJ$1504,"&lt;"&amp;AJ1019,'JOBS'!$O$5:$O$1504,"&lt;&gt;Cancelled",'JOBS'!$O$5:$O$1504,"&lt;&gt;Rescheduled")+COUNTIFS($B$5:B1019,B1019,$AJ$5:AJ1019,AJ1019,$O$5:O1019,"&lt;&gt;Cancelled",$O$5:O1019,"&lt;&gt;Rescheduled")))</f>
        <v/>
      </c>
      <c r="AL1019" s="49">
        <f>IF(N(U1019)&lt;=0.005,"",COUNTIFS('JOBS'!$U$5:$U$1504,"&gt;0.005",'JOBS'!$B$5:$B$1504,"&lt;"&amp;B1019)+COUNTIFS($U$5:U1019,"&gt;0.005",$B$5:B1019,B1019))</f>
        <v/>
      </c>
    </row>
    <row r="1020">
      <c r="A1020" s="46" t="inlineStr">
        <is>
          <t>J-1016</t>
        </is>
      </c>
      <c r="B1020" s="47" t="n"/>
      <c r="C1020" s="94" t="n"/>
      <c r="D1020" s="38" t="n"/>
      <c r="E1020" s="38" t="n"/>
      <c r="F1020" s="38" t="n"/>
      <c r="G1020" s="38" t="n"/>
      <c r="H1020" s="38" t="n"/>
      <c r="I1020" s="57" t="n"/>
      <c r="J1020" s="95" t="n"/>
      <c r="K1020" s="95" t="n"/>
      <c r="L1020" s="48" t="n"/>
      <c r="M1020" s="96" t="n"/>
      <c r="N1020" s="48" t="n"/>
      <c r="O1020" s="38" t="n"/>
      <c r="P1020" s="38" t="n"/>
      <c r="Q1020" s="97">
        <f>IF(OR(F1020="",E1020=""),"",IFERROR(IF(INDEX('PROPERTIES'!$F$5:$F$404,MATCH(E1020,'PROPERTIES'!$B$5:$B$404,0))=0,"",ROUND((INDEX('PROPERTIES'!$F$5:$F$404,MATCH(E1020,'PROPERTIES'!$B$5:$B$404,0))/INDEX('PRICING'!$C$7:$C$16,MATCH(F1020,'PRICING'!$A$7:$A$16,0))+INDEX('PROPERTIES'!$G$5:$G$404,MATCH(E1020,'PROPERTIES'!$B$5:$B$404,0))*INDEX('PRICING'!$D$7:$D$16,MATCH(F1020,'PRICING'!$A$7:$A$16,0))/60+INDEX('PROPERTIES'!$H$5:$H$404,MATCH(E1020,'PROPERTIES'!$B$5:$B$404,0))*INDEX('PRICING'!$E$7:$E$16,MATCH(F1020,'PRICING'!$A$7:$A$16,0))/60+INDEX('PRICING'!$F$7:$F$16,MATCH(F1020,'PRICING'!$A$7:$A$16,0))/60),2)),""))</f>
        <v/>
      </c>
      <c r="R1020" s="97">
        <f>IF(B1020="","",IF(N(K1020)&gt;0,K1020,IF(N(J1020)&gt;0,J1020,N(Q1020))))</f>
        <v/>
      </c>
      <c r="S1020" s="55">
        <f>IF(L1020="","",ROUND(L1020*(1+N(M1020)),2))</f>
        <v/>
      </c>
      <c r="T1020" s="55">
        <f>IF(B1020="","",SUMIFS('REVENUE'!$C$5:$C$1504,'REVENUE'!$B$5:$B$1504,A1020))</f>
        <v/>
      </c>
      <c r="U1020" s="55">
        <f>IF(B1020="","",IF(O1020="Completed",MAX(0,N(S1020)-T1020),""))</f>
        <v/>
      </c>
      <c r="V1020" s="49">
        <f>IF(B1020="","",IF(O1020&lt;&gt;"Completed",IF(T1020&gt;0,"Deposit","—"),IF(U1020&lt;=0.005,"Paid",IF(T1020&gt;0,"Partial","Unpaid"))))</f>
        <v/>
      </c>
      <c r="W1020" s="55">
        <f>IF(B1020="","",IFERROR(1/(1/INDEX('STAFF &amp; TASKS'!$C$5:$C$24,MATCH(H1020,'STAFF &amp; TASKS'!$A$5:$A$24,0))),PayRate))</f>
        <v/>
      </c>
      <c r="X1020" s="55">
        <f>IF(B1020="","",IF(OR(O1020="Cancelled",O1020="No-Show"),"",ROUND(R1020*W1020*(1+Burden),2)))</f>
        <v/>
      </c>
      <c r="Y1020" s="55">
        <f>IF(B1020="","",IF(OR(O1020="Cancelled",O1020="No-Show"),"",IF(N1020&lt;&gt;"",N1020,ROUND(R1020*SupHr*IFERROR(INDEX('PRICING'!$G$7:$G$16,MATCH(F1020,'PRICING'!$A$7:$A$16,0)),1),2))))</f>
        <v/>
      </c>
      <c r="Z1020" s="98">
        <f>IF(B1020="","",SUMIFS('MILEAGE'!$J$5:$J$1504,'MILEAGE'!$B$5:$B$1504,A1020))</f>
        <v/>
      </c>
      <c r="AA1020" s="55">
        <f>IF(B1020="","",ROUND(Z1020*MileRate,2))</f>
        <v/>
      </c>
      <c r="AB1020" s="55">
        <f>IF(B1020="","",SUMIFS('REVENUE'!$J$5:$J$1504,'REVENUE'!$B$5:$B$1504,A1020))</f>
        <v/>
      </c>
      <c r="AC1020" s="55">
        <f>IF(L1020="","",IF(OR(O1020="Cancelled",O1020="No-Show"),"",L1020-N(X1020)-N(Y1020)-AA1020-AB1020))</f>
        <v/>
      </c>
      <c r="AD1020" s="99">
        <f>IF(OR(AC1020="",N(L1020)=0),"",AC1020/L1020)</f>
        <v/>
      </c>
      <c r="AE1020" s="55">
        <f>IF(OR(AC1020="",N(R1020)=0),"",L1020/R1020)</f>
        <v/>
      </c>
      <c r="AF1020" s="100">
        <f>IF(OR(N(K1020)=0,N(J1020)+N(Q1020)=0),"",K1020-IF(N(J1020)&gt;0,J1020,Q1020))</f>
        <v/>
      </c>
      <c r="AG1020" s="99">
        <f>IF(B1020="","",IFERROR(AVERAGEIFS('QUALITY CONTROL'!$M$5:$M$304,'QUALITY CONTROL'!$B$5:$B$304,A1020),""))</f>
        <v/>
      </c>
      <c r="AH1020" s="51">
        <f>IF(B1020="","",DATE(YEAR(B1020),MONTH(B1020),1))</f>
        <v/>
      </c>
      <c r="AI1020" s="49">
        <f>IF(D1020="","",IFERROR(INDEX('CUSTOMERS'!$E$5:$E$404,MATCH(D1020,'CUSTOMERS'!$B$5:$B$404,0)),""))</f>
        <v/>
      </c>
      <c r="AJ1020" s="49">
        <f>IF(B1020="","",N(C1020))</f>
        <v/>
      </c>
      <c r="AK1020" s="49">
        <f>IF(OR(B1020="",O1020="Cancelled",O1020="Rescheduled"),"",B1020&amp;"|"&amp;(COUNTIFS('JOBS'!$B$5:$B$1504,B1020,'JOBS'!$AJ$5:$AJ$1504,"&lt;"&amp;AJ1020,'JOBS'!$O$5:$O$1504,"&lt;&gt;Cancelled",'JOBS'!$O$5:$O$1504,"&lt;&gt;Rescheduled")+COUNTIFS($B$5:B1020,B1020,$AJ$5:AJ1020,AJ1020,$O$5:O1020,"&lt;&gt;Cancelled",$O$5:O1020,"&lt;&gt;Rescheduled")))</f>
        <v/>
      </c>
      <c r="AL1020" s="49">
        <f>IF(N(U1020)&lt;=0.005,"",COUNTIFS('JOBS'!$U$5:$U$1504,"&gt;0.005",'JOBS'!$B$5:$B$1504,"&lt;"&amp;B1020)+COUNTIFS($U$5:U1020,"&gt;0.005",$B$5:B1020,B1020))</f>
        <v/>
      </c>
    </row>
    <row r="1021">
      <c r="A1021" s="46" t="inlineStr">
        <is>
          <t>J-1017</t>
        </is>
      </c>
      <c r="B1021" s="47" t="n"/>
      <c r="C1021" s="94" t="n"/>
      <c r="D1021" s="38" t="n"/>
      <c r="E1021" s="38" t="n"/>
      <c r="F1021" s="38" t="n"/>
      <c r="G1021" s="38" t="n"/>
      <c r="H1021" s="38" t="n"/>
      <c r="I1021" s="57" t="n"/>
      <c r="J1021" s="95" t="n"/>
      <c r="K1021" s="95" t="n"/>
      <c r="L1021" s="48" t="n"/>
      <c r="M1021" s="96" t="n"/>
      <c r="N1021" s="48" t="n"/>
      <c r="O1021" s="38" t="n"/>
      <c r="P1021" s="38" t="n"/>
      <c r="Q1021" s="97">
        <f>IF(OR(F1021="",E1021=""),"",IFERROR(IF(INDEX('PROPERTIES'!$F$5:$F$404,MATCH(E1021,'PROPERTIES'!$B$5:$B$404,0))=0,"",ROUND((INDEX('PROPERTIES'!$F$5:$F$404,MATCH(E1021,'PROPERTIES'!$B$5:$B$404,0))/INDEX('PRICING'!$C$7:$C$16,MATCH(F1021,'PRICING'!$A$7:$A$16,0))+INDEX('PROPERTIES'!$G$5:$G$404,MATCH(E1021,'PROPERTIES'!$B$5:$B$404,0))*INDEX('PRICING'!$D$7:$D$16,MATCH(F1021,'PRICING'!$A$7:$A$16,0))/60+INDEX('PROPERTIES'!$H$5:$H$404,MATCH(E1021,'PROPERTIES'!$B$5:$B$404,0))*INDEX('PRICING'!$E$7:$E$16,MATCH(F1021,'PRICING'!$A$7:$A$16,0))/60+INDEX('PRICING'!$F$7:$F$16,MATCH(F1021,'PRICING'!$A$7:$A$16,0))/60),2)),""))</f>
        <v/>
      </c>
      <c r="R1021" s="97">
        <f>IF(B1021="","",IF(N(K1021)&gt;0,K1021,IF(N(J1021)&gt;0,J1021,N(Q1021))))</f>
        <v/>
      </c>
      <c r="S1021" s="55">
        <f>IF(L1021="","",ROUND(L1021*(1+N(M1021)),2))</f>
        <v/>
      </c>
      <c r="T1021" s="55">
        <f>IF(B1021="","",SUMIFS('REVENUE'!$C$5:$C$1504,'REVENUE'!$B$5:$B$1504,A1021))</f>
        <v/>
      </c>
      <c r="U1021" s="55">
        <f>IF(B1021="","",IF(O1021="Completed",MAX(0,N(S1021)-T1021),""))</f>
        <v/>
      </c>
      <c r="V1021" s="49">
        <f>IF(B1021="","",IF(O1021&lt;&gt;"Completed",IF(T1021&gt;0,"Deposit","—"),IF(U1021&lt;=0.005,"Paid",IF(T1021&gt;0,"Partial","Unpaid"))))</f>
        <v/>
      </c>
      <c r="W1021" s="55">
        <f>IF(B1021="","",IFERROR(1/(1/INDEX('STAFF &amp; TASKS'!$C$5:$C$24,MATCH(H1021,'STAFF &amp; TASKS'!$A$5:$A$24,0))),PayRate))</f>
        <v/>
      </c>
      <c r="X1021" s="55">
        <f>IF(B1021="","",IF(OR(O1021="Cancelled",O1021="No-Show"),"",ROUND(R1021*W1021*(1+Burden),2)))</f>
        <v/>
      </c>
      <c r="Y1021" s="55">
        <f>IF(B1021="","",IF(OR(O1021="Cancelled",O1021="No-Show"),"",IF(N1021&lt;&gt;"",N1021,ROUND(R1021*SupHr*IFERROR(INDEX('PRICING'!$G$7:$G$16,MATCH(F1021,'PRICING'!$A$7:$A$16,0)),1),2))))</f>
        <v/>
      </c>
      <c r="Z1021" s="98">
        <f>IF(B1021="","",SUMIFS('MILEAGE'!$J$5:$J$1504,'MILEAGE'!$B$5:$B$1504,A1021))</f>
        <v/>
      </c>
      <c r="AA1021" s="55">
        <f>IF(B1021="","",ROUND(Z1021*MileRate,2))</f>
        <v/>
      </c>
      <c r="AB1021" s="55">
        <f>IF(B1021="","",SUMIFS('REVENUE'!$J$5:$J$1504,'REVENUE'!$B$5:$B$1504,A1021))</f>
        <v/>
      </c>
      <c r="AC1021" s="55">
        <f>IF(L1021="","",IF(OR(O1021="Cancelled",O1021="No-Show"),"",L1021-N(X1021)-N(Y1021)-AA1021-AB1021))</f>
        <v/>
      </c>
      <c r="AD1021" s="99">
        <f>IF(OR(AC1021="",N(L1021)=0),"",AC1021/L1021)</f>
        <v/>
      </c>
      <c r="AE1021" s="55">
        <f>IF(OR(AC1021="",N(R1021)=0),"",L1021/R1021)</f>
        <v/>
      </c>
      <c r="AF1021" s="100">
        <f>IF(OR(N(K1021)=0,N(J1021)+N(Q1021)=0),"",K1021-IF(N(J1021)&gt;0,J1021,Q1021))</f>
        <v/>
      </c>
      <c r="AG1021" s="99">
        <f>IF(B1021="","",IFERROR(AVERAGEIFS('QUALITY CONTROL'!$M$5:$M$304,'QUALITY CONTROL'!$B$5:$B$304,A1021),""))</f>
        <v/>
      </c>
      <c r="AH1021" s="51">
        <f>IF(B1021="","",DATE(YEAR(B1021),MONTH(B1021),1))</f>
        <v/>
      </c>
      <c r="AI1021" s="49">
        <f>IF(D1021="","",IFERROR(INDEX('CUSTOMERS'!$E$5:$E$404,MATCH(D1021,'CUSTOMERS'!$B$5:$B$404,0)),""))</f>
        <v/>
      </c>
      <c r="AJ1021" s="49">
        <f>IF(B1021="","",N(C1021))</f>
        <v/>
      </c>
      <c r="AK1021" s="49">
        <f>IF(OR(B1021="",O1021="Cancelled",O1021="Rescheduled"),"",B1021&amp;"|"&amp;(COUNTIFS('JOBS'!$B$5:$B$1504,B1021,'JOBS'!$AJ$5:$AJ$1504,"&lt;"&amp;AJ1021,'JOBS'!$O$5:$O$1504,"&lt;&gt;Cancelled",'JOBS'!$O$5:$O$1504,"&lt;&gt;Rescheduled")+COUNTIFS($B$5:B1021,B1021,$AJ$5:AJ1021,AJ1021,$O$5:O1021,"&lt;&gt;Cancelled",$O$5:O1021,"&lt;&gt;Rescheduled")))</f>
        <v/>
      </c>
      <c r="AL1021" s="49">
        <f>IF(N(U1021)&lt;=0.005,"",COUNTIFS('JOBS'!$U$5:$U$1504,"&gt;0.005",'JOBS'!$B$5:$B$1504,"&lt;"&amp;B1021)+COUNTIFS($U$5:U1021,"&gt;0.005",$B$5:B1021,B1021))</f>
        <v/>
      </c>
    </row>
    <row r="1022">
      <c r="A1022" s="46" t="inlineStr">
        <is>
          <t>J-1018</t>
        </is>
      </c>
      <c r="B1022" s="47" t="n"/>
      <c r="C1022" s="94" t="n"/>
      <c r="D1022" s="38" t="n"/>
      <c r="E1022" s="38" t="n"/>
      <c r="F1022" s="38" t="n"/>
      <c r="G1022" s="38" t="n"/>
      <c r="H1022" s="38" t="n"/>
      <c r="I1022" s="57" t="n"/>
      <c r="J1022" s="95" t="n"/>
      <c r="K1022" s="95" t="n"/>
      <c r="L1022" s="48" t="n"/>
      <c r="M1022" s="96" t="n"/>
      <c r="N1022" s="48" t="n"/>
      <c r="O1022" s="38" t="n"/>
      <c r="P1022" s="38" t="n"/>
      <c r="Q1022" s="97">
        <f>IF(OR(F1022="",E1022=""),"",IFERROR(IF(INDEX('PROPERTIES'!$F$5:$F$404,MATCH(E1022,'PROPERTIES'!$B$5:$B$404,0))=0,"",ROUND((INDEX('PROPERTIES'!$F$5:$F$404,MATCH(E1022,'PROPERTIES'!$B$5:$B$404,0))/INDEX('PRICING'!$C$7:$C$16,MATCH(F1022,'PRICING'!$A$7:$A$16,0))+INDEX('PROPERTIES'!$G$5:$G$404,MATCH(E1022,'PROPERTIES'!$B$5:$B$404,0))*INDEX('PRICING'!$D$7:$D$16,MATCH(F1022,'PRICING'!$A$7:$A$16,0))/60+INDEX('PROPERTIES'!$H$5:$H$404,MATCH(E1022,'PROPERTIES'!$B$5:$B$404,0))*INDEX('PRICING'!$E$7:$E$16,MATCH(F1022,'PRICING'!$A$7:$A$16,0))/60+INDEX('PRICING'!$F$7:$F$16,MATCH(F1022,'PRICING'!$A$7:$A$16,0))/60),2)),""))</f>
        <v/>
      </c>
      <c r="R1022" s="97">
        <f>IF(B1022="","",IF(N(K1022)&gt;0,K1022,IF(N(J1022)&gt;0,J1022,N(Q1022))))</f>
        <v/>
      </c>
      <c r="S1022" s="55">
        <f>IF(L1022="","",ROUND(L1022*(1+N(M1022)),2))</f>
        <v/>
      </c>
      <c r="T1022" s="55">
        <f>IF(B1022="","",SUMIFS('REVENUE'!$C$5:$C$1504,'REVENUE'!$B$5:$B$1504,A1022))</f>
        <v/>
      </c>
      <c r="U1022" s="55">
        <f>IF(B1022="","",IF(O1022="Completed",MAX(0,N(S1022)-T1022),""))</f>
        <v/>
      </c>
      <c r="V1022" s="49">
        <f>IF(B1022="","",IF(O1022&lt;&gt;"Completed",IF(T1022&gt;0,"Deposit","—"),IF(U1022&lt;=0.005,"Paid",IF(T1022&gt;0,"Partial","Unpaid"))))</f>
        <v/>
      </c>
      <c r="W1022" s="55">
        <f>IF(B1022="","",IFERROR(1/(1/INDEX('STAFF &amp; TASKS'!$C$5:$C$24,MATCH(H1022,'STAFF &amp; TASKS'!$A$5:$A$24,0))),PayRate))</f>
        <v/>
      </c>
      <c r="X1022" s="55">
        <f>IF(B1022="","",IF(OR(O1022="Cancelled",O1022="No-Show"),"",ROUND(R1022*W1022*(1+Burden),2)))</f>
        <v/>
      </c>
      <c r="Y1022" s="55">
        <f>IF(B1022="","",IF(OR(O1022="Cancelled",O1022="No-Show"),"",IF(N1022&lt;&gt;"",N1022,ROUND(R1022*SupHr*IFERROR(INDEX('PRICING'!$G$7:$G$16,MATCH(F1022,'PRICING'!$A$7:$A$16,0)),1),2))))</f>
        <v/>
      </c>
      <c r="Z1022" s="98">
        <f>IF(B1022="","",SUMIFS('MILEAGE'!$J$5:$J$1504,'MILEAGE'!$B$5:$B$1504,A1022))</f>
        <v/>
      </c>
      <c r="AA1022" s="55">
        <f>IF(B1022="","",ROUND(Z1022*MileRate,2))</f>
        <v/>
      </c>
      <c r="AB1022" s="55">
        <f>IF(B1022="","",SUMIFS('REVENUE'!$J$5:$J$1504,'REVENUE'!$B$5:$B$1504,A1022))</f>
        <v/>
      </c>
      <c r="AC1022" s="55">
        <f>IF(L1022="","",IF(OR(O1022="Cancelled",O1022="No-Show"),"",L1022-N(X1022)-N(Y1022)-AA1022-AB1022))</f>
        <v/>
      </c>
      <c r="AD1022" s="99">
        <f>IF(OR(AC1022="",N(L1022)=0),"",AC1022/L1022)</f>
        <v/>
      </c>
      <c r="AE1022" s="55">
        <f>IF(OR(AC1022="",N(R1022)=0),"",L1022/R1022)</f>
        <v/>
      </c>
      <c r="AF1022" s="100">
        <f>IF(OR(N(K1022)=0,N(J1022)+N(Q1022)=0),"",K1022-IF(N(J1022)&gt;0,J1022,Q1022))</f>
        <v/>
      </c>
      <c r="AG1022" s="99">
        <f>IF(B1022="","",IFERROR(AVERAGEIFS('QUALITY CONTROL'!$M$5:$M$304,'QUALITY CONTROL'!$B$5:$B$304,A1022),""))</f>
        <v/>
      </c>
      <c r="AH1022" s="51">
        <f>IF(B1022="","",DATE(YEAR(B1022),MONTH(B1022),1))</f>
        <v/>
      </c>
      <c r="AI1022" s="49">
        <f>IF(D1022="","",IFERROR(INDEX('CUSTOMERS'!$E$5:$E$404,MATCH(D1022,'CUSTOMERS'!$B$5:$B$404,0)),""))</f>
        <v/>
      </c>
      <c r="AJ1022" s="49">
        <f>IF(B1022="","",N(C1022))</f>
        <v/>
      </c>
      <c r="AK1022" s="49">
        <f>IF(OR(B1022="",O1022="Cancelled",O1022="Rescheduled"),"",B1022&amp;"|"&amp;(COUNTIFS('JOBS'!$B$5:$B$1504,B1022,'JOBS'!$AJ$5:$AJ$1504,"&lt;"&amp;AJ1022,'JOBS'!$O$5:$O$1504,"&lt;&gt;Cancelled",'JOBS'!$O$5:$O$1504,"&lt;&gt;Rescheduled")+COUNTIFS($B$5:B1022,B1022,$AJ$5:AJ1022,AJ1022,$O$5:O1022,"&lt;&gt;Cancelled",$O$5:O1022,"&lt;&gt;Rescheduled")))</f>
        <v/>
      </c>
      <c r="AL1022" s="49">
        <f>IF(N(U1022)&lt;=0.005,"",COUNTIFS('JOBS'!$U$5:$U$1504,"&gt;0.005",'JOBS'!$B$5:$B$1504,"&lt;"&amp;B1022)+COUNTIFS($U$5:U1022,"&gt;0.005",$B$5:B1022,B1022))</f>
        <v/>
      </c>
    </row>
    <row r="1023">
      <c r="A1023" s="46" t="inlineStr">
        <is>
          <t>J-1019</t>
        </is>
      </c>
      <c r="B1023" s="47" t="n"/>
      <c r="C1023" s="94" t="n"/>
      <c r="D1023" s="38" t="n"/>
      <c r="E1023" s="38" t="n"/>
      <c r="F1023" s="38" t="n"/>
      <c r="G1023" s="38" t="n"/>
      <c r="H1023" s="38" t="n"/>
      <c r="I1023" s="57" t="n"/>
      <c r="J1023" s="95" t="n"/>
      <c r="K1023" s="95" t="n"/>
      <c r="L1023" s="48" t="n"/>
      <c r="M1023" s="96" t="n"/>
      <c r="N1023" s="48" t="n"/>
      <c r="O1023" s="38" t="n"/>
      <c r="P1023" s="38" t="n"/>
      <c r="Q1023" s="97">
        <f>IF(OR(F1023="",E1023=""),"",IFERROR(IF(INDEX('PROPERTIES'!$F$5:$F$404,MATCH(E1023,'PROPERTIES'!$B$5:$B$404,0))=0,"",ROUND((INDEX('PROPERTIES'!$F$5:$F$404,MATCH(E1023,'PROPERTIES'!$B$5:$B$404,0))/INDEX('PRICING'!$C$7:$C$16,MATCH(F1023,'PRICING'!$A$7:$A$16,0))+INDEX('PROPERTIES'!$G$5:$G$404,MATCH(E1023,'PROPERTIES'!$B$5:$B$404,0))*INDEX('PRICING'!$D$7:$D$16,MATCH(F1023,'PRICING'!$A$7:$A$16,0))/60+INDEX('PROPERTIES'!$H$5:$H$404,MATCH(E1023,'PROPERTIES'!$B$5:$B$404,0))*INDEX('PRICING'!$E$7:$E$16,MATCH(F1023,'PRICING'!$A$7:$A$16,0))/60+INDEX('PRICING'!$F$7:$F$16,MATCH(F1023,'PRICING'!$A$7:$A$16,0))/60),2)),""))</f>
        <v/>
      </c>
      <c r="R1023" s="97">
        <f>IF(B1023="","",IF(N(K1023)&gt;0,K1023,IF(N(J1023)&gt;0,J1023,N(Q1023))))</f>
        <v/>
      </c>
      <c r="S1023" s="55">
        <f>IF(L1023="","",ROUND(L1023*(1+N(M1023)),2))</f>
        <v/>
      </c>
      <c r="T1023" s="55">
        <f>IF(B1023="","",SUMIFS('REVENUE'!$C$5:$C$1504,'REVENUE'!$B$5:$B$1504,A1023))</f>
        <v/>
      </c>
      <c r="U1023" s="55">
        <f>IF(B1023="","",IF(O1023="Completed",MAX(0,N(S1023)-T1023),""))</f>
        <v/>
      </c>
      <c r="V1023" s="49">
        <f>IF(B1023="","",IF(O1023&lt;&gt;"Completed",IF(T1023&gt;0,"Deposit","—"),IF(U1023&lt;=0.005,"Paid",IF(T1023&gt;0,"Partial","Unpaid"))))</f>
        <v/>
      </c>
      <c r="W1023" s="55">
        <f>IF(B1023="","",IFERROR(1/(1/INDEX('STAFF &amp; TASKS'!$C$5:$C$24,MATCH(H1023,'STAFF &amp; TASKS'!$A$5:$A$24,0))),PayRate))</f>
        <v/>
      </c>
      <c r="X1023" s="55">
        <f>IF(B1023="","",IF(OR(O1023="Cancelled",O1023="No-Show"),"",ROUND(R1023*W1023*(1+Burden),2)))</f>
        <v/>
      </c>
      <c r="Y1023" s="55">
        <f>IF(B1023="","",IF(OR(O1023="Cancelled",O1023="No-Show"),"",IF(N1023&lt;&gt;"",N1023,ROUND(R1023*SupHr*IFERROR(INDEX('PRICING'!$G$7:$G$16,MATCH(F1023,'PRICING'!$A$7:$A$16,0)),1),2))))</f>
        <v/>
      </c>
      <c r="Z1023" s="98">
        <f>IF(B1023="","",SUMIFS('MILEAGE'!$J$5:$J$1504,'MILEAGE'!$B$5:$B$1504,A1023))</f>
        <v/>
      </c>
      <c r="AA1023" s="55">
        <f>IF(B1023="","",ROUND(Z1023*MileRate,2))</f>
        <v/>
      </c>
      <c r="AB1023" s="55">
        <f>IF(B1023="","",SUMIFS('REVENUE'!$J$5:$J$1504,'REVENUE'!$B$5:$B$1504,A1023))</f>
        <v/>
      </c>
      <c r="AC1023" s="55">
        <f>IF(L1023="","",IF(OR(O1023="Cancelled",O1023="No-Show"),"",L1023-N(X1023)-N(Y1023)-AA1023-AB1023))</f>
        <v/>
      </c>
      <c r="AD1023" s="99">
        <f>IF(OR(AC1023="",N(L1023)=0),"",AC1023/L1023)</f>
        <v/>
      </c>
      <c r="AE1023" s="55">
        <f>IF(OR(AC1023="",N(R1023)=0),"",L1023/R1023)</f>
        <v/>
      </c>
      <c r="AF1023" s="100">
        <f>IF(OR(N(K1023)=0,N(J1023)+N(Q1023)=0),"",K1023-IF(N(J1023)&gt;0,J1023,Q1023))</f>
        <v/>
      </c>
      <c r="AG1023" s="99">
        <f>IF(B1023="","",IFERROR(AVERAGEIFS('QUALITY CONTROL'!$M$5:$M$304,'QUALITY CONTROL'!$B$5:$B$304,A1023),""))</f>
        <v/>
      </c>
      <c r="AH1023" s="51">
        <f>IF(B1023="","",DATE(YEAR(B1023),MONTH(B1023),1))</f>
        <v/>
      </c>
      <c r="AI1023" s="49">
        <f>IF(D1023="","",IFERROR(INDEX('CUSTOMERS'!$E$5:$E$404,MATCH(D1023,'CUSTOMERS'!$B$5:$B$404,0)),""))</f>
        <v/>
      </c>
      <c r="AJ1023" s="49">
        <f>IF(B1023="","",N(C1023))</f>
        <v/>
      </c>
      <c r="AK1023" s="49">
        <f>IF(OR(B1023="",O1023="Cancelled",O1023="Rescheduled"),"",B1023&amp;"|"&amp;(COUNTIFS('JOBS'!$B$5:$B$1504,B1023,'JOBS'!$AJ$5:$AJ$1504,"&lt;"&amp;AJ1023,'JOBS'!$O$5:$O$1504,"&lt;&gt;Cancelled",'JOBS'!$O$5:$O$1504,"&lt;&gt;Rescheduled")+COUNTIFS($B$5:B1023,B1023,$AJ$5:AJ1023,AJ1023,$O$5:O1023,"&lt;&gt;Cancelled",$O$5:O1023,"&lt;&gt;Rescheduled")))</f>
        <v/>
      </c>
      <c r="AL1023" s="49">
        <f>IF(N(U1023)&lt;=0.005,"",COUNTIFS('JOBS'!$U$5:$U$1504,"&gt;0.005",'JOBS'!$B$5:$B$1504,"&lt;"&amp;B1023)+COUNTIFS($U$5:U1023,"&gt;0.005",$B$5:B1023,B1023))</f>
        <v/>
      </c>
    </row>
    <row r="1024">
      <c r="A1024" s="46" t="inlineStr">
        <is>
          <t>J-1020</t>
        </is>
      </c>
      <c r="B1024" s="47" t="n"/>
      <c r="C1024" s="94" t="n"/>
      <c r="D1024" s="38" t="n"/>
      <c r="E1024" s="38" t="n"/>
      <c r="F1024" s="38" t="n"/>
      <c r="G1024" s="38" t="n"/>
      <c r="H1024" s="38" t="n"/>
      <c r="I1024" s="57" t="n"/>
      <c r="J1024" s="95" t="n"/>
      <c r="K1024" s="95" t="n"/>
      <c r="L1024" s="48" t="n"/>
      <c r="M1024" s="96" t="n"/>
      <c r="N1024" s="48" t="n"/>
      <c r="O1024" s="38" t="n"/>
      <c r="P1024" s="38" t="n"/>
      <c r="Q1024" s="97">
        <f>IF(OR(F1024="",E1024=""),"",IFERROR(IF(INDEX('PROPERTIES'!$F$5:$F$404,MATCH(E1024,'PROPERTIES'!$B$5:$B$404,0))=0,"",ROUND((INDEX('PROPERTIES'!$F$5:$F$404,MATCH(E1024,'PROPERTIES'!$B$5:$B$404,0))/INDEX('PRICING'!$C$7:$C$16,MATCH(F1024,'PRICING'!$A$7:$A$16,0))+INDEX('PROPERTIES'!$G$5:$G$404,MATCH(E1024,'PROPERTIES'!$B$5:$B$404,0))*INDEX('PRICING'!$D$7:$D$16,MATCH(F1024,'PRICING'!$A$7:$A$16,0))/60+INDEX('PROPERTIES'!$H$5:$H$404,MATCH(E1024,'PROPERTIES'!$B$5:$B$404,0))*INDEX('PRICING'!$E$7:$E$16,MATCH(F1024,'PRICING'!$A$7:$A$16,0))/60+INDEX('PRICING'!$F$7:$F$16,MATCH(F1024,'PRICING'!$A$7:$A$16,0))/60),2)),""))</f>
        <v/>
      </c>
      <c r="R1024" s="97">
        <f>IF(B1024="","",IF(N(K1024)&gt;0,K1024,IF(N(J1024)&gt;0,J1024,N(Q1024))))</f>
        <v/>
      </c>
      <c r="S1024" s="55">
        <f>IF(L1024="","",ROUND(L1024*(1+N(M1024)),2))</f>
        <v/>
      </c>
      <c r="T1024" s="55">
        <f>IF(B1024="","",SUMIFS('REVENUE'!$C$5:$C$1504,'REVENUE'!$B$5:$B$1504,A1024))</f>
        <v/>
      </c>
      <c r="U1024" s="55">
        <f>IF(B1024="","",IF(O1024="Completed",MAX(0,N(S1024)-T1024),""))</f>
        <v/>
      </c>
      <c r="V1024" s="49">
        <f>IF(B1024="","",IF(O1024&lt;&gt;"Completed",IF(T1024&gt;0,"Deposit","—"),IF(U1024&lt;=0.005,"Paid",IF(T1024&gt;0,"Partial","Unpaid"))))</f>
        <v/>
      </c>
      <c r="W1024" s="55">
        <f>IF(B1024="","",IFERROR(1/(1/INDEX('STAFF &amp; TASKS'!$C$5:$C$24,MATCH(H1024,'STAFF &amp; TASKS'!$A$5:$A$24,0))),PayRate))</f>
        <v/>
      </c>
      <c r="X1024" s="55">
        <f>IF(B1024="","",IF(OR(O1024="Cancelled",O1024="No-Show"),"",ROUND(R1024*W1024*(1+Burden),2)))</f>
        <v/>
      </c>
      <c r="Y1024" s="55">
        <f>IF(B1024="","",IF(OR(O1024="Cancelled",O1024="No-Show"),"",IF(N1024&lt;&gt;"",N1024,ROUND(R1024*SupHr*IFERROR(INDEX('PRICING'!$G$7:$G$16,MATCH(F1024,'PRICING'!$A$7:$A$16,0)),1),2))))</f>
        <v/>
      </c>
      <c r="Z1024" s="98">
        <f>IF(B1024="","",SUMIFS('MILEAGE'!$J$5:$J$1504,'MILEAGE'!$B$5:$B$1504,A1024))</f>
        <v/>
      </c>
      <c r="AA1024" s="55">
        <f>IF(B1024="","",ROUND(Z1024*MileRate,2))</f>
        <v/>
      </c>
      <c r="AB1024" s="55">
        <f>IF(B1024="","",SUMIFS('REVENUE'!$J$5:$J$1504,'REVENUE'!$B$5:$B$1504,A1024))</f>
        <v/>
      </c>
      <c r="AC1024" s="55">
        <f>IF(L1024="","",IF(OR(O1024="Cancelled",O1024="No-Show"),"",L1024-N(X1024)-N(Y1024)-AA1024-AB1024))</f>
        <v/>
      </c>
      <c r="AD1024" s="99">
        <f>IF(OR(AC1024="",N(L1024)=0),"",AC1024/L1024)</f>
        <v/>
      </c>
      <c r="AE1024" s="55">
        <f>IF(OR(AC1024="",N(R1024)=0),"",L1024/R1024)</f>
        <v/>
      </c>
      <c r="AF1024" s="100">
        <f>IF(OR(N(K1024)=0,N(J1024)+N(Q1024)=0),"",K1024-IF(N(J1024)&gt;0,J1024,Q1024))</f>
        <v/>
      </c>
      <c r="AG1024" s="99">
        <f>IF(B1024="","",IFERROR(AVERAGEIFS('QUALITY CONTROL'!$M$5:$M$304,'QUALITY CONTROL'!$B$5:$B$304,A1024),""))</f>
        <v/>
      </c>
      <c r="AH1024" s="51">
        <f>IF(B1024="","",DATE(YEAR(B1024),MONTH(B1024),1))</f>
        <v/>
      </c>
      <c r="AI1024" s="49">
        <f>IF(D1024="","",IFERROR(INDEX('CUSTOMERS'!$E$5:$E$404,MATCH(D1024,'CUSTOMERS'!$B$5:$B$404,0)),""))</f>
        <v/>
      </c>
      <c r="AJ1024" s="49">
        <f>IF(B1024="","",N(C1024))</f>
        <v/>
      </c>
      <c r="AK1024" s="49">
        <f>IF(OR(B1024="",O1024="Cancelled",O1024="Rescheduled"),"",B1024&amp;"|"&amp;(COUNTIFS('JOBS'!$B$5:$B$1504,B1024,'JOBS'!$AJ$5:$AJ$1504,"&lt;"&amp;AJ1024,'JOBS'!$O$5:$O$1504,"&lt;&gt;Cancelled",'JOBS'!$O$5:$O$1504,"&lt;&gt;Rescheduled")+COUNTIFS($B$5:B1024,B1024,$AJ$5:AJ1024,AJ1024,$O$5:O1024,"&lt;&gt;Cancelled",$O$5:O1024,"&lt;&gt;Rescheduled")))</f>
        <v/>
      </c>
      <c r="AL1024" s="49">
        <f>IF(N(U1024)&lt;=0.005,"",COUNTIFS('JOBS'!$U$5:$U$1504,"&gt;0.005",'JOBS'!$B$5:$B$1504,"&lt;"&amp;B1024)+COUNTIFS($U$5:U1024,"&gt;0.005",$B$5:B1024,B1024))</f>
        <v/>
      </c>
    </row>
    <row r="1025">
      <c r="A1025" s="46" t="inlineStr">
        <is>
          <t>J-1021</t>
        </is>
      </c>
      <c r="B1025" s="47" t="n"/>
      <c r="C1025" s="94" t="n"/>
      <c r="D1025" s="38" t="n"/>
      <c r="E1025" s="38" t="n"/>
      <c r="F1025" s="38" t="n"/>
      <c r="G1025" s="38" t="n"/>
      <c r="H1025" s="38" t="n"/>
      <c r="I1025" s="57" t="n"/>
      <c r="J1025" s="95" t="n"/>
      <c r="K1025" s="95" t="n"/>
      <c r="L1025" s="48" t="n"/>
      <c r="M1025" s="96" t="n"/>
      <c r="N1025" s="48" t="n"/>
      <c r="O1025" s="38" t="n"/>
      <c r="P1025" s="38" t="n"/>
      <c r="Q1025" s="97">
        <f>IF(OR(F1025="",E1025=""),"",IFERROR(IF(INDEX('PROPERTIES'!$F$5:$F$404,MATCH(E1025,'PROPERTIES'!$B$5:$B$404,0))=0,"",ROUND((INDEX('PROPERTIES'!$F$5:$F$404,MATCH(E1025,'PROPERTIES'!$B$5:$B$404,0))/INDEX('PRICING'!$C$7:$C$16,MATCH(F1025,'PRICING'!$A$7:$A$16,0))+INDEX('PROPERTIES'!$G$5:$G$404,MATCH(E1025,'PROPERTIES'!$B$5:$B$404,0))*INDEX('PRICING'!$D$7:$D$16,MATCH(F1025,'PRICING'!$A$7:$A$16,0))/60+INDEX('PROPERTIES'!$H$5:$H$404,MATCH(E1025,'PROPERTIES'!$B$5:$B$404,0))*INDEX('PRICING'!$E$7:$E$16,MATCH(F1025,'PRICING'!$A$7:$A$16,0))/60+INDEX('PRICING'!$F$7:$F$16,MATCH(F1025,'PRICING'!$A$7:$A$16,0))/60),2)),""))</f>
        <v/>
      </c>
      <c r="R1025" s="97">
        <f>IF(B1025="","",IF(N(K1025)&gt;0,K1025,IF(N(J1025)&gt;0,J1025,N(Q1025))))</f>
        <v/>
      </c>
      <c r="S1025" s="55">
        <f>IF(L1025="","",ROUND(L1025*(1+N(M1025)),2))</f>
        <v/>
      </c>
      <c r="T1025" s="55">
        <f>IF(B1025="","",SUMIFS('REVENUE'!$C$5:$C$1504,'REVENUE'!$B$5:$B$1504,A1025))</f>
        <v/>
      </c>
      <c r="U1025" s="55">
        <f>IF(B1025="","",IF(O1025="Completed",MAX(0,N(S1025)-T1025),""))</f>
        <v/>
      </c>
      <c r="V1025" s="49">
        <f>IF(B1025="","",IF(O1025&lt;&gt;"Completed",IF(T1025&gt;0,"Deposit","—"),IF(U1025&lt;=0.005,"Paid",IF(T1025&gt;0,"Partial","Unpaid"))))</f>
        <v/>
      </c>
      <c r="W1025" s="55">
        <f>IF(B1025="","",IFERROR(1/(1/INDEX('STAFF &amp; TASKS'!$C$5:$C$24,MATCH(H1025,'STAFF &amp; TASKS'!$A$5:$A$24,0))),PayRate))</f>
        <v/>
      </c>
      <c r="X1025" s="55">
        <f>IF(B1025="","",IF(OR(O1025="Cancelled",O1025="No-Show"),"",ROUND(R1025*W1025*(1+Burden),2)))</f>
        <v/>
      </c>
      <c r="Y1025" s="55">
        <f>IF(B1025="","",IF(OR(O1025="Cancelled",O1025="No-Show"),"",IF(N1025&lt;&gt;"",N1025,ROUND(R1025*SupHr*IFERROR(INDEX('PRICING'!$G$7:$G$16,MATCH(F1025,'PRICING'!$A$7:$A$16,0)),1),2))))</f>
        <v/>
      </c>
      <c r="Z1025" s="98">
        <f>IF(B1025="","",SUMIFS('MILEAGE'!$J$5:$J$1504,'MILEAGE'!$B$5:$B$1504,A1025))</f>
        <v/>
      </c>
      <c r="AA1025" s="55">
        <f>IF(B1025="","",ROUND(Z1025*MileRate,2))</f>
        <v/>
      </c>
      <c r="AB1025" s="55">
        <f>IF(B1025="","",SUMIFS('REVENUE'!$J$5:$J$1504,'REVENUE'!$B$5:$B$1504,A1025))</f>
        <v/>
      </c>
      <c r="AC1025" s="55">
        <f>IF(L1025="","",IF(OR(O1025="Cancelled",O1025="No-Show"),"",L1025-N(X1025)-N(Y1025)-AA1025-AB1025))</f>
        <v/>
      </c>
      <c r="AD1025" s="99">
        <f>IF(OR(AC1025="",N(L1025)=0),"",AC1025/L1025)</f>
        <v/>
      </c>
      <c r="AE1025" s="55">
        <f>IF(OR(AC1025="",N(R1025)=0),"",L1025/R1025)</f>
        <v/>
      </c>
      <c r="AF1025" s="100">
        <f>IF(OR(N(K1025)=0,N(J1025)+N(Q1025)=0),"",K1025-IF(N(J1025)&gt;0,J1025,Q1025))</f>
        <v/>
      </c>
      <c r="AG1025" s="99">
        <f>IF(B1025="","",IFERROR(AVERAGEIFS('QUALITY CONTROL'!$M$5:$M$304,'QUALITY CONTROL'!$B$5:$B$304,A1025),""))</f>
        <v/>
      </c>
      <c r="AH1025" s="51">
        <f>IF(B1025="","",DATE(YEAR(B1025),MONTH(B1025),1))</f>
        <v/>
      </c>
      <c r="AI1025" s="49">
        <f>IF(D1025="","",IFERROR(INDEX('CUSTOMERS'!$E$5:$E$404,MATCH(D1025,'CUSTOMERS'!$B$5:$B$404,0)),""))</f>
        <v/>
      </c>
      <c r="AJ1025" s="49">
        <f>IF(B1025="","",N(C1025))</f>
        <v/>
      </c>
      <c r="AK1025" s="49">
        <f>IF(OR(B1025="",O1025="Cancelled",O1025="Rescheduled"),"",B1025&amp;"|"&amp;(COUNTIFS('JOBS'!$B$5:$B$1504,B1025,'JOBS'!$AJ$5:$AJ$1504,"&lt;"&amp;AJ1025,'JOBS'!$O$5:$O$1504,"&lt;&gt;Cancelled",'JOBS'!$O$5:$O$1504,"&lt;&gt;Rescheduled")+COUNTIFS($B$5:B1025,B1025,$AJ$5:AJ1025,AJ1025,$O$5:O1025,"&lt;&gt;Cancelled",$O$5:O1025,"&lt;&gt;Rescheduled")))</f>
        <v/>
      </c>
      <c r="AL1025" s="49">
        <f>IF(N(U1025)&lt;=0.005,"",COUNTIFS('JOBS'!$U$5:$U$1504,"&gt;0.005",'JOBS'!$B$5:$B$1504,"&lt;"&amp;B1025)+COUNTIFS($U$5:U1025,"&gt;0.005",$B$5:B1025,B1025))</f>
        <v/>
      </c>
    </row>
    <row r="1026">
      <c r="A1026" s="46" t="inlineStr">
        <is>
          <t>J-1022</t>
        </is>
      </c>
      <c r="B1026" s="47" t="n"/>
      <c r="C1026" s="94" t="n"/>
      <c r="D1026" s="38" t="n"/>
      <c r="E1026" s="38" t="n"/>
      <c r="F1026" s="38" t="n"/>
      <c r="G1026" s="38" t="n"/>
      <c r="H1026" s="38" t="n"/>
      <c r="I1026" s="57" t="n"/>
      <c r="J1026" s="95" t="n"/>
      <c r="K1026" s="95" t="n"/>
      <c r="L1026" s="48" t="n"/>
      <c r="M1026" s="96" t="n"/>
      <c r="N1026" s="48" t="n"/>
      <c r="O1026" s="38" t="n"/>
      <c r="P1026" s="38" t="n"/>
      <c r="Q1026" s="97">
        <f>IF(OR(F1026="",E1026=""),"",IFERROR(IF(INDEX('PROPERTIES'!$F$5:$F$404,MATCH(E1026,'PROPERTIES'!$B$5:$B$404,0))=0,"",ROUND((INDEX('PROPERTIES'!$F$5:$F$404,MATCH(E1026,'PROPERTIES'!$B$5:$B$404,0))/INDEX('PRICING'!$C$7:$C$16,MATCH(F1026,'PRICING'!$A$7:$A$16,0))+INDEX('PROPERTIES'!$G$5:$G$404,MATCH(E1026,'PROPERTIES'!$B$5:$B$404,0))*INDEX('PRICING'!$D$7:$D$16,MATCH(F1026,'PRICING'!$A$7:$A$16,0))/60+INDEX('PROPERTIES'!$H$5:$H$404,MATCH(E1026,'PROPERTIES'!$B$5:$B$404,0))*INDEX('PRICING'!$E$7:$E$16,MATCH(F1026,'PRICING'!$A$7:$A$16,0))/60+INDEX('PRICING'!$F$7:$F$16,MATCH(F1026,'PRICING'!$A$7:$A$16,0))/60),2)),""))</f>
        <v/>
      </c>
      <c r="R1026" s="97">
        <f>IF(B1026="","",IF(N(K1026)&gt;0,K1026,IF(N(J1026)&gt;0,J1026,N(Q1026))))</f>
        <v/>
      </c>
      <c r="S1026" s="55">
        <f>IF(L1026="","",ROUND(L1026*(1+N(M1026)),2))</f>
        <v/>
      </c>
      <c r="T1026" s="55">
        <f>IF(B1026="","",SUMIFS('REVENUE'!$C$5:$C$1504,'REVENUE'!$B$5:$B$1504,A1026))</f>
        <v/>
      </c>
      <c r="U1026" s="55">
        <f>IF(B1026="","",IF(O1026="Completed",MAX(0,N(S1026)-T1026),""))</f>
        <v/>
      </c>
      <c r="V1026" s="49">
        <f>IF(B1026="","",IF(O1026&lt;&gt;"Completed",IF(T1026&gt;0,"Deposit","—"),IF(U1026&lt;=0.005,"Paid",IF(T1026&gt;0,"Partial","Unpaid"))))</f>
        <v/>
      </c>
      <c r="W1026" s="55">
        <f>IF(B1026="","",IFERROR(1/(1/INDEX('STAFF &amp; TASKS'!$C$5:$C$24,MATCH(H1026,'STAFF &amp; TASKS'!$A$5:$A$24,0))),PayRate))</f>
        <v/>
      </c>
      <c r="X1026" s="55">
        <f>IF(B1026="","",IF(OR(O1026="Cancelled",O1026="No-Show"),"",ROUND(R1026*W1026*(1+Burden),2)))</f>
        <v/>
      </c>
      <c r="Y1026" s="55">
        <f>IF(B1026="","",IF(OR(O1026="Cancelled",O1026="No-Show"),"",IF(N1026&lt;&gt;"",N1026,ROUND(R1026*SupHr*IFERROR(INDEX('PRICING'!$G$7:$G$16,MATCH(F1026,'PRICING'!$A$7:$A$16,0)),1),2))))</f>
        <v/>
      </c>
      <c r="Z1026" s="98">
        <f>IF(B1026="","",SUMIFS('MILEAGE'!$J$5:$J$1504,'MILEAGE'!$B$5:$B$1504,A1026))</f>
        <v/>
      </c>
      <c r="AA1026" s="55">
        <f>IF(B1026="","",ROUND(Z1026*MileRate,2))</f>
        <v/>
      </c>
      <c r="AB1026" s="55">
        <f>IF(B1026="","",SUMIFS('REVENUE'!$J$5:$J$1504,'REVENUE'!$B$5:$B$1504,A1026))</f>
        <v/>
      </c>
      <c r="AC1026" s="55">
        <f>IF(L1026="","",IF(OR(O1026="Cancelled",O1026="No-Show"),"",L1026-N(X1026)-N(Y1026)-AA1026-AB1026))</f>
        <v/>
      </c>
      <c r="AD1026" s="99">
        <f>IF(OR(AC1026="",N(L1026)=0),"",AC1026/L1026)</f>
        <v/>
      </c>
      <c r="AE1026" s="55">
        <f>IF(OR(AC1026="",N(R1026)=0),"",L1026/R1026)</f>
        <v/>
      </c>
      <c r="AF1026" s="100">
        <f>IF(OR(N(K1026)=0,N(J1026)+N(Q1026)=0),"",K1026-IF(N(J1026)&gt;0,J1026,Q1026))</f>
        <v/>
      </c>
      <c r="AG1026" s="99">
        <f>IF(B1026="","",IFERROR(AVERAGEIFS('QUALITY CONTROL'!$M$5:$M$304,'QUALITY CONTROL'!$B$5:$B$304,A1026),""))</f>
        <v/>
      </c>
      <c r="AH1026" s="51">
        <f>IF(B1026="","",DATE(YEAR(B1026),MONTH(B1026),1))</f>
        <v/>
      </c>
      <c r="AI1026" s="49">
        <f>IF(D1026="","",IFERROR(INDEX('CUSTOMERS'!$E$5:$E$404,MATCH(D1026,'CUSTOMERS'!$B$5:$B$404,0)),""))</f>
        <v/>
      </c>
      <c r="AJ1026" s="49">
        <f>IF(B1026="","",N(C1026))</f>
        <v/>
      </c>
      <c r="AK1026" s="49">
        <f>IF(OR(B1026="",O1026="Cancelled",O1026="Rescheduled"),"",B1026&amp;"|"&amp;(COUNTIFS('JOBS'!$B$5:$B$1504,B1026,'JOBS'!$AJ$5:$AJ$1504,"&lt;"&amp;AJ1026,'JOBS'!$O$5:$O$1504,"&lt;&gt;Cancelled",'JOBS'!$O$5:$O$1504,"&lt;&gt;Rescheduled")+COUNTIFS($B$5:B1026,B1026,$AJ$5:AJ1026,AJ1026,$O$5:O1026,"&lt;&gt;Cancelled",$O$5:O1026,"&lt;&gt;Rescheduled")))</f>
        <v/>
      </c>
      <c r="AL1026" s="49">
        <f>IF(N(U1026)&lt;=0.005,"",COUNTIFS('JOBS'!$U$5:$U$1504,"&gt;0.005",'JOBS'!$B$5:$B$1504,"&lt;"&amp;B1026)+COUNTIFS($U$5:U1026,"&gt;0.005",$B$5:B1026,B1026))</f>
        <v/>
      </c>
    </row>
    <row r="1027">
      <c r="A1027" s="46" t="inlineStr">
        <is>
          <t>J-1023</t>
        </is>
      </c>
      <c r="B1027" s="47" t="n"/>
      <c r="C1027" s="94" t="n"/>
      <c r="D1027" s="38" t="n"/>
      <c r="E1027" s="38" t="n"/>
      <c r="F1027" s="38" t="n"/>
      <c r="G1027" s="38" t="n"/>
      <c r="H1027" s="38" t="n"/>
      <c r="I1027" s="57" t="n"/>
      <c r="J1027" s="95" t="n"/>
      <c r="K1027" s="95" t="n"/>
      <c r="L1027" s="48" t="n"/>
      <c r="M1027" s="96" t="n"/>
      <c r="N1027" s="48" t="n"/>
      <c r="O1027" s="38" t="n"/>
      <c r="P1027" s="38" t="n"/>
      <c r="Q1027" s="97">
        <f>IF(OR(F1027="",E1027=""),"",IFERROR(IF(INDEX('PROPERTIES'!$F$5:$F$404,MATCH(E1027,'PROPERTIES'!$B$5:$B$404,0))=0,"",ROUND((INDEX('PROPERTIES'!$F$5:$F$404,MATCH(E1027,'PROPERTIES'!$B$5:$B$404,0))/INDEX('PRICING'!$C$7:$C$16,MATCH(F1027,'PRICING'!$A$7:$A$16,0))+INDEX('PROPERTIES'!$G$5:$G$404,MATCH(E1027,'PROPERTIES'!$B$5:$B$404,0))*INDEX('PRICING'!$D$7:$D$16,MATCH(F1027,'PRICING'!$A$7:$A$16,0))/60+INDEX('PROPERTIES'!$H$5:$H$404,MATCH(E1027,'PROPERTIES'!$B$5:$B$404,0))*INDEX('PRICING'!$E$7:$E$16,MATCH(F1027,'PRICING'!$A$7:$A$16,0))/60+INDEX('PRICING'!$F$7:$F$16,MATCH(F1027,'PRICING'!$A$7:$A$16,0))/60),2)),""))</f>
        <v/>
      </c>
      <c r="R1027" s="97">
        <f>IF(B1027="","",IF(N(K1027)&gt;0,K1027,IF(N(J1027)&gt;0,J1027,N(Q1027))))</f>
        <v/>
      </c>
      <c r="S1027" s="55">
        <f>IF(L1027="","",ROUND(L1027*(1+N(M1027)),2))</f>
        <v/>
      </c>
      <c r="T1027" s="55">
        <f>IF(B1027="","",SUMIFS('REVENUE'!$C$5:$C$1504,'REVENUE'!$B$5:$B$1504,A1027))</f>
        <v/>
      </c>
      <c r="U1027" s="55">
        <f>IF(B1027="","",IF(O1027="Completed",MAX(0,N(S1027)-T1027),""))</f>
        <v/>
      </c>
      <c r="V1027" s="49">
        <f>IF(B1027="","",IF(O1027&lt;&gt;"Completed",IF(T1027&gt;0,"Deposit","—"),IF(U1027&lt;=0.005,"Paid",IF(T1027&gt;0,"Partial","Unpaid"))))</f>
        <v/>
      </c>
      <c r="W1027" s="55">
        <f>IF(B1027="","",IFERROR(1/(1/INDEX('STAFF &amp; TASKS'!$C$5:$C$24,MATCH(H1027,'STAFF &amp; TASKS'!$A$5:$A$24,0))),PayRate))</f>
        <v/>
      </c>
      <c r="X1027" s="55">
        <f>IF(B1027="","",IF(OR(O1027="Cancelled",O1027="No-Show"),"",ROUND(R1027*W1027*(1+Burden),2)))</f>
        <v/>
      </c>
      <c r="Y1027" s="55">
        <f>IF(B1027="","",IF(OR(O1027="Cancelled",O1027="No-Show"),"",IF(N1027&lt;&gt;"",N1027,ROUND(R1027*SupHr*IFERROR(INDEX('PRICING'!$G$7:$G$16,MATCH(F1027,'PRICING'!$A$7:$A$16,0)),1),2))))</f>
        <v/>
      </c>
      <c r="Z1027" s="98">
        <f>IF(B1027="","",SUMIFS('MILEAGE'!$J$5:$J$1504,'MILEAGE'!$B$5:$B$1504,A1027))</f>
        <v/>
      </c>
      <c r="AA1027" s="55">
        <f>IF(B1027="","",ROUND(Z1027*MileRate,2))</f>
        <v/>
      </c>
      <c r="AB1027" s="55">
        <f>IF(B1027="","",SUMIFS('REVENUE'!$J$5:$J$1504,'REVENUE'!$B$5:$B$1504,A1027))</f>
        <v/>
      </c>
      <c r="AC1027" s="55">
        <f>IF(L1027="","",IF(OR(O1027="Cancelled",O1027="No-Show"),"",L1027-N(X1027)-N(Y1027)-AA1027-AB1027))</f>
        <v/>
      </c>
      <c r="AD1027" s="99">
        <f>IF(OR(AC1027="",N(L1027)=0),"",AC1027/L1027)</f>
        <v/>
      </c>
      <c r="AE1027" s="55">
        <f>IF(OR(AC1027="",N(R1027)=0),"",L1027/R1027)</f>
        <v/>
      </c>
      <c r="AF1027" s="100">
        <f>IF(OR(N(K1027)=0,N(J1027)+N(Q1027)=0),"",K1027-IF(N(J1027)&gt;0,J1027,Q1027))</f>
        <v/>
      </c>
      <c r="AG1027" s="99">
        <f>IF(B1027="","",IFERROR(AVERAGEIFS('QUALITY CONTROL'!$M$5:$M$304,'QUALITY CONTROL'!$B$5:$B$304,A1027),""))</f>
        <v/>
      </c>
      <c r="AH1027" s="51">
        <f>IF(B1027="","",DATE(YEAR(B1027),MONTH(B1027),1))</f>
        <v/>
      </c>
      <c r="AI1027" s="49">
        <f>IF(D1027="","",IFERROR(INDEX('CUSTOMERS'!$E$5:$E$404,MATCH(D1027,'CUSTOMERS'!$B$5:$B$404,0)),""))</f>
        <v/>
      </c>
      <c r="AJ1027" s="49">
        <f>IF(B1027="","",N(C1027))</f>
        <v/>
      </c>
      <c r="AK1027" s="49">
        <f>IF(OR(B1027="",O1027="Cancelled",O1027="Rescheduled"),"",B1027&amp;"|"&amp;(COUNTIFS('JOBS'!$B$5:$B$1504,B1027,'JOBS'!$AJ$5:$AJ$1504,"&lt;"&amp;AJ1027,'JOBS'!$O$5:$O$1504,"&lt;&gt;Cancelled",'JOBS'!$O$5:$O$1504,"&lt;&gt;Rescheduled")+COUNTIFS($B$5:B1027,B1027,$AJ$5:AJ1027,AJ1027,$O$5:O1027,"&lt;&gt;Cancelled",$O$5:O1027,"&lt;&gt;Rescheduled")))</f>
        <v/>
      </c>
      <c r="AL1027" s="49">
        <f>IF(N(U1027)&lt;=0.005,"",COUNTIFS('JOBS'!$U$5:$U$1504,"&gt;0.005",'JOBS'!$B$5:$B$1504,"&lt;"&amp;B1027)+COUNTIFS($U$5:U1027,"&gt;0.005",$B$5:B1027,B1027))</f>
        <v/>
      </c>
    </row>
    <row r="1028">
      <c r="A1028" s="46" t="inlineStr">
        <is>
          <t>J-1024</t>
        </is>
      </c>
      <c r="B1028" s="47" t="n"/>
      <c r="C1028" s="94" t="n"/>
      <c r="D1028" s="38" t="n"/>
      <c r="E1028" s="38" t="n"/>
      <c r="F1028" s="38" t="n"/>
      <c r="G1028" s="38" t="n"/>
      <c r="H1028" s="38" t="n"/>
      <c r="I1028" s="57" t="n"/>
      <c r="J1028" s="95" t="n"/>
      <c r="K1028" s="95" t="n"/>
      <c r="L1028" s="48" t="n"/>
      <c r="M1028" s="96" t="n"/>
      <c r="N1028" s="48" t="n"/>
      <c r="O1028" s="38" t="n"/>
      <c r="P1028" s="38" t="n"/>
      <c r="Q1028" s="97">
        <f>IF(OR(F1028="",E1028=""),"",IFERROR(IF(INDEX('PROPERTIES'!$F$5:$F$404,MATCH(E1028,'PROPERTIES'!$B$5:$B$404,0))=0,"",ROUND((INDEX('PROPERTIES'!$F$5:$F$404,MATCH(E1028,'PROPERTIES'!$B$5:$B$404,0))/INDEX('PRICING'!$C$7:$C$16,MATCH(F1028,'PRICING'!$A$7:$A$16,0))+INDEX('PROPERTIES'!$G$5:$G$404,MATCH(E1028,'PROPERTIES'!$B$5:$B$404,0))*INDEX('PRICING'!$D$7:$D$16,MATCH(F1028,'PRICING'!$A$7:$A$16,0))/60+INDEX('PROPERTIES'!$H$5:$H$404,MATCH(E1028,'PROPERTIES'!$B$5:$B$404,0))*INDEX('PRICING'!$E$7:$E$16,MATCH(F1028,'PRICING'!$A$7:$A$16,0))/60+INDEX('PRICING'!$F$7:$F$16,MATCH(F1028,'PRICING'!$A$7:$A$16,0))/60),2)),""))</f>
        <v/>
      </c>
      <c r="R1028" s="97">
        <f>IF(B1028="","",IF(N(K1028)&gt;0,K1028,IF(N(J1028)&gt;0,J1028,N(Q1028))))</f>
        <v/>
      </c>
      <c r="S1028" s="55">
        <f>IF(L1028="","",ROUND(L1028*(1+N(M1028)),2))</f>
        <v/>
      </c>
      <c r="T1028" s="55">
        <f>IF(B1028="","",SUMIFS('REVENUE'!$C$5:$C$1504,'REVENUE'!$B$5:$B$1504,A1028))</f>
        <v/>
      </c>
      <c r="U1028" s="55">
        <f>IF(B1028="","",IF(O1028="Completed",MAX(0,N(S1028)-T1028),""))</f>
        <v/>
      </c>
      <c r="V1028" s="49">
        <f>IF(B1028="","",IF(O1028&lt;&gt;"Completed",IF(T1028&gt;0,"Deposit","—"),IF(U1028&lt;=0.005,"Paid",IF(T1028&gt;0,"Partial","Unpaid"))))</f>
        <v/>
      </c>
      <c r="W1028" s="55">
        <f>IF(B1028="","",IFERROR(1/(1/INDEX('STAFF &amp; TASKS'!$C$5:$C$24,MATCH(H1028,'STAFF &amp; TASKS'!$A$5:$A$24,0))),PayRate))</f>
        <v/>
      </c>
      <c r="X1028" s="55">
        <f>IF(B1028="","",IF(OR(O1028="Cancelled",O1028="No-Show"),"",ROUND(R1028*W1028*(1+Burden),2)))</f>
        <v/>
      </c>
      <c r="Y1028" s="55">
        <f>IF(B1028="","",IF(OR(O1028="Cancelled",O1028="No-Show"),"",IF(N1028&lt;&gt;"",N1028,ROUND(R1028*SupHr*IFERROR(INDEX('PRICING'!$G$7:$G$16,MATCH(F1028,'PRICING'!$A$7:$A$16,0)),1),2))))</f>
        <v/>
      </c>
      <c r="Z1028" s="98">
        <f>IF(B1028="","",SUMIFS('MILEAGE'!$J$5:$J$1504,'MILEAGE'!$B$5:$B$1504,A1028))</f>
        <v/>
      </c>
      <c r="AA1028" s="55">
        <f>IF(B1028="","",ROUND(Z1028*MileRate,2))</f>
        <v/>
      </c>
      <c r="AB1028" s="55">
        <f>IF(B1028="","",SUMIFS('REVENUE'!$J$5:$J$1504,'REVENUE'!$B$5:$B$1504,A1028))</f>
        <v/>
      </c>
      <c r="AC1028" s="55">
        <f>IF(L1028="","",IF(OR(O1028="Cancelled",O1028="No-Show"),"",L1028-N(X1028)-N(Y1028)-AA1028-AB1028))</f>
        <v/>
      </c>
      <c r="AD1028" s="99">
        <f>IF(OR(AC1028="",N(L1028)=0),"",AC1028/L1028)</f>
        <v/>
      </c>
      <c r="AE1028" s="55">
        <f>IF(OR(AC1028="",N(R1028)=0),"",L1028/R1028)</f>
        <v/>
      </c>
      <c r="AF1028" s="100">
        <f>IF(OR(N(K1028)=0,N(J1028)+N(Q1028)=0),"",K1028-IF(N(J1028)&gt;0,J1028,Q1028))</f>
        <v/>
      </c>
      <c r="AG1028" s="99">
        <f>IF(B1028="","",IFERROR(AVERAGEIFS('QUALITY CONTROL'!$M$5:$M$304,'QUALITY CONTROL'!$B$5:$B$304,A1028),""))</f>
        <v/>
      </c>
      <c r="AH1028" s="51">
        <f>IF(B1028="","",DATE(YEAR(B1028),MONTH(B1028),1))</f>
        <v/>
      </c>
      <c r="AI1028" s="49">
        <f>IF(D1028="","",IFERROR(INDEX('CUSTOMERS'!$E$5:$E$404,MATCH(D1028,'CUSTOMERS'!$B$5:$B$404,0)),""))</f>
        <v/>
      </c>
      <c r="AJ1028" s="49">
        <f>IF(B1028="","",N(C1028))</f>
        <v/>
      </c>
      <c r="AK1028" s="49">
        <f>IF(OR(B1028="",O1028="Cancelled",O1028="Rescheduled"),"",B1028&amp;"|"&amp;(COUNTIFS('JOBS'!$B$5:$B$1504,B1028,'JOBS'!$AJ$5:$AJ$1504,"&lt;"&amp;AJ1028,'JOBS'!$O$5:$O$1504,"&lt;&gt;Cancelled",'JOBS'!$O$5:$O$1504,"&lt;&gt;Rescheduled")+COUNTIFS($B$5:B1028,B1028,$AJ$5:AJ1028,AJ1028,$O$5:O1028,"&lt;&gt;Cancelled",$O$5:O1028,"&lt;&gt;Rescheduled")))</f>
        <v/>
      </c>
      <c r="AL1028" s="49">
        <f>IF(N(U1028)&lt;=0.005,"",COUNTIFS('JOBS'!$U$5:$U$1504,"&gt;0.005",'JOBS'!$B$5:$B$1504,"&lt;"&amp;B1028)+COUNTIFS($U$5:U1028,"&gt;0.005",$B$5:B1028,B1028))</f>
        <v/>
      </c>
    </row>
    <row r="1029">
      <c r="A1029" s="46" t="inlineStr">
        <is>
          <t>J-1025</t>
        </is>
      </c>
      <c r="B1029" s="47" t="n"/>
      <c r="C1029" s="94" t="n"/>
      <c r="D1029" s="38" t="n"/>
      <c r="E1029" s="38" t="n"/>
      <c r="F1029" s="38" t="n"/>
      <c r="G1029" s="38" t="n"/>
      <c r="H1029" s="38" t="n"/>
      <c r="I1029" s="57" t="n"/>
      <c r="J1029" s="95" t="n"/>
      <c r="K1029" s="95" t="n"/>
      <c r="L1029" s="48" t="n"/>
      <c r="M1029" s="96" t="n"/>
      <c r="N1029" s="48" t="n"/>
      <c r="O1029" s="38" t="n"/>
      <c r="P1029" s="38" t="n"/>
      <c r="Q1029" s="97">
        <f>IF(OR(F1029="",E1029=""),"",IFERROR(IF(INDEX('PROPERTIES'!$F$5:$F$404,MATCH(E1029,'PROPERTIES'!$B$5:$B$404,0))=0,"",ROUND((INDEX('PROPERTIES'!$F$5:$F$404,MATCH(E1029,'PROPERTIES'!$B$5:$B$404,0))/INDEX('PRICING'!$C$7:$C$16,MATCH(F1029,'PRICING'!$A$7:$A$16,0))+INDEX('PROPERTIES'!$G$5:$G$404,MATCH(E1029,'PROPERTIES'!$B$5:$B$404,0))*INDEX('PRICING'!$D$7:$D$16,MATCH(F1029,'PRICING'!$A$7:$A$16,0))/60+INDEX('PROPERTIES'!$H$5:$H$404,MATCH(E1029,'PROPERTIES'!$B$5:$B$404,0))*INDEX('PRICING'!$E$7:$E$16,MATCH(F1029,'PRICING'!$A$7:$A$16,0))/60+INDEX('PRICING'!$F$7:$F$16,MATCH(F1029,'PRICING'!$A$7:$A$16,0))/60),2)),""))</f>
        <v/>
      </c>
      <c r="R1029" s="97">
        <f>IF(B1029="","",IF(N(K1029)&gt;0,K1029,IF(N(J1029)&gt;0,J1029,N(Q1029))))</f>
        <v/>
      </c>
      <c r="S1029" s="55">
        <f>IF(L1029="","",ROUND(L1029*(1+N(M1029)),2))</f>
        <v/>
      </c>
      <c r="T1029" s="55">
        <f>IF(B1029="","",SUMIFS('REVENUE'!$C$5:$C$1504,'REVENUE'!$B$5:$B$1504,A1029))</f>
        <v/>
      </c>
      <c r="U1029" s="55">
        <f>IF(B1029="","",IF(O1029="Completed",MAX(0,N(S1029)-T1029),""))</f>
        <v/>
      </c>
      <c r="V1029" s="49">
        <f>IF(B1029="","",IF(O1029&lt;&gt;"Completed",IF(T1029&gt;0,"Deposit","—"),IF(U1029&lt;=0.005,"Paid",IF(T1029&gt;0,"Partial","Unpaid"))))</f>
        <v/>
      </c>
      <c r="W1029" s="55">
        <f>IF(B1029="","",IFERROR(1/(1/INDEX('STAFF &amp; TASKS'!$C$5:$C$24,MATCH(H1029,'STAFF &amp; TASKS'!$A$5:$A$24,0))),PayRate))</f>
        <v/>
      </c>
      <c r="X1029" s="55">
        <f>IF(B1029="","",IF(OR(O1029="Cancelled",O1029="No-Show"),"",ROUND(R1029*W1029*(1+Burden),2)))</f>
        <v/>
      </c>
      <c r="Y1029" s="55">
        <f>IF(B1029="","",IF(OR(O1029="Cancelled",O1029="No-Show"),"",IF(N1029&lt;&gt;"",N1029,ROUND(R1029*SupHr*IFERROR(INDEX('PRICING'!$G$7:$G$16,MATCH(F1029,'PRICING'!$A$7:$A$16,0)),1),2))))</f>
        <v/>
      </c>
      <c r="Z1029" s="98">
        <f>IF(B1029="","",SUMIFS('MILEAGE'!$J$5:$J$1504,'MILEAGE'!$B$5:$B$1504,A1029))</f>
        <v/>
      </c>
      <c r="AA1029" s="55">
        <f>IF(B1029="","",ROUND(Z1029*MileRate,2))</f>
        <v/>
      </c>
      <c r="AB1029" s="55">
        <f>IF(B1029="","",SUMIFS('REVENUE'!$J$5:$J$1504,'REVENUE'!$B$5:$B$1504,A1029))</f>
        <v/>
      </c>
      <c r="AC1029" s="55">
        <f>IF(L1029="","",IF(OR(O1029="Cancelled",O1029="No-Show"),"",L1029-N(X1029)-N(Y1029)-AA1029-AB1029))</f>
        <v/>
      </c>
      <c r="AD1029" s="99">
        <f>IF(OR(AC1029="",N(L1029)=0),"",AC1029/L1029)</f>
        <v/>
      </c>
      <c r="AE1029" s="55">
        <f>IF(OR(AC1029="",N(R1029)=0),"",L1029/R1029)</f>
        <v/>
      </c>
      <c r="AF1029" s="100">
        <f>IF(OR(N(K1029)=0,N(J1029)+N(Q1029)=0),"",K1029-IF(N(J1029)&gt;0,J1029,Q1029))</f>
        <v/>
      </c>
      <c r="AG1029" s="99">
        <f>IF(B1029="","",IFERROR(AVERAGEIFS('QUALITY CONTROL'!$M$5:$M$304,'QUALITY CONTROL'!$B$5:$B$304,A1029),""))</f>
        <v/>
      </c>
      <c r="AH1029" s="51">
        <f>IF(B1029="","",DATE(YEAR(B1029),MONTH(B1029),1))</f>
        <v/>
      </c>
      <c r="AI1029" s="49">
        <f>IF(D1029="","",IFERROR(INDEX('CUSTOMERS'!$E$5:$E$404,MATCH(D1029,'CUSTOMERS'!$B$5:$B$404,0)),""))</f>
        <v/>
      </c>
      <c r="AJ1029" s="49">
        <f>IF(B1029="","",N(C1029))</f>
        <v/>
      </c>
      <c r="AK1029" s="49">
        <f>IF(OR(B1029="",O1029="Cancelled",O1029="Rescheduled"),"",B1029&amp;"|"&amp;(COUNTIFS('JOBS'!$B$5:$B$1504,B1029,'JOBS'!$AJ$5:$AJ$1504,"&lt;"&amp;AJ1029,'JOBS'!$O$5:$O$1504,"&lt;&gt;Cancelled",'JOBS'!$O$5:$O$1504,"&lt;&gt;Rescheduled")+COUNTIFS($B$5:B1029,B1029,$AJ$5:AJ1029,AJ1029,$O$5:O1029,"&lt;&gt;Cancelled",$O$5:O1029,"&lt;&gt;Rescheduled")))</f>
        <v/>
      </c>
      <c r="AL1029" s="49">
        <f>IF(N(U1029)&lt;=0.005,"",COUNTIFS('JOBS'!$U$5:$U$1504,"&gt;0.005",'JOBS'!$B$5:$B$1504,"&lt;"&amp;B1029)+COUNTIFS($U$5:U1029,"&gt;0.005",$B$5:B1029,B1029))</f>
        <v/>
      </c>
    </row>
    <row r="1030">
      <c r="A1030" s="46" t="inlineStr">
        <is>
          <t>J-1026</t>
        </is>
      </c>
      <c r="B1030" s="47" t="n"/>
      <c r="C1030" s="94" t="n"/>
      <c r="D1030" s="38" t="n"/>
      <c r="E1030" s="38" t="n"/>
      <c r="F1030" s="38" t="n"/>
      <c r="G1030" s="38" t="n"/>
      <c r="H1030" s="38" t="n"/>
      <c r="I1030" s="57" t="n"/>
      <c r="J1030" s="95" t="n"/>
      <c r="K1030" s="95" t="n"/>
      <c r="L1030" s="48" t="n"/>
      <c r="M1030" s="96" t="n"/>
      <c r="N1030" s="48" t="n"/>
      <c r="O1030" s="38" t="n"/>
      <c r="P1030" s="38" t="n"/>
      <c r="Q1030" s="97">
        <f>IF(OR(F1030="",E1030=""),"",IFERROR(IF(INDEX('PROPERTIES'!$F$5:$F$404,MATCH(E1030,'PROPERTIES'!$B$5:$B$404,0))=0,"",ROUND((INDEX('PROPERTIES'!$F$5:$F$404,MATCH(E1030,'PROPERTIES'!$B$5:$B$404,0))/INDEX('PRICING'!$C$7:$C$16,MATCH(F1030,'PRICING'!$A$7:$A$16,0))+INDEX('PROPERTIES'!$G$5:$G$404,MATCH(E1030,'PROPERTIES'!$B$5:$B$404,0))*INDEX('PRICING'!$D$7:$D$16,MATCH(F1030,'PRICING'!$A$7:$A$16,0))/60+INDEX('PROPERTIES'!$H$5:$H$404,MATCH(E1030,'PROPERTIES'!$B$5:$B$404,0))*INDEX('PRICING'!$E$7:$E$16,MATCH(F1030,'PRICING'!$A$7:$A$16,0))/60+INDEX('PRICING'!$F$7:$F$16,MATCH(F1030,'PRICING'!$A$7:$A$16,0))/60),2)),""))</f>
        <v/>
      </c>
      <c r="R1030" s="97">
        <f>IF(B1030="","",IF(N(K1030)&gt;0,K1030,IF(N(J1030)&gt;0,J1030,N(Q1030))))</f>
        <v/>
      </c>
      <c r="S1030" s="55">
        <f>IF(L1030="","",ROUND(L1030*(1+N(M1030)),2))</f>
        <v/>
      </c>
      <c r="T1030" s="55">
        <f>IF(B1030="","",SUMIFS('REVENUE'!$C$5:$C$1504,'REVENUE'!$B$5:$B$1504,A1030))</f>
        <v/>
      </c>
      <c r="U1030" s="55">
        <f>IF(B1030="","",IF(O1030="Completed",MAX(0,N(S1030)-T1030),""))</f>
        <v/>
      </c>
      <c r="V1030" s="49">
        <f>IF(B1030="","",IF(O1030&lt;&gt;"Completed",IF(T1030&gt;0,"Deposit","—"),IF(U1030&lt;=0.005,"Paid",IF(T1030&gt;0,"Partial","Unpaid"))))</f>
        <v/>
      </c>
      <c r="W1030" s="55">
        <f>IF(B1030="","",IFERROR(1/(1/INDEX('STAFF &amp; TASKS'!$C$5:$C$24,MATCH(H1030,'STAFF &amp; TASKS'!$A$5:$A$24,0))),PayRate))</f>
        <v/>
      </c>
      <c r="X1030" s="55">
        <f>IF(B1030="","",IF(OR(O1030="Cancelled",O1030="No-Show"),"",ROUND(R1030*W1030*(1+Burden),2)))</f>
        <v/>
      </c>
      <c r="Y1030" s="55">
        <f>IF(B1030="","",IF(OR(O1030="Cancelled",O1030="No-Show"),"",IF(N1030&lt;&gt;"",N1030,ROUND(R1030*SupHr*IFERROR(INDEX('PRICING'!$G$7:$G$16,MATCH(F1030,'PRICING'!$A$7:$A$16,0)),1),2))))</f>
        <v/>
      </c>
      <c r="Z1030" s="98">
        <f>IF(B1030="","",SUMIFS('MILEAGE'!$J$5:$J$1504,'MILEAGE'!$B$5:$B$1504,A1030))</f>
        <v/>
      </c>
      <c r="AA1030" s="55">
        <f>IF(B1030="","",ROUND(Z1030*MileRate,2))</f>
        <v/>
      </c>
      <c r="AB1030" s="55">
        <f>IF(B1030="","",SUMIFS('REVENUE'!$J$5:$J$1504,'REVENUE'!$B$5:$B$1504,A1030))</f>
        <v/>
      </c>
      <c r="AC1030" s="55">
        <f>IF(L1030="","",IF(OR(O1030="Cancelled",O1030="No-Show"),"",L1030-N(X1030)-N(Y1030)-AA1030-AB1030))</f>
        <v/>
      </c>
      <c r="AD1030" s="99">
        <f>IF(OR(AC1030="",N(L1030)=0),"",AC1030/L1030)</f>
        <v/>
      </c>
      <c r="AE1030" s="55">
        <f>IF(OR(AC1030="",N(R1030)=0),"",L1030/R1030)</f>
        <v/>
      </c>
      <c r="AF1030" s="100">
        <f>IF(OR(N(K1030)=0,N(J1030)+N(Q1030)=0),"",K1030-IF(N(J1030)&gt;0,J1030,Q1030))</f>
        <v/>
      </c>
      <c r="AG1030" s="99">
        <f>IF(B1030="","",IFERROR(AVERAGEIFS('QUALITY CONTROL'!$M$5:$M$304,'QUALITY CONTROL'!$B$5:$B$304,A1030),""))</f>
        <v/>
      </c>
      <c r="AH1030" s="51">
        <f>IF(B1030="","",DATE(YEAR(B1030),MONTH(B1030),1))</f>
        <v/>
      </c>
      <c r="AI1030" s="49">
        <f>IF(D1030="","",IFERROR(INDEX('CUSTOMERS'!$E$5:$E$404,MATCH(D1030,'CUSTOMERS'!$B$5:$B$404,0)),""))</f>
        <v/>
      </c>
      <c r="AJ1030" s="49">
        <f>IF(B1030="","",N(C1030))</f>
        <v/>
      </c>
      <c r="AK1030" s="49">
        <f>IF(OR(B1030="",O1030="Cancelled",O1030="Rescheduled"),"",B1030&amp;"|"&amp;(COUNTIFS('JOBS'!$B$5:$B$1504,B1030,'JOBS'!$AJ$5:$AJ$1504,"&lt;"&amp;AJ1030,'JOBS'!$O$5:$O$1504,"&lt;&gt;Cancelled",'JOBS'!$O$5:$O$1504,"&lt;&gt;Rescheduled")+COUNTIFS($B$5:B1030,B1030,$AJ$5:AJ1030,AJ1030,$O$5:O1030,"&lt;&gt;Cancelled",$O$5:O1030,"&lt;&gt;Rescheduled")))</f>
        <v/>
      </c>
      <c r="AL1030" s="49">
        <f>IF(N(U1030)&lt;=0.005,"",COUNTIFS('JOBS'!$U$5:$U$1504,"&gt;0.005",'JOBS'!$B$5:$B$1504,"&lt;"&amp;B1030)+COUNTIFS($U$5:U1030,"&gt;0.005",$B$5:B1030,B1030))</f>
        <v/>
      </c>
    </row>
    <row r="1031">
      <c r="A1031" s="46" t="inlineStr">
        <is>
          <t>J-1027</t>
        </is>
      </c>
      <c r="B1031" s="47" t="n"/>
      <c r="C1031" s="94" t="n"/>
      <c r="D1031" s="38" t="n"/>
      <c r="E1031" s="38" t="n"/>
      <c r="F1031" s="38" t="n"/>
      <c r="G1031" s="38" t="n"/>
      <c r="H1031" s="38" t="n"/>
      <c r="I1031" s="57" t="n"/>
      <c r="J1031" s="95" t="n"/>
      <c r="K1031" s="95" t="n"/>
      <c r="L1031" s="48" t="n"/>
      <c r="M1031" s="96" t="n"/>
      <c r="N1031" s="48" t="n"/>
      <c r="O1031" s="38" t="n"/>
      <c r="P1031" s="38" t="n"/>
      <c r="Q1031" s="97">
        <f>IF(OR(F1031="",E1031=""),"",IFERROR(IF(INDEX('PROPERTIES'!$F$5:$F$404,MATCH(E1031,'PROPERTIES'!$B$5:$B$404,0))=0,"",ROUND((INDEX('PROPERTIES'!$F$5:$F$404,MATCH(E1031,'PROPERTIES'!$B$5:$B$404,0))/INDEX('PRICING'!$C$7:$C$16,MATCH(F1031,'PRICING'!$A$7:$A$16,0))+INDEX('PROPERTIES'!$G$5:$G$404,MATCH(E1031,'PROPERTIES'!$B$5:$B$404,0))*INDEX('PRICING'!$D$7:$D$16,MATCH(F1031,'PRICING'!$A$7:$A$16,0))/60+INDEX('PROPERTIES'!$H$5:$H$404,MATCH(E1031,'PROPERTIES'!$B$5:$B$404,0))*INDEX('PRICING'!$E$7:$E$16,MATCH(F1031,'PRICING'!$A$7:$A$16,0))/60+INDEX('PRICING'!$F$7:$F$16,MATCH(F1031,'PRICING'!$A$7:$A$16,0))/60),2)),""))</f>
        <v/>
      </c>
      <c r="R1031" s="97">
        <f>IF(B1031="","",IF(N(K1031)&gt;0,K1031,IF(N(J1031)&gt;0,J1031,N(Q1031))))</f>
        <v/>
      </c>
      <c r="S1031" s="55">
        <f>IF(L1031="","",ROUND(L1031*(1+N(M1031)),2))</f>
        <v/>
      </c>
      <c r="T1031" s="55">
        <f>IF(B1031="","",SUMIFS('REVENUE'!$C$5:$C$1504,'REVENUE'!$B$5:$B$1504,A1031))</f>
        <v/>
      </c>
      <c r="U1031" s="55">
        <f>IF(B1031="","",IF(O1031="Completed",MAX(0,N(S1031)-T1031),""))</f>
        <v/>
      </c>
      <c r="V1031" s="49">
        <f>IF(B1031="","",IF(O1031&lt;&gt;"Completed",IF(T1031&gt;0,"Deposit","—"),IF(U1031&lt;=0.005,"Paid",IF(T1031&gt;0,"Partial","Unpaid"))))</f>
        <v/>
      </c>
      <c r="W1031" s="55">
        <f>IF(B1031="","",IFERROR(1/(1/INDEX('STAFF &amp; TASKS'!$C$5:$C$24,MATCH(H1031,'STAFF &amp; TASKS'!$A$5:$A$24,0))),PayRate))</f>
        <v/>
      </c>
      <c r="X1031" s="55">
        <f>IF(B1031="","",IF(OR(O1031="Cancelled",O1031="No-Show"),"",ROUND(R1031*W1031*(1+Burden),2)))</f>
        <v/>
      </c>
      <c r="Y1031" s="55">
        <f>IF(B1031="","",IF(OR(O1031="Cancelled",O1031="No-Show"),"",IF(N1031&lt;&gt;"",N1031,ROUND(R1031*SupHr*IFERROR(INDEX('PRICING'!$G$7:$G$16,MATCH(F1031,'PRICING'!$A$7:$A$16,0)),1),2))))</f>
        <v/>
      </c>
      <c r="Z1031" s="98">
        <f>IF(B1031="","",SUMIFS('MILEAGE'!$J$5:$J$1504,'MILEAGE'!$B$5:$B$1504,A1031))</f>
        <v/>
      </c>
      <c r="AA1031" s="55">
        <f>IF(B1031="","",ROUND(Z1031*MileRate,2))</f>
        <v/>
      </c>
      <c r="AB1031" s="55">
        <f>IF(B1031="","",SUMIFS('REVENUE'!$J$5:$J$1504,'REVENUE'!$B$5:$B$1504,A1031))</f>
        <v/>
      </c>
      <c r="AC1031" s="55">
        <f>IF(L1031="","",IF(OR(O1031="Cancelled",O1031="No-Show"),"",L1031-N(X1031)-N(Y1031)-AA1031-AB1031))</f>
        <v/>
      </c>
      <c r="AD1031" s="99">
        <f>IF(OR(AC1031="",N(L1031)=0),"",AC1031/L1031)</f>
        <v/>
      </c>
      <c r="AE1031" s="55">
        <f>IF(OR(AC1031="",N(R1031)=0),"",L1031/R1031)</f>
        <v/>
      </c>
      <c r="AF1031" s="100">
        <f>IF(OR(N(K1031)=0,N(J1031)+N(Q1031)=0),"",K1031-IF(N(J1031)&gt;0,J1031,Q1031))</f>
        <v/>
      </c>
      <c r="AG1031" s="99">
        <f>IF(B1031="","",IFERROR(AVERAGEIFS('QUALITY CONTROL'!$M$5:$M$304,'QUALITY CONTROL'!$B$5:$B$304,A1031),""))</f>
        <v/>
      </c>
      <c r="AH1031" s="51">
        <f>IF(B1031="","",DATE(YEAR(B1031),MONTH(B1031),1))</f>
        <v/>
      </c>
      <c r="AI1031" s="49">
        <f>IF(D1031="","",IFERROR(INDEX('CUSTOMERS'!$E$5:$E$404,MATCH(D1031,'CUSTOMERS'!$B$5:$B$404,0)),""))</f>
        <v/>
      </c>
      <c r="AJ1031" s="49">
        <f>IF(B1031="","",N(C1031))</f>
        <v/>
      </c>
      <c r="AK1031" s="49">
        <f>IF(OR(B1031="",O1031="Cancelled",O1031="Rescheduled"),"",B1031&amp;"|"&amp;(COUNTIFS('JOBS'!$B$5:$B$1504,B1031,'JOBS'!$AJ$5:$AJ$1504,"&lt;"&amp;AJ1031,'JOBS'!$O$5:$O$1504,"&lt;&gt;Cancelled",'JOBS'!$O$5:$O$1504,"&lt;&gt;Rescheduled")+COUNTIFS($B$5:B1031,B1031,$AJ$5:AJ1031,AJ1031,$O$5:O1031,"&lt;&gt;Cancelled",$O$5:O1031,"&lt;&gt;Rescheduled")))</f>
        <v/>
      </c>
      <c r="AL1031" s="49">
        <f>IF(N(U1031)&lt;=0.005,"",COUNTIFS('JOBS'!$U$5:$U$1504,"&gt;0.005",'JOBS'!$B$5:$B$1504,"&lt;"&amp;B1031)+COUNTIFS($U$5:U1031,"&gt;0.005",$B$5:B1031,B1031))</f>
        <v/>
      </c>
    </row>
    <row r="1032">
      <c r="A1032" s="46" t="inlineStr">
        <is>
          <t>J-1028</t>
        </is>
      </c>
      <c r="B1032" s="47" t="n"/>
      <c r="C1032" s="94" t="n"/>
      <c r="D1032" s="38" t="n"/>
      <c r="E1032" s="38" t="n"/>
      <c r="F1032" s="38" t="n"/>
      <c r="G1032" s="38" t="n"/>
      <c r="H1032" s="38" t="n"/>
      <c r="I1032" s="57" t="n"/>
      <c r="J1032" s="95" t="n"/>
      <c r="K1032" s="95" t="n"/>
      <c r="L1032" s="48" t="n"/>
      <c r="M1032" s="96" t="n"/>
      <c r="N1032" s="48" t="n"/>
      <c r="O1032" s="38" t="n"/>
      <c r="P1032" s="38" t="n"/>
      <c r="Q1032" s="97">
        <f>IF(OR(F1032="",E1032=""),"",IFERROR(IF(INDEX('PROPERTIES'!$F$5:$F$404,MATCH(E1032,'PROPERTIES'!$B$5:$B$404,0))=0,"",ROUND((INDEX('PROPERTIES'!$F$5:$F$404,MATCH(E1032,'PROPERTIES'!$B$5:$B$404,0))/INDEX('PRICING'!$C$7:$C$16,MATCH(F1032,'PRICING'!$A$7:$A$16,0))+INDEX('PROPERTIES'!$G$5:$G$404,MATCH(E1032,'PROPERTIES'!$B$5:$B$404,0))*INDEX('PRICING'!$D$7:$D$16,MATCH(F1032,'PRICING'!$A$7:$A$16,0))/60+INDEX('PROPERTIES'!$H$5:$H$404,MATCH(E1032,'PROPERTIES'!$B$5:$B$404,0))*INDEX('PRICING'!$E$7:$E$16,MATCH(F1032,'PRICING'!$A$7:$A$16,0))/60+INDEX('PRICING'!$F$7:$F$16,MATCH(F1032,'PRICING'!$A$7:$A$16,0))/60),2)),""))</f>
        <v/>
      </c>
      <c r="R1032" s="97">
        <f>IF(B1032="","",IF(N(K1032)&gt;0,K1032,IF(N(J1032)&gt;0,J1032,N(Q1032))))</f>
        <v/>
      </c>
      <c r="S1032" s="55">
        <f>IF(L1032="","",ROUND(L1032*(1+N(M1032)),2))</f>
        <v/>
      </c>
      <c r="T1032" s="55">
        <f>IF(B1032="","",SUMIFS('REVENUE'!$C$5:$C$1504,'REVENUE'!$B$5:$B$1504,A1032))</f>
        <v/>
      </c>
      <c r="U1032" s="55">
        <f>IF(B1032="","",IF(O1032="Completed",MAX(0,N(S1032)-T1032),""))</f>
        <v/>
      </c>
      <c r="V1032" s="49">
        <f>IF(B1032="","",IF(O1032&lt;&gt;"Completed",IF(T1032&gt;0,"Deposit","—"),IF(U1032&lt;=0.005,"Paid",IF(T1032&gt;0,"Partial","Unpaid"))))</f>
        <v/>
      </c>
      <c r="W1032" s="55">
        <f>IF(B1032="","",IFERROR(1/(1/INDEX('STAFF &amp; TASKS'!$C$5:$C$24,MATCH(H1032,'STAFF &amp; TASKS'!$A$5:$A$24,0))),PayRate))</f>
        <v/>
      </c>
      <c r="X1032" s="55">
        <f>IF(B1032="","",IF(OR(O1032="Cancelled",O1032="No-Show"),"",ROUND(R1032*W1032*(1+Burden),2)))</f>
        <v/>
      </c>
      <c r="Y1032" s="55">
        <f>IF(B1032="","",IF(OR(O1032="Cancelled",O1032="No-Show"),"",IF(N1032&lt;&gt;"",N1032,ROUND(R1032*SupHr*IFERROR(INDEX('PRICING'!$G$7:$G$16,MATCH(F1032,'PRICING'!$A$7:$A$16,0)),1),2))))</f>
        <v/>
      </c>
      <c r="Z1032" s="98">
        <f>IF(B1032="","",SUMIFS('MILEAGE'!$J$5:$J$1504,'MILEAGE'!$B$5:$B$1504,A1032))</f>
        <v/>
      </c>
      <c r="AA1032" s="55">
        <f>IF(B1032="","",ROUND(Z1032*MileRate,2))</f>
        <v/>
      </c>
      <c r="AB1032" s="55">
        <f>IF(B1032="","",SUMIFS('REVENUE'!$J$5:$J$1504,'REVENUE'!$B$5:$B$1504,A1032))</f>
        <v/>
      </c>
      <c r="AC1032" s="55">
        <f>IF(L1032="","",IF(OR(O1032="Cancelled",O1032="No-Show"),"",L1032-N(X1032)-N(Y1032)-AA1032-AB1032))</f>
        <v/>
      </c>
      <c r="AD1032" s="99">
        <f>IF(OR(AC1032="",N(L1032)=0),"",AC1032/L1032)</f>
        <v/>
      </c>
      <c r="AE1032" s="55">
        <f>IF(OR(AC1032="",N(R1032)=0),"",L1032/R1032)</f>
        <v/>
      </c>
      <c r="AF1032" s="100">
        <f>IF(OR(N(K1032)=0,N(J1032)+N(Q1032)=0),"",K1032-IF(N(J1032)&gt;0,J1032,Q1032))</f>
        <v/>
      </c>
      <c r="AG1032" s="99">
        <f>IF(B1032="","",IFERROR(AVERAGEIFS('QUALITY CONTROL'!$M$5:$M$304,'QUALITY CONTROL'!$B$5:$B$304,A1032),""))</f>
        <v/>
      </c>
      <c r="AH1032" s="51">
        <f>IF(B1032="","",DATE(YEAR(B1032),MONTH(B1032),1))</f>
        <v/>
      </c>
      <c r="AI1032" s="49">
        <f>IF(D1032="","",IFERROR(INDEX('CUSTOMERS'!$E$5:$E$404,MATCH(D1032,'CUSTOMERS'!$B$5:$B$404,0)),""))</f>
        <v/>
      </c>
      <c r="AJ1032" s="49">
        <f>IF(B1032="","",N(C1032))</f>
        <v/>
      </c>
      <c r="AK1032" s="49">
        <f>IF(OR(B1032="",O1032="Cancelled",O1032="Rescheduled"),"",B1032&amp;"|"&amp;(COUNTIFS('JOBS'!$B$5:$B$1504,B1032,'JOBS'!$AJ$5:$AJ$1504,"&lt;"&amp;AJ1032,'JOBS'!$O$5:$O$1504,"&lt;&gt;Cancelled",'JOBS'!$O$5:$O$1504,"&lt;&gt;Rescheduled")+COUNTIFS($B$5:B1032,B1032,$AJ$5:AJ1032,AJ1032,$O$5:O1032,"&lt;&gt;Cancelled",$O$5:O1032,"&lt;&gt;Rescheduled")))</f>
        <v/>
      </c>
      <c r="AL1032" s="49">
        <f>IF(N(U1032)&lt;=0.005,"",COUNTIFS('JOBS'!$U$5:$U$1504,"&gt;0.005",'JOBS'!$B$5:$B$1504,"&lt;"&amp;B1032)+COUNTIFS($U$5:U1032,"&gt;0.005",$B$5:B1032,B1032))</f>
        <v/>
      </c>
    </row>
    <row r="1033">
      <c r="A1033" s="46" t="inlineStr">
        <is>
          <t>J-1029</t>
        </is>
      </c>
      <c r="B1033" s="47" t="n"/>
      <c r="C1033" s="94" t="n"/>
      <c r="D1033" s="38" t="n"/>
      <c r="E1033" s="38" t="n"/>
      <c r="F1033" s="38" t="n"/>
      <c r="G1033" s="38" t="n"/>
      <c r="H1033" s="38" t="n"/>
      <c r="I1033" s="57" t="n"/>
      <c r="J1033" s="95" t="n"/>
      <c r="K1033" s="95" t="n"/>
      <c r="L1033" s="48" t="n"/>
      <c r="M1033" s="96" t="n"/>
      <c r="N1033" s="48" t="n"/>
      <c r="O1033" s="38" t="n"/>
      <c r="P1033" s="38" t="n"/>
      <c r="Q1033" s="97">
        <f>IF(OR(F1033="",E1033=""),"",IFERROR(IF(INDEX('PROPERTIES'!$F$5:$F$404,MATCH(E1033,'PROPERTIES'!$B$5:$B$404,0))=0,"",ROUND((INDEX('PROPERTIES'!$F$5:$F$404,MATCH(E1033,'PROPERTIES'!$B$5:$B$404,0))/INDEX('PRICING'!$C$7:$C$16,MATCH(F1033,'PRICING'!$A$7:$A$16,0))+INDEX('PROPERTIES'!$G$5:$G$404,MATCH(E1033,'PROPERTIES'!$B$5:$B$404,0))*INDEX('PRICING'!$D$7:$D$16,MATCH(F1033,'PRICING'!$A$7:$A$16,0))/60+INDEX('PROPERTIES'!$H$5:$H$404,MATCH(E1033,'PROPERTIES'!$B$5:$B$404,0))*INDEX('PRICING'!$E$7:$E$16,MATCH(F1033,'PRICING'!$A$7:$A$16,0))/60+INDEX('PRICING'!$F$7:$F$16,MATCH(F1033,'PRICING'!$A$7:$A$16,0))/60),2)),""))</f>
        <v/>
      </c>
      <c r="R1033" s="97">
        <f>IF(B1033="","",IF(N(K1033)&gt;0,K1033,IF(N(J1033)&gt;0,J1033,N(Q1033))))</f>
        <v/>
      </c>
      <c r="S1033" s="55">
        <f>IF(L1033="","",ROUND(L1033*(1+N(M1033)),2))</f>
        <v/>
      </c>
      <c r="T1033" s="55">
        <f>IF(B1033="","",SUMIFS('REVENUE'!$C$5:$C$1504,'REVENUE'!$B$5:$B$1504,A1033))</f>
        <v/>
      </c>
      <c r="U1033" s="55">
        <f>IF(B1033="","",IF(O1033="Completed",MAX(0,N(S1033)-T1033),""))</f>
        <v/>
      </c>
      <c r="V1033" s="49">
        <f>IF(B1033="","",IF(O1033&lt;&gt;"Completed",IF(T1033&gt;0,"Deposit","—"),IF(U1033&lt;=0.005,"Paid",IF(T1033&gt;0,"Partial","Unpaid"))))</f>
        <v/>
      </c>
      <c r="W1033" s="55">
        <f>IF(B1033="","",IFERROR(1/(1/INDEX('STAFF &amp; TASKS'!$C$5:$C$24,MATCH(H1033,'STAFF &amp; TASKS'!$A$5:$A$24,0))),PayRate))</f>
        <v/>
      </c>
      <c r="X1033" s="55">
        <f>IF(B1033="","",IF(OR(O1033="Cancelled",O1033="No-Show"),"",ROUND(R1033*W1033*(1+Burden),2)))</f>
        <v/>
      </c>
      <c r="Y1033" s="55">
        <f>IF(B1033="","",IF(OR(O1033="Cancelled",O1033="No-Show"),"",IF(N1033&lt;&gt;"",N1033,ROUND(R1033*SupHr*IFERROR(INDEX('PRICING'!$G$7:$G$16,MATCH(F1033,'PRICING'!$A$7:$A$16,0)),1),2))))</f>
        <v/>
      </c>
      <c r="Z1033" s="98">
        <f>IF(B1033="","",SUMIFS('MILEAGE'!$J$5:$J$1504,'MILEAGE'!$B$5:$B$1504,A1033))</f>
        <v/>
      </c>
      <c r="AA1033" s="55">
        <f>IF(B1033="","",ROUND(Z1033*MileRate,2))</f>
        <v/>
      </c>
      <c r="AB1033" s="55">
        <f>IF(B1033="","",SUMIFS('REVENUE'!$J$5:$J$1504,'REVENUE'!$B$5:$B$1504,A1033))</f>
        <v/>
      </c>
      <c r="AC1033" s="55">
        <f>IF(L1033="","",IF(OR(O1033="Cancelled",O1033="No-Show"),"",L1033-N(X1033)-N(Y1033)-AA1033-AB1033))</f>
        <v/>
      </c>
      <c r="AD1033" s="99">
        <f>IF(OR(AC1033="",N(L1033)=0),"",AC1033/L1033)</f>
        <v/>
      </c>
      <c r="AE1033" s="55">
        <f>IF(OR(AC1033="",N(R1033)=0),"",L1033/R1033)</f>
        <v/>
      </c>
      <c r="AF1033" s="100">
        <f>IF(OR(N(K1033)=0,N(J1033)+N(Q1033)=0),"",K1033-IF(N(J1033)&gt;0,J1033,Q1033))</f>
        <v/>
      </c>
      <c r="AG1033" s="99">
        <f>IF(B1033="","",IFERROR(AVERAGEIFS('QUALITY CONTROL'!$M$5:$M$304,'QUALITY CONTROL'!$B$5:$B$304,A1033),""))</f>
        <v/>
      </c>
      <c r="AH1033" s="51">
        <f>IF(B1033="","",DATE(YEAR(B1033),MONTH(B1033),1))</f>
        <v/>
      </c>
      <c r="AI1033" s="49">
        <f>IF(D1033="","",IFERROR(INDEX('CUSTOMERS'!$E$5:$E$404,MATCH(D1033,'CUSTOMERS'!$B$5:$B$404,0)),""))</f>
        <v/>
      </c>
      <c r="AJ1033" s="49">
        <f>IF(B1033="","",N(C1033))</f>
        <v/>
      </c>
      <c r="AK1033" s="49">
        <f>IF(OR(B1033="",O1033="Cancelled",O1033="Rescheduled"),"",B1033&amp;"|"&amp;(COUNTIFS('JOBS'!$B$5:$B$1504,B1033,'JOBS'!$AJ$5:$AJ$1504,"&lt;"&amp;AJ1033,'JOBS'!$O$5:$O$1504,"&lt;&gt;Cancelled",'JOBS'!$O$5:$O$1504,"&lt;&gt;Rescheduled")+COUNTIFS($B$5:B1033,B1033,$AJ$5:AJ1033,AJ1033,$O$5:O1033,"&lt;&gt;Cancelled",$O$5:O1033,"&lt;&gt;Rescheduled")))</f>
        <v/>
      </c>
      <c r="AL1033" s="49">
        <f>IF(N(U1033)&lt;=0.005,"",COUNTIFS('JOBS'!$U$5:$U$1504,"&gt;0.005",'JOBS'!$B$5:$B$1504,"&lt;"&amp;B1033)+COUNTIFS($U$5:U1033,"&gt;0.005",$B$5:B1033,B1033))</f>
        <v/>
      </c>
    </row>
    <row r="1034">
      <c r="A1034" s="46" t="inlineStr">
        <is>
          <t>J-1030</t>
        </is>
      </c>
      <c r="B1034" s="47" t="n"/>
      <c r="C1034" s="94" t="n"/>
      <c r="D1034" s="38" t="n"/>
      <c r="E1034" s="38" t="n"/>
      <c r="F1034" s="38" t="n"/>
      <c r="G1034" s="38" t="n"/>
      <c r="H1034" s="38" t="n"/>
      <c r="I1034" s="57" t="n"/>
      <c r="J1034" s="95" t="n"/>
      <c r="K1034" s="95" t="n"/>
      <c r="L1034" s="48" t="n"/>
      <c r="M1034" s="96" t="n"/>
      <c r="N1034" s="48" t="n"/>
      <c r="O1034" s="38" t="n"/>
      <c r="P1034" s="38" t="n"/>
      <c r="Q1034" s="97">
        <f>IF(OR(F1034="",E1034=""),"",IFERROR(IF(INDEX('PROPERTIES'!$F$5:$F$404,MATCH(E1034,'PROPERTIES'!$B$5:$B$404,0))=0,"",ROUND((INDEX('PROPERTIES'!$F$5:$F$404,MATCH(E1034,'PROPERTIES'!$B$5:$B$404,0))/INDEX('PRICING'!$C$7:$C$16,MATCH(F1034,'PRICING'!$A$7:$A$16,0))+INDEX('PROPERTIES'!$G$5:$G$404,MATCH(E1034,'PROPERTIES'!$B$5:$B$404,0))*INDEX('PRICING'!$D$7:$D$16,MATCH(F1034,'PRICING'!$A$7:$A$16,0))/60+INDEX('PROPERTIES'!$H$5:$H$404,MATCH(E1034,'PROPERTIES'!$B$5:$B$404,0))*INDEX('PRICING'!$E$7:$E$16,MATCH(F1034,'PRICING'!$A$7:$A$16,0))/60+INDEX('PRICING'!$F$7:$F$16,MATCH(F1034,'PRICING'!$A$7:$A$16,0))/60),2)),""))</f>
        <v/>
      </c>
      <c r="R1034" s="97">
        <f>IF(B1034="","",IF(N(K1034)&gt;0,K1034,IF(N(J1034)&gt;0,J1034,N(Q1034))))</f>
        <v/>
      </c>
      <c r="S1034" s="55">
        <f>IF(L1034="","",ROUND(L1034*(1+N(M1034)),2))</f>
        <v/>
      </c>
      <c r="T1034" s="55">
        <f>IF(B1034="","",SUMIFS('REVENUE'!$C$5:$C$1504,'REVENUE'!$B$5:$B$1504,A1034))</f>
        <v/>
      </c>
      <c r="U1034" s="55">
        <f>IF(B1034="","",IF(O1034="Completed",MAX(0,N(S1034)-T1034),""))</f>
        <v/>
      </c>
      <c r="V1034" s="49">
        <f>IF(B1034="","",IF(O1034&lt;&gt;"Completed",IF(T1034&gt;0,"Deposit","—"),IF(U1034&lt;=0.005,"Paid",IF(T1034&gt;0,"Partial","Unpaid"))))</f>
        <v/>
      </c>
      <c r="W1034" s="55">
        <f>IF(B1034="","",IFERROR(1/(1/INDEX('STAFF &amp; TASKS'!$C$5:$C$24,MATCH(H1034,'STAFF &amp; TASKS'!$A$5:$A$24,0))),PayRate))</f>
        <v/>
      </c>
      <c r="X1034" s="55">
        <f>IF(B1034="","",IF(OR(O1034="Cancelled",O1034="No-Show"),"",ROUND(R1034*W1034*(1+Burden),2)))</f>
        <v/>
      </c>
      <c r="Y1034" s="55">
        <f>IF(B1034="","",IF(OR(O1034="Cancelled",O1034="No-Show"),"",IF(N1034&lt;&gt;"",N1034,ROUND(R1034*SupHr*IFERROR(INDEX('PRICING'!$G$7:$G$16,MATCH(F1034,'PRICING'!$A$7:$A$16,0)),1),2))))</f>
        <v/>
      </c>
      <c r="Z1034" s="98">
        <f>IF(B1034="","",SUMIFS('MILEAGE'!$J$5:$J$1504,'MILEAGE'!$B$5:$B$1504,A1034))</f>
        <v/>
      </c>
      <c r="AA1034" s="55">
        <f>IF(B1034="","",ROUND(Z1034*MileRate,2))</f>
        <v/>
      </c>
      <c r="AB1034" s="55">
        <f>IF(B1034="","",SUMIFS('REVENUE'!$J$5:$J$1504,'REVENUE'!$B$5:$B$1504,A1034))</f>
        <v/>
      </c>
      <c r="AC1034" s="55">
        <f>IF(L1034="","",IF(OR(O1034="Cancelled",O1034="No-Show"),"",L1034-N(X1034)-N(Y1034)-AA1034-AB1034))</f>
        <v/>
      </c>
      <c r="AD1034" s="99">
        <f>IF(OR(AC1034="",N(L1034)=0),"",AC1034/L1034)</f>
        <v/>
      </c>
      <c r="AE1034" s="55">
        <f>IF(OR(AC1034="",N(R1034)=0),"",L1034/R1034)</f>
        <v/>
      </c>
      <c r="AF1034" s="100">
        <f>IF(OR(N(K1034)=0,N(J1034)+N(Q1034)=0),"",K1034-IF(N(J1034)&gt;0,J1034,Q1034))</f>
        <v/>
      </c>
      <c r="AG1034" s="99">
        <f>IF(B1034="","",IFERROR(AVERAGEIFS('QUALITY CONTROL'!$M$5:$M$304,'QUALITY CONTROL'!$B$5:$B$304,A1034),""))</f>
        <v/>
      </c>
      <c r="AH1034" s="51">
        <f>IF(B1034="","",DATE(YEAR(B1034),MONTH(B1034),1))</f>
        <v/>
      </c>
      <c r="AI1034" s="49">
        <f>IF(D1034="","",IFERROR(INDEX('CUSTOMERS'!$E$5:$E$404,MATCH(D1034,'CUSTOMERS'!$B$5:$B$404,0)),""))</f>
        <v/>
      </c>
      <c r="AJ1034" s="49">
        <f>IF(B1034="","",N(C1034))</f>
        <v/>
      </c>
      <c r="AK1034" s="49">
        <f>IF(OR(B1034="",O1034="Cancelled",O1034="Rescheduled"),"",B1034&amp;"|"&amp;(COUNTIFS('JOBS'!$B$5:$B$1504,B1034,'JOBS'!$AJ$5:$AJ$1504,"&lt;"&amp;AJ1034,'JOBS'!$O$5:$O$1504,"&lt;&gt;Cancelled",'JOBS'!$O$5:$O$1504,"&lt;&gt;Rescheduled")+COUNTIFS($B$5:B1034,B1034,$AJ$5:AJ1034,AJ1034,$O$5:O1034,"&lt;&gt;Cancelled",$O$5:O1034,"&lt;&gt;Rescheduled")))</f>
        <v/>
      </c>
      <c r="AL1034" s="49">
        <f>IF(N(U1034)&lt;=0.005,"",COUNTIFS('JOBS'!$U$5:$U$1504,"&gt;0.005",'JOBS'!$B$5:$B$1504,"&lt;"&amp;B1034)+COUNTIFS($U$5:U1034,"&gt;0.005",$B$5:B1034,B1034))</f>
        <v/>
      </c>
    </row>
    <row r="1035">
      <c r="A1035" s="46" t="inlineStr">
        <is>
          <t>J-1031</t>
        </is>
      </c>
      <c r="B1035" s="47" t="n"/>
      <c r="C1035" s="94" t="n"/>
      <c r="D1035" s="38" t="n"/>
      <c r="E1035" s="38" t="n"/>
      <c r="F1035" s="38" t="n"/>
      <c r="G1035" s="38" t="n"/>
      <c r="H1035" s="38" t="n"/>
      <c r="I1035" s="57" t="n"/>
      <c r="J1035" s="95" t="n"/>
      <c r="K1035" s="95" t="n"/>
      <c r="L1035" s="48" t="n"/>
      <c r="M1035" s="96" t="n"/>
      <c r="N1035" s="48" t="n"/>
      <c r="O1035" s="38" t="n"/>
      <c r="P1035" s="38" t="n"/>
      <c r="Q1035" s="97">
        <f>IF(OR(F1035="",E1035=""),"",IFERROR(IF(INDEX('PROPERTIES'!$F$5:$F$404,MATCH(E1035,'PROPERTIES'!$B$5:$B$404,0))=0,"",ROUND((INDEX('PROPERTIES'!$F$5:$F$404,MATCH(E1035,'PROPERTIES'!$B$5:$B$404,0))/INDEX('PRICING'!$C$7:$C$16,MATCH(F1035,'PRICING'!$A$7:$A$16,0))+INDEX('PROPERTIES'!$G$5:$G$404,MATCH(E1035,'PROPERTIES'!$B$5:$B$404,0))*INDEX('PRICING'!$D$7:$D$16,MATCH(F1035,'PRICING'!$A$7:$A$16,0))/60+INDEX('PROPERTIES'!$H$5:$H$404,MATCH(E1035,'PROPERTIES'!$B$5:$B$404,0))*INDEX('PRICING'!$E$7:$E$16,MATCH(F1035,'PRICING'!$A$7:$A$16,0))/60+INDEX('PRICING'!$F$7:$F$16,MATCH(F1035,'PRICING'!$A$7:$A$16,0))/60),2)),""))</f>
        <v/>
      </c>
      <c r="R1035" s="97">
        <f>IF(B1035="","",IF(N(K1035)&gt;0,K1035,IF(N(J1035)&gt;0,J1035,N(Q1035))))</f>
        <v/>
      </c>
      <c r="S1035" s="55">
        <f>IF(L1035="","",ROUND(L1035*(1+N(M1035)),2))</f>
        <v/>
      </c>
      <c r="T1035" s="55">
        <f>IF(B1035="","",SUMIFS('REVENUE'!$C$5:$C$1504,'REVENUE'!$B$5:$B$1504,A1035))</f>
        <v/>
      </c>
      <c r="U1035" s="55">
        <f>IF(B1035="","",IF(O1035="Completed",MAX(0,N(S1035)-T1035),""))</f>
        <v/>
      </c>
      <c r="V1035" s="49">
        <f>IF(B1035="","",IF(O1035&lt;&gt;"Completed",IF(T1035&gt;0,"Deposit","—"),IF(U1035&lt;=0.005,"Paid",IF(T1035&gt;0,"Partial","Unpaid"))))</f>
        <v/>
      </c>
      <c r="W1035" s="55">
        <f>IF(B1035="","",IFERROR(1/(1/INDEX('STAFF &amp; TASKS'!$C$5:$C$24,MATCH(H1035,'STAFF &amp; TASKS'!$A$5:$A$24,0))),PayRate))</f>
        <v/>
      </c>
      <c r="X1035" s="55">
        <f>IF(B1035="","",IF(OR(O1035="Cancelled",O1035="No-Show"),"",ROUND(R1035*W1035*(1+Burden),2)))</f>
        <v/>
      </c>
      <c r="Y1035" s="55">
        <f>IF(B1035="","",IF(OR(O1035="Cancelled",O1035="No-Show"),"",IF(N1035&lt;&gt;"",N1035,ROUND(R1035*SupHr*IFERROR(INDEX('PRICING'!$G$7:$G$16,MATCH(F1035,'PRICING'!$A$7:$A$16,0)),1),2))))</f>
        <v/>
      </c>
      <c r="Z1035" s="98">
        <f>IF(B1035="","",SUMIFS('MILEAGE'!$J$5:$J$1504,'MILEAGE'!$B$5:$B$1504,A1035))</f>
        <v/>
      </c>
      <c r="AA1035" s="55">
        <f>IF(B1035="","",ROUND(Z1035*MileRate,2))</f>
        <v/>
      </c>
      <c r="AB1035" s="55">
        <f>IF(B1035="","",SUMIFS('REVENUE'!$J$5:$J$1504,'REVENUE'!$B$5:$B$1504,A1035))</f>
        <v/>
      </c>
      <c r="AC1035" s="55">
        <f>IF(L1035="","",IF(OR(O1035="Cancelled",O1035="No-Show"),"",L1035-N(X1035)-N(Y1035)-AA1035-AB1035))</f>
        <v/>
      </c>
      <c r="AD1035" s="99">
        <f>IF(OR(AC1035="",N(L1035)=0),"",AC1035/L1035)</f>
        <v/>
      </c>
      <c r="AE1035" s="55">
        <f>IF(OR(AC1035="",N(R1035)=0),"",L1035/R1035)</f>
        <v/>
      </c>
      <c r="AF1035" s="100">
        <f>IF(OR(N(K1035)=0,N(J1035)+N(Q1035)=0),"",K1035-IF(N(J1035)&gt;0,J1035,Q1035))</f>
        <v/>
      </c>
      <c r="AG1035" s="99">
        <f>IF(B1035="","",IFERROR(AVERAGEIFS('QUALITY CONTROL'!$M$5:$M$304,'QUALITY CONTROL'!$B$5:$B$304,A1035),""))</f>
        <v/>
      </c>
      <c r="AH1035" s="51">
        <f>IF(B1035="","",DATE(YEAR(B1035),MONTH(B1035),1))</f>
        <v/>
      </c>
      <c r="AI1035" s="49">
        <f>IF(D1035="","",IFERROR(INDEX('CUSTOMERS'!$E$5:$E$404,MATCH(D1035,'CUSTOMERS'!$B$5:$B$404,0)),""))</f>
        <v/>
      </c>
      <c r="AJ1035" s="49">
        <f>IF(B1035="","",N(C1035))</f>
        <v/>
      </c>
      <c r="AK1035" s="49">
        <f>IF(OR(B1035="",O1035="Cancelled",O1035="Rescheduled"),"",B1035&amp;"|"&amp;(COUNTIFS('JOBS'!$B$5:$B$1504,B1035,'JOBS'!$AJ$5:$AJ$1504,"&lt;"&amp;AJ1035,'JOBS'!$O$5:$O$1504,"&lt;&gt;Cancelled",'JOBS'!$O$5:$O$1504,"&lt;&gt;Rescheduled")+COUNTIFS($B$5:B1035,B1035,$AJ$5:AJ1035,AJ1035,$O$5:O1035,"&lt;&gt;Cancelled",$O$5:O1035,"&lt;&gt;Rescheduled")))</f>
        <v/>
      </c>
      <c r="AL1035" s="49">
        <f>IF(N(U1035)&lt;=0.005,"",COUNTIFS('JOBS'!$U$5:$U$1504,"&gt;0.005",'JOBS'!$B$5:$B$1504,"&lt;"&amp;B1035)+COUNTIFS($U$5:U1035,"&gt;0.005",$B$5:B1035,B1035))</f>
        <v/>
      </c>
    </row>
    <row r="1036">
      <c r="A1036" s="46" t="inlineStr">
        <is>
          <t>J-1032</t>
        </is>
      </c>
      <c r="B1036" s="47" t="n"/>
      <c r="C1036" s="94" t="n"/>
      <c r="D1036" s="38" t="n"/>
      <c r="E1036" s="38" t="n"/>
      <c r="F1036" s="38" t="n"/>
      <c r="G1036" s="38" t="n"/>
      <c r="H1036" s="38" t="n"/>
      <c r="I1036" s="57" t="n"/>
      <c r="J1036" s="95" t="n"/>
      <c r="K1036" s="95" t="n"/>
      <c r="L1036" s="48" t="n"/>
      <c r="M1036" s="96" t="n"/>
      <c r="N1036" s="48" t="n"/>
      <c r="O1036" s="38" t="n"/>
      <c r="P1036" s="38" t="n"/>
      <c r="Q1036" s="97">
        <f>IF(OR(F1036="",E1036=""),"",IFERROR(IF(INDEX('PROPERTIES'!$F$5:$F$404,MATCH(E1036,'PROPERTIES'!$B$5:$B$404,0))=0,"",ROUND((INDEX('PROPERTIES'!$F$5:$F$404,MATCH(E1036,'PROPERTIES'!$B$5:$B$404,0))/INDEX('PRICING'!$C$7:$C$16,MATCH(F1036,'PRICING'!$A$7:$A$16,0))+INDEX('PROPERTIES'!$G$5:$G$404,MATCH(E1036,'PROPERTIES'!$B$5:$B$404,0))*INDEX('PRICING'!$D$7:$D$16,MATCH(F1036,'PRICING'!$A$7:$A$16,0))/60+INDEX('PROPERTIES'!$H$5:$H$404,MATCH(E1036,'PROPERTIES'!$B$5:$B$404,0))*INDEX('PRICING'!$E$7:$E$16,MATCH(F1036,'PRICING'!$A$7:$A$16,0))/60+INDEX('PRICING'!$F$7:$F$16,MATCH(F1036,'PRICING'!$A$7:$A$16,0))/60),2)),""))</f>
        <v/>
      </c>
      <c r="R1036" s="97">
        <f>IF(B1036="","",IF(N(K1036)&gt;0,K1036,IF(N(J1036)&gt;0,J1036,N(Q1036))))</f>
        <v/>
      </c>
      <c r="S1036" s="55">
        <f>IF(L1036="","",ROUND(L1036*(1+N(M1036)),2))</f>
        <v/>
      </c>
      <c r="T1036" s="55">
        <f>IF(B1036="","",SUMIFS('REVENUE'!$C$5:$C$1504,'REVENUE'!$B$5:$B$1504,A1036))</f>
        <v/>
      </c>
      <c r="U1036" s="55">
        <f>IF(B1036="","",IF(O1036="Completed",MAX(0,N(S1036)-T1036),""))</f>
        <v/>
      </c>
      <c r="V1036" s="49">
        <f>IF(B1036="","",IF(O1036&lt;&gt;"Completed",IF(T1036&gt;0,"Deposit","—"),IF(U1036&lt;=0.005,"Paid",IF(T1036&gt;0,"Partial","Unpaid"))))</f>
        <v/>
      </c>
      <c r="W1036" s="55">
        <f>IF(B1036="","",IFERROR(1/(1/INDEX('STAFF &amp; TASKS'!$C$5:$C$24,MATCH(H1036,'STAFF &amp; TASKS'!$A$5:$A$24,0))),PayRate))</f>
        <v/>
      </c>
      <c r="X1036" s="55">
        <f>IF(B1036="","",IF(OR(O1036="Cancelled",O1036="No-Show"),"",ROUND(R1036*W1036*(1+Burden),2)))</f>
        <v/>
      </c>
      <c r="Y1036" s="55">
        <f>IF(B1036="","",IF(OR(O1036="Cancelled",O1036="No-Show"),"",IF(N1036&lt;&gt;"",N1036,ROUND(R1036*SupHr*IFERROR(INDEX('PRICING'!$G$7:$G$16,MATCH(F1036,'PRICING'!$A$7:$A$16,0)),1),2))))</f>
        <v/>
      </c>
      <c r="Z1036" s="98">
        <f>IF(B1036="","",SUMIFS('MILEAGE'!$J$5:$J$1504,'MILEAGE'!$B$5:$B$1504,A1036))</f>
        <v/>
      </c>
      <c r="AA1036" s="55">
        <f>IF(B1036="","",ROUND(Z1036*MileRate,2))</f>
        <v/>
      </c>
      <c r="AB1036" s="55">
        <f>IF(B1036="","",SUMIFS('REVENUE'!$J$5:$J$1504,'REVENUE'!$B$5:$B$1504,A1036))</f>
        <v/>
      </c>
      <c r="AC1036" s="55">
        <f>IF(L1036="","",IF(OR(O1036="Cancelled",O1036="No-Show"),"",L1036-N(X1036)-N(Y1036)-AA1036-AB1036))</f>
        <v/>
      </c>
      <c r="AD1036" s="99">
        <f>IF(OR(AC1036="",N(L1036)=0),"",AC1036/L1036)</f>
        <v/>
      </c>
      <c r="AE1036" s="55">
        <f>IF(OR(AC1036="",N(R1036)=0),"",L1036/R1036)</f>
        <v/>
      </c>
      <c r="AF1036" s="100">
        <f>IF(OR(N(K1036)=0,N(J1036)+N(Q1036)=0),"",K1036-IF(N(J1036)&gt;0,J1036,Q1036))</f>
        <v/>
      </c>
      <c r="AG1036" s="99">
        <f>IF(B1036="","",IFERROR(AVERAGEIFS('QUALITY CONTROL'!$M$5:$M$304,'QUALITY CONTROL'!$B$5:$B$304,A1036),""))</f>
        <v/>
      </c>
      <c r="AH1036" s="51">
        <f>IF(B1036="","",DATE(YEAR(B1036),MONTH(B1036),1))</f>
        <v/>
      </c>
      <c r="AI1036" s="49">
        <f>IF(D1036="","",IFERROR(INDEX('CUSTOMERS'!$E$5:$E$404,MATCH(D1036,'CUSTOMERS'!$B$5:$B$404,0)),""))</f>
        <v/>
      </c>
      <c r="AJ1036" s="49">
        <f>IF(B1036="","",N(C1036))</f>
        <v/>
      </c>
      <c r="AK1036" s="49">
        <f>IF(OR(B1036="",O1036="Cancelled",O1036="Rescheduled"),"",B1036&amp;"|"&amp;(COUNTIFS('JOBS'!$B$5:$B$1504,B1036,'JOBS'!$AJ$5:$AJ$1504,"&lt;"&amp;AJ1036,'JOBS'!$O$5:$O$1504,"&lt;&gt;Cancelled",'JOBS'!$O$5:$O$1504,"&lt;&gt;Rescheduled")+COUNTIFS($B$5:B1036,B1036,$AJ$5:AJ1036,AJ1036,$O$5:O1036,"&lt;&gt;Cancelled",$O$5:O1036,"&lt;&gt;Rescheduled")))</f>
        <v/>
      </c>
      <c r="AL1036" s="49">
        <f>IF(N(U1036)&lt;=0.005,"",COUNTIFS('JOBS'!$U$5:$U$1504,"&gt;0.005",'JOBS'!$B$5:$B$1504,"&lt;"&amp;B1036)+COUNTIFS($U$5:U1036,"&gt;0.005",$B$5:B1036,B1036))</f>
        <v/>
      </c>
    </row>
    <row r="1037">
      <c r="A1037" s="46" t="inlineStr">
        <is>
          <t>J-1033</t>
        </is>
      </c>
      <c r="B1037" s="47" t="n"/>
      <c r="C1037" s="94" t="n"/>
      <c r="D1037" s="38" t="n"/>
      <c r="E1037" s="38" t="n"/>
      <c r="F1037" s="38" t="n"/>
      <c r="G1037" s="38" t="n"/>
      <c r="H1037" s="38" t="n"/>
      <c r="I1037" s="57" t="n"/>
      <c r="J1037" s="95" t="n"/>
      <c r="K1037" s="95" t="n"/>
      <c r="L1037" s="48" t="n"/>
      <c r="M1037" s="96" t="n"/>
      <c r="N1037" s="48" t="n"/>
      <c r="O1037" s="38" t="n"/>
      <c r="P1037" s="38" t="n"/>
      <c r="Q1037" s="97">
        <f>IF(OR(F1037="",E1037=""),"",IFERROR(IF(INDEX('PROPERTIES'!$F$5:$F$404,MATCH(E1037,'PROPERTIES'!$B$5:$B$404,0))=0,"",ROUND((INDEX('PROPERTIES'!$F$5:$F$404,MATCH(E1037,'PROPERTIES'!$B$5:$B$404,0))/INDEX('PRICING'!$C$7:$C$16,MATCH(F1037,'PRICING'!$A$7:$A$16,0))+INDEX('PROPERTIES'!$G$5:$G$404,MATCH(E1037,'PROPERTIES'!$B$5:$B$404,0))*INDEX('PRICING'!$D$7:$D$16,MATCH(F1037,'PRICING'!$A$7:$A$16,0))/60+INDEX('PROPERTIES'!$H$5:$H$404,MATCH(E1037,'PROPERTIES'!$B$5:$B$404,0))*INDEX('PRICING'!$E$7:$E$16,MATCH(F1037,'PRICING'!$A$7:$A$16,0))/60+INDEX('PRICING'!$F$7:$F$16,MATCH(F1037,'PRICING'!$A$7:$A$16,0))/60),2)),""))</f>
        <v/>
      </c>
      <c r="R1037" s="97">
        <f>IF(B1037="","",IF(N(K1037)&gt;0,K1037,IF(N(J1037)&gt;0,J1037,N(Q1037))))</f>
        <v/>
      </c>
      <c r="S1037" s="55">
        <f>IF(L1037="","",ROUND(L1037*(1+N(M1037)),2))</f>
        <v/>
      </c>
      <c r="T1037" s="55">
        <f>IF(B1037="","",SUMIFS('REVENUE'!$C$5:$C$1504,'REVENUE'!$B$5:$B$1504,A1037))</f>
        <v/>
      </c>
      <c r="U1037" s="55">
        <f>IF(B1037="","",IF(O1037="Completed",MAX(0,N(S1037)-T1037),""))</f>
        <v/>
      </c>
      <c r="V1037" s="49">
        <f>IF(B1037="","",IF(O1037&lt;&gt;"Completed",IF(T1037&gt;0,"Deposit","—"),IF(U1037&lt;=0.005,"Paid",IF(T1037&gt;0,"Partial","Unpaid"))))</f>
        <v/>
      </c>
      <c r="W1037" s="55">
        <f>IF(B1037="","",IFERROR(1/(1/INDEX('STAFF &amp; TASKS'!$C$5:$C$24,MATCH(H1037,'STAFF &amp; TASKS'!$A$5:$A$24,0))),PayRate))</f>
        <v/>
      </c>
      <c r="X1037" s="55">
        <f>IF(B1037="","",IF(OR(O1037="Cancelled",O1037="No-Show"),"",ROUND(R1037*W1037*(1+Burden),2)))</f>
        <v/>
      </c>
      <c r="Y1037" s="55">
        <f>IF(B1037="","",IF(OR(O1037="Cancelled",O1037="No-Show"),"",IF(N1037&lt;&gt;"",N1037,ROUND(R1037*SupHr*IFERROR(INDEX('PRICING'!$G$7:$G$16,MATCH(F1037,'PRICING'!$A$7:$A$16,0)),1),2))))</f>
        <v/>
      </c>
      <c r="Z1037" s="98">
        <f>IF(B1037="","",SUMIFS('MILEAGE'!$J$5:$J$1504,'MILEAGE'!$B$5:$B$1504,A1037))</f>
        <v/>
      </c>
      <c r="AA1037" s="55">
        <f>IF(B1037="","",ROUND(Z1037*MileRate,2))</f>
        <v/>
      </c>
      <c r="AB1037" s="55">
        <f>IF(B1037="","",SUMIFS('REVENUE'!$J$5:$J$1504,'REVENUE'!$B$5:$B$1504,A1037))</f>
        <v/>
      </c>
      <c r="AC1037" s="55">
        <f>IF(L1037="","",IF(OR(O1037="Cancelled",O1037="No-Show"),"",L1037-N(X1037)-N(Y1037)-AA1037-AB1037))</f>
        <v/>
      </c>
      <c r="AD1037" s="99">
        <f>IF(OR(AC1037="",N(L1037)=0),"",AC1037/L1037)</f>
        <v/>
      </c>
      <c r="AE1037" s="55">
        <f>IF(OR(AC1037="",N(R1037)=0),"",L1037/R1037)</f>
        <v/>
      </c>
      <c r="AF1037" s="100">
        <f>IF(OR(N(K1037)=0,N(J1037)+N(Q1037)=0),"",K1037-IF(N(J1037)&gt;0,J1037,Q1037))</f>
        <v/>
      </c>
      <c r="AG1037" s="99">
        <f>IF(B1037="","",IFERROR(AVERAGEIFS('QUALITY CONTROL'!$M$5:$M$304,'QUALITY CONTROL'!$B$5:$B$304,A1037),""))</f>
        <v/>
      </c>
      <c r="AH1037" s="51">
        <f>IF(B1037="","",DATE(YEAR(B1037),MONTH(B1037),1))</f>
        <v/>
      </c>
      <c r="AI1037" s="49">
        <f>IF(D1037="","",IFERROR(INDEX('CUSTOMERS'!$E$5:$E$404,MATCH(D1037,'CUSTOMERS'!$B$5:$B$404,0)),""))</f>
        <v/>
      </c>
      <c r="AJ1037" s="49">
        <f>IF(B1037="","",N(C1037))</f>
        <v/>
      </c>
      <c r="AK1037" s="49">
        <f>IF(OR(B1037="",O1037="Cancelled",O1037="Rescheduled"),"",B1037&amp;"|"&amp;(COUNTIFS('JOBS'!$B$5:$B$1504,B1037,'JOBS'!$AJ$5:$AJ$1504,"&lt;"&amp;AJ1037,'JOBS'!$O$5:$O$1504,"&lt;&gt;Cancelled",'JOBS'!$O$5:$O$1504,"&lt;&gt;Rescheduled")+COUNTIFS($B$5:B1037,B1037,$AJ$5:AJ1037,AJ1037,$O$5:O1037,"&lt;&gt;Cancelled",$O$5:O1037,"&lt;&gt;Rescheduled")))</f>
        <v/>
      </c>
      <c r="AL1037" s="49">
        <f>IF(N(U1037)&lt;=0.005,"",COUNTIFS('JOBS'!$U$5:$U$1504,"&gt;0.005",'JOBS'!$B$5:$B$1504,"&lt;"&amp;B1037)+COUNTIFS($U$5:U1037,"&gt;0.005",$B$5:B1037,B1037))</f>
        <v/>
      </c>
    </row>
    <row r="1038">
      <c r="A1038" s="46" t="inlineStr">
        <is>
          <t>J-1034</t>
        </is>
      </c>
      <c r="B1038" s="47" t="n"/>
      <c r="C1038" s="94" t="n"/>
      <c r="D1038" s="38" t="n"/>
      <c r="E1038" s="38" t="n"/>
      <c r="F1038" s="38" t="n"/>
      <c r="G1038" s="38" t="n"/>
      <c r="H1038" s="38" t="n"/>
      <c r="I1038" s="57" t="n"/>
      <c r="J1038" s="95" t="n"/>
      <c r="K1038" s="95" t="n"/>
      <c r="L1038" s="48" t="n"/>
      <c r="M1038" s="96" t="n"/>
      <c r="N1038" s="48" t="n"/>
      <c r="O1038" s="38" t="n"/>
      <c r="P1038" s="38" t="n"/>
      <c r="Q1038" s="97">
        <f>IF(OR(F1038="",E1038=""),"",IFERROR(IF(INDEX('PROPERTIES'!$F$5:$F$404,MATCH(E1038,'PROPERTIES'!$B$5:$B$404,0))=0,"",ROUND((INDEX('PROPERTIES'!$F$5:$F$404,MATCH(E1038,'PROPERTIES'!$B$5:$B$404,0))/INDEX('PRICING'!$C$7:$C$16,MATCH(F1038,'PRICING'!$A$7:$A$16,0))+INDEX('PROPERTIES'!$G$5:$G$404,MATCH(E1038,'PROPERTIES'!$B$5:$B$404,0))*INDEX('PRICING'!$D$7:$D$16,MATCH(F1038,'PRICING'!$A$7:$A$16,0))/60+INDEX('PROPERTIES'!$H$5:$H$404,MATCH(E1038,'PROPERTIES'!$B$5:$B$404,0))*INDEX('PRICING'!$E$7:$E$16,MATCH(F1038,'PRICING'!$A$7:$A$16,0))/60+INDEX('PRICING'!$F$7:$F$16,MATCH(F1038,'PRICING'!$A$7:$A$16,0))/60),2)),""))</f>
        <v/>
      </c>
      <c r="R1038" s="97">
        <f>IF(B1038="","",IF(N(K1038)&gt;0,K1038,IF(N(J1038)&gt;0,J1038,N(Q1038))))</f>
        <v/>
      </c>
      <c r="S1038" s="55">
        <f>IF(L1038="","",ROUND(L1038*(1+N(M1038)),2))</f>
        <v/>
      </c>
      <c r="T1038" s="55">
        <f>IF(B1038="","",SUMIFS('REVENUE'!$C$5:$C$1504,'REVENUE'!$B$5:$B$1504,A1038))</f>
        <v/>
      </c>
      <c r="U1038" s="55">
        <f>IF(B1038="","",IF(O1038="Completed",MAX(0,N(S1038)-T1038),""))</f>
        <v/>
      </c>
      <c r="V1038" s="49">
        <f>IF(B1038="","",IF(O1038&lt;&gt;"Completed",IF(T1038&gt;0,"Deposit","—"),IF(U1038&lt;=0.005,"Paid",IF(T1038&gt;0,"Partial","Unpaid"))))</f>
        <v/>
      </c>
      <c r="W1038" s="55">
        <f>IF(B1038="","",IFERROR(1/(1/INDEX('STAFF &amp; TASKS'!$C$5:$C$24,MATCH(H1038,'STAFF &amp; TASKS'!$A$5:$A$24,0))),PayRate))</f>
        <v/>
      </c>
      <c r="X1038" s="55">
        <f>IF(B1038="","",IF(OR(O1038="Cancelled",O1038="No-Show"),"",ROUND(R1038*W1038*(1+Burden),2)))</f>
        <v/>
      </c>
      <c r="Y1038" s="55">
        <f>IF(B1038="","",IF(OR(O1038="Cancelled",O1038="No-Show"),"",IF(N1038&lt;&gt;"",N1038,ROUND(R1038*SupHr*IFERROR(INDEX('PRICING'!$G$7:$G$16,MATCH(F1038,'PRICING'!$A$7:$A$16,0)),1),2))))</f>
        <v/>
      </c>
      <c r="Z1038" s="98">
        <f>IF(B1038="","",SUMIFS('MILEAGE'!$J$5:$J$1504,'MILEAGE'!$B$5:$B$1504,A1038))</f>
        <v/>
      </c>
      <c r="AA1038" s="55">
        <f>IF(B1038="","",ROUND(Z1038*MileRate,2))</f>
        <v/>
      </c>
      <c r="AB1038" s="55">
        <f>IF(B1038="","",SUMIFS('REVENUE'!$J$5:$J$1504,'REVENUE'!$B$5:$B$1504,A1038))</f>
        <v/>
      </c>
      <c r="AC1038" s="55">
        <f>IF(L1038="","",IF(OR(O1038="Cancelled",O1038="No-Show"),"",L1038-N(X1038)-N(Y1038)-AA1038-AB1038))</f>
        <v/>
      </c>
      <c r="AD1038" s="99">
        <f>IF(OR(AC1038="",N(L1038)=0),"",AC1038/L1038)</f>
        <v/>
      </c>
      <c r="AE1038" s="55">
        <f>IF(OR(AC1038="",N(R1038)=0),"",L1038/R1038)</f>
        <v/>
      </c>
      <c r="AF1038" s="100">
        <f>IF(OR(N(K1038)=0,N(J1038)+N(Q1038)=0),"",K1038-IF(N(J1038)&gt;0,J1038,Q1038))</f>
        <v/>
      </c>
      <c r="AG1038" s="99">
        <f>IF(B1038="","",IFERROR(AVERAGEIFS('QUALITY CONTROL'!$M$5:$M$304,'QUALITY CONTROL'!$B$5:$B$304,A1038),""))</f>
        <v/>
      </c>
      <c r="AH1038" s="51">
        <f>IF(B1038="","",DATE(YEAR(B1038),MONTH(B1038),1))</f>
        <v/>
      </c>
      <c r="AI1038" s="49">
        <f>IF(D1038="","",IFERROR(INDEX('CUSTOMERS'!$E$5:$E$404,MATCH(D1038,'CUSTOMERS'!$B$5:$B$404,0)),""))</f>
        <v/>
      </c>
      <c r="AJ1038" s="49">
        <f>IF(B1038="","",N(C1038))</f>
        <v/>
      </c>
      <c r="AK1038" s="49">
        <f>IF(OR(B1038="",O1038="Cancelled",O1038="Rescheduled"),"",B1038&amp;"|"&amp;(COUNTIFS('JOBS'!$B$5:$B$1504,B1038,'JOBS'!$AJ$5:$AJ$1504,"&lt;"&amp;AJ1038,'JOBS'!$O$5:$O$1504,"&lt;&gt;Cancelled",'JOBS'!$O$5:$O$1504,"&lt;&gt;Rescheduled")+COUNTIFS($B$5:B1038,B1038,$AJ$5:AJ1038,AJ1038,$O$5:O1038,"&lt;&gt;Cancelled",$O$5:O1038,"&lt;&gt;Rescheduled")))</f>
        <v/>
      </c>
      <c r="AL1038" s="49">
        <f>IF(N(U1038)&lt;=0.005,"",COUNTIFS('JOBS'!$U$5:$U$1504,"&gt;0.005",'JOBS'!$B$5:$B$1504,"&lt;"&amp;B1038)+COUNTIFS($U$5:U1038,"&gt;0.005",$B$5:B1038,B1038))</f>
        <v/>
      </c>
    </row>
    <row r="1039">
      <c r="A1039" s="46" t="inlineStr">
        <is>
          <t>J-1035</t>
        </is>
      </c>
      <c r="B1039" s="47" t="n"/>
      <c r="C1039" s="94" t="n"/>
      <c r="D1039" s="38" t="n"/>
      <c r="E1039" s="38" t="n"/>
      <c r="F1039" s="38" t="n"/>
      <c r="G1039" s="38" t="n"/>
      <c r="H1039" s="38" t="n"/>
      <c r="I1039" s="57" t="n"/>
      <c r="J1039" s="95" t="n"/>
      <c r="K1039" s="95" t="n"/>
      <c r="L1039" s="48" t="n"/>
      <c r="M1039" s="96" t="n"/>
      <c r="N1039" s="48" t="n"/>
      <c r="O1039" s="38" t="n"/>
      <c r="P1039" s="38" t="n"/>
      <c r="Q1039" s="97">
        <f>IF(OR(F1039="",E1039=""),"",IFERROR(IF(INDEX('PROPERTIES'!$F$5:$F$404,MATCH(E1039,'PROPERTIES'!$B$5:$B$404,0))=0,"",ROUND((INDEX('PROPERTIES'!$F$5:$F$404,MATCH(E1039,'PROPERTIES'!$B$5:$B$404,0))/INDEX('PRICING'!$C$7:$C$16,MATCH(F1039,'PRICING'!$A$7:$A$16,0))+INDEX('PROPERTIES'!$G$5:$G$404,MATCH(E1039,'PROPERTIES'!$B$5:$B$404,0))*INDEX('PRICING'!$D$7:$D$16,MATCH(F1039,'PRICING'!$A$7:$A$16,0))/60+INDEX('PROPERTIES'!$H$5:$H$404,MATCH(E1039,'PROPERTIES'!$B$5:$B$404,0))*INDEX('PRICING'!$E$7:$E$16,MATCH(F1039,'PRICING'!$A$7:$A$16,0))/60+INDEX('PRICING'!$F$7:$F$16,MATCH(F1039,'PRICING'!$A$7:$A$16,0))/60),2)),""))</f>
        <v/>
      </c>
      <c r="R1039" s="97">
        <f>IF(B1039="","",IF(N(K1039)&gt;0,K1039,IF(N(J1039)&gt;0,J1039,N(Q1039))))</f>
        <v/>
      </c>
      <c r="S1039" s="55">
        <f>IF(L1039="","",ROUND(L1039*(1+N(M1039)),2))</f>
        <v/>
      </c>
      <c r="T1039" s="55">
        <f>IF(B1039="","",SUMIFS('REVENUE'!$C$5:$C$1504,'REVENUE'!$B$5:$B$1504,A1039))</f>
        <v/>
      </c>
      <c r="U1039" s="55">
        <f>IF(B1039="","",IF(O1039="Completed",MAX(0,N(S1039)-T1039),""))</f>
        <v/>
      </c>
      <c r="V1039" s="49">
        <f>IF(B1039="","",IF(O1039&lt;&gt;"Completed",IF(T1039&gt;0,"Deposit","—"),IF(U1039&lt;=0.005,"Paid",IF(T1039&gt;0,"Partial","Unpaid"))))</f>
        <v/>
      </c>
      <c r="W1039" s="55">
        <f>IF(B1039="","",IFERROR(1/(1/INDEX('STAFF &amp; TASKS'!$C$5:$C$24,MATCH(H1039,'STAFF &amp; TASKS'!$A$5:$A$24,0))),PayRate))</f>
        <v/>
      </c>
      <c r="X1039" s="55">
        <f>IF(B1039="","",IF(OR(O1039="Cancelled",O1039="No-Show"),"",ROUND(R1039*W1039*(1+Burden),2)))</f>
        <v/>
      </c>
      <c r="Y1039" s="55">
        <f>IF(B1039="","",IF(OR(O1039="Cancelled",O1039="No-Show"),"",IF(N1039&lt;&gt;"",N1039,ROUND(R1039*SupHr*IFERROR(INDEX('PRICING'!$G$7:$G$16,MATCH(F1039,'PRICING'!$A$7:$A$16,0)),1),2))))</f>
        <v/>
      </c>
      <c r="Z1039" s="98">
        <f>IF(B1039="","",SUMIFS('MILEAGE'!$J$5:$J$1504,'MILEAGE'!$B$5:$B$1504,A1039))</f>
        <v/>
      </c>
      <c r="AA1039" s="55">
        <f>IF(B1039="","",ROUND(Z1039*MileRate,2))</f>
        <v/>
      </c>
      <c r="AB1039" s="55">
        <f>IF(B1039="","",SUMIFS('REVENUE'!$J$5:$J$1504,'REVENUE'!$B$5:$B$1504,A1039))</f>
        <v/>
      </c>
      <c r="AC1039" s="55">
        <f>IF(L1039="","",IF(OR(O1039="Cancelled",O1039="No-Show"),"",L1039-N(X1039)-N(Y1039)-AA1039-AB1039))</f>
        <v/>
      </c>
      <c r="AD1039" s="99">
        <f>IF(OR(AC1039="",N(L1039)=0),"",AC1039/L1039)</f>
        <v/>
      </c>
      <c r="AE1039" s="55">
        <f>IF(OR(AC1039="",N(R1039)=0),"",L1039/R1039)</f>
        <v/>
      </c>
      <c r="AF1039" s="100">
        <f>IF(OR(N(K1039)=0,N(J1039)+N(Q1039)=0),"",K1039-IF(N(J1039)&gt;0,J1039,Q1039))</f>
        <v/>
      </c>
      <c r="AG1039" s="99">
        <f>IF(B1039="","",IFERROR(AVERAGEIFS('QUALITY CONTROL'!$M$5:$M$304,'QUALITY CONTROL'!$B$5:$B$304,A1039),""))</f>
        <v/>
      </c>
      <c r="AH1039" s="51">
        <f>IF(B1039="","",DATE(YEAR(B1039),MONTH(B1039),1))</f>
        <v/>
      </c>
      <c r="AI1039" s="49">
        <f>IF(D1039="","",IFERROR(INDEX('CUSTOMERS'!$E$5:$E$404,MATCH(D1039,'CUSTOMERS'!$B$5:$B$404,0)),""))</f>
        <v/>
      </c>
      <c r="AJ1039" s="49">
        <f>IF(B1039="","",N(C1039))</f>
        <v/>
      </c>
      <c r="AK1039" s="49">
        <f>IF(OR(B1039="",O1039="Cancelled",O1039="Rescheduled"),"",B1039&amp;"|"&amp;(COUNTIFS('JOBS'!$B$5:$B$1504,B1039,'JOBS'!$AJ$5:$AJ$1504,"&lt;"&amp;AJ1039,'JOBS'!$O$5:$O$1504,"&lt;&gt;Cancelled",'JOBS'!$O$5:$O$1504,"&lt;&gt;Rescheduled")+COUNTIFS($B$5:B1039,B1039,$AJ$5:AJ1039,AJ1039,$O$5:O1039,"&lt;&gt;Cancelled",$O$5:O1039,"&lt;&gt;Rescheduled")))</f>
        <v/>
      </c>
      <c r="AL1039" s="49">
        <f>IF(N(U1039)&lt;=0.005,"",COUNTIFS('JOBS'!$U$5:$U$1504,"&gt;0.005",'JOBS'!$B$5:$B$1504,"&lt;"&amp;B1039)+COUNTIFS($U$5:U1039,"&gt;0.005",$B$5:B1039,B1039))</f>
        <v/>
      </c>
    </row>
    <row r="1040">
      <c r="A1040" s="46" t="inlineStr">
        <is>
          <t>J-1036</t>
        </is>
      </c>
      <c r="B1040" s="47" t="n"/>
      <c r="C1040" s="94" t="n"/>
      <c r="D1040" s="38" t="n"/>
      <c r="E1040" s="38" t="n"/>
      <c r="F1040" s="38" t="n"/>
      <c r="G1040" s="38" t="n"/>
      <c r="H1040" s="38" t="n"/>
      <c r="I1040" s="57" t="n"/>
      <c r="J1040" s="95" t="n"/>
      <c r="K1040" s="95" t="n"/>
      <c r="L1040" s="48" t="n"/>
      <c r="M1040" s="96" t="n"/>
      <c r="N1040" s="48" t="n"/>
      <c r="O1040" s="38" t="n"/>
      <c r="P1040" s="38" t="n"/>
      <c r="Q1040" s="97">
        <f>IF(OR(F1040="",E1040=""),"",IFERROR(IF(INDEX('PROPERTIES'!$F$5:$F$404,MATCH(E1040,'PROPERTIES'!$B$5:$B$404,0))=0,"",ROUND((INDEX('PROPERTIES'!$F$5:$F$404,MATCH(E1040,'PROPERTIES'!$B$5:$B$404,0))/INDEX('PRICING'!$C$7:$C$16,MATCH(F1040,'PRICING'!$A$7:$A$16,0))+INDEX('PROPERTIES'!$G$5:$G$404,MATCH(E1040,'PROPERTIES'!$B$5:$B$404,0))*INDEX('PRICING'!$D$7:$D$16,MATCH(F1040,'PRICING'!$A$7:$A$16,0))/60+INDEX('PROPERTIES'!$H$5:$H$404,MATCH(E1040,'PROPERTIES'!$B$5:$B$404,0))*INDEX('PRICING'!$E$7:$E$16,MATCH(F1040,'PRICING'!$A$7:$A$16,0))/60+INDEX('PRICING'!$F$7:$F$16,MATCH(F1040,'PRICING'!$A$7:$A$16,0))/60),2)),""))</f>
        <v/>
      </c>
      <c r="R1040" s="97">
        <f>IF(B1040="","",IF(N(K1040)&gt;0,K1040,IF(N(J1040)&gt;0,J1040,N(Q1040))))</f>
        <v/>
      </c>
      <c r="S1040" s="55">
        <f>IF(L1040="","",ROUND(L1040*(1+N(M1040)),2))</f>
        <v/>
      </c>
      <c r="T1040" s="55">
        <f>IF(B1040="","",SUMIFS('REVENUE'!$C$5:$C$1504,'REVENUE'!$B$5:$B$1504,A1040))</f>
        <v/>
      </c>
      <c r="U1040" s="55">
        <f>IF(B1040="","",IF(O1040="Completed",MAX(0,N(S1040)-T1040),""))</f>
        <v/>
      </c>
      <c r="V1040" s="49">
        <f>IF(B1040="","",IF(O1040&lt;&gt;"Completed",IF(T1040&gt;0,"Deposit","—"),IF(U1040&lt;=0.005,"Paid",IF(T1040&gt;0,"Partial","Unpaid"))))</f>
        <v/>
      </c>
      <c r="W1040" s="55">
        <f>IF(B1040="","",IFERROR(1/(1/INDEX('STAFF &amp; TASKS'!$C$5:$C$24,MATCH(H1040,'STAFF &amp; TASKS'!$A$5:$A$24,0))),PayRate))</f>
        <v/>
      </c>
      <c r="X1040" s="55">
        <f>IF(B1040="","",IF(OR(O1040="Cancelled",O1040="No-Show"),"",ROUND(R1040*W1040*(1+Burden),2)))</f>
        <v/>
      </c>
      <c r="Y1040" s="55">
        <f>IF(B1040="","",IF(OR(O1040="Cancelled",O1040="No-Show"),"",IF(N1040&lt;&gt;"",N1040,ROUND(R1040*SupHr*IFERROR(INDEX('PRICING'!$G$7:$G$16,MATCH(F1040,'PRICING'!$A$7:$A$16,0)),1),2))))</f>
        <v/>
      </c>
      <c r="Z1040" s="98">
        <f>IF(B1040="","",SUMIFS('MILEAGE'!$J$5:$J$1504,'MILEAGE'!$B$5:$B$1504,A1040))</f>
        <v/>
      </c>
      <c r="AA1040" s="55">
        <f>IF(B1040="","",ROUND(Z1040*MileRate,2))</f>
        <v/>
      </c>
      <c r="AB1040" s="55">
        <f>IF(B1040="","",SUMIFS('REVENUE'!$J$5:$J$1504,'REVENUE'!$B$5:$B$1504,A1040))</f>
        <v/>
      </c>
      <c r="AC1040" s="55">
        <f>IF(L1040="","",IF(OR(O1040="Cancelled",O1040="No-Show"),"",L1040-N(X1040)-N(Y1040)-AA1040-AB1040))</f>
        <v/>
      </c>
      <c r="AD1040" s="99">
        <f>IF(OR(AC1040="",N(L1040)=0),"",AC1040/L1040)</f>
        <v/>
      </c>
      <c r="AE1040" s="55">
        <f>IF(OR(AC1040="",N(R1040)=0),"",L1040/R1040)</f>
        <v/>
      </c>
      <c r="AF1040" s="100">
        <f>IF(OR(N(K1040)=0,N(J1040)+N(Q1040)=0),"",K1040-IF(N(J1040)&gt;0,J1040,Q1040))</f>
        <v/>
      </c>
      <c r="AG1040" s="99">
        <f>IF(B1040="","",IFERROR(AVERAGEIFS('QUALITY CONTROL'!$M$5:$M$304,'QUALITY CONTROL'!$B$5:$B$304,A1040),""))</f>
        <v/>
      </c>
      <c r="AH1040" s="51">
        <f>IF(B1040="","",DATE(YEAR(B1040),MONTH(B1040),1))</f>
        <v/>
      </c>
      <c r="AI1040" s="49">
        <f>IF(D1040="","",IFERROR(INDEX('CUSTOMERS'!$E$5:$E$404,MATCH(D1040,'CUSTOMERS'!$B$5:$B$404,0)),""))</f>
        <v/>
      </c>
      <c r="AJ1040" s="49">
        <f>IF(B1040="","",N(C1040))</f>
        <v/>
      </c>
      <c r="AK1040" s="49">
        <f>IF(OR(B1040="",O1040="Cancelled",O1040="Rescheduled"),"",B1040&amp;"|"&amp;(COUNTIFS('JOBS'!$B$5:$B$1504,B1040,'JOBS'!$AJ$5:$AJ$1504,"&lt;"&amp;AJ1040,'JOBS'!$O$5:$O$1504,"&lt;&gt;Cancelled",'JOBS'!$O$5:$O$1504,"&lt;&gt;Rescheduled")+COUNTIFS($B$5:B1040,B1040,$AJ$5:AJ1040,AJ1040,$O$5:O1040,"&lt;&gt;Cancelled",$O$5:O1040,"&lt;&gt;Rescheduled")))</f>
        <v/>
      </c>
      <c r="AL1040" s="49">
        <f>IF(N(U1040)&lt;=0.005,"",COUNTIFS('JOBS'!$U$5:$U$1504,"&gt;0.005",'JOBS'!$B$5:$B$1504,"&lt;"&amp;B1040)+COUNTIFS($U$5:U1040,"&gt;0.005",$B$5:B1040,B1040))</f>
        <v/>
      </c>
    </row>
    <row r="1041">
      <c r="A1041" s="46" t="inlineStr">
        <is>
          <t>J-1037</t>
        </is>
      </c>
      <c r="B1041" s="47" t="n"/>
      <c r="C1041" s="94" t="n"/>
      <c r="D1041" s="38" t="n"/>
      <c r="E1041" s="38" t="n"/>
      <c r="F1041" s="38" t="n"/>
      <c r="G1041" s="38" t="n"/>
      <c r="H1041" s="38" t="n"/>
      <c r="I1041" s="57" t="n"/>
      <c r="J1041" s="95" t="n"/>
      <c r="K1041" s="95" t="n"/>
      <c r="L1041" s="48" t="n"/>
      <c r="M1041" s="96" t="n"/>
      <c r="N1041" s="48" t="n"/>
      <c r="O1041" s="38" t="n"/>
      <c r="P1041" s="38" t="n"/>
      <c r="Q1041" s="97">
        <f>IF(OR(F1041="",E1041=""),"",IFERROR(IF(INDEX('PROPERTIES'!$F$5:$F$404,MATCH(E1041,'PROPERTIES'!$B$5:$B$404,0))=0,"",ROUND((INDEX('PROPERTIES'!$F$5:$F$404,MATCH(E1041,'PROPERTIES'!$B$5:$B$404,0))/INDEX('PRICING'!$C$7:$C$16,MATCH(F1041,'PRICING'!$A$7:$A$16,0))+INDEX('PROPERTIES'!$G$5:$G$404,MATCH(E1041,'PROPERTIES'!$B$5:$B$404,0))*INDEX('PRICING'!$D$7:$D$16,MATCH(F1041,'PRICING'!$A$7:$A$16,0))/60+INDEX('PROPERTIES'!$H$5:$H$404,MATCH(E1041,'PROPERTIES'!$B$5:$B$404,0))*INDEX('PRICING'!$E$7:$E$16,MATCH(F1041,'PRICING'!$A$7:$A$16,0))/60+INDEX('PRICING'!$F$7:$F$16,MATCH(F1041,'PRICING'!$A$7:$A$16,0))/60),2)),""))</f>
        <v/>
      </c>
      <c r="R1041" s="97">
        <f>IF(B1041="","",IF(N(K1041)&gt;0,K1041,IF(N(J1041)&gt;0,J1041,N(Q1041))))</f>
        <v/>
      </c>
      <c r="S1041" s="55">
        <f>IF(L1041="","",ROUND(L1041*(1+N(M1041)),2))</f>
        <v/>
      </c>
      <c r="T1041" s="55">
        <f>IF(B1041="","",SUMIFS('REVENUE'!$C$5:$C$1504,'REVENUE'!$B$5:$B$1504,A1041))</f>
        <v/>
      </c>
      <c r="U1041" s="55">
        <f>IF(B1041="","",IF(O1041="Completed",MAX(0,N(S1041)-T1041),""))</f>
        <v/>
      </c>
      <c r="V1041" s="49">
        <f>IF(B1041="","",IF(O1041&lt;&gt;"Completed",IF(T1041&gt;0,"Deposit","—"),IF(U1041&lt;=0.005,"Paid",IF(T1041&gt;0,"Partial","Unpaid"))))</f>
        <v/>
      </c>
      <c r="W1041" s="55">
        <f>IF(B1041="","",IFERROR(1/(1/INDEX('STAFF &amp; TASKS'!$C$5:$C$24,MATCH(H1041,'STAFF &amp; TASKS'!$A$5:$A$24,0))),PayRate))</f>
        <v/>
      </c>
      <c r="X1041" s="55">
        <f>IF(B1041="","",IF(OR(O1041="Cancelled",O1041="No-Show"),"",ROUND(R1041*W1041*(1+Burden),2)))</f>
        <v/>
      </c>
      <c r="Y1041" s="55">
        <f>IF(B1041="","",IF(OR(O1041="Cancelled",O1041="No-Show"),"",IF(N1041&lt;&gt;"",N1041,ROUND(R1041*SupHr*IFERROR(INDEX('PRICING'!$G$7:$G$16,MATCH(F1041,'PRICING'!$A$7:$A$16,0)),1),2))))</f>
        <v/>
      </c>
      <c r="Z1041" s="98">
        <f>IF(B1041="","",SUMIFS('MILEAGE'!$J$5:$J$1504,'MILEAGE'!$B$5:$B$1504,A1041))</f>
        <v/>
      </c>
      <c r="AA1041" s="55">
        <f>IF(B1041="","",ROUND(Z1041*MileRate,2))</f>
        <v/>
      </c>
      <c r="AB1041" s="55">
        <f>IF(B1041="","",SUMIFS('REVENUE'!$J$5:$J$1504,'REVENUE'!$B$5:$B$1504,A1041))</f>
        <v/>
      </c>
      <c r="AC1041" s="55">
        <f>IF(L1041="","",IF(OR(O1041="Cancelled",O1041="No-Show"),"",L1041-N(X1041)-N(Y1041)-AA1041-AB1041))</f>
        <v/>
      </c>
      <c r="AD1041" s="99">
        <f>IF(OR(AC1041="",N(L1041)=0),"",AC1041/L1041)</f>
        <v/>
      </c>
      <c r="AE1041" s="55">
        <f>IF(OR(AC1041="",N(R1041)=0),"",L1041/R1041)</f>
        <v/>
      </c>
      <c r="AF1041" s="100">
        <f>IF(OR(N(K1041)=0,N(J1041)+N(Q1041)=0),"",K1041-IF(N(J1041)&gt;0,J1041,Q1041))</f>
        <v/>
      </c>
      <c r="AG1041" s="99">
        <f>IF(B1041="","",IFERROR(AVERAGEIFS('QUALITY CONTROL'!$M$5:$M$304,'QUALITY CONTROL'!$B$5:$B$304,A1041),""))</f>
        <v/>
      </c>
      <c r="AH1041" s="51">
        <f>IF(B1041="","",DATE(YEAR(B1041),MONTH(B1041),1))</f>
        <v/>
      </c>
      <c r="AI1041" s="49">
        <f>IF(D1041="","",IFERROR(INDEX('CUSTOMERS'!$E$5:$E$404,MATCH(D1041,'CUSTOMERS'!$B$5:$B$404,0)),""))</f>
        <v/>
      </c>
      <c r="AJ1041" s="49">
        <f>IF(B1041="","",N(C1041))</f>
        <v/>
      </c>
      <c r="AK1041" s="49">
        <f>IF(OR(B1041="",O1041="Cancelled",O1041="Rescheduled"),"",B1041&amp;"|"&amp;(COUNTIFS('JOBS'!$B$5:$B$1504,B1041,'JOBS'!$AJ$5:$AJ$1504,"&lt;"&amp;AJ1041,'JOBS'!$O$5:$O$1504,"&lt;&gt;Cancelled",'JOBS'!$O$5:$O$1504,"&lt;&gt;Rescheduled")+COUNTIFS($B$5:B1041,B1041,$AJ$5:AJ1041,AJ1041,$O$5:O1041,"&lt;&gt;Cancelled",$O$5:O1041,"&lt;&gt;Rescheduled")))</f>
        <v/>
      </c>
      <c r="AL1041" s="49">
        <f>IF(N(U1041)&lt;=0.005,"",COUNTIFS('JOBS'!$U$5:$U$1504,"&gt;0.005",'JOBS'!$B$5:$B$1504,"&lt;"&amp;B1041)+COUNTIFS($U$5:U1041,"&gt;0.005",$B$5:B1041,B1041))</f>
        <v/>
      </c>
    </row>
    <row r="1042">
      <c r="A1042" s="46" t="inlineStr">
        <is>
          <t>J-1038</t>
        </is>
      </c>
      <c r="B1042" s="47" t="n"/>
      <c r="C1042" s="94" t="n"/>
      <c r="D1042" s="38" t="n"/>
      <c r="E1042" s="38" t="n"/>
      <c r="F1042" s="38" t="n"/>
      <c r="G1042" s="38" t="n"/>
      <c r="H1042" s="38" t="n"/>
      <c r="I1042" s="57" t="n"/>
      <c r="J1042" s="95" t="n"/>
      <c r="K1042" s="95" t="n"/>
      <c r="L1042" s="48" t="n"/>
      <c r="M1042" s="96" t="n"/>
      <c r="N1042" s="48" t="n"/>
      <c r="O1042" s="38" t="n"/>
      <c r="P1042" s="38" t="n"/>
      <c r="Q1042" s="97">
        <f>IF(OR(F1042="",E1042=""),"",IFERROR(IF(INDEX('PROPERTIES'!$F$5:$F$404,MATCH(E1042,'PROPERTIES'!$B$5:$B$404,0))=0,"",ROUND((INDEX('PROPERTIES'!$F$5:$F$404,MATCH(E1042,'PROPERTIES'!$B$5:$B$404,0))/INDEX('PRICING'!$C$7:$C$16,MATCH(F1042,'PRICING'!$A$7:$A$16,0))+INDEX('PROPERTIES'!$G$5:$G$404,MATCH(E1042,'PROPERTIES'!$B$5:$B$404,0))*INDEX('PRICING'!$D$7:$D$16,MATCH(F1042,'PRICING'!$A$7:$A$16,0))/60+INDEX('PROPERTIES'!$H$5:$H$404,MATCH(E1042,'PROPERTIES'!$B$5:$B$404,0))*INDEX('PRICING'!$E$7:$E$16,MATCH(F1042,'PRICING'!$A$7:$A$16,0))/60+INDEX('PRICING'!$F$7:$F$16,MATCH(F1042,'PRICING'!$A$7:$A$16,0))/60),2)),""))</f>
        <v/>
      </c>
      <c r="R1042" s="97">
        <f>IF(B1042="","",IF(N(K1042)&gt;0,K1042,IF(N(J1042)&gt;0,J1042,N(Q1042))))</f>
        <v/>
      </c>
      <c r="S1042" s="55">
        <f>IF(L1042="","",ROUND(L1042*(1+N(M1042)),2))</f>
        <v/>
      </c>
      <c r="T1042" s="55">
        <f>IF(B1042="","",SUMIFS('REVENUE'!$C$5:$C$1504,'REVENUE'!$B$5:$B$1504,A1042))</f>
        <v/>
      </c>
      <c r="U1042" s="55">
        <f>IF(B1042="","",IF(O1042="Completed",MAX(0,N(S1042)-T1042),""))</f>
        <v/>
      </c>
      <c r="V1042" s="49">
        <f>IF(B1042="","",IF(O1042&lt;&gt;"Completed",IF(T1042&gt;0,"Deposit","—"),IF(U1042&lt;=0.005,"Paid",IF(T1042&gt;0,"Partial","Unpaid"))))</f>
        <v/>
      </c>
      <c r="W1042" s="55">
        <f>IF(B1042="","",IFERROR(1/(1/INDEX('STAFF &amp; TASKS'!$C$5:$C$24,MATCH(H1042,'STAFF &amp; TASKS'!$A$5:$A$24,0))),PayRate))</f>
        <v/>
      </c>
      <c r="X1042" s="55">
        <f>IF(B1042="","",IF(OR(O1042="Cancelled",O1042="No-Show"),"",ROUND(R1042*W1042*(1+Burden),2)))</f>
        <v/>
      </c>
      <c r="Y1042" s="55">
        <f>IF(B1042="","",IF(OR(O1042="Cancelled",O1042="No-Show"),"",IF(N1042&lt;&gt;"",N1042,ROUND(R1042*SupHr*IFERROR(INDEX('PRICING'!$G$7:$G$16,MATCH(F1042,'PRICING'!$A$7:$A$16,0)),1),2))))</f>
        <v/>
      </c>
      <c r="Z1042" s="98">
        <f>IF(B1042="","",SUMIFS('MILEAGE'!$J$5:$J$1504,'MILEAGE'!$B$5:$B$1504,A1042))</f>
        <v/>
      </c>
      <c r="AA1042" s="55">
        <f>IF(B1042="","",ROUND(Z1042*MileRate,2))</f>
        <v/>
      </c>
      <c r="AB1042" s="55">
        <f>IF(B1042="","",SUMIFS('REVENUE'!$J$5:$J$1504,'REVENUE'!$B$5:$B$1504,A1042))</f>
        <v/>
      </c>
      <c r="AC1042" s="55">
        <f>IF(L1042="","",IF(OR(O1042="Cancelled",O1042="No-Show"),"",L1042-N(X1042)-N(Y1042)-AA1042-AB1042))</f>
        <v/>
      </c>
      <c r="AD1042" s="99">
        <f>IF(OR(AC1042="",N(L1042)=0),"",AC1042/L1042)</f>
        <v/>
      </c>
      <c r="AE1042" s="55">
        <f>IF(OR(AC1042="",N(R1042)=0),"",L1042/R1042)</f>
        <v/>
      </c>
      <c r="AF1042" s="100">
        <f>IF(OR(N(K1042)=0,N(J1042)+N(Q1042)=0),"",K1042-IF(N(J1042)&gt;0,J1042,Q1042))</f>
        <v/>
      </c>
      <c r="AG1042" s="99">
        <f>IF(B1042="","",IFERROR(AVERAGEIFS('QUALITY CONTROL'!$M$5:$M$304,'QUALITY CONTROL'!$B$5:$B$304,A1042),""))</f>
        <v/>
      </c>
      <c r="AH1042" s="51">
        <f>IF(B1042="","",DATE(YEAR(B1042),MONTH(B1042),1))</f>
        <v/>
      </c>
      <c r="AI1042" s="49">
        <f>IF(D1042="","",IFERROR(INDEX('CUSTOMERS'!$E$5:$E$404,MATCH(D1042,'CUSTOMERS'!$B$5:$B$404,0)),""))</f>
        <v/>
      </c>
      <c r="AJ1042" s="49">
        <f>IF(B1042="","",N(C1042))</f>
        <v/>
      </c>
      <c r="AK1042" s="49">
        <f>IF(OR(B1042="",O1042="Cancelled",O1042="Rescheduled"),"",B1042&amp;"|"&amp;(COUNTIFS('JOBS'!$B$5:$B$1504,B1042,'JOBS'!$AJ$5:$AJ$1504,"&lt;"&amp;AJ1042,'JOBS'!$O$5:$O$1504,"&lt;&gt;Cancelled",'JOBS'!$O$5:$O$1504,"&lt;&gt;Rescheduled")+COUNTIFS($B$5:B1042,B1042,$AJ$5:AJ1042,AJ1042,$O$5:O1042,"&lt;&gt;Cancelled",$O$5:O1042,"&lt;&gt;Rescheduled")))</f>
        <v/>
      </c>
      <c r="AL1042" s="49">
        <f>IF(N(U1042)&lt;=0.005,"",COUNTIFS('JOBS'!$U$5:$U$1504,"&gt;0.005",'JOBS'!$B$5:$B$1504,"&lt;"&amp;B1042)+COUNTIFS($U$5:U1042,"&gt;0.005",$B$5:B1042,B1042))</f>
        <v/>
      </c>
    </row>
    <row r="1043">
      <c r="A1043" s="46" t="inlineStr">
        <is>
          <t>J-1039</t>
        </is>
      </c>
      <c r="B1043" s="47" t="n"/>
      <c r="C1043" s="94" t="n"/>
      <c r="D1043" s="38" t="n"/>
      <c r="E1043" s="38" t="n"/>
      <c r="F1043" s="38" t="n"/>
      <c r="G1043" s="38" t="n"/>
      <c r="H1043" s="38" t="n"/>
      <c r="I1043" s="57" t="n"/>
      <c r="J1043" s="95" t="n"/>
      <c r="K1043" s="95" t="n"/>
      <c r="L1043" s="48" t="n"/>
      <c r="M1043" s="96" t="n"/>
      <c r="N1043" s="48" t="n"/>
      <c r="O1043" s="38" t="n"/>
      <c r="P1043" s="38" t="n"/>
      <c r="Q1043" s="97">
        <f>IF(OR(F1043="",E1043=""),"",IFERROR(IF(INDEX('PROPERTIES'!$F$5:$F$404,MATCH(E1043,'PROPERTIES'!$B$5:$B$404,0))=0,"",ROUND((INDEX('PROPERTIES'!$F$5:$F$404,MATCH(E1043,'PROPERTIES'!$B$5:$B$404,0))/INDEX('PRICING'!$C$7:$C$16,MATCH(F1043,'PRICING'!$A$7:$A$16,0))+INDEX('PROPERTIES'!$G$5:$G$404,MATCH(E1043,'PROPERTIES'!$B$5:$B$404,0))*INDEX('PRICING'!$D$7:$D$16,MATCH(F1043,'PRICING'!$A$7:$A$16,0))/60+INDEX('PROPERTIES'!$H$5:$H$404,MATCH(E1043,'PROPERTIES'!$B$5:$B$404,0))*INDEX('PRICING'!$E$7:$E$16,MATCH(F1043,'PRICING'!$A$7:$A$16,0))/60+INDEX('PRICING'!$F$7:$F$16,MATCH(F1043,'PRICING'!$A$7:$A$16,0))/60),2)),""))</f>
        <v/>
      </c>
      <c r="R1043" s="97">
        <f>IF(B1043="","",IF(N(K1043)&gt;0,K1043,IF(N(J1043)&gt;0,J1043,N(Q1043))))</f>
        <v/>
      </c>
      <c r="S1043" s="55">
        <f>IF(L1043="","",ROUND(L1043*(1+N(M1043)),2))</f>
        <v/>
      </c>
      <c r="T1043" s="55">
        <f>IF(B1043="","",SUMIFS('REVENUE'!$C$5:$C$1504,'REVENUE'!$B$5:$B$1504,A1043))</f>
        <v/>
      </c>
      <c r="U1043" s="55">
        <f>IF(B1043="","",IF(O1043="Completed",MAX(0,N(S1043)-T1043),""))</f>
        <v/>
      </c>
      <c r="V1043" s="49">
        <f>IF(B1043="","",IF(O1043&lt;&gt;"Completed",IF(T1043&gt;0,"Deposit","—"),IF(U1043&lt;=0.005,"Paid",IF(T1043&gt;0,"Partial","Unpaid"))))</f>
        <v/>
      </c>
      <c r="W1043" s="55">
        <f>IF(B1043="","",IFERROR(1/(1/INDEX('STAFF &amp; TASKS'!$C$5:$C$24,MATCH(H1043,'STAFF &amp; TASKS'!$A$5:$A$24,0))),PayRate))</f>
        <v/>
      </c>
      <c r="X1043" s="55">
        <f>IF(B1043="","",IF(OR(O1043="Cancelled",O1043="No-Show"),"",ROUND(R1043*W1043*(1+Burden),2)))</f>
        <v/>
      </c>
      <c r="Y1043" s="55">
        <f>IF(B1043="","",IF(OR(O1043="Cancelled",O1043="No-Show"),"",IF(N1043&lt;&gt;"",N1043,ROUND(R1043*SupHr*IFERROR(INDEX('PRICING'!$G$7:$G$16,MATCH(F1043,'PRICING'!$A$7:$A$16,0)),1),2))))</f>
        <v/>
      </c>
      <c r="Z1043" s="98">
        <f>IF(B1043="","",SUMIFS('MILEAGE'!$J$5:$J$1504,'MILEAGE'!$B$5:$B$1504,A1043))</f>
        <v/>
      </c>
      <c r="AA1043" s="55">
        <f>IF(B1043="","",ROUND(Z1043*MileRate,2))</f>
        <v/>
      </c>
      <c r="AB1043" s="55">
        <f>IF(B1043="","",SUMIFS('REVENUE'!$J$5:$J$1504,'REVENUE'!$B$5:$B$1504,A1043))</f>
        <v/>
      </c>
      <c r="AC1043" s="55">
        <f>IF(L1043="","",IF(OR(O1043="Cancelled",O1043="No-Show"),"",L1043-N(X1043)-N(Y1043)-AA1043-AB1043))</f>
        <v/>
      </c>
      <c r="AD1043" s="99">
        <f>IF(OR(AC1043="",N(L1043)=0),"",AC1043/L1043)</f>
        <v/>
      </c>
      <c r="AE1043" s="55">
        <f>IF(OR(AC1043="",N(R1043)=0),"",L1043/R1043)</f>
        <v/>
      </c>
      <c r="AF1043" s="100">
        <f>IF(OR(N(K1043)=0,N(J1043)+N(Q1043)=0),"",K1043-IF(N(J1043)&gt;0,J1043,Q1043))</f>
        <v/>
      </c>
      <c r="AG1043" s="99">
        <f>IF(B1043="","",IFERROR(AVERAGEIFS('QUALITY CONTROL'!$M$5:$M$304,'QUALITY CONTROL'!$B$5:$B$304,A1043),""))</f>
        <v/>
      </c>
      <c r="AH1043" s="51">
        <f>IF(B1043="","",DATE(YEAR(B1043),MONTH(B1043),1))</f>
        <v/>
      </c>
      <c r="AI1043" s="49">
        <f>IF(D1043="","",IFERROR(INDEX('CUSTOMERS'!$E$5:$E$404,MATCH(D1043,'CUSTOMERS'!$B$5:$B$404,0)),""))</f>
        <v/>
      </c>
      <c r="AJ1043" s="49">
        <f>IF(B1043="","",N(C1043))</f>
        <v/>
      </c>
      <c r="AK1043" s="49">
        <f>IF(OR(B1043="",O1043="Cancelled",O1043="Rescheduled"),"",B1043&amp;"|"&amp;(COUNTIFS('JOBS'!$B$5:$B$1504,B1043,'JOBS'!$AJ$5:$AJ$1504,"&lt;"&amp;AJ1043,'JOBS'!$O$5:$O$1504,"&lt;&gt;Cancelled",'JOBS'!$O$5:$O$1504,"&lt;&gt;Rescheduled")+COUNTIFS($B$5:B1043,B1043,$AJ$5:AJ1043,AJ1043,$O$5:O1043,"&lt;&gt;Cancelled",$O$5:O1043,"&lt;&gt;Rescheduled")))</f>
        <v/>
      </c>
      <c r="AL1043" s="49">
        <f>IF(N(U1043)&lt;=0.005,"",COUNTIFS('JOBS'!$U$5:$U$1504,"&gt;0.005",'JOBS'!$B$5:$B$1504,"&lt;"&amp;B1043)+COUNTIFS($U$5:U1043,"&gt;0.005",$B$5:B1043,B1043))</f>
        <v/>
      </c>
    </row>
    <row r="1044">
      <c r="A1044" s="46" t="inlineStr">
        <is>
          <t>J-1040</t>
        </is>
      </c>
      <c r="B1044" s="47" t="n"/>
      <c r="C1044" s="94" t="n"/>
      <c r="D1044" s="38" t="n"/>
      <c r="E1044" s="38" t="n"/>
      <c r="F1044" s="38" t="n"/>
      <c r="G1044" s="38" t="n"/>
      <c r="H1044" s="38" t="n"/>
      <c r="I1044" s="57" t="n"/>
      <c r="J1044" s="95" t="n"/>
      <c r="K1044" s="95" t="n"/>
      <c r="L1044" s="48" t="n"/>
      <c r="M1044" s="96" t="n"/>
      <c r="N1044" s="48" t="n"/>
      <c r="O1044" s="38" t="n"/>
      <c r="P1044" s="38" t="n"/>
      <c r="Q1044" s="97">
        <f>IF(OR(F1044="",E1044=""),"",IFERROR(IF(INDEX('PROPERTIES'!$F$5:$F$404,MATCH(E1044,'PROPERTIES'!$B$5:$B$404,0))=0,"",ROUND((INDEX('PROPERTIES'!$F$5:$F$404,MATCH(E1044,'PROPERTIES'!$B$5:$B$404,0))/INDEX('PRICING'!$C$7:$C$16,MATCH(F1044,'PRICING'!$A$7:$A$16,0))+INDEX('PROPERTIES'!$G$5:$G$404,MATCH(E1044,'PROPERTIES'!$B$5:$B$404,0))*INDEX('PRICING'!$D$7:$D$16,MATCH(F1044,'PRICING'!$A$7:$A$16,0))/60+INDEX('PROPERTIES'!$H$5:$H$404,MATCH(E1044,'PROPERTIES'!$B$5:$B$404,0))*INDEX('PRICING'!$E$7:$E$16,MATCH(F1044,'PRICING'!$A$7:$A$16,0))/60+INDEX('PRICING'!$F$7:$F$16,MATCH(F1044,'PRICING'!$A$7:$A$16,0))/60),2)),""))</f>
        <v/>
      </c>
      <c r="R1044" s="97">
        <f>IF(B1044="","",IF(N(K1044)&gt;0,K1044,IF(N(J1044)&gt;0,J1044,N(Q1044))))</f>
        <v/>
      </c>
      <c r="S1044" s="55">
        <f>IF(L1044="","",ROUND(L1044*(1+N(M1044)),2))</f>
        <v/>
      </c>
      <c r="T1044" s="55">
        <f>IF(B1044="","",SUMIFS('REVENUE'!$C$5:$C$1504,'REVENUE'!$B$5:$B$1504,A1044))</f>
        <v/>
      </c>
      <c r="U1044" s="55">
        <f>IF(B1044="","",IF(O1044="Completed",MAX(0,N(S1044)-T1044),""))</f>
        <v/>
      </c>
      <c r="V1044" s="49">
        <f>IF(B1044="","",IF(O1044&lt;&gt;"Completed",IF(T1044&gt;0,"Deposit","—"),IF(U1044&lt;=0.005,"Paid",IF(T1044&gt;0,"Partial","Unpaid"))))</f>
        <v/>
      </c>
      <c r="W1044" s="55">
        <f>IF(B1044="","",IFERROR(1/(1/INDEX('STAFF &amp; TASKS'!$C$5:$C$24,MATCH(H1044,'STAFF &amp; TASKS'!$A$5:$A$24,0))),PayRate))</f>
        <v/>
      </c>
      <c r="X1044" s="55">
        <f>IF(B1044="","",IF(OR(O1044="Cancelled",O1044="No-Show"),"",ROUND(R1044*W1044*(1+Burden),2)))</f>
        <v/>
      </c>
      <c r="Y1044" s="55">
        <f>IF(B1044="","",IF(OR(O1044="Cancelled",O1044="No-Show"),"",IF(N1044&lt;&gt;"",N1044,ROUND(R1044*SupHr*IFERROR(INDEX('PRICING'!$G$7:$G$16,MATCH(F1044,'PRICING'!$A$7:$A$16,0)),1),2))))</f>
        <v/>
      </c>
      <c r="Z1044" s="98">
        <f>IF(B1044="","",SUMIFS('MILEAGE'!$J$5:$J$1504,'MILEAGE'!$B$5:$B$1504,A1044))</f>
        <v/>
      </c>
      <c r="AA1044" s="55">
        <f>IF(B1044="","",ROUND(Z1044*MileRate,2))</f>
        <v/>
      </c>
      <c r="AB1044" s="55">
        <f>IF(B1044="","",SUMIFS('REVENUE'!$J$5:$J$1504,'REVENUE'!$B$5:$B$1504,A1044))</f>
        <v/>
      </c>
      <c r="AC1044" s="55">
        <f>IF(L1044="","",IF(OR(O1044="Cancelled",O1044="No-Show"),"",L1044-N(X1044)-N(Y1044)-AA1044-AB1044))</f>
        <v/>
      </c>
      <c r="AD1044" s="99">
        <f>IF(OR(AC1044="",N(L1044)=0),"",AC1044/L1044)</f>
        <v/>
      </c>
      <c r="AE1044" s="55">
        <f>IF(OR(AC1044="",N(R1044)=0),"",L1044/R1044)</f>
        <v/>
      </c>
      <c r="AF1044" s="100">
        <f>IF(OR(N(K1044)=0,N(J1044)+N(Q1044)=0),"",K1044-IF(N(J1044)&gt;0,J1044,Q1044))</f>
        <v/>
      </c>
      <c r="AG1044" s="99">
        <f>IF(B1044="","",IFERROR(AVERAGEIFS('QUALITY CONTROL'!$M$5:$M$304,'QUALITY CONTROL'!$B$5:$B$304,A1044),""))</f>
        <v/>
      </c>
      <c r="AH1044" s="51">
        <f>IF(B1044="","",DATE(YEAR(B1044),MONTH(B1044),1))</f>
        <v/>
      </c>
      <c r="AI1044" s="49">
        <f>IF(D1044="","",IFERROR(INDEX('CUSTOMERS'!$E$5:$E$404,MATCH(D1044,'CUSTOMERS'!$B$5:$B$404,0)),""))</f>
        <v/>
      </c>
      <c r="AJ1044" s="49">
        <f>IF(B1044="","",N(C1044))</f>
        <v/>
      </c>
      <c r="AK1044" s="49">
        <f>IF(OR(B1044="",O1044="Cancelled",O1044="Rescheduled"),"",B1044&amp;"|"&amp;(COUNTIFS('JOBS'!$B$5:$B$1504,B1044,'JOBS'!$AJ$5:$AJ$1504,"&lt;"&amp;AJ1044,'JOBS'!$O$5:$O$1504,"&lt;&gt;Cancelled",'JOBS'!$O$5:$O$1504,"&lt;&gt;Rescheduled")+COUNTIFS($B$5:B1044,B1044,$AJ$5:AJ1044,AJ1044,$O$5:O1044,"&lt;&gt;Cancelled",$O$5:O1044,"&lt;&gt;Rescheduled")))</f>
        <v/>
      </c>
      <c r="AL1044" s="49">
        <f>IF(N(U1044)&lt;=0.005,"",COUNTIFS('JOBS'!$U$5:$U$1504,"&gt;0.005",'JOBS'!$B$5:$B$1504,"&lt;"&amp;B1044)+COUNTIFS($U$5:U1044,"&gt;0.005",$B$5:B1044,B1044))</f>
        <v/>
      </c>
    </row>
    <row r="1045">
      <c r="A1045" s="46" t="inlineStr">
        <is>
          <t>J-1041</t>
        </is>
      </c>
      <c r="B1045" s="47" t="n"/>
      <c r="C1045" s="94" t="n"/>
      <c r="D1045" s="38" t="n"/>
      <c r="E1045" s="38" t="n"/>
      <c r="F1045" s="38" t="n"/>
      <c r="G1045" s="38" t="n"/>
      <c r="H1045" s="38" t="n"/>
      <c r="I1045" s="57" t="n"/>
      <c r="J1045" s="95" t="n"/>
      <c r="K1045" s="95" t="n"/>
      <c r="L1045" s="48" t="n"/>
      <c r="M1045" s="96" t="n"/>
      <c r="N1045" s="48" t="n"/>
      <c r="O1045" s="38" t="n"/>
      <c r="P1045" s="38" t="n"/>
      <c r="Q1045" s="97">
        <f>IF(OR(F1045="",E1045=""),"",IFERROR(IF(INDEX('PROPERTIES'!$F$5:$F$404,MATCH(E1045,'PROPERTIES'!$B$5:$B$404,0))=0,"",ROUND((INDEX('PROPERTIES'!$F$5:$F$404,MATCH(E1045,'PROPERTIES'!$B$5:$B$404,0))/INDEX('PRICING'!$C$7:$C$16,MATCH(F1045,'PRICING'!$A$7:$A$16,0))+INDEX('PROPERTIES'!$G$5:$G$404,MATCH(E1045,'PROPERTIES'!$B$5:$B$404,0))*INDEX('PRICING'!$D$7:$D$16,MATCH(F1045,'PRICING'!$A$7:$A$16,0))/60+INDEX('PROPERTIES'!$H$5:$H$404,MATCH(E1045,'PROPERTIES'!$B$5:$B$404,0))*INDEX('PRICING'!$E$7:$E$16,MATCH(F1045,'PRICING'!$A$7:$A$16,0))/60+INDEX('PRICING'!$F$7:$F$16,MATCH(F1045,'PRICING'!$A$7:$A$16,0))/60),2)),""))</f>
        <v/>
      </c>
      <c r="R1045" s="97">
        <f>IF(B1045="","",IF(N(K1045)&gt;0,K1045,IF(N(J1045)&gt;0,J1045,N(Q1045))))</f>
        <v/>
      </c>
      <c r="S1045" s="55">
        <f>IF(L1045="","",ROUND(L1045*(1+N(M1045)),2))</f>
        <v/>
      </c>
      <c r="T1045" s="55">
        <f>IF(B1045="","",SUMIFS('REVENUE'!$C$5:$C$1504,'REVENUE'!$B$5:$B$1504,A1045))</f>
        <v/>
      </c>
      <c r="U1045" s="55">
        <f>IF(B1045="","",IF(O1045="Completed",MAX(0,N(S1045)-T1045),""))</f>
        <v/>
      </c>
      <c r="V1045" s="49">
        <f>IF(B1045="","",IF(O1045&lt;&gt;"Completed",IF(T1045&gt;0,"Deposit","—"),IF(U1045&lt;=0.005,"Paid",IF(T1045&gt;0,"Partial","Unpaid"))))</f>
        <v/>
      </c>
      <c r="W1045" s="55">
        <f>IF(B1045="","",IFERROR(1/(1/INDEX('STAFF &amp; TASKS'!$C$5:$C$24,MATCH(H1045,'STAFF &amp; TASKS'!$A$5:$A$24,0))),PayRate))</f>
        <v/>
      </c>
      <c r="X1045" s="55">
        <f>IF(B1045="","",IF(OR(O1045="Cancelled",O1045="No-Show"),"",ROUND(R1045*W1045*(1+Burden),2)))</f>
        <v/>
      </c>
      <c r="Y1045" s="55">
        <f>IF(B1045="","",IF(OR(O1045="Cancelled",O1045="No-Show"),"",IF(N1045&lt;&gt;"",N1045,ROUND(R1045*SupHr*IFERROR(INDEX('PRICING'!$G$7:$G$16,MATCH(F1045,'PRICING'!$A$7:$A$16,0)),1),2))))</f>
        <v/>
      </c>
      <c r="Z1045" s="98">
        <f>IF(B1045="","",SUMIFS('MILEAGE'!$J$5:$J$1504,'MILEAGE'!$B$5:$B$1504,A1045))</f>
        <v/>
      </c>
      <c r="AA1045" s="55">
        <f>IF(B1045="","",ROUND(Z1045*MileRate,2))</f>
        <v/>
      </c>
      <c r="AB1045" s="55">
        <f>IF(B1045="","",SUMIFS('REVENUE'!$J$5:$J$1504,'REVENUE'!$B$5:$B$1504,A1045))</f>
        <v/>
      </c>
      <c r="AC1045" s="55">
        <f>IF(L1045="","",IF(OR(O1045="Cancelled",O1045="No-Show"),"",L1045-N(X1045)-N(Y1045)-AA1045-AB1045))</f>
        <v/>
      </c>
      <c r="AD1045" s="99">
        <f>IF(OR(AC1045="",N(L1045)=0),"",AC1045/L1045)</f>
        <v/>
      </c>
      <c r="AE1045" s="55">
        <f>IF(OR(AC1045="",N(R1045)=0),"",L1045/R1045)</f>
        <v/>
      </c>
      <c r="AF1045" s="100">
        <f>IF(OR(N(K1045)=0,N(J1045)+N(Q1045)=0),"",K1045-IF(N(J1045)&gt;0,J1045,Q1045))</f>
        <v/>
      </c>
      <c r="AG1045" s="99">
        <f>IF(B1045="","",IFERROR(AVERAGEIFS('QUALITY CONTROL'!$M$5:$M$304,'QUALITY CONTROL'!$B$5:$B$304,A1045),""))</f>
        <v/>
      </c>
      <c r="AH1045" s="51">
        <f>IF(B1045="","",DATE(YEAR(B1045),MONTH(B1045),1))</f>
        <v/>
      </c>
      <c r="AI1045" s="49">
        <f>IF(D1045="","",IFERROR(INDEX('CUSTOMERS'!$E$5:$E$404,MATCH(D1045,'CUSTOMERS'!$B$5:$B$404,0)),""))</f>
        <v/>
      </c>
      <c r="AJ1045" s="49">
        <f>IF(B1045="","",N(C1045))</f>
        <v/>
      </c>
      <c r="AK1045" s="49">
        <f>IF(OR(B1045="",O1045="Cancelled",O1045="Rescheduled"),"",B1045&amp;"|"&amp;(COUNTIFS('JOBS'!$B$5:$B$1504,B1045,'JOBS'!$AJ$5:$AJ$1504,"&lt;"&amp;AJ1045,'JOBS'!$O$5:$O$1504,"&lt;&gt;Cancelled",'JOBS'!$O$5:$O$1504,"&lt;&gt;Rescheduled")+COUNTIFS($B$5:B1045,B1045,$AJ$5:AJ1045,AJ1045,$O$5:O1045,"&lt;&gt;Cancelled",$O$5:O1045,"&lt;&gt;Rescheduled")))</f>
        <v/>
      </c>
      <c r="AL1045" s="49">
        <f>IF(N(U1045)&lt;=0.005,"",COUNTIFS('JOBS'!$U$5:$U$1504,"&gt;0.005",'JOBS'!$B$5:$B$1504,"&lt;"&amp;B1045)+COUNTIFS($U$5:U1045,"&gt;0.005",$B$5:B1045,B1045))</f>
        <v/>
      </c>
    </row>
    <row r="1046">
      <c r="A1046" s="46" t="inlineStr">
        <is>
          <t>J-1042</t>
        </is>
      </c>
      <c r="B1046" s="47" t="n"/>
      <c r="C1046" s="94" t="n"/>
      <c r="D1046" s="38" t="n"/>
      <c r="E1046" s="38" t="n"/>
      <c r="F1046" s="38" t="n"/>
      <c r="G1046" s="38" t="n"/>
      <c r="H1046" s="38" t="n"/>
      <c r="I1046" s="57" t="n"/>
      <c r="J1046" s="95" t="n"/>
      <c r="K1046" s="95" t="n"/>
      <c r="L1046" s="48" t="n"/>
      <c r="M1046" s="96" t="n"/>
      <c r="N1046" s="48" t="n"/>
      <c r="O1046" s="38" t="n"/>
      <c r="P1046" s="38" t="n"/>
      <c r="Q1046" s="97">
        <f>IF(OR(F1046="",E1046=""),"",IFERROR(IF(INDEX('PROPERTIES'!$F$5:$F$404,MATCH(E1046,'PROPERTIES'!$B$5:$B$404,0))=0,"",ROUND((INDEX('PROPERTIES'!$F$5:$F$404,MATCH(E1046,'PROPERTIES'!$B$5:$B$404,0))/INDEX('PRICING'!$C$7:$C$16,MATCH(F1046,'PRICING'!$A$7:$A$16,0))+INDEX('PROPERTIES'!$G$5:$G$404,MATCH(E1046,'PROPERTIES'!$B$5:$B$404,0))*INDEX('PRICING'!$D$7:$D$16,MATCH(F1046,'PRICING'!$A$7:$A$16,0))/60+INDEX('PROPERTIES'!$H$5:$H$404,MATCH(E1046,'PROPERTIES'!$B$5:$B$404,0))*INDEX('PRICING'!$E$7:$E$16,MATCH(F1046,'PRICING'!$A$7:$A$16,0))/60+INDEX('PRICING'!$F$7:$F$16,MATCH(F1046,'PRICING'!$A$7:$A$16,0))/60),2)),""))</f>
        <v/>
      </c>
      <c r="R1046" s="97">
        <f>IF(B1046="","",IF(N(K1046)&gt;0,K1046,IF(N(J1046)&gt;0,J1046,N(Q1046))))</f>
        <v/>
      </c>
      <c r="S1046" s="55">
        <f>IF(L1046="","",ROUND(L1046*(1+N(M1046)),2))</f>
        <v/>
      </c>
      <c r="T1046" s="55">
        <f>IF(B1046="","",SUMIFS('REVENUE'!$C$5:$C$1504,'REVENUE'!$B$5:$B$1504,A1046))</f>
        <v/>
      </c>
      <c r="U1046" s="55">
        <f>IF(B1046="","",IF(O1046="Completed",MAX(0,N(S1046)-T1046),""))</f>
        <v/>
      </c>
      <c r="V1046" s="49">
        <f>IF(B1046="","",IF(O1046&lt;&gt;"Completed",IF(T1046&gt;0,"Deposit","—"),IF(U1046&lt;=0.005,"Paid",IF(T1046&gt;0,"Partial","Unpaid"))))</f>
        <v/>
      </c>
      <c r="W1046" s="55">
        <f>IF(B1046="","",IFERROR(1/(1/INDEX('STAFF &amp; TASKS'!$C$5:$C$24,MATCH(H1046,'STAFF &amp; TASKS'!$A$5:$A$24,0))),PayRate))</f>
        <v/>
      </c>
      <c r="X1046" s="55">
        <f>IF(B1046="","",IF(OR(O1046="Cancelled",O1046="No-Show"),"",ROUND(R1046*W1046*(1+Burden),2)))</f>
        <v/>
      </c>
      <c r="Y1046" s="55">
        <f>IF(B1046="","",IF(OR(O1046="Cancelled",O1046="No-Show"),"",IF(N1046&lt;&gt;"",N1046,ROUND(R1046*SupHr*IFERROR(INDEX('PRICING'!$G$7:$G$16,MATCH(F1046,'PRICING'!$A$7:$A$16,0)),1),2))))</f>
        <v/>
      </c>
      <c r="Z1046" s="98">
        <f>IF(B1046="","",SUMIFS('MILEAGE'!$J$5:$J$1504,'MILEAGE'!$B$5:$B$1504,A1046))</f>
        <v/>
      </c>
      <c r="AA1046" s="55">
        <f>IF(B1046="","",ROUND(Z1046*MileRate,2))</f>
        <v/>
      </c>
      <c r="AB1046" s="55">
        <f>IF(B1046="","",SUMIFS('REVENUE'!$J$5:$J$1504,'REVENUE'!$B$5:$B$1504,A1046))</f>
        <v/>
      </c>
      <c r="AC1046" s="55">
        <f>IF(L1046="","",IF(OR(O1046="Cancelled",O1046="No-Show"),"",L1046-N(X1046)-N(Y1046)-AA1046-AB1046))</f>
        <v/>
      </c>
      <c r="AD1046" s="99">
        <f>IF(OR(AC1046="",N(L1046)=0),"",AC1046/L1046)</f>
        <v/>
      </c>
      <c r="AE1046" s="55">
        <f>IF(OR(AC1046="",N(R1046)=0),"",L1046/R1046)</f>
        <v/>
      </c>
      <c r="AF1046" s="100">
        <f>IF(OR(N(K1046)=0,N(J1046)+N(Q1046)=0),"",K1046-IF(N(J1046)&gt;0,J1046,Q1046))</f>
        <v/>
      </c>
      <c r="AG1046" s="99">
        <f>IF(B1046="","",IFERROR(AVERAGEIFS('QUALITY CONTROL'!$M$5:$M$304,'QUALITY CONTROL'!$B$5:$B$304,A1046),""))</f>
        <v/>
      </c>
      <c r="AH1046" s="51">
        <f>IF(B1046="","",DATE(YEAR(B1046),MONTH(B1046),1))</f>
        <v/>
      </c>
      <c r="AI1046" s="49">
        <f>IF(D1046="","",IFERROR(INDEX('CUSTOMERS'!$E$5:$E$404,MATCH(D1046,'CUSTOMERS'!$B$5:$B$404,0)),""))</f>
        <v/>
      </c>
      <c r="AJ1046" s="49">
        <f>IF(B1046="","",N(C1046))</f>
        <v/>
      </c>
      <c r="AK1046" s="49">
        <f>IF(OR(B1046="",O1046="Cancelled",O1046="Rescheduled"),"",B1046&amp;"|"&amp;(COUNTIFS('JOBS'!$B$5:$B$1504,B1046,'JOBS'!$AJ$5:$AJ$1504,"&lt;"&amp;AJ1046,'JOBS'!$O$5:$O$1504,"&lt;&gt;Cancelled",'JOBS'!$O$5:$O$1504,"&lt;&gt;Rescheduled")+COUNTIFS($B$5:B1046,B1046,$AJ$5:AJ1046,AJ1046,$O$5:O1046,"&lt;&gt;Cancelled",$O$5:O1046,"&lt;&gt;Rescheduled")))</f>
        <v/>
      </c>
      <c r="AL1046" s="49">
        <f>IF(N(U1046)&lt;=0.005,"",COUNTIFS('JOBS'!$U$5:$U$1504,"&gt;0.005",'JOBS'!$B$5:$B$1504,"&lt;"&amp;B1046)+COUNTIFS($U$5:U1046,"&gt;0.005",$B$5:B1046,B1046))</f>
        <v/>
      </c>
    </row>
    <row r="1047">
      <c r="A1047" s="46" t="inlineStr">
        <is>
          <t>J-1043</t>
        </is>
      </c>
      <c r="B1047" s="47" t="n"/>
      <c r="C1047" s="94" t="n"/>
      <c r="D1047" s="38" t="n"/>
      <c r="E1047" s="38" t="n"/>
      <c r="F1047" s="38" t="n"/>
      <c r="G1047" s="38" t="n"/>
      <c r="H1047" s="38" t="n"/>
      <c r="I1047" s="57" t="n"/>
      <c r="J1047" s="95" t="n"/>
      <c r="K1047" s="95" t="n"/>
      <c r="L1047" s="48" t="n"/>
      <c r="M1047" s="96" t="n"/>
      <c r="N1047" s="48" t="n"/>
      <c r="O1047" s="38" t="n"/>
      <c r="P1047" s="38" t="n"/>
      <c r="Q1047" s="97">
        <f>IF(OR(F1047="",E1047=""),"",IFERROR(IF(INDEX('PROPERTIES'!$F$5:$F$404,MATCH(E1047,'PROPERTIES'!$B$5:$B$404,0))=0,"",ROUND((INDEX('PROPERTIES'!$F$5:$F$404,MATCH(E1047,'PROPERTIES'!$B$5:$B$404,0))/INDEX('PRICING'!$C$7:$C$16,MATCH(F1047,'PRICING'!$A$7:$A$16,0))+INDEX('PROPERTIES'!$G$5:$G$404,MATCH(E1047,'PROPERTIES'!$B$5:$B$404,0))*INDEX('PRICING'!$D$7:$D$16,MATCH(F1047,'PRICING'!$A$7:$A$16,0))/60+INDEX('PROPERTIES'!$H$5:$H$404,MATCH(E1047,'PROPERTIES'!$B$5:$B$404,0))*INDEX('PRICING'!$E$7:$E$16,MATCH(F1047,'PRICING'!$A$7:$A$16,0))/60+INDEX('PRICING'!$F$7:$F$16,MATCH(F1047,'PRICING'!$A$7:$A$16,0))/60),2)),""))</f>
        <v/>
      </c>
      <c r="R1047" s="97">
        <f>IF(B1047="","",IF(N(K1047)&gt;0,K1047,IF(N(J1047)&gt;0,J1047,N(Q1047))))</f>
        <v/>
      </c>
      <c r="S1047" s="55">
        <f>IF(L1047="","",ROUND(L1047*(1+N(M1047)),2))</f>
        <v/>
      </c>
      <c r="T1047" s="55">
        <f>IF(B1047="","",SUMIFS('REVENUE'!$C$5:$C$1504,'REVENUE'!$B$5:$B$1504,A1047))</f>
        <v/>
      </c>
      <c r="U1047" s="55">
        <f>IF(B1047="","",IF(O1047="Completed",MAX(0,N(S1047)-T1047),""))</f>
        <v/>
      </c>
      <c r="V1047" s="49">
        <f>IF(B1047="","",IF(O1047&lt;&gt;"Completed",IF(T1047&gt;0,"Deposit","—"),IF(U1047&lt;=0.005,"Paid",IF(T1047&gt;0,"Partial","Unpaid"))))</f>
        <v/>
      </c>
      <c r="W1047" s="55">
        <f>IF(B1047="","",IFERROR(1/(1/INDEX('STAFF &amp; TASKS'!$C$5:$C$24,MATCH(H1047,'STAFF &amp; TASKS'!$A$5:$A$24,0))),PayRate))</f>
        <v/>
      </c>
      <c r="X1047" s="55">
        <f>IF(B1047="","",IF(OR(O1047="Cancelled",O1047="No-Show"),"",ROUND(R1047*W1047*(1+Burden),2)))</f>
        <v/>
      </c>
      <c r="Y1047" s="55">
        <f>IF(B1047="","",IF(OR(O1047="Cancelled",O1047="No-Show"),"",IF(N1047&lt;&gt;"",N1047,ROUND(R1047*SupHr*IFERROR(INDEX('PRICING'!$G$7:$G$16,MATCH(F1047,'PRICING'!$A$7:$A$16,0)),1),2))))</f>
        <v/>
      </c>
      <c r="Z1047" s="98">
        <f>IF(B1047="","",SUMIFS('MILEAGE'!$J$5:$J$1504,'MILEAGE'!$B$5:$B$1504,A1047))</f>
        <v/>
      </c>
      <c r="AA1047" s="55">
        <f>IF(B1047="","",ROUND(Z1047*MileRate,2))</f>
        <v/>
      </c>
      <c r="AB1047" s="55">
        <f>IF(B1047="","",SUMIFS('REVENUE'!$J$5:$J$1504,'REVENUE'!$B$5:$B$1504,A1047))</f>
        <v/>
      </c>
      <c r="AC1047" s="55">
        <f>IF(L1047="","",IF(OR(O1047="Cancelled",O1047="No-Show"),"",L1047-N(X1047)-N(Y1047)-AA1047-AB1047))</f>
        <v/>
      </c>
      <c r="AD1047" s="99">
        <f>IF(OR(AC1047="",N(L1047)=0),"",AC1047/L1047)</f>
        <v/>
      </c>
      <c r="AE1047" s="55">
        <f>IF(OR(AC1047="",N(R1047)=0),"",L1047/R1047)</f>
        <v/>
      </c>
      <c r="AF1047" s="100">
        <f>IF(OR(N(K1047)=0,N(J1047)+N(Q1047)=0),"",K1047-IF(N(J1047)&gt;0,J1047,Q1047))</f>
        <v/>
      </c>
      <c r="AG1047" s="99">
        <f>IF(B1047="","",IFERROR(AVERAGEIFS('QUALITY CONTROL'!$M$5:$M$304,'QUALITY CONTROL'!$B$5:$B$304,A1047),""))</f>
        <v/>
      </c>
      <c r="AH1047" s="51">
        <f>IF(B1047="","",DATE(YEAR(B1047),MONTH(B1047),1))</f>
        <v/>
      </c>
      <c r="AI1047" s="49">
        <f>IF(D1047="","",IFERROR(INDEX('CUSTOMERS'!$E$5:$E$404,MATCH(D1047,'CUSTOMERS'!$B$5:$B$404,0)),""))</f>
        <v/>
      </c>
      <c r="AJ1047" s="49">
        <f>IF(B1047="","",N(C1047))</f>
        <v/>
      </c>
      <c r="AK1047" s="49">
        <f>IF(OR(B1047="",O1047="Cancelled",O1047="Rescheduled"),"",B1047&amp;"|"&amp;(COUNTIFS('JOBS'!$B$5:$B$1504,B1047,'JOBS'!$AJ$5:$AJ$1504,"&lt;"&amp;AJ1047,'JOBS'!$O$5:$O$1504,"&lt;&gt;Cancelled",'JOBS'!$O$5:$O$1504,"&lt;&gt;Rescheduled")+COUNTIFS($B$5:B1047,B1047,$AJ$5:AJ1047,AJ1047,$O$5:O1047,"&lt;&gt;Cancelled",$O$5:O1047,"&lt;&gt;Rescheduled")))</f>
        <v/>
      </c>
      <c r="AL1047" s="49">
        <f>IF(N(U1047)&lt;=0.005,"",COUNTIFS('JOBS'!$U$5:$U$1504,"&gt;0.005",'JOBS'!$B$5:$B$1504,"&lt;"&amp;B1047)+COUNTIFS($U$5:U1047,"&gt;0.005",$B$5:B1047,B1047))</f>
        <v/>
      </c>
    </row>
    <row r="1048">
      <c r="A1048" s="46" t="inlineStr">
        <is>
          <t>J-1044</t>
        </is>
      </c>
      <c r="B1048" s="47" t="n"/>
      <c r="C1048" s="94" t="n"/>
      <c r="D1048" s="38" t="n"/>
      <c r="E1048" s="38" t="n"/>
      <c r="F1048" s="38" t="n"/>
      <c r="G1048" s="38" t="n"/>
      <c r="H1048" s="38" t="n"/>
      <c r="I1048" s="57" t="n"/>
      <c r="J1048" s="95" t="n"/>
      <c r="K1048" s="95" t="n"/>
      <c r="L1048" s="48" t="n"/>
      <c r="M1048" s="96" t="n"/>
      <c r="N1048" s="48" t="n"/>
      <c r="O1048" s="38" t="n"/>
      <c r="P1048" s="38" t="n"/>
      <c r="Q1048" s="97">
        <f>IF(OR(F1048="",E1048=""),"",IFERROR(IF(INDEX('PROPERTIES'!$F$5:$F$404,MATCH(E1048,'PROPERTIES'!$B$5:$B$404,0))=0,"",ROUND((INDEX('PROPERTIES'!$F$5:$F$404,MATCH(E1048,'PROPERTIES'!$B$5:$B$404,0))/INDEX('PRICING'!$C$7:$C$16,MATCH(F1048,'PRICING'!$A$7:$A$16,0))+INDEX('PROPERTIES'!$G$5:$G$404,MATCH(E1048,'PROPERTIES'!$B$5:$B$404,0))*INDEX('PRICING'!$D$7:$D$16,MATCH(F1048,'PRICING'!$A$7:$A$16,0))/60+INDEX('PROPERTIES'!$H$5:$H$404,MATCH(E1048,'PROPERTIES'!$B$5:$B$404,0))*INDEX('PRICING'!$E$7:$E$16,MATCH(F1048,'PRICING'!$A$7:$A$16,0))/60+INDEX('PRICING'!$F$7:$F$16,MATCH(F1048,'PRICING'!$A$7:$A$16,0))/60),2)),""))</f>
        <v/>
      </c>
      <c r="R1048" s="97">
        <f>IF(B1048="","",IF(N(K1048)&gt;0,K1048,IF(N(J1048)&gt;0,J1048,N(Q1048))))</f>
        <v/>
      </c>
      <c r="S1048" s="55">
        <f>IF(L1048="","",ROUND(L1048*(1+N(M1048)),2))</f>
        <v/>
      </c>
      <c r="T1048" s="55">
        <f>IF(B1048="","",SUMIFS('REVENUE'!$C$5:$C$1504,'REVENUE'!$B$5:$B$1504,A1048))</f>
        <v/>
      </c>
      <c r="U1048" s="55">
        <f>IF(B1048="","",IF(O1048="Completed",MAX(0,N(S1048)-T1048),""))</f>
        <v/>
      </c>
      <c r="V1048" s="49">
        <f>IF(B1048="","",IF(O1048&lt;&gt;"Completed",IF(T1048&gt;0,"Deposit","—"),IF(U1048&lt;=0.005,"Paid",IF(T1048&gt;0,"Partial","Unpaid"))))</f>
        <v/>
      </c>
      <c r="W1048" s="55">
        <f>IF(B1048="","",IFERROR(1/(1/INDEX('STAFF &amp; TASKS'!$C$5:$C$24,MATCH(H1048,'STAFF &amp; TASKS'!$A$5:$A$24,0))),PayRate))</f>
        <v/>
      </c>
      <c r="X1048" s="55">
        <f>IF(B1048="","",IF(OR(O1048="Cancelled",O1048="No-Show"),"",ROUND(R1048*W1048*(1+Burden),2)))</f>
        <v/>
      </c>
      <c r="Y1048" s="55">
        <f>IF(B1048="","",IF(OR(O1048="Cancelled",O1048="No-Show"),"",IF(N1048&lt;&gt;"",N1048,ROUND(R1048*SupHr*IFERROR(INDEX('PRICING'!$G$7:$G$16,MATCH(F1048,'PRICING'!$A$7:$A$16,0)),1),2))))</f>
        <v/>
      </c>
      <c r="Z1048" s="98">
        <f>IF(B1048="","",SUMIFS('MILEAGE'!$J$5:$J$1504,'MILEAGE'!$B$5:$B$1504,A1048))</f>
        <v/>
      </c>
      <c r="AA1048" s="55">
        <f>IF(B1048="","",ROUND(Z1048*MileRate,2))</f>
        <v/>
      </c>
      <c r="AB1048" s="55">
        <f>IF(B1048="","",SUMIFS('REVENUE'!$J$5:$J$1504,'REVENUE'!$B$5:$B$1504,A1048))</f>
        <v/>
      </c>
      <c r="AC1048" s="55">
        <f>IF(L1048="","",IF(OR(O1048="Cancelled",O1048="No-Show"),"",L1048-N(X1048)-N(Y1048)-AA1048-AB1048))</f>
        <v/>
      </c>
      <c r="AD1048" s="99">
        <f>IF(OR(AC1048="",N(L1048)=0),"",AC1048/L1048)</f>
        <v/>
      </c>
      <c r="AE1048" s="55">
        <f>IF(OR(AC1048="",N(R1048)=0),"",L1048/R1048)</f>
        <v/>
      </c>
      <c r="AF1048" s="100">
        <f>IF(OR(N(K1048)=0,N(J1048)+N(Q1048)=0),"",K1048-IF(N(J1048)&gt;0,J1048,Q1048))</f>
        <v/>
      </c>
      <c r="AG1048" s="99">
        <f>IF(B1048="","",IFERROR(AVERAGEIFS('QUALITY CONTROL'!$M$5:$M$304,'QUALITY CONTROL'!$B$5:$B$304,A1048),""))</f>
        <v/>
      </c>
      <c r="AH1048" s="51">
        <f>IF(B1048="","",DATE(YEAR(B1048),MONTH(B1048),1))</f>
        <v/>
      </c>
      <c r="AI1048" s="49">
        <f>IF(D1048="","",IFERROR(INDEX('CUSTOMERS'!$E$5:$E$404,MATCH(D1048,'CUSTOMERS'!$B$5:$B$404,0)),""))</f>
        <v/>
      </c>
      <c r="AJ1048" s="49">
        <f>IF(B1048="","",N(C1048))</f>
        <v/>
      </c>
      <c r="AK1048" s="49">
        <f>IF(OR(B1048="",O1048="Cancelled",O1048="Rescheduled"),"",B1048&amp;"|"&amp;(COUNTIFS('JOBS'!$B$5:$B$1504,B1048,'JOBS'!$AJ$5:$AJ$1504,"&lt;"&amp;AJ1048,'JOBS'!$O$5:$O$1504,"&lt;&gt;Cancelled",'JOBS'!$O$5:$O$1504,"&lt;&gt;Rescheduled")+COUNTIFS($B$5:B1048,B1048,$AJ$5:AJ1048,AJ1048,$O$5:O1048,"&lt;&gt;Cancelled",$O$5:O1048,"&lt;&gt;Rescheduled")))</f>
        <v/>
      </c>
      <c r="AL1048" s="49">
        <f>IF(N(U1048)&lt;=0.005,"",COUNTIFS('JOBS'!$U$5:$U$1504,"&gt;0.005",'JOBS'!$B$5:$B$1504,"&lt;"&amp;B1048)+COUNTIFS($U$5:U1048,"&gt;0.005",$B$5:B1048,B1048))</f>
        <v/>
      </c>
    </row>
    <row r="1049">
      <c r="A1049" s="46" t="inlineStr">
        <is>
          <t>J-1045</t>
        </is>
      </c>
      <c r="B1049" s="47" t="n"/>
      <c r="C1049" s="94" t="n"/>
      <c r="D1049" s="38" t="n"/>
      <c r="E1049" s="38" t="n"/>
      <c r="F1049" s="38" t="n"/>
      <c r="G1049" s="38" t="n"/>
      <c r="H1049" s="38" t="n"/>
      <c r="I1049" s="57" t="n"/>
      <c r="J1049" s="95" t="n"/>
      <c r="K1049" s="95" t="n"/>
      <c r="L1049" s="48" t="n"/>
      <c r="M1049" s="96" t="n"/>
      <c r="N1049" s="48" t="n"/>
      <c r="O1049" s="38" t="n"/>
      <c r="P1049" s="38" t="n"/>
      <c r="Q1049" s="97">
        <f>IF(OR(F1049="",E1049=""),"",IFERROR(IF(INDEX('PROPERTIES'!$F$5:$F$404,MATCH(E1049,'PROPERTIES'!$B$5:$B$404,0))=0,"",ROUND((INDEX('PROPERTIES'!$F$5:$F$404,MATCH(E1049,'PROPERTIES'!$B$5:$B$404,0))/INDEX('PRICING'!$C$7:$C$16,MATCH(F1049,'PRICING'!$A$7:$A$16,0))+INDEX('PROPERTIES'!$G$5:$G$404,MATCH(E1049,'PROPERTIES'!$B$5:$B$404,0))*INDEX('PRICING'!$D$7:$D$16,MATCH(F1049,'PRICING'!$A$7:$A$16,0))/60+INDEX('PROPERTIES'!$H$5:$H$404,MATCH(E1049,'PROPERTIES'!$B$5:$B$404,0))*INDEX('PRICING'!$E$7:$E$16,MATCH(F1049,'PRICING'!$A$7:$A$16,0))/60+INDEX('PRICING'!$F$7:$F$16,MATCH(F1049,'PRICING'!$A$7:$A$16,0))/60),2)),""))</f>
        <v/>
      </c>
      <c r="R1049" s="97">
        <f>IF(B1049="","",IF(N(K1049)&gt;0,K1049,IF(N(J1049)&gt;0,J1049,N(Q1049))))</f>
        <v/>
      </c>
      <c r="S1049" s="55">
        <f>IF(L1049="","",ROUND(L1049*(1+N(M1049)),2))</f>
        <v/>
      </c>
      <c r="T1049" s="55">
        <f>IF(B1049="","",SUMIFS('REVENUE'!$C$5:$C$1504,'REVENUE'!$B$5:$B$1504,A1049))</f>
        <v/>
      </c>
      <c r="U1049" s="55">
        <f>IF(B1049="","",IF(O1049="Completed",MAX(0,N(S1049)-T1049),""))</f>
        <v/>
      </c>
      <c r="V1049" s="49">
        <f>IF(B1049="","",IF(O1049&lt;&gt;"Completed",IF(T1049&gt;0,"Deposit","—"),IF(U1049&lt;=0.005,"Paid",IF(T1049&gt;0,"Partial","Unpaid"))))</f>
        <v/>
      </c>
      <c r="W1049" s="55">
        <f>IF(B1049="","",IFERROR(1/(1/INDEX('STAFF &amp; TASKS'!$C$5:$C$24,MATCH(H1049,'STAFF &amp; TASKS'!$A$5:$A$24,0))),PayRate))</f>
        <v/>
      </c>
      <c r="X1049" s="55">
        <f>IF(B1049="","",IF(OR(O1049="Cancelled",O1049="No-Show"),"",ROUND(R1049*W1049*(1+Burden),2)))</f>
        <v/>
      </c>
      <c r="Y1049" s="55">
        <f>IF(B1049="","",IF(OR(O1049="Cancelled",O1049="No-Show"),"",IF(N1049&lt;&gt;"",N1049,ROUND(R1049*SupHr*IFERROR(INDEX('PRICING'!$G$7:$G$16,MATCH(F1049,'PRICING'!$A$7:$A$16,0)),1),2))))</f>
        <v/>
      </c>
      <c r="Z1049" s="98">
        <f>IF(B1049="","",SUMIFS('MILEAGE'!$J$5:$J$1504,'MILEAGE'!$B$5:$B$1504,A1049))</f>
        <v/>
      </c>
      <c r="AA1049" s="55">
        <f>IF(B1049="","",ROUND(Z1049*MileRate,2))</f>
        <v/>
      </c>
      <c r="AB1049" s="55">
        <f>IF(B1049="","",SUMIFS('REVENUE'!$J$5:$J$1504,'REVENUE'!$B$5:$B$1504,A1049))</f>
        <v/>
      </c>
      <c r="AC1049" s="55">
        <f>IF(L1049="","",IF(OR(O1049="Cancelled",O1049="No-Show"),"",L1049-N(X1049)-N(Y1049)-AA1049-AB1049))</f>
        <v/>
      </c>
      <c r="AD1049" s="99">
        <f>IF(OR(AC1049="",N(L1049)=0),"",AC1049/L1049)</f>
        <v/>
      </c>
      <c r="AE1049" s="55">
        <f>IF(OR(AC1049="",N(R1049)=0),"",L1049/R1049)</f>
        <v/>
      </c>
      <c r="AF1049" s="100">
        <f>IF(OR(N(K1049)=0,N(J1049)+N(Q1049)=0),"",K1049-IF(N(J1049)&gt;0,J1049,Q1049))</f>
        <v/>
      </c>
      <c r="AG1049" s="99">
        <f>IF(B1049="","",IFERROR(AVERAGEIFS('QUALITY CONTROL'!$M$5:$M$304,'QUALITY CONTROL'!$B$5:$B$304,A1049),""))</f>
        <v/>
      </c>
      <c r="AH1049" s="51">
        <f>IF(B1049="","",DATE(YEAR(B1049),MONTH(B1049),1))</f>
        <v/>
      </c>
      <c r="AI1049" s="49">
        <f>IF(D1049="","",IFERROR(INDEX('CUSTOMERS'!$E$5:$E$404,MATCH(D1049,'CUSTOMERS'!$B$5:$B$404,0)),""))</f>
        <v/>
      </c>
      <c r="AJ1049" s="49">
        <f>IF(B1049="","",N(C1049))</f>
        <v/>
      </c>
      <c r="AK1049" s="49">
        <f>IF(OR(B1049="",O1049="Cancelled",O1049="Rescheduled"),"",B1049&amp;"|"&amp;(COUNTIFS('JOBS'!$B$5:$B$1504,B1049,'JOBS'!$AJ$5:$AJ$1504,"&lt;"&amp;AJ1049,'JOBS'!$O$5:$O$1504,"&lt;&gt;Cancelled",'JOBS'!$O$5:$O$1504,"&lt;&gt;Rescheduled")+COUNTIFS($B$5:B1049,B1049,$AJ$5:AJ1049,AJ1049,$O$5:O1049,"&lt;&gt;Cancelled",$O$5:O1049,"&lt;&gt;Rescheduled")))</f>
        <v/>
      </c>
      <c r="AL1049" s="49">
        <f>IF(N(U1049)&lt;=0.005,"",COUNTIFS('JOBS'!$U$5:$U$1504,"&gt;0.005",'JOBS'!$B$5:$B$1504,"&lt;"&amp;B1049)+COUNTIFS($U$5:U1049,"&gt;0.005",$B$5:B1049,B1049))</f>
        <v/>
      </c>
    </row>
    <row r="1050">
      <c r="A1050" s="46" t="inlineStr">
        <is>
          <t>J-1046</t>
        </is>
      </c>
      <c r="B1050" s="47" t="n"/>
      <c r="C1050" s="94" t="n"/>
      <c r="D1050" s="38" t="n"/>
      <c r="E1050" s="38" t="n"/>
      <c r="F1050" s="38" t="n"/>
      <c r="G1050" s="38" t="n"/>
      <c r="H1050" s="38" t="n"/>
      <c r="I1050" s="57" t="n"/>
      <c r="J1050" s="95" t="n"/>
      <c r="K1050" s="95" t="n"/>
      <c r="L1050" s="48" t="n"/>
      <c r="M1050" s="96" t="n"/>
      <c r="N1050" s="48" t="n"/>
      <c r="O1050" s="38" t="n"/>
      <c r="P1050" s="38" t="n"/>
      <c r="Q1050" s="97">
        <f>IF(OR(F1050="",E1050=""),"",IFERROR(IF(INDEX('PROPERTIES'!$F$5:$F$404,MATCH(E1050,'PROPERTIES'!$B$5:$B$404,0))=0,"",ROUND((INDEX('PROPERTIES'!$F$5:$F$404,MATCH(E1050,'PROPERTIES'!$B$5:$B$404,0))/INDEX('PRICING'!$C$7:$C$16,MATCH(F1050,'PRICING'!$A$7:$A$16,0))+INDEX('PROPERTIES'!$G$5:$G$404,MATCH(E1050,'PROPERTIES'!$B$5:$B$404,0))*INDEX('PRICING'!$D$7:$D$16,MATCH(F1050,'PRICING'!$A$7:$A$16,0))/60+INDEX('PROPERTIES'!$H$5:$H$404,MATCH(E1050,'PROPERTIES'!$B$5:$B$404,0))*INDEX('PRICING'!$E$7:$E$16,MATCH(F1050,'PRICING'!$A$7:$A$16,0))/60+INDEX('PRICING'!$F$7:$F$16,MATCH(F1050,'PRICING'!$A$7:$A$16,0))/60),2)),""))</f>
        <v/>
      </c>
      <c r="R1050" s="97">
        <f>IF(B1050="","",IF(N(K1050)&gt;0,K1050,IF(N(J1050)&gt;0,J1050,N(Q1050))))</f>
        <v/>
      </c>
      <c r="S1050" s="55">
        <f>IF(L1050="","",ROUND(L1050*(1+N(M1050)),2))</f>
        <v/>
      </c>
      <c r="T1050" s="55">
        <f>IF(B1050="","",SUMIFS('REVENUE'!$C$5:$C$1504,'REVENUE'!$B$5:$B$1504,A1050))</f>
        <v/>
      </c>
      <c r="U1050" s="55">
        <f>IF(B1050="","",IF(O1050="Completed",MAX(0,N(S1050)-T1050),""))</f>
        <v/>
      </c>
      <c r="V1050" s="49">
        <f>IF(B1050="","",IF(O1050&lt;&gt;"Completed",IF(T1050&gt;0,"Deposit","—"),IF(U1050&lt;=0.005,"Paid",IF(T1050&gt;0,"Partial","Unpaid"))))</f>
        <v/>
      </c>
      <c r="W1050" s="55">
        <f>IF(B1050="","",IFERROR(1/(1/INDEX('STAFF &amp; TASKS'!$C$5:$C$24,MATCH(H1050,'STAFF &amp; TASKS'!$A$5:$A$24,0))),PayRate))</f>
        <v/>
      </c>
      <c r="X1050" s="55">
        <f>IF(B1050="","",IF(OR(O1050="Cancelled",O1050="No-Show"),"",ROUND(R1050*W1050*(1+Burden),2)))</f>
        <v/>
      </c>
      <c r="Y1050" s="55">
        <f>IF(B1050="","",IF(OR(O1050="Cancelled",O1050="No-Show"),"",IF(N1050&lt;&gt;"",N1050,ROUND(R1050*SupHr*IFERROR(INDEX('PRICING'!$G$7:$G$16,MATCH(F1050,'PRICING'!$A$7:$A$16,0)),1),2))))</f>
        <v/>
      </c>
      <c r="Z1050" s="98">
        <f>IF(B1050="","",SUMIFS('MILEAGE'!$J$5:$J$1504,'MILEAGE'!$B$5:$B$1504,A1050))</f>
        <v/>
      </c>
      <c r="AA1050" s="55">
        <f>IF(B1050="","",ROUND(Z1050*MileRate,2))</f>
        <v/>
      </c>
      <c r="AB1050" s="55">
        <f>IF(B1050="","",SUMIFS('REVENUE'!$J$5:$J$1504,'REVENUE'!$B$5:$B$1504,A1050))</f>
        <v/>
      </c>
      <c r="AC1050" s="55">
        <f>IF(L1050="","",IF(OR(O1050="Cancelled",O1050="No-Show"),"",L1050-N(X1050)-N(Y1050)-AA1050-AB1050))</f>
        <v/>
      </c>
      <c r="AD1050" s="99">
        <f>IF(OR(AC1050="",N(L1050)=0),"",AC1050/L1050)</f>
        <v/>
      </c>
      <c r="AE1050" s="55">
        <f>IF(OR(AC1050="",N(R1050)=0),"",L1050/R1050)</f>
        <v/>
      </c>
      <c r="AF1050" s="100">
        <f>IF(OR(N(K1050)=0,N(J1050)+N(Q1050)=0),"",K1050-IF(N(J1050)&gt;0,J1050,Q1050))</f>
        <v/>
      </c>
      <c r="AG1050" s="99">
        <f>IF(B1050="","",IFERROR(AVERAGEIFS('QUALITY CONTROL'!$M$5:$M$304,'QUALITY CONTROL'!$B$5:$B$304,A1050),""))</f>
        <v/>
      </c>
      <c r="AH1050" s="51">
        <f>IF(B1050="","",DATE(YEAR(B1050),MONTH(B1050),1))</f>
        <v/>
      </c>
      <c r="AI1050" s="49">
        <f>IF(D1050="","",IFERROR(INDEX('CUSTOMERS'!$E$5:$E$404,MATCH(D1050,'CUSTOMERS'!$B$5:$B$404,0)),""))</f>
        <v/>
      </c>
      <c r="AJ1050" s="49">
        <f>IF(B1050="","",N(C1050))</f>
        <v/>
      </c>
      <c r="AK1050" s="49">
        <f>IF(OR(B1050="",O1050="Cancelled",O1050="Rescheduled"),"",B1050&amp;"|"&amp;(COUNTIFS('JOBS'!$B$5:$B$1504,B1050,'JOBS'!$AJ$5:$AJ$1504,"&lt;"&amp;AJ1050,'JOBS'!$O$5:$O$1504,"&lt;&gt;Cancelled",'JOBS'!$O$5:$O$1504,"&lt;&gt;Rescheduled")+COUNTIFS($B$5:B1050,B1050,$AJ$5:AJ1050,AJ1050,$O$5:O1050,"&lt;&gt;Cancelled",$O$5:O1050,"&lt;&gt;Rescheduled")))</f>
        <v/>
      </c>
      <c r="AL1050" s="49">
        <f>IF(N(U1050)&lt;=0.005,"",COUNTIFS('JOBS'!$U$5:$U$1504,"&gt;0.005",'JOBS'!$B$5:$B$1504,"&lt;"&amp;B1050)+COUNTIFS($U$5:U1050,"&gt;0.005",$B$5:B1050,B1050))</f>
        <v/>
      </c>
    </row>
    <row r="1051">
      <c r="A1051" s="46" t="inlineStr">
        <is>
          <t>J-1047</t>
        </is>
      </c>
      <c r="B1051" s="47" t="n"/>
      <c r="C1051" s="94" t="n"/>
      <c r="D1051" s="38" t="n"/>
      <c r="E1051" s="38" t="n"/>
      <c r="F1051" s="38" t="n"/>
      <c r="G1051" s="38" t="n"/>
      <c r="H1051" s="38" t="n"/>
      <c r="I1051" s="57" t="n"/>
      <c r="J1051" s="95" t="n"/>
      <c r="K1051" s="95" t="n"/>
      <c r="L1051" s="48" t="n"/>
      <c r="M1051" s="96" t="n"/>
      <c r="N1051" s="48" t="n"/>
      <c r="O1051" s="38" t="n"/>
      <c r="P1051" s="38" t="n"/>
      <c r="Q1051" s="97">
        <f>IF(OR(F1051="",E1051=""),"",IFERROR(IF(INDEX('PROPERTIES'!$F$5:$F$404,MATCH(E1051,'PROPERTIES'!$B$5:$B$404,0))=0,"",ROUND((INDEX('PROPERTIES'!$F$5:$F$404,MATCH(E1051,'PROPERTIES'!$B$5:$B$404,0))/INDEX('PRICING'!$C$7:$C$16,MATCH(F1051,'PRICING'!$A$7:$A$16,0))+INDEX('PROPERTIES'!$G$5:$G$404,MATCH(E1051,'PROPERTIES'!$B$5:$B$404,0))*INDEX('PRICING'!$D$7:$D$16,MATCH(F1051,'PRICING'!$A$7:$A$16,0))/60+INDEX('PROPERTIES'!$H$5:$H$404,MATCH(E1051,'PROPERTIES'!$B$5:$B$404,0))*INDEX('PRICING'!$E$7:$E$16,MATCH(F1051,'PRICING'!$A$7:$A$16,0))/60+INDEX('PRICING'!$F$7:$F$16,MATCH(F1051,'PRICING'!$A$7:$A$16,0))/60),2)),""))</f>
        <v/>
      </c>
      <c r="R1051" s="97">
        <f>IF(B1051="","",IF(N(K1051)&gt;0,K1051,IF(N(J1051)&gt;0,J1051,N(Q1051))))</f>
        <v/>
      </c>
      <c r="S1051" s="55">
        <f>IF(L1051="","",ROUND(L1051*(1+N(M1051)),2))</f>
        <v/>
      </c>
      <c r="T1051" s="55">
        <f>IF(B1051="","",SUMIFS('REVENUE'!$C$5:$C$1504,'REVENUE'!$B$5:$B$1504,A1051))</f>
        <v/>
      </c>
      <c r="U1051" s="55">
        <f>IF(B1051="","",IF(O1051="Completed",MAX(0,N(S1051)-T1051),""))</f>
        <v/>
      </c>
      <c r="V1051" s="49">
        <f>IF(B1051="","",IF(O1051&lt;&gt;"Completed",IF(T1051&gt;0,"Deposit","—"),IF(U1051&lt;=0.005,"Paid",IF(T1051&gt;0,"Partial","Unpaid"))))</f>
        <v/>
      </c>
      <c r="W1051" s="55">
        <f>IF(B1051="","",IFERROR(1/(1/INDEX('STAFF &amp; TASKS'!$C$5:$C$24,MATCH(H1051,'STAFF &amp; TASKS'!$A$5:$A$24,0))),PayRate))</f>
        <v/>
      </c>
      <c r="X1051" s="55">
        <f>IF(B1051="","",IF(OR(O1051="Cancelled",O1051="No-Show"),"",ROUND(R1051*W1051*(1+Burden),2)))</f>
        <v/>
      </c>
      <c r="Y1051" s="55">
        <f>IF(B1051="","",IF(OR(O1051="Cancelled",O1051="No-Show"),"",IF(N1051&lt;&gt;"",N1051,ROUND(R1051*SupHr*IFERROR(INDEX('PRICING'!$G$7:$G$16,MATCH(F1051,'PRICING'!$A$7:$A$16,0)),1),2))))</f>
        <v/>
      </c>
      <c r="Z1051" s="98">
        <f>IF(B1051="","",SUMIFS('MILEAGE'!$J$5:$J$1504,'MILEAGE'!$B$5:$B$1504,A1051))</f>
        <v/>
      </c>
      <c r="AA1051" s="55">
        <f>IF(B1051="","",ROUND(Z1051*MileRate,2))</f>
        <v/>
      </c>
      <c r="AB1051" s="55">
        <f>IF(B1051="","",SUMIFS('REVENUE'!$J$5:$J$1504,'REVENUE'!$B$5:$B$1504,A1051))</f>
        <v/>
      </c>
      <c r="AC1051" s="55">
        <f>IF(L1051="","",IF(OR(O1051="Cancelled",O1051="No-Show"),"",L1051-N(X1051)-N(Y1051)-AA1051-AB1051))</f>
        <v/>
      </c>
      <c r="AD1051" s="99">
        <f>IF(OR(AC1051="",N(L1051)=0),"",AC1051/L1051)</f>
        <v/>
      </c>
      <c r="AE1051" s="55">
        <f>IF(OR(AC1051="",N(R1051)=0),"",L1051/R1051)</f>
        <v/>
      </c>
      <c r="AF1051" s="100">
        <f>IF(OR(N(K1051)=0,N(J1051)+N(Q1051)=0),"",K1051-IF(N(J1051)&gt;0,J1051,Q1051))</f>
        <v/>
      </c>
      <c r="AG1051" s="99">
        <f>IF(B1051="","",IFERROR(AVERAGEIFS('QUALITY CONTROL'!$M$5:$M$304,'QUALITY CONTROL'!$B$5:$B$304,A1051),""))</f>
        <v/>
      </c>
      <c r="AH1051" s="51">
        <f>IF(B1051="","",DATE(YEAR(B1051),MONTH(B1051),1))</f>
        <v/>
      </c>
      <c r="AI1051" s="49">
        <f>IF(D1051="","",IFERROR(INDEX('CUSTOMERS'!$E$5:$E$404,MATCH(D1051,'CUSTOMERS'!$B$5:$B$404,0)),""))</f>
        <v/>
      </c>
      <c r="AJ1051" s="49">
        <f>IF(B1051="","",N(C1051))</f>
        <v/>
      </c>
      <c r="AK1051" s="49">
        <f>IF(OR(B1051="",O1051="Cancelled",O1051="Rescheduled"),"",B1051&amp;"|"&amp;(COUNTIFS('JOBS'!$B$5:$B$1504,B1051,'JOBS'!$AJ$5:$AJ$1504,"&lt;"&amp;AJ1051,'JOBS'!$O$5:$O$1504,"&lt;&gt;Cancelled",'JOBS'!$O$5:$O$1504,"&lt;&gt;Rescheduled")+COUNTIFS($B$5:B1051,B1051,$AJ$5:AJ1051,AJ1051,$O$5:O1051,"&lt;&gt;Cancelled",$O$5:O1051,"&lt;&gt;Rescheduled")))</f>
        <v/>
      </c>
      <c r="AL1051" s="49">
        <f>IF(N(U1051)&lt;=0.005,"",COUNTIFS('JOBS'!$U$5:$U$1504,"&gt;0.005",'JOBS'!$B$5:$B$1504,"&lt;"&amp;B1051)+COUNTIFS($U$5:U1051,"&gt;0.005",$B$5:B1051,B1051))</f>
        <v/>
      </c>
    </row>
    <row r="1052">
      <c r="A1052" s="46" t="inlineStr">
        <is>
          <t>J-1048</t>
        </is>
      </c>
      <c r="B1052" s="47" t="n"/>
      <c r="C1052" s="94" t="n"/>
      <c r="D1052" s="38" t="n"/>
      <c r="E1052" s="38" t="n"/>
      <c r="F1052" s="38" t="n"/>
      <c r="G1052" s="38" t="n"/>
      <c r="H1052" s="38" t="n"/>
      <c r="I1052" s="57" t="n"/>
      <c r="J1052" s="95" t="n"/>
      <c r="K1052" s="95" t="n"/>
      <c r="L1052" s="48" t="n"/>
      <c r="M1052" s="96" t="n"/>
      <c r="N1052" s="48" t="n"/>
      <c r="O1052" s="38" t="n"/>
      <c r="P1052" s="38" t="n"/>
      <c r="Q1052" s="97">
        <f>IF(OR(F1052="",E1052=""),"",IFERROR(IF(INDEX('PROPERTIES'!$F$5:$F$404,MATCH(E1052,'PROPERTIES'!$B$5:$B$404,0))=0,"",ROUND((INDEX('PROPERTIES'!$F$5:$F$404,MATCH(E1052,'PROPERTIES'!$B$5:$B$404,0))/INDEX('PRICING'!$C$7:$C$16,MATCH(F1052,'PRICING'!$A$7:$A$16,0))+INDEX('PROPERTIES'!$G$5:$G$404,MATCH(E1052,'PROPERTIES'!$B$5:$B$404,0))*INDEX('PRICING'!$D$7:$D$16,MATCH(F1052,'PRICING'!$A$7:$A$16,0))/60+INDEX('PROPERTIES'!$H$5:$H$404,MATCH(E1052,'PROPERTIES'!$B$5:$B$404,0))*INDEX('PRICING'!$E$7:$E$16,MATCH(F1052,'PRICING'!$A$7:$A$16,0))/60+INDEX('PRICING'!$F$7:$F$16,MATCH(F1052,'PRICING'!$A$7:$A$16,0))/60),2)),""))</f>
        <v/>
      </c>
      <c r="R1052" s="97">
        <f>IF(B1052="","",IF(N(K1052)&gt;0,K1052,IF(N(J1052)&gt;0,J1052,N(Q1052))))</f>
        <v/>
      </c>
      <c r="S1052" s="55">
        <f>IF(L1052="","",ROUND(L1052*(1+N(M1052)),2))</f>
        <v/>
      </c>
      <c r="T1052" s="55">
        <f>IF(B1052="","",SUMIFS('REVENUE'!$C$5:$C$1504,'REVENUE'!$B$5:$B$1504,A1052))</f>
        <v/>
      </c>
      <c r="U1052" s="55">
        <f>IF(B1052="","",IF(O1052="Completed",MAX(0,N(S1052)-T1052),""))</f>
        <v/>
      </c>
      <c r="V1052" s="49">
        <f>IF(B1052="","",IF(O1052&lt;&gt;"Completed",IF(T1052&gt;0,"Deposit","—"),IF(U1052&lt;=0.005,"Paid",IF(T1052&gt;0,"Partial","Unpaid"))))</f>
        <v/>
      </c>
      <c r="W1052" s="55">
        <f>IF(B1052="","",IFERROR(1/(1/INDEX('STAFF &amp; TASKS'!$C$5:$C$24,MATCH(H1052,'STAFF &amp; TASKS'!$A$5:$A$24,0))),PayRate))</f>
        <v/>
      </c>
      <c r="X1052" s="55">
        <f>IF(B1052="","",IF(OR(O1052="Cancelled",O1052="No-Show"),"",ROUND(R1052*W1052*(1+Burden),2)))</f>
        <v/>
      </c>
      <c r="Y1052" s="55">
        <f>IF(B1052="","",IF(OR(O1052="Cancelled",O1052="No-Show"),"",IF(N1052&lt;&gt;"",N1052,ROUND(R1052*SupHr*IFERROR(INDEX('PRICING'!$G$7:$G$16,MATCH(F1052,'PRICING'!$A$7:$A$16,0)),1),2))))</f>
        <v/>
      </c>
      <c r="Z1052" s="98">
        <f>IF(B1052="","",SUMIFS('MILEAGE'!$J$5:$J$1504,'MILEAGE'!$B$5:$B$1504,A1052))</f>
        <v/>
      </c>
      <c r="AA1052" s="55">
        <f>IF(B1052="","",ROUND(Z1052*MileRate,2))</f>
        <v/>
      </c>
      <c r="AB1052" s="55">
        <f>IF(B1052="","",SUMIFS('REVENUE'!$J$5:$J$1504,'REVENUE'!$B$5:$B$1504,A1052))</f>
        <v/>
      </c>
      <c r="AC1052" s="55">
        <f>IF(L1052="","",IF(OR(O1052="Cancelled",O1052="No-Show"),"",L1052-N(X1052)-N(Y1052)-AA1052-AB1052))</f>
        <v/>
      </c>
      <c r="AD1052" s="99">
        <f>IF(OR(AC1052="",N(L1052)=0),"",AC1052/L1052)</f>
        <v/>
      </c>
      <c r="AE1052" s="55">
        <f>IF(OR(AC1052="",N(R1052)=0),"",L1052/R1052)</f>
        <v/>
      </c>
      <c r="AF1052" s="100">
        <f>IF(OR(N(K1052)=0,N(J1052)+N(Q1052)=0),"",K1052-IF(N(J1052)&gt;0,J1052,Q1052))</f>
        <v/>
      </c>
      <c r="AG1052" s="99">
        <f>IF(B1052="","",IFERROR(AVERAGEIFS('QUALITY CONTROL'!$M$5:$M$304,'QUALITY CONTROL'!$B$5:$B$304,A1052),""))</f>
        <v/>
      </c>
      <c r="AH1052" s="51">
        <f>IF(B1052="","",DATE(YEAR(B1052),MONTH(B1052),1))</f>
        <v/>
      </c>
      <c r="AI1052" s="49">
        <f>IF(D1052="","",IFERROR(INDEX('CUSTOMERS'!$E$5:$E$404,MATCH(D1052,'CUSTOMERS'!$B$5:$B$404,0)),""))</f>
        <v/>
      </c>
      <c r="AJ1052" s="49">
        <f>IF(B1052="","",N(C1052))</f>
        <v/>
      </c>
      <c r="AK1052" s="49">
        <f>IF(OR(B1052="",O1052="Cancelled",O1052="Rescheduled"),"",B1052&amp;"|"&amp;(COUNTIFS('JOBS'!$B$5:$B$1504,B1052,'JOBS'!$AJ$5:$AJ$1504,"&lt;"&amp;AJ1052,'JOBS'!$O$5:$O$1504,"&lt;&gt;Cancelled",'JOBS'!$O$5:$O$1504,"&lt;&gt;Rescheduled")+COUNTIFS($B$5:B1052,B1052,$AJ$5:AJ1052,AJ1052,$O$5:O1052,"&lt;&gt;Cancelled",$O$5:O1052,"&lt;&gt;Rescheduled")))</f>
        <v/>
      </c>
      <c r="AL1052" s="49">
        <f>IF(N(U1052)&lt;=0.005,"",COUNTIFS('JOBS'!$U$5:$U$1504,"&gt;0.005",'JOBS'!$B$5:$B$1504,"&lt;"&amp;B1052)+COUNTIFS($U$5:U1052,"&gt;0.005",$B$5:B1052,B1052))</f>
        <v/>
      </c>
    </row>
    <row r="1053">
      <c r="A1053" s="46" t="inlineStr">
        <is>
          <t>J-1049</t>
        </is>
      </c>
      <c r="B1053" s="47" t="n"/>
      <c r="C1053" s="94" t="n"/>
      <c r="D1053" s="38" t="n"/>
      <c r="E1053" s="38" t="n"/>
      <c r="F1053" s="38" t="n"/>
      <c r="G1053" s="38" t="n"/>
      <c r="H1053" s="38" t="n"/>
      <c r="I1053" s="57" t="n"/>
      <c r="J1053" s="95" t="n"/>
      <c r="K1053" s="95" t="n"/>
      <c r="L1053" s="48" t="n"/>
      <c r="M1053" s="96" t="n"/>
      <c r="N1053" s="48" t="n"/>
      <c r="O1053" s="38" t="n"/>
      <c r="P1053" s="38" t="n"/>
      <c r="Q1053" s="97">
        <f>IF(OR(F1053="",E1053=""),"",IFERROR(IF(INDEX('PROPERTIES'!$F$5:$F$404,MATCH(E1053,'PROPERTIES'!$B$5:$B$404,0))=0,"",ROUND((INDEX('PROPERTIES'!$F$5:$F$404,MATCH(E1053,'PROPERTIES'!$B$5:$B$404,0))/INDEX('PRICING'!$C$7:$C$16,MATCH(F1053,'PRICING'!$A$7:$A$16,0))+INDEX('PROPERTIES'!$G$5:$G$404,MATCH(E1053,'PROPERTIES'!$B$5:$B$404,0))*INDEX('PRICING'!$D$7:$D$16,MATCH(F1053,'PRICING'!$A$7:$A$16,0))/60+INDEX('PROPERTIES'!$H$5:$H$404,MATCH(E1053,'PROPERTIES'!$B$5:$B$404,0))*INDEX('PRICING'!$E$7:$E$16,MATCH(F1053,'PRICING'!$A$7:$A$16,0))/60+INDEX('PRICING'!$F$7:$F$16,MATCH(F1053,'PRICING'!$A$7:$A$16,0))/60),2)),""))</f>
        <v/>
      </c>
      <c r="R1053" s="97">
        <f>IF(B1053="","",IF(N(K1053)&gt;0,K1053,IF(N(J1053)&gt;0,J1053,N(Q1053))))</f>
        <v/>
      </c>
      <c r="S1053" s="55">
        <f>IF(L1053="","",ROUND(L1053*(1+N(M1053)),2))</f>
        <v/>
      </c>
      <c r="T1053" s="55">
        <f>IF(B1053="","",SUMIFS('REVENUE'!$C$5:$C$1504,'REVENUE'!$B$5:$B$1504,A1053))</f>
        <v/>
      </c>
      <c r="U1053" s="55">
        <f>IF(B1053="","",IF(O1053="Completed",MAX(0,N(S1053)-T1053),""))</f>
        <v/>
      </c>
      <c r="V1053" s="49">
        <f>IF(B1053="","",IF(O1053&lt;&gt;"Completed",IF(T1053&gt;0,"Deposit","—"),IF(U1053&lt;=0.005,"Paid",IF(T1053&gt;0,"Partial","Unpaid"))))</f>
        <v/>
      </c>
      <c r="W1053" s="55">
        <f>IF(B1053="","",IFERROR(1/(1/INDEX('STAFF &amp; TASKS'!$C$5:$C$24,MATCH(H1053,'STAFF &amp; TASKS'!$A$5:$A$24,0))),PayRate))</f>
        <v/>
      </c>
      <c r="X1053" s="55">
        <f>IF(B1053="","",IF(OR(O1053="Cancelled",O1053="No-Show"),"",ROUND(R1053*W1053*(1+Burden),2)))</f>
        <v/>
      </c>
      <c r="Y1053" s="55">
        <f>IF(B1053="","",IF(OR(O1053="Cancelled",O1053="No-Show"),"",IF(N1053&lt;&gt;"",N1053,ROUND(R1053*SupHr*IFERROR(INDEX('PRICING'!$G$7:$G$16,MATCH(F1053,'PRICING'!$A$7:$A$16,0)),1),2))))</f>
        <v/>
      </c>
      <c r="Z1053" s="98">
        <f>IF(B1053="","",SUMIFS('MILEAGE'!$J$5:$J$1504,'MILEAGE'!$B$5:$B$1504,A1053))</f>
        <v/>
      </c>
      <c r="AA1053" s="55">
        <f>IF(B1053="","",ROUND(Z1053*MileRate,2))</f>
        <v/>
      </c>
      <c r="AB1053" s="55">
        <f>IF(B1053="","",SUMIFS('REVENUE'!$J$5:$J$1504,'REVENUE'!$B$5:$B$1504,A1053))</f>
        <v/>
      </c>
      <c r="AC1053" s="55">
        <f>IF(L1053="","",IF(OR(O1053="Cancelled",O1053="No-Show"),"",L1053-N(X1053)-N(Y1053)-AA1053-AB1053))</f>
        <v/>
      </c>
      <c r="AD1053" s="99">
        <f>IF(OR(AC1053="",N(L1053)=0),"",AC1053/L1053)</f>
        <v/>
      </c>
      <c r="AE1053" s="55">
        <f>IF(OR(AC1053="",N(R1053)=0),"",L1053/R1053)</f>
        <v/>
      </c>
      <c r="AF1053" s="100">
        <f>IF(OR(N(K1053)=0,N(J1053)+N(Q1053)=0),"",K1053-IF(N(J1053)&gt;0,J1053,Q1053))</f>
        <v/>
      </c>
      <c r="AG1053" s="99">
        <f>IF(B1053="","",IFERROR(AVERAGEIFS('QUALITY CONTROL'!$M$5:$M$304,'QUALITY CONTROL'!$B$5:$B$304,A1053),""))</f>
        <v/>
      </c>
      <c r="AH1053" s="51">
        <f>IF(B1053="","",DATE(YEAR(B1053),MONTH(B1053),1))</f>
        <v/>
      </c>
      <c r="AI1053" s="49">
        <f>IF(D1053="","",IFERROR(INDEX('CUSTOMERS'!$E$5:$E$404,MATCH(D1053,'CUSTOMERS'!$B$5:$B$404,0)),""))</f>
        <v/>
      </c>
      <c r="AJ1053" s="49">
        <f>IF(B1053="","",N(C1053))</f>
        <v/>
      </c>
      <c r="AK1053" s="49">
        <f>IF(OR(B1053="",O1053="Cancelled",O1053="Rescheduled"),"",B1053&amp;"|"&amp;(COUNTIFS('JOBS'!$B$5:$B$1504,B1053,'JOBS'!$AJ$5:$AJ$1504,"&lt;"&amp;AJ1053,'JOBS'!$O$5:$O$1504,"&lt;&gt;Cancelled",'JOBS'!$O$5:$O$1504,"&lt;&gt;Rescheduled")+COUNTIFS($B$5:B1053,B1053,$AJ$5:AJ1053,AJ1053,$O$5:O1053,"&lt;&gt;Cancelled",$O$5:O1053,"&lt;&gt;Rescheduled")))</f>
        <v/>
      </c>
      <c r="AL1053" s="49">
        <f>IF(N(U1053)&lt;=0.005,"",COUNTIFS('JOBS'!$U$5:$U$1504,"&gt;0.005",'JOBS'!$B$5:$B$1504,"&lt;"&amp;B1053)+COUNTIFS($U$5:U1053,"&gt;0.005",$B$5:B1053,B1053))</f>
        <v/>
      </c>
    </row>
    <row r="1054">
      <c r="A1054" s="46" t="inlineStr">
        <is>
          <t>J-1050</t>
        </is>
      </c>
      <c r="B1054" s="47" t="n"/>
      <c r="C1054" s="94" t="n"/>
      <c r="D1054" s="38" t="n"/>
      <c r="E1054" s="38" t="n"/>
      <c r="F1054" s="38" t="n"/>
      <c r="G1054" s="38" t="n"/>
      <c r="H1054" s="38" t="n"/>
      <c r="I1054" s="57" t="n"/>
      <c r="J1054" s="95" t="n"/>
      <c r="K1054" s="95" t="n"/>
      <c r="L1054" s="48" t="n"/>
      <c r="M1054" s="96" t="n"/>
      <c r="N1054" s="48" t="n"/>
      <c r="O1054" s="38" t="n"/>
      <c r="P1054" s="38" t="n"/>
      <c r="Q1054" s="97">
        <f>IF(OR(F1054="",E1054=""),"",IFERROR(IF(INDEX('PROPERTIES'!$F$5:$F$404,MATCH(E1054,'PROPERTIES'!$B$5:$B$404,0))=0,"",ROUND((INDEX('PROPERTIES'!$F$5:$F$404,MATCH(E1054,'PROPERTIES'!$B$5:$B$404,0))/INDEX('PRICING'!$C$7:$C$16,MATCH(F1054,'PRICING'!$A$7:$A$16,0))+INDEX('PROPERTIES'!$G$5:$G$404,MATCH(E1054,'PROPERTIES'!$B$5:$B$404,0))*INDEX('PRICING'!$D$7:$D$16,MATCH(F1054,'PRICING'!$A$7:$A$16,0))/60+INDEX('PROPERTIES'!$H$5:$H$404,MATCH(E1054,'PROPERTIES'!$B$5:$B$404,0))*INDEX('PRICING'!$E$7:$E$16,MATCH(F1054,'PRICING'!$A$7:$A$16,0))/60+INDEX('PRICING'!$F$7:$F$16,MATCH(F1054,'PRICING'!$A$7:$A$16,0))/60),2)),""))</f>
        <v/>
      </c>
      <c r="R1054" s="97">
        <f>IF(B1054="","",IF(N(K1054)&gt;0,K1054,IF(N(J1054)&gt;0,J1054,N(Q1054))))</f>
        <v/>
      </c>
      <c r="S1054" s="55">
        <f>IF(L1054="","",ROUND(L1054*(1+N(M1054)),2))</f>
        <v/>
      </c>
      <c r="T1054" s="55">
        <f>IF(B1054="","",SUMIFS('REVENUE'!$C$5:$C$1504,'REVENUE'!$B$5:$B$1504,A1054))</f>
        <v/>
      </c>
      <c r="U1054" s="55">
        <f>IF(B1054="","",IF(O1054="Completed",MAX(0,N(S1054)-T1054),""))</f>
        <v/>
      </c>
      <c r="V1054" s="49">
        <f>IF(B1054="","",IF(O1054&lt;&gt;"Completed",IF(T1054&gt;0,"Deposit","—"),IF(U1054&lt;=0.005,"Paid",IF(T1054&gt;0,"Partial","Unpaid"))))</f>
        <v/>
      </c>
      <c r="W1054" s="55">
        <f>IF(B1054="","",IFERROR(1/(1/INDEX('STAFF &amp; TASKS'!$C$5:$C$24,MATCH(H1054,'STAFF &amp; TASKS'!$A$5:$A$24,0))),PayRate))</f>
        <v/>
      </c>
      <c r="X1054" s="55">
        <f>IF(B1054="","",IF(OR(O1054="Cancelled",O1054="No-Show"),"",ROUND(R1054*W1054*(1+Burden),2)))</f>
        <v/>
      </c>
      <c r="Y1054" s="55">
        <f>IF(B1054="","",IF(OR(O1054="Cancelled",O1054="No-Show"),"",IF(N1054&lt;&gt;"",N1054,ROUND(R1054*SupHr*IFERROR(INDEX('PRICING'!$G$7:$G$16,MATCH(F1054,'PRICING'!$A$7:$A$16,0)),1),2))))</f>
        <v/>
      </c>
      <c r="Z1054" s="98">
        <f>IF(B1054="","",SUMIFS('MILEAGE'!$J$5:$J$1504,'MILEAGE'!$B$5:$B$1504,A1054))</f>
        <v/>
      </c>
      <c r="AA1054" s="55">
        <f>IF(B1054="","",ROUND(Z1054*MileRate,2))</f>
        <v/>
      </c>
      <c r="AB1054" s="55">
        <f>IF(B1054="","",SUMIFS('REVENUE'!$J$5:$J$1504,'REVENUE'!$B$5:$B$1504,A1054))</f>
        <v/>
      </c>
      <c r="AC1054" s="55">
        <f>IF(L1054="","",IF(OR(O1054="Cancelled",O1054="No-Show"),"",L1054-N(X1054)-N(Y1054)-AA1054-AB1054))</f>
        <v/>
      </c>
      <c r="AD1054" s="99">
        <f>IF(OR(AC1054="",N(L1054)=0),"",AC1054/L1054)</f>
        <v/>
      </c>
      <c r="AE1054" s="55">
        <f>IF(OR(AC1054="",N(R1054)=0),"",L1054/R1054)</f>
        <v/>
      </c>
      <c r="AF1054" s="100">
        <f>IF(OR(N(K1054)=0,N(J1054)+N(Q1054)=0),"",K1054-IF(N(J1054)&gt;0,J1054,Q1054))</f>
        <v/>
      </c>
      <c r="AG1054" s="99">
        <f>IF(B1054="","",IFERROR(AVERAGEIFS('QUALITY CONTROL'!$M$5:$M$304,'QUALITY CONTROL'!$B$5:$B$304,A1054),""))</f>
        <v/>
      </c>
      <c r="AH1054" s="51">
        <f>IF(B1054="","",DATE(YEAR(B1054),MONTH(B1054),1))</f>
        <v/>
      </c>
      <c r="AI1054" s="49">
        <f>IF(D1054="","",IFERROR(INDEX('CUSTOMERS'!$E$5:$E$404,MATCH(D1054,'CUSTOMERS'!$B$5:$B$404,0)),""))</f>
        <v/>
      </c>
      <c r="AJ1054" s="49">
        <f>IF(B1054="","",N(C1054))</f>
        <v/>
      </c>
      <c r="AK1054" s="49">
        <f>IF(OR(B1054="",O1054="Cancelled",O1054="Rescheduled"),"",B1054&amp;"|"&amp;(COUNTIFS('JOBS'!$B$5:$B$1504,B1054,'JOBS'!$AJ$5:$AJ$1504,"&lt;"&amp;AJ1054,'JOBS'!$O$5:$O$1504,"&lt;&gt;Cancelled",'JOBS'!$O$5:$O$1504,"&lt;&gt;Rescheduled")+COUNTIFS($B$5:B1054,B1054,$AJ$5:AJ1054,AJ1054,$O$5:O1054,"&lt;&gt;Cancelled",$O$5:O1054,"&lt;&gt;Rescheduled")))</f>
        <v/>
      </c>
      <c r="AL1054" s="49">
        <f>IF(N(U1054)&lt;=0.005,"",COUNTIFS('JOBS'!$U$5:$U$1504,"&gt;0.005",'JOBS'!$B$5:$B$1504,"&lt;"&amp;B1054)+COUNTIFS($U$5:U1054,"&gt;0.005",$B$5:B1054,B1054))</f>
        <v/>
      </c>
    </row>
    <row r="1055">
      <c r="A1055" s="46" t="inlineStr">
        <is>
          <t>J-1051</t>
        </is>
      </c>
      <c r="B1055" s="47" t="n"/>
      <c r="C1055" s="94" t="n"/>
      <c r="D1055" s="38" t="n"/>
      <c r="E1055" s="38" t="n"/>
      <c r="F1055" s="38" t="n"/>
      <c r="G1055" s="38" t="n"/>
      <c r="H1055" s="38" t="n"/>
      <c r="I1055" s="57" t="n"/>
      <c r="J1055" s="95" t="n"/>
      <c r="K1055" s="95" t="n"/>
      <c r="L1055" s="48" t="n"/>
      <c r="M1055" s="96" t="n"/>
      <c r="N1055" s="48" t="n"/>
      <c r="O1055" s="38" t="n"/>
      <c r="P1055" s="38" t="n"/>
      <c r="Q1055" s="97">
        <f>IF(OR(F1055="",E1055=""),"",IFERROR(IF(INDEX('PROPERTIES'!$F$5:$F$404,MATCH(E1055,'PROPERTIES'!$B$5:$B$404,0))=0,"",ROUND((INDEX('PROPERTIES'!$F$5:$F$404,MATCH(E1055,'PROPERTIES'!$B$5:$B$404,0))/INDEX('PRICING'!$C$7:$C$16,MATCH(F1055,'PRICING'!$A$7:$A$16,0))+INDEX('PROPERTIES'!$G$5:$G$404,MATCH(E1055,'PROPERTIES'!$B$5:$B$404,0))*INDEX('PRICING'!$D$7:$D$16,MATCH(F1055,'PRICING'!$A$7:$A$16,0))/60+INDEX('PROPERTIES'!$H$5:$H$404,MATCH(E1055,'PROPERTIES'!$B$5:$B$404,0))*INDEX('PRICING'!$E$7:$E$16,MATCH(F1055,'PRICING'!$A$7:$A$16,0))/60+INDEX('PRICING'!$F$7:$F$16,MATCH(F1055,'PRICING'!$A$7:$A$16,0))/60),2)),""))</f>
        <v/>
      </c>
      <c r="R1055" s="97">
        <f>IF(B1055="","",IF(N(K1055)&gt;0,K1055,IF(N(J1055)&gt;0,J1055,N(Q1055))))</f>
        <v/>
      </c>
      <c r="S1055" s="55">
        <f>IF(L1055="","",ROUND(L1055*(1+N(M1055)),2))</f>
        <v/>
      </c>
      <c r="T1055" s="55">
        <f>IF(B1055="","",SUMIFS('REVENUE'!$C$5:$C$1504,'REVENUE'!$B$5:$B$1504,A1055))</f>
        <v/>
      </c>
      <c r="U1055" s="55">
        <f>IF(B1055="","",IF(O1055="Completed",MAX(0,N(S1055)-T1055),""))</f>
        <v/>
      </c>
      <c r="V1055" s="49">
        <f>IF(B1055="","",IF(O1055&lt;&gt;"Completed",IF(T1055&gt;0,"Deposit","—"),IF(U1055&lt;=0.005,"Paid",IF(T1055&gt;0,"Partial","Unpaid"))))</f>
        <v/>
      </c>
      <c r="W1055" s="55">
        <f>IF(B1055="","",IFERROR(1/(1/INDEX('STAFF &amp; TASKS'!$C$5:$C$24,MATCH(H1055,'STAFF &amp; TASKS'!$A$5:$A$24,0))),PayRate))</f>
        <v/>
      </c>
      <c r="X1055" s="55">
        <f>IF(B1055="","",IF(OR(O1055="Cancelled",O1055="No-Show"),"",ROUND(R1055*W1055*(1+Burden),2)))</f>
        <v/>
      </c>
      <c r="Y1055" s="55">
        <f>IF(B1055="","",IF(OR(O1055="Cancelled",O1055="No-Show"),"",IF(N1055&lt;&gt;"",N1055,ROUND(R1055*SupHr*IFERROR(INDEX('PRICING'!$G$7:$G$16,MATCH(F1055,'PRICING'!$A$7:$A$16,0)),1),2))))</f>
        <v/>
      </c>
      <c r="Z1055" s="98">
        <f>IF(B1055="","",SUMIFS('MILEAGE'!$J$5:$J$1504,'MILEAGE'!$B$5:$B$1504,A1055))</f>
        <v/>
      </c>
      <c r="AA1055" s="55">
        <f>IF(B1055="","",ROUND(Z1055*MileRate,2))</f>
        <v/>
      </c>
      <c r="AB1055" s="55">
        <f>IF(B1055="","",SUMIFS('REVENUE'!$J$5:$J$1504,'REVENUE'!$B$5:$B$1504,A1055))</f>
        <v/>
      </c>
      <c r="AC1055" s="55">
        <f>IF(L1055="","",IF(OR(O1055="Cancelled",O1055="No-Show"),"",L1055-N(X1055)-N(Y1055)-AA1055-AB1055))</f>
        <v/>
      </c>
      <c r="AD1055" s="99">
        <f>IF(OR(AC1055="",N(L1055)=0),"",AC1055/L1055)</f>
        <v/>
      </c>
      <c r="AE1055" s="55">
        <f>IF(OR(AC1055="",N(R1055)=0),"",L1055/R1055)</f>
        <v/>
      </c>
      <c r="AF1055" s="100">
        <f>IF(OR(N(K1055)=0,N(J1055)+N(Q1055)=0),"",K1055-IF(N(J1055)&gt;0,J1055,Q1055))</f>
        <v/>
      </c>
      <c r="AG1055" s="99">
        <f>IF(B1055="","",IFERROR(AVERAGEIFS('QUALITY CONTROL'!$M$5:$M$304,'QUALITY CONTROL'!$B$5:$B$304,A1055),""))</f>
        <v/>
      </c>
      <c r="AH1055" s="51">
        <f>IF(B1055="","",DATE(YEAR(B1055),MONTH(B1055),1))</f>
        <v/>
      </c>
      <c r="AI1055" s="49">
        <f>IF(D1055="","",IFERROR(INDEX('CUSTOMERS'!$E$5:$E$404,MATCH(D1055,'CUSTOMERS'!$B$5:$B$404,0)),""))</f>
        <v/>
      </c>
      <c r="AJ1055" s="49">
        <f>IF(B1055="","",N(C1055))</f>
        <v/>
      </c>
      <c r="AK1055" s="49">
        <f>IF(OR(B1055="",O1055="Cancelled",O1055="Rescheduled"),"",B1055&amp;"|"&amp;(COUNTIFS('JOBS'!$B$5:$B$1504,B1055,'JOBS'!$AJ$5:$AJ$1504,"&lt;"&amp;AJ1055,'JOBS'!$O$5:$O$1504,"&lt;&gt;Cancelled",'JOBS'!$O$5:$O$1504,"&lt;&gt;Rescheduled")+COUNTIFS($B$5:B1055,B1055,$AJ$5:AJ1055,AJ1055,$O$5:O1055,"&lt;&gt;Cancelled",$O$5:O1055,"&lt;&gt;Rescheduled")))</f>
        <v/>
      </c>
      <c r="AL1055" s="49">
        <f>IF(N(U1055)&lt;=0.005,"",COUNTIFS('JOBS'!$U$5:$U$1504,"&gt;0.005",'JOBS'!$B$5:$B$1504,"&lt;"&amp;B1055)+COUNTIFS($U$5:U1055,"&gt;0.005",$B$5:B1055,B1055))</f>
        <v/>
      </c>
    </row>
    <row r="1056">
      <c r="A1056" s="46" t="inlineStr">
        <is>
          <t>J-1052</t>
        </is>
      </c>
      <c r="B1056" s="47" t="n"/>
      <c r="C1056" s="94" t="n"/>
      <c r="D1056" s="38" t="n"/>
      <c r="E1056" s="38" t="n"/>
      <c r="F1056" s="38" t="n"/>
      <c r="G1056" s="38" t="n"/>
      <c r="H1056" s="38" t="n"/>
      <c r="I1056" s="57" t="n"/>
      <c r="J1056" s="95" t="n"/>
      <c r="K1056" s="95" t="n"/>
      <c r="L1056" s="48" t="n"/>
      <c r="M1056" s="96" t="n"/>
      <c r="N1056" s="48" t="n"/>
      <c r="O1056" s="38" t="n"/>
      <c r="P1056" s="38" t="n"/>
      <c r="Q1056" s="97">
        <f>IF(OR(F1056="",E1056=""),"",IFERROR(IF(INDEX('PROPERTIES'!$F$5:$F$404,MATCH(E1056,'PROPERTIES'!$B$5:$B$404,0))=0,"",ROUND((INDEX('PROPERTIES'!$F$5:$F$404,MATCH(E1056,'PROPERTIES'!$B$5:$B$404,0))/INDEX('PRICING'!$C$7:$C$16,MATCH(F1056,'PRICING'!$A$7:$A$16,0))+INDEX('PROPERTIES'!$G$5:$G$404,MATCH(E1056,'PROPERTIES'!$B$5:$B$404,0))*INDEX('PRICING'!$D$7:$D$16,MATCH(F1056,'PRICING'!$A$7:$A$16,0))/60+INDEX('PROPERTIES'!$H$5:$H$404,MATCH(E1056,'PROPERTIES'!$B$5:$B$404,0))*INDEX('PRICING'!$E$7:$E$16,MATCH(F1056,'PRICING'!$A$7:$A$16,0))/60+INDEX('PRICING'!$F$7:$F$16,MATCH(F1056,'PRICING'!$A$7:$A$16,0))/60),2)),""))</f>
        <v/>
      </c>
      <c r="R1056" s="97">
        <f>IF(B1056="","",IF(N(K1056)&gt;0,K1056,IF(N(J1056)&gt;0,J1056,N(Q1056))))</f>
        <v/>
      </c>
      <c r="S1056" s="55">
        <f>IF(L1056="","",ROUND(L1056*(1+N(M1056)),2))</f>
        <v/>
      </c>
      <c r="T1056" s="55">
        <f>IF(B1056="","",SUMIFS('REVENUE'!$C$5:$C$1504,'REVENUE'!$B$5:$B$1504,A1056))</f>
        <v/>
      </c>
      <c r="U1056" s="55">
        <f>IF(B1056="","",IF(O1056="Completed",MAX(0,N(S1056)-T1056),""))</f>
        <v/>
      </c>
      <c r="V1056" s="49">
        <f>IF(B1056="","",IF(O1056&lt;&gt;"Completed",IF(T1056&gt;0,"Deposit","—"),IF(U1056&lt;=0.005,"Paid",IF(T1056&gt;0,"Partial","Unpaid"))))</f>
        <v/>
      </c>
      <c r="W1056" s="55">
        <f>IF(B1056="","",IFERROR(1/(1/INDEX('STAFF &amp; TASKS'!$C$5:$C$24,MATCH(H1056,'STAFF &amp; TASKS'!$A$5:$A$24,0))),PayRate))</f>
        <v/>
      </c>
      <c r="X1056" s="55">
        <f>IF(B1056="","",IF(OR(O1056="Cancelled",O1056="No-Show"),"",ROUND(R1056*W1056*(1+Burden),2)))</f>
        <v/>
      </c>
      <c r="Y1056" s="55">
        <f>IF(B1056="","",IF(OR(O1056="Cancelled",O1056="No-Show"),"",IF(N1056&lt;&gt;"",N1056,ROUND(R1056*SupHr*IFERROR(INDEX('PRICING'!$G$7:$G$16,MATCH(F1056,'PRICING'!$A$7:$A$16,0)),1),2))))</f>
        <v/>
      </c>
      <c r="Z1056" s="98">
        <f>IF(B1056="","",SUMIFS('MILEAGE'!$J$5:$J$1504,'MILEAGE'!$B$5:$B$1504,A1056))</f>
        <v/>
      </c>
      <c r="AA1056" s="55">
        <f>IF(B1056="","",ROUND(Z1056*MileRate,2))</f>
        <v/>
      </c>
      <c r="AB1056" s="55">
        <f>IF(B1056="","",SUMIFS('REVENUE'!$J$5:$J$1504,'REVENUE'!$B$5:$B$1504,A1056))</f>
        <v/>
      </c>
      <c r="AC1056" s="55">
        <f>IF(L1056="","",IF(OR(O1056="Cancelled",O1056="No-Show"),"",L1056-N(X1056)-N(Y1056)-AA1056-AB1056))</f>
        <v/>
      </c>
      <c r="AD1056" s="99">
        <f>IF(OR(AC1056="",N(L1056)=0),"",AC1056/L1056)</f>
        <v/>
      </c>
      <c r="AE1056" s="55">
        <f>IF(OR(AC1056="",N(R1056)=0),"",L1056/R1056)</f>
        <v/>
      </c>
      <c r="AF1056" s="100">
        <f>IF(OR(N(K1056)=0,N(J1056)+N(Q1056)=0),"",K1056-IF(N(J1056)&gt;0,J1056,Q1056))</f>
        <v/>
      </c>
      <c r="AG1056" s="99">
        <f>IF(B1056="","",IFERROR(AVERAGEIFS('QUALITY CONTROL'!$M$5:$M$304,'QUALITY CONTROL'!$B$5:$B$304,A1056),""))</f>
        <v/>
      </c>
      <c r="AH1056" s="51">
        <f>IF(B1056="","",DATE(YEAR(B1056),MONTH(B1056),1))</f>
        <v/>
      </c>
      <c r="AI1056" s="49">
        <f>IF(D1056="","",IFERROR(INDEX('CUSTOMERS'!$E$5:$E$404,MATCH(D1056,'CUSTOMERS'!$B$5:$B$404,0)),""))</f>
        <v/>
      </c>
      <c r="AJ1056" s="49">
        <f>IF(B1056="","",N(C1056))</f>
        <v/>
      </c>
      <c r="AK1056" s="49">
        <f>IF(OR(B1056="",O1056="Cancelled",O1056="Rescheduled"),"",B1056&amp;"|"&amp;(COUNTIFS('JOBS'!$B$5:$B$1504,B1056,'JOBS'!$AJ$5:$AJ$1504,"&lt;"&amp;AJ1056,'JOBS'!$O$5:$O$1504,"&lt;&gt;Cancelled",'JOBS'!$O$5:$O$1504,"&lt;&gt;Rescheduled")+COUNTIFS($B$5:B1056,B1056,$AJ$5:AJ1056,AJ1056,$O$5:O1056,"&lt;&gt;Cancelled",$O$5:O1056,"&lt;&gt;Rescheduled")))</f>
        <v/>
      </c>
      <c r="AL1056" s="49">
        <f>IF(N(U1056)&lt;=0.005,"",COUNTIFS('JOBS'!$U$5:$U$1504,"&gt;0.005",'JOBS'!$B$5:$B$1504,"&lt;"&amp;B1056)+COUNTIFS($U$5:U1056,"&gt;0.005",$B$5:B1056,B1056))</f>
        <v/>
      </c>
    </row>
    <row r="1057">
      <c r="A1057" s="46" t="inlineStr">
        <is>
          <t>J-1053</t>
        </is>
      </c>
      <c r="B1057" s="47" t="n"/>
      <c r="C1057" s="94" t="n"/>
      <c r="D1057" s="38" t="n"/>
      <c r="E1057" s="38" t="n"/>
      <c r="F1057" s="38" t="n"/>
      <c r="G1057" s="38" t="n"/>
      <c r="H1057" s="38" t="n"/>
      <c r="I1057" s="57" t="n"/>
      <c r="J1057" s="95" t="n"/>
      <c r="K1057" s="95" t="n"/>
      <c r="L1057" s="48" t="n"/>
      <c r="M1057" s="96" t="n"/>
      <c r="N1057" s="48" t="n"/>
      <c r="O1057" s="38" t="n"/>
      <c r="P1057" s="38" t="n"/>
      <c r="Q1057" s="97">
        <f>IF(OR(F1057="",E1057=""),"",IFERROR(IF(INDEX('PROPERTIES'!$F$5:$F$404,MATCH(E1057,'PROPERTIES'!$B$5:$B$404,0))=0,"",ROUND((INDEX('PROPERTIES'!$F$5:$F$404,MATCH(E1057,'PROPERTIES'!$B$5:$B$404,0))/INDEX('PRICING'!$C$7:$C$16,MATCH(F1057,'PRICING'!$A$7:$A$16,0))+INDEX('PROPERTIES'!$G$5:$G$404,MATCH(E1057,'PROPERTIES'!$B$5:$B$404,0))*INDEX('PRICING'!$D$7:$D$16,MATCH(F1057,'PRICING'!$A$7:$A$16,0))/60+INDEX('PROPERTIES'!$H$5:$H$404,MATCH(E1057,'PROPERTIES'!$B$5:$B$404,0))*INDEX('PRICING'!$E$7:$E$16,MATCH(F1057,'PRICING'!$A$7:$A$16,0))/60+INDEX('PRICING'!$F$7:$F$16,MATCH(F1057,'PRICING'!$A$7:$A$16,0))/60),2)),""))</f>
        <v/>
      </c>
      <c r="R1057" s="97">
        <f>IF(B1057="","",IF(N(K1057)&gt;0,K1057,IF(N(J1057)&gt;0,J1057,N(Q1057))))</f>
        <v/>
      </c>
      <c r="S1057" s="55">
        <f>IF(L1057="","",ROUND(L1057*(1+N(M1057)),2))</f>
        <v/>
      </c>
      <c r="T1057" s="55">
        <f>IF(B1057="","",SUMIFS('REVENUE'!$C$5:$C$1504,'REVENUE'!$B$5:$B$1504,A1057))</f>
        <v/>
      </c>
      <c r="U1057" s="55">
        <f>IF(B1057="","",IF(O1057="Completed",MAX(0,N(S1057)-T1057),""))</f>
        <v/>
      </c>
      <c r="V1057" s="49">
        <f>IF(B1057="","",IF(O1057&lt;&gt;"Completed",IF(T1057&gt;0,"Deposit","—"),IF(U1057&lt;=0.005,"Paid",IF(T1057&gt;0,"Partial","Unpaid"))))</f>
        <v/>
      </c>
      <c r="W1057" s="55">
        <f>IF(B1057="","",IFERROR(1/(1/INDEX('STAFF &amp; TASKS'!$C$5:$C$24,MATCH(H1057,'STAFF &amp; TASKS'!$A$5:$A$24,0))),PayRate))</f>
        <v/>
      </c>
      <c r="X1057" s="55">
        <f>IF(B1057="","",IF(OR(O1057="Cancelled",O1057="No-Show"),"",ROUND(R1057*W1057*(1+Burden),2)))</f>
        <v/>
      </c>
      <c r="Y1057" s="55">
        <f>IF(B1057="","",IF(OR(O1057="Cancelled",O1057="No-Show"),"",IF(N1057&lt;&gt;"",N1057,ROUND(R1057*SupHr*IFERROR(INDEX('PRICING'!$G$7:$G$16,MATCH(F1057,'PRICING'!$A$7:$A$16,0)),1),2))))</f>
        <v/>
      </c>
      <c r="Z1057" s="98">
        <f>IF(B1057="","",SUMIFS('MILEAGE'!$J$5:$J$1504,'MILEAGE'!$B$5:$B$1504,A1057))</f>
        <v/>
      </c>
      <c r="AA1057" s="55">
        <f>IF(B1057="","",ROUND(Z1057*MileRate,2))</f>
        <v/>
      </c>
      <c r="AB1057" s="55">
        <f>IF(B1057="","",SUMIFS('REVENUE'!$J$5:$J$1504,'REVENUE'!$B$5:$B$1504,A1057))</f>
        <v/>
      </c>
      <c r="AC1057" s="55">
        <f>IF(L1057="","",IF(OR(O1057="Cancelled",O1057="No-Show"),"",L1057-N(X1057)-N(Y1057)-AA1057-AB1057))</f>
        <v/>
      </c>
      <c r="AD1057" s="99">
        <f>IF(OR(AC1057="",N(L1057)=0),"",AC1057/L1057)</f>
        <v/>
      </c>
      <c r="AE1057" s="55">
        <f>IF(OR(AC1057="",N(R1057)=0),"",L1057/R1057)</f>
        <v/>
      </c>
      <c r="AF1057" s="100">
        <f>IF(OR(N(K1057)=0,N(J1057)+N(Q1057)=0),"",K1057-IF(N(J1057)&gt;0,J1057,Q1057))</f>
        <v/>
      </c>
      <c r="AG1057" s="99">
        <f>IF(B1057="","",IFERROR(AVERAGEIFS('QUALITY CONTROL'!$M$5:$M$304,'QUALITY CONTROL'!$B$5:$B$304,A1057),""))</f>
        <v/>
      </c>
      <c r="AH1057" s="51">
        <f>IF(B1057="","",DATE(YEAR(B1057),MONTH(B1057),1))</f>
        <v/>
      </c>
      <c r="AI1057" s="49">
        <f>IF(D1057="","",IFERROR(INDEX('CUSTOMERS'!$E$5:$E$404,MATCH(D1057,'CUSTOMERS'!$B$5:$B$404,0)),""))</f>
        <v/>
      </c>
      <c r="AJ1057" s="49">
        <f>IF(B1057="","",N(C1057))</f>
        <v/>
      </c>
      <c r="AK1057" s="49">
        <f>IF(OR(B1057="",O1057="Cancelled",O1057="Rescheduled"),"",B1057&amp;"|"&amp;(COUNTIFS('JOBS'!$B$5:$B$1504,B1057,'JOBS'!$AJ$5:$AJ$1504,"&lt;"&amp;AJ1057,'JOBS'!$O$5:$O$1504,"&lt;&gt;Cancelled",'JOBS'!$O$5:$O$1504,"&lt;&gt;Rescheduled")+COUNTIFS($B$5:B1057,B1057,$AJ$5:AJ1057,AJ1057,$O$5:O1057,"&lt;&gt;Cancelled",$O$5:O1057,"&lt;&gt;Rescheduled")))</f>
        <v/>
      </c>
      <c r="AL1057" s="49">
        <f>IF(N(U1057)&lt;=0.005,"",COUNTIFS('JOBS'!$U$5:$U$1504,"&gt;0.005",'JOBS'!$B$5:$B$1504,"&lt;"&amp;B1057)+COUNTIFS($U$5:U1057,"&gt;0.005",$B$5:B1057,B1057))</f>
        <v/>
      </c>
    </row>
    <row r="1058">
      <c r="A1058" s="46" t="inlineStr">
        <is>
          <t>J-1054</t>
        </is>
      </c>
      <c r="B1058" s="47" t="n"/>
      <c r="C1058" s="94" t="n"/>
      <c r="D1058" s="38" t="n"/>
      <c r="E1058" s="38" t="n"/>
      <c r="F1058" s="38" t="n"/>
      <c r="G1058" s="38" t="n"/>
      <c r="H1058" s="38" t="n"/>
      <c r="I1058" s="57" t="n"/>
      <c r="J1058" s="95" t="n"/>
      <c r="K1058" s="95" t="n"/>
      <c r="L1058" s="48" t="n"/>
      <c r="M1058" s="96" t="n"/>
      <c r="N1058" s="48" t="n"/>
      <c r="O1058" s="38" t="n"/>
      <c r="P1058" s="38" t="n"/>
      <c r="Q1058" s="97">
        <f>IF(OR(F1058="",E1058=""),"",IFERROR(IF(INDEX('PROPERTIES'!$F$5:$F$404,MATCH(E1058,'PROPERTIES'!$B$5:$B$404,0))=0,"",ROUND((INDEX('PROPERTIES'!$F$5:$F$404,MATCH(E1058,'PROPERTIES'!$B$5:$B$404,0))/INDEX('PRICING'!$C$7:$C$16,MATCH(F1058,'PRICING'!$A$7:$A$16,0))+INDEX('PROPERTIES'!$G$5:$G$404,MATCH(E1058,'PROPERTIES'!$B$5:$B$404,0))*INDEX('PRICING'!$D$7:$D$16,MATCH(F1058,'PRICING'!$A$7:$A$16,0))/60+INDEX('PROPERTIES'!$H$5:$H$404,MATCH(E1058,'PROPERTIES'!$B$5:$B$404,0))*INDEX('PRICING'!$E$7:$E$16,MATCH(F1058,'PRICING'!$A$7:$A$16,0))/60+INDEX('PRICING'!$F$7:$F$16,MATCH(F1058,'PRICING'!$A$7:$A$16,0))/60),2)),""))</f>
        <v/>
      </c>
      <c r="R1058" s="97">
        <f>IF(B1058="","",IF(N(K1058)&gt;0,K1058,IF(N(J1058)&gt;0,J1058,N(Q1058))))</f>
        <v/>
      </c>
      <c r="S1058" s="55">
        <f>IF(L1058="","",ROUND(L1058*(1+N(M1058)),2))</f>
        <v/>
      </c>
      <c r="T1058" s="55">
        <f>IF(B1058="","",SUMIFS('REVENUE'!$C$5:$C$1504,'REVENUE'!$B$5:$B$1504,A1058))</f>
        <v/>
      </c>
      <c r="U1058" s="55">
        <f>IF(B1058="","",IF(O1058="Completed",MAX(0,N(S1058)-T1058),""))</f>
        <v/>
      </c>
      <c r="V1058" s="49">
        <f>IF(B1058="","",IF(O1058&lt;&gt;"Completed",IF(T1058&gt;0,"Deposit","—"),IF(U1058&lt;=0.005,"Paid",IF(T1058&gt;0,"Partial","Unpaid"))))</f>
        <v/>
      </c>
      <c r="W1058" s="55">
        <f>IF(B1058="","",IFERROR(1/(1/INDEX('STAFF &amp; TASKS'!$C$5:$C$24,MATCH(H1058,'STAFF &amp; TASKS'!$A$5:$A$24,0))),PayRate))</f>
        <v/>
      </c>
      <c r="X1058" s="55">
        <f>IF(B1058="","",IF(OR(O1058="Cancelled",O1058="No-Show"),"",ROUND(R1058*W1058*(1+Burden),2)))</f>
        <v/>
      </c>
      <c r="Y1058" s="55">
        <f>IF(B1058="","",IF(OR(O1058="Cancelled",O1058="No-Show"),"",IF(N1058&lt;&gt;"",N1058,ROUND(R1058*SupHr*IFERROR(INDEX('PRICING'!$G$7:$G$16,MATCH(F1058,'PRICING'!$A$7:$A$16,0)),1),2))))</f>
        <v/>
      </c>
      <c r="Z1058" s="98">
        <f>IF(B1058="","",SUMIFS('MILEAGE'!$J$5:$J$1504,'MILEAGE'!$B$5:$B$1504,A1058))</f>
        <v/>
      </c>
      <c r="AA1058" s="55">
        <f>IF(B1058="","",ROUND(Z1058*MileRate,2))</f>
        <v/>
      </c>
      <c r="AB1058" s="55">
        <f>IF(B1058="","",SUMIFS('REVENUE'!$J$5:$J$1504,'REVENUE'!$B$5:$B$1504,A1058))</f>
        <v/>
      </c>
      <c r="AC1058" s="55">
        <f>IF(L1058="","",IF(OR(O1058="Cancelled",O1058="No-Show"),"",L1058-N(X1058)-N(Y1058)-AA1058-AB1058))</f>
        <v/>
      </c>
      <c r="AD1058" s="99">
        <f>IF(OR(AC1058="",N(L1058)=0),"",AC1058/L1058)</f>
        <v/>
      </c>
      <c r="AE1058" s="55">
        <f>IF(OR(AC1058="",N(R1058)=0),"",L1058/R1058)</f>
        <v/>
      </c>
      <c r="AF1058" s="100">
        <f>IF(OR(N(K1058)=0,N(J1058)+N(Q1058)=0),"",K1058-IF(N(J1058)&gt;0,J1058,Q1058))</f>
        <v/>
      </c>
      <c r="AG1058" s="99">
        <f>IF(B1058="","",IFERROR(AVERAGEIFS('QUALITY CONTROL'!$M$5:$M$304,'QUALITY CONTROL'!$B$5:$B$304,A1058),""))</f>
        <v/>
      </c>
      <c r="AH1058" s="51">
        <f>IF(B1058="","",DATE(YEAR(B1058),MONTH(B1058),1))</f>
        <v/>
      </c>
      <c r="AI1058" s="49">
        <f>IF(D1058="","",IFERROR(INDEX('CUSTOMERS'!$E$5:$E$404,MATCH(D1058,'CUSTOMERS'!$B$5:$B$404,0)),""))</f>
        <v/>
      </c>
      <c r="AJ1058" s="49">
        <f>IF(B1058="","",N(C1058))</f>
        <v/>
      </c>
      <c r="AK1058" s="49">
        <f>IF(OR(B1058="",O1058="Cancelled",O1058="Rescheduled"),"",B1058&amp;"|"&amp;(COUNTIFS('JOBS'!$B$5:$B$1504,B1058,'JOBS'!$AJ$5:$AJ$1504,"&lt;"&amp;AJ1058,'JOBS'!$O$5:$O$1504,"&lt;&gt;Cancelled",'JOBS'!$O$5:$O$1504,"&lt;&gt;Rescheduled")+COUNTIFS($B$5:B1058,B1058,$AJ$5:AJ1058,AJ1058,$O$5:O1058,"&lt;&gt;Cancelled",$O$5:O1058,"&lt;&gt;Rescheduled")))</f>
        <v/>
      </c>
      <c r="AL1058" s="49">
        <f>IF(N(U1058)&lt;=0.005,"",COUNTIFS('JOBS'!$U$5:$U$1504,"&gt;0.005",'JOBS'!$B$5:$B$1504,"&lt;"&amp;B1058)+COUNTIFS($U$5:U1058,"&gt;0.005",$B$5:B1058,B1058))</f>
        <v/>
      </c>
    </row>
    <row r="1059">
      <c r="A1059" s="46" t="inlineStr">
        <is>
          <t>J-1055</t>
        </is>
      </c>
      <c r="B1059" s="47" t="n"/>
      <c r="C1059" s="94" t="n"/>
      <c r="D1059" s="38" t="n"/>
      <c r="E1059" s="38" t="n"/>
      <c r="F1059" s="38" t="n"/>
      <c r="G1059" s="38" t="n"/>
      <c r="H1059" s="38" t="n"/>
      <c r="I1059" s="57" t="n"/>
      <c r="J1059" s="95" t="n"/>
      <c r="K1059" s="95" t="n"/>
      <c r="L1059" s="48" t="n"/>
      <c r="M1059" s="96" t="n"/>
      <c r="N1059" s="48" t="n"/>
      <c r="O1059" s="38" t="n"/>
      <c r="P1059" s="38" t="n"/>
      <c r="Q1059" s="97">
        <f>IF(OR(F1059="",E1059=""),"",IFERROR(IF(INDEX('PROPERTIES'!$F$5:$F$404,MATCH(E1059,'PROPERTIES'!$B$5:$B$404,0))=0,"",ROUND((INDEX('PROPERTIES'!$F$5:$F$404,MATCH(E1059,'PROPERTIES'!$B$5:$B$404,0))/INDEX('PRICING'!$C$7:$C$16,MATCH(F1059,'PRICING'!$A$7:$A$16,0))+INDEX('PROPERTIES'!$G$5:$G$404,MATCH(E1059,'PROPERTIES'!$B$5:$B$404,0))*INDEX('PRICING'!$D$7:$D$16,MATCH(F1059,'PRICING'!$A$7:$A$16,0))/60+INDEX('PROPERTIES'!$H$5:$H$404,MATCH(E1059,'PROPERTIES'!$B$5:$B$404,0))*INDEX('PRICING'!$E$7:$E$16,MATCH(F1059,'PRICING'!$A$7:$A$16,0))/60+INDEX('PRICING'!$F$7:$F$16,MATCH(F1059,'PRICING'!$A$7:$A$16,0))/60),2)),""))</f>
        <v/>
      </c>
      <c r="R1059" s="97">
        <f>IF(B1059="","",IF(N(K1059)&gt;0,K1059,IF(N(J1059)&gt;0,J1059,N(Q1059))))</f>
        <v/>
      </c>
      <c r="S1059" s="55">
        <f>IF(L1059="","",ROUND(L1059*(1+N(M1059)),2))</f>
        <v/>
      </c>
      <c r="T1059" s="55">
        <f>IF(B1059="","",SUMIFS('REVENUE'!$C$5:$C$1504,'REVENUE'!$B$5:$B$1504,A1059))</f>
        <v/>
      </c>
      <c r="U1059" s="55">
        <f>IF(B1059="","",IF(O1059="Completed",MAX(0,N(S1059)-T1059),""))</f>
        <v/>
      </c>
      <c r="V1059" s="49">
        <f>IF(B1059="","",IF(O1059&lt;&gt;"Completed",IF(T1059&gt;0,"Deposit","—"),IF(U1059&lt;=0.005,"Paid",IF(T1059&gt;0,"Partial","Unpaid"))))</f>
        <v/>
      </c>
      <c r="W1059" s="55">
        <f>IF(B1059="","",IFERROR(1/(1/INDEX('STAFF &amp; TASKS'!$C$5:$C$24,MATCH(H1059,'STAFF &amp; TASKS'!$A$5:$A$24,0))),PayRate))</f>
        <v/>
      </c>
      <c r="X1059" s="55">
        <f>IF(B1059="","",IF(OR(O1059="Cancelled",O1059="No-Show"),"",ROUND(R1059*W1059*(1+Burden),2)))</f>
        <v/>
      </c>
      <c r="Y1059" s="55">
        <f>IF(B1059="","",IF(OR(O1059="Cancelled",O1059="No-Show"),"",IF(N1059&lt;&gt;"",N1059,ROUND(R1059*SupHr*IFERROR(INDEX('PRICING'!$G$7:$G$16,MATCH(F1059,'PRICING'!$A$7:$A$16,0)),1),2))))</f>
        <v/>
      </c>
      <c r="Z1059" s="98">
        <f>IF(B1059="","",SUMIFS('MILEAGE'!$J$5:$J$1504,'MILEAGE'!$B$5:$B$1504,A1059))</f>
        <v/>
      </c>
      <c r="AA1059" s="55">
        <f>IF(B1059="","",ROUND(Z1059*MileRate,2))</f>
        <v/>
      </c>
      <c r="AB1059" s="55">
        <f>IF(B1059="","",SUMIFS('REVENUE'!$J$5:$J$1504,'REVENUE'!$B$5:$B$1504,A1059))</f>
        <v/>
      </c>
      <c r="AC1059" s="55">
        <f>IF(L1059="","",IF(OR(O1059="Cancelled",O1059="No-Show"),"",L1059-N(X1059)-N(Y1059)-AA1059-AB1059))</f>
        <v/>
      </c>
      <c r="AD1059" s="99">
        <f>IF(OR(AC1059="",N(L1059)=0),"",AC1059/L1059)</f>
        <v/>
      </c>
      <c r="AE1059" s="55">
        <f>IF(OR(AC1059="",N(R1059)=0),"",L1059/R1059)</f>
        <v/>
      </c>
      <c r="AF1059" s="100">
        <f>IF(OR(N(K1059)=0,N(J1059)+N(Q1059)=0),"",K1059-IF(N(J1059)&gt;0,J1059,Q1059))</f>
        <v/>
      </c>
      <c r="AG1059" s="99">
        <f>IF(B1059="","",IFERROR(AVERAGEIFS('QUALITY CONTROL'!$M$5:$M$304,'QUALITY CONTROL'!$B$5:$B$304,A1059),""))</f>
        <v/>
      </c>
      <c r="AH1059" s="51">
        <f>IF(B1059="","",DATE(YEAR(B1059),MONTH(B1059),1))</f>
        <v/>
      </c>
      <c r="AI1059" s="49">
        <f>IF(D1059="","",IFERROR(INDEX('CUSTOMERS'!$E$5:$E$404,MATCH(D1059,'CUSTOMERS'!$B$5:$B$404,0)),""))</f>
        <v/>
      </c>
      <c r="AJ1059" s="49">
        <f>IF(B1059="","",N(C1059))</f>
        <v/>
      </c>
      <c r="AK1059" s="49">
        <f>IF(OR(B1059="",O1059="Cancelled",O1059="Rescheduled"),"",B1059&amp;"|"&amp;(COUNTIFS('JOBS'!$B$5:$B$1504,B1059,'JOBS'!$AJ$5:$AJ$1504,"&lt;"&amp;AJ1059,'JOBS'!$O$5:$O$1504,"&lt;&gt;Cancelled",'JOBS'!$O$5:$O$1504,"&lt;&gt;Rescheduled")+COUNTIFS($B$5:B1059,B1059,$AJ$5:AJ1059,AJ1059,$O$5:O1059,"&lt;&gt;Cancelled",$O$5:O1059,"&lt;&gt;Rescheduled")))</f>
        <v/>
      </c>
      <c r="AL1059" s="49">
        <f>IF(N(U1059)&lt;=0.005,"",COUNTIFS('JOBS'!$U$5:$U$1504,"&gt;0.005",'JOBS'!$B$5:$B$1504,"&lt;"&amp;B1059)+COUNTIFS($U$5:U1059,"&gt;0.005",$B$5:B1059,B1059))</f>
        <v/>
      </c>
    </row>
    <row r="1060">
      <c r="A1060" s="46" t="inlineStr">
        <is>
          <t>J-1056</t>
        </is>
      </c>
      <c r="B1060" s="47" t="n"/>
      <c r="C1060" s="94" t="n"/>
      <c r="D1060" s="38" t="n"/>
      <c r="E1060" s="38" t="n"/>
      <c r="F1060" s="38" t="n"/>
      <c r="G1060" s="38" t="n"/>
      <c r="H1060" s="38" t="n"/>
      <c r="I1060" s="57" t="n"/>
      <c r="J1060" s="95" t="n"/>
      <c r="K1060" s="95" t="n"/>
      <c r="L1060" s="48" t="n"/>
      <c r="M1060" s="96" t="n"/>
      <c r="N1060" s="48" t="n"/>
      <c r="O1060" s="38" t="n"/>
      <c r="P1060" s="38" t="n"/>
      <c r="Q1060" s="97">
        <f>IF(OR(F1060="",E1060=""),"",IFERROR(IF(INDEX('PROPERTIES'!$F$5:$F$404,MATCH(E1060,'PROPERTIES'!$B$5:$B$404,0))=0,"",ROUND((INDEX('PROPERTIES'!$F$5:$F$404,MATCH(E1060,'PROPERTIES'!$B$5:$B$404,0))/INDEX('PRICING'!$C$7:$C$16,MATCH(F1060,'PRICING'!$A$7:$A$16,0))+INDEX('PROPERTIES'!$G$5:$G$404,MATCH(E1060,'PROPERTIES'!$B$5:$B$404,0))*INDEX('PRICING'!$D$7:$D$16,MATCH(F1060,'PRICING'!$A$7:$A$16,0))/60+INDEX('PROPERTIES'!$H$5:$H$404,MATCH(E1060,'PROPERTIES'!$B$5:$B$404,0))*INDEX('PRICING'!$E$7:$E$16,MATCH(F1060,'PRICING'!$A$7:$A$16,0))/60+INDEX('PRICING'!$F$7:$F$16,MATCH(F1060,'PRICING'!$A$7:$A$16,0))/60),2)),""))</f>
        <v/>
      </c>
      <c r="R1060" s="97">
        <f>IF(B1060="","",IF(N(K1060)&gt;0,K1060,IF(N(J1060)&gt;0,J1060,N(Q1060))))</f>
        <v/>
      </c>
      <c r="S1060" s="55">
        <f>IF(L1060="","",ROUND(L1060*(1+N(M1060)),2))</f>
        <v/>
      </c>
      <c r="T1060" s="55">
        <f>IF(B1060="","",SUMIFS('REVENUE'!$C$5:$C$1504,'REVENUE'!$B$5:$B$1504,A1060))</f>
        <v/>
      </c>
      <c r="U1060" s="55">
        <f>IF(B1060="","",IF(O1060="Completed",MAX(0,N(S1060)-T1060),""))</f>
        <v/>
      </c>
      <c r="V1060" s="49">
        <f>IF(B1060="","",IF(O1060&lt;&gt;"Completed",IF(T1060&gt;0,"Deposit","—"),IF(U1060&lt;=0.005,"Paid",IF(T1060&gt;0,"Partial","Unpaid"))))</f>
        <v/>
      </c>
      <c r="W1060" s="55">
        <f>IF(B1060="","",IFERROR(1/(1/INDEX('STAFF &amp; TASKS'!$C$5:$C$24,MATCH(H1060,'STAFF &amp; TASKS'!$A$5:$A$24,0))),PayRate))</f>
        <v/>
      </c>
      <c r="X1060" s="55">
        <f>IF(B1060="","",IF(OR(O1060="Cancelled",O1060="No-Show"),"",ROUND(R1060*W1060*(1+Burden),2)))</f>
        <v/>
      </c>
      <c r="Y1060" s="55">
        <f>IF(B1060="","",IF(OR(O1060="Cancelled",O1060="No-Show"),"",IF(N1060&lt;&gt;"",N1060,ROUND(R1060*SupHr*IFERROR(INDEX('PRICING'!$G$7:$G$16,MATCH(F1060,'PRICING'!$A$7:$A$16,0)),1),2))))</f>
        <v/>
      </c>
      <c r="Z1060" s="98">
        <f>IF(B1060="","",SUMIFS('MILEAGE'!$J$5:$J$1504,'MILEAGE'!$B$5:$B$1504,A1060))</f>
        <v/>
      </c>
      <c r="AA1060" s="55">
        <f>IF(B1060="","",ROUND(Z1060*MileRate,2))</f>
        <v/>
      </c>
      <c r="AB1060" s="55">
        <f>IF(B1060="","",SUMIFS('REVENUE'!$J$5:$J$1504,'REVENUE'!$B$5:$B$1504,A1060))</f>
        <v/>
      </c>
      <c r="AC1060" s="55">
        <f>IF(L1060="","",IF(OR(O1060="Cancelled",O1060="No-Show"),"",L1060-N(X1060)-N(Y1060)-AA1060-AB1060))</f>
        <v/>
      </c>
      <c r="AD1060" s="99">
        <f>IF(OR(AC1060="",N(L1060)=0),"",AC1060/L1060)</f>
        <v/>
      </c>
      <c r="AE1060" s="55">
        <f>IF(OR(AC1060="",N(R1060)=0),"",L1060/R1060)</f>
        <v/>
      </c>
      <c r="AF1060" s="100">
        <f>IF(OR(N(K1060)=0,N(J1060)+N(Q1060)=0),"",K1060-IF(N(J1060)&gt;0,J1060,Q1060))</f>
        <v/>
      </c>
      <c r="AG1060" s="99">
        <f>IF(B1060="","",IFERROR(AVERAGEIFS('QUALITY CONTROL'!$M$5:$M$304,'QUALITY CONTROL'!$B$5:$B$304,A1060),""))</f>
        <v/>
      </c>
      <c r="AH1060" s="51">
        <f>IF(B1060="","",DATE(YEAR(B1060),MONTH(B1060),1))</f>
        <v/>
      </c>
      <c r="AI1060" s="49">
        <f>IF(D1060="","",IFERROR(INDEX('CUSTOMERS'!$E$5:$E$404,MATCH(D1060,'CUSTOMERS'!$B$5:$B$404,0)),""))</f>
        <v/>
      </c>
      <c r="AJ1060" s="49">
        <f>IF(B1060="","",N(C1060))</f>
        <v/>
      </c>
      <c r="AK1060" s="49">
        <f>IF(OR(B1060="",O1060="Cancelled",O1060="Rescheduled"),"",B1060&amp;"|"&amp;(COUNTIFS('JOBS'!$B$5:$B$1504,B1060,'JOBS'!$AJ$5:$AJ$1504,"&lt;"&amp;AJ1060,'JOBS'!$O$5:$O$1504,"&lt;&gt;Cancelled",'JOBS'!$O$5:$O$1504,"&lt;&gt;Rescheduled")+COUNTIFS($B$5:B1060,B1060,$AJ$5:AJ1060,AJ1060,$O$5:O1060,"&lt;&gt;Cancelled",$O$5:O1060,"&lt;&gt;Rescheduled")))</f>
        <v/>
      </c>
      <c r="AL1060" s="49">
        <f>IF(N(U1060)&lt;=0.005,"",COUNTIFS('JOBS'!$U$5:$U$1504,"&gt;0.005",'JOBS'!$B$5:$B$1504,"&lt;"&amp;B1060)+COUNTIFS($U$5:U1060,"&gt;0.005",$B$5:B1060,B1060))</f>
        <v/>
      </c>
    </row>
    <row r="1061">
      <c r="A1061" s="46" t="inlineStr">
        <is>
          <t>J-1057</t>
        </is>
      </c>
      <c r="B1061" s="47" t="n"/>
      <c r="C1061" s="94" t="n"/>
      <c r="D1061" s="38" t="n"/>
      <c r="E1061" s="38" t="n"/>
      <c r="F1061" s="38" t="n"/>
      <c r="G1061" s="38" t="n"/>
      <c r="H1061" s="38" t="n"/>
      <c r="I1061" s="57" t="n"/>
      <c r="J1061" s="95" t="n"/>
      <c r="K1061" s="95" t="n"/>
      <c r="L1061" s="48" t="n"/>
      <c r="M1061" s="96" t="n"/>
      <c r="N1061" s="48" t="n"/>
      <c r="O1061" s="38" t="n"/>
      <c r="P1061" s="38" t="n"/>
      <c r="Q1061" s="97">
        <f>IF(OR(F1061="",E1061=""),"",IFERROR(IF(INDEX('PROPERTIES'!$F$5:$F$404,MATCH(E1061,'PROPERTIES'!$B$5:$B$404,0))=0,"",ROUND((INDEX('PROPERTIES'!$F$5:$F$404,MATCH(E1061,'PROPERTIES'!$B$5:$B$404,0))/INDEX('PRICING'!$C$7:$C$16,MATCH(F1061,'PRICING'!$A$7:$A$16,0))+INDEX('PROPERTIES'!$G$5:$G$404,MATCH(E1061,'PROPERTIES'!$B$5:$B$404,0))*INDEX('PRICING'!$D$7:$D$16,MATCH(F1061,'PRICING'!$A$7:$A$16,0))/60+INDEX('PROPERTIES'!$H$5:$H$404,MATCH(E1061,'PROPERTIES'!$B$5:$B$404,0))*INDEX('PRICING'!$E$7:$E$16,MATCH(F1061,'PRICING'!$A$7:$A$16,0))/60+INDEX('PRICING'!$F$7:$F$16,MATCH(F1061,'PRICING'!$A$7:$A$16,0))/60),2)),""))</f>
        <v/>
      </c>
      <c r="R1061" s="97">
        <f>IF(B1061="","",IF(N(K1061)&gt;0,K1061,IF(N(J1061)&gt;0,J1061,N(Q1061))))</f>
        <v/>
      </c>
      <c r="S1061" s="55">
        <f>IF(L1061="","",ROUND(L1061*(1+N(M1061)),2))</f>
        <v/>
      </c>
      <c r="T1061" s="55">
        <f>IF(B1061="","",SUMIFS('REVENUE'!$C$5:$C$1504,'REVENUE'!$B$5:$B$1504,A1061))</f>
        <v/>
      </c>
      <c r="U1061" s="55">
        <f>IF(B1061="","",IF(O1061="Completed",MAX(0,N(S1061)-T1061),""))</f>
        <v/>
      </c>
      <c r="V1061" s="49">
        <f>IF(B1061="","",IF(O1061&lt;&gt;"Completed",IF(T1061&gt;0,"Deposit","—"),IF(U1061&lt;=0.005,"Paid",IF(T1061&gt;0,"Partial","Unpaid"))))</f>
        <v/>
      </c>
      <c r="W1061" s="55">
        <f>IF(B1061="","",IFERROR(1/(1/INDEX('STAFF &amp; TASKS'!$C$5:$C$24,MATCH(H1061,'STAFF &amp; TASKS'!$A$5:$A$24,0))),PayRate))</f>
        <v/>
      </c>
      <c r="X1061" s="55">
        <f>IF(B1061="","",IF(OR(O1061="Cancelled",O1061="No-Show"),"",ROUND(R1061*W1061*(1+Burden),2)))</f>
        <v/>
      </c>
      <c r="Y1061" s="55">
        <f>IF(B1061="","",IF(OR(O1061="Cancelled",O1061="No-Show"),"",IF(N1061&lt;&gt;"",N1061,ROUND(R1061*SupHr*IFERROR(INDEX('PRICING'!$G$7:$G$16,MATCH(F1061,'PRICING'!$A$7:$A$16,0)),1),2))))</f>
        <v/>
      </c>
      <c r="Z1061" s="98">
        <f>IF(B1061="","",SUMIFS('MILEAGE'!$J$5:$J$1504,'MILEAGE'!$B$5:$B$1504,A1061))</f>
        <v/>
      </c>
      <c r="AA1061" s="55">
        <f>IF(B1061="","",ROUND(Z1061*MileRate,2))</f>
        <v/>
      </c>
      <c r="AB1061" s="55">
        <f>IF(B1061="","",SUMIFS('REVENUE'!$J$5:$J$1504,'REVENUE'!$B$5:$B$1504,A1061))</f>
        <v/>
      </c>
      <c r="AC1061" s="55">
        <f>IF(L1061="","",IF(OR(O1061="Cancelled",O1061="No-Show"),"",L1061-N(X1061)-N(Y1061)-AA1061-AB1061))</f>
        <v/>
      </c>
      <c r="AD1061" s="99">
        <f>IF(OR(AC1061="",N(L1061)=0),"",AC1061/L1061)</f>
        <v/>
      </c>
      <c r="AE1061" s="55">
        <f>IF(OR(AC1061="",N(R1061)=0),"",L1061/R1061)</f>
        <v/>
      </c>
      <c r="AF1061" s="100">
        <f>IF(OR(N(K1061)=0,N(J1061)+N(Q1061)=0),"",K1061-IF(N(J1061)&gt;0,J1061,Q1061))</f>
        <v/>
      </c>
      <c r="AG1061" s="99">
        <f>IF(B1061="","",IFERROR(AVERAGEIFS('QUALITY CONTROL'!$M$5:$M$304,'QUALITY CONTROL'!$B$5:$B$304,A1061),""))</f>
        <v/>
      </c>
      <c r="AH1061" s="51">
        <f>IF(B1061="","",DATE(YEAR(B1061),MONTH(B1061),1))</f>
        <v/>
      </c>
      <c r="AI1061" s="49">
        <f>IF(D1061="","",IFERROR(INDEX('CUSTOMERS'!$E$5:$E$404,MATCH(D1061,'CUSTOMERS'!$B$5:$B$404,0)),""))</f>
        <v/>
      </c>
      <c r="AJ1061" s="49">
        <f>IF(B1061="","",N(C1061))</f>
        <v/>
      </c>
      <c r="AK1061" s="49">
        <f>IF(OR(B1061="",O1061="Cancelled",O1061="Rescheduled"),"",B1061&amp;"|"&amp;(COUNTIFS('JOBS'!$B$5:$B$1504,B1061,'JOBS'!$AJ$5:$AJ$1504,"&lt;"&amp;AJ1061,'JOBS'!$O$5:$O$1504,"&lt;&gt;Cancelled",'JOBS'!$O$5:$O$1504,"&lt;&gt;Rescheduled")+COUNTIFS($B$5:B1061,B1061,$AJ$5:AJ1061,AJ1061,$O$5:O1061,"&lt;&gt;Cancelled",$O$5:O1061,"&lt;&gt;Rescheduled")))</f>
        <v/>
      </c>
      <c r="AL1061" s="49">
        <f>IF(N(U1061)&lt;=0.005,"",COUNTIFS('JOBS'!$U$5:$U$1504,"&gt;0.005",'JOBS'!$B$5:$B$1504,"&lt;"&amp;B1061)+COUNTIFS($U$5:U1061,"&gt;0.005",$B$5:B1061,B1061))</f>
        <v/>
      </c>
    </row>
    <row r="1062">
      <c r="A1062" s="46" t="inlineStr">
        <is>
          <t>J-1058</t>
        </is>
      </c>
      <c r="B1062" s="47" t="n"/>
      <c r="C1062" s="94" t="n"/>
      <c r="D1062" s="38" t="n"/>
      <c r="E1062" s="38" t="n"/>
      <c r="F1062" s="38" t="n"/>
      <c r="G1062" s="38" t="n"/>
      <c r="H1062" s="38" t="n"/>
      <c r="I1062" s="57" t="n"/>
      <c r="J1062" s="95" t="n"/>
      <c r="K1062" s="95" t="n"/>
      <c r="L1062" s="48" t="n"/>
      <c r="M1062" s="96" t="n"/>
      <c r="N1062" s="48" t="n"/>
      <c r="O1062" s="38" t="n"/>
      <c r="P1062" s="38" t="n"/>
      <c r="Q1062" s="97">
        <f>IF(OR(F1062="",E1062=""),"",IFERROR(IF(INDEX('PROPERTIES'!$F$5:$F$404,MATCH(E1062,'PROPERTIES'!$B$5:$B$404,0))=0,"",ROUND((INDEX('PROPERTIES'!$F$5:$F$404,MATCH(E1062,'PROPERTIES'!$B$5:$B$404,0))/INDEX('PRICING'!$C$7:$C$16,MATCH(F1062,'PRICING'!$A$7:$A$16,0))+INDEX('PROPERTIES'!$G$5:$G$404,MATCH(E1062,'PROPERTIES'!$B$5:$B$404,0))*INDEX('PRICING'!$D$7:$D$16,MATCH(F1062,'PRICING'!$A$7:$A$16,0))/60+INDEX('PROPERTIES'!$H$5:$H$404,MATCH(E1062,'PROPERTIES'!$B$5:$B$404,0))*INDEX('PRICING'!$E$7:$E$16,MATCH(F1062,'PRICING'!$A$7:$A$16,0))/60+INDEX('PRICING'!$F$7:$F$16,MATCH(F1062,'PRICING'!$A$7:$A$16,0))/60),2)),""))</f>
        <v/>
      </c>
      <c r="R1062" s="97">
        <f>IF(B1062="","",IF(N(K1062)&gt;0,K1062,IF(N(J1062)&gt;0,J1062,N(Q1062))))</f>
        <v/>
      </c>
      <c r="S1062" s="55">
        <f>IF(L1062="","",ROUND(L1062*(1+N(M1062)),2))</f>
        <v/>
      </c>
      <c r="T1062" s="55">
        <f>IF(B1062="","",SUMIFS('REVENUE'!$C$5:$C$1504,'REVENUE'!$B$5:$B$1504,A1062))</f>
        <v/>
      </c>
      <c r="U1062" s="55">
        <f>IF(B1062="","",IF(O1062="Completed",MAX(0,N(S1062)-T1062),""))</f>
        <v/>
      </c>
      <c r="V1062" s="49">
        <f>IF(B1062="","",IF(O1062&lt;&gt;"Completed",IF(T1062&gt;0,"Deposit","—"),IF(U1062&lt;=0.005,"Paid",IF(T1062&gt;0,"Partial","Unpaid"))))</f>
        <v/>
      </c>
      <c r="W1062" s="55">
        <f>IF(B1062="","",IFERROR(1/(1/INDEX('STAFF &amp; TASKS'!$C$5:$C$24,MATCH(H1062,'STAFF &amp; TASKS'!$A$5:$A$24,0))),PayRate))</f>
        <v/>
      </c>
      <c r="X1062" s="55">
        <f>IF(B1062="","",IF(OR(O1062="Cancelled",O1062="No-Show"),"",ROUND(R1062*W1062*(1+Burden),2)))</f>
        <v/>
      </c>
      <c r="Y1062" s="55">
        <f>IF(B1062="","",IF(OR(O1062="Cancelled",O1062="No-Show"),"",IF(N1062&lt;&gt;"",N1062,ROUND(R1062*SupHr*IFERROR(INDEX('PRICING'!$G$7:$G$16,MATCH(F1062,'PRICING'!$A$7:$A$16,0)),1),2))))</f>
        <v/>
      </c>
      <c r="Z1062" s="98">
        <f>IF(B1062="","",SUMIFS('MILEAGE'!$J$5:$J$1504,'MILEAGE'!$B$5:$B$1504,A1062))</f>
        <v/>
      </c>
      <c r="AA1062" s="55">
        <f>IF(B1062="","",ROUND(Z1062*MileRate,2))</f>
        <v/>
      </c>
      <c r="AB1062" s="55">
        <f>IF(B1062="","",SUMIFS('REVENUE'!$J$5:$J$1504,'REVENUE'!$B$5:$B$1504,A1062))</f>
        <v/>
      </c>
      <c r="AC1062" s="55">
        <f>IF(L1062="","",IF(OR(O1062="Cancelled",O1062="No-Show"),"",L1062-N(X1062)-N(Y1062)-AA1062-AB1062))</f>
        <v/>
      </c>
      <c r="AD1062" s="99">
        <f>IF(OR(AC1062="",N(L1062)=0),"",AC1062/L1062)</f>
        <v/>
      </c>
      <c r="AE1062" s="55">
        <f>IF(OR(AC1062="",N(R1062)=0),"",L1062/R1062)</f>
        <v/>
      </c>
      <c r="AF1062" s="100">
        <f>IF(OR(N(K1062)=0,N(J1062)+N(Q1062)=0),"",K1062-IF(N(J1062)&gt;0,J1062,Q1062))</f>
        <v/>
      </c>
      <c r="AG1062" s="99">
        <f>IF(B1062="","",IFERROR(AVERAGEIFS('QUALITY CONTROL'!$M$5:$M$304,'QUALITY CONTROL'!$B$5:$B$304,A1062),""))</f>
        <v/>
      </c>
      <c r="AH1062" s="51">
        <f>IF(B1062="","",DATE(YEAR(B1062),MONTH(B1062),1))</f>
        <v/>
      </c>
      <c r="AI1062" s="49">
        <f>IF(D1062="","",IFERROR(INDEX('CUSTOMERS'!$E$5:$E$404,MATCH(D1062,'CUSTOMERS'!$B$5:$B$404,0)),""))</f>
        <v/>
      </c>
      <c r="AJ1062" s="49">
        <f>IF(B1062="","",N(C1062))</f>
        <v/>
      </c>
      <c r="AK1062" s="49">
        <f>IF(OR(B1062="",O1062="Cancelled",O1062="Rescheduled"),"",B1062&amp;"|"&amp;(COUNTIFS('JOBS'!$B$5:$B$1504,B1062,'JOBS'!$AJ$5:$AJ$1504,"&lt;"&amp;AJ1062,'JOBS'!$O$5:$O$1504,"&lt;&gt;Cancelled",'JOBS'!$O$5:$O$1504,"&lt;&gt;Rescheduled")+COUNTIFS($B$5:B1062,B1062,$AJ$5:AJ1062,AJ1062,$O$5:O1062,"&lt;&gt;Cancelled",$O$5:O1062,"&lt;&gt;Rescheduled")))</f>
        <v/>
      </c>
      <c r="AL1062" s="49">
        <f>IF(N(U1062)&lt;=0.005,"",COUNTIFS('JOBS'!$U$5:$U$1504,"&gt;0.005",'JOBS'!$B$5:$B$1504,"&lt;"&amp;B1062)+COUNTIFS($U$5:U1062,"&gt;0.005",$B$5:B1062,B1062))</f>
        <v/>
      </c>
    </row>
    <row r="1063">
      <c r="A1063" s="46" t="inlineStr">
        <is>
          <t>J-1059</t>
        </is>
      </c>
      <c r="B1063" s="47" t="n"/>
      <c r="C1063" s="94" t="n"/>
      <c r="D1063" s="38" t="n"/>
      <c r="E1063" s="38" t="n"/>
      <c r="F1063" s="38" t="n"/>
      <c r="G1063" s="38" t="n"/>
      <c r="H1063" s="38" t="n"/>
      <c r="I1063" s="57" t="n"/>
      <c r="J1063" s="95" t="n"/>
      <c r="K1063" s="95" t="n"/>
      <c r="L1063" s="48" t="n"/>
      <c r="M1063" s="96" t="n"/>
      <c r="N1063" s="48" t="n"/>
      <c r="O1063" s="38" t="n"/>
      <c r="P1063" s="38" t="n"/>
      <c r="Q1063" s="97">
        <f>IF(OR(F1063="",E1063=""),"",IFERROR(IF(INDEX('PROPERTIES'!$F$5:$F$404,MATCH(E1063,'PROPERTIES'!$B$5:$B$404,0))=0,"",ROUND((INDEX('PROPERTIES'!$F$5:$F$404,MATCH(E1063,'PROPERTIES'!$B$5:$B$404,0))/INDEX('PRICING'!$C$7:$C$16,MATCH(F1063,'PRICING'!$A$7:$A$16,0))+INDEX('PROPERTIES'!$G$5:$G$404,MATCH(E1063,'PROPERTIES'!$B$5:$B$404,0))*INDEX('PRICING'!$D$7:$D$16,MATCH(F1063,'PRICING'!$A$7:$A$16,0))/60+INDEX('PROPERTIES'!$H$5:$H$404,MATCH(E1063,'PROPERTIES'!$B$5:$B$404,0))*INDEX('PRICING'!$E$7:$E$16,MATCH(F1063,'PRICING'!$A$7:$A$16,0))/60+INDEX('PRICING'!$F$7:$F$16,MATCH(F1063,'PRICING'!$A$7:$A$16,0))/60),2)),""))</f>
        <v/>
      </c>
      <c r="R1063" s="97">
        <f>IF(B1063="","",IF(N(K1063)&gt;0,K1063,IF(N(J1063)&gt;0,J1063,N(Q1063))))</f>
        <v/>
      </c>
      <c r="S1063" s="55">
        <f>IF(L1063="","",ROUND(L1063*(1+N(M1063)),2))</f>
        <v/>
      </c>
      <c r="T1063" s="55">
        <f>IF(B1063="","",SUMIFS('REVENUE'!$C$5:$C$1504,'REVENUE'!$B$5:$B$1504,A1063))</f>
        <v/>
      </c>
      <c r="U1063" s="55">
        <f>IF(B1063="","",IF(O1063="Completed",MAX(0,N(S1063)-T1063),""))</f>
        <v/>
      </c>
      <c r="V1063" s="49">
        <f>IF(B1063="","",IF(O1063&lt;&gt;"Completed",IF(T1063&gt;0,"Deposit","—"),IF(U1063&lt;=0.005,"Paid",IF(T1063&gt;0,"Partial","Unpaid"))))</f>
        <v/>
      </c>
      <c r="W1063" s="55">
        <f>IF(B1063="","",IFERROR(1/(1/INDEX('STAFF &amp; TASKS'!$C$5:$C$24,MATCH(H1063,'STAFF &amp; TASKS'!$A$5:$A$24,0))),PayRate))</f>
        <v/>
      </c>
      <c r="X1063" s="55">
        <f>IF(B1063="","",IF(OR(O1063="Cancelled",O1063="No-Show"),"",ROUND(R1063*W1063*(1+Burden),2)))</f>
        <v/>
      </c>
      <c r="Y1063" s="55">
        <f>IF(B1063="","",IF(OR(O1063="Cancelled",O1063="No-Show"),"",IF(N1063&lt;&gt;"",N1063,ROUND(R1063*SupHr*IFERROR(INDEX('PRICING'!$G$7:$G$16,MATCH(F1063,'PRICING'!$A$7:$A$16,0)),1),2))))</f>
        <v/>
      </c>
      <c r="Z1063" s="98">
        <f>IF(B1063="","",SUMIFS('MILEAGE'!$J$5:$J$1504,'MILEAGE'!$B$5:$B$1504,A1063))</f>
        <v/>
      </c>
      <c r="AA1063" s="55">
        <f>IF(B1063="","",ROUND(Z1063*MileRate,2))</f>
        <v/>
      </c>
      <c r="AB1063" s="55">
        <f>IF(B1063="","",SUMIFS('REVENUE'!$J$5:$J$1504,'REVENUE'!$B$5:$B$1504,A1063))</f>
        <v/>
      </c>
      <c r="AC1063" s="55">
        <f>IF(L1063="","",IF(OR(O1063="Cancelled",O1063="No-Show"),"",L1063-N(X1063)-N(Y1063)-AA1063-AB1063))</f>
        <v/>
      </c>
      <c r="AD1063" s="99">
        <f>IF(OR(AC1063="",N(L1063)=0),"",AC1063/L1063)</f>
        <v/>
      </c>
      <c r="AE1063" s="55">
        <f>IF(OR(AC1063="",N(R1063)=0),"",L1063/R1063)</f>
        <v/>
      </c>
      <c r="AF1063" s="100">
        <f>IF(OR(N(K1063)=0,N(J1063)+N(Q1063)=0),"",K1063-IF(N(J1063)&gt;0,J1063,Q1063))</f>
        <v/>
      </c>
      <c r="AG1063" s="99">
        <f>IF(B1063="","",IFERROR(AVERAGEIFS('QUALITY CONTROL'!$M$5:$M$304,'QUALITY CONTROL'!$B$5:$B$304,A1063),""))</f>
        <v/>
      </c>
      <c r="AH1063" s="51">
        <f>IF(B1063="","",DATE(YEAR(B1063),MONTH(B1063),1))</f>
        <v/>
      </c>
      <c r="AI1063" s="49">
        <f>IF(D1063="","",IFERROR(INDEX('CUSTOMERS'!$E$5:$E$404,MATCH(D1063,'CUSTOMERS'!$B$5:$B$404,0)),""))</f>
        <v/>
      </c>
      <c r="AJ1063" s="49">
        <f>IF(B1063="","",N(C1063))</f>
        <v/>
      </c>
      <c r="AK1063" s="49">
        <f>IF(OR(B1063="",O1063="Cancelled",O1063="Rescheduled"),"",B1063&amp;"|"&amp;(COUNTIFS('JOBS'!$B$5:$B$1504,B1063,'JOBS'!$AJ$5:$AJ$1504,"&lt;"&amp;AJ1063,'JOBS'!$O$5:$O$1504,"&lt;&gt;Cancelled",'JOBS'!$O$5:$O$1504,"&lt;&gt;Rescheduled")+COUNTIFS($B$5:B1063,B1063,$AJ$5:AJ1063,AJ1063,$O$5:O1063,"&lt;&gt;Cancelled",$O$5:O1063,"&lt;&gt;Rescheduled")))</f>
        <v/>
      </c>
      <c r="AL1063" s="49">
        <f>IF(N(U1063)&lt;=0.005,"",COUNTIFS('JOBS'!$U$5:$U$1504,"&gt;0.005",'JOBS'!$B$5:$B$1504,"&lt;"&amp;B1063)+COUNTIFS($U$5:U1063,"&gt;0.005",$B$5:B1063,B1063))</f>
        <v/>
      </c>
    </row>
    <row r="1064">
      <c r="A1064" s="46" t="inlineStr">
        <is>
          <t>J-1060</t>
        </is>
      </c>
      <c r="B1064" s="47" t="n"/>
      <c r="C1064" s="94" t="n"/>
      <c r="D1064" s="38" t="n"/>
      <c r="E1064" s="38" t="n"/>
      <c r="F1064" s="38" t="n"/>
      <c r="G1064" s="38" t="n"/>
      <c r="H1064" s="38" t="n"/>
      <c r="I1064" s="57" t="n"/>
      <c r="J1064" s="95" t="n"/>
      <c r="K1064" s="95" t="n"/>
      <c r="L1064" s="48" t="n"/>
      <c r="M1064" s="96" t="n"/>
      <c r="N1064" s="48" t="n"/>
      <c r="O1064" s="38" t="n"/>
      <c r="P1064" s="38" t="n"/>
      <c r="Q1064" s="97">
        <f>IF(OR(F1064="",E1064=""),"",IFERROR(IF(INDEX('PROPERTIES'!$F$5:$F$404,MATCH(E1064,'PROPERTIES'!$B$5:$B$404,0))=0,"",ROUND((INDEX('PROPERTIES'!$F$5:$F$404,MATCH(E1064,'PROPERTIES'!$B$5:$B$404,0))/INDEX('PRICING'!$C$7:$C$16,MATCH(F1064,'PRICING'!$A$7:$A$16,0))+INDEX('PROPERTIES'!$G$5:$G$404,MATCH(E1064,'PROPERTIES'!$B$5:$B$404,0))*INDEX('PRICING'!$D$7:$D$16,MATCH(F1064,'PRICING'!$A$7:$A$16,0))/60+INDEX('PROPERTIES'!$H$5:$H$404,MATCH(E1064,'PROPERTIES'!$B$5:$B$404,0))*INDEX('PRICING'!$E$7:$E$16,MATCH(F1064,'PRICING'!$A$7:$A$16,0))/60+INDEX('PRICING'!$F$7:$F$16,MATCH(F1064,'PRICING'!$A$7:$A$16,0))/60),2)),""))</f>
        <v/>
      </c>
      <c r="R1064" s="97">
        <f>IF(B1064="","",IF(N(K1064)&gt;0,K1064,IF(N(J1064)&gt;0,J1064,N(Q1064))))</f>
        <v/>
      </c>
      <c r="S1064" s="55">
        <f>IF(L1064="","",ROUND(L1064*(1+N(M1064)),2))</f>
        <v/>
      </c>
      <c r="T1064" s="55">
        <f>IF(B1064="","",SUMIFS('REVENUE'!$C$5:$C$1504,'REVENUE'!$B$5:$B$1504,A1064))</f>
        <v/>
      </c>
      <c r="U1064" s="55">
        <f>IF(B1064="","",IF(O1064="Completed",MAX(0,N(S1064)-T1064),""))</f>
        <v/>
      </c>
      <c r="V1064" s="49">
        <f>IF(B1064="","",IF(O1064&lt;&gt;"Completed",IF(T1064&gt;0,"Deposit","—"),IF(U1064&lt;=0.005,"Paid",IF(T1064&gt;0,"Partial","Unpaid"))))</f>
        <v/>
      </c>
      <c r="W1064" s="55">
        <f>IF(B1064="","",IFERROR(1/(1/INDEX('STAFF &amp; TASKS'!$C$5:$C$24,MATCH(H1064,'STAFF &amp; TASKS'!$A$5:$A$24,0))),PayRate))</f>
        <v/>
      </c>
      <c r="X1064" s="55">
        <f>IF(B1064="","",IF(OR(O1064="Cancelled",O1064="No-Show"),"",ROUND(R1064*W1064*(1+Burden),2)))</f>
        <v/>
      </c>
      <c r="Y1064" s="55">
        <f>IF(B1064="","",IF(OR(O1064="Cancelled",O1064="No-Show"),"",IF(N1064&lt;&gt;"",N1064,ROUND(R1064*SupHr*IFERROR(INDEX('PRICING'!$G$7:$G$16,MATCH(F1064,'PRICING'!$A$7:$A$16,0)),1),2))))</f>
        <v/>
      </c>
      <c r="Z1064" s="98">
        <f>IF(B1064="","",SUMIFS('MILEAGE'!$J$5:$J$1504,'MILEAGE'!$B$5:$B$1504,A1064))</f>
        <v/>
      </c>
      <c r="AA1064" s="55">
        <f>IF(B1064="","",ROUND(Z1064*MileRate,2))</f>
        <v/>
      </c>
      <c r="AB1064" s="55">
        <f>IF(B1064="","",SUMIFS('REVENUE'!$J$5:$J$1504,'REVENUE'!$B$5:$B$1504,A1064))</f>
        <v/>
      </c>
      <c r="AC1064" s="55">
        <f>IF(L1064="","",IF(OR(O1064="Cancelled",O1064="No-Show"),"",L1064-N(X1064)-N(Y1064)-AA1064-AB1064))</f>
        <v/>
      </c>
      <c r="AD1064" s="99">
        <f>IF(OR(AC1064="",N(L1064)=0),"",AC1064/L1064)</f>
        <v/>
      </c>
      <c r="AE1064" s="55">
        <f>IF(OR(AC1064="",N(R1064)=0),"",L1064/R1064)</f>
        <v/>
      </c>
      <c r="AF1064" s="100">
        <f>IF(OR(N(K1064)=0,N(J1064)+N(Q1064)=0),"",K1064-IF(N(J1064)&gt;0,J1064,Q1064))</f>
        <v/>
      </c>
      <c r="AG1064" s="99">
        <f>IF(B1064="","",IFERROR(AVERAGEIFS('QUALITY CONTROL'!$M$5:$M$304,'QUALITY CONTROL'!$B$5:$B$304,A1064),""))</f>
        <v/>
      </c>
      <c r="AH1064" s="51">
        <f>IF(B1064="","",DATE(YEAR(B1064),MONTH(B1064),1))</f>
        <v/>
      </c>
      <c r="AI1064" s="49">
        <f>IF(D1064="","",IFERROR(INDEX('CUSTOMERS'!$E$5:$E$404,MATCH(D1064,'CUSTOMERS'!$B$5:$B$404,0)),""))</f>
        <v/>
      </c>
      <c r="AJ1064" s="49">
        <f>IF(B1064="","",N(C1064))</f>
        <v/>
      </c>
      <c r="AK1064" s="49">
        <f>IF(OR(B1064="",O1064="Cancelled",O1064="Rescheduled"),"",B1064&amp;"|"&amp;(COUNTIFS('JOBS'!$B$5:$B$1504,B1064,'JOBS'!$AJ$5:$AJ$1504,"&lt;"&amp;AJ1064,'JOBS'!$O$5:$O$1504,"&lt;&gt;Cancelled",'JOBS'!$O$5:$O$1504,"&lt;&gt;Rescheduled")+COUNTIFS($B$5:B1064,B1064,$AJ$5:AJ1064,AJ1064,$O$5:O1064,"&lt;&gt;Cancelled",$O$5:O1064,"&lt;&gt;Rescheduled")))</f>
        <v/>
      </c>
      <c r="AL1064" s="49">
        <f>IF(N(U1064)&lt;=0.005,"",COUNTIFS('JOBS'!$U$5:$U$1504,"&gt;0.005",'JOBS'!$B$5:$B$1504,"&lt;"&amp;B1064)+COUNTIFS($U$5:U1064,"&gt;0.005",$B$5:B1064,B1064))</f>
        <v/>
      </c>
    </row>
    <row r="1065">
      <c r="A1065" s="46" t="inlineStr">
        <is>
          <t>J-1061</t>
        </is>
      </c>
      <c r="B1065" s="47" t="n"/>
      <c r="C1065" s="94" t="n"/>
      <c r="D1065" s="38" t="n"/>
      <c r="E1065" s="38" t="n"/>
      <c r="F1065" s="38" t="n"/>
      <c r="G1065" s="38" t="n"/>
      <c r="H1065" s="38" t="n"/>
      <c r="I1065" s="57" t="n"/>
      <c r="J1065" s="95" t="n"/>
      <c r="K1065" s="95" t="n"/>
      <c r="L1065" s="48" t="n"/>
      <c r="M1065" s="96" t="n"/>
      <c r="N1065" s="48" t="n"/>
      <c r="O1065" s="38" t="n"/>
      <c r="P1065" s="38" t="n"/>
      <c r="Q1065" s="97">
        <f>IF(OR(F1065="",E1065=""),"",IFERROR(IF(INDEX('PROPERTIES'!$F$5:$F$404,MATCH(E1065,'PROPERTIES'!$B$5:$B$404,0))=0,"",ROUND((INDEX('PROPERTIES'!$F$5:$F$404,MATCH(E1065,'PROPERTIES'!$B$5:$B$404,0))/INDEX('PRICING'!$C$7:$C$16,MATCH(F1065,'PRICING'!$A$7:$A$16,0))+INDEX('PROPERTIES'!$G$5:$G$404,MATCH(E1065,'PROPERTIES'!$B$5:$B$404,0))*INDEX('PRICING'!$D$7:$D$16,MATCH(F1065,'PRICING'!$A$7:$A$16,0))/60+INDEX('PROPERTIES'!$H$5:$H$404,MATCH(E1065,'PROPERTIES'!$B$5:$B$404,0))*INDEX('PRICING'!$E$7:$E$16,MATCH(F1065,'PRICING'!$A$7:$A$16,0))/60+INDEX('PRICING'!$F$7:$F$16,MATCH(F1065,'PRICING'!$A$7:$A$16,0))/60),2)),""))</f>
        <v/>
      </c>
      <c r="R1065" s="97">
        <f>IF(B1065="","",IF(N(K1065)&gt;0,K1065,IF(N(J1065)&gt;0,J1065,N(Q1065))))</f>
        <v/>
      </c>
      <c r="S1065" s="55">
        <f>IF(L1065="","",ROUND(L1065*(1+N(M1065)),2))</f>
        <v/>
      </c>
      <c r="T1065" s="55">
        <f>IF(B1065="","",SUMIFS('REVENUE'!$C$5:$C$1504,'REVENUE'!$B$5:$B$1504,A1065))</f>
        <v/>
      </c>
      <c r="U1065" s="55">
        <f>IF(B1065="","",IF(O1065="Completed",MAX(0,N(S1065)-T1065),""))</f>
        <v/>
      </c>
      <c r="V1065" s="49">
        <f>IF(B1065="","",IF(O1065&lt;&gt;"Completed",IF(T1065&gt;0,"Deposit","—"),IF(U1065&lt;=0.005,"Paid",IF(T1065&gt;0,"Partial","Unpaid"))))</f>
        <v/>
      </c>
      <c r="W1065" s="55">
        <f>IF(B1065="","",IFERROR(1/(1/INDEX('STAFF &amp; TASKS'!$C$5:$C$24,MATCH(H1065,'STAFF &amp; TASKS'!$A$5:$A$24,0))),PayRate))</f>
        <v/>
      </c>
      <c r="X1065" s="55">
        <f>IF(B1065="","",IF(OR(O1065="Cancelled",O1065="No-Show"),"",ROUND(R1065*W1065*(1+Burden),2)))</f>
        <v/>
      </c>
      <c r="Y1065" s="55">
        <f>IF(B1065="","",IF(OR(O1065="Cancelled",O1065="No-Show"),"",IF(N1065&lt;&gt;"",N1065,ROUND(R1065*SupHr*IFERROR(INDEX('PRICING'!$G$7:$G$16,MATCH(F1065,'PRICING'!$A$7:$A$16,0)),1),2))))</f>
        <v/>
      </c>
      <c r="Z1065" s="98">
        <f>IF(B1065="","",SUMIFS('MILEAGE'!$J$5:$J$1504,'MILEAGE'!$B$5:$B$1504,A1065))</f>
        <v/>
      </c>
      <c r="AA1065" s="55">
        <f>IF(B1065="","",ROUND(Z1065*MileRate,2))</f>
        <v/>
      </c>
      <c r="AB1065" s="55">
        <f>IF(B1065="","",SUMIFS('REVENUE'!$J$5:$J$1504,'REVENUE'!$B$5:$B$1504,A1065))</f>
        <v/>
      </c>
      <c r="AC1065" s="55">
        <f>IF(L1065="","",IF(OR(O1065="Cancelled",O1065="No-Show"),"",L1065-N(X1065)-N(Y1065)-AA1065-AB1065))</f>
        <v/>
      </c>
      <c r="AD1065" s="99">
        <f>IF(OR(AC1065="",N(L1065)=0),"",AC1065/L1065)</f>
        <v/>
      </c>
      <c r="AE1065" s="55">
        <f>IF(OR(AC1065="",N(R1065)=0),"",L1065/R1065)</f>
        <v/>
      </c>
      <c r="AF1065" s="100">
        <f>IF(OR(N(K1065)=0,N(J1065)+N(Q1065)=0),"",K1065-IF(N(J1065)&gt;0,J1065,Q1065))</f>
        <v/>
      </c>
      <c r="AG1065" s="99">
        <f>IF(B1065="","",IFERROR(AVERAGEIFS('QUALITY CONTROL'!$M$5:$M$304,'QUALITY CONTROL'!$B$5:$B$304,A1065),""))</f>
        <v/>
      </c>
      <c r="AH1065" s="51">
        <f>IF(B1065="","",DATE(YEAR(B1065),MONTH(B1065),1))</f>
        <v/>
      </c>
      <c r="AI1065" s="49">
        <f>IF(D1065="","",IFERROR(INDEX('CUSTOMERS'!$E$5:$E$404,MATCH(D1065,'CUSTOMERS'!$B$5:$B$404,0)),""))</f>
        <v/>
      </c>
      <c r="AJ1065" s="49">
        <f>IF(B1065="","",N(C1065))</f>
        <v/>
      </c>
      <c r="AK1065" s="49">
        <f>IF(OR(B1065="",O1065="Cancelled",O1065="Rescheduled"),"",B1065&amp;"|"&amp;(COUNTIFS('JOBS'!$B$5:$B$1504,B1065,'JOBS'!$AJ$5:$AJ$1504,"&lt;"&amp;AJ1065,'JOBS'!$O$5:$O$1504,"&lt;&gt;Cancelled",'JOBS'!$O$5:$O$1504,"&lt;&gt;Rescheduled")+COUNTIFS($B$5:B1065,B1065,$AJ$5:AJ1065,AJ1065,$O$5:O1065,"&lt;&gt;Cancelled",$O$5:O1065,"&lt;&gt;Rescheduled")))</f>
        <v/>
      </c>
      <c r="AL1065" s="49">
        <f>IF(N(U1065)&lt;=0.005,"",COUNTIFS('JOBS'!$U$5:$U$1504,"&gt;0.005",'JOBS'!$B$5:$B$1504,"&lt;"&amp;B1065)+COUNTIFS($U$5:U1065,"&gt;0.005",$B$5:B1065,B1065))</f>
        <v/>
      </c>
    </row>
    <row r="1066">
      <c r="A1066" s="46" t="inlineStr">
        <is>
          <t>J-1062</t>
        </is>
      </c>
      <c r="B1066" s="47" t="n"/>
      <c r="C1066" s="94" t="n"/>
      <c r="D1066" s="38" t="n"/>
      <c r="E1066" s="38" t="n"/>
      <c r="F1066" s="38" t="n"/>
      <c r="G1066" s="38" t="n"/>
      <c r="H1066" s="38" t="n"/>
      <c r="I1066" s="57" t="n"/>
      <c r="J1066" s="95" t="n"/>
      <c r="K1066" s="95" t="n"/>
      <c r="L1066" s="48" t="n"/>
      <c r="M1066" s="96" t="n"/>
      <c r="N1066" s="48" t="n"/>
      <c r="O1066" s="38" t="n"/>
      <c r="P1066" s="38" t="n"/>
      <c r="Q1066" s="97">
        <f>IF(OR(F1066="",E1066=""),"",IFERROR(IF(INDEX('PROPERTIES'!$F$5:$F$404,MATCH(E1066,'PROPERTIES'!$B$5:$B$404,0))=0,"",ROUND((INDEX('PROPERTIES'!$F$5:$F$404,MATCH(E1066,'PROPERTIES'!$B$5:$B$404,0))/INDEX('PRICING'!$C$7:$C$16,MATCH(F1066,'PRICING'!$A$7:$A$16,0))+INDEX('PROPERTIES'!$G$5:$G$404,MATCH(E1066,'PROPERTIES'!$B$5:$B$404,0))*INDEX('PRICING'!$D$7:$D$16,MATCH(F1066,'PRICING'!$A$7:$A$16,0))/60+INDEX('PROPERTIES'!$H$5:$H$404,MATCH(E1066,'PROPERTIES'!$B$5:$B$404,0))*INDEX('PRICING'!$E$7:$E$16,MATCH(F1066,'PRICING'!$A$7:$A$16,0))/60+INDEX('PRICING'!$F$7:$F$16,MATCH(F1066,'PRICING'!$A$7:$A$16,0))/60),2)),""))</f>
        <v/>
      </c>
      <c r="R1066" s="97">
        <f>IF(B1066="","",IF(N(K1066)&gt;0,K1066,IF(N(J1066)&gt;0,J1066,N(Q1066))))</f>
        <v/>
      </c>
      <c r="S1066" s="55">
        <f>IF(L1066="","",ROUND(L1066*(1+N(M1066)),2))</f>
        <v/>
      </c>
      <c r="T1066" s="55">
        <f>IF(B1066="","",SUMIFS('REVENUE'!$C$5:$C$1504,'REVENUE'!$B$5:$B$1504,A1066))</f>
        <v/>
      </c>
      <c r="U1066" s="55">
        <f>IF(B1066="","",IF(O1066="Completed",MAX(0,N(S1066)-T1066),""))</f>
        <v/>
      </c>
      <c r="V1066" s="49">
        <f>IF(B1066="","",IF(O1066&lt;&gt;"Completed",IF(T1066&gt;0,"Deposit","—"),IF(U1066&lt;=0.005,"Paid",IF(T1066&gt;0,"Partial","Unpaid"))))</f>
        <v/>
      </c>
      <c r="W1066" s="55">
        <f>IF(B1066="","",IFERROR(1/(1/INDEX('STAFF &amp; TASKS'!$C$5:$C$24,MATCH(H1066,'STAFF &amp; TASKS'!$A$5:$A$24,0))),PayRate))</f>
        <v/>
      </c>
      <c r="X1066" s="55">
        <f>IF(B1066="","",IF(OR(O1066="Cancelled",O1066="No-Show"),"",ROUND(R1066*W1066*(1+Burden),2)))</f>
        <v/>
      </c>
      <c r="Y1066" s="55">
        <f>IF(B1066="","",IF(OR(O1066="Cancelled",O1066="No-Show"),"",IF(N1066&lt;&gt;"",N1066,ROUND(R1066*SupHr*IFERROR(INDEX('PRICING'!$G$7:$G$16,MATCH(F1066,'PRICING'!$A$7:$A$16,0)),1),2))))</f>
        <v/>
      </c>
      <c r="Z1066" s="98">
        <f>IF(B1066="","",SUMIFS('MILEAGE'!$J$5:$J$1504,'MILEAGE'!$B$5:$B$1504,A1066))</f>
        <v/>
      </c>
      <c r="AA1066" s="55">
        <f>IF(B1066="","",ROUND(Z1066*MileRate,2))</f>
        <v/>
      </c>
      <c r="AB1066" s="55">
        <f>IF(B1066="","",SUMIFS('REVENUE'!$J$5:$J$1504,'REVENUE'!$B$5:$B$1504,A1066))</f>
        <v/>
      </c>
      <c r="AC1066" s="55">
        <f>IF(L1066="","",IF(OR(O1066="Cancelled",O1066="No-Show"),"",L1066-N(X1066)-N(Y1066)-AA1066-AB1066))</f>
        <v/>
      </c>
      <c r="AD1066" s="99">
        <f>IF(OR(AC1066="",N(L1066)=0),"",AC1066/L1066)</f>
        <v/>
      </c>
      <c r="AE1066" s="55">
        <f>IF(OR(AC1066="",N(R1066)=0),"",L1066/R1066)</f>
        <v/>
      </c>
      <c r="AF1066" s="100">
        <f>IF(OR(N(K1066)=0,N(J1066)+N(Q1066)=0),"",K1066-IF(N(J1066)&gt;0,J1066,Q1066))</f>
        <v/>
      </c>
      <c r="AG1066" s="99">
        <f>IF(B1066="","",IFERROR(AVERAGEIFS('QUALITY CONTROL'!$M$5:$M$304,'QUALITY CONTROL'!$B$5:$B$304,A1066),""))</f>
        <v/>
      </c>
      <c r="AH1066" s="51">
        <f>IF(B1066="","",DATE(YEAR(B1066),MONTH(B1066),1))</f>
        <v/>
      </c>
      <c r="AI1066" s="49">
        <f>IF(D1066="","",IFERROR(INDEX('CUSTOMERS'!$E$5:$E$404,MATCH(D1066,'CUSTOMERS'!$B$5:$B$404,0)),""))</f>
        <v/>
      </c>
      <c r="AJ1066" s="49">
        <f>IF(B1066="","",N(C1066))</f>
        <v/>
      </c>
      <c r="AK1066" s="49">
        <f>IF(OR(B1066="",O1066="Cancelled",O1066="Rescheduled"),"",B1066&amp;"|"&amp;(COUNTIFS('JOBS'!$B$5:$B$1504,B1066,'JOBS'!$AJ$5:$AJ$1504,"&lt;"&amp;AJ1066,'JOBS'!$O$5:$O$1504,"&lt;&gt;Cancelled",'JOBS'!$O$5:$O$1504,"&lt;&gt;Rescheduled")+COUNTIFS($B$5:B1066,B1066,$AJ$5:AJ1066,AJ1066,$O$5:O1066,"&lt;&gt;Cancelled",$O$5:O1066,"&lt;&gt;Rescheduled")))</f>
        <v/>
      </c>
      <c r="AL1066" s="49">
        <f>IF(N(U1066)&lt;=0.005,"",COUNTIFS('JOBS'!$U$5:$U$1504,"&gt;0.005",'JOBS'!$B$5:$B$1504,"&lt;"&amp;B1066)+COUNTIFS($U$5:U1066,"&gt;0.005",$B$5:B1066,B1066))</f>
        <v/>
      </c>
    </row>
    <row r="1067">
      <c r="A1067" s="46" t="inlineStr">
        <is>
          <t>J-1063</t>
        </is>
      </c>
      <c r="B1067" s="47" t="n"/>
      <c r="C1067" s="94" t="n"/>
      <c r="D1067" s="38" t="n"/>
      <c r="E1067" s="38" t="n"/>
      <c r="F1067" s="38" t="n"/>
      <c r="G1067" s="38" t="n"/>
      <c r="H1067" s="38" t="n"/>
      <c r="I1067" s="57" t="n"/>
      <c r="J1067" s="95" t="n"/>
      <c r="K1067" s="95" t="n"/>
      <c r="L1067" s="48" t="n"/>
      <c r="M1067" s="96" t="n"/>
      <c r="N1067" s="48" t="n"/>
      <c r="O1067" s="38" t="n"/>
      <c r="P1067" s="38" t="n"/>
      <c r="Q1067" s="97">
        <f>IF(OR(F1067="",E1067=""),"",IFERROR(IF(INDEX('PROPERTIES'!$F$5:$F$404,MATCH(E1067,'PROPERTIES'!$B$5:$B$404,0))=0,"",ROUND((INDEX('PROPERTIES'!$F$5:$F$404,MATCH(E1067,'PROPERTIES'!$B$5:$B$404,0))/INDEX('PRICING'!$C$7:$C$16,MATCH(F1067,'PRICING'!$A$7:$A$16,0))+INDEX('PROPERTIES'!$G$5:$G$404,MATCH(E1067,'PROPERTIES'!$B$5:$B$404,0))*INDEX('PRICING'!$D$7:$D$16,MATCH(F1067,'PRICING'!$A$7:$A$16,0))/60+INDEX('PROPERTIES'!$H$5:$H$404,MATCH(E1067,'PROPERTIES'!$B$5:$B$404,0))*INDEX('PRICING'!$E$7:$E$16,MATCH(F1067,'PRICING'!$A$7:$A$16,0))/60+INDEX('PRICING'!$F$7:$F$16,MATCH(F1067,'PRICING'!$A$7:$A$16,0))/60),2)),""))</f>
        <v/>
      </c>
      <c r="R1067" s="97">
        <f>IF(B1067="","",IF(N(K1067)&gt;0,K1067,IF(N(J1067)&gt;0,J1067,N(Q1067))))</f>
        <v/>
      </c>
      <c r="S1067" s="55">
        <f>IF(L1067="","",ROUND(L1067*(1+N(M1067)),2))</f>
        <v/>
      </c>
      <c r="T1067" s="55">
        <f>IF(B1067="","",SUMIFS('REVENUE'!$C$5:$C$1504,'REVENUE'!$B$5:$B$1504,A1067))</f>
        <v/>
      </c>
      <c r="U1067" s="55">
        <f>IF(B1067="","",IF(O1067="Completed",MAX(0,N(S1067)-T1067),""))</f>
        <v/>
      </c>
      <c r="V1067" s="49">
        <f>IF(B1067="","",IF(O1067&lt;&gt;"Completed",IF(T1067&gt;0,"Deposit","—"),IF(U1067&lt;=0.005,"Paid",IF(T1067&gt;0,"Partial","Unpaid"))))</f>
        <v/>
      </c>
      <c r="W1067" s="55">
        <f>IF(B1067="","",IFERROR(1/(1/INDEX('STAFF &amp; TASKS'!$C$5:$C$24,MATCH(H1067,'STAFF &amp; TASKS'!$A$5:$A$24,0))),PayRate))</f>
        <v/>
      </c>
      <c r="X1067" s="55">
        <f>IF(B1067="","",IF(OR(O1067="Cancelled",O1067="No-Show"),"",ROUND(R1067*W1067*(1+Burden),2)))</f>
        <v/>
      </c>
      <c r="Y1067" s="55">
        <f>IF(B1067="","",IF(OR(O1067="Cancelled",O1067="No-Show"),"",IF(N1067&lt;&gt;"",N1067,ROUND(R1067*SupHr*IFERROR(INDEX('PRICING'!$G$7:$G$16,MATCH(F1067,'PRICING'!$A$7:$A$16,0)),1),2))))</f>
        <v/>
      </c>
      <c r="Z1067" s="98">
        <f>IF(B1067="","",SUMIFS('MILEAGE'!$J$5:$J$1504,'MILEAGE'!$B$5:$B$1504,A1067))</f>
        <v/>
      </c>
      <c r="AA1067" s="55">
        <f>IF(B1067="","",ROUND(Z1067*MileRate,2))</f>
        <v/>
      </c>
      <c r="AB1067" s="55">
        <f>IF(B1067="","",SUMIFS('REVENUE'!$J$5:$J$1504,'REVENUE'!$B$5:$B$1504,A1067))</f>
        <v/>
      </c>
      <c r="AC1067" s="55">
        <f>IF(L1067="","",IF(OR(O1067="Cancelled",O1067="No-Show"),"",L1067-N(X1067)-N(Y1067)-AA1067-AB1067))</f>
        <v/>
      </c>
      <c r="AD1067" s="99">
        <f>IF(OR(AC1067="",N(L1067)=0),"",AC1067/L1067)</f>
        <v/>
      </c>
      <c r="AE1067" s="55">
        <f>IF(OR(AC1067="",N(R1067)=0),"",L1067/R1067)</f>
        <v/>
      </c>
      <c r="AF1067" s="100">
        <f>IF(OR(N(K1067)=0,N(J1067)+N(Q1067)=0),"",K1067-IF(N(J1067)&gt;0,J1067,Q1067))</f>
        <v/>
      </c>
      <c r="AG1067" s="99">
        <f>IF(B1067="","",IFERROR(AVERAGEIFS('QUALITY CONTROL'!$M$5:$M$304,'QUALITY CONTROL'!$B$5:$B$304,A1067),""))</f>
        <v/>
      </c>
      <c r="AH1067" s="51">
        <f>IF(B1067="","",DATE(YEAR(B1067),MONTH(B1067),1))</f>
        <v/>
      </c>
      <c r="AI1067" s="49">
        <f>IF(D1067="","",IFERROR(INDEX('CUSTOMERS'!$E$5:$E$404,MATCH(D1067,'CUSTOMERS'!$B$5:$B$404,0)),""))</f>
        <v/>
      </c>
      <c r="AJ1067" s="49">
        <f>IF(B1067="","",N(C1067))</f>
        <v/>
      </c>
      <c r="AK1067" s="49">
        <f>IF(OR(B1067="",O1067="Cancelled",O1067="Rescheduled"),"",B1067&amp;"|"&amp;(COUNTIFS('JOBS'!$B$5:$B$1504,B1067,'JOBS'!$AJ$5:$AJ$1504,"&lt;"&amp;AJ1067,'JOBS'!$O$5:$O$1504,"&lt;&gt;Cancelled",'JOBS'!$O$5:$O$1504,"&lt;&gt;Rescheduled")+COUNTIFS($B$5:B1067,B1067,$AJ$5:AJ1067,AJ1067,$O$5:O1067,"&lt;&gt;Cancelled",$O$5:O1067,"&lt;&gt;Rescheduled")))</f>
        <v/>
      </c>
      <c r="AL1067" s="49">
        <f>IF(N(U1067)&lt;=0.005,"",COUNTIFS('JOBS'!$U$5:$U$1504,"&gt;0.005",'JOBS'!$B$5:$B$1504,"&lt;"&amp;B1067)+COUNTIFS($U$5:U1067,"&gt;0.005",$B$5:B1067,B1067))</f>
        <v/>
      </c>
    </row>
    <row r="1068">
      <c r="A1068" s="46" t="inlineStr">
        <is>
          <t>J-1064</t>
        </is>
      </c>
      <c r="B1068" s="47" t="n"/>
      <c r="C1068" s="94" t="n"/>
      <c r="D1068" s="38" t="n"/>
      <c r="E1068" s="38" t="n"/>
      <c r="F1068" s="38" t="n"/>
      <c r="G1068" s="38" t="n"/>
      <c r="H1068" s="38" t="n"/>
      <c r="I1068" s="57" t="n"/>
      <c r="J1068" s="95" t="n"/>
      <c r="K1068" s="95" t="n"/>
      <c r="L1068" s="48" t="n"/>
      <c r="M1068" s="96" t="n"/>
      <c r="N1068" s="48" t="n"/>
      <c r="O1068" s="38" t="n"/>
      <c r="P1068" s="38" t="n"/>
      <c r="Q1068" s="97">
        <f>IF(OR(F1068="",E1068=""),"",IFERROR(IF(INDEX('PROPERTIES'!$F$5:$F$404,MATCH(E1068,'PROPERTIES'!$B$5:$B$404,0))=0,"",ROUND((INDEX('PROPERTIES'!$F$5:$F$404,MATCH(E1068,'PROPERTIES'!$B$5:$B$404,0))/INDEX('PRICING'!$C$7:$C$16,MATCH(F1068,'PRICING'!$A$7:$A$16,0))+INDEX('PROPERTIES'!$G$5:$G$404,MATCH(E1068,'PROPERTIES'!$B$5:$B$404,0))*INDEX('PRICING'!$D$7:$D$16,MATCH(F1068,'PRICING'!$A$7:$A$16,0))/60+INDEX('PROPERTIES'!$H$5:$H$404,MATCH(E1068,'PROPERTIES'!$B$5:$B$404,0))*INDEX('PRICING'!$E$7:$E$16,MATCH(F1068,'PRICING'!$A$7:$A$16,0))/60+INDEX('PRICING'!$F$7:$F$16,MATCH(F1068,'PRICING'!$A$7:$A$16,0))/60),2)),""))</f>
        <v/>
      </c>
      <c r="R1068" s="97">
        <f>IF(B1068="","",IF(N(K1068)&gt;0,K1068,IF(N(J1068)&gt;0,J1068,N(Q1068))))</f>
        <v/>
      </c>
      <c r="S1068" s="55">
        <f>IF(L1068="","",ROUND(L1068*(1+N(M1068)),2))</f>
        <v/>
      </c>
      <c r="T1068" s="55">
        <f>IF(B1068="","",SUMIFS('REVENUE'!$C$5:$C$1504,'REVENUE'!$B$5:$B$1504,A1068))</f>
        <v/>
      </c>
      <c r="U1068" s="55">
        <f>IF(B1068="","",IF(O1068="Completed",MAX(0,N(S1068)-T1068),""))</f>
        <v/>
      </c>
      <c r="V1068" s="49">
        <f>IF(B1068="","",IF(O1068&lt;&gt;"Completed",IF(T1068&gt;0,"Deposit","—"),IF(U1068&lt;=0.005,"Paid",IF(T1068&gt;0,"Partial","Unpaid"))))</f>
        <v/>
      </c>
      <c r="W1068" s="55">
        <f>IF(B1068="","",IFERROR(1/(1/INDEX('STAFF &amp; TASKS'!$C$5:$C$24,MATCH(H1068,'STAFF &amp; TASKS'!$A$5:$A$24,0))),PayRate))</f>
        <v/>
      </c>
      <c r="X1068" s="55">
        <f>IF(B1068="","",IF(OR(O1068="Cancelled",O1068="No-Show"),"",ROUND(R1068*W1068*(1+Burden),2)))</f>
        <v/>
      </c>
      <c r="Y1068" s="55">
        <f>IF(B1068="","",IF(OR(O1068="Cancelled",O1068="No-Show"),"",IF(N1068&lt;&gt;"",N1068,ROUND(R1068*SupHr*IFERROR(INDEX('PRICING'!$G$7:$G$16,MATCH(F1068,'PRICING'!$A$7:$A$16,0)),1),2))))</f>
        <v/>
      </c>
      <c r="Z1068" s="98">
        <f>IF(B1068="","",SUMIFS('MILEAGE'!$J$5:$J$1504,'MILEAGE'!$B$5:$B$1504,A1068))</f>
        <v/>
      </c>
      <c r="AA1068" s="55">
        <f>IF(B1068="","",ROUND(Z1068*MileRate,2))</f>
        <v/>
      </c>
      <c r="AB1068" s="55">
        <f>IF(B1068="","",SUMIFS('REVENUE'!$J$5:$J$1504,'REVENUE'!$B$5:$B$1504,A1068))</f>
        <v/>
      </c>
      <c r="AC1068" s="55">
        <f>IF(L1068="","",IF(OR(O1068="Cancelled",O1068="No-Show"),"",L1068-N(X1068)-N(Y1068)-AA1068-AB1068))</f>
        <v/>
      </c>
      <c r="AD1068" s="99">
        <f>IF(OR(AC1068="",N(L1068)=0),"",AC1068/L1068)</f>
        <v/>
      </c>
      <c r="AE1068" s="55">
        <f>IF(OR(AC1068="",N(R1068)=0),"",L1068/R1068)</f>
        <v/>
      </c>
      <c r="AF1068" s="100">
        <f>IF(OR(N(K1068)=0,N(J1068)+N(Q1068)=0),"",K1068-IF(N(J1068)&gt;0,J1068,Q1068))</f>
        <v/>
      </c>
      <c r="AG1068" s="99">
        <f>IF(B1068="","",IFERROR(AVERAGEIFS('QUALITY CONTROL'!$M$5:$M$304,'QUALITY CONTROL'!$B$5:$B$304,A1068),""))</f>
        <v/>
      </c>
      <c r="AH1068" s="51">
        <f>IF(B1068="","",DATE(YEAR(B1068),MONTH(B1068),1))</f>
        <v/>
      </c>
      <c r="AI1068" s="49">
        <f>IF(D1068="","",IFERROR(INDEX('CUSTOMERS'!$E$5:$E$404,MATCH(D1068,'CUSTOMERS'!$B$5:$B$404,0)),""))</f>
        <v/>
      </c>
      <c r="AJ1068" s="49">
        <f>IF(B1068="","",N(C1068))</f>
        <v/>
      </c>
      <c r="AK1068" s="49">
        <f>IF(OR(B1068="",O1068="Cancelled",O1068="Rescheduled"),"",B1068&amp;"|"&amp;(COUNTIFS('JOBS'!$B$5:$B$1504,B1068,'JOBS'!$AJ$5:$AJ$1504,"&lt;"&amp;AJ1068,'JOBS'!$O$5:$O$1504,"&lt;&gt;Cancelled",'JOBS'!$O$5:$O$1504,"&lt;&gt;Rescheduled")+COUNTIFS($B$5:B1068,B1068,$AJ$5:AJ1068,AJ1068,$O$5:O1068,"&lt;&gt;Cancelled",$O$5:O1068,"&lt;&gt;Rescheduled")))</f>
        <v/>
      </c>
      <c r="AL1068" s="49">
        <f>IF(N(U1068)&lt;=0.005,"",COUNTIFS('JOBS'!$U$5:$U$1504,"&gt;0.005",'JOBS'!$B$5:$B$1504,"&lt;"&amp;B1068)+COUNTIFS($U$5:U1068,"&gt;0.005",$B$5:B1068,B1068))</f>
        <v/>
      </c>
    </row>
    <row r="1069">
      <c r="A1069" s="46" t="inlineStr">
        <is>
          <t>J-1065</t>
        </is>
      </c>
      <c r="B1069" s="47" t="n"/>
      <c r="C1069" s="94" t="n"/>
      <c r="D1069" s="38" t="n"/>
      <c r="E1069" s="38" t="n"/>
      <c r="F1069" s="38" t="n"/>
      <c r="G1069" s="38" t="n"/>
      <c r="H1069" s="38" t="n"/>
      <c r="I1069" s="57" t="n"/>
      <c r="J1069" s="95" t="n"/>
      <c r="K1069" s="95" t="n"/>
      <c r="L1069" s="48" t="n"/>
      <c r="M1069" s="96" t="n"/>
      <c r="N1069" s="48" t="n"/>
      <c r="O1069" s="38" t="n"/>
      <c r="P1069" s="38" t="n"/>
      <c r="Q1069" s="97">
        <f>IF(OR(F1069="",E1069=""),"",IFERROR(IF(INDEX('PROPERTIES'!$F$5:$F$404,MATCH(E1069,'PROPERTIES'!$B$5:$B$404,0))=0,"",ROUND((INDEX('PROPERTIES'!$F$5:$F$404,MATCH(E1069,'PROPERTIES'!$B$5:$B$404,0))/INDEX('PRICING'!$C$7:$C$16,MATCH(F1069,'PRICING'!$A$7:$A$16,0))+INDEX('PROPERTIES'!$G$5:$G$404,MATCH(E1069,'PROPERTIES'!$B$5:$B$404,0))*INDEX('PRICING'!$D$7:$D$16,MATCH(F1069,'PRICING'!$A$7:$A$16,0))/60+INDEX('PROPERTIES'!$H$5:$H$404,MATCH(E1069,'PROPERTIES'!$B$5:$B$404,0))*INDEX('PRICING'!$E$7:$E$16,MATCH(F1069,'PRICING'!$A$7:$A$16,0))/60+INDEX('PRICING'!$F$7:$F$16,MATCH(F1069,'PRICING'!$A$7:$A$16,0))/60),2)),""))</f>
        <v/>
      </c>
      <c r="R1069" s="97">
        <f>IF(B1069="","",IF(N(K1069)&gt;0,K1069,IF(N(J1069)&gt;0,J1069,N(Q1069))))</f>
        <v/>
      </c>
      <c r="S1069" s="55">
        <f>IF(L1069="","",ROUND(L1069*(1+N(M1069)),2))</f>
        <v/>
      </c>
      <c r="T1069" s="55">
        <f>IF(B1069="","",SUMIFS('REVENUE'!$C$5:$C$1504,'REVENUE'!$B$5:$B$1504,A1069))</f>
        <v/>
      </c>
      <c r="U1069" s="55">
        <f>IF(B1069="","",IF(O1069="Completed",MAX(0,N(S1069)-T1069),""))</f>
        <v/>
      </c>
      <c r="V1069" s="49">
        <f>IF(B1069="","",IF(O1069&lt;&gt;"Completed",IF(T1069&gt;0,"Deposit","—"),IF(U1069&lt;=0.005,"Paid",IF(T1069&gt;0,"Partial","Unpaid"))))</f>
        <v/>
      </c>
      <c r="W1069" s="55">
        <f>IF(B1069="","",IFERROR(1/(1/INDEX('STAFF &amp; TASKS'!$C$5:$C$24,MATCH(H1069,'STAFF &amp; TASKS'!$A$5:$A$24,0))),PayRate))</f>
        <v/>
      </c>
      <c r="X1069" s="55">
        <f>IF(B1069="","",IF(OR(O1069="Cancelled",O1069="No-Show"),"",ROUND(R1069*W1069*(1+Burden),2)))</f>
        <v/>
      </c>
      <c r="Y1069" s="55">
        <f>IF(B1069="","",IF(OR(O1069="Cancelled",O1069="No-Show"),"",IF(N1069&lt;&gt;"",N1069,ROUND(R1069*SupHr*IFERROR(INDEX('PRICING'!$G$7:$G$16,MATCH(F1069,'PRICING'!$A$7:$A$16,0)),1),2))))</f>
        <v/>
      </c>
      <c r="Z1069" s="98">
        <f>IF(B1069="","",SUMIFS('MILEAGE'!$J$5:$J$1504,'MILEAGE'!$B$5:$B$1504,A1069))</f>
        <v/>
      </c>
      <c r="AA1069" s="55">
        <f>IF(B1069="","",ROUND(Z1069*MileRate,2))</f>
        <v/>
      </c>
      <c r="AB1069" s="55">
        <f>IF(B1069="","",SUMIFS('REVENUE'!$J$5:$J$1504,'REVENUE'!$B$5:$B$1504,A1069))</f>
        <v/>
      </c>
      <c r="AC1069" s="55">
        <f>IF(L1069="","",IF(OR(O1069="Cancelled",O1069="No-Show"),"",L1069-N(X1069)-N(Y1069)-AA1069-AB1069))</f>
        <v/>
      </c>
      <c r="AD1069" s="99">
        <f>IF(OR(AC1069="",N(L1069)=0),"",AC1069/L1069)</f>
        <v/>
      </c>
      <c r="AE1069" s="55">
        <f>IF(OR(AC1069="",N(R1069)=0),"",L1069/R1069)</f>
        <v/>
      </c>
      <c r="AF1069" s="100">
        <f>IF(OR(N(K1069)=0,N(J1069)+N(Q1069)=0),"",K1069-IF(N(J1069)&gt;0,J1069,Q1069))</f>
        <v/>
      </c>
      <c r="AG1069" s="99">
        <f>IF(B1069="","",IFERROR(AVERAGEIFS('QUALITY CONTROL'!$M$5:$M$304,'QUALITY CONTROL'!$B$5:$B$304,A1069),""))</f>
        <v/>
      </c>
      <c r="AH1069" s="51">
        <f>IF(B1069="","",DATE(YEAR(B1069),MONTH(B1069),1))</f>
        <v/>
      </c>
      <c r="AI1069" s="49">
        <f>IF(D1069="","",IFERROR(INDEX('CUSTOMERS'!$E$5:$E$404,MATCH(D1069,'CUSTOMERS'!$B$5:$B$404,0)),""))</f>
        <v/>
      </c>
      <c r="AJ1069" s="49">
        <f>IF(B1069="","",N(C1069))</f>
        <v/>
      </c>
      <c r="AK1069" s="49">
        <f>IF(OR(B1069="",O1069="Cancelled",O1069="Rescheduled"),"",B1069&amp;"|"&amp;(COUNTIFS('JOBS'!$B$5:$B$1504,B1069,'JOBS'!$AJ$5:$AJ$1504,"&lt;"&amp;AJ1069,'JOBS'!$O$5:$O$1504,"&lt;&gt;Cancelled",'JOBS'!$O$5:$O$1504,"&lt;&gt;Rescheduled")+COUNTIFS($B$5:B1069,B1069,$AJ$5:AJ1069,AJ1069,$O$5:O1069,"&lt;&gt;Cancelled",$O$5:O1069,"&lt;&gt;Rescheduled")))</f>
        <v/>
      </c>
      <c r="AL1069" s="49">
        <f>IF(N(U1069)&lt;=0.005,"",COUNTIFS('JOBS'!$U$5:$U$1504,"&gt;0.005",'JOBS'!$B$5:$B$1504,"&lt;"&amp;B1069)+COUNTIFS($U$5:U1069,"&gt;0.005",$B$5:B1069,B1069))</f>
        <v/>
      </c>
    </row>
    <row r="1070">
      <c r="A1070" s="46" t="inlineStr">
        <is>
          <t>J-1066</t>
        </is>
      </c>
      <c r="B1070" s="47" t="n"/>
      <c r="C1070" s="94" t="n"/>
      <c r="D1070" s="38" t="n"/>
      <c r="E1070" s="38" t="n"/>
      <c r="F1070" s="38" t="n"/>
      <c r="G1070" s="38" t="n"/>
      <c r="H1070" s="38" t="n"/>
      <c r="I1070" s="57" t="n"/>
      <c r="J1070" s="95" t="n"/>
      <c r="K1070" s="95" t="n"/>
      <c r="L1070" s="48" t="n"/>
      <c r="M1070" s="96" t="n"/>
      <c r="N1070" s="48" t="n"/>
      <c r="O1070" s="38" t="n"/>
      <c r="P1070" s="38" t="n"/>
      <c r="Q1070" s="97">
        <f>IF(OR(F1070="",E1070=""),"",IFERROR(IF(INDEX('PROPERTIES'!$F$5:$F$404,MATCH(E1070,'PROPERTIES'!$B$5:$B$404,0))=0,"",ROUND((INDEX('PROPERTIES'!$F$5:$F$404,MATCH(E1070,'PROPERTIES'!$B$5:$B$404,0))/INDEX('PRICING'!$C$7:$C$16,MATCH(F1070,'PRICING'!$A$7:$A$16,0))+INDEX('PROPERTIES'!$G$5:$G$404,MATCH(E1070,'PROPERTIES'!$B$5:$B$404,0))*INDEX('PRICING'!$D$7:$D$16,MATCH(F1070,'PRICING'!$A$7:$A$16,0))/60+INDEX('PROPERTIES'!$H$5:$H$404,MATCH(E1070,'PROPERTIES'!$B$5:$B$404,0))*INDEX('PRICING'!$E$7:$E$16,MATCH(F1070,'PRICING'!$A$7:$A$16,0))/60+INDEX('PRICING'!$F$7:$F$16,MATCH(F1070,'PRICING'!$A$7:$A$16,0))/60),2)),""))</f>
        <v/>
      </c>
      <c r="R1070" s="97">
        <f>IF(B1070="","",IF(N(K1070)&gt;0,K1070,IF(N(J1070)&gt;0,J1070,N(Q1070))))</f>
        <v/>
      </c>
      <c r="S1070" s="55">
        <f>IF(L1070="","",ROUND(L1070*(1+N(M1070)),2))</f>
        <v/>
      </c>
      <c r="T1070" s="55">
        <f>IF(B1070="","",SUMIFS('REVENUE'!$C$5:$C$1504,'REVENUE'!$B$5:$B$1504,A1070))</f>
        <v/>
      </c>
      <c r="U1070" s="55">
        <f>IF(B1070="","",IF(O1070="Completed",MAX(0,N(S1070)-T1070),""))</f>
        <v/>
      </c>
      <c r="V1070" s="49">
        <f>IF(B1070="","",IF(O1070&lt;&gt;"Completed",IF(T1070&gt;0,"Deposit","—"),IF(U1070&lt;=0.005,"Paid",IF(T1070&gt;0,"Partial","Unpaid"))))</f>
        <v/>
      </c>
      <c r="W1070" s="55">
        <f>IF(B1070="","",IFERROR(1/(1/INDEX('STAFF &amp; TASKS'!$C$5:$C$24,MATCH(H1070,'STAFF &amp; TASKS'!$A$5:$A$24,0))),PayRate))</f>
        <v/>
      </c>
      <c r="X1070" s="55">
        <f>IF(B1070="","",IF(OR(O1070="Cancelled",O1070="No-Show"),"",ROUND(R1070*W1070*(1+Burden),2)))</f>
        <v/>
      </c>
      <c r="Y1070" s="55">
        <f>IF(B1070="","",IF(OR(O1070="Cancelled",O1070="No-Show"),"",IF(N1070&lt;&gt;"",N1070,ROUND(R1070*SupHr*IFERROR(INDEX('PRICING'!$G$7:$G$16,MATCH(F1070,'PRICING'!$A$7:$A$16,0)),1),2))))</f>
        <v/>
      </c>
      <c r="Z1070" s="98">
        <f>IF(B1070="","",SUMIFS('MILEAGE'!$J$5:$J$1504,'MILEAGE'!$B$5:$B$1504,A1070))</f>
        <v/>
      </c>
      <c r="AA1070" s="55">
        <f>IF(B1070="","",ROUND(Z1070*MileRate,2))</f>
        <v/>
      </c>
      <c r="AB1070" s="55">
        <f>IF(B1070="","",SUMIFS('REVENUE'!$J$5:$J$1504,'REVENUE'!$B$5:$B$1504,A1070))</f>
        <v/>
      </c>
      <c r="AC1070" s="55">
        <f>IF(L1070="","",IF(OR(O1070="Cancelled",O1070="No-Show"),"",L1070-N(X1070)-N(Y1070)-AA1070-AB1070))</f>
        <v/>
      </c>
      <c r="AD1070" s="99">
        <f>IF(OR(AC1070="",N(L1070)=0),"",AC1070/L1070)</f>
        <v/>
      </c>
      <c r="AE1070" s="55">
        <f>IF(OR(AC1070="",N(R1070)=0),"",L1070/R1070)</f>
        <v/>
      </c>
      <c r="AF1070" s="100">
        <f>IF(OR(N(K1070)=0,N(J1070)+N(Q1070)=0),"",K1070-IF(N(J1070)&gt;0,J1070,Q1070))</f>
        <v/>
      </c>
      <c r="AG1070" s="99">
        <f>IF(B1070="","",IFERROR(AVERAGEIFS('QUALITY CONTROL'!$M$5:$M$304,'QUALITY CONTROL'!$B$5:$B$304,A1070),""))</f>
        <v/>
      </c>
      <c r="AH1070" s="51">
        <f>IF(B1070="","",DATE(YEAR(B1070),MONTH(B1070),1))</f>
        <v/>
      </c>
      <c r="AI1070" s="49">
        <f>IF(D1070="","",IFERROR(INDEX('CUSTOMERS'!$E$5:$E$404,MATCH(D1070,'CUSTOMERS'!$B$5:$B$404,0)),""))</f>
        <v/>
      </c>
      <c r="AJ1070" s="49">
        <f>IF(B1070="","",N(C1070))</f>
        <v/>
      </c>
      <c r="AK1070" s="49">
        <f>IF(OR(B1070="",O1070="Cancelled",O1070="Rescheduled"),"",B1070&amp;"|"&amp;(COUNTIFS('JOBS'!$B$5:$B$1504,B1070,'JOBS'!$AJ$5:$AJ$1504,"&lt;"&amp;AJ1070,'JOBS'!$O$5:$O$1504,"&lt;&gt;Cancelled",'JOBS'!$O$5:$O$1504,"&lt;&gt;Rescheduled")+COUNTIFS($B$5:B1070,B1070,$AJ$5:AJ1070,AJ1070,$O$5:O1070,"&lt;&gt;Cancelled",$O$5:O1070,"&lt;&gt;Rescheduled")))</f>
        <v/>
      </c>
      <c r="AL1070" s="49">
        <f>IF(N(U1070)&lt;=0.005,"",COUNTIFS('JOBS'!$U$5:$U$1504,"&gt;0.005",'JOBS'!$B$5:$B$1504,"&lt;"&amp;B1070)+COUNTIFS($U$5:U1070,"&gt;0.005",$B$5:B1070,B1070))</f>
        <v/>
      </c>
    </row>
    <row r="1071">
      <c r="A1071" s="46" t="inlineStr">
        <is>
          <t>J-1067</t>
        </is>
      </c>
      <c r="B1071" s="47" t="n"/>
      <c r="C1071" s="94" t="n"/>
      <c r="D1071" s="38" t="n"/>
      <c r="E1071" s="38" t="n"/>
      <c r="F1071" s="38" t="n"/>
      <c r="G1071" s="38" t="n"/>
      <c r="H1071" s="38" t="n"/>
      <c r="I1071" s="57" t="n"/>
      <c r="J1071" s="95" t="n"/>
      <c r="K1071" s="95" t="n"/>
      <c r="L1071" s="48" t="n"/>
      <c r="M1071" s="96" t="n"/>
      <c r="N1071" s="48" t="n"/>
      <c r="O1071" s="38" t="n"/>
      <c r="P1071" s="38" t="n"/>
      <c r="Q1071" s="97">
        <f>IF(OR(F1071="",E1071=""),"",IFERROR(IF(INDEX('PROPERTIES'!$F$5:$F$404,MATCH(E1071,'PROPERTIES'!$B$5:$B$404,0))=0,"",ROUND((INDEX('PROPERTIES'!$F$5:$F$404,MATCH(E1071,'PROPERTIES'!$B$5:$B$404,0))/INDEX('PRICING'!$C$7:$C$16,MATCH(F1071,'PRICING'!$A$7:$A$16,0))+INDEX('PROPERTIES'!$G$5:$G$404,MATCH(E1071,'PROPERTIES'!$B$5:$B$404,0))*INDEX('PRICING'!$D$7:$D$16,MATCH(F1071,'PRICING'!$A$7:$A$16,0))/60+INDEX('PROPERTIES'!$H$5:$H$404,MATCH(E1071,'PROPERTIES'!$B$5:$B$404,0))*INDEX('PRICING'!$E$7:$E$16,MATCH(F1071,'PRICING'!$A$7:$A$16,0))/60+INDEX('PRICING'!$F$7:$F$16,MATCH(F1071,'PRICING'!$A$7:$A$16,0))/60),2)),""))</f>
        <v/>
      </c>
      <c r="R1071" s="97">
        <f>IF(B1071="","",IF(N(K1071)&gt;0,K1071,IF(N(J1071)&gt;0,J1071,N(Q1071))))</f>
        <v/>
      </c>
      <c r="S1071" s="55">
        <f>IF(L1071="","",ROUND(L1071*(1+N(M1071)),2))</f>
        <v/>
      </c>
      <c r="T1071" s="55">
        <f>IF(B1071="","",SUMIFS('REVENUE'!$C$5:$C$1504,'REVENUE'!$B$5:$B$1504,A1071))</f>
        <v/>
      </c>
      <c r="U1071" s="55">
        <f>IF(B1071="","",IF(O1071="Completed",MAX(0,N(S1071)-T1071),""))</f>
        <v/>
      </c>
      <c r="V1071" s="49">
        <f>IF(B1071="","",IF(O1071&lt;&gt;"Completed",IF(T1071&gt;0,"Deposit","—"),IF(U1071&lt;=0.005,"Paid",IF(T1071&gt;0,"Partial","Unpaid"))))</f>
        <v/>
      </c>
      <c r="W1071" s="55">
        <f>IF(B1071="","",IFERROR(1/(1/INDEX('STAFF &amp; TASKS'!$C$5:$C$24,MATCH(H1071,'STAFF &amp; TASKS'!$A$5:$A$24,0))),PayRate))</f>
        <v/>
      </c>
      <c r="X1071" s="55">
        <f>IF(B1071="","",IF(OR(O1071="Cancelled",O1071="No-Show"),"",ROUND(R1071*W1071*(1+Burden),2)))</f>
        <v/>
      </c>
      <c r="Y1071" s="55">
        <f>IF(B1071="","",IF(OR(O1071="Cancelled",O1071="No-Show"),"",IF(N1071&lt;&gt;"",N1071,ROUND(R1071*SupHr*IFERROR(INDEX('PRICING'!$G$7:$G$16,MATCH(F1071,'PRICING'!$A$7:$A$16,0)),1),2))))</f>
        <v/>
      </c>
      <c r="Z1071" s="98">
        <f>IF(B1071="","",SUMIFS('MILEAGE'!$J$5:$J$1504,'MILEAGE'!$B$5:$B$1504,A1071))</f>
        <v/>
      </c>
      <c r="AA1071" s="55">
        <f>IF(B1071="","",ROUND(Z1071*MileRate,2))</f>
        <v/>
      </c>
      <c r="AB1071" s="55">
        <f>IF(B1071="","",SUMIFS('REVENUE'!$J$5:$J$1504,'REVENUE'!$B$5:$B$1504,A1071))</f>
        <v/>
      </c>
      <c r="AC1071" s="55">
        <f>IF(L1071="","",IF(OR(O1071="Cancelled",O1071="No-Show"),"",L1071-N(X1071)-N(Y1071)-AA1071-AB1071))</f>
        <v/>
      </c>
      <c r="AD1071" s="99">
        <f>IF(OR(AC1071="",N(L1071)=0),"",AC1071/L1071)</f>
        <v/>
      </c>
      <c r="AE1071" s="55">
        <f>IF(OR(AC1071="",N(R1071)=0),"",L1071/R1071)</f>
        <v/>
      </c>
      <c r="AF1071" s="100">
        <f>IF(OR(N(K1071)=0,N(J1071)+N(Q1071)=0),"",K1071-IF(N(J1071)&gt;0,J1071,Q1071))</f>
        <v/>
      </c>
      <c r="AG1071" s="99">
        <f>IF(B1071="","",IFERROR(AVERAGEIFS('QUALITY CONTROL'!$M$5:$M$304,'QUALITY CONTROL'!$B$5:$B$304,A1071),""))</f>
        <v/>
      </c>
      <c r="AH1071" s="51">
        <f>IF(B1071="","",DATE(YEAR(B1071),MONTH(B1071),1))</f>
        <v/>
      </c>
      <c r="AI1071" s="49">
        <f>IF(D1071="","",IFERROR(INDEX('CUSTOMERS'!$E$5:$E$404,MATCH(D1071,'CUSTOMERS'!$B$5:$B$404,0)),""))</f>
        <v/>
      </c>
      <c r="AJ1071" s="49">
        <f>IF(B1071="","",N(C1071))</f>
        <v/>
      </c>
      <c r="AK1071" s="49">
        <f>IF(OR(B1071="",O1071="Cancelled",O1071="Rescheduled"),"",B1071&amp;"|"&amp;(COUNTIFS('JOBS'!$B$5:$B$1504,B1071,'JOBS'!$AJ$5:$AJ$1504,"&lt;"&amp;AJ1071,'JOBS'!$O$5:$O$1504,"&lt;&gt;Cancelled",'JOBS'!$O$5:$O$1504,"&lt;&gt;Rescheduled")+COUNTIFS($B$5:B1071,B1071,$AJ$5:AJ1071,AJ1071,$O$5:O1071,"&lt;&gt;Cancelled",$O$5:O1071,"&lt;&gt;Rescheduled")))</f>
        <v/>
      </c>
      <c r="AL1071" s="49">
        <f>IF(N(U1071)&lt;=0.005,"",COUNTIFS('JOBS'!$U$5:$U$1504,"&gt;0.005",'JOBS'!$B$5:$B$1504,"&lt;"&amp;B1071)+COUNTIFS($U$5:U1071,"&gt;0.005",$B$5:B1071,B1071))</f>
        <v/>
      </c>
    </row>
    <row r="1072">
      <c r="A1072" s="46" t="inlineStr">
        <is>
          <t>J-1068</t>
        </is>
      </c>
      <c r="B1072" s="47" t="n"/>
      <c r="C1072" s="94" t="n"/>
      <c r="D1072" s="38" t="n"/>
      <c r="E1072" s="38" t="n"/>
      <c r="F1072" s="38" t="n"/>
      <c r="G1072" s="38" t="n"/>
      <c r="H1072" s="38" t="n"/>
      <c r="I1072" s="57" t="n"/>
      <c r="J1072" s="95" t="n"/>
      <c r="K1072" s="95" t="n"/>
      <c r="L1072" s="48" t="n"/>
      <c r="M1072" s="96" t="n"/>
      <c r="N1072" s="48" t="n"/>
      <c r="O1072" s="38" t="n"/>
      <c r="P1072" s="38" t="n"/>
      <c r="Q1072" s="97">
        <f>IF(OR(F1072="",E1072=""),"",IFERROR(IF(INDEX('PROPERTIES'!$F$5:$F$404,MATCH(E1072,'PROPERTIES'!$B$5:$B$404,0))=0,"",ROUND((INDEX('PROPERTIES'!$F$5:$F$404,MATCH(E1072,'PROPERTIES'!$B$5:$B$404,0))/INDEX('PRICING'!$C$7:$C$16,MATCH(F1072,'PRICING'!$A$7:$A$16,0))+INDEX('PROPERTIES'!$G$5:$G$404,MATCH(E1072,'PROPERTIES'!$B$5:$B$404,0))*INDEX('PRICING'!$D$7:$D$16,MATCH(F1072,'PRICING'!$A$7:$A$16,0))/60+INDEX('PROPERTIES'!$H$5:$H$404,MATCH(E1072,'PROPERTIES'!$B$5:$B$404,0))*INDEX('PRICING'!$E$7:$E$16,MATCH(F1072,'PRICING'!$A$7:$A$16,0))/60+INDEX('PRICING'!$F$7:$F$16,MATCH(F1072,'PRICING'!$A$7:$A$16,0))/60),2)),""))</f>
        <v/>
      </c>
      <c r="R1072" s="97">
        <f>IF(B1072="","",IF(N(K1072)&gt;0,K1072,IF(N(J1072)&gt;0,J1072,N(Q1072))))</f>
        <v/>
      </c>
      <c r="S1072" s="55">
        <f>IF(L1072="","",ROUND(L1072*(1+N(M1072)),2))</f>
        <v/>
      </c>
      <c r="T1072" s="55">
        <f>IF(B1072="","",SUMIFS('REVENUE'!$C$5:$C$1504,'REVENUE'!$B$5:$B$1504,A1072))</f>
        <v/>
      </c>
      <c r="U1072" s="55">
        <f>IF(B1072="","",IF(O1072="Completed",MAX(0,N(S1072)-T1072),""))</f>
        <v/>
      </c>
      <c r="V1072" s="49">
        <f>IF(B1072="","",IF(O1072&lt;&gt;"Completed",IF(T1072&gt;0,"Deposit","—"),IF(U1072&lt;=0.005,"Paid",IF(T1072&gt;0,"Partial","Unpaid"))))</f>
        <v/>
      </c>
      <c r="W1072" s="55">
        <f>IF(B1072="","",IFERROR(1/(1/INDEX('STAFF &amp; TASKS'!$C$5:$C$24,MATCH(H1072,'STAFF &amp; TASKS'!$A$5:$A$24,0))),PayRate))</f>
        <v/>
      </c>
      <c r="X1072" s="55">
        <f>IF(B1072="","",IF(OR(O1072="Cancelled",O1072="No-Show"),"",ROUND(R1072*W1072*(1+Burden),2)))</f>
        <v/>
      </c>
      <c r="Y1072" s="55">
        <f>IF(B1072="","",IF(OR(O1072="Cancelled",O1072="No-Show"),"",IF(N1072&lt;&gt;"",N1072,ROUND(R1072*SupHr*IFERROR(INDEX('PRICING'!$G$7:$G$16,MATCH(F1072,'PRICING'!$A$7:$A$16,0)),1),2))))</f>
        <v/>
      </c>
      <c r="Z1072" s="98">
        <f>IF(B1072="","",SUMIFS('MILEAGE'!$J$5:$J$1504,'MILEAGE'!$B$5:$B$1504,A1072))</f>
        <v/>
      </c>
      <c r="AA1072" s="55">
        <f>IF(B1072="","",ROUND(Z1072*MileRate,2))</f>
        <v/>
      </c>
      <c r="AB1072" s="55">
        <f>IF(B1072="","",SUMIFS('REVENUE'!$J$5:$J$1504,'REVENUE'!$B$5:$B$1504,A1072))</f>
        <v/>
      </c>
      <c r="AC1072" s="55">
        <f>IF(L1072="","",IF(OR(O1072="Cancelled",O1072="No-Show"),"",L1072-N(X1072)-N(Y1072)-AA1072-AB1072))</f>
        <v/>
      </c>
      <c r="AD1072" s="99">
        <f>IF(OR(AC1072="",N(L1072)=0),"",AC1072/L1072)</f>
        <v/>
      </c>
      <c r="AE1072" s="55">
        <f>IF(OR(AC1072="",N(R1072)=0),"",L1072/R1072)</f>
        <v/>
      </c>
      <c r="AF1072" s="100">
        <f>IF(OR(N(K1072)=0,N(J1072)+N(Q1072)=0),"",K1072-IF(N(J1072)&gt;0,J1072,Q1072))</f>
        <v/>
      </c>
      <c r="AG1072" s="99">
        <f>IF(B1072="","",IFERROR(AVERAGEIFS('QUALITY CONTROL'!$M$5:$M$304,'QUALITY CONTROL'!$B$5:$B$304,A1072),""))</f>
        <v/>
      </c>
      <c r="AH1072" s="51">
        <f>IF(B1072="","",DATE(YEAR(B1072),MONTH(B1072),1))</f>
        <v/>
      </c>
      <c r="AI1072" s="49">
        <f>IF(D1072="","",IFERROR(INDEX('CUSTOMERS'!$E$5:$E$404,MATCH(D1072,'CUSTOMERS'!$B$5:$B$404,0)),""))</f>
        <v/>
      </c>
      <c r="AJ1072" s="49">
        <f>IF(B1072="","",N(C1072))</f>
        <v/>
      </c>
      <c r="AK1072" s="49">
        <f>IF(OR(B1072="",O1072="Cancelled",O1072="Rescheduled"),"",B1072&amp;"|"&amp;(COUNTIFS('JOBS'!$B$5:$B$1504,B1072,'JOBS'!$AJ$5:$AJ$1504,"&lt;"&amp;AJ1072,'JOBS'!$O$5:$O$1504,"&lt;&gt;Cancelled",'JOBS'!$O$5:$O$1504,"&lt;&gt;Rescheduled")+COUNTIFS($B$5:B1072,B1072,$AJ$5:AJ1072,AJ1072,$O$5:O1072,"&lt;&gt;Cancelled",$O$5:O1072,"&lt;&gt;Rescheduled")))</f>
        <v/>
      </c>
      <c r="AL1072" s="49">
        <f>IF(N(U1072)&lt;=0.005,"",COUNTIFS('JOBS'!$U$5:$U$1504,"&gt;0.005",'JOBS'!$B$5:$B$1504,"&lt;"&amp;B1072)+COUNTIFS($U$5:U1072,"&gt;0.005",$B$5:B1072,B1072))</f>
        <v/>
      </c>
    </row>
    <row r="1073">
      <c r="A1073" s="46" t="inlineStr">
        <is>
          <t>J-1069</t>
        </is>
      </c>
      <c r="B1073" s="47" t="n"/>
      <c r="C1073" s="94" t="n"/>
      <c r="D1073" s="38" t="n"/>
      <c r="E1073" s="38" t="n"/>
      <c r="F1073" s="38" t="n"/>
      <c r="G1073" s="38" t="n"/>
      <c r="H1073" s="38" t="n"/>
      <c r="I1073" s="57" t="n"/>
      <c r="J1073" s="95" t="n"/>
      <c r="K1073" s="95" t="n"/>
      <c r="L1073" s="48" t="n"/>
      <c r="M1073" s="96" t="n"/>
      <c r="N1073" s="48" t="n"/>
      <c r="O1073" s="38" t="n"/>
      <c r="P1073" s="38" t="n"/>
      <c r="Q1073" s="97">
        <f>IF(OR(F1073="",E1073=""),"",IFERROR(IF(INDEX('PROPERTIES'!$F$5:$F$404,MATCH(E1073,'PROPERTIES'!$B$5:$B$404,0))=0,"",ROUND((INDEX('PROPERTIES'!$F$5:$F$404,MATCH(E1073,'PROPERTIES'!$B$5:$B$404,0))/INDEX('PRICING'!$C$7:$C$16,MATCH(F1073,'PRICING'!$A$7:$A$16,0))+INDEX('PROPERTIES'!$G$5:$G$404,MATCH(E1073,'PROPERTIES'!$B$5:$B$404,0))*INDEX('PRICING'!$D$7:$D$16,MATCH(F1073,'PRICING'!$A$7:$A$16,0))/60+INDEX('PROPERTIES'!$H$5:$H$404,MATCH(E1073,'PROPERTIES'!$B$5:$B$404,0))*INDEX('PRICING'!$E$7:$E$16,MATCH(F1073,'PRICING'!$A$7:$A$16,0))/60+INDEX('PRICING'!$F$7:$F$16,MATCH(F1073,'PRICING'!$A$7:$A$16,0))/60),2)),""))</f>
        <v/>
      </c>
      <c r="R1073" s="97">
        <f>IF(B1073="","",IF(N(K1073)&gt;0,K1073,IF(N(J1073)&gt;0,J1073,N(Q1073))))</f>
        <v/>
      </c>
      <c r="S1073" s="55">
        <f>IF(L1073="","",ROUND(L1073*(1+N(M1073)),2))</f>
        <v/>
      </c>
      <c r="T1073" s="55">
        <f>IF(B1073="","",SUMIFS('REVENUE'!$C$5:$C$1504,'REVENUE'!$B$5:$B$1504,A1073))</f>
        <v/>
      </c>
      <c r="U1073" s="55">
        <f>IF(B1073="","",IF(O1073="Completed",MAX(0,N(S1073)-T1073),""))</f>
        <v/>
      </c>
      <c r="V1073" s="49">
        <f>IF(B1073="","",IF(O1073&lt;&gt;"Completed",IF(T1073&gt;0,"Deposit","—"),IF(U1073&lt;=0.005,"Paid",IF(T1073&gt;0,"Partial","Unpaid"))))</f>
        <v/>
      </c>
      <c r="W1073" s="55">
        <f>IF(B1073="","",IFERROR(1/(1/INDEX('STAFF &amp; TASKS'!$C$5:$C$24,MATCH(H1073,'STAFF &amp; TASKS'!$A$5:$A$24,0))),PayRate))</f>
        <v/>
      </c>
      <c r="X1073" s="55">
        <f>IF(B1073="","",IF(OR(O1073="Cancelled",O1073="No-Show"),"",ROUND(R1073*W1073*(1+Burden),2)))</f>
        <v/>
      </c>
      <c r="Y1073" s="55">
        <f>IF(B1073="","",IF(OR(O1073="Cancelled",O1073="No-Show"),"",IF(N1073&lt;&gt;"",N1073,ROUND(R1073*SupHr*IFERROR(INDEX('PRICING'!$G$7:$G$16,MATCH(F1073,'PRICING'!$A$7:$A$16,0)),1),2))))</f>
        <v/>
      </c>
      <c r="Z1073" s="98">
        <f>IF(B1073="","",SUMIFS('MILEAGE'!$J$5:$J$1504,'MILEAGE'!$B$5:$B$1504,A1073))</f>
        <v/>
      </c>
      <c r="AA1073" s="55">
        <f>IF(B1073="","",ROUND(Z1073*MileRate,2))</f>
        <v/>
      </c>
      <c r="AB1073" s="55">
        <f>IF(B1073="","",SUMIFS('REVENUE'!$J$5:$J$1504,'REVENUE'!$B$5:$B$1504,A1073))</f>
        <v/>
      </c>
      <c r="AC1073" s="55">
        <f>IF(L1073="","",IF(OR(O1073="Cancelled",O1073="No-Show"),"",L1073-N(X1073)-N(Y1073)-AA1073-AB1073))</f>
        <v/>
      </c>
      <c r="AD1073" s="99">
        <f>IF(OR(AC1073="",N(L1073)=0),"",AC1073/L1073)</f>
        <v/>
      </c>
      <c r="AE1073" s="55">
        <f>IF(OR(AC1073="",N(R1073)=0),"",L1073/R1073)</f>
        <v/>
      </c>
      <c r="AF1073" s="100">
        <f>IF(OR(N(K1073)=0,N(J1073)+N(Q1073)=0),"",K1073-IF(N(J1073)&gt;0,J1073,Q1073))</f>
        <v/>
      </c>
      <c r="AG1073" s="99">
        <f>IF(B1073="","",IFERROR(AVERAGEIFS('QUALITY CONTROL'!$M$5:$M$304,'QUALITY CONTROL'!$B$5:$B$304,A1073),""))</f>
        <v/>
      </c>
      <c r="AH1073" s="51">
        <f>IF(B1073="","",DATE(YEAR(B1073),MONTH(B1073),1))</f>
        <v/>
      </c>
      <c r="AI1073" s="49">
        <f>IF(D1073="","",IFERROR(INDEX('CUSTOMERS'!$E$5:$E$404,MATCH(D1073,'CUSTOMERS'!$B$5:$B$404,0)),""))</f>
        <v/>
      </c>
      <c r="AJ1073" s="49">
        <f>IF(B1073="","",N(C1073))</f>
        <v/>
      </c>
      <c r="AK1073" s="49">
        <f>IF(OR(B1073="",O1073="Cancelled",O1073="Rescheduled"),"",B1073&amp;"|"&amp;(COUNTIFS('JOBS'!$B$5:$B$1504,B1073,'JOBS'!$AJ$5:$AJ$1504,"&lt;"&amp;AJ1073,'JOBS'!$O$5:$O$1504,"&lt;&gt;Cancelled",'JOBS'!$O$5:$O$1504,"&lt;&gt;Rescheduled")+COUNTIFS($B$5:B1073,B1073,$AJ$5:AJ1073,AJ1073,$O$5:O1073,"&lt;&gt;Cancelled",$O$5:O1073,"&lt;&gt;Rescheduled")))</f>
        <v/>
      </c>
      <c r="AL1073" s="49">
        <f>IF(N(U1073)&lt;=0.005,"",COUNTIFS('JOBS'!$U$5:$U$1504,"&gt;0.005",'JOBS'!$B$5:$B$1504,"&lt;"&amp;B1073)+COUNTIFS($U$5:U1073,"&gt;0.005",$B$5:B1073,B1073))</f>
        <v/>
      </c>
    </row>
    <row r="1074">
      <c r="A1074" s="46" t="inlineStr">
        <is>
          <t>J-1070</t>
        </is>
      </c>
      <c r="B1074" s="47" t="n"/>
      <c r="C1074" s="94" t="n"/>
      <c r="D1074" s="38" t="n"/>
      <c r="E1074" s="38" t="n"/>
      <c r="F1074" s="38" t="n"/>
      <c r="G1074" s="38" t="n"/>
      <c r="H1074" s="38" t="n"/>
      <c r="I1074" s="57" t="n"/>
      <c r="J1074" s="95" t="n"/>
      <c r="K1074" s="95" t="n"/>
      <c r="L1074" s="48" t="n"/>
      <c r="M1074" s="96" t="n"/>
      <c r="N1074" s="48" t="n"/>
      <c r="O1074" s="38" t="n"/>
      <c r="P1074" s="38" t="n"/>
      <c r="Q1074" s="97">
        <f>IF(OR(F1074="",E1074=""),"",IFERROR(IF(INDEX('PROPERTIES'!$F$5:$F$404,MATCH(E1074,'PROPERTIES'!$B$5:$B$404,0))=0,"",ROUND((INDEX('PROPERTIES'!$F$5:$F$404,MATCH(E1074,'PROPERTIES'!$B$5:$B$404,0))/INDEX('PRICING'!$C$7:$C$16,MATCH(F1074,'PRICING'!$A$7:$A$16,0))+INDEX('PROPERTIES'!$G$5:$G$404,MATCH(E1074,'PROPERTIES'!$B$5:$B$404,0))*INDEX('PRICING'!$D$7:$D$16,MATCH(F1074,'PRICING'!$A$7:$A$16,0))/60+INDEX('PROPERTIES'!$H$5:$H$404,MATCH(E1074,'PROPERTIES'!$B$5:$B$404,0))*INDEX('PRICING'!$E$7:$E$16,MATCH(F1074,'PRICING'!$A$7:$A$16,0))/60+INDEX('PRICING'!$F$7:$F$16,MATCH(F1074,'PRICING'!$A$7:$A$16,0))/60),2)),""))</f>
        <v/>
      </c>
      <c r="R1074" s="97">
        <f>IF(B1074="","",IF(N(K1074)&gt;0,K1074,IF(N(J1074)&gt;0,J1074,N(Q1074))))</f>
        <v/>
      </c>
      <c r="S1074" s="55">
        <f>IF(L1074="","",ROUND(L1074*(1+N(M1074)),2))</f>
        <v/>
      </c>
      <c r="T1074" s="55">
        <f>IF(B1074="","",SUMIFS('REVENUE'!$C$5:$C$1504,'REVENUE'!$B$5:$B$1504,A1074))</f>
        <v/>
      </c>
      <c r="U1074" s="55">
        <f>IF(B1074="","",IF(O1074="Completed",MAX(0,N(S1074)-T1074),""))</f>
        <v/>
      </c>
      <c r="V1074" s="49">
        <f>IF(B1074="","",IF(O1074&lt;&gt;"Completed",IF(T1074&gt;0,"Deposit","—"),IF(U1074&lt;=0.005,"Paid",IF(T1074&gt;0,"Partial","Unpaid"))))</f>
        <v/>
      </c>
      <c r="W1074" s="55">
        <f>IF(B1074="","",IFERROR(1/(1/INDEX('STAFF &amp; TASKS'!$C$5:$C$24,MATCH(H1074,'STAFF &amp; TASKS'!$A$5:$A$24,0))),PayRate))</f>
        <v/>
      </c>
      <c r="X1074" s="55">
        <f>IF(B1074="","",IF(OR(O1074="Cancelled",O1074="No-Show"),"",ROUND(R1074*W1074*(1+Burden),2)))</f>
        <v/>
      </c>
      <c r="Y1074" s="55">
        <f>IF(B1074="","",IF(OR(O1074="Cancelled",O1074="No-Show"),"",IF(N1074&lt;&gt;"",N1074,ROUND(R1074*SupHr*IFERROR(INDEX('PRICING'!$G$7:$G$16,MATCH(F1074,'PRICING'!$A$7:$A$16,0)),1),2))))</f>
        <v/>
      </c>
      <c r="Z1074" s="98">
        <f>IF(B1074="","",SUMIFS('MILEAGE'!$J$5:$J$1504,'MILEAGE'!$B$5:$B$1504,A1074))</f>
        <v/>
      </c>
      <c r="AA1074" s="55">
        <f>IF(B1074="","",ROUND(Z1074*MileRate,2))</f>
        <v/>
      </c>
      <c r="AB1074" s="55">
        <f>IF(B1074="","",SUMIFS('REVENUE'!$J$5:$J$1504,'REVENUE'!$B$5:$B$1504,A1074))</f>
        <v/>
      </c>
      <c r="AC1074" s="55">
        <f>IF(L1074="","",IF(OR(O1074="Cancelled",O1074="No-Show"),"",L1074-N(X1074)-N(Y1074)-AA1074-AB1074))</f>
        <v/>
      </c>
      <c r="AD1074" s="99">
        <f>IF(OR(AC1074="",N(L1074)=0),"",AC1074/L1074)</f>
        <v/>
      </c>
      <c r="AE1074" s="55">
        <f>IF(OR(AC1074="",N(R1074)=0),"",L1074/R1074)</f>
        <v/>
      </c>
      <c r="AF1074" s="100">
        <f>IF(OR(N(K1074)=0,N(J1074)+N(Q1074)=0),"",K1074-IF(N(J1074)&gt;0,J1074,Q1074))</f>
        <v/>
      </c>
      <c r="AG1074" s="99">
        <f>IF(B1074="","",IFERROR(AVERAGEIFS('QUALITY CONTROL'!$M$5:$M$304,'QUALITY CONTROL'!$B$5:$B$304,A1074),""))</f>
        <v/>
      </c>
      <c r="AH1074" s="51">
        <f>IF(B1074="","",DATE(YEAR(B1074),MONTH(B1074),1))</f>
        <v/>
      </c>
      <c r="AI1074" s="49">
        <f>IF(D1074="","",IFERROR(INDEX('CUSTOMERS'!$E$5:$E$404,MATCH(D1074,'CUSTOMERS'!$B$5:$B$404,0)),""))</f>
        <v/>
      </c>
      <c r="AJ1074" s="49">
        <f>IF(B1074="","",N(C1074))</f>
        <v/>
      </c>
      <c r="AK1074" s="49">
        <f>IF(OR(B1074="",O1074="Cancelled",O1074="Rescheduled"),"",B1074&amp;"|"&amp;(COUNTIFS('JOBS'!$B$5:$B$1504,B1074,'JOBS'!$AJ$5:$AJ$1504,"&lt;"&amp;AJ1074,'JOBS'!$O$5:$O$1504,"&lt;&gt;Cancelled",'JOBS'!$O$5:$O$1504,"&lt;&gt;Rescheduled")+COUNTIFS($B$5:B1074,B1074,$AJ$5:AJ1074,AJ1074,$O$5:O1074,"&lt;&gt;Cancelled",$O$5:O1074,"&lt;&gt;Rescheduled")))</f>
        <v/>
      </c>
      <c r="AL1074" s="49">
        <f>IF(N(U1074)&lt;=0.005,"",COUNTIFS('JOBS'!$U$5:$U$1504,"&gt;0.005",'JOBS'!$B$5:$B$1504,"&lt;"&amp;B1074)+COUNTIFS($U$5:U1074,"&gt;0.005",$B$5:B1074,B1074))</f>
        <v/>
      </c>
    </row>
    <row r="1075">
      <c r="A1075" s="46" t="inlineStr">
        <is>
          <t>J-1071</t>
        </is>
      </c>
      <c r="B1075" s="47" t="n"/>
      <c r="C1075" s="94" t="n"/>
      <c r="D1075" s="38" t="n"/>
      <c r="E1075" s="38" t="n"/>
      <c r="F1075" s="38" t="n"/>
      <c r="G1075" s="38" t="n"/>
      <c r="H1075" s="38" t="n"/>
      <c r="I1075" s="57" t="n"/>
      <c r="J1075" s="95" t="n"/>
      <c r="K1075" s="95" t="n"/>
      <c r="L1075" s="48" t="n"/>
      <c r="M1075" s="96" t="n"/>
      <c r="N1075" s="48" t="n"/>
      <c r="O1075" s="38" t="n"/>
      <c r="P1075" s="38" t="n"/>
      <c r="Q1075" s="97">
        <f>IF(OR(F1075="",E1075=""),"",IFERROR(IF(INDEX('PROPERTIES'!$F$5:$F$404,MATCH(E1075,'PROPERTIES'!$B$5:$B$404,0))=0,"",ROUND((INDEX('PROPERTIES'!$F$5:$F$404,MATCH(E1075,'PROPERTIES'!$B$5:$B$404,0))/INDEX('PRICING'!$C$7:$C$16,MATCH(F1075,'PRICING'!$A$7:$A$16,0))+INDEX('PROPERTIES'!$G$5:$G$404,MATCH(E1075,'PROPERTIES'!$B$5:$B$404,0))*INDEX('PRICING'!$D$7:$D$16,MATCH(F1075,'PRICING'!$A$7:$A$16,0))/60+INDEX('PROPERTIES'!$H$5:$H$404,MATCH(E1075,'PROPERTIES'!$B$5:$B$404,0))*INDEX('PRICING'!$E$7:$E$16,MATCH(F1075,'PRICING'!$A$7:$A$16,0))/60+INDEX('PRICING'!$F$7:$F$16,MATCH(F1075,'PRICING'!$A$7:$A$16,0))/60),2)),""))</f>
        <v/>
      </c>
      <c r="R1075" s="97">
        <f>IF(B1075="","",IF(N(K1075)&gt;0,K1075,IF(N(J1075)&gt;0,J1075,N(Q1075))))</f>
        <v/>
      </c>
      <c r="S1075" s="55">
        <f>IF(L1075="","",ROUND(L1075*(1+N(M1075)),2))</f>
        <v/>
      </c>
      <c r="T1075" s="55">
        <f>IF(B1075="","",SUMIFS('REVENUE'!$C$5:$C$1504,'REVENUE'!$B$5:$B$1504,A1075))</f>
        <v/>
      </c>
      <c r="U1075" s="55">
        <f>IF(B1075="","",IF(O1075="Completed",MAX(0,N(S1075)-T1075),""))</f>
        <v/>
      </c>
      <c r="V1075" s="49">
        <f>IF(B1075="","",IF(O1075&lt;&gt;"Completed",IF(T1075&gt;0,"Deposit","—"),IF(U1075&lt;=0.005,"Paid",IF(T1075&gt;0,"Partial","Unpaid"))))</f>
        <v/>
      </c>
      <c r="W1075" s="55">
        <f>IF(B1075="","",IFERROR(1/(1/INDEX('STAFF &amp; TASKS'!$C$5:$C$24,MATCH(H1075,'STAFF &amp; TASKS'!$A$5:$A$24,0))),PayRate))</f>
        <v/>
      </c>
      <c r="X1075" s="55">
        <f>IF(B1075="","",IF(OR(O1075="Cancelled",O1075="No-Show"),"",ROUND(R1075*W1075*(1+Burden),2)))</f>
        <v/>
      </c>
      <c r="Y1075" s="55">
        <f>IF(B1075="","",IF(OR(O1075="Cancelled",O1075="No-Show"),"",IF(N1075&lt;&gt;"",N1075,ROUND(R1075*SupHr*IFERROR(INDEX('PRICING'!$G$7:$G$16,MATCH(F1075,'PRICING'!$A$7:$A$16,0)),1),2))))</f>
        <v/>
      </c>
      <c r="Z1075" s="98">
        <f>IF(B1075="","",SUMIFS('MILEAGE'!$J$5:$J$1504,'MILEAGE'!$B$5:$B$1504,A1075))</f>
        <v/>
      </c>
      <c r="AA1075" s="55">
        <f>IF(B1075="","",ROUND(Z1075*MileRate,2))</f>
        <v/>
      </c>
      <c r="AB1075" s="55">
        <f>IF(B1075="","",SUMIFS('REVENUE'!$J$5:$J$1504,'REVENUE'!$B$5:$B$1504,A1075))</f>
        <v/>
      </c>
      <c r="AC1075" s="55">
        <f>IF(L1075="","",IF(OR(O1075="Cancelled",O1075="No-Show"),"",L1075-N(X1075)-N(Y1075)-AA1075-AB1075))</f>
        <v/>
      </c>
      <c r="AD1075" s="99">
        <f>IF(OR(AC1075="",N(L1075)=0),"",AC1075/L1075)</f>
        <v/>
      </c>
      <c r="AE1075" s="55">
        <f>IF(OR(AC1075="",N(R1075)=0),"",L1075/R1075)</f>
        <v/>
      </c>
      <c r="AF1075" s="100">
        <f>IF(OR(N(K1075)=0,N(J1075)+N(Q1075)=0),"",K1075-IF(N(J1075)&gt;0,J1075,Q1075))</f>
        <v/>
      </c>
      <c r="AG1075" s="99">
        <f>IF(B1075="","",IFERROR(AVERAGEIFS('QUALITY CONTROL'!$M$5:$M$304,'QUALITY CONTROL'!$B$5:$B$304,A1075),""))</f>
        <v/>
      </c>
      <c r="AH1075" s="51">
        <f>IF(B1075="","",DATE(YEAR(B1075),MONTH(B1075),1))</f>
        <v/>
      </c>
      <c r="AI1075" s="49">
        <f>IF(D1075="","",IFERROR(INDEX('CUSTOMERS'!$E$5:$E$404,MATCH(D1075,'CUSTOMERS'!$B$5:$B$404,0)),""))</f>
        <v/>
      </c>
      <c r="AJ1075" s="49">
        <f>IF(B1075="","",N(C1075))</f>
        <v/>
      </c>
      <c r="AK1075" s="49">
        <f>IF(OR(B1075="",O1075="Cancelled",O1075="Rescheduled"),"",B1075&amp;"|"&amp;(COUNTIFS('JOBS'!$B$5:$B$1504,B1075,'JOBS'!$AJ$5:$AJ$1504,"&lt;"&amp;AJ1075,'JOBS'!$O$5:$O$1504,"&lt;&gt;Cancelled",'JOBS'!$O$5:$O$1504,"&lt;&gt;Rescheduled")+COUNTIFS($B$5:B1075,B1075,$AJ$5:AJ1075,AJ1075,$O$5:O1075,"&lt;&gt;Cancelled",$O$5:O1075,"&lt;&gt;Rescheduled")))</f>
        <v/>
      </c>
      <c r="AL1075" s="49">
        <f>IF(N(U1075)&lt;=0.005,"",COUNTIFS('JOBS'!$U$5:$U$1504,"&gt;0.005",'JOBS'!$B$5:$B$1504,"&lt;"&amp;B1075)+COUNTIFS($U$5:U1075,"&gt;0.005",$B$5:B1075,B1075))</f>
        <v/>
      </c>
    </row>
    <row r="1076">
      <c r="A1076" s="46" t="inlineStr">
        <is>
          <t>J-1072</t>
        </is>
      </c>
      <c r="B1076" s="47" t="n"/>
      <c r="C1076" s="94" t="n"/>
      <c r="D1076" s="38" t="n"/>
      <c r="E1076" s="38" t="n"/>
      <c r="F1076" s="38" t="n"/>
      <c r="G1076" s="38" t="n"/>
      <c r="H1076" s="38" t="n"/>
      <c r="I1076" s="57" t="n"/>
      <c r="J1076" s="95" t="n"/>
      <c r="K1076" s="95" t="n"/>
      <c r="L1076" s="48" t="n"/>
      <c r="M1076" s="96" t="n"/>
      <c r="N1076" s="48" t="n"/>
      <c r="O1076" s="38" t="n"/>
      <c r="P1076" s="38" t="n"/>
      <c r="Q1076" s="97">
        <f>IF(OR(F1076="",E1076=""),"",IFERROR(IF(INDEX('PROPERTIES'!$F$5:$F$404,MATCH(E1076,'PROPERTIES'!$B$5:$B$404,0))=0,"",ROUND((INDEX('PROPERTIES'!$F$5:$F$404,MATCH(E1076,'PROPERTIES'!$B$5:$B$404,0))/INDEX('PRICING'!$C$7:$C$16,MATCH(F1076,'PRICING'!$A$7:$A$16,0))+INDEX('PROPERTIES'!$G$5:$G$404,MATCH(E1076,'PROPERTIES'!$B$5:$B$404,0))*INDEX('PRICING'!$D$7:$D$16,MATCH(F1076,'PRICING'!$A$7:$A$16,0))/60+INDEX('PROPERTIES'!$H$5:$H$404,MATCH(E1076,'PROPERTIES'!$B$5:$B$404,0))*INDEX('PRICING'!$E$7:$E$16,MATCH(F1076,'PRICING'!$A$7:$A$16,0))/60+INDEX('PRICING'!$F$7:$F$16,MATCH(F1076,'PRICING'!$A$7:$A$16,0))/60),2)),""))</f>
        <v/>
      </c>
      <c r="R1076" s="97">
        <f>IF(B1076="","",IF(N(K1076)&gt;0,K1076,IF(N(J1076)&gt;0,J1076,N(Q1076))))</f>
        <v/>
      </c>
      <c r="S1076" s="55">
        <f>IF(L1076="","",ROUND(L1076*(1+N(M1076)),2))</f>
        <v/>
      </c>
      <c r="T1076" s="55">
        <f>IF(B1076="","",SUMIFS('REVENUE'!$C$5:$C$1504,'REVENUE'!$B$5:$B$1504,A1076))</f>
        <v/>
      </c>
      <c r="U1076" s="55">
        <f>IF(B1076="","",IF(O1076="Completed",MAX(0,N(S1076)-T1076),""))</f>
        <v/>
      </c>
      <c r="V1076" s="49">
        <f>IF(B1076="","",IF(O1076&lt;&gt;"Completed",IF(T1076&gt;0,"Deposit","—"),IF(U1076&lt;=0.005,"Paid",IF(T1076&gt;0,"Partial","Unpaid"))))</f>
        <v/>
      </c>
      <c r="W1076" s="55">
        <f>IF(B1076="","",IFERROR(1/(1/INDEX('STAFF &amp; TASKS'!$C$5:$C$24,MATCH(H1076,'STAFF &amp; TASKS'!$A$5:$A$24,0))),PayRate))</f>
        <v/>
      </c>
      <c r="X1076" s="55">
        <f>IF(B1076="","",IF(OR(O1076="Cancelled",O1076="No-Show"),"",ROUND(R1076*W1076*(1+Burden),2)))</f>
        <v/>
      </c>
      <c r="Y1076" s="55">
        <f>IF(B1076="","",IF(OR(O1076="Cancelled",O1076="No-Show"),"",IF(N1076&lt;&gt;"",N1076,ROUND(R1076*SupHr*IFERROR(INDEX('PRICING'!$G$7:$G$16,MATCH(F1076,'PRICING'!$A$7:$A$16,0)),1),2))))</f>
        <v/>
      </c>
      <c r="Z1076" s="98">
        <f>IF(B1076="","",SUMIFS('MILEAGE'!$J$5:$J$1504,'MILEAGE'!$B$5:$B$1504,A1076))</f>
        <v/>
      </c>
      <c r="AA1076" s="55">
        <f>IF(B1076="","",ROUND(Z1076*MileRate,2))</f>
        <v/>
      </c>
      <c r="AB1076" s="55">
        <f>IF(B1076="","",SUMIFS('REVENUE'!$J$5:$J$1504,'REVENUE'!$B$5:$B$1504,A1076))</f>
        <v/>
      </c>
      <c r="AC1076" s="55">
        <f>IF(L1076="","",IF(OR(O1076="Cancelled",O1076="No-Show"),"",L1076-N(X1076)-N(Y1076)-AA1076-AB1076))</f>
        <v/>
      </c>
      <c r="AD1076" s="99">
        <f>IF(OR(AC1076="",N(L1076)=0),"",AC1076/L1076)</f>
        <v/>
      </c>
      <c r="AE1076" s="55">
        <f>IF(OR(AC1076="",N(R1076)=0),"",L1076/R1076)</f>
        <v/>
      </c>
      <c r="AF1076" s="100">
        <f>IF(OR(N(K1076)=0,N(J1076)+N(Q1076)=0),"",K1076-IF(N(J1076)&gt;0,J1076,Q1076))</f>
        <v/>
      </c>
      <c r="AG1076" s="99">
        <f>IF(B1076="","",IFERROR(AVERAGEIFS('QUALITY CONTROL'!$M$5:$M$304,'QUALITY CONTROL'!$B$5:$B$304,A1076),""))</f>
        <v/>
      </c>
      <c r="AH1076" s="51">
        <f>IF(B1076="","",DATE(YEAR(B1076),MONTH(B1076),1))</f>
        <v/>
      </c>
      <c r="AI1076" s="49">
        <f>IF(D1076="","",IFERROR(INDEX('CUSTOMERS'!$E$5:$E$404,MATCH(D1076,'CUSTOMERS'!$B$5:$B$404,0)),""))</f>
        <v/>
      </c>
      <c r="AJ1076" s="49">
        <f>IF(B1076="","",N(C1076))</f>
        <v/>
      </c>
      <c r="AK1076" s="49">
        <f>IF(OR(B1076="",O1076="Cancelled",O1076="Rescheduled"),"",B1076&amp;"|"&amp;(COUNTIFS('JOBS'!$B$5:$B$1504,B1076,'JOBS'!$AJ$5:$AJ$1504,"&lt;"&amp;AJ1076,'JOBS'!$O$5:$O$1504,"&lt;&gt;Cancelled",'JOBS'!$O$5:$O$1504,"&lt;&gt;Rescheduled")+COUNTIFS($B$5:B1076,B1076,$AJ$5:AJ1076,AJ1076,$O$5:O1076,"&lt;&gt;Cancelled",$O$5:O1076,"&lt;&gt;Rescheduled")))</f>
        <v/>
      </c>
      <c r="AL1076" s="49">
        <f>IF(N(U1076)&lt;=0.005,"",COUNTIFS('JOBS'!$U$5:$U$1504,"&gt;0.005",'JOBS'!$B$5:$B$1504,"&lt;"&amp;B1076)+COUNTIFS($U$5:U1076,"&gt;0.005",$B$5:B1076,B1076))</f>
        <v/>
      </c>
    </row>
    <row r="1077">
      <c r="A1077" s="46" t="inlineStr">
        <is>
          <t>J-1073</t>
        </is>
      </c>
      <c r="B1077" s="47" t="n"/>
      <c r="C1077" s="94" t="n"/>
      <c r="D1077" s="38" t="n"/>
      <c r="E1077" s="38" t="n"/>
      <c r="F1077" s="38" t="n"/>
      <c r="G1077" s="38" t="n"/>
      <c r="H1077" s="38" t="n"/>
      <c r="I1077" s="57" t="n"/>
      <c r="J1077" s="95" t="n"/>
      <c r="K1077" s="95" t="n"/>
      <c r="L1077" s="48" t="n"/>
      <c r="M1077" s="96" t="n"/>
      <c r="N1077" s="48" t="n"/>
      <c r="O1077" s="38" t="n"/>
      <c r="P1077" s="38" t="n"/>
      <c r="Q1077" s="97">
        <f>IF(OR(F1077="",E1077=""),"",IFERROR(IF(INDEX('PROPERTIES'!$F$5:$F$404,MATCH(E1077,'PROPERTIES'!$B$5:$B$404,0))=0,"",ROUND((INDEX('PROPERTIES'!$F$5:$F$404,MATCH(E1077,'PROPERTIES'!$B$5:$B$404,0))/INDEX('PRICING'!$C$7:$C$16,MATCH(F1077,'PRICING'!$A$7:$A$16,0))+INDEX('PROPERTIES'!$G$5:$G$404,MATCH(E1077,'PROPERTIES'!$B$5:$B$404,0))*INDEX('PRICING'!$D$7:$D$16,MATCH(F1077,'PRICING'!$A$7:$A$16,0))/60+INDEX('PROPERTIES'!$H$5:$H$404,MATCH(E1077,'PROPERTIES'!$B$5:$B$404,0))*INDEX('PRICING'!$E$7:$E$16,MATCH(F1077,'PRICING'!$A$7:$A$16,0))/60+INDEX('PRICING'!$F$7:$F$16,MATCH(F1077,'PRICING'!$A$7:$A$16,0))/60),2)),""))</f>
        <v/>
      </c>
      <c r="R1077" s="97">
        <f>IF(B1077="","",IF(N(K1077)&gt;0,K1077,IF(N(J1077)&gt;0,J1077,N(Q1077))))</f>
        <v/>
      </c>
      <c r="S1077" s="55">
        <f>IF(L1077="","",ROUND(L1077*(1+N(M1077)),2))</f>
        <v/>
      </c>
      <c r="T1077" s="55">
        <f>IF(B1077="","",SUMIFS('REVENUE'!$C$5:$C$1504,'REVENUE'!$B$5:$B$1504,A1077))</f>
        <v/>
      </c>
      <c r="U1077" s="55">
        <f>IF(B1077="","",IF(O1077="Completed",MAX(0,N(S1077)-T1077),""))</f>
        <v/>
      </c>
      <c r="V1077" s="49">
        <f>IF(B1077="","",IF(O1077&lt;&gt;"Completed",IF(T1077&gt;0,"Deposit","—"),IF(U1077&lt;=0.005,"Paid",IF(T1077&gt;0,"Partial","Unpaid"))))</f>
        <v/>
      </c>
      <c r="W1077" s="55">
        <f>IF(B1077="","",IFERROR(1/(1/INDEX('STAFF &amp; TASKS'!$C$5:$C$24,MATCH(H1077,'STAFF &amp; TASKS'!$A$5:$A$24,0))),PayRate))</f>
        <v/>
      </c>
      <c r="X1077" s="55">
        <f>IF(B1077="","",IF(OR(O1077="Cancelled",O1077="No-Show"),"",ROUND(R1077*W1077*(1+Burden),2)))</f>
        <v/>
      </c>
      <c r="Y1077" s="55">
        <f>IF(B1077="","",IF(OR(O1077="Cancelled",O1077="No-Show"),"",IF(N1077&lt;&gt;"",N1077,ROUND(R1077*SupHr*IFERROR(INDEX('PRICING'!$G$7:$G$16,MATCH(F1077,'PRICING'!$A$7:$A$16,0)),1),2))))</f>
        <v/>
      </c>
      <c r="Z1077" s="98">
        <f>IF(B1077="","",SUMIFS('MILEAGE'!$J$5:$J$1504,'MILEAGE'!$B$5:$B$1504,A1077))</f>
        <v/>
      </c>
      <c r="AA1077" s="55">
        <f>IF(B1077="","",ROUND(Z1077*MileRate,2))</f>
        <v/>
      </c>
      <c r="AB1077" s="55">
        <f>IF(B1077="","",SUMIFS('REVENUE'!$J$5:$J$1504,'REVENUE'!$B$5:$B$1504,A1077))</f>
        <v/>
      </c>
      <c r="AC1077" s="55">
        <f>IF(L1077="","",IF(OR(O1077="Cancelled",O1077="No-Show"),"",L1077-N(X1077)-N(Y1077)-AA1077-AB1077))</f>
        <v/>
      </c>
      <c r="AD1077" s="99">
        <f>IF(OR(AC1077="",N(L1077)=0),"",AC1077/L1077)</f>
        <v/>
      </c>
      <c r="AE1077" s="55">
        <f>IF(OR(AC1077="",N(R1077)=0),"",L1077/R1077)</f>
        <v/>
      </c>
      <c r="AF1077" s="100">
        <f>IF(OR(N(K1077)=0,N(J1077)+N(Q1077)=0),"",K1077-IF(N(J1077)&gt;0,J1077,Q1077))</f>
        <v/>
      </c>
      <c r="AG1077" s="99">
        <f>IF(B1077="","",IFERROR(AVERAGEIFS('QUALITY CONTROL'!$M$5:$M$304,'QUALITY CONTROL'!$B$5:$B$304,A1077),""))</f>
        <v/>
      </c>
      <c r="AH1077" s="51">
        <f>IF(B1077="","",DATE(YEAR(B1077),MONTH(B1077),1))</f>
        <v/>
      </c>
      <c r="AI1077" s="49">
        <f>IF(D1077="","",IFERROR(INDEX('CUSTOMERS'!$E$5:$E$404,MATCH(D1077,'CUSTOMERS'!$B$5:$B$404,0)),""))</f>
        <v/>
      </c>
      <c r="AJ1077" s="49">
        <f>IF(B1077="","",N(C1077))</f>
        <v/>
      </c>
      <c r="AK1077" s="49">
        <f>IF(OR(B1077="",O1077="Cancelled",O1077="Rescheduled"),"",B1077&amp;"|"&amp;(COUNTIFS('JOBS'!$B$5:$B$1504,B1077,'JOBS'!$AJ$5:$AJ$1504,"&lt;"&amp;AJ1077,'JOBS'!$O$5:$O$1504,"&lt;&gt;Cancelled",'JOBS'!$O$5:$O$1504,"&lt;&gt;Rescheduled")+COUNTIFS($B$5:B1077,B1077,$AJ$5:AJ1077,AJ1077,$O$5:O1077,"&lt;&gt;Cancelled",$O$5:O1077,"&lt;&gt;Rescheduled")))</f>
        <v/>
      </c>
      <c r="AL1077" s="49">
        <f>IF(N(U1077)&lt;=0.005,"",COUNTIFS('JOBS'!$U$5:$U$1504,"&gt;0.005",'JOBS'!$B$5:$B$1504,"&lt;"&amp;B1077)+COUNTIFS($U$5:U1077,"&gt;0.005",$B$5:B1077,B1077))</f>
        <v/>
      </c>
    </row>
    <row r="1078">
      <c r="A1078" s="46" t="inlineStr">
        <is>
          <t>J-1074</t>
        </is>
      </c>
      <c r="B1078" s="47" t="n"/>
      <c r="C1078" s="94" t="n"/>
      <c r="D1078" s="38" t="n"/>
      <c r="E1078" s="38" t="n"/>
      <c r="F1078" s="38" t="n"/>
      <c r="G1078" s="38" t="n"/>
      <c r="H1078" s="38" t="n"/>
      <c r="I1078" s="57" t="n"/>
      <c r="J1078" s="95" t="n"/>
      <c r="K1078" s="95" t="n"/>
      <c r="L1078" s="48" t="n"/>
      <c r="M1078" s="96" t="n"/>
      <c r="N1078" s="48" t="n"/>
      <c r="O1078" s="38" t="n"/>
      <c r="P1078" s="38" t="n"/>
      <c r="Q1078" s="97">
        <f>IF(OR(F1078="",E1078=""),"",IFERROR(IF(INDEX('PROPERTIES'!$F$5:$F$404,MATCH(E1078,'PROPERTIES'!$B$5:$B$404,0))=0,"",ROUND((INDEX('PROPERTIES'!$F$5:$F$404,MATCH(E1078,'PROPERTIES'!$B$5:$B$404,0))/INDEX('PRICING'!$C$7:$C$16,MATCH(F1078,'PRICING'!$A$7:$A$16,0))+INDEX('PROPERTIES'!$G$5:$G$404,MATCH(E1078,'PROPERTIES'!$B$5:$B$404,0))*INDEX('PRICING'!$D$7:$D$16,MATCH(F1078,'PRICING'!$A$7:$A$16,0))/60+INDEX('PROPERTIES'!$H$5:$H$404,MATCH(E1078,'PROPERTIES'!$B$5:$B$404,0))*INDEX('PRICING'!$E$7:$E$16,MATCH(F1078,'PRICING'!$A$7:$A$16,0))/60+INDEX('PRICING'!$F$7:$F$16,MATCH(F1078,'PRICING'!$A$7:$A$16,0))/60),2)),""))</f>
        <v/>
      </c>
      <c r="R1078" s="97">
        <f>IF(B1078="","",IF(N(K1078)&gt;0,K1078,IF(N(J1078)&gt;0,J1078,N(Q1078))))</f>
        <v/>
      </c>
      <c r="S1078" s="55">
        <f>IF(L1078="","",ROUND(L1078*(1+N(M1078)),2))</f>
        <v/>
      </c>
      <c r="T1078" s="55">
        <f>IF(B1078="","",SUMIFS('REVENUE'!$C$5:$C$1504,'REVENUE'!$B$5:$B$1504,A1078))</f>
        <v/>
      </c>
      <c r="U1078" s="55">
        <f>IF(B1078="","",IF(O1078="Completed",MAX(0,N(S1078)-T1078),""))</f>
        <v/>
      </c>
      <c r="V1078" s="49">
        <f>IF(B1078="","",IF(O1078&lt;&gt;"Completed",IF(T1078&gt;0,"Deposit","—"),IF(U1078&lt;=0.005,"Paid",IF(T1078&gt;0,"Partial","Unpaid"))))</f>
        <v/>
      </c>
      <c r="W1078" s="55">
        <f>IF(B1078="","",IFERROR(1/(1/INDEX('STAFF &amp; TASKS'!$C$5:$C$24,MATCH(H1078,'STAFF &amp; TASKS'!$A$5:$A$24,0))),PayRate))</f>
        <v/>
      </c>
      <c r="X1078" s="55">
        <f>IF(B1078="","",IF(OR(O1078="Cancelled",O1078="No-Show"),"",ROUND(R1078*W1078*(1+Burden),2)))</f>
        <v/>
      </c>
      <c r="Y1078" s="55">
        <f>IF(B1078="","",IF(OR(O1078="Cancelled",O1078="No-Show"),"",IF(N1078&lt;&gt;"",N1078,ROUND(R1078*SupHr*IFERROR(INDEX('PRICING'!$G$7:$G$16,MATCH(F1078,'PRICING'!$A$7:$A$16,0)),1),2))))</f>
        <v/>
      </c>
      <c r="Z1078" s="98">
        <f>IF(B1078="","",SUMIFS('MILEAGE'!$J$5:$J$1504,'MILEAGE'!$B$5:$B$1504,A1078))</f>
        <v/>
      </c>
      <c r="AA1078" s="55">
        <f>IF(B1078="","",ROUND(Z1078*MileRate,2))</f>
        <v/>
      </c>
      <c r="AB1078" s="55">
        <f>IF(B1078="","",SUMIFS('REVENUE'!$J$5:$J$1504,'REVENUE'!$B$5:$B$1504,A1078))</f>
        <v/>
      </c>
      <c r="AC1078" s="55">
        <f>IF(L1078="","",IF(OR(O1078="Cancelled",O1078="No-Show"),"",L1078-N(X1078)-N(Y1078)-AA1078-AB1078))</f>
        <v/>
      </c>
      <c r="AD1078" s="99">
        <f>IF(OR(AC1078="",N(L1078)=0),"",AC1078/L1078)</f>
        <v/>
      </c>
      <c r="AE1078" s="55">
        <f>IF(OR(AC1078="",N(R1078)=0),"",L1078/R1078)</f>
        <v/>
      </c>
      <c r="AF1078" s="100">
        <f>IF(OR(N(K1078)=0,N(J1078)+N(Q1078)=0),"",K1078-IF(N(J1078)&gt;0,J1078,Q1078))</f>
        <v/>
      </c>
      <c r="AG1078" s="99">
        <f>IF(B1078="","",IFERROR(AVERAGEIFS('QUALITY CONTROL'!$M$5:$M$304,'QUALITY CONTROL'!$B$5:$B$304,A1078),""))</f>
        <v/>
      </c>
      <c r="AH1078" s="51">
        <f>IF(B1078="","",DATE(YEAR(B1078),MONTH(B1078),1))</f>
        <v/>
      </c>
      <c r="AI1078" s="49">
        <f>IF(D1078="","",IFERROR(INDEX('CUSTOMERS'!$E$5:$E$404,MATCH(D1078,'CUSTOMERS'!$B$5:$B$404,0)),""))</f>
        <v/>
      </c>
      <c r="AJ1078" s="49">
        <f>IF(B1078="","",N(C1078))</f>
        <v/>
      </c>
      <c r="AK1078" s="49">
        <f>IF(OR(B1078="",O1078="Cancelled",O1078="Rescheduled"),"",B1078&amp;"|"&amp;(COUNTIFS('JOBS'!$B$5:$B$1504,B1078,'JOBS'!$AJ$5:$AJ$1504,"&lt;"&amp;AJ1078,'JOBS'!$O$5:$O$1504,"&lt;&gt;Cancelled",'JOBS'!$O$5:$O$1504,"&lt;&gt;Rescheduled")+COUNTIFS($B$5:B1078,B1078,$AJ$5:AJ1078,AJ1078,$O$5:O1078,"&lt;&gt;Cancelled",$O$5:O1078,"&lt;&gt;Rescheduled")))</f>
        <v/>
      </c>
      <c r="AL1078" s="49">
        <f>IF(N(U1078)&lt;=0.005,"",COUNTIFS('JOBS'!$U$5:$U$1504,"&gt;0.005",'JOBS'!$B$5:$B$1504,"&lt;"&amp;B1078)+COUNTIFS($U$5:U1078,"&gt;0.005",$B$5:B1078,B1078))</f>
        <v/>
      </c>
    </row>
    <row r="1079">
      <c r="A1079" s="46" t="inlineStr">
        <is>
          <t>J-1075</t>
        </is>
      </c>
      <c r="B1079" s="47" t="n"/>
      <c r="C1079" s="94" t="n"/>
      <c r="D1079" s="38" t="n"/>
      <c r="E1079" s="38" t="n"/>
      <c r="F1079" s="38" t="n"/>
      <c r="G1079" s="38" t="n"/>
      <c r="H1079" s="38" t="n"/>
      <c r="I1079" s="57" t="n"/>
      <c r="J1079" s="95" t="n"/>
      <c r="K1079" s="95" t="n"/>
      <c r="L1079" s="48" t="n"/>
      <c r="M1079" s="96" t="n"/>
      <c r="N1079" s="48" t="n"/>
      <c r="O1079" s="38" t="n"/>
      <c r="P1079" s="38" t="n"/>
      <c r="Q1079" s="97">
        <f>IF(OR(F1079="",E1079=""),"",IFERROR(IF(INDEX('PROPERTIES'!$F$5:$F$404,MATCH(E1079,'PROPERTIES'!$B$5:$B$404,0))=0,"",ROUND((INDEX('PROPERTIES'!$F$5:$F$404,MATCH(E1079,'PROPERTIES'!$B$5:$B$404,0))/INDEX('PRICING'!$C$7:$C$16,MATCH(F1079,'PRICING'!$A$7:$A$16,0))+INDEX('PROPERTIES'!$G$5:$G$404,MATCH(E1079,'PROPERTIES'!$B$5:$B$404,0))*INDEX('PRICING'!$D$7:$D$16,MATCH(F1079,'PRICING'!$A$7:$A$16,0))/60+INDEX('PROPERTIES'!$H$5:$H$404,MATCH(E1079,'PROPERTIES'!$B$5:$B$404,0))*INDEX('PRICING'!$E$7:$E$16,MATCH(F1079,'PRICING'!$A$7:$A$16,0))/60+INDEX('PRICING'!$F$7:$F$16,MATCH(F1079,'PRICING'!$A$7:$A$16,0))/60),2)),""))</f>
        <v/>
      </c>
      <c r="R1079" s="97">
        <f>IF(B1079="","",IF(N(K1079)&gt;0,K1079,IF(N(J1079)&gt;0,J1079,N(Q1079))))</f>
        <v/>
      </c>
      <c r="S1079" s="55">
        <f>IF(L1079="","",ROUND(L1079*(1+N(M1079)),2))</f>
        <v/>
      </c>
      <c r="T1079" s="55">
        <f>IF(B1079="","",SUMIFS('REVENUE'!$C$5:$C$1504,'REVENUE'!$B$5:$B$1504,A1079))</f>
        <v/>
      </c>
      <c r="U1079" s="55">
        <f>IF(B1079="","",IF(O1079="Completed",MAX(0,N(S1079)-T1079),""))</f>
        <v/>
      </c>
      <c r="V1079" s="49">
        <f>IF(B1079="","",IF(O1079&lt;&gt;"Completed",IF(T1079&gt;0,"Deposit","—"),IF(U1079&lt;=0.005,"Paid",IF(T1079&gt;0,"Partial","Unpaid"))))</f>
        <v/>
      </c>
      <c r="W1079" s="55">
        <f>IF(B1079="","",IFERROR(1/(1/INDEX('STAFF &amp; TASKS'!$C$5:$C$24,MATCH(H1079,'STAFF &amp; TASKS'!$A$5:$A$24,0))),PayRate))</f>
        <v/>
      </c>
      <c r="X1079" s="55">
        <f>IF(B1079="","",IF(OR(O1079="Cancelled",O1079="No-Show"),"",ROUND(R1079*W1079*(1+Burden),2)))</f>
        <v/>
      </c>
      <c r="Y1079" s="55">
        <f>IF(B1079="","",IF(OR(O1079="Cancelled",O1079="No-Show"),"",IF(N1079&lt;&gt;"",N1079,ROUND(R1079*SupHr*IFERROR(INDEX('PRICING'!$G$7:$G$16,MATCH(F1079,'PRICING'!$A$7:$A$16,0)),1),2))))</f>
        <v/>
      </c>
      <c r="Z1079" s="98">
        <f>IF(B1079="","",SUMIFS('MILEAGE'!$J$5:$J$1504,'MILEAGE'!$B$5:$B$1504,A1079))</f>
        <v/>
      </c>
      <c r="AA1079" s="55">
        <f>IF(B1079="","",ROUND(Z1079*MileRate,2))</f>
        <v/>
      </c>
      <c r="AB1079" s="55">
        <f>IF(B1079="","",SUMIFS('REVENUE'!$J$5:$J$1504,'REVENUE'!$B$5:$B$1504,A1079))</f>
        <v/>
      </c>
      <c r="AC1079" s="55">
        <f>IF(L1079="","",IF(OR(O1079="Cancelled",O1079="No-Show"),"",L1079-N(X1079)-N(Y1079)-AA1079-AB1079))</f>
        <v/>
      </c>
      <c r="AD1079" s="99">
        <f>IF(OR(AC1079="",N(L1079)=0),"",AC1079/L1079)</f>
        <v/>
      </c>
      <c r="AE1079" s="55">
        <f>IF(OR(AC1079="",N(R1079)=0),"",L1079/R1079)</f>
        <v/>
      </c>
      <c r="AF1079" s="100">
        <f>IF(OR(N(K1079)=0,N(J1079)+N(Q1079)=0),"",K1079-IF(N(J1079)&gt;0,J1079,Q1079))</f>
        <v/>
      </c>
      <c r="AG1079" s="99">
        <f>IF(B1079="","",IFERROR(AVERAGEIFS('QUALITY CONTROL'!$M$5:$M$304,'QUALITY CONTROL'!$B$5:$B$304,A1079),""))</f>
        <v/>
      </c>
      <c r="AH1079" s="51">
        <f>IF(B1079="","",DATE(YEAR(B1079),MONTH(B1079),1))</f>
        <v/>
      </c>
      <c r="AI1079" s="49">
        <f>IF(D1079="","",IFERROR(INDEX('CUSTOMERS'!$E$5:$E$404,MATCH(D1079,'CUSTOMERS'!$B$5:$B$404,0)),""))</f>
        <v/>
      </c>
      <c r="AJ1079" s="49">
        <f>IF(B1079="","",N(C1079))</f>
        <v/>
      </c>
      <c r="AK1079" s="49">
        <f>IF(OR(B1079="",O1079="Cancelled",O1079="Rescheduled"),"",B1079&amp;"|"&amp;(COUNTIFS('JOBS'!$B$5:$B$1504,B1079,'JOBS'!$AJ$5:$AJ$1504,"&lt;"&amp;AJ1079,'JOBS'!$O$5:$O$1504,"&lt;&gt;Cancelled",'JOBS'!$O$5:$O$1504,"&lt;&gt;Rescheduled")+COUNTIFS($B$5:B1079,B1079,$AJ$5:AJ1079,AJ1079,$O$5:O1079,"&lt;&gt;Cancelled",$O$5:O1079,"&lt;&gt;Rescheduled")))</f>
        <v/>
      </c>
      <c r="AL1079" s="49">
        <f>IF(N(U1079)&lt;=0.005,"",COUNTIFS('JOBS'!$U$5:$U$1504,"&gt;0.005",'JOBS'!$B$5:$B$1504,"&lt;"&amp;B1079)+COUNTIFS($U$5:U1079,"&gt;0.005",$B$5:B1079,B1079))</f>
        <v/>
      </c>
    </row>
    <row r="1080">
      <c r="A1080" s="46" t="inlineStr">
        <is>
          <t>J-1076</t>
        </is>
      </c>
      <c r="B1080" s="47" t="n"/>
      <c r="C1080" s="94" t="n"/>
      <c r="D1080" s="38" t="n"/>
      <c r="E1080" s="38" t="n"/>
      <c r="F1080" s="38" t="n"/>
      <c r="G1080" s="38" t="n"/>
      <c r="H1080" s="38" t="n"/>
      <c r="I1080" s="57" t="n"/>
      <c r="J1080" s="95" t="n"/>
      <c r="K1080" s="95" t="n"/>
      <c r="L1080" s="48" t="n"/>
      <c r="M1080" s="96" t="n"/>
      <c r="N1080" s="48" t="n"/>
      <c r="O1080" s="38" t="n"/>
      <c r="P1080" s="38" t="n"/>
      <c r="Q1080" s="97">
        <f>IF(OR(F1080="",E1080=""),"",IFERROR(IF(INDEX('PROPERTIES'!$F$5:$F$404,MATCH(E1080,'PROPERTIES'!$B$5:$B$404,0))=0,"",ROUND((INDEX('PROPERTIES'!$F$5:$F$404,MATCH(E1080,'PROPERTIES'!$B$5:$B$404,0))/INDEX('PRICING'!$C$7:$C$16,MATCH(F1080,'PRICING'!$A$7:$A$16,0))+INDEX('PROPERTIES'!$G$5:$G$404,MATCH(E1080,'PROPERTIES'!$B$5:$B$404,0))*INDEX('PRICING'!$D$7:$D$16,MATCH(F1080,'PRICING'!$A$7:$A$16,0))/60+INDEX('PROPERTIES'!$H$5:$H$404,MATCH(E1080,'PROPERTIES'!$B$5:$B$404,0))*INDEX('PRICING'!$E$7:$E$16,MATCH(F1080,'PRICING'!$A$7:$A$16,0))/60+INDEX('PRICING'!$F$7:$F$16,MATCH(F1080,'PRICING'!$A$7:$A$16,0))/60),2)),""))</f>
        <v/>
      </c>
      <c r="R1080" s="97">
        <f>IF(B1080="","",IF(N(K1080)&gt;0,K1080,IF(N(J1080)&gt;0,J1080,N(Q1080))))</f>
        <v/>
      </c>
      <c r="S1080" s="55">
        <f>IF(L1080="","",ROUND(L1080*(1+N(M1080)),2))</f>
        <v/>
      </c>
      <c r="T1080" s="55">
        <f>IF(B1080="","",SUMIFS('REVENUE'!$C$5:$C$1504,'REVENUE'!$B$5:$B$1504,A1080))</f>
        <v/>
      </c>
      <c r="U1080" s="55">
        <f>IF(B1080="","",IF(O1080="Completed",MAX(0,N(S1080)-T1080),""))</f>
        <v/>
      </c>
      <c r="V1080" s="49">
        <f>IF(B1080="","",IF(O1080&lt;&gt;"Completed",IF(T1080&gt;0,"Deposit","—"),IF(U1080&lt;=0.005,"Paid",IF(T1080&gt;0,"Partial","Unpaid"))))</f>
        <v/>
      </c>
      <c r="W1080" s="55">
        <f>IF(B1080="","",IFERROR(1/(1/INDEX('STAFF &amp; TASKS'!$C$5:$C$24,MATCH(H1080,'STAFF &amp; TASKS'!$A$5:$A$24,0))),PayRate))</f>
        <v/>
      </c>
      <c r="X1080" s="55">
        <f>IF(B1080="","",IF(OR(O1080="Cancelled",O1080="No-Show"),"",ROUND(R1080*W1080*(1+Burden),2)))</f>
        <v/>
      </c>
      <c r="Y1080" s="55">
        <f>IF(B1080="","",IF(OR(O1080="Cancelled",O1080="No-Show"),"",IF(N1080&lt;&gt;"",N1080,ROUND(R1080*SupHr*IFERROR(INDEX('PRICING'!$G$7:$G$16,MATCH(F1080,'PRICING'!$A$7:$A$16,0)),1),2))))</f>
        <v/>
      </c>
      <c r="Z1080" s="98">
        <f>IF(B1080="","",SUMIFS('MILEAGE'!$J$5:$J$1504,'MILEAGE'!$B$5:$B$1504,A1080))</f>
        <v/>
      </c>
      <c r="AA1080" s="55">
        <f>IF(B1080="","",ROUND(Z1080*MileRate,2))</f>
        <v/>
      </c>
      <c r="AB1080" s="55">
        <f>IF(B1080="","",SUMIFS('REVENUE'!$J$5:$J$1504,'REVENUE'!$B$5:$B$1504,A1080))</f>
        <v/>
      </c>
      <c r="AC1080" s="55">
        <f>IF(L1080="","",IF(OR(O1080="Cancelled",O1080="No-Show"),"",L1080-N(X1080)-N(Y1080)-AA1080-AB1080))</f>
        <v/>
      </c>
      <c r="AD1080" s="99">
        <f>IF(OR(AC1080="",N(L1080)=0),"",AC1080/L1080)</f>
        <v/>
      </c>
      <c r="AE1080" s="55">
        <f>IF(OR(AC1080="",N(R1080)=0),"",L1080/R1080)</f>
        <v/>
      </c>
      <c r="AF1080" s="100">
        <f>IF(OR(N(K1080)=0,N(J1080)+N(Q1080)=0),"",K1080-IF(N(J1080)&gt;0,J1080,Q1080))</f>
        <v/>
      </c>
      <c r="AG1080" s="99">
        <f>IF(B1080="","",IFERROR(AVERAGEIFS('QUALITY CONTROL'!$M$5:$M$304,'QUALITY CONTROL'!$B$5:$B$304,A1080),""))</f>
        <v/>
      </c>
      <c r="AH1080" s="51">
        <f>IF(B1080="","",DATE(YEAR(B1080),MONTH(B1080),1))</f>
        <v/>
      </c>
      <c r="AI1080" s="49">
        <f>IF(D1080="","",IFERROR(INDEX('CUSTOMERS'!$E$5:$E$404,MATCH(D1080,'CUSTOMERS'!$B$5:$B$404,0)),""))</f>
        <v/>
      </c>
      <c r="AJ1080" s="49">
        <f>IF(B1080="","",N(C1080))</f>
        <v/>
      </c>
      <c r="AK1080" s="49">
        <f>IF(OR(B1080="",O1080="Cancelled",O1080="Rescheduled"),"",B1080&amp;"|"&amp;(COUNTIFS('JOBS'!$B$5:$B$1504,B1080,'JOBS'!$AJ$5:$AJ$1504,"&lt;"&amp;AJ1080,'JOBS'!$O$5:$O$1504,"&lt;&gt;Cancelled",'JOBS'!$O$5:$O$1504,"&lt;&gt;Rescheduled")+COUNTIFS($B$5:B1080,B1080,$AJ$5:AJ1080,AJ1080,$O$5:O1080,"&lt;&gt;Cancelled",$O$5:O1080,"&lt;&gt;Rescheduled")))</f>
        <v/>
      </c>
      <c r="AL1080" s="49">
        <f>IF(N(U1080)&lt;=0.005,"",COUNTIFS('JOBS'!$U$5:$U$1504,"&gt;0.005",'JOBS'!$B$5:$B$1504,"&lt;"&amp;B1080)+COUNTIFS($U$5:U1080,"&gt;0.005",$B$5:B1080,B1080))</f>
        <v/>
      </c>
    </row>
    <row r="1081">
      <c r="A1081" s="46" t="inlineStr">
        <is>
          <t>J-1077</t>
        </is>
      </c>
      <c r="B1081" s="47" t="n"/>
      <c r="C1081" s="94" t="n"/>
      <c r="D1081" s="38" t="n"/>
      <c r="E1081" s="38" t="n"/>
      <c r="F1081" s="38" t="n"/>
      <c r="G1081" s="38" t="n"/>
      <c r="H1081" s="38" t="n"/>
      <c r="I1081" s="57" t="n"/>
      <c r="J1081" s="95" t="n"/>
      <c r="K1081" s="95" t="n"/>
      <c r="L1081" s="48" t="n"/>
      <c r="M1081" s="96" t="n"/>
      <c r="N1081" s="48" t="n"/>
      <c r="O1081" s="38" t="n"/>
      <c r="P1081" s="38" t="n"/>
      <c r="Q1081" s="97">
        <f>IF(OR(F1081="",E1081=""),"",IFERROR(IF(INDEX('PROPERTIES'!$F$5:$F$404,MATCH(E1081,'PROPERTIES'!$B$5:$B$404,0))=0,"",ROUND((INDEX('PROPERTIES'!$F$5:$F$404,MATCH(E1081,'PROPERTIES'!$B$5:$B$404,0))/INDEX('PRICING'!$C$7:$C$16,MATCH(F1081,'PRICING'!$A$7:$A$16,0))+INDEX('PROPERTIES'!$G$5:$G$404,MATCH(E1081,'PROPERTIES'!$B$5:$B$404,0))*INDEX('PRICING'!$D$7:$D$16,MATCH(F1081,'PRICING'!$A$7:$A$16,0))/60+INDEX('PROPERTIES'!$H$5:$H$404,MATCH(E1081,'PROPERTIES'!$B$5:$B$404,0))*INDEX('PRICING'!$E$7:$E$16,MATCH(F1081,'PRICING'!$A$7:$A$16,0))/60+INDEX('PRICING'!$F$7:$F$16,MATCH(F1081,'PRICING'!$A$7:$A$16,0))/60),2)),""))</f>
        <v/>
      </c>
      <c r="R1081" s="97">
        <f>IF(B1081="","",IF(N(K1081)&gt;0,K1081,IF(N(J1081)&gt;0,J1081,N(Q1081))))</f>
        <v/>
      </c>
      <c r="S1081" s="55">
        <f>IF(L1081="","",ROUND(L1081*(1+N(M1081)),2))</f>
        <v/>
      </c>
      <c r="T1081" s="55">
        <f>IF(B1081="","",SUMIFS('REVENUE'!$C$5:$C$1504,'REVENUE'!$B$5:$B$1504,A1081))</f>
        <v/>
      </c>
      <c r="U1081" s="55">
        <f>IF(B1081="","",IF(O1081="Completed",MAX(0,N(S1081)-T1081),""))</f>
        <v/>
      </c>
      <c r="V1081" s="49">
        <f>IF(B1081="","",IF(O1081&lt;&gt;"Completed",IF(T1081&gt;0,"Deposit","—"),IF(U1081&lt;=0.005,"Paid",IF(T1081&gt;0,"Partial","Unpaid"))))</f>
        <v/>
      </c>
      <c r="W1081" s="55">
        <f>IF(B1081="","",IFERROR(1/(1/INDEX('STAFF &amp; TASKS'!$C$5:$C$24,MATCH(H1081,'STAFF &amp; TASKS'!$A$5:$A$24,0))),PayRate))</f>
        <v/>
      </c>
      <c r="X1081" s="55">
        <f>IF(B1081="","",IF(OR(O1081="Cancelled",O1081="No-Show"),"",ROUND(R1081*W1081*(1+Burden),2)))</f>
        <v/>
      </c>
      <c r="Y1081" s="55">
        <f>IF(B1081="","",IF(OR(O1081="Cancelled",O1081="No-Show"),"",IF(N1081&lt;&gt;"",N1081,ROUND(R1081*SupHr*IFERROR(INDEX('PRICING'!$G$7:$G$16,MATCH(F1081,'PRICING'!$A$7:$A$16,0)),1),2))))</f>
        <v/>
      </c>
      <c r="Z1081" s="98">
        <f>IF(B1081="","",SUMIFS('MILEAGE'!$J$5:$J$1504,'MILEAGE'!$B$5:$B$1504,A1081))</f>
        <v/>
      </c>
      <c r="AA1081" s="55">
        <f>IF(B1081="","",ROUND(Z1081*MileRate,2))</f>
        <v/>
      </c>
      <c r="AB1081" s="55">
        <f>IF(B1081="","",SUMIFS('REVENUE'!$J$5:$J$1504,'REVENUE'!$B$5:$B$1504,A1081))</f>
        <v/>
      </c>
      <c r="AC1081" s="55">
        <f>IF(L1081="","",IF(OR(O1081="Cancelled",O1081="No-Show"),"",L1081-N(X1081)-N(Y1081)-AA1081-AB1081))</f>
        <v/>
      </c>
      <c r="AD1081" s="99">
        <f>IF(OR(AC1081="",N(L1081)=0),"",AC1081/L1081)</f>
        <v/>
      </c>
      <c r="AE1081" s="55">
        <f>IF(OR(AC1081="",N(R1081)=0),"",L1081/R1081)</f>
        <v/>
      </c>
      <c r="AF1081" s="100">
        <f>IF(OR(N(K1081)=0,N(J1081)+N(Q1081)=0),"",K1081-IF(N(J1081)&gt;0,J1081,Q1081))</f>
        <v/>
      </c>
      <c r="AG1081" s="99">
        <f>IF(B1081="","",IFERROR(AVERAGEIFS('QUALITY CONTROL'!$M$5:$M$304,'QUALITY CONTROL'!$B$5:$B$304,A1081),""))</f>
        <v/>
      </c>
      <c r="AH1081" s="51">
        <f>IF(B1081="","",DATE(YEAR(B1081),MONTH(B1081),1))</f>
        <v/>
      </c>
      <c r="AI1081" s="49">
        <f>IF(D1081="","",IFERROR(INDEX('CUSTOMERS'!$E$5:$E$404,MATCH(D1081,'CUSTOMERS'!$B$5:$B$404,0)),""))</f>
        <v/>
      </c>
      <c r="AJ1081" s="49">
        <f>IF(B1081="","",N(C1081))</f>
        <v/>
      </c>
      <c r="AK1081" s="49">
        <f>IF(OR(B1081="",O1081="Cancelled",O1081="Rescheduled"),"",B1081&amp;"|"&amp;(COUNTIFS('JOBS'!$B$5:$B$1504,B1081,'JOBS'!$AJ$5:$AJ$1504,"&lt;"&amp;AJ1081,'JOBS'!$O$5:$O$1504,"&lt;&gt;Cancelled",'JOBS'!$O$5:$O$1504,"&lt;&gt;Rescheduled")+COUNTIFS($B$5:B1081,B1081,$AJ$5:AJ1081,AJ1081,$O$5:O1081,"&lt;&gt;Cancelled",$O$5:O1081,"&lt;&gt;Rescheduled")))</f>
        <v/>
      </c>
      <c r="AL1081" s="49">
        <f>IF(N(U1081)&lt;=0.005,"",COUNTIFS('JOBS'!$U$5:$U$1504,"&gt;0.005",'JOBS'!$B$5:$B$1504,"&lt;"&amp;B1081)+COUNTIFS($U$5:U1081,"&gt;0.005",$B$5:B1081,B1081))</f>
        <v/>
      </c>
    </row>
    <row r="1082">
      <c r="A1082" s="46" t="inlineStr">
        <is>
          <t>J-1078</t>
        </is>
      </c>
      <c r="B1082" s="47" t="n"/>
      <c r="C1082" s="94" t="n"/>
      <c r="D1082" s="38" t="n"/>
      <c r="E1082" s="38" t="n"/>
      <c r="F1082" s="38" t="n"/>
      <c r="G1082" s="38" t="n"/>
      <c r="H1082" s="38" t="n"/>
      <c r="I1082" s="57" t="n"/>
      <c r="J1082" s="95" t="n"/>
      <c r="K1082" s="95" t="n"/>
      <c r="L1082" s="48" t="n"/>
      <c r="M1082" s="96" t="n"/>
      <c r="N1082" s="48" t="n"/>
      <c r="O1082" s="38" t="n"/>
      <c r="P1082" s="38" t="n"/>
      <c r="Q1082" s="97">
        <f>IF(OR(F1082="",E1082=""),"",IFERROR(IF(INDEX('PROPERTIES'!$F$5:$F$404,MATCH(E1082,'PROPERTIES'!$B$5:$B$404,0))=0,"",ROUND((INDEX('PROPERTIES'!$F$5:$F$404,MATCH(E1082,'PROPERTIES'!$B$5:$B$404,0))/INDEX('PRICING'!$C$7:$C$16,MATCH(F1082,'PRICING'!$A$7:$A$16,0))+INDEX('PROPERTIES'!$G$5:$G$404,MATCH(E1082,'PROPERTIES'!$B$5:$B$404,0))*INDEX('PRICING'!$D$7:$D$16,MATCH(F1082,'PRICING'!$A$7:$A$16,0))/60+INDEX('PROPERTIES'!$H$5:$H$404,MATCH(E1082,'PROPERTIES'!$B$5:$B$404,0))*INDEX('PRICING'!$E$7:$E$16,MATCH(F1082,'PRICING'!$A$7:$A$16,0))/60+INDEX('PRICING'!$F$7:$F$16,MATCH(F1082,'PRICING'!$A$7:$A$16,0))/60),2)),""))</f>
        <v/>
      </c>
      <c r="R1082" s="97">
        <f>IF(B1082="","",IF(N(K1082)&gt;0,K1082,IF(N(J1082)&gt;0,J1082,N(Q1082))))</f>
        <v/>
      </c>
      <c r="S1082" s="55">
        <f>IF(L1082="","",ROUND(L1082*(1+N(M1082)),2))</f>
        <v/>
      </c>
      <c r="T1082" s="55">
        <f>IF(B1082="","",SUMIFS('REVENUE'!$C$5:$C$1504,'REVENUE'!$B$5:$B$1504,A1082))</f>
        <v/>
      </c>
      <c r="U1082" s="55">
        <f>IF(B1082="","",IF(O1082="Completed",MAX(0,N(S1082)-T1082),""))</f>
        <v/>
      </c>
      <c r="V1082" s="49">
        <f>IF(B1082="","",IF(O1082&lt;&gt;"Completed",IF(T1082&gt;0,"Deposit","—"),IF(U1082&lt;=0.005,"Paid",IF(T1082&gt;0,"Partial","Unpaid"))))</f>
        <v/>
      </c>
      <c r="W1082" s="55">
        <f>IF(B1082="","",IFERROR(1/(1/INDEX('STAFF &amp; TASKS'!$C$5:$C$24,MATCH(H1082,'STAFF &amp; TASKS'!$A$5:$A$24,0))),PayRate))</f>
        <v/>
      </c>
      <c r="X1082" s="55">
        <f>IF(B1082="","",IF(OR(O1082="Cancelled",O1082="No-Show"),"",ROUND(R1082*W1082*(1+Burden),2)))</f>
        <v/>
      </c>
      <c r="Y1082" s="55">
        <f>IF(B1082="","",IF(OR(O1082="Cancelled",O1082="No-Show"),"",IF(N1082&lt;&gt;"",N1082,ROUND(R1082*SupHr*IFERROR(INDEX('PRICING'!$G$7:$G$16,MATCH(F1082,'PRICING'!$A$7:$A$16,0)),1),2))))</f>
        <v/>
      </c>
      <c r="Z1082" s="98">
        <f>IF(B1082="","",SUMIFS('MILEAGE'!$J$5:$J$1504,'MILEAGE'!$B$5:$B$1504,A1082))</f>
        <v/>
      </c>
      <c r="AA1082" s="55">
        <f>IF(B1082="","",ROUND(Z1082*MileRate,2))</f>
        <v/>
      </c>
      <c r="AB1082" s="55">
        <f>IF(B1082="","",SUMIFS('REVENUE'!$J$5:$J$1504,'REVENUE'!$B$5:$B$1504,A1082))</f>
        <v/>
      </c>
      <c r="AC1082" s="55">
        <f>IF(L1082="","",IF(OR(O1082="Cancelled",O1082="No-Show"),"",L1082-N(X1082)-N(Y1082)-AA1082-AB1082))</f>
        <v/>
      </c>
      <c r="AD1082" s="99">
        <f>IF(OR(AC1082="",N(L1082)=0),"",AC1082/L1082)</f>
        <v/>
      </c>
      <c r="AE1082" s="55">
        <f>IF(OR(AC1082="",N(R1082)=0),"",L1082/R1082)</f>
        <v/>
      </c>
      <c r="AF1082" s="100">
        <f>IF(OR(N(K1082)=0,N(J1082)+N(Q1082)=0),"",K1082-IF(N(J1082)&gt;0,J1082,Q1082))</f>
        <v/>
      </c>
      <c r="AG1082" s="99">
        <f>IF(B1082="","",IFERROR(AVERAGEIFS('QUALITY CONTROL'!$M$5:$M$304,'QUALITY CONTROL'!$B$5:$B$304,A1082),""))</f>
        <v/>
      </c>
      <c r="AH1082" s="51">
        <f>IF(B1082="","",DATE(YEAR(B1082),MONTH(B1082),1))</f>
        <v/>
      </c>
      <c r="AI1082" s="49">
        <f>IF(D1082="","",IFERROR(INDEX('CUSTOMERS'!$E$5:$E$404,MATCH(D1082,'CUSTOMERS'!$B$5:$B$404,0)),""))</f>
        <v/>
      </c>
      <c r="AJ1082" s="49">
        <f>IF(B1082="","",N(C1082))</f>
        <v/>
      </c>
      <c r="AK1082" s="49">
        <f>IF(OR(B1082="",O1082="Cancelled",O1082="Rescheduled"),"",B1082&amp;"|"&amp;(COUNTIFS('JOBS'!$B$5:$B$1504,B1082,'JOBS'!$AJ$5:$AJ$1504,"&lt;"&amp;AJ1082,'JOBS'!$O$5:$O$1504,"&lt;&gt;Cancelled",'JOBS'!$O$5:$O$1504,"&lt;&gt;Rescheduled")+COUNTIFS($B$5:B1082,B1082,$AJ$5:AJ1082,AJ1082,$O$5:O1082,"&lt;&gt;Cancelled",$O$5:O1082,"&lt;&gt;Rescheduled")))</f>
        <v/>
      </c>
      <c r="AL1082" s="49">
        <f>IF(N(U1082)&lt;=0.005,"",COUNTIFS('JOBS'!$U$5:$U$1504,"&gt;0.005",'JOBS'!$B$5:$B$1504,"&lt;"&amp;B1082)+COUNTIFS($U$5:U1082,"&gt;0.005",$B$5:B1082,B1082))</f>
        <v/>
      </c>
    </row>
    <row r="1083">
      <c r="A1083" s="46" t="inlineStr">
        <is>
          <t>J-1079</t>
        </is>
      </c>
      <c r="B1083" s="47" t="n"/>
      <c r="C1083" s="94" t="n"/>
      <c r="D1083" s="38" t="n"/>
      <c r="E1083" s="38" t="n"/>
      <c r="F1083" s="38" t="n"/>
      <c r="G1083" s="38" t="n"/>
      <c r="H1083" s="38" t="n"/>
      <c r="I1083" s="57" t="n"/>
      <c r="J1083" s="95" t="n"/>
      <c r="K1083" s="95" t="n"/>
      <c r="L1083" s="48" t="n"/>
      <c r="M1083" s="96" t="n"/>
      <c r="N1083" s="48" t="n"/>
      <c r="O1083" s="38" t="n"/>
      <c r="P1083" s="38" t="n"/>
      <c r="Q1083" s="97">
        <f>IF(OR(F1083="",E1083=""),"",IFERROR(IF(INDEX('PROPERTIES'!$F$5:$F$404,MATCH(E1083,'PROPERTIES'!$B$5:$B$404,0))=0,"",ROUND((INDEX('PROPERTIES'!$F$5:$F$404,MATCH(E1083,'PROPERTIES'!$B$5:$B$404,0))/INDEX('PRICING'!$C$7:$C$16,MATCH(F1083,'PRICING'!$A$7:$A$16,0))+INDEX('PROPERTIES'!$G$5:$G$404,MATCH(E1083,'PROPERTIES'!$B$5:$B$404,0))*INDEX('PRICING'!$D$7:$D$16,MATCH(F1083,'PRICING'!$A$7:$A$16,0))/60+INDEX('PROPERTIES'!$H$5:$H$404,MATCH(E1083,'PROPERTIES'!$B$5:$B$404,0))*INDEX('PRICING'!$E$7:$E$16,MATCH(F1083,'PRICING'!$A$7:$A$16,0))/60+INDEX('PRICING'!$F$7:$F$16,MATCH(F1083,'PRICING'!$A$7:$A$16,0))/60),2)),""))</f>
        <v/>
      </c>
      <c r="R1083" s="97">
        <f>IF(B1083="","",IF(N(K1083)&gt;0,K1083,IF(N(J1083)&gt;0,J1083,N(Q1083))))</f>
        <v/>
      </c>
      <c r="S1083" s="55">
        <f>IF(L1083="","",ROUND(L1083*(1+N(M1083)),2))</f>
        <v/>
      </c>
      <c r="T1083" s="55">
        <f>IF(B1083="","",SUMIFS('REVENUE'!$C$5:$C$1504,'REVENUE'!$B$5:$B$1504,A1083))</f>
        <v/>
      </c>
      <c r="U1083" s="55">
        <f>IF(B1083="","",IF(O1083="Completed",MAX(0,N(S1083)-T1083),""))</f>
        <v/>
      </c>
      <c r="V1083" s="49">
        <f>IF(B1083="","",IF(O1083&lt;&gt;"Completed",IF(T1083&gt;0,"Deposit","—"),IF(U1083&lt;=0.005,"Paid",IF(T1083&gt;0,"Partial","Unpaid"))))</f>
        <v/>
      </c>
      <c r="W1083" s="55">
        <f>IF(B1083="","",IFERROR(1/(1/INDEX('STAFF &amp; TASKS'!$C$5:$C$24,MATCH(H1083,'STAFF &amp; TASKS'!$A$5:$A$24,0))),PayRate))</f>
        <v/>
      </c>
      <c r="X1083" s="55">
        <f>IF(B1083="","",IF(OR(O1083="Cancelled",O1083="No-Show"),"",ROUND(R1083*W1083*(1+Burden),2)))</f>
        <v/>
      </c>
      <c r="Y1083" s="55">
        <f>IF(B1083="","",IF(OR(O1083="Cancelled",O1083="No-Show"),"",IF(N1083&lt;&gt;"",N1083,ROUND(R1083*SupHr*IFERROR(INDEX('PRICING'!$G$7:$G$16,MATCH(F1083,'PRICING'!$A$7:$A$16,0)),1),2))))</f>
        <v/>
      </c>
      <c r="Z1083" s="98">
        <f>IF(B1083="","",SUMIFS('MILEAGE'!$J$5:$J$1504,'MILEAGE'!$B$5:$B$1504,A1083))</f>
        <v/>
      </c>
      <c r="AA1083" s="55">
        <f>IF(B1083="","",ROUND(Z1083*MileRate,2))</f>
        <v/>
      </c>
      <c r="AB1083" s="55">
        <f>IF(B1083="","",SUMIFS('REVENUE'!$J$5:$J$1504,'REVENUE'!$B$5:$B$1504,A1083))</f>
        <v/>
      </c>
      <c r="AC1083" s="55">
        <f>IF(L1083="","",IF(OR(O1083="Cancelled",O1083="No-Show"),"",L1083-N(X1083)-N(Y1083)-AA1083-AB1083))</f>
        <v/>
      </c>
      <c r="AD1083" s="99">
        <f>IF(OR(AC1083="",N(L1083)=0),"",AC1083/L1083)</f>
        <v/>
      </c>
      <c r="AE1083" s="55">
        <f>IF(OR(AC1083="",N(R1083)=0),"",L1083/R1083)</f>
        <v/>
      </c>
      <c r="AF1083" s="100">
        <f>IF(OR(N(K1083)=0,N(J1083)+N(Q1083)=0),"",K1083-IF(N(J1083)&gt;0,J1083,Q1083))</f>
        <v/>
      </c>
      <c r="AG1083" s="99">
        <f>IF(B1083="","",IFERROR(AVERAGEIFS('QUALITY CONTROL'!$M$5:$M$304,'QUALITY CONTROL'!$B$5:$B$304,A1083),""))</f>
        <v/>
      </c>
      <c r="AH1083" s="51">
        <f>IF(B1083="","",DATE(YEAR(B1083),MONTH(B1083),1))</f>
        <v/>
      </c>
      <c r="AI1083" s="49">
        <f>IF(D1083="","",IFERROR(INDEX('CUSTOMERS'!$E$5:$E$404,MATCH(D1083,'CUSTOMERS'!$B$5:$B$404,0)),""))</f>
        <v/>
      </c>
      <c r="AJ1083" s="49">
        <f>IF(B1083="","",N(C1083))</f>
        <v/>
      </c>
      <c r="AK1083" s="49">
        <f>IF(OR(B1083="",O1083="Cancelled",O1083="Rescheduled"),"",B1083&amp;"|"&amp;(COUNTIFS('JOBS'!$B$5:$B$1504,B1083,'JOBS'!$AJ$5:$AJ$1504,"&lt;"&amp;AJ1083,'JOBS'!$O$5:$O$1504,"&lt;&gt;Cancelled",'JOBS'!$O$5:$O$1504,"&lt;&gt;Rescheduled")+COUNTIFS($B$5:B1083,B1083,$AJ$5:AJ1083,AJ1083,$O$5:O1083,"&lt;&gt;Cancelled",$O$5:O1083,"&lt;&gt;Rescheduled")))</f>
        <v/>
      </c>
      <c r="AL1083" s="49">
        <f>IF(N(U1083)&lt;=0.005,"",COUNTIFS('JOBS'!$U$5:$U$1504,"&gt;0.005",'JOBS'!$B$5:$B$1504,"&lt;"&amp;B1083)+COUNTIFS($U$5:U1083,"&gt;0.005",$B$5:B1083,B1083))</f>
        <v/>
      </c>
    </row>
    <row r="1084">
      <c r="A1084" s="46" t="inlineStr">
        <is>
          <t>J-1080</t>
        </is>
      </c>
      <c r="B1084" s="47" t="n"/>
      <c r="C1084" s="94" t="n"/>
      <c r="D1084" s="38" t="n"/>
      <c r="E1084" s="38" t="n"/>
      <c r="F1084" s="38" t="n"/>
      <c r="G1084" s="38" t="n"/>
      <c r="H1084" s="38" t="n"/>
      <c r="I1084" s="57" t="n"/>
      <c r="J1084" s="95" t="n"/>
      <c r="K1084" s="95" t="n"/>
      <c r="L1084" s="48" t="n"/>
      <c r="M1084" s="96" t="n"/>
      <c r="N1084" s="48" t="n"/>
      <c r="O1084" s="38" t="n"/>
      <c r="P1084" s="38" t="n"/>
      <c r="Q1084" s="97">
        <f>IF(OR(F1084="",E1084=""),"",IFERROR(IF(INDEX('PROPERTIES'!$F$5:$F$404,MATCH(E1084,'PROPERTIES'!$B$5:$B$404,0))=0,"",ROUND((INDEX('PROPERTIES'!$F$5:$F$404,MATCH(E1084,'PROPERTIES'!$B$5:$B$404,0))/INDEX('PRICING'!$C$7:$C$16,MATCH(F1084,'PRICING'!$A$7:$A$16,0))+INDEX('PROPERTIES'!$G$5:$G$404,MATCH(E1084,'PROPERTIES'!$B$5:$B$404,0))*INDEX('PRICING'!$D$7:$D$16,MATCH(F1084,'PRICING'!$A$7:$A$16,0))/60+INDEX('PROPERTIES'!$H$5:$H$404,MATCH(E1084,'PROPERTIES'!$B$5:$B$404,0))*INDEX('PRICING'!$E$7:$E$16,MATCH(F1084,'PRICING'!$A$7:$A$16,0))/60+INDEX('PRICING'!$F$7:$F$16,MATCH(F1084,'PRICING'!$A$7:$A$16,0))/60),2)),""))</f>
        <v/>
      </c>
      <c r="R1084" s="97">
        <f>IF(B1084="","",IF(N(K1084)&gt;0,K1084,IF(N(J1084)&gt;0,J1084,N(Q1084))))</f>
        <v/>
      </c>
      <c r="S1084" s="55">
        <f>IF(L1084="","",ROUND(L1084*(1+N(M1084)),2))</f>
        <v/>
      </c>
      <c r="T1084" s="55">
        <f>IF(B1084="","",SUMIFS('REVENUE'!$C$5:$C$1504,'REVENUE'!$B$5:$B$1504,A1084))</f>
        <v/>
      </c>
      <c r="U1084" s="55">
        <f>IF(B1084="","",IF(O1084="Completed",MAX(0,N(S1084)-T1084),""))</f>
        <v/>
      </c>
      <c r="V1084" s="49">
        <f>IF(B1084="","",IF(O1084&lt;&gt;"Completed",IF(T1084&gt;0,"Deposit","—"),IF(U1084&lt;=0.005,"Paid",IF(T1084&gt;0,"Partial","Unpaid"))))</f>
        <v/>
      </c>
      <c r="W1084" s="55">
        <f>IF(B1084="","",IFERROR(1/(1/INDEX('STAFF &amp; TASKS'!$C$5:$C$24,MATCH(H1084,'STAFF &amp; TASKS'!$A$5:$A$24,0))),PayRate))</f>
        <v/>
      </c>
      <c r="X1084" s="55">
        <f>IF(B1084="","",IF(OR(O1084="Cancelled",O1084="No-Show"),"",ROUND(R1084*W1084*(1+Burden),2)))</f>
        <v/>
      </c>
      <c r="Y1084" s="55">
        <f>IF(B1084="","",IF(OR(O1084="Cancelled",O1084="No-Show"),"",IF(N1084&lt;&gt;"",N1084,ROUND(R1084*SupHr*IFERROR(INDEX('PRICING'!$G$7:$G$16,MATCH(F1084,'PRICING'!$A$7:$A$16,0)),1),2))))</f>
        <v/>
      </c>
      <c r="Z1084" s="98">
        <f>IF(B1084="","",SUMIFS('MILEAGE'!$J$5:$J$1504,'MILEAGE'!$B$5:$B$1504,A1084))</f>
        <v/>
      </c>
      <c r="AA1084" s="55">
        <f>IF(B1084="","",ROUND(Z1084*MileRate,2))</f>
        <v/>
      </c>
      <c r="AB1084" s="55">
        <f>IF(B1084="","",SUMIFS('REVENUE'!$J$5:$J$1504,'REVENUE'!$B$5:$B$1504,A1084))</f>
        <v/>
      </c>
      <c r="AC1084" s="55">
        <f>IF(L1084="","",IF(OR(O1084="Cancelled",O1084="No-Show"),"",L1084-N(X1084)-N(Y1084)-AA1084-AB1084))</f>
        <v/>
      </c>
      <c r="AD1084" s="99">
        <f>IF(OR(AC1084="",N(L1084)=0),"",AC1084/L1084)</f>
        <v/>
      </c>
      <c r="AE1084" s="55">
        <f>IF(OR(AC1084="",N(R1084)=0),"",L1084/R1084)</f>
        <v/>
      </c>
      <c r="AF1084" s="100">
        <f>IF(OR(N(K1084)=0,N(J1084)+N(Q1084)=0),"",K1084-IF(N(J1084)&gt;0,J1084,Q1084))</f>
        <v/>
      </c>
      <c r="AG1084" s="99">
        <f>IF(B1084="","",IFERROR(AVERAGEIFS('QUALITY CONTROL'!$M$5:$M$304,'QUALITY CONTROL'!$B$5:$B$304,A1084),""))</f>
        <v/>
      </c>
      <c r="AH1084" s="51">
        <f>IF(B1084="","",DATE(YEAR(B1084),MONTH(B1084),1))</f>
        <v/>
      </c>
      <c r="AI1084" s="49">
        <f>IF(D1084="","",IFERROR(INDEX('CUSTOMERS'!$E$5:$E$404,MATCH(D1084,'CUSTOMERS'!$B$5:$B$404,0)),""))</f>
        <v/>
      </c>
      <c r="AJ1084" s="49">
        <f>IF(B1084="","",N(C1084))</f>
        <v/>
      </c>
      <c r="AK1084" s="49">
        <f>IF(OR(B1084="",O1084="Cancelled",O1084="Rescheduled"),"",B1084&amp;"|"&amp;(COUNTIFS('JOBS'!$B$5:$B$1504,B1084,'JOBS'!$AJ$5:$AJ$1504,"&lt;"&amp;AJ1084,'JOBS'!$O$5:$O$1504,"&lt;&gt;Cancelled",'JOBS'!$O$5:$O$1504,"&lt;&gt;Rescheduled")+COUNTIFS($B$5:B1084,B1084,$AJ$5:AJ1084,AJ1084,$O$5:O1084,"&lt;&gt;Cancelled",$O$5:O1084,"&lt;&gt;Rescheduled")))</f>
        <v/>
      </c>
      <c r="AL1084" s="49">
        <f>IF(N(U1084)&lt;=0.005,"",COUNTIFS('JOBS'!$U$5:$U$1504,"&gt;0.005",'JOBS'!$B$5:$B$1504,"&lt;"&amp;B1084)+COUNTIFS($U$5:U1084,"&gt;0.005",$B$5:B1084,B1084))</f>
        <v/>
      </c>
    </row>
    <row r="1085">
      <c r="A1085" s="46" t="inlineStr">
        <is>
          <t>J-1081</t>
        </is>
      </c>
      <c r="B1085" s="47" t="n"/>
      <c r="C1085" s="94" t="n"/>
      <c r="D1085" s="38" t="n"/>
      <c r="E1085" s="38" t="n"/>
      <c r="F1085" s="38" t="n"/>
      <c r="G1085" s="38" t="n"/>
      <c r="H1085" s="38" t="n"/>
      <c r="I1085" s="57" t="n"/>
      <c r="J1085" s="95" t="n"/>
      <c r="K1085" s="95" t="n"/>
      <c r="L1085" s="48" t="n"/>
      <c r="M1085" s="96" t="n"/>
      <c r="N1085" s="48" t="n"/>
      <c r="O1085" s="38" t="n"/>
      <c r="P1085" s="38" t="n"/>
      <c r="Q1085" s="97">
        <f>IF(OR(F1085="",E1085=""),"",IFERROR(IF(INDEX('PROPERTIES'!$F$5:$F$404,MATCH(E1085,'PROPERTIES'!$B$5:$B$404,0))=0,"",ROUND((INDEX('PROPERTIES'!$F$5:$F$404,MATCH(E1085,'PROPERTIES'!$B$5:$B$404,0))/INDEX('PRICING'!$C$7:$C$16,MATCH(F1085,'PRICING'!$A$7:$A$16,0))+INDEX('PROPERTIES'!$G$5:$G$404,MATCH(E1085,'PROPERTIES'!$B$5:$B$404,0))*INDEX('PRICING'!$D$7:$D$16,MATCH(F1085,'PRICING'!$A$7:$A$16,0))/60+INDEX('PROPERTIES'!$H$5:$H$404,MATCH(E1085,'PROPERTIES'!$B$5:$B$404,0))*INDEX('PRICING'!$E$7:$E$16,MATCH(F1085,'PRICING'!$A$7:$A$16,0))/60+INDEX('PRICING'!$F$7:$F$16,MATCH(F1085,'PRICING'!$A$7:$A$16,0))/60),2)),""))</f>
        <v/>
      </c>
      <c r="R1085" s="97">
        <f>IF(B1085="","",IF(N(K1085)&gt;0,K1085,IF(N(J1085)&gt;0,J1085,N(Q1085))))</f>
        <v/>
      </c>
      <c r="S1085" s="55">
        <f>IF(L1085="","",ROUND(L1085*(1+N(M1085)),2))</f>
        <v/>
      </c>
      <c r="T1085" s="55">
        <f>IF(B1085="","",SUMIFS('REVENUE'!$C$5:$C$1504,'REVENUE'!$B$5:$B$1504,A1085))</f>
        <v/>
      </c>
      <c r="U1085" s="55">
        <f>IF(B1085="","",IF(O1085="Completed",MAX(0,N(S1085)-T1085),""))</f>
        <v/>
      </c>
      <c r="V1085" s="49">
        <f>IF(B1085="","",IF(O1085&lt;&gt;"Completed",IF(T1085&gt;0,"Deposit","—"),IF(U1085&lt;=0.005,"Paid",IF(T1085&gt;0,"Partial","Unpaid"))))</f>
        <v/>
      </c>
      <c r="W1085" s="55">
        <f>IF(B1085="","",IFERROR(1/(1/INDEX('STAFF &amp; TASKS'!$C$5:$C$24,MATCH(H1085,'STAFF &amp; TASKS'!$A$5:$A$24,0))),PayRate))</f>
        <v/>
      </c>
      <c r="X1085" s="55">
        <f>IF(B1085="","",IF(OR(O1085="Cancelled",O1085="No-Show"),"",ROUND(R1085*W1085*(1+Burden),2)))</f>
        <v/>
      </c>
      <c r="Y1085" s="55">
        <f>IF(B1085="","",IF(OR(O1085="Cancelled",O1085="No-Show"),"",IF(N1085&lt;&gt;"",N1085,ROUND(R1085*SupHr*IFERROR(INDEX('PRICING'!$G$7:$G$16,MATCH(F1085,'PRICING'!$A$7:$A$16,0)),1),2))))</f>
        <v/>
      </c>
      <c r="Z1085" s="98">
        <f>IF(B1085="","",SUMIFS('MILEAGE'!$J$5:$J$1504,'MILEAGE'!$B$5:$B$1504,A1085))</f>
        <v/>
      </c>
      <c r="AA1085" s="55">
        <f>IF(B1085="","",ROUND(Z1085*MileRate,2))</f>
        <v/>
      </c>
      <c r="AB1085" s="55">
        <f>IF(B1085="","",SUMIFS('REVENUE'!$J$5:$J$1504,'REVENUE'!$B$5:$B$1504,A1085))</f>
        <v/>
      </c>
      <c r="AC1085" s="55">
        <f>IF(L1085="","",IF(OR(O1085="Cancelled",O1085="No-Show"),"",L1085-N(X1085)-N(Y1085)-AA1085-AB1085))</f>
        <v/>
      </c>
      <c r="AD1085" s="99">
        <f>IF(OR(AC1085="",N(L1085)=0),"",AC1085/L1085)</f>
        <v/>
      </c>
      <c r="AE1085" s="55">
        <f>IF(OR(AC1085="",N(R1085)=0),"",L1085/R1085)</f>
        <v/>
      </c>
      <c r="AF1085" s="100">
        <f>IF(OR(N(K1085)=0,N(J1085)+N(Q1085)=0),"",K1085-IF(N(J1085)&gt;0,J1085,Q1085))</f>
        <v/>
      </c>
      <c r="AG1085" s="99">
        <f>IF(B1085="","",IFERROR(AVERAGEIFS('QUALITY CONTROL'!$M$5:$M$304,'QUALITY CONTROL'!$B$5:$B$304,A1085),""))</f>
        <v/>
      </c>
      <c r="AH1085" s="51">
        <f>IF(B1085="","",DATE(YEAR(B1085),MONTH(B1085),1))</f>
        <v/>
      </c>
      <c r="AI1085" s="49">
        <f>IF(D1085="","",IFERROR(INDEX('CUSTOMERS'!$E$5:$E$404,MATCH(D1085,'CUSTOMERS'!$B$5:$B$404,0)),""))</f>
        <v/>
      </c>
      <c r="AJ1085" s="49">
        <f>IF(B1085="","",N(C1085))</f>
        <v/>
      </c>
      <c r="AK1085" s="49">
        <f>IF(OR(B1085="",O1085="Cancelled",O1085="Rescheduled"),"",B1085&amp;"|"&amp;(COUNTIFS('JOBS'!$B$5:$B$1504,B1085,'JOBS'!$AJ$5:$AJ$1504,"&lt;"&amp;AJ1085,'JOBS'!$O$5:$O$1504,"&lt;&gt;Cancelled",'JOBS'!$O$5:$O$1504,"&lt;&gt;Rescheduled")+COUNTIFS($B$5:B1085,B1085,$AJ$5:AJ1085,AJ1085,$O$5:O1085,"&lt;&gt;Cancelled",$O$5:O1085,"&lt;&gt;Rescheduled")))</f>
        <v/>
      </c>
      <c r="AL1085" s="49">
        <f>IF(N(U1085)&lt;=0.005,"",COUNTIFS('JOBS'!$U$5:$U$1504,"&gt;0.005",'JOBS'!$B$5:$B$1504,"&lt;"&amp;B1085)+COUNTIFS($U$5:U1085,"&gt;0.005",$B$5:B1085,B1085))</f>
        <v/>
      </c>
    </row>
    <row r="1086">
      <c r="A1086" s="46" t="inlineStr">
        <is>
          <t>J-1082</t>
        </is>
      </c>
      <c r="B1086" s="47" t="n"/>
      <c r="C1086" s="94" t="n"/>
      <c r="D1086" s="38" t="n"/>
      <c r="E1086" s="38" t="n"/>
      <c r="F1086" s="38" t="n"/>
      <c r="G1086" s="38" t="n"/>
      <c r="H1086" s="38" t="n"/>
      <c r="I1086" s="57" t="n"/>
      <c r="J1086" s="95" t="n"/>
      <c r="K1086" s="95" t="n"/>
      <c r="L1086" s="48" t="n"/>
      <c r="M1086" s="96" t="n"/>
      <c r="N1086" s="48" t="n"/>
      <c r="O1086" s="38" t="n"/>
      <c r="P1086" s="38" t="n"/>
      <c r="Q1086" s="97">
        <f>IF(OR(F1086="",E1086=""),"",IFERROR(IF(INDEX('PROPERTIES'!$F$5:$F$404,MATCH(E1086,'PROPERTIES'!$B$5:$B$404,0))=0,"",ROUND((INDEX('PROPERTIES'!$F$5:$F$404,MATCH(E1086,'PROPERTIES'!$B$5:$B$404,0))/INDEX('PRICING'!$C$7:$C$16,MATCH(F1086,'PRICING'!$A$7:$A$16,0))+INDEX('PROPERTIES'!$G$5:$G$404,MATCH(E1086,'PROPERTIES'!$B$5:$B$404,0))*INDEX('PRICING'!$D$7:$D$16,MATCH(F1086,'PRICING'!$A$7:$A$16,0))/60+INDEX('PROPERTIES'!$H$5:$H$404,MATCH(E1086,'PROPERTIES'!$B$5:$B$404,0))*INDEX('PRICING'!$E$7:$E$16,MATCH(F1086,'PRICING'!$A$7:$A$16,0))/60+INDEX('PRICING'!$F$7:$F$16,MATCH(F1086,'PRICING'!$A$7:$A$16,0))/60),2)),""))</f>
        <v/>
      </c>
      <c r="R1086" s="97">
        <f>IF(B1086="","",IF(N(K1086)&gt;0,K1086,IF(N(J1086)&gt;0,J1086,N(Q1086))))</f>
        <v/>
      </c>
      <c r="S1086" s="55">
        <f>IF(L1086="","",ROUND(L1086*(1+N(M1086)),2))</f>
        <v/>
      </c>
      <c r="T1086" s="55">
        <f>IF(B1086="","",SUMIFS('REVENUE'!$C$5:$C$1504,'REVENUE'!$B$5:$B$1504,A1086))</f>
        <v/>
      </c>
      <c r="U1086" s="55">
        <f>IF(B1086="","",IF(O1086="Completed",MAX(0,N(S1086)-T1086),""))</f>
        <v/>
      </c>
      <c r="V1086" s="49">
        <f>IF(B1086="","",IF(O1086&lt;&gt;"Completed",IF(T1086&gt;0,"Deposit","—"),IF(U1086&lt;=0.005,"Paid",IF(T1086&gt;0,"Partial","Unpaid"))))</f>
        <v/>
      </c>
      <c r="W1086" s="55">
        <f>IF(B1086="","",IFERROR(1/(1/INDEX('STAFF &amp; TASKS'!$C$5:$C$24,MATCH(H1086,'STAFF &amp; TASKS'!$A$5:$A$24,0))),PayRate))</f>
        <v/>
      </c>
      <c r="X1086" s="55">
        <f>IF(B1086="","",IF(OR(O1086="Cancelled",O1086="No-Show"),"",ROUND(R1086*W1086*(1+Burden),2)))</f>
        <v/>
      </c>
      <c r="Y1086" s="55">
        <f>IF(B1086="","",IF(OR(O1086="Cancelled",O1086="No-Show"),"",IF(N1086&lt;&gt;"",N1086,ROUND(R1086*SupHr*IFERROR(INDEX('PRICING'!$G$7:$G$16,MATCH(F1086,'PRICING'!$A$7:$A$16,0)),1),2))))</f>
        <v/>
      </c>
      <c r="Z1086" s="98">
        <f>IF(B1086="","",SUMIFS('MILEAGE'!$J$5:$J$1504,'MILEAGE'!$B$5:$B$1504,A1086))</f>
        <v/>
      </c>
      <c r="AA1086" s="55">
        <f>IF(B1086="","",ROUND(Z1086*MileRate,2))</f>
        <v/>
      </c>
      <c r="AB1086" s="55">
        <f>IF(B1086="","",SUMIFS('REVENUE'!$J$5:$J$1504,'REVENUE'!$B$5:$B$1504,A1086))</f>
        <v/>
      </c>
      <c r="AC1086" s="55">
        <f>IF(L1086="","",IF(OR(O1086="Cancelled",O1086="No-Show"),"",L1086-N(X1086)-N(Y1086)-AA1086-AB1086))</f>
        <v/>
      </c>
      <c r="AD1086" s="99">
        <f>IF(OR(AC1086="",N(L1086)=0),"",AC1086/L1086)</f>
        <v/>
      </c>
      <c r="AE1086" s="55">
        <f>IF(OR(AC1086="",N(R1086)=0),"",L1086/R1086)</f>
        <v/>
      </c>
      <c r="AF1086" s="100">
        <f>IF(OR(N(K1086)=0,N(J1086)+N(Q1086)=0),"",K1086-IF(N(J1086)&gt;0,J1086,Q1086))</f>
        <v/>
      </c>
      <c r="AG1086" s="99">
        <f>IF(B1086="","",IFERROR(AVERAGEIFS('QUALITY CONTROL'!$M$5:$M$304,'QUALITY CONTROL'!$B$5:$B$304,A1086),""))</f>
        <v/>
      </c>
      <c r="AH1086" s="51">
        <f>IF(B1086="","",DATE(YEAR(B1086),MONTH(B1086),1))</f>
        <v/>
      </c>
      <c r="AI1086" s="49">
        <f>IF(D1086="","",IFERROR(INDEX('CUSTOMERS'!$E$5:$E$404,MATCH(D1086,'CUSTOMERS'!$B$5:$B$404,0)),""))</f>
        <v/>
      </c>
      <c r="AJ1086" s="49">
        <f>IF(B1086="","",N(C1086))</f>
        <v/>
      </c>
      <c r="AK1086" s="49">
        <f>IF(OR(B1086="",O1086="Cancelled",O1086="Rescheduled"),"",B1086&amp;"|"&amp;(COUNTIFS('JOBS'!$B$5:$B$1504,B1086,'JOBS'!$AJ$5:$AJ$1504,"&lt;"&amp;AJ1086,'JOBS'!$O$5:$O$1504,"&lt;&gt;Cancelled",'JOBS'!$O$5:$O$1504,"&lt;&gt;Rescheduled")+COUNTIFS($B$5:B1086,B1086,$AJ$5:AJ1086,AJ1086,$O$5:O1086,"&lt;&gt;Cancelled",$O$5:O1086,"&lt;&gt;Rescheduled")))</f>
        <v/>
      </c>
      <c r="AL1086" s="49">
        <f>IF(N(U1086)&lt;=0.005,"",COUNTIFS('JOBS'!$U$5:$U$1504,"&gt;0.005",'JOBS'!$B$5:$B$1504,"&lt;"&amp;B1086)+COUNTIFS($U$5:U1086,"&gt;0.005",$B$5:B1086,B1086))</f>
        <v/>
      </c>
    </row>
    <row r="1087">
      <c r="A1087" s="46" t="inlineStr">
        <is>
          <t>J-1083</t>
        </is>
      </c>
      <c r="B1087" s="47" t="n"/>
      <c r="C1087" s="94" t="n"/>
      <c r="D1087" s="38" t="n"/>
      <c r="E1087" s="38" t="n"/>
      <c r="F1087" s="38" t="n"/>
      <c r="G1087" s="38" t="n"/>
      <c r="H1087" s="38" t="n"/>
      <c r="I1087" s="57" t="n"/>
      <c r="J1087" s="95" t="n"/>
      <c r="K1087" s="95" t="n"/>
      <c r="L1087" s="48" t="n"/>
      <c r="M1087" s="96" t="n"/>
      <c r="N1087" s="48" t="n"/>
      <c r="O1087" s="38" t="n"/>
      <c r="P1087" s="38" t="n"/>
      <c r="Q1087" s="97">
        <f>IF(OR(F1087="",E1087=""),"",IFERROR(IF(INDEX('PROPERTIES'!$F$5:$F$404,MATCH(E1087,'PROPERTIES'!$B$5:$B$404,0))=0,"",ROUND((INDEX('PROPERTIES'!$F$5:$F$404,MATCH(E1087,'PROPERTIES'!$B$5:$B$404,0))/INDEX('PRICING'!$C$7:$C$16,MATCH(F1087,'PRICING'!$A$7:$A$16,0))+INDEX('PROPERTIES'!$G$5:$G$404,MATCH(E1087,'PROPERTIES'!$B$5:$B$404,0))*INDEX('PRICING'!$D$7:$D$16,MATCH(F1087,'PRICING'!$A$7:$A$16,0))/60+INDEX('PROPERTIES'!$H$5:$H$404,MATCH(E1087,'PROPERTIES'!$B$5:$B$404,0))*INDEX('PRICING'!$E$7:$E$16,MATCH(F1087,'PRICING'!$A$7:$A$16,0))/60+INDEX('PRICING'!$F$7:$F$16,MATCH(F1087,'PRICING'!$A$7:$A$16,0))/60),2)),""))</f>
        <v/>
      </c>
      <c r="R1087" s="97">
        <f>IF(B1087="","",IF(N(K1087)&gt;0,K1087,IF(N(J1087)&gt;0,J1087,N(Q1087))))</f>
        <v/>
      </c>
      <c r="S1087" s="55">
        <f>IF(L1087="","",ROUND(L1087*(1+N(M1087)),2))</f>
        <v/>
      </c>
      <c r="T1087" s="55">
        <f>IF(B1087="","",SUMIFS('REVENUE'!$C$5:$C$1504,'REVENUE'!$B$5:$B$1504,A1087))</f>
        <v/>
      </c>
      <c r="U1087" s="55">
        <f>IF(B1087="","",IF(O1087="Completed",MAX(0,N(S1087)-T1087),""))</f>
        <v/>
      </c>
      <c r="V1087" s="49">
        <f>IF(B1087="","",IF(O1087&lt;&gt;"Completed",IF(T1087&gt;0,"Deposit","—"),IF(U1087&lt;=0.005,"Paid",IF(T1087&gt;0,"Partial","Unpaid"))))</f>
        <v/>
      </c>
      <c r="W1087" s="55">
        <f>IF(B1087="","",IFERROR(1/(1/INDEX('STAFF &amp; TASKS'!$C$5:$C$24,MATCH(H1087,'STAFF &amp; TASKS'!$A$5:$A$24,0))),PayRate))</f>
        <v/>
      </c>
      <c r="X1087" s="55">
        <f>IF(B1087="","",IF(OR(O1087="Cancelled",O1087="No-Show"),"",ROUND(R1087*W1087*(1+Burden),2)))</f>
        <v/>
      </c>
      <c r="Y1087" s="55">
        <f>IF(B1087="","",IF(OR(O1087="Cancelled",O1087="No-Show"),"",IF(N1087&lt;&gt;"",N1087,ROUND(R1087*SupHr*IFERROR(INDEX('PRICING'!$G$7:$G$16,MATCH(F1087,'PRICING'!$A$7:$A$16,0)),1),2))))</f>
        <v/>
      </c>
      <c r="Z1087" s="98">
        <f>IF(B1087="","",SUMIFS('MILEAGE'!$J$5:$J$1504,'MILEAGE'!$B$5:$B$1504,A1087))</f>
        <v/>
      </c>
      <c r="AA1087" s="55">
        <f>IF(B1087="","",ROUND(Z1087*MileRate,2))</f>
        <v/>
      </c>
      <c r="AB1087" s="55">
        <f>IF(B1087="","",SUMIFS('REVENUE'!$J$5:$J$1504,'REVENUE'!$B$5:$B$1504,A1087))</f>
        <v/>
      </c>
      <c r="AC1087" s="55">
        <f>IF(L1087="","",IF(OR(O1087="Cancelled",O1087="No-Show"),"",L1087-N(X1087)-N(Y1087)-AA1087-AB1087))</f>
        <v/>
      </c>
      <c r="AD1087" s="99">
        <f>IF(OR(AC1087="",N(L1087)=0),"",AC1087/L1087)</f>
        <v/>
      </c>
      <c r="AE1087" s="55">
        <f>IF(OR(AC1087="",N(R1087)=0),"",L1087/R1087)</f>
        <v/>
      </c>
      <c r="AF1087" s="100">
        <f>IF(OR(N(K1087)=0,N(J1087)+N(Q1087)=0),"",K1087-IF(N(J1087)&gt;0,J1087,Q1087))</f>
        <v/>
      </c>
      <c r="AG1087" s="99">
        <f>IF(B1087="","",IFERROR(AVERAGEIFS('QUALITY CONTROL'!$M$5:$M$304,'QUALITY CONTROL'!$B$5:$B$304,A1087),""))</f>
        <v/>
      </c>
      <c r="AH1087" s="51">
        <f>IF(B1087="","",DATE(YEAR(B1087),MONTH(B1087),1))</f>
        <v/>
      </c>
      <c r="AI1087" s="49">
        <f>IF(D1087="","",IFERROR(INDEX('CUSTOMERS'!$E$5:$E$404,MATCH(D1087,'CUSTOMERS'!$B$5:$B$404,0)),""))</f>
        <v/>
      </c>
      <c r="AJ1087" s="49">
        <f>IF(B1087="","",N(C1087))</f>
        <v/>
      </c>
      <c r="AK1087" s="49">
        <f>IF(OR(B1087="",O1087="Cancelled",O1087="Rescheduled"),"",B1087&amp;"|"&amp;(COUNTIFS('JOBS'!$B$5:$B$1504,B1087,'JOBS'!$AJ$5:$AJ$1504,"&lt;"&amp;AJ1087,'JOBS'!$O$5:$O$1504,"&lt;&gt;Cancelled",'JOBS'!$O$5:$O$1504,"&lt;&gt;Rescheduled")+COUNTIFS($B$5:B1087,B1087,$AJ$5:AJ1087,AJ1087,$O$5:O1087,"&lt;&gt;Cancelled",$O$5:O1087,"&lt;&gt;Rescheduled")))</f>
        <v/>
      </c>
      <c r="AL1087" s="49">
        <f>IF(N(U1087)&lt;=0.005,"",COUNTIFS('JOBS'!$U$5:$U$1504,"&gt;0.005",'JOBS'!$B$5:$B$1504,"&lt;"&amp;B1087)+COUNTIFS($U$5:U1087,"&gt;0.005",$B$5:B1087,B1087))</f>
        <v/>
      </c>
    </row>
    <row r="1088">
      <c r="A1088" s="46" t="inlineStr">
        <is>
          <t>J-1084</t>
        </is>
      </c>
      <c r="B1088" s="47" t="n"/>
      <c r="C1088" s="94" t="n"/>
      <c r="D1088" s="38" t="n"/>
      <c r="E1088" s="38" t="n"/>
      <c r="F1088" s="38" t="n"/>
      <c r="G1088" s="38" t="n"/>
      <c r="H1088" s="38" t="n"/>
      <c r="I1088" s="57" t="n"/>
      <c r="J1088" s="95" t="n"/>
      <c r="K1088" s="95" t="n"/>
      <c r="L1088" s="48" t="n"/>
      <c r="M1088" s="96" t="n"/>
      <c r="N1088" s="48" t="n"/>
      <c r="O1088" s="38" t="n"/>
      <c r="P1088" s="38" t="n"/>
      <c r="Q1088" s="97">
        <f>IF(OR(F1088="",E1088=""),"",IFERROR(IF(INDEX('PROPERTIES'!$F$5:$F$404,MATCH(E1088,'PROPERTIES'!$B$5:$B$404,0))=0,"",ROUND((INDEX('PROPERTIES'!$F$5:$F$404,MATCH(E1088,'PROPERTIES'!$B$5:$B$404,0))/INDEX('PRICING'!$C$7:$C$16,MATCH(F1088,'PRICING'!$A$7:$A$16,0))+INDEX('PROPERTIES'!$G$5:$G$404,MATCH(E1088,'PROPERTIES'!$B$5:$B$404,0))*INDEX('PRICING'!$D$7:$D$16,MATCH(F1088,'PRICING'!$A$7:$A$16,0))/60+INDEX('PROPERTIES'!$H$5:$H$404,MATCH(E1088,'PROPERTIES'!$B$5:$B$404,0))*INDEX('PRICING'!$E$7:$E$16,MATCH(F1088,'PRICING'!$A$7:$A$16,0))/60+INDEX('PRICING'!$F$7:$F$16,MATCH(F1088,'PRICING'!$A$7:$A$16,0))/60),2)),""))</f>
        <v/>
      </c>
      <c r="R1088" s="97">
        <f>IF(B1088="","",IF(N(K1088)&gt;0,K1088,IF(N(J1088)&gt;0,J1088,N(Q1088))))</f>
        <v/>
      </c>
      <c r="S1088" s="55">
        <f>IF(L1088="","",ROUND(L1088*(1+N(M1088)),2))</f>
        <v/>
      </c>
      <c r="T1088" s="55">
        <f>IF(B1088="","",SUMIFS('REVENUE'!$C$5:$C$1504,'REVENUE'!$B$5:$B$1504,A1088))</f>
        <v/>
      </c>
      <c r="U1088" s="55">
        <f>IF(B1088="","",IF(O1088="Completed",MAX(0,N(S1088)-T1088),""))</f>
        <v/>
      </c>
      <c r="V1088" s="49">
        <f>IF(B1088="","",IF(O1088&lt;&gt;"Completed",IF(T1088&gt;0,"Deposit","—"),IF(U1088&lt;=0.005,"Paid",IF(T1088&gt;0,"Partial","Unpaid"))))</f>
        <v/>
      </c>
      <c r="W1088" s="55">
        <f>IF(B1088="","",IFERROR(1/(1/INDEX('STAFF &amp; TASKS'!$C$5:$C$24,MATCH(H1088,'STAFF &amp; TASKS'!$A$5:$A$24,0))),PayRate))</f>
        <v/>
      </c>
      <c r="X1088" s="55">
        <f>IF(B1088="","",IF(OR(O1088="Cancelled",O1088="No-Show"),"",ROUND(R1088*W1088*(1+Burden),2)))</f>
        <v/>
      </c>
      <c r="Y1088" s="55">
        <f>IF(B1088="","",IF(OR(O1088="Cancelled",O1088="No-Show"),"",IF(N1088&lt;&gt;"",N1088,ROUND(R1088*SupHr*IFERROR(INDEX('PRICING'!$G$7:$G$16,MATCH(F1088,'PRICING'!$A$7:$A$16,0)),1),2))))</f>
        <v/>
      </c>
      <c r="Z1088" s="98">
        <f>IF(B1088="","",SUMIFS('MILEAGE'!$J$5:$J$1504,'MILEAGE'!$B$5:$B$1504,A1088))</f>
        <v/>
      </c>
      <c r="AA1088" s="55">
        <f>IF(B1088="","",ROUND(Z1088*MileRate,2))</f>
        <v/>
      </c>
      <c r="AB1088" s="55">
        <f>IF(B1088="","",SUMIFS('REVENUE'!$J$5:$J$1504,'REVENUE'!$B$5:$B$1504,A1088))</f>
        <v/>
      </c>
      <c r="AC1088" s="55">
        <f>IF(L1088="","",IF(OR(O1088="Cancelled",O1088="No-Show"),"",L1088-N(X1088)-N(Y1088)-AA1088-AB1088))</f>
        <v/>
      </c>
      <c r="AD1088" s="99">
        <f>IF(OR(AC1088="",N(L1088)=0),"",AC1088/L1088)</f>
        <v/>
      </c>
      <c r="AE1088" s="55">
        <f>IF(OR(AC1088="",N(R1088)=0),"",L1088/R1088)</f>
        <v/>
      </c>
      <c r="AF1088" s="100">
        <f>IF(OR(N(K1088)=0,N(J1088)+N(Q1088)=0),"",K1088-IF(N(J1088)&gt;0,J1088,Q1088))</f>
        <v/>
      </c>
      <c r="AG1088" s="99">
        <f>IF(B1088="","",IFERROR(AVERAGEIFS('QUALITY CONTROL'!$M$5:$M$304,'QUALITY CONTROL'!$B$5:$B$304,A1088),""))</f>
        <v/>
      </c>
      <c r="AH1088" s="51">
        <f>IF(B1088="","",DATE(YEAR(B1088),MONTH(B1088),1))</f>
        <v/>
      </c>
      <c r="AI1088" s="49">
        <f>IF(D1088="","",IFERROR(INDEX('CUSTOMERS'!$E$5:$E$404,MATCH(D1088,'CUSTOMERS'!$B$5:$B$404,0)),""))</f>
        <v/>
      </c>
      <c r="AJ1088" s="49">
        <f>IF(B1088="","",N(C1088))</f>
        <v/>
      </c>
      <c r="AK1088" s="49">
        <f>IF(OR(B1088="",O1088="Cancelled",O1088="Rescheduled"),"",B1088&amp;"|"&amp;(COUNTIFS('JOBS'!$B$5:$B$1504,B1088,'JOBS'!$AJ$5:$AJ$1504,"&lt;"&amp;AJ1088,'JOBS'!$O$5:$O$1504,"&lt;&gt;Cancelled",'JOBS'!$O$5:$O$1504,"&lt;&gt;Rescheduled")+COUNTIFS($B$5:B1088,B1088,$AJ$5:AJ1088,AJ1088,$O$5:O1088,"&lt;&gt;Cancelled",$O$5:O1088,"&lt;&gt;Rescheduled")))</f>
        <v/>
      </c>
      <c r="AL1088" s="49">
        <f>IF(N(U1088)&lt;=0.005,"",COUNTIFS('JOBS'!$U$5:$U$1504,"&gt;0.005",'JOBS'!$B$5:$B$1504,"&lt;"&amp;B1088)+COUNTIFS($U$5:U1088,"&gt;0.005",$B$5:B1088,B1088))</f>
        <v/>
      </c>
    </row>
    <row r="1089">
      <c r="A1089" s="46" t="inlineStr">
        <is>
          <t>J-1085</t>
        </is>
      </c>
      <c r="B1089" s="47" t="n"/>
      <c r="C1089" s="94" t="n"/>
      <c r="D1089" s="38" t="n"/>
      <c r="E1089" s="38" t="n"/>
      <c r="F1089" s="38" t="n"/>
      <c r="G1089" s="38" t="n"/>
      <c r="H1089" s="38" t="n"/>
      <c r="I1089" s="57" t="n"/>
      <c r="J1089" s="95" t="n"/>
      <c r="K1089" s="95" t="n"/>
      <c r="L1089" s="48" t="n"/>
      <c r="M1089" s="96" t="n"/>
      <c r="N1089" s="48" t="n"/>
      <c r="O1089" s="38" t="n"/>
      <c r="P1089" s="38" t="n"/>
      <c r="Q1089" s="97">
        <f>IF(OR(F1089="",E1089=""),"",IFERROR(IF(INDEX('PROPERTIES'!$F$5:$F$404,MATCH(E1089,'PROPERTIES'!$B$5:$B$404,0))=0,"",ROUND((INDEX('PROPERTIES'!$F$5:$F$404,MATCH(E1089,'PROPERTIES'!$B$5:$B$404,0))/INDEX('PRICING'!$C$7:$C$16,MATCH(F1089,'PRICING'!$A$7:$A$16,0))+INDEX('PROPERTIES'!$G$5:$G$404,MATCH(E1089,'PROPERTIES'!$B$5:$B$404,0))*INDEX('PRICING'!$D$7:$D$16,MATCH(F1089,'PRICING'!$A$7:$A$16,0))/60+INDEX('PROPERTIES'!$H$5:$H$404,MATCH(E1089,'PROPERTIES'!$B$5:$B$404,0))*INDEX('PRICING'!$E$7:$E$16,MATCH(F1089,'PRICING'!$A$7:$A$16,0))/60+INDEX('PRICING'!$F$7:$F$16,MATCH(F1089,'PRICING'!$A$7:$A$16,0))/60),2)),""))</f>
        <v/>
      </c>
      <c r="R1089" s="97">
        <f>IF(B1089="","",IF(N(K1089)&gt;0,K1089,IF(N(J1089)&gt;0,J1089,N(Q1089))))</f>
        <v/>
      </c>
      <c r="S1089" s="55">
        <f>IF(L1089="","",ROUND(L1089*(1+N(M1089)),2))</f>
        <v/>
      </c>
      <c r="T1089" s="55">
        <f>IF(B1089="","",SUMIFS('REVENUE'!$C$5:$C$1504,'REVENUE'!$B$5:$B$1504,A1089))</f>
        <v/>
      </c>
      <c r="U1089" s="55">
        <f>IF(B1089="","",IF(O1089="Completed",MAX(0,N(S1089)-T1089),""))</f>
        <v/>
      </c>
      <c r="V1089" s="49">
        <f>IF(B1089="","",IF(O1089&lt;&gt;"Completed",IF(T1089&gt;0,"Deposit","—"),IF(U1089&lt;=0.005,"Paid",IF(T1089&gt;0,"Partial","Unpaid"))))</f>
        <v/>
      </c>
      <c r="W1089" s="55">
        <f>IF(B1089="","",IFERROR(1/(1/INDEX('STAFF &amp; TASKS'!$C$5:$C$24,MATCH(H1089,'STAFF &amp; TASKS'!$A$5:$A$24,0))),PayRate))</f>
        <v/>
      </c>
      <c r="X1089" s="55">
        <f>IF(B1089="","",IF(OR(O1089="Cancelled",O1089="No-Show"),"",ROUND(R1089*W1089*(1+Burden),2)))</f>
        <v/>
      </c>
      <c r="Y1089" s="55">
        <f>IF(B1089="","",IF(OR(O1089="Cancelled",O1089="No-Show"),"",IF(N1089&lt;&gt;"",N1089,ROUND(R1089*SupHr*IFERROR(INDEX('PRICING'!$G$7:$G$16,MATCH(F1089,'PRICING'!$A$7:$A$16,0)),1),2))))</f>
        <v/>
      </c>
      <c r="Z1089" s="98">
        <f>IF(B1089="","",SUMIFS('MILEAGE'!$J$5:$J$1504,'MILEAGE'!$B$5:$B$1504,A1089))</f>
        <v/>
      </c>
      <c r="AA1089" s="55">
        <f>IF(B1089="","",ROUND(Z1089*MileRate,2))</f>
        <v/>
      </c>
      <c r="AB1089" s="55">
        <f>IF(B1089="","",SUMIFS('REVENUE'!$J$5:$J$1504,'REVENUE'!$B$5:$B$1504,A1089))</f>
        <v/>
      </c>
      <c r="AC1089" s="55">
        <f>IF(L1089="","",IF(OR(O1089="Cancelled",O1089="No-Show"),"",L1089-N(X1089)-N(Y1089)-AA1089-AB1089))</f>
        <v/>
      </c>
      <c r="AD1089" s="99">
        <f>IF(OR(AC1089="",N(L1089)=0),"",AC1089/L1089)</f>
        <v/>
      </c>
      <c r="AE1089" s="55">
        <f>IF(OR(AC1089="",N(R1089)=0),"",L1089/R1089)</f>
        <v/>
      </c>
      <c r="AF1089" s="100">
        <f>IF(OR(N(K1089)=0,N(J1089)+N(Q1089)=0),"",K1089-IF(N(J1089)&gt;0,J1089,Q1089))</f>
        <v/>
      </c>
      <c r="AG1089" s="99">
        <f>IF(B1089="","",IFERROR(AVERAGEIFS('QUALITY CONTROL'!$M$5:$M$304,'QUALITY CONTROL'!$B$5:$B$304,A1089),""))</f>
        <v/>
      </c>
      <c r="AH1089" s="51">
        <f>IF(B1089="","",DATE(YEAR(B1089),MONTH(B1089),1))</f>
        <v/>
      </c>
      <c r="AI1089" s="49">
        <f>IF(D1089="","",IFERROR(INDEX('CUSTOMERS'!$E$5:$E$404,MATCH(D1089,'CUSTOMERS'!$B$5:$B$404,0)),""))</f>
        <v/>
      </c>
      <c r="AJ1089" s="49">
        <f>IF(B1089="","",N(C1089))</f>
        <v/>
      </c>
      <c r="AK1089" s="49">
        <f>IF(OR(B1089="",O1089="Cancelled",O1089="Rescheduled"),"",B1089&amp;"|"&amp;(COUNTIFS('JOBS'!$B$5:$B$1504,B1089,'JOBS'!$AJ$5:$AJ$1504,"&lt;"&amp;AJ1089,'JOBS'!$O$5:$O$1504,"&lt;&gt;Cancelled",'JOBS'!$O$5:$O$1504,"&lt;&gt;Rescheduled")+COUNTIFS($B$5:B1089,B1089,$AJ$5:AJ1089,AJ1089,$O$5:O1089,"&lt;&gt;Cancelled",$O$5:O1089,"&lt;&gt;Rescheduled")))</f>
        <v/>
      </c>
      <c r="AL1089" s="49">
        <f>IF(N(U1089)&lt;=0.005,"",COUNTIFS('JOBS'!$U$5:$U$1504,"&gt;0.005",'JOBS'!$B$5:$B$1504,"&lt;"&amp;B1089)+COUNTIFS($U$5:U1089,"&gt;0.005",$B$5:B1089,B1089))</f>
        <v/>
      </c>
    </row>
    <row r="1090">
      <c r="A1090" s="46" t="inlineStr">
        <is>
          <t>J-1086</t>
        </is>
      </c>
      <c r="B1090" s="47" t="n"/>
      <c r="C1090" s="94" t="n"/>
      <c r="D1090" s="38" t="n"/>
      <c r="E1090" s="38" t="n"/>
      <c r="F1090" s="38" t="n"/>
      <c r="G1090" s="38" t="n"/>
      <c r="H1090" s="38" t="n"/>
      <c r="I1090" s="57" t="n"/>
      <c r="J1090" s="95" t="n"/>
      <c r="K1090" s="95" t="n"/>
      <c r="L1090" s="48" t="n"/>
      <c r="M1090" s="96" t="n"/>
      <c r="N1090" s="48" t="n"/>
      <c r="O1090" s="38" t="n"/>
      <c r="P1090" s="38" t="n"/>
      <c r="Q1090" s="97">
        <f>IF(OR(F1090="",E1090=""),"",IFERROR(IF(INDEX('PROPERTIES'!$F$5:$F$404,MATCH(E1090,'PROPERTIES'!$B$5:$B$404,0))=0,"",ROUND((INDEX('PROPERTIES'!$F$5:$F$404,MATCH(E1090,'PROPERTIES'!$B$5:$B$404,0))/INDEX('PRICING'!$C$7:$C$16,MATCH(F1090,'PRICING'!$A$7:$A$16,0))+INDEX('PROPERTIES'!$G$5:$G$404,MATCH(E1090,'PROPERTIES'!$B$5:$B$404,0))*INDEX('PRICING'!$D$7:$D$16,MATCH(F1090,'PRICING'!$A$7:$A$16,0))/60+INDEX('PROPERTIES'!$H$5:$H$404,MATCH(E1090,'PROPERTIES'!$B$5:$B$404,0))*INDEX('PRICING'!$E$7:$E$16,MATCH(F1090,'PRICING'!$A$7:$A$16,0))/60+INDEX('PRICING'!$F$7:$F$16,MATCH(F1090,'PRICING'!$A$7:$A$16,0))/60),2)),""))</f>
        <v/>
      </c>
      <c r="R1090" s="97">
        <f>IF(B1090="","",IF(N(K1090)&gt;0,K1090,IF(N(J1090)&gt;0,J1090,N(Q1090))))</f>
        <v/>
      </c>
      <c r="S1090" s="55">
        <f>IF(L1090="","",ROUND(L1090*(1+N(M1090)),2))</f>
        <v/>
      </c>
      <c r="T1090" s="55">
        <f>IF(B1090="","",SUMIFS('REVENUE'!$C$5:$C$1504,'REVENUE'!$B$5:$B$1504,A1090))</f>
        <v/>
      </c>
      <c r="U1090" s="55">
        <f>IF(B1090="","",IF(O1090="Completed",MAX(0,N(S1090)-T1090),""))</f>
        <v/>
      </c>
      <c r="V1090" s="49">
        <f>IF(B1090="","",IF(O1090&lt;&gt;"Completed",IF(T1090&gt;0,"Deposit","—"),IF(U1090&lt;=0.005,"Paid",IF(T1090&gt;0,"Partial","Unpaid"))))</f>
        <v/>
      </c>
      <c r="W1090" s="55">
        <f>IF(B1090="","",IFERROR(1/(1/INDEX('STAFF &amp; TASKS'!$C$5:$C$24,MATCH(H1090,'STAFF &amp; TASKS'!$A$5:$A$24,0))),PayRate))</f>
        <v/>
      </c>
      <c r="X1090" s="55">
        <f>IF(B1090="","",IF(OR(O1090="Cancelled",O1090="No-Show"),"",ROUND(R1090*W1090*(1+Burden),2)))</f>
        <v/>
      </c>
      <c r="Y1090" s="55">
        <f>IF(B1090="","",IF(OR(O1090="Cancelled",O1090="No-Show"),"",IF(N1090&lt;&gt;"",N1090,ROUND(R1090*SupHr*IFERROR(INDEX('PRICING'!$G$7:$G$16,MATCH(F1090,'PRICING'!$A$7:$A$16,0)),1),2))))</f>
        <v/>
      </c>
      <c r="Z1090" s="98">
        <f>IF(B1090="","",SUMIFS('MILEAGE'!$J$5:$J$1504,'MILEAGE'!$B$5:$B$1504,A1090))</f>
        <v/>
      </c>
      <c r="AA1090" s="55">
        <f>IF(B1090="","",ROUND(Z1090*MileRate,2))</f>
        <v/>
      </c>
      <c r="AB1090" s="55">
        <f>IF(B1090="","",SUMIFS('REVENUE'!$J$5:$J$1504,'REVENUE'!$B$5:$B$1504,A1090))</f>
        <v/>
      </c>
      <c r="AC1090" s="55">
        <f>IF(L1090="","",IF(OR(O1090="Cancelled",O1090="No-Show"),"",L1090-N(X1090)-N(Y1090)-AA1090-AB1090))</f>
        <v/>
      </c>
      <c r="AD1090" s="99">
        <f>IF(OR(AC1090="",N(L1090)=0),"",AC1090/L1090)</f>
        <v/>
      </c>
      <c r="AE1090" s="55">
        <f>IF(OR(AC1090="",N(R1090)=0),"",L1090/R1090)</f>
        <v/>
      </c>
      <c r="AF1090" s="100">
        <f>IF(OR(N(K1090)=0,N(J1090)+N(Q1090)=0),"",K1090-IF(N(J1090)&gt;0,J1090,Q1090))</f>
        <v/>
      </c>
      <c r="AG1090" s="99">
        <f>IF(B1090="","",IFERROR(AVERAGEIFS('QUALITY CONTROL'!$M$5:$M$304,'QUALITY CONTROL'!$B$5:$B$304,A1090),""))</f>
        <v/>
      </c>
      <c r="AH1090" s="51">
        <f>IF(B1090="","",DATE(YEAR(B1090),MONTH(B1090),1))</f>
        <v/>
      </c>
      <c r="AI1090" s="49">
        <f>IF(D1090="","",IFERROR(INDEX('CUSTOMERS'!$E$5:$E$404,MATCH(D1090,'CUSTOMERS'!$B$5:$B$404,0)),""))</f>
        <v/>
      </c>
      <c r="AJ1090" s="49">
        <f>IF(B1090="","",N(C1090))</f>
        <v/>
      </c>
      <c r="AK1090" s="49">
        <f>IF(OR(B1090="",O1090="Cancelled",O1090="Rescheduled"),"",B1090&amp;"|"&amp;(COUNTIFS('JOBS'!$B$5:$B$1504,B1090,'JOBS'!$AJ$5:$AJ$1504,"&lt;"&amp;AJ1090,'JOBS'!$O$5:$O$1504,"&lt;&gt;Cancelled",'JOBS'!$O$5:$O$1504,"&lt;&gt;Rescheduled")+COUNTIFS($B$5:B1090,B1090,$AJ$5:AJ1090,AJ1090,$O$5:O1090,"&lt;&gt;Cancelled",$O$5:O1090,"&lt;&gt;Rescheduled")))</f>
        <v/>
      </c>
      <c r="AL1090" s="49">
        <f>IF(N(U1090)&lt;=0.005,"",COUNTIFS('JOBS'!$U$5:$U$1504,"&gt;0.005",'JOBS'!$B$5:$B$1504,"&lt;"&amp;B1090)+COUNTIFS($U$5:U1090,"&gt;0.005",$B$5:B1090,B1090))</f>
        <v/>
      </c>
    </row>
    <row r="1091">
      <c r="A1091" s="46" t="inlineStr">
        <is>
          <t>J-1087</t>
        </is>
      </c>
      <c r="B1091" s="47" t="n"/>
      <c r="C1091" s="94" t="n"/>
      <c r="D1091" s="38" t="n"/>
      <c r="E1091" s="38" t="n"/>
      <c r="F1091" s="38" t="n"/>
      <c r="G1091" s="38" t="n"/>
      <c r="H1091" s="38" t="n"/>
      <c r="I1091" s="57" t="n"/>
      <c r="J1091" s="95" t="n"/>
      <c r="K1091" s="95" t="n"/>
      <c r="L1091" s="48" t="n"/>
      <c r="M1091" s="96" t="n"/>
      <c r="N1091" s="48" t="n"/>
      <c r="O1091" s="38" t="n"/>
      <c r="P1091" s="38" t="n"/>
      <c r="Q1091" s="97">
        <f>IF(OR(F1091="",E1091=""),"",IFERROR(IF(INDEX('PROPERTIES'!$F$5:$F$404,MATCH(E1091,'PROPERTIES'!$B$5:$B$404,0))=0,"",ROUND((INDEX('PROPERTIES'!$F$5:$F$404,MATCH(E1091,'PROPERTIES'!$B$5:$B$404,0))/INDEX('PRICING'!$C$7:$C$16,MATCH(F1091,'PRICING'!$A$7:$A$16,0))+INDEX('PROPERTIES'!$G$5:$G$404,MATCH(E1091,'PROPERTIES'!$B$5:$B$404,0))*INDEX('PRICING'!$D$7:$D$16,MATCH(F1091,'PRICING'!$A$7:$A$16,0))/60+INDEX('PROPERTIES'!$H$5:$H$404,MATCH(E1091,'PROPERTIES'!$B$5:$B$404,0))*INDEX('PRICING'!$E$7:$E$16,MATCH(F1091,'PRICING'!$A$7:$A$16,0))/60+INDEX('PRICING'!$F$7:$F$16,MATCH(F1091,'PRICING'!$A$7:$A$16,0))/60),2)),""))</f>
        <v/>
      </c>
      <c r="R1091" s="97">
        <f>IF(B1091="","",IF(N(K1091)&gt;0,K1091,IF(N(J1091)&gt;0,J1091,N(Q1091))))</f>
        <v/>
      </c>
      <c r="S1091" s="55">
        <f>IF(L1091="","",ROUND(L1091*(1+N(M1091)),2))</f>
        <v/>
      </c>
      <c r="T1091" s="55">
        <f>IF(B1091="","",SUMIFS('REVENUE'!$C$5:$C$1504,'REVENUE'!$B$5:$B$1504,A1091))</f>
        <v/>
      </c>
      <c r="U1091" s="55">
        <f>IF(B1091="","",IF(O1091="Completed",MAX(0,N(S1091)-T1091),""))</f>
        <v/>
      </c>
      <c r="V1091" s="49">
        <f>IF(B1091="","",IF(O1091&lt;&gt;"Completed",IF(T1091&gt;0,"Deposit","—"),IF(U1091&lt;=0.005,"Paid",IF(T1091&gt;0,"Partial","Unpaid"))))</f>
        <v/>
      </c>
      <c r="W1091" s="55">
        <f>IF(B1091="","",IFERROR(1/(1/INDEX('STAFF &amp; TASKS'!$C$5:$C$24,MATCH(H1091,'STAFF &amp; TASKS'!$A$5:$A$24,0))),PayRate))</f>
        <v/>
      </c>
      <c r="X1091" s="55">
        <f>IF(B1091="","",IF(OR(O1091="Cancelled",O1091="No-Show"),"",ROUND(R1091*W1091*(1+Burden),2)))</f>
        <v/>
      </c>
      <c r="Y1091" s="55">
        <f>IF(B1091="","",IF(OR(O1091="Cancelled",O1091="No-Show"),"",IF(N1091&lt;&gt;"",N1091,ROUND(R1091*SupHr*IFERROR(INDEX('PRICING'!$G$7:$G$16,MATCH(F1091,'PRICING'!$A$7:$A$16,0)),1),2))))</f>
        <v/>
      </c>
      <c r="Z1091" s="98">
        <f>IF(B1091="","",SUMIFS('MILEAGE'!$J$5:$J$1504,'MILEAGE'!$B$5:$B$1504,A1091))</f>
        <v/>
      </c>
      <c r="AA1091" s="55">
        <f>IF(B1091="","",ROUND(Z1091*MileRate,2))</f>
        <v/>
      </c>
      <c r="AB1091" s="55">
        <f>IF(B1091="","",SUMIFS('REVENUE'!$J$5:$J$1504,'REVENUE'!$B$5:$B$1504,A1091))</f>
        <v/>
      </c>
      <c r="AC1091" s="55">
        <f>IF(L1091="","",IF(OR(O1091="Cancelled",O1091="No-Show"),"",L1091-N(X1091)-N(Y1091)-AA1091-AB1091))</f>
        <v/>
      </c>
      <c r="AD1091" s="99">
        <f>IF(OR(AC1091="",N(L1091)=0),"",AC1091/L1091)</f>
        <v/>
      </c>
      <c r="AE1091" s="55">
        <f>IF(OR(AC1091="",N(R1091)=0),"",L1091/R1091)</f>
        <v/>
      </c>
      <c r="AF1091" s="100">
        <f>IF(OR(N(K1091)=0,N(J1091)+N(Q1091)=0),"",K1091-IF(N(J1091)&gt;0,J1091,Q1091))</f>
        <v/>
      </c>
      <c r="AG1091" s="99">
        <f>IF(B1091="","",IFERROR(AVERAGEIFS('QUALITY CONTROL'!$M$5:$M$304,'QUALITY CONTROL'!$B$5:$B$304,A1091),""))</f>
        <v/>
      </c>
      <c r="AH1091" s="51">
        <f>IF(B1091="","",DATE(YEAR(B1091),MONTH(B1091),1))</f>
        <v/>
      </c>
      <c r="AI1091" s="49">
        <f>IF(D1091="","",IFERROR(INDEX('CUSTOMERS'!$E$5:$E$404,MATCH(D1091,'CUSTOMERS'!$B$5:$B$404,0)),""))</f>
        <v/>
      </c>
      <c r="AJ1091" s="49">
        <f>IF(B1091="","",N(C1091))</f>
        <v/>
      </c>
      <c r="AK1091" s="49">
        <f>IF(OR(B1091="",O1091="Cancelled",O1091="Rescheduled"),"",B1091&amp;"|"&amp;(COUNTIFS('JOBS'!$B$5:$B$1504,B1091,'JOBS'!$AJ$5:$AJ$1504,"&lt;"&amp;AJ1091,'JOBS'!$O$5:$O$1504,"&lt;&gt;Cancelled",'JOBS'!$O$5:$O$1504,"&lt;&gt;Rescheduled")+COUNTIFS($B$5:B1091,B1091,$AJ$5:AJ1091,AJ1091,$O$5:O1091,"&lt;&gt;Cancelled",$O$5:O1091,"&lt;&gt;Rescheduled")))</f>
        <v/>
      </c>
      <c r="AL1091" s="49">
        <f>IF(N(U1091)&lt;=0.005,"",COUNTIFS('JOBS'!$U$5:$U$1504,"&gt;0.005",'JOBS'!$B$5:$B$1504,"&lt;"&amp;B1091)+COUNTIFS($U$5:U1091,"&gt;0.005",$B$5:B1091,B1091))</f>
        <v/>
      </c>
    </row>
    <row r="1092">
      <c r="A1092" s="46" t="inlineStr">
        <is>
          <t>J-1088</t>
        </is>
      </c>
      <c r="B1092" s="47" t="n"/>
      <c r="C1092" s="94" t="n"/>
      <c r="D1092" s="38" t="n"/>
      <c r="E1092" s="38" t="n"/>
      <c r="F1092" s="38" t="n"/>
      <c r="G1092" s="38" t="n"/>
      <c r="H1092" s="38" t="n"/>
      <c r="I1092" s="57" t="n"/>
      <c r="J1092" s="95" t="n"/>
      <c r="K1092" s="95" t="n"/>
      <c r="L1092" s="48" t="n"/>
      <c r="M1092" s="96" t="n"/>
      <c r="N1092" s="48" t="n"/>
      <c r="O1092" s="38" t="n"/>
      <c r="P1092" s="38" t="n"/>
      <c r="Q1092" s="97">
        <f>IF(OR(F1092="",E1092=""),"",IFERROR(IF(INDEX('PROPERTIES'!$F$5:$F$404,MATCH(E1092,'PROPERTIES'!$B$5:$B$404,0))=0,"",ROUND((INDEX('PROPERTIES'!$F$5:$F$404,MATCH(E1092,'PROPERTIES'!$B$5:$B$404,0))/INDEX('PRICING'!$C$7:$C$16,MATCH(F1092,'PRICING'!$A$7:$A$16,0))+INDEX('PROPERTIES'!$G$5:$G$404,MATCH(E1092,'PROPERTIES'!$B$5:$B$404,0))*INDEX('PRICING'!$D$7:$D$16,MATCH(F1092,'PRICING'!$A$7:$A$16,0))/60+INDEX('PROPERTIES'!$H$5:$H$404,MATCH(E1092,'PROPERTIES'!$B$5:$B$404,0))*INDEX('PRICING'!$E$7:$E$16,MATCH(F1092,'PRICING'!$A$7:$A$16,0))/60+INDEX('PRICING'!$F$7:$F$16,MATCH(F1092,'PRICING'!$A$7:$A$16,0))/60),2)),""))</f>
        <v/>
      </c>
      <c r="R1092" s="97">
        <f>IF(B1092="","",IF(N(K1092)&gt;0,K1092,IF(N(J1092)&gt;0,J1092,N(Q1092))))</f>
        <v/>
      </c>
      <c r="S1092" s="55">
        <f>IF(L1092="","",ROUND(L1092*(1+N(M1092)),2))</f>
        <v/>
      </c>
      <c r="T1092" s="55">
        <f>IF(B1092="","",SUMIFS('REVENUE'!$C$5:$C$1504,'REVENUE'!$B$5:$B$1504,A1092))</f>
        <v/>
      </c>
      <c r="U1092" s="55">
        <f>IF(B1092="","",IF(O1092="Completed",MAX(0,N(S1092)-T1092),""))</f>
        <v/>
      </c>
      <c r="V1092" s="49">
        <f>IF(B1092="","",IF(O1092&lt;&gt;"Completed",IF(T1092&gt;0,"Deposit","—"),IF(U1092&lt;=0.005,"Paid",IF(T1092&gt;0,"Partial","Unpaid"))))</f>
        <v/>
      </c>
      <c r="W1092" s="55">
        <f>IF(B1092="","",IFERROR(1/(1/INDEX('STAFF &amp; TASKS'!$C$5:$C$24,MATCH(H1092,'STAFF &amp; TASKS'!$A$5:$A$24,0))),PayRate))</f>
        <v/>
      </c>
      <c r="X1092" s="55">
        <f>IF(B1092="","",IF(OR(O1092="Cancelled",O1092="No-Show"),"",ROUND(R1092*W1092*(1+Burden),2)))</f>
        <v/>
      </c>
      <c r="Y1092" s="55">
        <f>IF(B1092="","",IF(OR(O1092="Cancelled",O1092="No-Show"),"",IF(N1092&lt;&gt;"",N1092,ROUND(R1092*SupHr*IFERROR(INDEX('PRICING'!$G$7:$G$16,MATCH(F1092,'PRICING'!$A$7:$A$16,0)),1),2))))</f>
        <v/>
      </c>
      <c r="Z1092" s="98">
        <f>IF(B1092="","",SUMIFS('MILEAGE'!$J$5:$J$1504,'MILEAGE'!$B$5:$B$1504,A1092))</f>
        <v/>
      </c>
      <c r="AA1092" s="55">
        <f>IF(B1092="","",ROUND(Z1092*MileRate,2))</f>
        <v/>
      </c>
      <c r="AB1092" s="55">
        <f>IF(B1092="","",SUMIFS('REVENUE'!$J$5:$J$1504,'REVENUE'!$B$5:$B$1504,A1092))</f>
        <v/>
      </c>
      <c r="AC1092" s="55">
        <f>IF(L1092="","",IF(OR(O1092="Cancelled",O1092="No-Show"),"",L1092-N(X1092)-N(Y1092)-AA1092-AB1092))</f>
        <v/>
      </c>
      <c r="AD1092" s="99">
        <f>IF(OR(AC1092="",N(L1092)=0),"",AC1092/L1092)</f>
        <v/>
      </c>
      <c r="AE1092" s="55">
        <f>IF(OR(AC1092="",N(R1092)=0),"",L1092/R1092)</f>
        <v/>
      </c>
      <c r="AF1092" s="100">
        <f>IF(OR(N(K1092)=0,N(J1092)+N(Q1092)=0),"",K1092-IF(N(J1092)&gt;0,J1092,Q1092))</f>
        <v/>
      </c>
      <c r="AG1092" s="99">
        <f>IF(B1092="","",IFERROR(AVERAGEIFS('QUALITY CONTROL'!$M$5:$M$304,'QUALITY CONTROL'!$B$5:$B$304,A1092),""))</f>
        <v/>
      </c>
      <c r="AH1092" s="51">
        <f>IF(B1092="","",DATE(YEAR(B1092),MONTH(B1092),1))</f>
        <v/>
      </c>
      <c r="AI1092" s="49">
        <f>IF(D1092="","",IFERROR(INDEX('CUSTOMERS'!$E$5:$E$404,MATCH(D1092,'CUSTOMERS'!$B$5:$B$404,0)),""))</f>
        <v/>
      </c>
      <c r="AJ1092" s="49">
        <f>IF(B1092="","",N(C1092))</f>
        <v/>
      </c>
      <c r="AK1092" s="49">
        <f>IF(OR(B1092="",O1092="Cancelled",O1092="Rescheduled"),"",B1092&amp;"|"&amp;(COUNTIFS('JOBS'!$B$5:$B$1504,B1092,'JOBS'!$AJ$5:$AJ$1504,"&lt;"&amp;AJ1092,'JOBS'!$O$5:$O$1504,"&lt;&gt;Cancelled",'JOBS'!$O$5:$O$1504,"&lt;&gt;Rescheduled")+COUNTIFS($B$5:B1092,B1092,$AJ$5:AJ1092,AJ1092,$O$5:O1092,"&lt;&gt;Cancelled",$O$5:O1092,"&lt;&gt;Rescheduled")))</f>
        <v/>
      </c>
      <c r="AL1092" s="49">
        <f>IF(N(U1092)&lt;=0.005,"",COUNTIFS('JOBS'!$U$5:$U$1504,"&gt;0.005",'JOBS'!$B$5:$B$1504,"&lt;"&amp;B1092)+COUNTIFS($U$5:U1092,"&gt;0.005",$B$5:B1092,B1092))</f>
        <v/>
      </c>
    </row>
    <row r="1093">
      <c r="A1093" s="46" t="inlineStr">
        <is>
          <t>J-1089</t>
        </is>
      </c>
      <c r="B1093" s="47" t="n"/>
      <c r="C1093" s="94" t="n"/>
      <c r="D1093" s="38" t="n"/>
      <c r="E1093" s="38" t="n"/>
      <c r="F1093" s="38" t="n"/>
      <c r="G1093" s="38" t="n"/>
      <c r="H1093" s="38" t="n"/>
      <c r="I1093" s="57" t="n"/>
      <c r="J1093" s="95" t="n"/>
      <c r="K1093" s="95" t="n"/>
      <c r="L1093" s="48" t="n"/>
      <c r="M1093" s="96" t="n"/>
      <c r="N1093" s="48" t="n"/>
      <c r="O1093" s="38" t="n"/>
      <c r="P1093" s="38" t="n"/>
      <c r="Q1093" s="97">
        <f>IF(OR(F1093="",E1093=""),"",IFERROR(IF(INDEX('PROPERTIES'!$F$5:$F$404,MATCH(E1093,'PROPERTIES'!$B$5:$B$404,0))=0,"",ROUND((INDEX('PROPERTIES'!$F$5:$F$404,MATCH(E1093,'PROPERTIES'!$B$5:$B$404,0))/INDEX('PRICING'!$C$7:$C$16,MATCH(F1093,'PRICING'!$A$7:$A$16,0))+INDEX('PROPERTIES'!$G$5:$G$404,MATCH(E1093,'PROPERTIES'!$B$5:$B$404,0))*INDEX('PRICING'!$D$7:$D$16,MATCH(F1093,'PRICING'!$A$7:$A$16,0))/60+INDEX('PROPERTIES'!$H$5:$H$404,MATCH(E1093,'PROPERTIES'!$B$5:$B$404,0))*INDEX('PRICING'!$E$7:$E$16,MATCH(F1093,'PRICING'!$A$7:$A$16,0))/60+INDEX('PRICING'!$F$7:$F$16,MATCH(F1093,'PRICING'!$A$7:$A$16,0))/60),2)),""))</f>
        <v/>
      </c>
      <c r="R1093" s="97">
        <f>IF(B1093="","",IF(N(K1093)&gt;0,K1093,IF(N(J1093)&gt;0,J1093,N(Q1093))))</f>
        <v/>
      </c>
      <c r="S1093" s="55">
        <f>IF(L1093="","",ROUND(L1093*(1+N(M1093)),2))</f>
        <v/>
      </c>
      <c r="T1093" s="55">
        <f>IF(B1093="","",SUMIFS('REVENUE'!$C$5:$C$1504,'REVENUE'!$B$5:$B$1504,A1093))</f>
        <v/>
      </c>
      <c r="U1093" s="55">
        <f>IF(B1093="","",IF(O1093="Completed",MAX(0,N(S1093)-T1093),""))</f>
        <v/>
      </c>
      <c r="V1093" s="49">
        <f>IF(B1093="","",IF(O1093&lt;&gt;"Completed",IF(T1093&gt;0,"Deposit","—"),IF(U1093&lt;=0.005,"Paid",IF(T1093&gt;0,"Partial","Unpaid"))))</f>
        <v/>
      </c>
      <c r="W1093" s="55">
        <f>IF(B1093="","",IFERROR(1/(1/INDEX('STAFF &amp; TASKS'!$C$5:$C$24,MATCH(H1093,'STAFF &amp; TASKS'!$A$5:$A$24,0))),PayRate))</f>
        <v/>
      </c>
      <c r="X1093" s="55">
        <f>IF(B1093="","",IF(OR(O1093="Cancelled",O1093="No-Show"),"",ROUND(R1093*W1093*(1+Burden),2)))</f>
        <v/>
      </c>
      <c r="Y1093" s="55">
        <f>IF(B1093="","",IF(OR(O1093="Cancelled",O1093="No-Show"),"",IF(N1093&lt;&gt;"",N1093,ROUND(R1093*SupHr*IFERROR(INDEX('PRICING'!$G$7:$G$16,MATCH(F1093,'PRICING'!$A$7:$A$16,0)),1),2))))</f>
        <v/>
      </c>
      <c r="Z1093" s="98">
        <f>IF(B1093="","",SUMIFS('MILEAGE'!$J$5:$J$1504,'MILEAGE'!$B$5:$B$1504,A1093))</f>
        <v/>
      </c>
      <c r="AA1093" s="55">
        <f>IF(B1093="","",ROUND(Z1093*MileRate,2))</f>
        <v/>
      </c>
      <c r="AB1093" s="55">
        <f>IF(B1093="","",SUMIFS('REVENUE'!$J$5:$J$1504,'REVENUE'!$B$5:$B$1504,A1093))</f>
        <v/>
      </c>
      <c r="AC1093" s="55">
        <f>IF(L1093="","",IF(OR(O1093="Cancelled",O1093="No-Show"),"",L1093-N(X1093)-N(Y1093)-AA1093-AB1093))</f>
        <v/>
      </c>
      <c r="AD1093" s="99">
        <f>IF(OR(AC1093="",N(L1093)=0),"",AC1093/L1093)</f>
        <v/>
      </c>
      <c r="AE1093" s="55">
        <f>IF(OR(AC1093="",N(R1093)=0),"",L1093/R1093)</f>
        <v/>
      </c>
      <c r="AF1093" s="100">
        <f>IF(OR(N(K1093)=0,N(J1093)+N(Q1093)=0),"",K1093-IF(N(J1093)&gt;0,J1093,Q1093))</f>
        <v/>
      </c>
      <c r="AG1093" s="99">
        <f>IF(B1093="","",IFERROR(AVERAGEIFS('QUALITY CONTROL'!$M$5:$M$304,'QUALITY CONTROL'!$B$5:$B$304,A1093),""))</f>
        <v/>
      </c>
      <c r="AH1093" s="51">
        <f>IF(B1093="","",DATE(YEAR(B1093),MONTH(B1093),1))</f>
        <v/>
      </c>
      <c r="AI1093" s="49">
        <f>IF(D1093="","",IFERROR(INDEX('CUSTOMERS'!$E$5:$E$404,MATCH(D1093,'CUSTOMERS'!$B$5:$B$404,0)),""))</f>
        <v/>
      </c>
      <c r="AJ1093" s="49">
        <f>IF(B1093="","",N(C1093))</f>
        <v/>
      </c>
      <c r="AK1093" s="49">
        <f>IF(OR(B1093="",O1093="Cancelled",O1093="Rescheduled"),"",B1093&amp;"|"&amp;(COUNTIFS('JOBS'!$B$5:$B$1504,B1093,'JOBS'!$AJ$5:$AJ$1504,"&lt;"&amp;AJ1093,'JOBS'!$O$5:$O$1504,"&lt;&gt;Cancelled",'JOBS'!$O$5:$O$1504,"&lt;&gt;Rescheduled")+COUNTIFS($B$5:B1093,B1093,$AJ$5:AJ1093,AJ1093,$O$5:O1093,"&lt;&gt;Cancelled",$O$5:O1093,"&lt;&gt;Rescheduled")))</f>
        <v/>
      </c>
      <c r="AL1093" s="49">
        <f>IF(N(U1093)&lt;=0.005,"",COUNTIFS('JOBS'!$U$5:$U$1504,"&gt;0.005",'JOBS'!$B$5:$B$1504,"&lt;"&amp;B1093)+COUNTIFS($U$5:U1093,"&gt;0.005",$B$5:B1093,B1093))</f>
        <v/>
      </c>
    </row>
    <row r="1094">
      <c r="A1094" s="46" t="inlineStr">
        <is>
          <t>J-1090</t>
        </is>
      </c>
      <c r="B1094" s="47" t="n"/>
      <c r="C1094" s="94" t="n"/>
      <c r="D1094" s="38" t="n"/>
      <c r="E1094" s="38" t="n"/>
      <c r="F1094" s="38" t="n"/>
      <c r="G1094" s="38" t="n"/>
      <c r="H1094" s="38" t="n"/>
      <c r="I1094" s="57" t="n"/>
      <c r="J1094" s="95" t="n"/>
      <c r="K1094" s="95" t="n"/>
      <c r="L1094" s="48" t="n"/>
      <c r="M1094" s="96" t="n"/>
      <c r="N1094" s="48" t="n"/>
      <c r="O1094" s="38" t="n"/>
      <c r="P1094" s="38" t="n"/>
      <c r="Q1094" s="97">
        <f>IF(OR(F1094="",E1094=""),"",IFERROR(IF(INDEX('PROPERTIES'!$F$5:$F$404,MATCH(E1094,'PROPERTIES'!$B$5:$B$404,0))=0,"",ROUND((INDEX('PROPERTIES'!$F$5:$F$404,MATCH(E1094,'PROPERTIES'!$B$5:$B$404,0))/INDEX('PRICING'!$C$7:$C$16,MATCH(F1094,'PRICING'!$A$7:$A$16,0))+INDEX('PROPERTIES'!$G$5:$G$404,MATCH(E1094,'PROPERTIES'!$B$5:$B$404,0))*INDEX('PRICING'!$D$7:$D$16,MATCH(F1094,'PRICING'!$A$7:$A$16,0))/60+INDEX('PROPERTIES'!$H$5:$H$404,MATCH(E1094,'PROPERTIES'!$B$5:$B$404,0))*INDEX('PRICING'!$E$7:$E$16,MATCH(F1094,'PRICING'!$A$7:$A$16,0))/60+INDEX('PRICING'!$F$7:$F$16,MATCH(F1094,'PRICING'!$A$7:$A$16,0))/60),2)),""))</f>
        <v/>
      </c>
      <c r="R1094" s="97">
        <f>IF(B1094="","",IF(N(K1094)&gt;0,K1094,IF(N(J1094)&gt;0,J1094,N(Q1094))))</f>
        <v/>
      </c>
      <c r="S1094" s="55">
        <f>IF(L1094="","",ROUND(L1094*(1+N(M1094)),2))</f>
        <v/>
      </c>
      <c r="T1094" s="55">
        <f>IF(B1094="","",SUMIFS('REVENUE'!$C$5:$C$1504,'REVENUE'!$B$5:$B$1504,A1094))</f>
        <v/>
      </c>
      <c r="U1094" s="55">
        <f>IF(B1094="","",IF(O1094="Completed",MAX(0,N(S1094)-T1094),""))</f>
        <v/>
      </c>
      <c r="V1094" s="49">
        <f>IF(B1094="","",IF(O1094&lt;&gt;"Completed",IF(T1094&gt;0,"Deposit","—"),IF(U1094&lt;=0.005,"Paid",IF(T1094&gt;0,"Partial","Unpaid"))))</f>
        <v/>
      </c>
      <c r="W1094" s="55">
        <f>IF(B1094="","",IFERROR(1/(1/INDEX('STAFF &amp; TASKS'!$C$5:$C$24,MATCH(H1094,'STAFF &amp; TASKS'!$A$5:$A$24,0))),PayRate))</f>
        <v/>
      </c>
      <c r="X1094" s="55">
        <f>IF(B1094="","",IF(OR(O1094="Cancelled",O1094="No-Show"),"",ROUND(R1094*W1094*(1+Burden),2)))</f>
        <v/>
      </c>
      <c r="Y1094" s="55">
        <f>IF(B1094="","",IF(OR(O1094="Cancelled",O1094="No-Show"),"",IF(N1094&lt;&gt;"",N1094,ROUND(R1094*SupHr*IFERROR(INDEX('PRICING'!$G$7:$G$16,MATCH(F1094,'PRICING'!$A$7:$A$16,0)),1),2))))</f>
        <v/>
      </c>
      <c r="Z1094" s="98">
        <f>IF(B1094="","",SUMIFS('MILEAGE'!$J$5:$J$1504,'MILEAGE'!$B$5:$B$1504,A1094))</f>
        <v/>
      </c>
      <c r="AA1094" s="55">
        <f>IF(B1094="","",ROUND(Z1094*MileRate,2))</f>
        <v/>
      </c>
      <c r="AB1094" s="55">
        <f>IF(B1094="","",SUMIFS('REVENUE'!$J$5:$J$1504,'REVENUE'!$B$5:$B$1504,A1094))</f>
        <v/>
      </c>
      <c r="AC1094" s="55">
        <f>IF(L1094="","",IF(OR(O1094="Cancelled",O1094="No-Show"),"",L1094-N(X1094)-N(Y1094)-AA1094-AB1094))</f>
        <v/>
      </c>
      <c r="AD1094" s="99">
        <f>IF(OR(AC1094="",N(L1094)=0),"",AC1094/L1094)</f>
        <v/>
      </c>
      <c r="AE1094" s="55">
        <f>IF(OR(AC1094="",N(R1094)=0),"",L1094/R1094)</f>
        <v/>
      </c>
      <c r="AF1094" s="100">
        <f>IF(OR(N(K1094)=0,N(J1094)+N(Q1094)=0),"",K1094-IF(N(J1094)&gt;0,J1094,Q1094))</f>
        <v/>
      </c>
      <c r="AG1094" s="99">
        <f>IF(B1094="","",IFERROR(AVERAGEIFS('QUALITY CONTROL'!$M$5:$M$304,'QUALITY CONTROL'!$B$5:$B$304,A1094),""))</f>
        <v/>
      </c>
      <c r="AH1094" s="51">
        <f>IF(B1094="","",DATE(YEAR(B1094),MONTH(B1094),1))</f>
        <v/>
      </c>
      <c r="AI1094" s="49">
        <f>IF(D1094="","",IFERROR(INDEX('CUSTOMERS'!$E$5:$E$404,MATCH(D1094,'CUSTOMERS'!$B$5:$B$404,0)),""))</f>
        <v/>
      </c>
      <c r="AJ1094" s="49">
        <f>IF(B1094="","",N(C1094))</f>
        <v/>
      </c>
      <c r="AK1094" s="49">
        <f>IF(OR(B1094="",O1094="Cancelled",O1094="Rescheduled"),"",B1094&amp;"|"&amp;(COUNTIFS('JOBS'!$B$5:$B$1504,B1094,'JOBS'!$AJ$5:$AJ$1504,"&lt;"&amp;AJ1094,'JOBS'!$O$5:$O$1504,"&lt;&gt;Cancelled",'JOBS'!$O$5:$O$1504,"&lt;&gt;Rescheduled")+COUNTIFS($B$5:B1094,B1094,$AJ$5:AJ1094,AJ1094,$O$5:O1094,"&lt;&gt;Cancelled",$O$5:O1094,"&lt;&gt;Rescheduled")))</f>
        <v/>
      </c>
      <c r="AL1094" s="49">
        <f>IF(N(U1094)&lt;=0.005,"",COUNTIFS('JOBS'!$U$5:$U$1504,"&gt;0.005",'JOBS'!$B$5:$B$1504,"&lt;"&amp;B1094)+COUNTIFS($U$5:U1094,"&gt;0.005",$B$5:B1094,B1094))</f>
        <v/>
      </c>
    </row>
    <row r="1095">
      <c r="A1095" s="46" t="inlineStr">
        <is>
          <t>J-1091</t>
        </is>
      </c>
      <c r="B1095" s="47" t="n"/>
      <c r="C1095" s="94" t="n"/>
      <c r="D1095" s="38" t="n"/>
      <c r="E1095" s="38" t="n"/>
      <c r="F1095" s="38" t="n"/>
      <c r="G1095" s="38" t="n"/>
      <c r="H1095" s="38" t="n"/>
      <c r="I1095" s="57" t="n"/>
      <c r="J1095" s="95" t="n"/>
      <c r="K1095" s="95" t="n"/>
      <c r="L1095" s="48" t="n"/>
      <c r="M1095" s="96" t="n"/>
      <c r="N1095" s="48" t="n"/>
      <c r="O1095" s="38" t="n"/>
      <c r="P1095" s="38" t="n"/>
      <c r="Q1095" s="97">
        <f>IF(OR(F1095="",E1095=""),"",IFERROR(IF(INDEX('PROPERTIES'!$F$5:$F$404,MATCH(E1095,'PROPERTIES'!$B$5:$B$404,0))=0,"",ROUND((INDEX('PROPERTIES'!$F$5:$F$404,MATCH(E1095,'PROPERTIES'!$B$5:$B$404,0))/INDEX('PRICING'!$C$7:$C$16,MATCH(F1095,'PRICING'!$A$7:$A$16,0))+INDEX('PROPERTIES'!$G$5:$G$404,MATCH(E1095,'PROPERTIES'!$B$5:$B$404,0))*INDEX('PRICING'!$D$7:$D$16,MATCH(F1095,'PRICING'!$A$7:$A$16,0))/60+INDEX('PROPERTIES'!$H$5:$H$404,MATCH(E1095,'PROPERTIES'!$B$5:$B$404,0))*INDEX('PRICING'!$E$7:$E$16,MATCH(F1095,'PRICING'!$A$7:$A$16,0))/60+INDEX('PRICING'!$F$7:$F$16,MATCH(F1095,'PRICING'!$A$7:$A$16,0))/60),2)),""))</f>
        <v/>
      </c>
      <c r="R1095" s="97">
        <f>IF(B1095="","",IF(N(K1095)&gt;0,K1095,IF(N(J1095)&gt;0,J1095,N(Q1095))))</f>
        <v/>
      </c>
      <c r="S1095" s="55">
        <f>IF(L1095="","",ROUND(L1095*(1+N(M1095)),2))</f>
        <v/>
      </c>
      <c r="T1095" s="55">
        <f>IF(B1095="","",SUMIFS('REVENUE'!$C$5:$C$1504,'REVENUE'!$B$5:$B$1504,A1095))</f>
        <v/>
      </c>
      <c r="U1095" s="55">
        <f>IF(B1095="","",IF(O1095="Completed",MAX(0,N(S1095)-T1095),""))</f>
        <v/>
      </c>
      <c r="V1095" s="49">
        <f>IF(B1095="","",IF(O1095&lt;&gt;"Completed",IF(T1095&gt;0,"Deposit","—"),IF(U1095&lt;=0.005,"Paid",IF(T1095&gt;0,"Partial","Unpaid"))))</f>
        <v/>
      </c>
      <c r="W1095" s="55">
        <f>IF(B1095="","",IFERROR(1/(1/INDEX('STAFF &amp; TASKS'!$C$5:$C$24,MATCH(H1095,'STAFF &amp; TASKS'!$A$5:$A$24,0))),PayRate))</f>
        <v/>
      </c>
      <c r="X1095" s="55">
        <f>IF(B1095="","",IF(OR(O1095="Cancelled",O1095="No-Show"),"",ROUND(R1095*W1095*(1+Burden),2)))</f>
        <v/>
      </c>
      <c r="Y1095" s="55">
        <f>IF(B1095="","",IF(OR(O1095="Cancelled",O1095="No-Show"),"",IF(N1095&lt;&gt;"",N1095,ROUND(R1095*SupHr*IFERROR(INDEX('PRICING'!$G$7:$G$16,MATCH(F1095,'PRICING'!$A$7:$A$16,0)),1),2))))</f>
        <v/>
      </c>
      <c r="Z1095" s="98">
        <f>IF(B1095="","",SUMIFS('MILEAGE'!$J$5:$J$1504,'MILEAGE'!$B$5:$B$1504,A1095))</f>
        <v/>
      </c>
      <c r="AA1095" s="55">
        <f>IF(B1095="","",ROUND(Z1095*MileRate,2))</f>
        <v/>
      </c>
      <c r="AB1095" s="55">
        <f>IF(B1095="","",SUMIFS('REVENUE'!$J$5:$J$1504,'REVENUE'!$B$5:$B$1504,A1095))</f>
        <v/>
      </c>
      <c r="AC1095" s="55">
        <f>IF(L1095="","",IF(OR(O1095="Cancelled",O1095="No-Show"),"",L1095-N(X1095)-N(Y1095)-AA1095-AB1095))</f>
        <v/>
      </c>
      <c r="AD1095" s="99">
        <f>IF(OR(AC1095="",N(L1095)=0),"",AC1095/L1095)</f>
        <v/>
      </c>
      <c r="AE1095" s="55">
        <f>IF(OR(AC1095="",N(R1095)=0),"",L1095/R1095)</f>
        <v/>
      </c>
      <c r="AF1095" s="100">
        <f>IF(OR(N(K1095)=0,N(J1095)+N(Q1095)=0),"",K1095-IF(N(J1095)&gt;0,J1095,Q1095))</f>
        <v/>
      </c>
      <c r="AG1095" s="99">
        <f>IF(B1095="","",IFERROR(AVERAGEIFS('QUALITY CONTROL'!$M$5:$M$304,'QUALITY CONTROL'!$B$5:$B$304,A1095),""))</f>
        <v/>
      </c>
      <c r="AH1095" s="51">
        <f>IF(B1095="","",DATE(YEAR(B1095),MONTH(B1095),1))</f>
        <v/>
      </c>
      <c r="AI1095" s="49">
        <f>IF(D1095="","",IFERROR(INDEX('CUSTOMERS'!$E$5:$E$404,MATCH(D1095,'CUSTOMERS'!$B$5:$B$404,0)),""))</f>
        <v/>
      </c>
      <c r="AJ1095" s="49">
        <f>IF(B1095="","",N(C1095))</f>
        <v/>
      </c>
      <c r="AK1095" s="49">
        <f>IF(OR(B1095="",O1095="Cancelled",O1095="Rescheduled"),"",B1095&amp;"|"&amp;(COUNTIFS('JOBS'!$B$5:$B$1504,B1095,'JOBS'!$AJ$5:$AJ$1504,"&lt;"&amp;AJ1095,'JOBS'!$O$5:$O$1504,"&lt;&gt;Cancelled",'JOBS'!$O$5:$O$1504,"&lt;&gt;Rescheduled")+COUNTIFS($B$5:B1095,B1095,$AJ$5:AJ1095,AJ1095,$O$5:O1095,"&lt;&gt;Cancelled",$O$5:O1095,"&lt;&gt;Rescheduled")))</f>
        <v/>
      </c>
      <c r="AL1095" s="49">
        <f>IF(N(U1095)&lt;=0.005,"",COUNTIFS('JOBS'!$U$5:$U$1504,"&gt;0.005",'JOBS'!$B$5:$B$1504,"&lt;"&amp;B1095)+COUNTIFS($U$5:U1095,"&gt;0.005",$B$5:B1095,B1095))</f>
        <v/>
      </c>
    </row>
    <row r="1096">
      <c r="A1096" s="46" t="inlineStr">
        <is>
          <t>J-1092</t>
        </is>
      </c>
      <c r="B1096" s="47" t="n"/>
      <c r="C1096" s="94" t="n"/>
      <c r="D1096" s="38" t="n"/>
      <c r="E1096" s="38" t="n"/>
      <c r="F1096" s="38" t="n"/>
      <c r="G1096" s="38" t="n"/>
      <c r="H1096" s="38" t="n"/>
      <c r="I1096" s="57" t="n"/>
      <c r="J1096" s="95" t="n"/>
      <c r="K1096" s="95" t="n"/>
      <c r="L1096" s="48" t="n"/>
      <c r="M1096" s="96" t="n"/>
      <c r="N1096" s="48" t="n"/>
      <c r="O1096" s="38" t="n"/>
      <c r="P1096" s="38" t="n"/>
      <c r="Q1096" s="97">
        <f>IF(OR(F1096="",E1096=""),"",IFERROR(IF(INDEX('PROPERTIES'!$F$5:$F$404,MATCH(E1096,'PROPERTIES'!$B$5:$B$404,0))=0,"",ROUND((INDEX('PROPERTIES'!$F$5:$F$404,MATCH(E1096,'PROPERTIES'!$B$5:$B$404,0))/INDEX('PRICING'!$C$7:$C$16,MATCH(F1096,'PRICING'!$A$7:$A$16,0))+INDEX('PROPERTIES'!$G$5:$G$404,MATCH(E1096,'PROPERTIES'!$B$5:$B$404,0))*INDEX('PRICING'!$D$7:$D$16,MATCH(F1096,'PRICING'!$A$7:$A$16,0))/60+INDEX('PROPERTIES'!$H$5:$H$404,MATCH(E1096,'PROPERTIES'!$B$5:$B$404,0))*INDEX('PRICING'!$E$7:$E$16,MATCH(F1096,'PRICING'!$A$7:$A$16,0))/60+INDEX('PRICING'!$F$7:$F$16,MATCH(F1096,'PRICING'!$A$7:$A$16,0))/60),2)),""))</f>
        <v/>
      </c>
      <c r="R1096" s="97">
        <f>IF(B1096="","",IF(N(K1096)&gt;0,K1096,IF(N(J1096)&gt;0,J1096,N(Q1096))))</f>
        <v/>
      </c>
      <c r="S1096" s="55">
        <f>IF(L1096="","",ROUND(L1096*(1+N(M1096)),2))</f>
        <v/>
      </c>
      <c r="T1096" s="55">
        <f>IF(B1096="","",SUMIFS('REVENUE'!$C$5:$C$1504,'REVENUE'!$B$5:$B$1504,A1096))</f>
        <v/>
      </c>
      <c r="U1096" s="55">
        <f>IF(B1096="","",IF(O1096="Completed",MAX(0,N(S1096)-T1096),""))</f>
        <v/>
      </c>
      <c r="V1096" s="49">
        <f>IF(B1096="","",IF(O1096&lt;&gt;"Completed",IF(T1096&gt;0,"Deposit","—"),IF(U1096&lt;=0.005,"Paid",IF(T1096&gt;0,"Partial","Unpaid"))))</f>
        <v/>
      </c>
      <c r="W1096" s="55">
        <f>IF(B1096="","",IFERROR(1/(1/INDEX('STAFF &amp; TASKS'!$C$5:$C$24,MATCH(H1096,'STAFF &amp; TASKS'!$A$5:$A$24,0))),PayRate))</f>
        <v/>
      </c>
      <c r="X1096" s="55">
        <f>IF(B1096="","",IF(OR(O1096="Cancelled",O1096="No-Show"),"",ROUND(R1096*W1096*(1+Burden),2)))</f>
        <v/>
      </c>
      <c r="Y1096" s="55">
        <f>IF(B1096="","",IF(OR(O1096="Cancelled",O1096="No-Show"),"",IF(N1096&lt;&gt;"",N1096,ROUND(R1096*SupHr*IFERROR(INDEX('PRICING'!$G$7:$G$16,MATCH(F1096,'PRICING'!$A$7:$A$16,0)),1),2))))</f>
        <v/>
      </c>
      <c r="Z1096" s="98">
        <f>IF(B1096="","",SUMIFS('MILEAGE'!$J$5:$J$1504,'MILEAGE'!$B$5:$B$1504,A1096))</f>
        <v/>
      </c>
      <c r="AA1096" s="55">
        <f>IF(B1096="","",ROUND(Z1096*MileRate,2))</f>
        <v/>
      </c>
      <c r="AB1096" s="55">
        <f>IF(B1096="","",SUMIFS('REVENUE'!$J$5:$J$1504,'REVENUE'!$B$5:$B$1504,A1096))</f>
        <v/>
      </c>
      <c r="AC1096" s="55">
        <f>IF(L1096="","",IF(OR(O1096="Cancelled",O1096="No-Show"),"",L1096-N(X1096)-N(Y1096)-AA1096-AB1096))</f>
        <v/>
      </c>
      <c r="AD1096" s="99">
        <f>IF(OR(AC1096="",N(L1096)=0),"",AC1096/L1096)</f>
        <v/>
      </c>
      <c r="AE1096" s="55">
        <f>IF(OR(AC1096="",N(R1096)=0),"",L1096/R1096)</f>
        <v/>
      </c>
      <c r="AF1096" s="100">
        <f>IF(OR(N(K1096)=0,N(J1096)+N(Q1096)=0),"",K1096-IF(N(J1096)&gt;0,J1096,Q1096))</f>
        <v/>
      </c>
      <c r="AG1096" s="99">
        <f>IF(B1096="","",IFERROR(AVERAGEIFS('QUALITY CONTROL'!$M$5:$M$304,'QUALITY CONTROL'!$B$5:$B$304,A1096),""))</f>
        <v/>
      </c>
      <c r="AH1096" s="51">
        <f>IF(B1096="","",DATE(YEAR(B1096),MONTH(B1096),1))</f>
        <v/>
      </c>
      <c r="AI1096" s="49">
        <f>IF(D1096="","",IFERROR(INDEX('CUSTOMERS'!$E$5:$E$404,MATCH(D1096,'CUSTOMERS'!$B$5:$B$404,0)),""))</f>
        <v/>
      </c>
      <c r="AJ1096" s="49">
        <f>IF(B1096="","",N(C1096))</f>
        <v/>
      </c>
      <c r="AK1096" s="49">
        <f>IF(OR(B1096="",O1096="Cancelled",O1096="Rescheduled"),"",B1096&amp;"|"&amp;(COUNTIFS('JOBS'!$B$5:$B$1504,B1096,'JOBS'!$AJ$5:$AJ$1504,"&lt;"&amp;AJ1096,'JOBS'!$O$5:$O$1504,"&lt;&gt;Cancelled",'JOBS'!$O$5:$O$1504,"&lt;&gt;Rescheduled")+COUNTIFS($B$5:B1096,B1096,$AJ$5:AJ1096,AJ1096,$O$5:O1096,"&lt;&gt;Cancelled",$O$5:O1096,"&lt;&gt;Rescheduled")))</f>
        <v/>
      </c>
      <c r="AL1096" s="49">
        <f>IF(N(U1096)&lt;=0.005,"",COUNTIFS('JOBS'!$U$5:$U$1504,"&gt;0.005",'JOBS'!$B$5:$B$1504,"&lt;"&amp;B1096)+COUNTIFS($U$5:U1096,"&gt;0.005",$B$5:B1096,B1096))</f>
        <v/>
      </c>
    </row>
    <row r="1097">
      <c r="A1097" s="46" t="inlineStr">
        <is>
          <t>J-1093</t>
        </is>
      </c>
      <c r="B1097" s="47" t="n"/>
      <c r="C1097" s="94" t="n"/>
      <c r="D1097" s="38" t="n"/>
      <c r="E1097" s="38" t="n"/>
      <c r="F1097" s="38" t="n"/>
      <c r="G1097" s="38" t="n"/>
      <c r="H1097" s="38" t="n"/>
      <c r="I1097" s="57" t="n"/>
      <c r="J1097" s="95" t="n"/>
      <c r="K1097" s="95" t="n"/>
      <c r="L1097" s="48" t="n"/>
      <c r="M1097" s="96" t="n"/>
      <c r="N1097" s="48" t="n"/>
      <c r="O1097" s="38" t="n"/>
      <c r="P1097" s="38" t="n"/>
      <c r="Q1097" s="97">
        <f>IF(OR(F1097="",E1097=""),"",IFERROR(IF(INDEX('PROPERTIES'!$F$5:$F$404,MATCH(E1097,'PROPERTIES'!$B$5:$B$404,0))=0,"",ROUND((INDEX('PROPERTIES'!$F$5:$F$404,MATCH(E1097,'PROPERTIES'!$B$5:$B$404,0))/INDEX('PRICING'!$C$7:$C$16,MATCH(F1097,'PRICING'!$A$7:$A$16,0))+INDEX('PROPERTIES'!$G$5:$G$404,MATCH(E1097,'PROPERTIES'!$B$5:$B$404,0))*INDEX('PRICING'!$D$7:$D$16,MATCH(F1097,'PRICING'!$A$7:$A$16,0))/60+INDEX('PROPERTIES'!$H$5:$H$404,MATCH(E1097,'PROPERTIES'!$B$5:$B$404,0))*INDEX('PRICING'!$E$7:$E$16,MATCH(F1097,'PRICING'!$A$7:$A$16,0))/60+INDEX('PRICING'!$F$7:$F$16,MATCH(F1097,'PRICING'!$A$7:$A$16,0))/60),2)),""))</f>
        <v/>
      </c>
      <c r="R1097" s="97">
        <f>IF(B1097="","",IF(N(K1097)&gt;0,K1097,IF(N(J1097)&gt;0,J1097,N(Q1097))))</f>
        <v/>
      </c>
      <c r="S1097" s="55">
        <f>IF(L1097="","",ROUND(L1097*(1+N(M1097)),2))</f>
        <v/>
      </c>
      <c r="T1097" s="55">
        <f>IF(B1097="","",SUMIFS('REVENUE'!$C$5:$C$1504,'REVENUE'!$B$5:$B$1504,A1097))</f>
        <v/>
      </c>
      <c r="U1097" s="55">
        <f>IF(B1097="","",IF(O1097="Completed",MAX(0,N(S1097)-T1097),""))</f>
        <v/>
      </c>
      <c r="V1097" s="49">
        <f>IF(B1097="","",IF(O1097&lt;&gt;"Completed",IF(T1097&gt;0,"Deposit","—"),IF(U1097&lt;=0.005,"Paid",IF(T1097&gt;0,"Partial","Unpaid"))))</f>
        <v/>
      </c>
      <c r="W1097" s="55">
        <f>IF(B1097="","",IFERROR(1/(1/INDEX('STAFF &amp; TASKS'!$C$5:$C$24,MATCH(H1097,'STAFF &amp; TASKS'!$A$5:$A$24,0))),PayRate))</f>
        <v/>
      </c>
      <c r="X1097" s="55">
        <f>IF(B1097="","",IF(OR(O1097="Cancelled",O1097="No-Show"),"",ROUND(R1097*W1097*(1+Burden),2)))</f>
        <v/>
      </c>
      <c r="Y1097" s="55">
        <f>IF(B1097="","",IF(OR(O1097="Cancelled",O1097="No-Show"),"",IF(N1097&lt;&gt;"",N1097,ROUND(R1097*SupHr*IFERROR(INDEX('PRICING'!$G$7:$G$16,MATCH(F1097,'PRICING'!$A$7:$A$16,0)),1),2))))</f>
        <v/>
      </c>
      <c r="Z1097" s="98">
        <f>IF(B1097="","",SUMIFS('MILEAGE'!$J$5:$J$1504,'MILEAGE'!$B$5:$B$1504,A1097))</f>
        <v/>
      </c>
      <c r="AA1097" s="55">
        <f>IF(B1097="","",ROUND(Z1097*MileRate,2))</f>
        <v/>
      </c>
      <c r="AB1097" s="55">
        <f>IF(B1097="","",SUMIFS('REVENUE'!$J$5:$J$1504,'REVENUE'!$B$5:$B$1504,A1097))</f>
        <v/>
      </c>
      <c r="AC1097" s="55">
        <f>IF(L1097="","",IF(OR(O1097="Cancelled",O1097="No-Show"),"",L1097-N(X1097)-N(Y1097)-AA1097-AB1097))</f>
        <v/>
      </c>
      <c r="AD1097" s="99">
        <f>IF(OR(AC1097="",N(L1097)=0),"",AC1097/L1097)</f>
        <v/>
      </c>
      <c r="AE1097" s="55">
        <f>IF(OR(AC1097="",N(R1097)=0),"",L1097/R1097)</f>
        <v/>
      </c>
      <c r="AF1097" s="100">
        <f>IF(OR(N(K1097)=0,N(J1097)+N(Q1097)=0),"",K1097-IF(N(J1097)&gt;0,J1097,Q1097))</f>
        <v/>
      </c>
      <c r="AG1097" s="99">
        <f>IF(B1097="","",IFERROR(AVERAGEIFS('QUALITY CONTROL'!$M$5:$M$304,'QUALITY CONTROL'!$B$5:$B$304,A1097),""))</f>
        <v/>
      </c>
      <c r="AH1097" s="51">
        <f>IF(B1097="","",DATE(YEAR(B1097),MONTH(B1097),1))</f>
        <v/>
      </c>
      <c r="AI1097" s="49">
        <f>IF(D1097="","",IFERROR(INDEX('CUSTOMERS'!$E$5:$E$404,MATCH(D1097,'CUSTOMERS'!$B$5:$B$404,0)),""))</f>
        <v/>
      </c>
      <c r="AJ1097" s="49">
        <f>IF(B1097="","",N(C1097))</f>
        <v/>
      </c>
      <c r="AK1097" s="49">
        <f>IF(OR(B1097="",O1097="Cancelled",O1097="Rescheduled"),"",B1097&amp;"|"&amp;(COUNTIFS('JOBS'!$B$5:$B$1504,B1097,'JOBS'!$AJ$5:$AJ$1504,"&lt;"&amp;AJ1097,'JOBS'!$O$5:$O$1504,"&lt;&gt;Cancelled",'JOBS'!$O$5:$O$1504,"&lt;&gt;Rescheduled")+COUNTIFS($B$5:B1097,B1097,$AJ$5:AJ1097,AJ1097,$O$5:O1097,"&lt;&gt;Cancelled",$O$5:O1097,"&lt;&gt;Rescheduled")))</f>
        <v/>
      </c>
      <c r="AL1097" s="49">
        <f>IF(N(U1097)&lt;=0.005,"",COUNTIFS('JOBS'!$U$5:$U$1504,"&gt;0.005",'JOBS'!$B$5:$B$1504,"&lt;"&amp;B1097)+COUNTIFS($U$5:U1097,"&gt;0.005",$B$5:B1097,B1097))</f>
        <v/>
      </c>
    </row>
    <row r="1098">
      <c r="A1098" s="46" t="inlineStr">
        <is>
          <t>J-1094</t>
        </is>
      </c>
      <c r="B1098" s="47" t="n"/>
      <c r="C1098" s="94" t="n"/>
      <c r="D1098" s="38" t="n"/>
      <c r="E1098" s="38" t="n"/>
      <c r="F1098" s="38" t="n"/>
      <c r="G1098" s="38" t="n"/>
      <c r="H1098" s="38" t="n"/>
      <c r="I1098" s="57" t="n"/>
      <c r="J1098" s="95" t="n"/>
      <c r="K1098" s="95" t="n"/>
      <c r="L1098" s="48" t="n"/>
      <c r="M1098" s="96" t="n"/>
      <c r="N1098" s="48" t="n"/>
      <c r="O1098" s="38" t="n"/>
      <c r="P1098" s="38" t="n"/>
      <c r="Q1098" s="97">
        <f>IF(OR(F1098="",E1098=""),"",IFERROR(IF(INDEX('PROPERTIES'!$F$5:$F$404,MATCH(E1098,'PROPERTIES'!$B$5:$B$404,0))=0,"",ROUND((INDEX('PROPERTIES'!$F$5:$F$404,MATCH(E1098,'PROPERTIES'!$B$5:$B$404,0))/INDEX('PRICING'!$C$7:$C$16,MATCH(F1098,'PRICING'!$A$7:$A$16,0))+INDEX('PROPERTIES'!$G$5:$G$404,MATCH(E1098,'PROPERTIES'!$B$5:$B$404,0))*INDEX('PRICING'!$D$7:$D$16,MATCH(F1098,'PRICING'!$A$7:$A$16,0))/60+INDEX('PROPERTIES'!$H$5:$H$404,MATCH(E1098,'PROPERTIES'!$B$5:$B$404,0))*INDEX('PRICING'!$E$7:$E$16,MATCH(F1098,'PRICING'!$A$7:$A$16,0))/60+INDEX('PRICING'!$F$7:$F$16,MATCH(F1098,'PRICING'!$A$7:$A$16,0))/60),2)),""))</f>
        <v/>
      </c>
      <c r="R1098" s="97">
        <f>IF(B1098="","",IF(N(K1098)&gt;0,K1098,IF(N(J1098)&gt;0,J1098,N(Q1098))))</f>
        <v/>
      </c>
      <c r="S1098" s="55">
        <f>IF(L1098="","",ROUND(L1098*(1+N(M1098)),2))</f>
        <v/>
      </c>
      <c r="T1098" s="55">
        <f>IF(B1098="","",SUMIFS('REVENUE'!$C$5:$C$1504,'REVENUE'!$B$5:$B$1504,A1098))</f>
        <v/>
      </c>
      <c r="U1098" s="55">
        <f>IF(B1098="","",IF(O1098="Completed",MAX(0,N(S1098)-T1098),""))</f>
        <v/>
      </c>
      <c r="V1098" s="49">
        <f>IF(B1098="","",IF(O1098&lt;&gt;"Completed",IF(T1098&gt;0,"Deposit","—"),IF(U1098&lt;=0.005,"Paid",IF(T1098&gt;0,"Partial","Unpaid"))))</f>
        <v/>
      </c>
      <c r="W1098" s="55">
        <f>IF(B1098="","",IFERROR(1/(1/INDEX('STAFF &amp; TASKS'!$C$5:$C$24,MATCH(H1098,'STAFF &amp; TASKS'!$A$5:$A$24,0))),PayRate))</f>
        <v/>
      </c>
      <c r="X1098" s="55">
        <f>IF(B1098="","",IF(OR(O1098="Cancelled",O1098="No-Show"),"",ROUND(R1098*W1098*(1+Burden),2)))</f>
        <v/>
      </c>
      <c r="Y1098" s="55">
        <f>IF(B1098="","",IF(OR(O1098="Cancelled",O1098="No-Show"),"",IF(N1098&lt;&gt;"",N1098,ROUND(R1098*SupHr*IFERROR(INDEX('PRICING'!$G$7:$G$16,MATCH(F1098,'PRICING'!$A$7:$A$16,0)),1),2))))</f>
        <v/>
      </c>
      <c r="Z1098" s="98">
        <f>IF(B1098="","",SUMIFS('MILEAGE'!$J$5:$J$1504,'MILEAGE'!$B$5:$B$1504,A1098))</f>
        <v/>
      </c>
      <c r="AA1098" s="55">
        <f>IF(B1098="","",ROUND(Z1098*MileRate,2))</f>
        <v/>
      </c>
      <c r="AB1098" s="55">
        <f>IF(B1098="","",SUMIFS('REVENUE'!$J$5:$J$1504,'REVENUE'!$B$5:$B$1504,A1098))</f>
        <v/>
      </c>
      <c r="AC1098" s="55">
        <f>IF(L1098="","",IF(OR(O1098="Cancelled",O1098="No-Show"),"",L1098-N(X1098)-N(Y1098)-AA1098-AB1098))</f>
        <v/>
      </c>
      <c r="AD1098" s="99">
        <f>IF(OR(AC1098="",N(L1098)=0),"",AC1098/L1098)</f>
        <v/>
      </c>
      <c r="AE1098" s="55">
        <f>IF(OR(AC1098="",N(R1098)=0),"",L1098/R1098)</f>
        <v/>
      </c>
      <c r="AF1098" s="100">
        <f>IF(OR(N(K1098)=0,N(J1098)+N(Q1098)=0),"",K1098-IF(N(J1098)&gt;0,J1098,Q1098))</f>
        <v/>
      </c>
      <c r="AG1098" s="99">
        <f>IF(B1098="","",IFERROR(AVERAGEIFS('QUALITY CONTROL'!$M$5:$M$304,'QUALITY CONTROL'!$B$5:$B$304,A1098),""))</f>
        <v/>
      </c>
      <c r="AH1098" s="51">
        <f>IF(B1098="","",DATE(YEAR(B1098),MONTH(B1098),1))</f>
        <v/>
      </c>
      <c r="AI1098" s="49">
        <f>IF(D1098="","",IFERROR(INDEX('CUSTOMERS'!$E$5:$E$404,MATCH(D1098,'CUSTOMERS'!$B$5:$B$404,0)),""))</f>
        <v/>
      </c>
      <c r="AJ1098" s="49">
        <f>IF(B1098="","",N(C1098))</f>
        <v/>
      </c>
      <c r="AK1098" s="49">
        <f>IF(OR(B1098="",O1098="Cancelled",O1098="Rescheduled"),"",B1098&amp;"|"&amp;(COUNTIFS('JOBS'!$B$5:$B$1504,B1098,'JOBS'!$AJ$5:$AJ$1504,"&lt;"&amp;AJ1098,'JOBS'!$O$5:$O$1504,"&lt;&gt;Cancelled",'JOBS'!$O$5:$O$1504,"&lt;&gt;Rescheduled")+COUNTIFS($B$5:B1098,B1098,$AJ$5:AJ1098,AJ1098,$O$5:O1098,"&lt;&gt;Cancelled",$O$5:O1098,"&lt;&gt;Rescheduled")))</f>
        <v/>
      </c>
      <c r="AL1098" s="49">
        <f>IF(N(U1098)&lt;=0.005,"",COUNTIFS('JOBS'!$U$5:$U$1504,"&gt;0.005",'JOBS'!$B$5:$B$1504,"&lt;"&amp;B1098)+COUNTIFS($U$5:U1098,"&gt;0.005",$B$5:B1098,B1098))</f>
        <v/>
      </c>
    </row>
    <row r="1099">
      <c r="A1099" s="46" t="inlineStr">
        <is>
          <t>J-1095</t>
        </is>
      </c>
      <c r="B1099" s="47" t="n"/>
      <c r="C1099" s="94" t="n"/>
      <c r="D1099" s="38" t="n"/>
      <c r="E1099" s="38" t="n"/>
      <c r="F1099" s="38" t="n"/>
      <c r="G1099" s="38" t="n"/>
      <c r="H1099" s="38" t="n"/>
      <c r="I1099" s="57" t="n"/>
      <c r="J1099" s="95" t="n"/>
      <c r="K1099" s="95" t="n"/>
      <c r="L1099" s="48" t="n"/>
      <c r="M1099" s="96" t="n"/>
      <c r="N1099" s="48" t="n"/>
      <c r="O1099" s="38" t="n"/>
      <c r="P1099" s="38" t="n"/>
      <c r="Q1099" s="97">
        <f>IF(OR(F1099="",E1099=""),"",IFERROR(IF(INDEX('PROPERTIES'!$F$5:$F$404,MATCH(E1099,'PROPERTIES'!$B$5:$B$404,0))=0,"",ROUND((INDEX('PROPERTIES'!$F$5:$F$404,MATCH(E1099,'PROPERTIES'!$B$5:$B$404,0))/INDEX('PRICING'!$C$7:$C$16,MATCH(F1099,'PRICING'!$A$7:$A$16,0))+INDEX('PROPERTIES'!$G$5:$G$404,MATCH(E1099,'PROPERTIES'!$B$5:$B$404,0))*INDEX('PRICING'!$D$7:$D$16,MATCH(F1099,'PRICING'!$A$7:$A$16,0))/60+INDEX('PROPERTIES'!$H$5:$H$404,MATCH(E1099,'PROPERTIES'!$B$5:$B$404,0))*INDEX('PRICING'!$E$7:$E$16,MATCH(F1099,'PRICING'!$A$7:$A$16,0))/60+INDEX('PRICING'!$F$7:$F$16,MATCH(F1099,'PRICING'!$A$7:$A$16,0))/60),2)),""))</f>
        <v/>
      </c>
      <c r="R1099" s="97">
        <f>IF(B1099="","",IF(N(K1099)&gt;0,K1099,IF(N(J1099)&gt;0,J1099,N(Q1099))))</f>
        <v/>
      </c>
      <c r="S1099" s="55">
        <f>IF(L1099="","",ROUND(L1099*(1+N(M1099)),2))</f>
        <v/>
      </c>
      <c r="T1099" s="55">
        <f>IF(B1099="","",SUMIFS('REVENUE'!$C$5:$C$1504,'REVENUE'!$B$5:$B$1504,A1099))</f>
        <v/>
      </c>
      <c r="U1099" s="55">
        <f>IF(B1099="","",IF(O1099="Completed",MAX(0,N(S1099)-T1099),""))</f>
        <v/>
      </c>
      <c r="V1099" s="49">
        <f>IF(B1099="","",IF(O1099&lt;&gt;"Completed",IF(T1099&gt;0,"Deposit","—"),IF(U1099&lt;=0.005,"Paid",IF(T1099&gt;0,"Partial","Unpaid"))))</f>
        <v/>
      </c>
      <c r="W1099" s="55">
        <f>IF(B1099="","",IFERROR(1/(1/INDEX('STAFF &amp; TASKS'!$C$5:$C$24,MATCH(H1099,'STAFF &amp; TASKS'!$A$5:$A$24,0))),PayRate))</f>
        <v/>
      </c>
      <c r="X1099" s="55">
        <f>IF(B1099="","",IF(OR(O1099="Cancelled",O1099="No-Show"),"",ROUND(R1099*W1099*(1+Burden),2)))</f>
        <v/>
      </c>
      <c r="Y1099" s="55">
        <f>IF(B1099="","",IF(OR(O1099="Cancelled",O1099="No-Show"),"",IF(N1099&lt;&gt;"",N1099,ROUND(R1099*SupHr*IFERROR(INDEX('PRICING'!$G$7:$G$16,MATCH(F1099,'PRICING'!$A$7:$A$16,0)),1),2))))</f>
        <v/>
      </c>
      <c r="Z1099" s="98">
        <f>IF(B1099="","",SUMIFS('MILEAGE'!$J$5:$J$1504,'MILEAGE'!$B$5:$B$1504,A1099))</f>
        <v/>
      </c>
      <c r="AA1099" s="55">
        <f>IF(B1099="","",ROUND(Z1099*MileRate,2))</f>
        <v/>
      </c>
      <c r="AB1099" s="55">
        <f>IF(B1099="","",SUMIFS('REVENUE'!$J$5:$J$1504,'REVENUE'!$B$5:$B$1504,A1099))</f>
        <v/>
      </c>
      <c r="AC1099" s="55">
        <f>IF(L1099="","",IF(OR(O1099="Cancelled",O1099="No-Show"),"",L1099-N(X1099)-N(Y1099)-AA1099-AB1099))</f>
        <v/>
      </c>
      <c r="AD1099" s="99">
        <f>IF(OR(AC1099="",N(L1099)=0),"",AC1099/L1099)</f>
        <v/>
      </c>
      <c r="AE1099" s="55">
        <f>IF(OR(AC1099="",N(R1099)=0),"",L1099/R1099)</f>
        <v/>
      </c>
      <c r="AF1099" s="100">
        <f>IF(OR(N(K1099)=0,N(J1099)+N(Q1099)=0),"",K1099-IF(N(J1099)&gt;0,J1099,Q1099))</f>
        <v/>
      </c>
      <c r="AG1099" s="99">
        <f>IF(B1099="","",IFERROR(AVERAGEIFS('QUALITY CONTROL'!$M$5:$M$304,'QUALITY CONTROL'!$B$5:$B$304,A1099),""))</f>
        <v/>
      </c>
      <c r="AH1099" s="51">
        <f>IF(B1099="","",DATE(YEAR(B1099),MONTH(B1099),1))</f>
        <v/>
      </c>
      <c r="AI1099" s="49">
        <f>IF(D1099="","",IFERROR(INDEX('CUSTOMERS'!$E$5:$E$404,MATCH(D1099,'CUSTOMERS'!$B$5:$B$404,0)),""))</f>
        <v/>
      </c>
      <c r="AJ1099" s="49">
        <f>IF(B1099="","",N(C1099))</f>
        <v/>
      </c>
      <c r="AK1099" s="49">
        <f>IF(OR(B1099="",O1099="Cancelled",O1099="Rescheduled"),"",B1099&amp;"|"&amp;(COUNTIFS('JOBS'!$B$5:$B$1504,B1099,'JOBS'!$AJ$5:$AJ$1504,"&lt;"&amp;AJ1099,'JOBS'!$O$5:$O$1504,"&lt;&gt;Cancelled",'JOBS'!$O$5:$O$1504,"&lt;&gt;Rescheduled")+COUNTIFS($B$5:B1099,B1099,$AJ$5:AJ1099,AJ1099,$O$5:O1099,"&lt;&gt;Cancelled",$O$5:O1099,"&lt;&gt;Rescheduled")))</f>
        <v/>
      </c>
      <c r="AL1099" s="49">
        <f>IF(N(U1099)&lt;=0.005,"",COUNTIFS('JOBS'!$U$5:$U$1504,"&gt;0.005",'JOBS'!$B$5:$B$1504,"&lt;"&amp;B1099)+COUNTIFS($U$5:U1099,"&gt;0.005",$B$5:B1099,B1099))</f>
        <v/>
      </c>
    </row>
    <row r="1100">
      <c r="A1100" s="46" t="inlineStr">
        <is>
          <t>J-1096</t>
        </is>
      </c>
      <c r="B1100" s="47" t="n"/>
      <c r="C1100" s="94" t="n"/>
      <c r="D1100" s="38" t="n"/>
      <c r="E1100" s="38" t="n"/>
      <c r="F1100" s="38" t="n"/>
      <c r="G1100" s="38" t="n"/>
      <c r="H1100" s="38" t="n"/>
      <c r="I1100" s="57" t="n"/>
      <c r="J1100" s="95" t="n"/>
      <c r="K1100" s="95" t="n"/>
      <c r="L1100" s="48" t="n"/>
      <c r="M1100" s="96" t="n"/>
      <c r="N1100" s="48" t="n"/>
      <c r="O1100" s="38" t="n"/>
      <c r="P1100" s="38" t="n"/>
      <c r="Q1100" s="97">
        <f>IF(OR(F1100="",E1100=""),"",IFERROR(IF(INDEX('PROPERTIES'!$F$5:$F$404,MATCH(E1100,'PROPERTIES'!$B$5:$B$404,0))=0,"",ROUND((INDEX('PROPERTIES'!$F$5:$F$404,MATCH(E1100,'PROPERTIES'!$B$5:$B$404,0))/INDEX('PRICING'!$C$7:$C$16,MATCH(F1100,'PRICING'!$A$7:$A$16,0))+INDEX('PROPERTIES'!$G$5:$G$404,MATCH(E1100,'PROPERTIES'!$B$5:$B$404,0))*INDEX('PRICING'!$D$7:$D$16,MATCH(F1100,'PRICING'!$A$7:$A$16,0))/60+INDEX('PROPERTIES'!$H$5:$H$404,MATCH(E1100,'PROPERTIES'!$B$5:$B$404,0))*INDEX('PRICING'!$E$7:$E$16,MATCH(F1100,'PRICING'!$A$7:$A$16,0))/60+INDEX('PRICING'!$F$7:$F$16,MATCH(F1100,'PRICING'!$A$7:$A$16,0))/60),2)),""))</f>
        <v/>
      </c>
      <c r="R1100" s="97">
        <f>IF(B1100="","",IF(N(K1100)&gt;0,K1100,IF(N(J1100)&gt;0,J1100,N(Q1100))))</f>
        <v/>
      </c>
      <c r="S1100" s="55">
        <f>IF(L1100="","",ROUND(L1100*(1+N(M1100)),2))</f>
        <v/>
      </c>
      <c r="T1100" s="55">
        <f>IF(B1100="","",SUMIFS('REVENUE'!$C$5:$C$1504,'REVENUE'!$B$5:$B$1504,A1100))</f>
        <v/>
      </c>
      <c r="U1100" s="55">
        <f>IF(B1100="","",IF(O1100="Completed",MAX(0,N(S1100)-T1100),""))</f>
        <v/>
      </c>
      <c r="V1100" s="49">
        <f>IF(B1100="","",IF(O1100&lt;&gt;"Completed",IF(T1100&gt;0,"Deposit","—"),IF(U1100&lt;=0.005,"Paid",IF(T1100&gt;0,"Partial","Unpaid"))))</f>
        <v/>
      </c>
      <c r="W1100" s="55">
        <f>IF(B1100="","",IFERROR(1/(1/INDEX('STAFF &amp; TASKS'!$C$5:$C$24,MATCH(H1100,'STAFF &amp; TASKS'!$A$5:$A$24,0))),PayRate))</f>
        <v/>
      </c>
      <c r="X1100" s="55">
        <f>IF(B1100="","",IF(OR(O1100="Cancelled",O1100="No-Show"),"",ROUND(R1100*W1100*(1+Burden),2)))</f>
        <v/>
      </c>
      <c r="Y1100" s="55">
        <f>IF(B1100="","",IF(OR(O1100="Cancelled",O1100="No-Show"),"",IF(N1100&lt;&gt;"",N1100,ROUND(R1100*SupHr*IFERROR(INDEX('PRICING'!$G$7:$G$16,MATCH(F1100,'PRICING'!$A$7:$A$16,0)),1),2))))</f>
        <v/>
      </c>
      <c r="Z1100" s="98">
        <f>IF(B1100="","",SUMIFS('MILEAGE'!$J$5:$J$1504,'MILEAGE'!$B$5:$B$1504,A1100))</f>
        <v/>
      </c>
      <c r="AA1100" s="55">
        <f>IF(B1100="","",ROUND(Z1100*MileRate,2))</f>
        <v/>
      </c>
      <c r="AB1100" s="55">
        <f>IF(B1100="","",SUMIFS('REVENUE'!$J$5:$J$1504,'REVENUE'!$B$5:$B$1504,A1100))</f>
        <v/>
      </c>
      <c r="AC1100" s="55">
        <f>IF(L1100="","",IF(OR(O1100="Cancelled",O1100="No-Show"),"",L1100-N(X1100)-N(Y1100)-AA1100-AB1100))</f>
        <v/>
      </c>
      <c r="AD1100" s="99">
        <f>IF(OR(AC1100="",N(L1100)=0),"",AC1100/L1100)</f>
        <v/>
      </c>
      <c r="AE1100" s="55">
        <f>IF(OR(AC1100="",N(R1100)=0),"",L1100/R1100)</f>
        <v/>
      </c>
      <c r="AF1100" s="100">
        <f>IF(OR(N(K1100)=0,N(J1100)+N(Q1100)=0),"",K1100-IF(N(J1100)&gt;0,J1100,Q1100))</f>
        <v/>
      </c>
      <c r="AG1100" s="99">
        <f>IF(B1100="","",IFERROR(AVERAGEIFS('QUALITY CONTROL'!$M$5:$M$304,'QUALITY CONTROL'!$B$5:$B$304,A1100),""))</f>
        <v/>
      </c>
      <c r="AH1100" s="51">
        <f>IF(B1100="","",DATE(YEAR(B1100),MONTH(B1100),1))</f>
        <v/>
      </c>
      <c r="AI1100" s="49">
        <f>IF(D1100="","",IFERROR(INDEX('CUSTOMERS'!$E$5:$E$404,MATCH(D1100,'CUSTOMERS'!$B$5:$B$404,0)),""))</f>
        <v/>
      </c>
      <c r="AJ1100" s="49">
        <f>IF(B1100="","",N(C1100))</f>
        <v/>
      </c>
      <c r="AK1100" s="49">
        <f>IF(OR(B1100="",O1100="Cancelled",O1100="Rescheduled"),"",B1100&amp;"|"&amp;(COUNTIFS('JOBS'!$B$5:$B$1504,B1100,'JOBS'!$AJ$5:$AJ$1504,"&lt;"&amp;AJ1100,'JOBS'!$O$5:$O$1504,"&lt;&gt;Cancelled",'JOBS'!$O$5:$O$1504,"&lt;&gt;Rescheduled")+COUNTIFS($B$5:B1100,B1100,$AJ$5:AJ1100,AJ1100,$O$5:O1100,"&lt;&gt;Cancelled",$O$5:O1100,"&lt;&gt;Rescheduled")))</f>
        <v/>
      </c>
      <c r="AL1100" s="49">
        <f>IF(N(U1100)&lt;=0.005,"",COUNTIFS('JOBS'!$U$5:$U$1504,"&gt;0.005",'JOBS'!$B$5:$B$1504,"&lt;"&amp;B1100)+COUNTIFS($U$5:U1100,"&gt;0.005",$B$5:B1100,B1100))</f>
        <v/>
      </c>
    </row>
    <row r="1101">
      <c r="A1101" s="46" t="inlineStr">
        <is>
          <t>J-1097</t>
        </is>
      </c>
      <c r="B1101" s="47" t="n"/>
      <c r="C1101" s="94" t="n"/>
      <c r="D1101" s="38" t="n"/>
      <c r="E1101" s="38" t="n"/>
      <c r="F1101" s="38" t="n"/>
      <c r="G1101" s="38" t="n"/>
      <c r="H1101" s="38" t="n"/>
      <c r="I1101" s="57" t="n"/>
      <c r="J1101" s="95" t="n"/>
      <c r="K1101" s="95" t="n"/>
      <c r="L1101" s="48" t="n"/>
      <c r="M1101" s="96" t="n"/>
      <c r="N1101" s="48" t="n"/>
      <c r="O1101" s="38" t="n"/>
      <c r="P1101" s="38" t="n"/>
      <c r="Q1101" s="97">
        <f>IF(OR(F1101="",E1101=""),"",IFERROR(IF(INDEX('PROPERTIES'!$F$5:$F$404,MATCH(E1101,'PROPERTIES'!$B$5:$B$404,0))=0,"",ROUND((INDEX('PROPERTIES'!$F$5:$F$404,MATCH(E1101,'PROPERTIES'!$B$5:$B$404,0))/INDEX('PRICING'!$C$7:$C$16,MATCH(F1101,'PRICING'!$A$7:$A$16,0))+INDEX('PROPERTIES'!$G$5:$G$404,MATCH(E1101,'PROPERTIES'!$B$5:$B$404,0))*INDEX('PRICING'!$D$7:$D$16,MATCH(F1101,'PRICING'!$A$7:$A$16,0))/60+INDEX('PROPERTIES'!$H$5:$H$404,MATCH(E1101,'PROPERTIES'!$B$5:$B$404,0))*INDEX('PRICING'!$E$7:$E$16,MATCH(F1101,'PRICING'!$A$7:$A$16,0))/60+INDEX('PRICING'!$F$7:$F$16,MATCH(F1101,'PRICING'!$A$7:$A$16,0))/60),2)),""))</f>
        <v/>
      </c>
      <c r="R1101" s="97">
        <f>IF(B1101="","",IF(N(K1101)&gt;0,K1101,IF(N(J1101)&gt;0,J1101,N(Q1101))))</f>
        <v/>
      </c>
      <c r="S1101" s="55">
        <f>IF(L1101="","",ROUND(L1101*(1+N(M1101)),2))</f>
        <v/>
      </c>
      <c r="T1101" s="55">
        <f>IF(B1101="","",SUMIFS('REVENUE'!$C$5:$C$1504,'REVENUE'!$B$5:$B$1504,A1101))</f>
        <v/>
      </c>
      <c r="U1101" s="55">
        <f>IF(B1101="","",IF(O1101="Completed",MAX(0,N(S1101)-T1101),""))</f>
        <v/>
      </c>
      <c r="V1101" s="49">
        <f>IF(B1101="","",IF(O1101&lt;&gt;"Completed",IF(T1101&gt;0,"Deposit","—"),IF(U1101&lt;=0.005,"Paid",IF(T1101&gt;0,"Partial","Unpaid"))))</f>
        <v/>
      </c>
      <c r="W1101" s="55">
        <f>IF(B1101="","",IFERROR(1/(1/INDEX('STAFF &amp; TASKS'!$C$5:$C$24,MATCH(H1101,'STAFF &amp; TASKS'!$A$5:$A$24,0))),PayRate))</f>
        <v/>
      </c>
      <c r="X1101" s="55">
        <f>IF(B1101="","",IF(OR(O1101="Cancelled",O1101="No-Show"),"",ROUND(R1101*W1101*(1+Burden),2)))</f>
        <v/>
      </c>
      <c r="Y1101" s="55">
        <f>IF(B1101="","",IF(OR(O1101="Cancelled",O1101="No-Show"),"",IF(N1101&lt;&gt;"",N1101,ROUND(R1101*SupHr*IFERROR(INDEX('PRICING'!$G$7:$G$16,MATCH(F1101,'PRICING'!$A$7:$A$16,0)),1),2))))</f>
        <v/>
      </c>
      <c r="Z1101" s="98">
        <f>IF(B1101="","",SUMIFS('MILEAGE'!$J$5:$J$1504,'MILEAGE'!$B$5:$B$1504,A1101))</f>
        <v/>
      </c>
      <c r="AA1101" s="55">
        <f>IF(B1101="","",ROUND(Z1101*MileRate,2))</f>
        <v/>
      </c>
      <c r="AB1101" s="55">
        <f>IF(B1101="","",SUMIFS('REVENUE'!$J$5:$J$1504,'REVENUE'!$B$5:$B$1504,A1101))</f>
        <v/>
      </c>
      <c r="AC1101" s="55">
        <f>IF(L1101="","",IF(OR(O1101="Cancelled",O1101="No-Show"),"",L1101-N(X1101)-N(Y1101)-AA1101-AB1101))</f>
        <v/>
      </c>
      <c r="AD1101" s="99">
        <f>IF(OR(AC1101="",N(L1101)=0),"",AC1101/L1101)</f>
        <v/>
      </c>
      <c r="AE1101" s="55">
        <f>IF(OR(AC1101="",N(R1101)=0),"",L1101/R1101)</f>
        <v/>
      </c>
      <c r="AF1101" s="100">
        <f>IF(OR(N(K1101)=0,N(J1101)+N(Q1101)=0),"",K1101-IF(N(J1101)&gt;0,J1101,Q1101))</f>
        <v/>
      </c>
      <c r="AG1101" s="99">
        <f>IF(B1101="","",IFERROR(AVERAGEIFS('QUALITY CONTROL'!$M$5:$M$304,'QUALITY CONTROL'!$B$5:$B$304,A1101),""))</f>
        <v/>
      </c>
      <c r="AH1101" s="51">
        <f>IF(B1101="","",DATE(YEAR(B1101),MONTH(B1101),1))</f>
        <v/>
      </c>
      <c r="AI1101" s="49">
        <f>IF(D1101="","",IFERROR(INDEX('CUSTOMERS'!$E$5:$E$404,MATCH(D1101,'CUSTOMERS'!$B$5:$B$404,0)),""))</f>
        <v/>
      </c>
      <c r="AJ1101" s="49">
        <f>IF(B1101="","",N(C1101))</f>
        <v/>
      </c>
      <c r="AK1101" s="49">
        <f>IF(OR(B1101="",O1101="Cancelled",O1101="Rescheduled"),"",B1101&amp;"|"&amp;(COUNTIFS('JOBS'!$B$5:$B$1504,B1101,'JOBS'!$AJ$5:$AJ$1504,"&lt;"&amp;AJ1101,'JOBS'!$O$5:$O$1504,"&lt;&gt;Cancelled",'JOBS'!$O$5:$O$1504,"&lt;&gt;Rescheduled")+COUNTIFS($B$5:B1101,B1101,$AJ$5:AJ1101,AJ1101,$O$5:O1101,"&lt;&gt;Cancelled",$O$5:O1101,"&lt;&gt;Rescheduled")))</f>
        <v/>
      </c>
      <c r="AL1101" s="49">
        <f>IF(N(U1101)&lt;=0.005,"",COUNTIFS('JOBS'!$U$5:$U$1504,"&gt;0.005",'JOBS'!$B$5:$B$1504,"&lt;"&amp;B1101)+COUNTIFS($U$5:U1101,"&gt;0.005",$B$5:B1101,B1101))</f>
        <v/>
      </c>
    </row>
    <row r="1102">
      <c r="A1102" s="46" t="inlineStr">
        <is>
          <t>J-1098</t>
        </is>
      </c>
      <c r="B1102" s="47" t="n"/>
      <c r="C1102" s="94" t="n"/>
      <c r="D1102" s="38" t="n"/>
      <c r="E1102" s="38" t="n"/>
      <c r="F1102" s="38" t="n"/>
      <c r="G1102" s="38" t="n"/>
      <c r="H1102" s="38" t="n"/>
      <c r="I1102" s="57" t="n"/>
      <c r="J1102" s="95" t="n"/>
      <c r="K1102" s="95" t="n"/>
      <c r="L1102" s="48" t="n"/>
      <c r="M1102" s="96" t="n"/>
      <c r="N1102" s="48" t="n"/>
      <c r="O1102" s="38" t="n"/>
      <c r="P1102" s="38" t="n"/>
      <c r="Q1102" s="97">
        <f>IF(OR(F1102="",E1102=""),"",IFERROR(IF(INDEX('PROPERTIES'!$F$5:$F$404,MATCH(E1102,'PROPERTIES'!$B$5:$B$404,0))=0,"",ROUND((INDEX('PROPERTIES'!$F$5:$F$404,MATCH(E1102,'PROPERTIES'!$B$5:$B$404,0))/INDEX('PRICING'!$C$7:$C$16,MATCH(F1102,'PRICING'!$A$7:$A$16,0))+INDEX('PROPERTIES'!$G$5:$G$404,MATCH(E1102,'PROPERTIES'!$B$5:$B$404,0))*INDEX('PRICING'!$D$7:$D$16,MATCH(F1102,'PRICING'!$A$7:$A$16,0))/60+INDEX('PROPERTIES'!$H$5:$H$404,MATCH(E1102,'PROPERTIES'!$B$5:$B$404,0))*INDEX('PRICING'!$E$7:$E$16,MATCH(F1102,'PRICING'!$A$7:$A$16,0))/60+INDEX('PRICING'!$F$7:$F$16,MATCH(F1102,'PRICING'!$A$7:$A$16,0))/60),2)),""))</f>
        <v/>
      </c>
      <c r="R1102" s="97">
        <f>IF(B1102="","",IF(N(K1102)&gt;0,K1102,IF(N(J1102)&gt;0,J1102,N(Q1102))))</f>
        <v/>
      </c>
      <c r="S1102" s="55">
        <f>IF(L1102="","",ROUND(L1102*(1+N(M1102)),2))</f>
        <v/>
      </c>
      <c r="T1102" s="55">
        <f>IF(B1102="","",SUMIFS('REVENUE'!$C$5:$C$1504,'REVENUE'!$B$5:$B$1504,A1102))</f>
        <v/>
      </c>
      <c r="U1102" s="55">
        <f>IF(B1102="","",IF(O1102="Completed",MAX(0,N(S1102)-T1102),""))</f>
        <v/>
      </c>
      <c r="V1102" s="49">
        <f>IF(B1102="","",IF(O1102&lt;&gt;"Completed",IF(T1102&gt;0,"Deposit","—"),IF(U1102&lt;=0.005,"Paid",IF(T1102&gt;0,"Partial","Unpaid"))))</f>
        <v/>
      </c>
      <c r="W1102" s="55">
        <f>IF(B1102="","",IFERROR(1/(1/INDEX('STAFF &amp; TASKS'!$C$5:$C$24,MATCH(H1102,'STAFF &amp; TASKS'!$A$5:$A$24,0))),PayRate))</f>
        <v/>
      </c>
      <c r="X1102" s="55">
        <f>IF(B1102="","",IF(OR(O1102="Cancelled",O1102="No-Show"),"",ROUND(R1102*W1102*(1+Burden),2)))</f>
        <v/>
      </c>
      <c r="Y1102" s="55">
        <f>IF(B1102="","",IF(OR(O1102="Cancelled",O1102="No-Show"),"",IF(N1102&lt;&gt;"",N1102,ROUND(R1102*SupHr*IFERROR(INDEX('PRICING'!$G$7:$G$16,MATCH(F1102,'PRICING'!$A$7:$A$16,0)),1),2))))</f>
        <v/>
      </c>
      <c r="Z1102" s="98">
        <f>IF(B1102="","",SUMIFS('MILEAGE'!$J$5:$J$1504,'MILEAGE'!$B$5:$B$1504,A1102))</f>
        <v/>
      </c>
      <c r="AA1102" s="55">
        <f>IF(B1102="","",ROUND(Z1102*MileRate,2))</f>
        <v/>
      </c>
      <c r="AB1102" s="55">
        <f>IF(B1102="","",SUMIFS('REVENUE'!$J$5:$J$1504,'REVENUE'!$B$5:$B$1504,A1102))</f>
        <v/>
      </c>
      <c r="AC1102" s="55">
        <f>IF(L1102="","",IF(OR(O1102="Cancelled",O1102="No-Show"),"",L1102-N(X1102)-N(Y1102)-AA1102-AB1102))</f>
        <v/>
      </c>
      <c r="AD1102" s="99">
        <f>IF(OR(AC1102="",N(L1102)=0),"",AC1102/L1102)</f>
        <v/>
      </c>
      <c r="AE1102" s="55">
        <f>IF(OR(AC1102="",N(R1102)=0),"",L1102/R1102)</f>
        <v/>
      </c>
      <c r="AF1102" s="100">
        <f>IF(OR(N(K1102)=0,N(J1102)+N(Q1102)=0),"",K1102-IF(N(J1102)&gt;0,J1102,Q1102))</f>
        <v/>
      </c>
      <c r="AG1102" s="99">
        <f>IF(B1102="","",IFERROR(AVERAGEIFS('QUALITY CONTROL'!$M$5:$M$304,'QUALITY CONTROL'!$B$5:$B$304,A1102),""))</f>
        <v/>
      </c>
      <c r="AH1102" s="51">
        <f>IF(B1102="","",DATE(YEAR(B1102),MONTH(B1102),1))</f>
        <v/>
      </c>
      <c r="AI1102" s="49">
        <f>IF(D1102="","",IFERROR(INDEX('CUSTOMERS'!$E$5:$E$404,MATCH(D1102,'CUSTOMERS'!$B$5:$B$404,0)),""))</f>
        <v/>
      </c>
      <c r="AJ1102" s="49">
        <f>IF(B1102="","",N(C1102))</f>
        <v/>
      </c>
      <c r="AK1102" s="49">
        <f>IF(OR(B1102="",O1102="Cancelled",O1102="Rescheduled"),"",B1102&amp;"|"&amp;(COUNTIFS('JOBS'!$B$5:$B$1504,B1102,'JOBS'!$AJ$5:$AJ$1504,"&lt;"&amp;AJ1102,'JOBS'!$O$5:$O$1504,"&lt;&gt;Cancelled",'JOBS'!$O$5:$O$1504,"&lt;&gt;Rescheduled")+COUNTIFS($B$5:B1102,B1102,$AJ$5:AJ1102,AJ1102,$O$5:O1102,"&lt;&gt;Cancelled",$O$5:O1102,"&lt;&gt;Rescheduled")))</f>
        <v/>
      </c>
      <c r="AL1102" s="49">
        <f>IF(N(U1102)&lt;=0.005,"",COUNTIFS('JOBS'!$U$5:$U$1504,"&gt;0.005",'JOBS'!$B$5:$B$1504,"&lt;"&amp;B1102)+COUNTIFS($U$5:U1102,"&gt;0.005",$B$5:B1102,B1102))</f>
        <v/>
      </c>
    </row>
    <row r="1103">
      <c r="A1103" s="46" t="inlineStr">
        <is>
          <t>J-1099</t>
        </is>
      </c>
      <c r="B1103" s="47" t="n"/>
      <c r="C1103" s="94" t="n"/>
      <c r="D1103" s="38" t="n"/>
      <c r="E1103" s="38" t="n"/>
      <c r="F1103" s="38" t="n"/>
      <c r="G1103" s="38" t="n"/>
      <c r="H1103" s="38" t="n"/>
      <c r="I1103" s="57" t="n"/>
      <c r="J1103" s="95" t="n"/>
      <c r="K1103" s="95" t="n"/>
      <c r="L1103" s="48" t="n"/>
      <c r="M1103" s="96" t="n"/>
      <c r="N1103" s="48" t="n"/>
      <c r="O1103" s="38" t="n"/>
      <c r="P1103" s="38" t="n"/>
      <c r="Q1103" s="97">
        <f>IF(OR(F1103="",E1103=""),"",IFERROR(IF(INDEX('PROPERTIES'!$F$5:$F$404,MATCH(E1103,'PROPERTIES'!$B$5:$B$404,0))=0,"",ROUND((INDEX('PROPERTIES'!$F$5:$F$404,MATCH(E1103,'PROPERTIES'!$B$5:$B$404,0))/INDEX('PRICING'!$C$7:$C$16,MATCH(F1103,'PRICING'!$A$7:$A$16,0))+INDEX('PROPERTIES'!$G$5:$G$404,MATCH(E1103,'PROPERTIES'!$B$5:$B$404,0))*INDEX('PRICING'!$D$7:$D$16,MATCH(F1103,'PRICING'!$A$7:$A$16,0))/60+INDEX('PROPERTIES'!$H$5:$H$404,MATCH(E1103,'PROPERTIES'!$B$5:$B$404,0))*INDEX('PRICING'!$E$7:$E$16,MATCH(F1103,'PRICING'!$A$7:$A$16,0))/60+INDEX('PRICING'!$F$7:$F$16,MATCH(F1103,'PRICING'!$A$7:$A$16,0))/60),2)),""))</f>
        <v/>
      </c>
      <c r="R1103" s="97">
        <f>IF(B1103="","",IF(N(K1103)&gt;0,K1103,IF(N(J1103)&gt;0,J1103,N(Q1103))))</f>
        <v/>
      </c>
      <c r="S1103" s="55">
        <f>IF(L1103="","",ROUND(L1103*(1+N(M1103)),2))</f>
        <v/>
      </c>
      <c r="T1103" s="55">
        <f>IF(B1103="","",SUMIFS('REVENUE'!$C$5:$C$1504,'REVENUE'!$B$5:$B$1504,A1103))</f>
        <v/>
      </c>
      <c r="U1103" s="55">
        <f>IF(B1103="","",IF(O1103="Completed",MAX(0,N(S1103)-T1103),""))</f>
        <v/>
      </c>
      <c r="V1103" s="49">
        <f>IF(B1103="","",IF(O1103&lt;&gt;"Completed",IF(T1103&gt;0,"Deposit","—"),IF(U1103&lt;=0.005,"Paid",IF(T1103&gt;0,"Partial","Unpaid"))))</f>
        <v/>
      </c>
      <c r="W1103" s="55">
        <f>IF(B1103="","",IFERROR(1/(1/INDEX('STAFF &amp; TASKS'!$C$5:$C$24,MATCH(H1103,'STAFF &amp; TASKS'!$A$5:$A$24,0))),PayRate))</f>
        <v/>
      </c>
      <c r="X1103" s="55">
        <f>IF(B1103="","",IF(OR(O1103="Cancelled",O1103="No-Show"),"",ROUND(R1103*W1103*(1+Burden),2)))</f>
        <v/>
      </c>
      <c r="Y1103" s="55">
        <f>IF(B1103="","",IF(OR(O1103="Cancelled",O1103="No-Show"),"",IF(N1103&lt;&gt;"",N1103,ROUND(R1103*SupHr*IFERROR(INDEX('PRICING'!$G$7:$G$16,MATCH(F1103,'PRICING'!$A$7:$A$16,0)),1),2))))</f>
        <v/>
      </c>
      <c r="Z1103" s="98">
        <f>IF(B1103="","",SUMIFS('MILEAGE'!$J$5:$J$1504,'MILEAGE'!$B$5:$B$1504,A1103))</f>
        <v/>
      </c>
      <c r="AA1103" s="55">
        <f>IF(B1103="","",ROUND(Z1103*MileRate,2))</f>
        <v/>
      </c>
      <c r="AB1103" s="55">
        <f>IF(B1103="","",SUMIFS('REVENUE'!$J$5:$J$1504,'REVENUE'!$B$5:$B$1504,A1103))</f>
        <v/>
      </c>
      <c r="AC1103" s="55">
        <f>IF(L1103="","",IF(OR(O1103="Cancelled",O1103="No-Show"),"",L1103-N(X1103)-N(Y1103)-AA1103-AB1103))</f>
        <v/>
      </c>
      <c r="AD1103" s="99">
        <f>IF(OR(AC1103="",N(L1103)=0),"",AC1103/L1103)</f>
        <v/>
      </c>
      <c r="AE1103" s="55">
        <f>IF(OR(AC1103="",N(R1103)=0),"",L1103/R1103)</f>
        <v/>
      </c>
      <c r="AF1103" s="100">
        <f>IF(OR(N(K1103)=0,N(J1103)+N(Q1103)=0),"",K1103-IF(N(J1103)&gt;0,J1103,Q1103))</f>
        <v/>
      </c>
      <c r="AG1103" s="99">
        <f>IF(B1103="","",IFERROR(AVERAGEIFS('QUALITY CONTROL'!$M$5:$M$304,'QUALITY CONTROL'!$B$5:$B$304,A1103),""))</f>
        <v/>
      </c>
      <c r="AH1103" s="51">
        <f>IF(B1103="","",DATE(YEAR(B1103),MONTH(B1103),1))</f>
        <v/>
      </c>
      <c r="AI1103" s="49">
        <f>IF(D1103="","",IFERROR(INDEX('CUSTOMERS'!$E$5:$E$404,MATCH(D1103,'CUSTOMERS'!$B$5:$B$404,0)),""))</f>
        <v/>
      </c>
      <c r="AJ1103" s="49">
        <f>IF(B1103="","",N(C1103))</f>
        <v/>
      </c>
      <c r="AK1103" s="49">
        <f>IF(OR(B1103="",O1103="Cancelled",O1103="Rescheduled"),"",B1103&amp;"|"&amp;(COUNTIFS('JOBS'!$B$5:$B$1504,B1103,'JOBS'!$AJ$5:$AJ$1504,"&lt;"&amp;AJ1103,'JOBS'!$O$5:$O$1504,"&lt;&gt;Cancelled",'JOBS'!$O$5:$O$1504,"&lt;&gt;Rescheduled")+COUNTIFS($B$5:B1103,B1103,$AJ$5:AJ1103,AJ1103,$O$5:O1103,"&lt;&gt;Cancelled",$O$5:O1103,"&lt;&gt;Rescheduled")))</f>
        <v/>
      </c>
      <c r="AL1103" s="49">
        <f>IF(N(U1103)&lt;=0.005,"",COUNTIFS('JOBS'!$U$5:$U$1504,"&gt;0.005",'JOBS'!$B$5:$B$1504,"&lt;"&amp;B1103)+COUNTIFS($U$5:U1103,"&gt;0.005",$B$5:B1103,B1103))</f>
        <v/>
      </c>
    </row>
    <row r="1104">
      <c r="A1104" s="46" t="inlineStr">
        <is>
          <t>J-1100</t>
        </is>
      </c>
      <c r="B1104" s="47" t="n"/>
      <c r="C1104" s="94" t="n"/>
      <c r="D1104" s="38" t="n"/>
      <c r="E1104" s="38" t="n"/>
      <c r="F1104" s="38" t="n"/>
      <c r="G1104" s="38" t="n"/>
      <c r="H1104" s="38" t="n"/>
      <c r="I1104" s="57" t="n"/>
      <c r="J1104" s="95" t="n"/>
      <c r="K1104" s="95" t="n"/>
      <c r="L1104" s="48" t="n"/>
      <c r="M1104" s="96" t="n"/>
      <c r="N1104" s="48" t="n"/>
      <c r="O1104" s="38" t="n"/>
      <c r="P1104" s="38" t="n"/>
      <c r="Q1104" s="97">
        <f>IF(OR(F1104="",E1104=""),"",IFERROR(IF(INDEX('PROPERTIES'!$F$5:$F$404,MATCH(E1104,'PROPERTIES'!$B$5:$B$404,0))=0,"",ROUND((INDEX('PROPERTIES'!$F$5:$F$404,MATCH(E1104,'PROPERTIES'!$B$5:$B$404,0))/INDEX('PRICING'!$C$7:$C$16,MATCH(F1104,'PRICING'!$A$7:$A$16,0))+INDEX('PROPERTIES'!$G$5:$G$404,MATCH(E1104,'PROPERTIES'!$B$5:$B$404,0))*INDEX('PRICING'!$D$7:$D$16,MATCH(F1104,'PRICING'!$A$7:$A$16,0))/60+INDEX('PROPERTIES'!$H$5:$H$404,MATCH(E1104,'PROPERTIES'!$B$5:$B$404,0))*INDEX('PRICING'!$E$7:$E$16,MATCH(F1104,'PRICING'!$A$7:$A$16,0))/60+INDEX('PRICING'!$F$7:$F$16,MATCH(F1104,'PRICING'!$A$7:$A$16,0))/60),2)),""))</f>
        <v/>
      </c>
      <c r="R1104" s="97">
        <f>IF(B1104="","",IF(N(K1104)&gt;0,K1104,IF(N(J1104)&gt;0,J1104,N(Q1104))))</f>
        <v/>
      </c>
      <c r="S1104" s="55">
        <f>IF(L1104="","",ROUND(L1104*(1+N(M1104)),2))</f>
        <v/>
      </c>
      <c r="T1104" s="55">
        <f>IF(B1104="","",SUMIFS('REVENUE'!$C$5:$C$1504,'REVENUE'!$B$5:$B$1504,A1104))</f>
        <v/>
      </c>
      <c r="U1104" s="55">
        <f>IF(B1104="","",IF(O1104="Completed",MAX(0,N(S1104)-T1104),""))</f>
        <v/>
      </c>
      <c r="V1104" s="49">
        <f>IF(B1104="","",IF(O1104&lt;&gt;"Completed",IF(T1104&gt;0,"Deposit","—"),IF(U1104&lt;=0.005,"Paid",IF(T1104&gt;0,"Partial","Unpaid"))))</f>
        <v/>
      </c>
      <c r="W1104" s="55">
        <f>IF(B1104="","",IFERROR(1/(1/INDEX('STAFF &amp; TASKS'!$C$5:$C$24,MATCH(H1104,'STAFF &amp; TASKS'!$A$5:$A$24,0))),PayRate))</f>
        <v/>
      </c>
      <c r="X1104" s="55">
        <f>IF(B1104="","",IF(OR(O1104="Cancelled",O1104="No-Show"),"",ROUND(R1104*W1104*(1+Burden),2)))</f>
        <v/>
      </c>
      <c r="Y1104" s="55">
        <f>IF(B1104="","",IF(OR(O1104="Cancelled",O1104="No-Show"),"",IF(N1104&lt;&gt;"",N1104,ROUND(R1104*SupHr*IFERROR(INDEX('PRICING'!$G$7:$G$16,MATCH(F1104,'PRICING'!$A$7:$A$16,0)),1),2))))</f>
        <v/>
      </c>
      <c r="Z1104" s="98">
        <f>IF(B1104="","",SUMIFS('MILEAGE'!$J$5:$J$1504,'MILEAGE'!$B$5:$B$1504,A1104))</f>
        <v/>
      </c>
      <c r="AA1104" s="55">
        <f>IF(B1104="","",ROUND(Z1104*MileRate,2))</f>
        <v/>
      </c>
      <c r="AB1104" s="55">
        <f>IF(B1104="","",SUMIFS('REVENUE'!$J$5:$J$1504,'REVENUE'!$B$5:$B$1504,A1104))</f>
        <v/>
      </c>
      <c r="AC1104" s="55">
        <f>IF(L1104="","",IF(OR(O1104="Cancelled",O1104="No-Show"),"",L1104-N(X1104)-N(Y1104)-AA1104-AB1104))</f>
        <v/>
      </c>
      <c r="AD1104" s="99">
        <f>IF(OR(AC1104="",N(L1104)=0),"",AC1104/L1104)</f>
        <v/>
      </c>
      <c r="AE1104" s="55">
        <f>IF(OR(AC1104="",N(R1104)=0),"",L1104/R1104)</f>
        <v/>
      </c>
      <c r="AF1104" s="100">
        <f>IF(OR(N(K1104)=0,N(J1104)+N(Q1104)=0),"",K1104-IF(N(J1104)&gt;0,J1104,Q1104))</f>
        <v/>
      </c>
      <c r="AG1104" s="99">
        <f>IF(B1104="","",IFERROR(AVERAGEIFS('QUALITY CONTROL'!$M$5:$M$304,'QUALITY CONTROL'!$B$5:$B$304,A1104),""))</f>
        <v/>
      </c>
      <c r="AH1104" s="51">
        <f>IF(B1104="","",DATE(YEAR(B1104),MONTH(B1104),1))</f>
        <v/>
      </c>
      <c r="AI1104" s="49">
        <f>IF(D1104="","",IFERROR(INDEX('CUSTOMERS'!$E$5:$E$404,MATCH(D1104,'CUSTOMERS'!$B$5:$B$404,0)),""))</f>
        <v/>
      </c>
      <c r="AJ1104" s="49">
        <f>IF(B1104="","",N(C1104))</f>
        <v/>
      </c>
      <c r="AK1104" s="49">
        <f>IF(OR(B1104="",O1104="Cancelled",O1104="Rescheduled"),"",B1104&amp;"|"&amp;(COUNTIFS('JOBS'!$B$5:$B$1504,B1104,'JOBS'!$AJ$5:$AJ$1504,"&lt;"&amp;AJ1104,'JOBS'!$O$5:$O$1504,"&lt;&gt;Cancelled",'JOBS'!$O$5:$O$1504,"&lt;&gt;Rescheduled")+COUNTIFS($B$5:B1104,B1104,$AJ$5:AJ1104,AJ1104,$O$5:O1104,"&lt;&gt;Cancelled",$O$5:O1104,"&lt;&gt;Rescheduled")))</f>
        <v/>
      </c>
      <c r="AL1104" s="49">
        <f>IF(N(U1104)&lt;=0.005,"",COUNTIFS('JOBS'!$U$5:$U$1504,"&gt;0.005",'JOBS'!$B$5:$B$1504,"&lt;"&amp;B1104)+COUNTIFS($U$5:U1104,"&gt;0.005",$B$5:B1104,B1104))</f>
        <v/>
      </c>
    </row>
    <row r="1105">
      <c r="A1105" s="46" t="inlineStr">
        <is>
          <t>J-1101</t>
        </is>
      </c>
      <c r="B1105" s="47" t="n"/>
      <c r="C1105" s="94" t="n"/>
      <c r="D1105" s="38" t="n"/>
      <c r="E1105" s="38" t="n"/>
      <c r="F1105" s="38" t="n"/>
      <c r="G1105" s="38" t="n"/>
      <c r="H1105" s="38" t="n"/>
      <c r="I1105" s="57" t="n"/>
      <c r="J1105" s="95" t="n"/>
      <c r="K1105" s="95" t="n"/>
      <c r="L1105" s="48" t="n"/>
      <c r="M1105" s="96" t="n"/>
      <c r="N1105" s="48" t="n"/>
      <c r="O1105" s="38" t="n"/>
      <c r="P1105" s="38" t="n"/>
      <c r="Q1105" s="97">
        <f>IF(OR(F1105="",E1105=""),"",IFERROR(IF(INDEX('PROPERTIES'!$F$5:$F$404,MATCH(E1105,'PROPERTIES'!$B$5:$B$404,0))=0,"",ROUND((INDEX('PROPERTIES'!$F$5:$F$404,MATCH(E1105,'PROPERTIES'!$B$5:$B$404,0))/INDEX('PRICING'!$C$7:$C$16,MATCH(F1105,'PRICING'!$A$7:$A$16,0))+INDEX('PROPERTIES'!$G$5:$G$404,MATCH(E1105,'PROPERTIES'!$B$5:$B$404,0))*INDEX('PRICING'!$D$7:$D$16,MATCH(F1105,'PRICING'!$A$7:$A$16,0))/60+INDEX('PROPERTIES'!$H$5:$H$404,MATCH(E1105,'PROPERTIES'!$B$5:$B$404,0))*INDEX('PRICING'!$E$7:$E$16,MATCH(F1105,'PRICING'!$A$7:$A$16,0))/60+INDEX('PRICING'!$F$7:$F$16,MATCH(F1105,'PRICING'!$A$7:$A$16,0))/60),2)),""))</f>
        <v/>
      </c>
      <c r="R1105" s="97">
        <f>IF(B1105="","",IF(N(K1105)&gt;0,K1105,IF(N(J1105)&gt;0,J1105,N(Q1105))))</f>
        <v/>
      </c>
      <c r="S1105" s="55">
        <f>IF(L1105="","",ROUND(L1105*(1+N(M1105)),2))</f>
        <v/>
      </c>
      <c r="T1105" s="55">
        <f>IF(B1105="","",SUMIFS('REVENUE'!$C$5:$C$1504,'REVENUE'!$B$5:$B$1504,A1105))</f>
        <v/>
      </c>
      <c r="U1105" s="55">
        <f>IF(B1105="","",IF(O1105="Completed",MAX(0,N(S1105)-T1105),""))</f>
        <v/>
      </c>
      <c r="V1105" s="49">
        <f>IF(B1105="","",IF(O1105&lt;&gt;"Completed",IF(T1105&gt;0,"Deposit","—"),IF(U1105&lt;=0.005,"Paid",IF(T1105&gt;0,"Partial","Unpaid"))))</f>
        <v/>
      </c>
      <c r="W1105" s="55">
        <f>IF(B1105="","",IFERROR(1/(1/INDEX('STAFF &amp; TASKS'!$C$5:$C$24,MATCH(H1105,'STAFF &amp; TASKS'!$A$5:$A$24,0))),PayRate))</f>
        <v/>
      </c>
      <c r="X1105" s="55">
        <f>IF(B1105="","",IF(OR(O1105="Cancelled",O1105="No-Show"),"",ROUND(R1105*W1105*(1+Burden),2)))</f>
        <v/>
      </c>
      <c r="Y1105" s="55">
        <f>IF(B1105="","",IF(OR(O1105="Cancelled",O1105="No-Show"),"",IF(N1105&lt;&gt;"",N1105,ROUND(R1105*SupHr*IFERROR(INDEX('PRICING'!$G$7:$G$16,MATCH(F1105,'PRICING'!$A$7:$A$16,0)),1),2))))</f>
        <v/>
      </c>
      <c r="Z1105" s="98">
        <f>IF(B1105="","",SUMIFS('MILEAGE'!$J$5:$J$1504,'MILEAGE'!$B$5:$B$1504,A1105))</f>
        <v/>
      </c>
      <c r="AA1105" s="55">
        <f>IF(B1105="","",ROUND(Z1105*MileRate,2))</f>
        <v/>
      </c>
      <c r="AB1105" s="55">
        <f>IF(B1105="","",SUMIFS('REVENUE'!$J$5:$J$1504,'REVENUE'!$B$5:$B$1504,A1105))</f>
        <v/>
      </c>
      <c r="AC1105" s="55">
        <f>IF(L1105="","",IF(OR(O1105="Cancelled",O1105="No-Show"),"",L1105-N(X1105)-N(Y1105)-AA1105-AB1105))</f>
        <v/>
      </c>
      <c r="AD1105" s="99">
        <f>IF(OR(AC1105="",N(L1105)=0),"",AC1105/L1105)</f>
        <v/>
      </c>
      <c r="AE1105" s="55">
        <f>IF(OR(AC1105="",N(R1105)=0),"",L1105/R1105)</f>
        <v/>
      </c>
      <c r="AF1105" s="100">
        <f>IF(OR(N(K1105)=0,N(J1105)+N(Q1105)=0),"",K1105-IF(N(J1105)&gt;0,J1105,Q1105))</f>
        <v/>
      </c>
      <c r="AG1105" s="99">
        <f>IF(B1105="","",IFERROR(AVERAGEIFS('QUALITY CONTROL'!$M$5:$M$304,'QUALITY CONTROL'!$B$5:$B$304,A1105),""))</f>
        <v/>
      </c>
      <c r="AH1105" s="51">
        <f>IF(B1105="","",DATE(YEAR(B1105),MONTH(B1105),1))</f>
        <v/>
      </c>
      <c r="AI1105" s="49">
        <f>IF(D1105="","",IFERROR(INDEX('CUSTOMERS'!$E$5:$E$404,MATCH(D1105,'CUSTOMERS'!$B$5:$B$404,0)),""))</f>
        <v/>
      </c>
      <c r="AJ1105" s="49">
        <f>IF(B1105="","",N(C1105))</f>
        <v/>
      </c>
      <c r="AK1105" s="49">
        <f>IF(OR(B1105="",O1105="Cancelled",O1105="Rescheduled"),"",B1105&amp;"|"&amp;(COUNTIFS('JOBS'!$B$5:$B$1504,B1105,'JOBS'!$AJ$5:$AJ$1504,"&lt;"&amp;AJ1105,'JOBS'!$O$5:$O$1504,"&lt;&gt;Cancelled",'JOBS'!$O$5:$O$1504,"&lt;&gt;Rescheduled")+COUNTIFS($B$5:B1105,B1105,$AJ$5:AJ1105,AJ1105,$O$5:O1105,"&lt;&gt;Cancelled",$O$5:O1105,"&lt;&gt;Rescheduled")))</f>
        <v/>
      </c>
      <c r="AL1105" s="49">
        <f>IF(N(U1105)&lt;=0.005,"",COUNTIFS('JOBS'!$U$5:$U$1504,"&gt;0.005",'JOBS'!$B$5:$B$1504,"&lt;"&amp;B1105)+COUNTIFS($U$5:U1105,"&gt;0.005",$B$5:B1105,B1105))</f>
        <v/>
      </c>
    </row>
    <row r="1106">
      <c r="A1106" s="46" t="inlineStr">
        <is>
          <t>J-1102</t>
        </is>
      </c>
      <c r="B1106" s="47" t="n"/>
      <c r="C1106" s="94" t="n"/>
      <c r="D1106" s="38" t="n"/>
      <c r="E1106" s="38" t="n"/>
      <c r="F1106" s="38" t="n"/>
      <c r="G1106" s="38" t="n"/>
      <c r="H1106" s="38" t="n"/>
      <c r="I1106" s="57" t="n"/>
      <c r="J1106" s="95" t="n"/>
      <c r="K1106" s="95" t="n"/>
      <c r="L1106" s="48" t="n"/>
      <c r="M1106" s="96" t="n"/>
      <c r="N1106" s="48" t="n"/>
      <c r="O1106" s="38" t="n"/>
      <c r="P1106" s="38" t="n"/>
      <c r="Q1106" s="97">
        <f>IF(OR(F1106="",E1106=""),"",IFERROR(IF(INDEX('PROPERTIES'!$F$5:$F$404,MATCH(E1106,'PROPERTIES'!$B$5:$B$404,0))=0,"",ROUND((INDEX('PROPERTIES'!$F$5:$F$404,MATCH(E1106,'PROPERTIES'!$B$5:$B$404,0))/INDEX('PRICING'!$C$7:$C$16,MATCH(F1106,'PRICING'!$A$7:$A$16,0))+INDEX('PROPERTIES'!$G$5:$G$404,MATCH(E1106,'PROPERTIES'!$B$5:$B$404,0))*INDEX('PRICING'!$D$7:$D$16,MATCH(F1106,'PRICING'!$A$7:$A$16,0))/60+INDEX('PROPERTIES'!$H$5:$H$404,MATCH(E1106,'PROPERTIES'!$B$5:$B$404,0))*INDEX('PRICING'!$E$7:$E$16,MATCH(F1106,'PRICING'!$A$7:$A$16,0))/60+INDEX('PRICING'!$F$7:$F$16,MATCH(F1106,'PRICING'!$A$7:$A$16,0))/60),2)),""))</f>
        <v/>
      </c>
      <c r="R1106" s="97">
        <f>IF(B1106="","",IF(N(K1106)&gt;0,K1106,IF(N(J1106)&gt;0,J1106,N(Q1106))))</f>
        <v/>
      </c>
      <c r="S1106" s="55">
        <f>IF(L1106="","",ROUND(L1106*(1+N(M1106)),2))</f>
        <v/>
      </c>
      <c r="T1106" s="55">
        <f>IF(B1106="","",SUMIFS('REVENUE'!$C$5:$C$1504,'REVENUE'!$B$5:$B$1504,A1106))</f>
        <v/>
      </c>
      <c r="U1106" s="55">
        <f>IF(B1106="","",IF(O1106="Completed",MAX(0,N(S1106)-T1106),""))</f>
        <v/>
      </c>
      <c r="V1106" s="49">
        <f>IF(B1106="","",IF(O1106&lt;&gt;"Completed",IF(T1106&gt;0,"Deposit","—"),IF(U1106&lt;=0.005,"Paid",IF(T1106&gt;0,"Partial","Unpaid"))))</f>
        <v/>
      </c>
      <c r="W1106" s="55">
        <f>IF(B1106="","",IFERROR(1/(1/INDEX('STAFF &amp; TASKS'!$C$5:$C$24,MATCH(H1106,'STAFF &amp; TASKS'!$A$5:$A$24,0))),PayRate))</f>
        <v/>
      </c>
      <c r="X1106" s="55">
        <f>IF(B1106="","",IF(OR(O1106="Cancelled",O1106="No-Show"),"",ROUND(R1106*W1106*(1+Burden),2)))</f>
        <v/>
      </c>
      <c r="Y1106" s="55">
        <f>IF(B1106="","",IF(OR(O1106="Cancelled",O1106="No-Show"),"",IF(N1106&lt;&gt;"",N1106,ROUND(R1106*SupHr*IFERROR(INDEX('PRICING'!$G$7:$G$16,MATCH(F1106,'PRICING'!$A$7:$A$16,0)),1),2))))</f>
        <v/>
      </c>
      <c r="Z1106" s="98">
        <f>IF(B1106="","",SUMIFS('MILEAGE'!$J$5:$J$1504,'MILEAGE'!$B$5:$B$1504,A1106))</f>
        <v/>
      </c>
      <c r="AA1106" s="55">
        <f>IF(B1106="","",ROUND(Z1106*MileRate,2))</f>
        <v/>
      </c>
      <c r="AB1106" s="55">
        <f>IF(B1106="","",SUMIFS('REVENUE'!$J$5:$J$1504,'REVENUE'!$B$5:$B$1504,A1106))</f>
        <v/>
      </c>
      <c r="AC1106" s="55">
        <f>IF(L1106="","",IF(OR(O1106="Cancelled",O1106="No-Show"),"",L1106-N(X1106)-N(Y1106)-AA1106-AB1106))</f>
        <v/>
      </c>
      <c r="AD1106" s="99">
        <f>IF(OR(AC1106="",N(L1106)=0),"",AC1106/L1106)</f>
        <v/>
      </c>
      <c r="AE1106" s="55">
        <f>IF(OR(AC1106="",N(R1106)=0),"",L1106/R1106)</f>
        <v/>
      </c>
      <c r="AF1106" s="100">
        <f>IF(OR(N(K1106)=0,N(J1106)+N(Q1106)=0),"",K1106-IF(N(J1106)&gt;0,J1106,Q1106))</f>
        <v/>
      </c>
      <c r="AG1106" s="99">
        <f>IF(B1106="","",IFERROR(AVERAGEIFS('QUALITY CONTROL'!$M$5:$M$304,'QUALITY CONTROL'!$B$5:$B$304,A1106),""))</f>
        <v/>
      </c>
      <c r="AH1106" s="51">
        <f>IF(B1106="","",DATE(YEAR(B1106),MONTH(B1106),1))</f>
        <v/>
      </c>
      <c r="AI1106" s="49">
        <f>IF(D1106="","",IFERROR(INDEX('CUSTOMERS'!$E$5:$E$404,MATCH(D1106,'CUSTOMERS'!$B$5:$B$404,0)),""))</f>
        <v/>
      </c>
      <c r="AJ1106" s="49">
        <f>IF(B1106="","",N(C1106))</f>
        <v/>
      </c>
      <c r="AK1106" s="49">
        <f>IF(OR(B1106="",O1106="Cancelled",O1106="Rescheduled"),"",B1106&amp;"|"&amp;(COUNTIFS('JOBS'!$B$5:$B$1504,B1106,'JOBS'!$AJ$5:$AJ$1504,"&lt;"&amp;AJ1106,'JOBS'!$O$5:$O$1504,"&lt;&gt;Cancelled",'JOBS'!$O$5:$O$1504,"&lt;&gt;Rescheduled")+COUNTIFS($B$5:B1106,B1106,$AJ$5:AJ1106,AJ1106,$O$5:O1106,"&lt;&gt;Cancelled",$O$5:O1106,"&lt;&gt;Rescheduled")))</f>
        <v/>
      </c>
      <c r="AL1106" s="49">
        <f>IF(N(U1106)&lt;=0.005,"",COUNTIFS('JOBS'!$U$5:$U$1504,"&gt;0.005",'JOBS'!$B$5:$B$1504,"&lt;"&amp;B1106)+COUNTIFS($U$5:U1106,"&gt;0.005",$B$5:B1106,B1106))</f>
        <v/>
      </c>
    </row>
    <row r="1107">
      <c r="A1107" s="46" t="inlineStr">
        <is>
          <t>J-1103</t>
        </is>
      </c>
      <c r="B1107" s="47" t="n"/>
      <c r="C1107" s="94" t="n"/>
      <c r="D1107" s="38" t="n"/>
      <c r="E1107" s="38" t="n"/>
      <c r="F1107" s="38" t="n"/>
      <c r="G1107" s="38" t="n"/>
      <c r="H1107" s="38" t="n"/>
      <c r="I1107" s="57" t="n"/>
      <c r="J1107" s="95" t="n"/>
      <c r="K1107" s="95" t="n"/>
      <c r="L1107" s="48" t="n"/>
      <c r="M1107" s="96" t="n"/>
      <c r="N1107" s="48" t="n"/>
      <c r="O1107" s="38" t="n"/>
      <c r="P1107" s="38" t="n"/>
      <c r="Q1107" s="97">
        <f>IF(OR(F1107="",E1107=""),"",IFERROR(IF(INDEX('PROPERTIES'!$F$5:$F$404,MATCH(E1107,'PROPERTIES'!$B$5:$B$404,0))=0,"",ROUND((INDEX('PROPERTIES'!$F$5:$F$404,MATCH(E1107,'PROPERTIES'!$B$5:$B$404,0))/INDEX('PRICING'!$C$7:$C$16,MATCH(F1107,'PRICING'!$A$7:$A$16,0))+INDEX('PROPERTIES'!$G$5:$G$404,MATCH(E1107,'PROPERTIES'!$B$5:$B$404,0))*INDEX('PRICING'!$D$7:$D$16,MATCH(F1107,'PRICING'!$A$7:$A$16,0))/60+INDEX('PROPERTIES'!$H$5:$H$404,MATCH(E1107,'PROPERTIES'!$B$5:$B$404,0))*INDEX('PRICING'!$E$7:$E$16,MATCH(F1107,'PRICING'!$A$7:$A$16,0))/60+INDEX('PRICING'!$F$7:$F$16,MATCH(F1107,'PRICING'!$A$7:$A$16,0))/60),2)),""))</f>
        <v/>
      </c>
      <c r="R1107" s="97">
        <f>IF(B1107="","",IF(N(K1107)&gt;0,K1107,IF(N(J1107)&gt;0,J1107,N(Q1107))))</f>
        <v/>
      </c>
      <c r="S1107" s="55">
        <f>IF(L1107="","",ROUND(L1107*(1+N(M1107)),2))</f>
        <v/>
      </c>
      <c r="T1107" s="55">
        <f>IF(B1107="","",SUMIFS('REVENUE'!$C$5:$C$1504,'REVENUE'!$B$5:$B$1504,A1107))</f>
        <v/>
      </c>
      <c r="U1107" s="55">
        <f>IF(B1107="","",IF(O1107="Completed",MAX(0,N(S1107)-T1107),""))</f>
        <v/>
      </c>
      <c r="V1107" s="49">
        <f>IF(B1107="","",IF(O1107&lt;&gt;"Completed",IF(T1107&gt;0,"Deposit","—"),IF(U1107&lt;=0.005,"Paid",IF(T1107&gt;0,"Partial","Unpaid"))))</f>
        <v/>
      </c>
      <c r="W1107" s="55">
        <f>IF(B1107="","",IFERROR(1/(1/INDEX('STAFF &amp; TASKS'!$C$5:$C$24,MATCH(H1107,'STAFF &amp; TASKS'!$A$5:$A$24,0))),PayRate))</f>
        <v/>
      </c>
      <c r="X1107" s="55">
        <f>IF(B1107="","",IF(OR(O1107="Cancelled",O1107="No-Show"),"",ROUND(R1107*W1107*(1+Burden),2)))</f>
        <v/>
      </c>
      <c r="Y1107" s="55">
        <f>IF(B1107="","",IF(OR(O1107="Cancelled",O1107="No-Show"),"",IF(N1107&lt;&gt;"",N1107,ROUND(R1107*SupHr*IFERROR(INDEX('PRICING'!$G$7:$G$16,MATCH(F1107,'PRICING'!$A$7:$A$16,0)),1),2))))</f>
        <v/>
      </c>
      <c r="Z1107" s="98">
        <f>IF(B1107="","",SUMIFS('MILEAGE'!$J$5:$J$1504,'MILEAGE'!$B$5:$B$1504,A1107))</f>
        <v/>
      </c>
      <c r="AA1107" s="55">
        <f>IF(B1107="","",ROUND(Z1107*MileRate,2))</f>
        <v/>
      </c>
      <c r="AB1107" s="55">
        <f>IF(B1107="","",SUMIFS('REVENUE'!$J$5:$J$1504,'REVENUE'!$B$5:$B$1504,A1107))</f>
        <v/>
      </c>
      <c r="AC1107" s="55">
        <f>IF(L1107="","",IF(OR(O1107="Cancelled",O1107="No-Show"),"",L1107-N(X1107)-N(Y1107)-AA1107-AB1107))</f>
        <v/>
      </c>
      <c r="AD1107" s="99">
        <f>IF(OR(AC1107="",N(L1107)=0),"",AC1107/L1107)</f>
        <v/>
      </c>
      <c r="AE1107" s="55">
        <f>IF(OR(AC1107="",N(R1107)=0),"",L1107/R1107)</f>
        <v/>
      </c>
      <c r="AF1107" s="100">
        <f>IF(OR(N(K1107)=0,N(J1107)+N(Q1107)=0),"",K1107-IF(N(J1107)&gt;0,J1107,Q1107))</f>
        <v/>
      </c>
      <c r="AG1107" s="99">
        <f>IF(B1107="","",IFERROR(AVERAGEIFS('QUALITY CONTROL'!$M$5:$M$304,'QUALITY CONTROL'!$B$5:$B$304,A1107),""))</f>
        <v/>
      </c>
      <c r="AH1107" s="51">
        <f>IF(B1107="","",DATE(YEAR(B1107),MONTH(B1107),1))</f>
        <v/>
      </c>
      <c r="AI1107" s="49">
        <f>IF(D1107="","",IFERROR(INDEX('CUSTOMERS'!$E$5:$E$404,MATCH(D1107,'CUSTOMERS'!$B$5:$B$404,0)),""))</f>
        <v/>
      </c>
      <c r="AJ1107" s="49">
        <f>IF(B1107="","",N(C1107))</f>
        <v/>
      </c>
      <c r="AK1107" s="49">
        <f>IF(OR(B1107="",O1107="Cancelled",O1107="Rescheduled"),"",B1107&amp;"|"&amp;(COUNTIFS('JOBS'!$B$5:$B$1504,B1107,'JOBS'!$AJ$5:$AJ$1504,"&lt;"&amp;AJ1107,'JOBS'!$O$5:$O$1504,"&lt;&gt;Cancelled",'JOBS'!$O$5:$O$1504,"&lt;&gt;Rescheduled")+COUNTIFS($B$5:B1107,B1107,$AJ$5:AJ1107,AJ1107,$O$5:O1107,"&lt;&gt;Cancelled",$O$5:O1107,"&lt;&gt;Rescheduled")))</f>
        <v/>
      </c>
      <c r="AL1107" s="49">
        <f>IF(N(U1107)&lt;=0.005,"",COUNTIFS('JOBS'!$U$5:$U$1504,"&gt;0.005",'JOBS'!$B$5:$B$1504,"&lt;"&amp;B1107)+COUNTIFS($U$5:U1107,"&gt;0.005",$B$5:B1107,B1107))</f>
        <v/>
      </c>
    </row>
    <row r="1108">
      <c r="A1108" s="46" t="inlineStr">
        <is>
          <t>J-1104</t>
        </is>
      </c>
      <c r="B1108" s="47" t="n"/>
      <c r="C1108" s="94" t="n"/>
      <c r="D1108" s="38" t="n"/>
      <c r="E1108" s="38" t="n"/>
      <c r="F1108" s="38" t="n"/>
      <c r="G1108" s="38" t="n"/>
      <c r="H1108" s="38" t="n"/>
      <c r="I1108" s="57" t="n"/>
      <c r="J1108" s="95" t="n"/>
      <c r="K1108" s="95" t="n"/>
      <c r="L1108" s="48" t="n"/>
      <c r="M1108" s="96" t="n"/>
      <c r="N1108" s="48" t="n"/>
      <c r="O1108" s="38" t="n"/>
      <c r="P1108" s="38" t="n"/>
      <c r="Q1108" s="97">
        <f>IF(OR(F1108="",E1108=""),"",IFERROR(IF(INDEX('PROPERTIES'!$F$5:$F$404,MATCH(E1108,'PROPERTIES'!$B$5:$B$404,0))=0,"",ROUND((INDEX('PROPERTIES'!$F$5:$F$404,MATCH(E1108,'PROPERTIES'!$B$5:$B$404,0))/INDEX('PRICING'!$C$7:$C$16,MATCH(F1108,'PRICING'!$A$7:$A$16,0))+INDEX('PROPERTIES'!$G$5:$G$404,MATCH(E1108,'PROPERTIES'!$B$5:$B$404,0))*INDEX('PRICING'!$D$7:$D$16,MATCH(F1108,'PRICING'!$A$7:$A$16,0))/60+INDEX('PROPERTIES'!$H$5:$H$404,MATCH(E1108,'PROPERTIES'!$B$5:$B$404,0))*INDEX('PRICING'!$E$7:$E$16,MATCH(F1108,'PRICING'!$A$7:$A$16,0))/60+INDEX('PRICING'!$F$7:$F$16,MATCH(F1108,'PRICING'!$A$7:$A$16,0))/60),2)),""))</f>
        <v/>
      </c>
      <c r="R1108" s="97">
        <f>IF(B1108="","",IF(N(K1108)&gt;0,K1108,IF(N(J1108)&gt;0,J1108,N(Q1108))))</f>
        <v/>
      </c>
      <c r="S1108" s="55">
        <f>IF(L1108="","",ROUND(L1108*(1+N(M1108)),2))</f>
        <v/>
      </c>
      <c r="T1108" s="55">
        <f>IF(B1108="","",SUMIFS('REVENUE'!$C$5:$C$1504,'REVENUE'!$B$5:$B$1504,A1108))</f>
        <v/>
      </c>
      <c r="U1108" s="55">
        <f>IF(B1108="","",IF(O1108="Completed",MAX(0,N(S1108)-T1108),""))</f>
        <v/>
      </c>
      <c r="V1108" s="49">
        <f>IF(B1108="","",IF(O1108&lt;&gt;"Completed",IF(T1108&gt;0,"Deposit","—"),IF(U1108&lt;=0.005,"Paid",IF(T1108&gt;0,"Partial","Unpaid"))))</f>
        <v/>
      </c>
      <c r="W1108" s="55">
        <f>IF(B1108="","",IFERROR(1/(1/INDEX('STAFF &amp; TASKS'!$C$5:$C$24,MATCH(H1108,'STAFF &amp; TASKS'!$A$5:$A$24,0))),PayRate))</f>
        <v/>
      </c>
      <c r="X1108" s="55">
        <f>IF(B1108="","",IF(OR(O1108="Cancelled",O1108="No-Show"),"",ROUND(R1108*W1108*(1+Burden),2)))</f>
        <v/>
      </c>
      <c r="Y1108" s="55">
        <f>IF(B1108="","",IF(OR(O1108="Cancelled",O1108="No-Show"),"",IF(N1108&lt;&gt;"",N1108,ROUND(R1108*SupHr*IFERROR(INDEX('PRICING'!$G$7:$G$16,MATCH(F1108,'PRICING'!$A$7:$A$16,0)),1),2))))</f>
        <v/>
      </c>
      <c r="Z1108" s="98">
        <f>IF(B1108="","",SUMIFS('MILEAGE'!$J$5:$J$1504,'MILEAGE'!$B$5:$B$1504,A1108))</f>
        <v/>
      </c>
      <c r="AA1108" s="55">
        <f>IF(B1108="","",ROUND(Z1108*MileRate,2))</f>
        <v/>
      </c>
      <c r="AB1108" s="55">
        <f>IF(B1108="","",SUMIFS('REVENUE'!$J$5:$J$1504,'REVENUE'!$B$5:$B$1504,A1108))</f>
        <v/>
      </c>
      <c r="AC1108" s="55">
        <f>IF(L1108="","",IF(OR(O1108="Cancelled",O1108="No-Show"),"",L1108-N(X1108)-N(Y1108)-AA1108-AB1108))</f>
        <v/>
      </c>
      <c r="AD1108" s="99">
        <f>IF(OR(AC1108="",N(L1108)=0),"",AC1108/L1108)</f>
        <v/>
      </c>
      <c r="AE1108" s="55">
        <f>IF(OR(AC1108="",N(R1108)=0),"",L1108/R1108)</f>
        <v/>
      </c>
      <c r="AF1108" s="100">
        <f>IF(OR(N(K1108)=0,N(J1108)+N(Q1108)=0),"",K1108-IF(N(J1108)&gt;0,J1108,Q1108))</f>
        <v/>
      </c>
      <c r="AG1108" s="99">
        <f>IF(B1108="","",IFERROR(AVERAGEIFS('QUALITY CONTROL'!$M$5:$M$304,'QUALITY CONTROL'!$B$5:$B$304,A1108),""))</f>
        <v/>
      </c>
      <c r="AH1108" s="51">
        <f>IF(B1108="","",DATE(YEAR(B1108),MONTH(B1108),1))</f>
        <v/>
      </c>
      <c r="AI1108" s="49">
        <f>IF(D1108="","",IFERROR(INDEX('CUSTOMERS'!$E$5:$E$404,MATCH(D1108,'CUSTOMERS'!$B$5:$B$404,0)),""))</f>
        <v/>
      </c>
      <c r="AJ1108" s="49">
        <f>IF(B1108="","",N(C1108))</f>
        <v/>
      </c>
      <c r="AK1108" s="49">
        <f>IF(OR(B1108="",O1108="Cancelled",O1108="Rescheduled"),"",B1108&amp;"|"&amp;(COUNTIFS('JOBS'!$B$5:$B$1504,B1108,'JOBS'!$AJ$5:$AJ$1504,"&lt;"&amp;AJ1108,'JOBS'!$O$5:$O$1504,"&lt;&gt;Cancelled",'JOBS'!$O$5:$O$1504,"&lt;&gt;Rescheduled")+COUNTIFS($B$5:B1108,B1108,$AJ$5:AJ1108,AJ1108,$O$5:O1108,"&lt;&gt;Cancelled",$O$5:O1108,"&lt;&gt;Rescheduled")))</f>
        <v/>
      </c>
      <c r="AL1108" s="49">
        <f>IF(N(U1108)&lt;=0.005,"",COUNTIFS('JOBS'!$U$5:$U$1504,"&gt;0.005",'JOBS'!$B$5:$B$1504,"&lt;"&amp;B1108)+COUNTIFS($U$5:U1108,"&gt;0.005",$B$5:B1108,B1108))</f>
        <v/>
      </c>
    </row>
    <row r="1109">
      <c r="A1109" s="46" t="inlineStr">
        <is>
          <t>J-1105</t>
        </is>
      </c>
      <c r="B1109" s="47" t="n"/>
      <c r="C1109" s="94" t="n"/>
      <c r="D1109" s="38" t="n"/>
      <c r="E1109" s="38" t="n"/>
      <c r="F1109" s="38" t="n"/>
      <c r="G1109" s="38" t="n"/>
      <c r="H1109" s="38" t="n"/>
      <c r="I1109" s="57" t="n"/>
      <c r="J1109" s="95" t="n"/>
      <c r="K1109" s="95" t="n"/>
      <c r="L1109" s="48" t="n"/>
      <c r="M1109" s="96" t="n"/>
      <c r="N1109" s="48" t="n"/>
      <c r="O1109" s="38" t="n"/>
      <c r="P1109" s="38" t="n"/>
      <c r="Q1109" s="97">
        <f>IF(OR(F1109="",E1109=""),"",IFERROR(IF(INDEX('PROPERTIES'!$F$5:$F$404,MATCH(E1109,'PROPERTIES'!$B$5:$B$404,0))=0,"",ROUND((INDEX('PROPERTIES'!$F$5:$F$404,MATCH(E1109,'PROPERTIES'!$B$5:$B$404,0))/INDEX('PRICING'!$C$7:$C$16,MATCH(F1109,'PRICING'!$A$7:$A$16,0))+INDEX('PROPERTIES'!$G$5:$G$404,MATCH(E1109,'PROPERTIES'!$B$5:$B$404,0))*INDEX('PRICING'!$D$7:$D$16,MATCH(F1109,'PRICING'!$A$7:$A$16,0))/60+INDEX('PROPERTIES'!$H$5:$H$404,MATCH(E1109,'PROPERTIES'!$B$5:$B$404,0))*INDEX('PRICING'!$E$7:$E$16,MATCH(F1109,'PRICING'!$A$7:$A$16,0))/60+INDEX('PRICING'!$F$7:$F$16,MATCH(F1109,'PRICING'!$A$7:$A$16,0))/60),2)),""))</f>
        <v/>
      </c>
      <c r="R1109" s="97">
        <f>IF(B1109="","",IF(N(K1109)&gt;0,K1109,IF(N(J1109)&gt;0,J1109,N(Q1109))))</f>
        <v/>
      </c>
      <c r="S1109" s="55">
        <f>IF(L1109="","",ROUND(L1109*(1+N(M1109)),2))</f>
        <v/>
      </c>
      <c r="T1109" s="55">
        <f>IF(B1109="","",SUMIFS('REVENUE'!$C$5:$C$1504,'REVENUE'!$B$5:$B$1504,A1109))</f>
        <v/>
      </c>
      <c r="U1109" s="55">
        <f>IF(B1109="","",IF(O1109="Completed",MAX(0,N(S1109)-T1109),""))</f>
        <v/>
      </c>
      <c r="V1109" s="49">
        <f>IF(B1109="","",IF(O1109&lt;&gt;"Completed",IF(T1109&gt;0,"Deposit","—"),IF(U1109&lt;=0.005,"Paid",IF(T1109&gt;0,"Partial","Unpaid"))))</f>
        <v/>
      </c>
      <c r="W1109" s="55">
        <f>IF(B1109="","",IFERROR(1/(1/INDEX('STAFF &amp; TASKS'!$C$5:$C$24,MATCH(H1109,'STAFF &amp; TASKS'!$A$5:$A$24,0))),PayRate))</f>
        <v/>
      </c>
      <c r="X1109" s="55">
        <f>IF(B1109="","",IF(OR(O1109="Cancelled",O1109="No-Show"),"",ROUND(R1109*W1109*(1+Burden),2)))</f>
        <v/>
      </c>
      <c r="Y1109" s="55">
        <f>IF(B1109="","",IF(OR(O1109="Cancelled",O1109="No-Show"),"",IF(N1109&lt;&gt;"",N1109,ROUND(R1109*SupHr*IFERROR(INDEX('PRICING'!$G$7:$G$16,MATCH(F1109,'PRICING'!$A$7:$A$16,0)),1),2))))</f>
        <v/>
      </c>
      <c r="Z1109" s="98">
        <f>IF(B1109="","",SUMIFS('MILEAGE'!$J$5:$J$1504,'MILEAGE'!$B$5:$B$1504,A1109))</f>
        <v/>
      </c>
      <c r="AA1109" s="55">
        <f>IF(B1109="","",ROUND(Z1109*MileRate,2))</f>
        <v/>
      </c>
      <c r="AB1109" s="55">
        <f>IF(B1109="","",SUMIFS('REVENUE'!$J$5:$J$1504,'REVENUE'!$B$5:$B$1504,A1109))</f>
        <v/>
      </c>
      <c r="AC1109" s="55">
        <f>IF(L1109="","",IF(OR(O1109="Cancelled",O1109="No-Show"),"",L1109-N(X1109)-N(Y1109)-AA1109-AB1109))</f>
        <v/>
      </c>
      <c r="AD1109" s="99">
        <f>IF(OR(AC1109="",N(L1109)=0),"",AC1109/L1109)</f>
        <v/>
      </c>
      <c r="AE1109" s="55">
        <f>IF(OR(AC1109="",N(R1109)=0),"",L1109/R1109)</f>
        <v/>
      </c>
      <c r="AF1109" s="100">
        <f>IF(OR(N(K1109)=0,N(J1109)+N(Q1109)=0),"",K1109-IF(N(J1109)&gt;0,J1109,Q1109))</f>
        <v/>
      </c>
      <c r="AG1109" s="99">
        <f>IF(B1109="","",IFERROR(AVERAGEIFS('QUALITY CONTROL'!$M$5:$M$304,'QUALITY CONTROL'!$B$5:$B$304,A1109),""))</f>
        <v/>
      </c>
      <c r="AH1109" s="51">
        <f>IF(B1109="","",DATE(YEAR(B1109),MONTH(B1109),1))</f>
        <v/>
      </c>
      <c r="AI1109" s="49">
        <f>IF(D1109="","",IFERROR(INDEX('CUSTOMERS'!$E$5:$E$404,MATCH(D1109,'CUSTOMERS'!$B$5:$B$404,0)),""))</f>
        <v/>
      </c>
      <c r="AJ1109" s="49">
        <f>IF(B1109="","",N(C1109))</f>
        <v/>
      </c>
      <c r="AK1109" s="49">
        <f>IF(OR(B1109="",O1109="Cancelled",O1109="Rescheduled"),"",B1109&amp;"|"&amp;(COUNTIFS('JOBS'!$B$5:$B$1504,B1109,'JOBS'!$AJ$5:$AJ$1504,"&lt;"&amp;AJ1109,'JOBS'!$O$5:$O$1504,"&lt;&gt;Cancelled",'JOBS'!$O$5:$O$1504,"&lt;&gt;Rescheduled")+COUNTIFS($B$5:B1109,B1109,$AJ$5:AJ1109,AJ1109,$O$5:O1109,"&lt;&gt;Cancelled",$O$5:O1109,"&lt;&gt;Rescheduled")))</f>
        <v/>
      </c>
      <c r="AL1109" s="49">
        <f>IF(N(U1109)&lt;=0.005,"",COUNTIFS('JOBS'!$U$5:$U$1504,"&gt;0.005",'JOBS'!$B$5:$B$1504,"&lt;"&amp;B1109)+COUNTIFS($U$5:U1109,"&gt;0.005",$B$5:B1109,B1109))</f>
        <v/>
      </c>
    </row>
    <row r="1110">
      <c r="A1110" s="46" t="inlineStr">
        <is>
          <t>J-1106</t>
        </is>
      </c>
      <c r="B1110" s="47" t="n"/>
      <c r="C1110" s="94" t="n"/>
      <c r="D1110" s="38" t="n"/>
      <c r="E1110" s="38" t="n"/>
      <c r="F1110" s="38" t="n"/>
      <c r="G1110" s="38" t="n"/>
      <c r="H1110" s="38" t="n"/>
      <c r="I1110" s="57" t="n"/>
      <c r="J1110" s="95" t="n"/>
      <c r="K1110" s="95" t="n"/>
      <c r="L1110" s="48" t="n"/>
      <c r="M1110" s="96" t="n"/>
      <c r="N1110" s="48" t="n"/>
      <c r="O1110" s="38" t="n"/>
      <c r="P1110" s="38" t="n"/>
      <c r="Q1110" s="97">
        <f>IF(OR(F1110="",E1110=""),"",IFERROR(IF(INDEX('PROPERTIES'!$F$5:$F$404,MATCH(E1110,'PROPERTIES'!$B$5:$B$404,0))=0,"",ROUND((INDEX('PROPERTIES'!$F$5:$F$404,MATCH(E1110,'PROPERTIES'!$B$5:$B$404,0))/INDEX('PRICING'!$C$7:$C$16,MATCH(F1110,'PRICING'!$A$7:$A$16,0))+INDEX('PROPERTIES'!$G$5:$G$404,MATCH(E1110,'PROPERTIES'!$B$5:$B$404,0))*INDEX('PRICING'!$D$7:$D$16,MATCH(F1110,'PRICING'!$A$7:$A$16,0))/60+INDEX('PROPERTIES'!$H$5:$H$404,MATCH(E1110,'PROPERTIES'!$B$5:$B$404,0))*INDEX('PRICING'!$E$7:$E$16,MATCH(F1110,'PRICING'!$A$7:$A$16,0))/60+INDEX('PRICING'!$F$7:$F$16,MATCH(F1110,'PRICING'!$A$7:$A$16,0))/60),2)),""))</f>
        <v/>
      </c>
      <c r="R1110" s="97">
        <f>IF(B1110="","",IF(N(K1110)&gt;0,K1110,IF(N(J1110)&gt;0,J1110,N(Q1110))))</f>
        <v/>
      </c>
      <c r="S1110" s="55">
        <f>IF(L1110="","",ROUND(L1110*(1+N(M1110)),2))</f>
        <v/>
      </c>
      <c r="T1110" s="55">
        <f>IF(B1110="","",SUMIFS('REVENUE'!$C$5:$C$1504,'REVENUE'!$B$5:$B$1504,A1110))</f>
        <v/>
      </c>
      <c r="U1110" s="55">
        <f>IF(B1110="","",IF(O1110="Completed",MAX(0,N(S1110)-T1110),""))</f>
        <v/>
      </c>
      <c r="V1110" s="49">
        <f>IF(B1110="","",IF(O1110&lt;&gt;"Completed",IF(T1110&gt;0,"Deposit","—"),IF(U1110&lt;=0.005,"Paid",IF(T1110&gt;0,"Partial","Unpaid"))))</f>
        <v/>
      </c>
      <c r="W1110" s="55">
        <f>IF(B1110="","",IFERROR(1/(1/INDEX('STAFF &amp; TASKS'!$C$5:$C$24,MATCH(H1110,'STAFF &amp; TASKS'!$A$5:$A$24,0))),PayRate))</f>
        <v/>
      </c>
      <c r="X1110" s="55">
        <f>IF(B1110="","",IF(OR(O1110="Cancelled",O1110="No-Show"),"",ROUND(R1110*W1110*(1+Burden),2)))</f>
        <v/>
      </c>
      <c r="Y1110" s="55">
        <f>IF(B1110="","",IF(OR(O1110="Cancelled",O1110="No-Show"),"",IF(N1110&lt;&gt;"",N1110,ROUND(R1110*SupHr*IFERROR(INDEX('PRICING'!$G$7:$G$16,MATCH(F1110,'PRICING'!$A$7:$A$16,0)),1),2))))</f>
        <v/>
      </c>
      <c r="Z1110" s="98">
        <f>IF(B1110="","",SUMIFS('MILEAGE'!$J$5:$J$1504,'MILEAGE'!$B$5:$B$1504,A1110))</f>
        <v/>
      </c>
      <c r="AA1110" s="55">
        <f>IF(B1110="","",ROUND(Z1110*MileRate,2))</f>
        <v/>
      </c>
      <c r="AB1110" s="55">
        <f>IF(B1110="","",SUMIFS('REVENUE'!$J$5:$J$1504,'REVENUE'!$B$5:$B$1504,A1110))</f>
        <v/>
      </c>
      <c r="AC1110" s="55">
        <f>IF(L1110="","",IF(OR(O1110="Cancelled",O1110="No-Show"),"",L1110-N(X1110)-N(Y1110)-AA1110-AB1110))</f>
        <v/>
      </c>
      <c r="AD1110" s="99">
        <f>IF(OR(AC1110="",N(L1110)=0),"",AC1110/L1110)</f>
        <v/>
      </c>
      <c r="AE1110" s="55">
        <f>IF(OR(AC1110="",N(R1110)=0),"",L1110/R1110)</f>
        <v/>
      </c>
      <c r="AF1110" s="100">
        <f>IF(OR(N(K1110)=0,N(J1110)+N(Q1110)=0),"",K1110-IF(N(J1110)&gt;0,J1110,Q1110))</f>
        <v/>
      </c>
      <c r="AG1110" s="99">
        <f>IF(B1110="","",IFERROR(AVERAGEIFS('QUALITY CONTROL'!$M$5:$M$304,'QUALITY CONTROL'!$B$5:$B$304,A1110),""))</f>
        <v/>
      </c>
      <c r="AH1110" s="51">
        <f>IF(B1110="","",DATE(YEAR(B1110),MONTH(B1110),1))</f>
        <v/>
      </c>
      <c r="AI1110" s="49">
        <f>IF(D1110="","",IFERROR(INDEX('CUSTOMERS'!$E$5:$E$404,MATCH(D1110,'CUSTOMERS'!$B$5:$B$404,0)),""))</f>
        <v/>
      </c>
      <c r="AJ1110" s="49">
        <f>IF(B1110="","",N(C1110))</f>
        <v/>
      </c>
      <c r="AK1110" s="49">
        <f>IF(OR(B1110="",O1110="Cancelled",O1110="Rescheduled"),"",B1110&amp;"|"&amp;(COUNTIFS('JOBS'!$B$5:$B$1504,B1110,'JOBS'!$AJ$5:$AJ$1504,"&lt;"&amp;AJ1110,'JOBS'!$O$5:$O$1504,"&lt;&gt;Cancelled",'JOBS'!$O$5:$O$1504,"&lt;&gt;Rescheduled")+COUNTIFS($B$5:B1110,B1110,$AJ$5:AJ1110,AJ1110,$O$5:O1110,"&lt;&gt;Cancelled",$O$5:O1110,"&lt;&gt;Rescheduled")))</f>
        <v/>
      </c>
      <c r="AL1110" s="49">
        <f>IF(N(U1110)&lt;=0.005,"",COUNTIFS('JOBS'!$U$5:$U$1504,"&gt;0.005",'JOBS'!$B$5:$B$1504,"&lt;"&amp;B1110)+COUNTIFS($U$5:U1110,"&gt;0.005",$B$5:B1110,B1110))</f>
        <v/>
      </c>
    </row>
    <row r="1111">
      <c r="A1111" s="46" t="inlineStr">
        <is>
          <t>J-1107</t>
        </is>
      </c>
      <c r="B1111" s="47" t="n"/>
      <c r="C1111" s="94" t="n"/>
      <c r="D1111" s="38" t="n"/>
      <c r="E1111" s="38" t="n"/>
      <c r="F1111" s="38" t="n"/>
      <c r="G1111" s="38" t="n"/>
      <c r="H1111" s="38" t="n"/>
      <c r="I1111" s="57" t="n"/>
      <c r="J1111" s="95" t="n"/>
      <c r="K1111" s="95" t="n"/>
      <c r="L1111" s="48" t="n"/>
      <c r="M1111" s="96" t="n"/>
      <c r="N1111" s="48" t="n"/>
      <c r="O1111" s="38" t="n"/>
      <c r="P1111" s="38" t="n"/>
      <c r="Q1111" s="97">
        <f>IF(OR(F1111="",E1111=""),"",IFERROR(IF(INDEX('PROPERTIES'!$F$5:$F$404,MATCH(E1111,'PROPERTIES'!$B$5:$B$404,0))=0,"",ROUND((INDEX('PROPERTIES'!$F$5:$F$404,MATCH(E1111,'PROPERTIES'!$B$5:$B$404,0))/INDEX('PRICING'!$C$7:$C$16,MATCH(F1111,'PRICING'!$A$7:$A$16,0))+INDEX('PROPERTIES'!$G$5:$G$404,MATCH(E1111,'PROPERTIES'!$B$5:$B$404,0))*INDEX('PRICING'!$D$7:$D$16,MATCH(F1111,'PRICING'!$A$7:$A$16,0))/60+INDEX('PROPERTIES'!$H$5:$H$404,MATCH(E1111,'PROPERTIES'!$B$5:$B$404,0))*INDEX('PRICING'!$E$7:$E$16,MATCH(F1111,'PRICING'!$A$7:$A$16,0))/60+INDEX('PRICING'!$F$7:$F$16,MATCH(F1111,'PRICING'!$A$7:$A$16,0))/60),2)),""))</f>
        <v/>
      </c>
      <c r="R1111" s="97">
        <f>IF(B1111="","",IF(N(K1111)&gt;0,K1111,IF(N(J1111)&gt;0,J1111,N(Q1111))))</f>
        <v/>
      </c>
      <c r="S1111" s="55">
        <f>IF(L1111="","",ROUND(L1111*(1+N(M1111)),2))</f>
        <v/>
      </c>
      <c r="T1111" s="55">
        <f>IF(B1111="","",SUMIFS('REVENUE'!$C$5:$C$1504,'REVENUE'!$B$5:$B$1504,A1111))</f>
        <v/>
      </c>
      <c r="U1111" s="55">
        <f>IF(B1111="","",IF(O1111="Completed",MAX(0,N(S1111)-T1111),""))</f>
        <v/>
      </c>
      <c r="V1111" s="49">
        <f>IF(B1111="","",IF(O1111&lt;&gt;"Completed",IF(T1111&gt;0,"Deposit","—"),IF(U1111&lt;=0.005,"Paid",IF(T1111&gt;0,"Partial","Unpaid"))))</f>
        <v/>
      </c>
      <c r="W1111" s="55">
        <f>IF(B1111="","",IFERROR(1/(1/INDEX('STAFF &amp; TASKS'!$C$5:$C$24,MATCH(H1111,'STAFF &amp; TASKS'!$A$5:$A$24,0))),PayRate))</f>
        <v/>
      </c>
      <c r="X1111" s="55">
        <f>IF(B1111="","",IF(OR(O1111="Cancelled",O1111="No-Show"),"",ROUND(R1111*W1111*(1+Burden),2)))</f>
        <v/>
      </c>
      <c r="Y1111" s="55">
        <f>IF(B1111="","",IF(OR(O1111="Cancelled",O1111="No-Show"),"",IF(N1111&lt;&gt;"",N1111,ROUND(R1111*SupHr*IFERROR(INDEX('PRICING'!$G$7:$G$16,MATCH(F1111,'PRICING'!$A$7:$A$16,0)),1),2))))</f>
        <v/>
      </c>
      <c r="Z1111" s="98">
        <f>IF(B1111="","",SUMIFS('MILEAGE'!$J$5:$J$1504,'MILEAGE'!$B$5:$B$1504,A1111))</f>
        <v/>
      </c>
      <c r="AA1111" s="55">
        <f>IF(B1111="","",ROUND(Z1111*MileRate,2))</f>
        <v/>
      </c>
      <c r="AB1111" s="55">
        <f>IF(B1111="","",SUMIFS('REVENUE'!$J$5:$J$1504,'REVENUE'!$B$5:$B$1504,A1111))</f>
        <v/>
      </c>
      <c r="AC1111" s="55">
        <f>IF(L1111="","",IF(OR(O1111="Cancelled",O1111="No-Show"),"",L1111-N(X1111)-N(Y1111)-AA1111-AB1111))</f>
        <v/>
      </c>
      <c r="AD1111" s="99">
        <f>IF(OR(AC1111="",N(L1111)=0),"",AC1111/L1111)</f>
        <v/>
      </c>
      <c r="AE1111" s="55">
        <f>IF(OR(AC1111="",N(R1111)=0),"",L1111/R1111)</f>
        <v/>
      </c>
      <c r="AF1111" s="100">
        <f>IF(OR(N(K1111)=0,N(J1111)+N(Q1111)=0),"",K1111-IF(N(J1111)&gt;0,J1111,Q1111))</f>
        <v/>
      </c>
      <c r="AG1111" s="99">
        <f>IF(B1111="","",IFERROR(AVERAGEIFS('QUALITY CONTROL'!$M$5:$M$304,'QUALITY CONTROL'!$B$5:$B$304,A1111),""))</f>
        <v/>
      </c>
      <c r="AH1111" s="51">
        <f>IF(B1111="","",DATE(YEAR(B1111),MONTH(B1111),1))</f>
        <v/>
      </c>
      <c r="AI1111" s="49">
        <f>IF(D1111="","",IFERROR(INDEX('CUSTOMERS'!$E$5:$E$404,MATCH(D1111,'CUSTOMERS'!$B$5:$B$404,0)),""))</f>
        <v/>
      </c>
      <c r="AJ1111" s="49">
        <f>IF(B1111="","",N(C1111))</f>
        <v/>
      </c>
      <c r="AK1111" s="49">
        <f>IF(OR(B1111="",O1111="Cancelled",O1111="Rescheduled"),"",B1111&amp;"|"&amp;(COUNTIFS('JOBS'!$B$5:$B$1504,B1111,'JOBS'!$AJ$5:$AJ$1504,"&lt;"&amp;AJ1111,'JOBS'!$O$5:$O$1504,"&lt;&gt;Cancelled",'JOBS'!$O$5:$O$1504,"&lt;&gt;Rescheduled")+COUNTIFS($B$5:B1111,B1111,$AJ$5:AJ1111,AJ1111,$O$5:O1111,"&lt;&gt;Cancelled",$O$5:O1111,"&lt;&gt;Rescheduled")))</f>
        <v/>
      </c>
      <c r="AL1111" s="49">
        <f>IF(N(U1111)&lt;=0.005,"",COUNTIFS('JOBS'!$U$5:$U$1504,"&gt;0.005",'JOBS'!$B$5:$B$1504,"&lt;"&amp;B1111)+COUNTIFS($U$5:U1111,"&gt;0.005",$B$5:B1111,B1111))</f>
        <v/>
      </c>
    </row>
    <row r="1112">
      <c r="A1112" s="46" t="inlineStr">
        <is>
          <t>J-1108</t>
        </is>
      </c>
      <c r="B1112" s="47" t="n"/>
      <c r="C1112" s="94" t="n"/>
      <c r="D1112" s="38" t="n"/>
      <c r="E1112" s="38" t="n"/>
      <c r="F1112" s="38" t="n"/>
      <c r="G1112" s="38" t="n"/>
      <c r="H1112" s="38" t="n"/>
      <c r="I1112" s="57" t="n"/>
      <c r="J1112" s="95" t="n"/>
      <c r="K1112" s="95" t="n"/>
      <c r="L1112" s="48" t="n"/>
      <c r="M1112" s="96" t="n"/>
      <c r="N1112" s="48" t="n"/>
      <c r="O1112" s="38" t="n"/>
      <c r="P1112" s="38" t="n"/>
      <c r="Q1112" s="97">
        <f>IF(OR(F1112="",E1112=""),"",IFERROR(IF(INDEX('PROPERTIES'!$F$5:$F$404,MATCH(E1112,'PROPERTIES'!$B$5:$B$404,0))=0,"",ROUND((INDEX('PROPERTIES'!$F$5:$F$404,MATCH(E1112,'PROPERTIES'!$B$5:$B$404,0))/INDEX('PRICING'!$C$7:$C$16,MATCH(F1112,'PRICING'!$A$7:$A$16,0))+INDEX('PROPERTIES'!$G$5:$G$404,MATCH(E1112,'PROPERTIES'!$B$5:$B$404,0))*INDEX('PRICING'!$D$7:$D$16,MATCH(F1112,'PRICING'!$A$7:$A$16,0))/60+INDEX('PROPERTIES'!$H$5:$H$404,MATCH(E1112,'PROPERTIES'!$B$5:$B$404,0))*INDEX('PRICING'!$E$7:$E$16,MATCH(F1112,'PRICING'!$A$7:$A$16,0))/60+INDEX('PRICING'!$F$7:$F$16,MATCH(F1112,'PRICING'!$A$7:$A$16,0))/60),2)),""))</f>
        <v/>
      </c>
      <c r="R1112" s="97">
        <f>IF(B1112="","",IF(N(K1112)&gt;0,K1112,IF(N(J1112)&gt;0,J1112,N(Q1112))))</f>
        <v/>
      </c>
      <c r="S1112" s="55">
        <f>IF(L1112="","",ROUND(L1112*(1+N(M1112)),2))</f>
        <v/>
      </c>
      <c r="T1112" s="55">
        <f>IF(B1112="","",SUMIFS('REVENUE'!$C$5:$C$1504,'REVENUE'!$B$5:$B$1504,A1112))</f>
        <v/>
      </c>
      <c r="U1112" s="55">
        <f>IF(B1112="","",IF(O1112="Completed",MAX(0,N(S1112)-T1112),""))</f>
        <v/>
      </c>
      <c r="V1112" s="49">
        <f>IF(B1112="","",IF(O1112&lt;&gt;"Completed",IF(T1112&gt;0,"Deposit","—"),IF(U1112&lt;=0.005,"Paid",IF(T1112&gt;0,"Partial","Unpaid"))))</f>
        <v/>
      </c>
      <c r="W1112" s="55">
        <f>IF(B1112="","",IFERROR(1/(1/INDEX('STAFF &amp; TASKS'!$C$5:$C$24,MATCH(H1112,'STAFF &amp; TASKS'!$A$5:$A$24,0))),PayRate))</f>
        <v/>
      </c>
      <c r="X1112" s="55">
        <f>IF(B1112="","",IF(OR(O1112="Cancelled",O1112="No-Show"),"",ROUND(R1112*W1112*(1+Burden),2)))</f>
        <v/>
      </c>
      <c r="Y1112" s="55">
        <f>IF(B1112="","",IF(OR(O1112="Cancelled",O1112="No-Show"),"",IF(N1112&lt;&gt;"",N1112,ROUND(R1112*SupHr*IFERROR(INDEX('PRICING'!$G$7:$G$16,MATCH(F1112,'PRICING'!$A$7:$A$16,0)),1),2))))</f>
        <v/>
      </c>
      <c r="Z1112" s="98">
        <f>IF(B1112="","",SUMIFS('MILEAGE'!$J$5:$J$1504,'MILEAGE'!$B$5:$B$1504,A1112))</f>
        <v/>
      </c>
      <c r="AA1112" s="55">
        <f>IF(B1112="","",ROUND(Z1112*MileRate,2))</f>
        <v/>
      </c>
      <c r="AB1112" s="55">
        <f>IF(B1112="","",SUMIFS('REVENUE'!$J$5:$J$1504,'REVENUE'!$B$5:$B$1504,A1112))</f>
        <v/>
      </c>
      <c r="AC1112" s="55">
        <f>IF(L1112="","",IF(OR(O1112="Cancelled",O1112="No-Show"),"",L1112-N(X1112)-N(Y1112)-AA1112-AB1112))</f>
        <v/>
      </c>
      <c r="AD1112" s="99">
        <f>IF(OR(AC1112="",N(L1112)=0),"",AC1112/L1112)</f>
        <v/>
      </c>
      <c r="AE1112" s="55">
        <f>IF(OR(AC1112="",N(R1112)=0),"",L1112/R1112)</f>
        <v/>
      </c>
      <c r="AF1112" s="100">
        <f>IF(OR(N(K1112)=0,N(J1112)+N(Q1112)=0),"",K1112-IF(N(J1112)&gt;0,J1112,Q1112))</f>
        <v/>
      </c>
      <c r="AG1112" s="99">
        <f>IF(B1112="","",IFERROR(AVERAGEIFS('QUALITY CONTROL'!$M$5:$M$304,'QUALITY CONTROL'!$B$5:$B$304,A1112),""))</f>
        <v/>
      </c>
      <c r="AH1112" s="51">
        <f>IF(B1112="","",DATE(YEAR(B1112),MONTH(B1112),1))</f>
        <v/>
      </c>
      <c r="AI1112" s="49">
        <f>IF(D1112="","",IFERROR(INDEX('CUSTOMERS'!$E$5:$E$404,MATCH(D1112,'CUSTOMERS'!$B$5:$B$404,0)),""))</f>
        <v/>
      </c>
      <c r="AJ1112" s="49">
        <f>IF(B1112="","",N(C1112))</f>
        <v/>
      </c>
      <c r="AK1112" s="49">
        <f>IF(OR(B1112="",O1112="Cancelled",O1112="Rescheduled"),"",B1112&amp;"|"&amp;(COUNTIFS('JOBS'!$B$5:$B$1504,B1112,'JOBS'!$AJ$5:$AJ$1504,"&lt;"&amp;AJ1112,'JOBS'!$O$5:$O$1504,"&lt;&gt;Cancelled",'JOBS'!$O$5:$O$1504,"&lt;&gt;Rescheduled")+COUNTIFS($B$5:B1112,B1112,$AJ$5:AJ1112,AJ1112,$O$5:O1112,"&lt;&gt;Cancelled",$O$5:O1112,"&lt;&gt;Rescheduled")))</f>
        <v/>
      </c>
      <c r="AL1112" s="49">
        <f>IF(N(U1112)&lt;=0.005,"",COUNTIFS('JOBS'!$U$5:$U$1504,"&gt;0.005",'JOBS'!$B$5:$B$1504,"&lt;"&amp;B1112)+COUNTIFS($U$5:U1112,"&gt;0.005",$B$5:B1112,B1112))</f>
        <v/>
      </c>
    </row>
    <row r="1113">
      <c r="A1113" s="46" t="inlineStr">
        <is>
          <t>J-1109</t>
        </is>
      </c>
      <c r="B1113" s="47" t="n"/>
      <c r="C1113" s="94" t="n"/>
      <c r="D1113" s="38" t="n"/>
      <c r="E1113" s="38" t="n"/>
      <c r="F1113" s="38" t="n"/>
      <c r="G1113" s="38" t="n"/>
      <c r="H1113" s="38" t="n"/>
      <c r="I1113" s="57" t="n"/>
      <c r="J1113" s="95" t="n"/>
      <c r="K1113" s="95" t="n"/>
      <c r="L1113" s="48" t="n"/>
      <c r="M1113" s="96" t="n"/>
      <c r="N1113" s="48" t="n"/>
      <c r="O1113" s="38" t="n"/>
      <c r="P1113" s="38" t="n"/>
      <c r="Q1113" s="97">
        <f>IF(OR(F1113="",E1113=""),"",IFERROR(IF(INDEX('PROPERTIES'!$F$5:$F$404,MATCH(E1113,'PROPERTIES'!$B$5:$B$404,0))=0,"",ROUND((INDEX('PROPERTIES'!$F$5:$F$404,MATCH(E1113,'PROPERTIES'!$B$5:$B$404,0))/INDEX('PRICING'!$C$7:$C$16,MATCH(F1113,'PRICING'!$A$7:$A$16,0))+INDEX('PROPERTIES'!$G$5:$G$404,MATCH(E1113,'PROPERTIES'!$B$5:$B$404,0))*INDEX('PRICING'!$D$7:$D$16,MATCH(F1113,'PRICING'!$A$7:$A$16,0))/60+INDEX('PROPERTIES'!$H$5:$H$404,MATCH(E1113,'PROPERTIES'!$B$5:$B$404,0))*INDEX('PRICING'!$E$7:$E$16,MATCH(F1113,'PRICING'!$A$7:$A$16,0))/60+INDEX('PRICING'!$F$7:$F$16,MATCH(F1113,'PRICING'!$A$7:$A$16,0))/60),2)),""))</f>
        <v/>
      </c>
      <c r="R1113" s="97">
        <f>IF(B1113="","",IF(N(K1113)&gt;0,K1113,IF(N(J1113)&gt;0,J1113,N(Q1113))))</f>
        <v/>
      </c>
      <c r="S1113" s="55">
        <f>IF(L1113="","",ROUND(L1113*(1+N(M1113)),2))</f>
        <v/>
      </c>
      <c r="T1113" s="55">
        <f>IF(B1113="","",SUMIFS('REVENUE'!$C$5:$C$1504,'REVENUE'!$B$5:$B$1504,A1113))</f>
        <v/>
      </c>
      <c r="U1113" s="55">
        <f>IF(B1113="","",IF(O1113="Completed",MAX(0,N(S1113)-T1113),""))</f>
        <v/>
      </c>
      <c r="V1113" s="49">
        <f>IF(B1113="","",IF(O1113&lt;&gt;"Completed",IF(T1113&gt;0,"Deposit","—"),IF(U1113&lt;=0.005,"Paid",IF(T1113&gt;0,"Partial","Unpaid"))))</f>
        <v/>
      </c>
      <c r="W1113" s="55">
        <f>IF(B1113="","",IFERROR(1/(1/INDEX('STAFF &amp; TASKS'!$C$5:$C$24,MATCH(H1113,'STAFF &amp; TASKS'!$A$5:$A$24,0))),PayRate))</f>
        <v/>
      </c>
      <c r="X1113" s="55">
        <f>IF(B1113="","",IF(OR(O1113="Cancelled",O1113="No-Show"),"",ROUND(R1113*W1113*(1+Burden),2)))</f>
        <v/>
      </c>
      <c r="Y1113" s="55">
        <f>IF(B1113="","",IF(OR(O1113="Cancelled",O1113="No-Show"),"",IF(N1113&lt;&gt;"",N1113,ROUND(R1113*SupHr*IFERROR(INDEX('PRICING'!$G$7:$G$16,MATCH(F1113,'PRICING'!$A$7:$A$16,0)),1),2))))</f>
        <v/>
      </c>
      <c r="Z1113" s="98">
        <f>IF(B1113="","",SUMIFS('MILEAGE'!$J$5:$J$1504,'MILEAGE'!$B$5:$B$1504,A1113))</f>
        <v/>
      </c>
      <c r="AA1113" s="55">
        <f>IF(B1113="","",ROUND(Z1113*MileRate,2))</f>
        <v/>
      </c>
      <c r="AB1113" s="55">
        <f>IF(B1113="","",SUMIFS('REVENUE'!$J$5:$J$1504,'REVENUE'!$B$5:$B$1504,A1113))</f>
        <v/>
      </c>
      <c r="AC1113" s="55">
        <f>IF(L1113="","",IF(OR(O1113="Cancelled",O1113="No-Show"),"",L1113-N(X1113)-N(Y1113)-AA1113-AB1113))</f>
        <v/>
      </c>
      <c r="AD1113" s="99">
        <f>IF(OR(AC1113="",N(L1113)=0),"",AC1113/L1113)</f>
        <v/>
      </c>
      <c r="AE1113" s="55">
        <f>IF(OR(AC1113="",N(R1113)=0),"",L1113/R1113)</f>
        <v/>
      </c>
      <c r="AF1113" s="100">
        <f>IF(OR(N(K1113)=0,N(J1113)+N(Q1113)=0),"",K1113-IF(N(J1113)&gt;0,J1113,Q1113))</f>
        <v/>
      </c>
      <c r="AG1113" s="99">
        <f>IF(B1113="","",IFERROR(AVERAGEIFS('QUALITY CONTROL'!$M$5:$M$304,'QUALITY CONTROL'!$B$5:$B$304,A1113),""))</f>
        <v/>
      </c>
      <c r="AH1113" s="51">
        <f>IF(B1113="","",DATE(YEAR(B1113),MONTH(B1113),1))</f>
        <v/>
      </c>
      <c r="AI1113" s="49">
        <f>IF(D1113="","",IFERROR(INDEX('CUSTOMERS'!$E$5:$E$404,MATCH(D1113,'CUSTOMERS'!$B$5:$B$404,0)),""))</f>
        <v/>
      </c>
      <c r="AJ1113" s="49">
        <f>IF(B1113="","",N(C1113))</f>
        <v/>
      </c>
      <c r="AK1113" s="49">
        <f>IF(OR(B1113="",O1113="Cancelled",O1113="Rescheduled"),"",B1113&amp;"|"&amp;(COUNTIFS('JOBS'!$B$5:$B$1504,B1113,'JOBS'!$AJ$5:$AJ$1504,"&lt;"&amp;AJ1113,'JOBS'!$O$5:$O$1504,"&lt;&gt;Cancelled",'JOBS'!$O$5:$O$1504,"&lt;&gt;Rescheduled")+COUNTIFS($B$5:B1113,B1113,$AJ$5:AJ1113,AJ1113,$O$5:O1113,"&lt;&gt;Cancelled",$O$5:O1113,"&lt;&gt;Rescheduled")))</f>
        <v/>
      </c>
      <c r="AL1113" s="49">
        <f>IF(N(U1113)&lt;=0.005,"",COUNTIFS('JOBS'!$U$5:$U$1504,"&gt;0.005",'JOBS'!$B$5:$B$1504,"&lt;"&amp;B1113)+COUNTIFS($U$5:U1113,"&gt;0.005",$B$5:B1113,B1113))</f>
        <v/>
      </c>
    </row>
    <row r="1114">
      <c r="A1114" s="46" t="inlineStr">
        <is>
          <t>J-1110</t>
        </is>
      </c>
      <c r="B1114" s="47" t="n"/>
      <c r="C1114" s="94" t="n"/>
      <c r="D1114" s="38" t="n"/>
      <c r="E1114" s="38" t="n"/>
      <c r="F1114" s="38" t="n"/>
      <c r="G1114" s="38" t="n"/>
      <c r="H1114" s="38" t="n"/>
      <c r="I1114" s="57" t="n"/>
      <c r="J1114" s="95" t="n"/>
      <c r="K1114" s="95" t="n"/>
      <c r="L1114" s="48" t="n"/>
      <c r="M1114" s="96" t="n"/>
      <c r="N1114" s="48" t="n"/>
      <c r="O1114" s="38" t="n"/>
      <c r="P1114" s="38" t="n"/>
      <c r="Q1114" s="97">
        <f>IF(OR(F1114="",E1114=""),"",IFERROR(IF(INDEX('PROPERTIES'!$F$5:$F$404,MATCH(E1114,'PROPERTIES'!$B$5:$B$404,0))=0,"",ROUND((INDEX('PROPERTIES'!$F$5:$F$404,MATCH(E1114,'PROPERTIES'!$B$5:$B$404,0))/INDEX('PRICING'!$C$7:$C$16,MATCH(F1114,'PRICING'!$A$7:$A$16,0))+INDEX('PROPERTIES'!$G$5:$G$404,MATCH(E1114,'PROPERTIES'!$B$5:$B$404,0))*INDEX('PRICING'!$D$7:$D$16,MATCH(F1114,'PRICING'!$A$7:$A$16,0))/60+INDEX('PROPERTIES'!$H$5:$H$404,MATCH(E1114,'PROPERTIES'!$B$5:$B$404,0))*INDEX('PRICING'!$E$7:$E$16,MATCH(F1114,'PRICING'!$A$7:$A$16,0))/60+INDEX('PRICING'!$F$7:$F$16,MATCH(F1114,'PRICING'!$A$7:$A$16,0))/60),2)),""))</f>
        <v/>
      </c>
      <c r="R1114" s="97">
        <f>IF(B1114="","",IF(N(K1114)&gt;0,K1114,IF(N(J1114)&gt;0,J1114,N(Q1114))))</f>
        <v/>
      </c>
      <c r="S1114" s="55">
        <f>IF(L1114="","",ROUND(L1114*(1+N(M1114)),2))</f>
        <v/>
      </c>
      <c r="T1114" s="55">
        <f>IF(B1114="","",SUMIFS('REVENUE'!$C$5:$C$1504,'REVENUE'!$B$5:$B$1504,A1114))</f>
        <v/>
      </c>
      <c r="U1114" s="55">
        <f>IF(B1114="","",IF(O1114="Completed",MAX(0,N(S1114)-T1114),""))</f>
        <v/>
      </c>
      <c r="V1114" s="49">
        <f>IF(B1114="","",IF(O1114&lt;&gt;"Completed",IF(T1114&gt;0,"Deposit","—"),IF(U1114&lt;=0.005,"Paid",IF(T1114&gt;0,"Partial","Unpaid"))))</f>
        <v/>
      </c>
      <c r="W1114" s="55">
        <f>IF(B1114="","",IFERROR(1/(1/INDEX('STAFF &amp; TASKS'!$C$5:$C$24,MATCH(H1114,'STAFF &amp; TASKS'!$A$5:$A$24,0))),PayRate))</f>
        <v/>
      </c>
      <c r="X1114" s="55">
        <f>IF(B1114="","",IF(OR(O1114="Cancelled",O1114="No-Show"),"",ROUND(R1114*W1114*(1+Burden),2)))</f>
        <v/>
      </c>
      <c r="Y1114" s="55">
        <f>IF(B1114="","",IF(OR(O1114="Cancelled",O1114="No-Show"),"",IF(N1114&lt;&gt;"",N1114,ROUND(R1114*SupHr*IFERROR(INDEX('PRICING'!$G$7:$G$16,MATCH(F1114,'PRICING'!$A$7:$A$16,0)),1),2))))</f>
        <v/>
      </c>
      <c r="Z1114" s="98">
        <f>IF(B1114="","",SUMIFS('MILEAGE'!$J$5:$J$1504,'MILEAGE'!$B$5:$B$1504,A1114))</f>
        <v/>
      </c>
      <c r="AA1114" s="55">
        <f>IF(B1114="","",ROUND(Z1114*MileRate,2))</f>
        <v/>
      </c>
      <c r="AB1114" s="55">
        <f>IF(B1114="","",SUMIFS('REVENUE'!$J$5:$J$1504,'REVENUE'!$B$5:$B$1504,A1114))</f>
        <v/>
      </c>
      <c r="AC1114" s="55">
        <f>IF(L1114="","",IF(OR(O1114="Cancelled",O1114="No-Show"),"",L1114-N(X1114)-N(Y1114)-AA1114-AB1114))</f>
        <v/>
      </c>
      <c r="AD1114" s="99">
        <f>IF(OR(AC1114="",N(L1114)=0),"",AC1114/L1114)</f>
        <v/>
      </c>
      <c r="AE1114" s="55">
        <f>IF(OR(AC1114="",N(R1114)=0),"",L1114/R1114)</f>
        <v/>
      </c>
      <c r="AF1114" s="100">
        <f>IF(OR(N(K1114)=0,N(J1114)+N(Q1114)=0),"",K1114-IF(N(J1114)&gt;0,J1114,Q1114))</f>
        <v/>
      </c>
      <c r="AG1114" s="99">
        <f>IF(B1114="","",IFERROR(AVERAGEIFS('QUALITY CONTROL'!$M$5:$M$304,'QUALITY CONTROL'!$B$5:$B$304,A1114),""))</f>
        <v/>
      </c>
      <c r="AH1114" s="51">
        <f>IF(B1114="","",DATE(YEAR(B1114),MONTH(B1114),1))</f>
        <v/>
      </c>
      <c r="AI1114" s="49">
        <f>IF(D1114="","",IFERROR(INDEX('CUSTOMERS'!$E$5:$E$404,MATCH(D1114,'CUSTOMERS'!$B$5:$B$404,0)),""))</f>
        <v/>
      </c>
      <c r="AJ1114" s="49">
        <f>IF(B1114="","",N(C1114))</f>
        <v/>
      </c>
      <c r="AK1114" s="49">
        <f>IF(OR(B1114="",O1114="Cancelled",O1114="Rescheduled"),"",B1114&amp;"|"&amp;(COUNTIFS('JOBS'!$B$5:$B$1504,B1114,'JOBS'!$AJ$5:$AJ$1504,"&lt;"&amp;AJ1114,'JOBS'!$O$5:$O$1504,"&lt;&gt;Cancelled",'JOBS'!$O$5:$O$1504,"&lt;&gt;Rescheduled")+COUNTIFS($B$5:B1114,B1114,$AJ$5:AJ1114,AJ1114,$O$5:O1114,"&lt;&gt;Cancelled",$O$5:O1114,"&lt;&gt;Rescheduled")))</f>
        <v/>
      </c>
      <c r="AL1114" s="49">
        <f>IF(N(U1114)&lt;=0.005,"",COUNTIFS('JOBS'!$U$5:$U$1504,"&gt;0.005",'JOBS'!$B$5:$B$1504,"&lt;"&amp;B1114)+COUNTIFS($U$5:U1114,"&gt;0.005",$B$5:B1114,B1114))</f>
        <v/>
      </c>
    </row>
    <row r="1115">
      <c r="A1115" s="46" t="inlineStr">
        <is>
          <t>J-1111</t>
        </is>
      </c>
      <c r="B1115" s="47" t="n"/>
      <c r="C1115" s="94" t="n"/>
      <c r="D1115" s="38" t="n"/>
      <c r="E1115" s="38" t="n"/>
      <c r="F1115" s="38" t="n"/>
      <c r="G1115" s="38" t="n"/>
      <c r="H1115" s="38" t="n"/>
      <c r="I1115" s="57" t="n"/>
      <c r="J1115" s="95" t="n"/>
      <c r="K1115" s="95" t="n"/>
      <c r="L1115" s="48" t="n"/>
      <c r="M1115" s="96" t="n"/>
      <c r="N1115" s="48" t="n"/>
      <c r="O1115" s="38" t="n"/>
      <c r="P1115" s="38" t="n"/>
      <c r="Q1115" s="97">
        <f>IF(OR(F1115="",E1115=""),"",IFERROR(IF(INDEX('PROPERTIES'!$F$5:$F$404,MATCH(E1115,'PROPERTIES'!$B$5:$B$404,0))=0,"",ROUND((INDEX('PROPERTIES'!$F$5:$F$404,MATCH(E1115,'PROPERTIES'!$B$5:$B$404,0))/INDEX('PRICING'!$C$7:$C$16,MATCH(F1115,'PRICING'!$A$7:$A$16,0))+INDEX('PROPERTIES'!$G$5:$G$404,MATCH(E1115,'PROPERTIES'!$B$5:$B$404,0))*INDEX('PRICING'!$D$7:$D$16,MATCH(F1115,'PRICING'!$A$7:$A$16,0))/60+INDEX('PROPERTIES'!$H$5:$H$404,MATCH(E1115,'PROPERTIES'!$B$5:$B$404,0))*INDEX('PRICING'!$E$7:$E$16,MATCH(F1115,'PRICING'!$A$7:$A$16,0))/60+INDEX('PRICING'!$F$7:$F$16,MATCH(F1115,'PRICING'!$A$7:$A$16,0))/60),2)),""))</f>
        <v/>
      </c>
      <c r="R1115" s="97">
        <f>IF(B1115="","",IF(N(K1115)&gt;0,K1115,IF(N(J1115)&gt;0,J1115,N(Q1115))))</f>
        <v/>
      </c>
      <c r="S1115" s="55">
        <f>IF(L1115="","",ROUND(L1115*(1+N(M1115)),2))</f>
        <v/>
      </c>
      <c r="T1115" s="55">
        <f>IF(B1115="","",SUMIFS('REVENUE'!$C$5:$C$1504,'REVENUE'!$B$5:$B$1504,A1115))</f>
        <v/>
      </c>
      <c r="U1115" s="55">
        <f>IF(B1115="","",IF(O1115="Completed",MAX(0,N(S1115)-T1115),""))</f>
        <v/>
      </c>
      <c r="V1115" s="49">
        <f>IF(B1115="","",IF(O1115&lt;&gt;"Completed",IF(T1115&gt;0,"Deposit","—"),IF(U1115&lt;=0.005,"Paid",IF(T1115&gt;0,"Partial","Unpaid"))))</f>
        <v/>
      </c>
      <c r="W1115" s="55">
        <f>IF(B1115="","",IFERROR(1/(1/INDEX('STAFF &amp; TASKS'!$C$5:$C$24,MATCH(H1115,'STAFF &amp; TASKS'!$A$5:$A$24,0))),PayRate))</f>
        <v/>
      </c>
      <c r="X1115" s="55">
        <f>IF(B1115="","",IF(OR(O1115="Cancelled",O1115="No-Show"),"",ROUND(R1115*W1115*(1+Burden),2)))</f>
        <v/>
      </c>
      <c r="Y1115" s="55">
        <f>IF(B1115="","",IF(OR(O1115="Cancelled",O1115="No-Show"),"",IF(N1115&lt;&gt;"",N1115,ROUND(R1115*SupHr*IFERROR(INDEX('PRICING'!$G$7:$G$16,MATCH(F1115,'PRICING'!$A$7:$A$16,0)),1),2))))</f>
        <v/>
      </c>
      <c r="Z1115" s="98">
        <f>IF(B1115="","",SUMIFS('MILEAGE'!$J$5:$J$1504,'MILEAGE'!$B$5:$B$1504,A1115))</f>
        <v/>
      </c>
      <c r="AA1115" s="55">
        <f>IF(B1115="","",ROUND(Z1115*MileRate,2))</f>
        <v/>
      </c>
      <c r="AB1115" s="55">
        <f>IF(B1115="","",SUMIFS('REVENUE'!$J$5:$J$1504,'REVENUE'!$B$5:$B$1504,A1115))</f>
        <v/>
      </c>
      <c r="AC1115" s="55">
        <f>IF(L1115="","",IF(OR(O1115="Cancelled",O1115="No-Show"),"",L1115-N(X1115)-N(Y1115)-AA1115-AB1115))</f>
        <v/>
      </c>
      <c r="AD1115" s="99">
        <f>IF(OR(AC1115="",N(L1115)=0),"",AC1115/L1115)</f>
        <v/>
      </c>
      <c r="AE1115" s="55">
        <f>IF(OR(AC1115="",N(R1115)=0),"",L1115/R1115)</f>
        <v/>
      </c>
      <c r="AF1115" s="100">
        <f>IF(OR(N(K1115)=0,N(J1115)+N(Q1115)=0),"",K1115-IF(N(J1115)&gt;0,J1115,Q1115))</f>
        <v/>
      </c>
      <c r="AG1115" s="99">
        <f>IF(B1115="","",IFERROR(AVERAGEIFS('QUALITY CONTROL'!$M$5:$M$304,'QUALITY CONTROL'!$B$5:$B$304,A1115),""))</f>
        <v/>
      </c>
      <c r="AH1115" s="51">
        <f>IF(B1115="","",DATE(YEAR(B1115),MONTH(B1115),1))</f>
        <v/>
      </c>
      <c r="AI1115" s="49">
        <f>IF(D1115="","",IFERROR(INDEX('CUSTOMERS'!$E$5:$E$404,MATCH(D1115,'CUSTOMERS'!$B$5:$B$404,0)),""))</f>
        <v/>
      </c>
      <c r="AJ1115" s="49">
        <f>IF(B1115="","",N(C1115))</f>
        <v/>
      </c>
      <c r="AK1115" s="49">
        <f>IF(OR(B1115="",O1115="Cancelled",O1115="Rescheduled"),"",B1115&amp;"|"&amp;(COUNTIFS('JOBS'!$B$5:$B$1504,B1115,'JOBS'!$AJ$5:$AJ$1504,"&lt;"&amp;AJ1115,'JOBS'!$O$5:$O$1504,"&lt;&gt;Cancelled",'JOBS'!$O$5:$O$1504,"&lt;&gt;Rescheduled")+COUNTIFS($B$5:B1115,B1115,$AJ$5:AJ1115,AJ1115,$O$5:O1115,"&lt;&gt;Cancelled",$O$5:O1115,"&lt;&gt;Rescheduled")))</f>
        <v/>
      </c>
      <c r="AL1115" s="49">
        <f>IF(N(U1115)&lt;=0.005,"",COUNTIFS('JOBS'!$U$5:$U$1504,"&gt;0.005",'JOBS'!$B$5:$B$1504,"&lt;"&amp;B1115)+COUNTIFS($U$5:U1115,"&gt;0.005",$B$5:B1115,B1115))</f>
        <v/>
      </c>
    </row>
    <row r="1116">
      <c r="A1116" s="46" t="inlineStr">
        <is>
          <t>J-1112</t>
        </is>
      </c>
      <c r="B1116" s="47" t="n"/>
      <c r="C1116" s="94" t="n"/>
      <c r="D1116" s="38" t="n"/>
      <c r="E1116" s="38" t="n"/>
      <c r="F1116" s="38" t="n"/>
      <c r="G1116" s="38" t="n"/>
      <c r="H1116" s="38" t="n"/>
      <c r="I1116" s="57" t="n"/>
      <c r="J1116" s="95" t="n"/>
      <c r="K1116" s="95" t="n"/>
      <c r="L1116" s="48" t="n"/>
      <c r="M1116" s="96" t="n"/>
      <c r="N1116" s="48" t="n"/>
      <c r="O1116" s="38" t="n"/>
      <c r="P1116" s="38" t="n"/>
      <c r="Q1116" s="97">
        <f>IF(OR(F1116="",E1116=""),"",IFERROR(IF(INDEX('PROPERTIES'!$F$5:$F$404,MATCH(E1116,'PROPERTIES'!$B$5:$B$404,0))=0,"",ROUND((INDEX('PROPERTIES'!$F$5:$F$404,MATCH(E1116,'PROPERTIES'!$B$5:$B$404,0))/INDEX('PRICING'!$C$7:$C$16,MATCH(F1116,'PRICING'!$A$7:$A$16,0))+INDEX('PROPERTIES'!$G$5:$G$404,MATCH(E1116,'PROPERTIES'!$B$5:$B$404,0))*INDEX('PRICING'!$D$7:$D$16,MATCH(F1116,'PRICING'!$A$7:$A$16,0))/60+INDEX('PROPERTIES'!$H$5:$H$404,MATCH(E1116,'PROPERTIES'!$B$5:$B$404,0))*INDEX('PRICING'!$E$7:$E$16,MATCH(F1116,'PRICING'!$A$7:$A$16,0))/60+INDEX('PRICING'!$F$7:$F$16,MATCH(F1116,'PRICING'!$A$7:$A$16,0))/60),2)),""))</f>
        <v/>
      </c>
      <c r="R1116" s="97">
        <f>IF(B1116="","",IF(N(K1116)&gt;0,K1116,IF(N(J1116)&gt;0,J1116,N(Q1116))))</f>
        <v/>
      </c>
      <c r="S1116" s="55">
        <f>IF(L1116="","",ROUND(L1116*(1+N(M1116)),2))</f>
        <v/>
      </c>
      <c r="T1116" s="55">
        <f>IF(B1116="","",SUMIFS('REVENUE'!$C$5:$C$1504,'REVENUE'!$B$5:$B$1504,A1116))</f>
        <v/>
      </c>
      <c r="U1116" s="55">
        <f>IF(B1116="","",IF(O1116="Completed",MAX(0,N(S1116)-T1116),""))</f>
        <v/>
      </c>
      <c r="V1116" s="49">
        <f>IF(B1116="","",IF(O1116&lt;&gt;"Completed",IF(T1116&gt;0,"Deposit","—"),IF(U1116&lt;=0.005,"Paid",IF(T1116&gt;0,"Partial","Unpaid"))))</f>
        <v/>
      </c>
      <c r="W1116" s="55">
        <f>IF(B1116="","",IFERROR(1/(1/INDEX('STAFF &amp; TASKS'!$C$5:$C$24,MATCH(H1116,'STAFF &amp; TASKS'!$A$5:$A$24,0))),PayRate))</f>
        <v/>
      </c>
      <c r="X1116" s="55">
        <f>IF(B1116="","",IF(OR(O1116="Cancelled",O1116="No-Show"),"",ROUND(R1116*W1116*(1+Burden),2)))</f>
        <v/>
      </c>
      <c r="Y1116" s="55">
        <f>IF(B1116="","",IF(OR(O1116="Cancelled",O1116="No-Show"),"",IF(N1116&lt;&gt;"",N1116,ROUND(R1116*SupHr*IFERROR(INDEX('PRICING'!$G$7:$G$16,MATCH(F1116,'PRICING'!$A$7:$A$16,0)),1),2))))</f>
        <v/>
      </c>
      <c r="Z1116" s="98">
        <f>IF(B1116="","",SUMIFS('MILEAGE'!$J$5:$J$1504,'MILEAGE'!$B$5:$B$1504,A1116))</f>
        <v/>
      </c>
      <c r="AA1116" s="55">
        <f>IF(B1116="","",ROUND(Z1116*MileRate,2))</f>
        <v/>
      </c>
      <c r="AB1116" s="55">
        <f>IF(B1116="","",SUMIFS('REVENUE'!$J$5:$J$1504,'REVENUE'!$B$5:$B$1504,A1116))</f>
        <v/>
      </c>
      <c r="AC1116" s="55">
        <f>IF(L1116="","",IF(OR(O1116="Cancelled",O1116="No-Show"),"",L1116-N(X1116)-N(Y1116)-AA1116-AB1116))</f>
        <v/>
      </c>
      <c r="AD1116" s="99">
        <f>IF(OR(AC1116="",N(L1116)=0),"",AC1116/L1116)</f>
        <v/>
      </c>
      <c r="AE1116" s="55">
        <f>IF(OR(AC1116="",N(R1116)=0),"",L1116/R1116)</f>
        <v/>
      </c>
      <c r="AF1116" s="100">
        <f>IF(OR(N(K1116)=0,N(J1116)+N(Q1116)=0),"",K1116-IF(N(J1116)&gt;0,J1116,Q1116))</f>
        <v/>
      </c>
      <c r="AG1116" s="99">
        <f>IF(B1116="","",IFERROR(AVERAGEIFS('QUALITY CONTROL'!$M$5:$M$304,'QUALITY CONTROL'!$B$5:$B$304,A1116),""))</f>
        <v/>
      </c>
      <c r="AH1116" s="51">
        <f>IF(B1116="","",DATE(YEAR(B1116),MONTH(B1116),1))</f>
        <v/>
      </c>
      <c r="AI1116" s="49">
        <f>IF(D1116="","",IFERROR(INDEX('CUSTOMERS'!$E$5:$E$404,MATCH(D1116,'CUSTOMERS'!$B$5:$B$404,0)),""))</f>
        <v/>
      </c>
      <c r="AJ1116" s="49">
        <f>IF(B1116="","",N(C1116))</f>
        <v/>
      </c>
      <c r="AK1116" s="49">
        <f>IF(OR(B1116="",O1116="Cancelled",O1116="Rescheduled"),"",B1116&amp;"|"&amp;(COUNTIFS('JOBS'!$B$5:$B$1504,B1116,'JOBS'!$AJ$5:$AJ$1504,"&lt;"&amp;AJ1116,'JOBS'!$O$5:$O$1504,"&lt;&gt;Cancelled",'JOBS'!$O$5:$O$1504,"&lt;&gt;Rescheduled")+COUNTIFS($B$5:B1116,B1116,$AJ$5:AJ1116,AJ1116,$O$5:O1116,"&lt;&gt;Cancelled",$O$5:O1116,"&lt;&gt;Rescheduled")))</f>
        <v/>
      </c>
      <c r="AL1116" s="49">
        <f>IF(N(U1116)&lt;=0.005,"",COUNTIFS('JOBS'!$U$5:$U$1504,"&gt;0.005",'JOBS'!$B$5:$B$1504,"&lt;"&amp;B1116)+COUNTIFS($U$5:U1116,"&gt;0.005",$B$5:B1116,B1116))</f>
        <v/>
      </c>
    </row>
    <row r="1117">
      <c r="A1117" s="46" t="inlineStr">
        <is>
          <t>J-1113</t>
        </is>
      </c>
      <c r="B1117" s="47" t="n"/>
      <c r="C1117" s="94" t="n"/>
      <c r="D1117" s="38" t="n"/>
      <c r="E1117" s="38" t="n"/>
      <c r="F1117" s="38" t="n"/>
      <c r="G1117" s="38" t="n"/>
      <c r="H1117" s="38" t="n"/>
      <c r="I1117" s="57" t="n"/>
      <c r="J1117" s="95" t="n"/>
      <c r="K1117" s="95" t="n"/>
      <c r="L1117" s="48" t="n"/>
      <c r="M1117" s="96" t="n"/>
      <c r="N1117" s="48" t="n"/>
      <c r="O1117" s="38" t="n"/>
      <c r="P1117" s="38" t="n"/>
      <c r="Q1117" s="97">
        <f>IF(OR(F1117="",E1117=""),"",IFERROR(IF(INDEX('PROPERTIES'!$F$5:$F$404,MATCH(E1117,'PROPERTIES'!$B$5:$B$404,0))=0,"",ROUND((INDEX('PROPERTIES'!$F$5:$F$404,MATCH(E1117,'PROPERTIES'!$B$5:$B$404,0))/INDEX('PRICING'!$C$7:$C$16,MATCH(F1117,'PRICING'!$A$7:$A$16,0))+INDEX('PROPERTIES'!$G$5:$G$404,MATCH(E1117,'PROPERTIES'!$B$5:$B$404,0))*INDEX('PRICING'!$D$7:$D$16,MATCH(F1117,'PRICING'!$A$7:$A$16,0))/60+INDEX('PROPERTIES'!$H$5:$H$404,MATCH(E1117,'PROPERTIES'!$B$5:$B$404,0))*INDEX('PRICING'!$E$7:$E$16,MATCH(F1117,'PRICING'!$A$7:$A$16,0))/60+INDEX('PRICING'!$F$7:$F$16,MATCH(F1117,'PRICING'!$A$7:$A$16,0))/60),2)),""))</f>
        <v/>
      </c>
      <c r="R1117" s="97">
        <f>IF(B1117="","",IF(N(K1117)&gt;0,K1117,IF(N(J1117)&gt;0,J1117,N(Q1117))))</f>
        <v/>
      </c>
      <c r="S1117" s="55">
        <f>IF(L1117="","",ROUND(L1117*(1+N(M1117)),2))</f>
        <v/>
      </c>
      <c r="T1117" s="55">
        <f>IF(B1117="","",SUMIFS('REVENUE'!$C$5:$C$1504,'REVENUE'!$B$5:$B$1504,A1117))</f>
        <v/>
      </c>
      <c r="U1117" s="55">
        <f>IF(B1117="","",IF(O1117="Completed",MAX(0,N(S1117)-T1117),""))</f>
        <v/>
      </c>
      <c r="V1117" s="49">
        <f>IF(B1117="","",IF(O1117&lt;&gt;"Completed",IF(T1117&gt;0,"Deposit","—"),IF(U1117&lt;=0.005,"Paid",IF(T1117&gt;0,"Partial","Unpaid"))))</f>
        <v/>
      </c>
      <c r="W1117" s="55">
        <f>IF(B1117="","",IFERROR(1/(1/INDEX('STAFF &amp; TASKS'!$C$5:$C$24,MATCH(H1117,'STAFF &amp; TASKS'!$A$5:$A$24,0))),PayRate))</f>
        <v/>
      </c>
      <c r="X1117" s="55">
        <f>IF(B1117="","",IF(OR(O1117="Cancelled",O1117="No-Show"),"",ROUND(R1117*W1117*(1+Burden),2)))</f>
        <v/>
      </c>
      <c r="Y1117" s="55">
        <f>IF(B1117="","",IF(OR(O1117="Cancelled",O1117="No-Show"),"",IF(N1117&lt;&gt;"",N1117,ROUND(R1117*SupHr*IFERROR(INDEX('PRICING'!$G$7:$G$16,MATCH(F1117,'PRICING'!$A$7:$A$16,0)),1),2))))</f>
        <v/>
      </c>
      <c r="Z1117" s="98">
        <f>IF(B1117="","",SUMIFS('MILEAGE'!$J$5:$J$1504,'MILEAGE'!$B$5:$B$1504,A1117))</f>
        <v/>
      </c>
      <c r="AA1117" s="55">
        <f>IF(B1117="","",ROUND(Z1117*MileRate,2))</f>
        <v/>
      </c>
      <c r="AB1117" s="55">
        <f>IF(B1117="","",SUMIFS('REVENUE'!$J$5:$J$1504,'REVENUE'!$B$5:$B$1504,A1117))</f>
        <v/>
      </c>
      <c r="AC1117" s="55">
        <f>IF(L1117="","",IF(OR(O1117="Cancelled",O1117="No-Show"),"",L1117-N(X1117)-N(Y1117)-AA1117-AB1117))</f>
        <v/>
      </c>
      <c r="AD1117" s="99">
        <f>IF(OR(AC1117="",N(L1117)=0),"",AC1117/L1117)</f>
        <v/>
      </c>
      <c r="AE1117" s="55">
        <f>IF(OR(AC1117="",N(R1117)=0),"",L1117/R1117)</f>
        <v/>
      </c>
      <c r="AF1117" s="100">
        <f>IF(OR(N(K1117)=0,N(J1117)+N(Q1117)=0),"",K1117-IF(N(J1117)&gt;0,J1117,Q1117))</f>
        <v/>
      </c>
      <c r="AG1117" s="99">
        <f>IF(B1117="","",IFERROR(AVERAGEIFS('QUALITY CONTROL'!$M$5:$M$304,'QUALITY CONTROL'!$B$5:$B$304,A1117),""))</f>
        <v/>
      </c>
      <c r="AH1117" s="51">
        <f>IF(B1117="","",DATE(YEAR(B1117),MONTH(B1117),1))</f>
        <v/>
      </c>
      <c r="AI1117" s="49">
        <f>IF(D1117="","",IFERROR(INDEX('CUSTOMERS'!$E$5:$E$404,MATCH(D1117,'CUSTOMERS'!$B$5:$B$404,0)),""))</f>
        <v/>
      </c>
      <c r="AJ1117" s="49">
        <f>IF(B1117="","",N(C1117))</f>
        <v/>
      </c>
      <c r="AK1117" s="49">
        <f>IF(OR(B1117="",O1117="Cancelled",O1117="Rescheduled"),"",B1117&amp;"|"&amp;(COUNTIFS('JOBS'!$B$5:$B$1504,B1117,'JOBS'!$AJ$5:$AJ$1504,"&lt;"&amp;AJ1117,'JOBS'!$O$5:$O$1504,"&lt;&gt;Cancelled",'JOBS'!$O$5:$O$1504,"&lt;&gt;Rescheduled")+COUNTIFS($B$5:B1117,B1117,$AJ$5:AJ1117,AJ1117,$O$5:O1117,"&lt;&gt;Cancelled",$O$5:O1117,"&lt;&gt;Rescheduled")))</f>
        <v/>
      </c>
      <c r="AL1117" s="49">
        <f>IF(N(U1117)&lt;=0.005,"",COUNTIFS('JOBS'!$U$5:$U$1504,"&gt;0.005",'JOBS'!$B$5:$B$1504,"&lt;"&amp;B1117)+COUNTIFS($U$5:U1117,"&gt;0.005",$B$5:B1117,B1117))</f>
        <v/>
      </c>
    </row>
    <row r="1118">
      <c r="A1118" s="46" t="inlineStr">
        <is>
          <t>J-1114</t>
        </is>
      </c>
      <c r="B1118" s="47" t="n"/>
      <c r="C1118" s="94" t="n"/>
      <c r="D1118" s="38" t="n"/>
      <c r="E1118" s="38" t="n"/>
      <c r="F1118" s="38" t="n"/>
      <c r="G1118" s="38" t="n"/>
      <c r="H1118" s="38" t="n"/>
      <c r="I1118" s="57" t="n"/>
      <c r="J1118" s="95" t="n"/>
      <c r="K1118" s="95" t="n"/>
      <c r="L1118" s="48" t="n"/>
      <c r="M1118" s="96" t="n"/>
      <c r="N1118" s="48" t="n"/>
      <c r="O1118" s="38" t="n"/>
      <c r="P1118" s="38" t="n"/>
      <c r="Q1118" s="97">
        <f>IF(OR(F1118="",E1118=""),"",IFERROR(IF(INDEX('PROPERTIES'!$F$5:$F$404,MATCH(E1118,'PROPERTIES'!$B$5:$B$404,0))=0,"",ROUND((INDEX('PROPERTIES'!$F$5:$F$404,MATCH(E1118,'PROPERTIES'!$B$5:$B$404,0))/INDEX('PRICING'!$C$7:$C$16,MATCH(F1118,'PRICING'!$A$7:$A$16,0))+INDEX('PROPERTIES'!$G$5:$G$404,MATCH(E1118,'PROPERTIES'!$B$5:$B$404,0))*INDEX('PRICING'!$D$7:$D$16,MATCH(F1118,'PRICING'!$A$7:$A$16,0))/60+INDEX('PROPERTIES'!$H$5:$H$404,MATCH(E1118,'PROPERTIES'!$B$5:$B$404,0))*INDEX('PRICING'!$E$7:$E$16,MATCH(F1118,'PRICING'!$A$7:$A$16,0))/60+INDEX('PRICING'!$F$7:$F$16,MATCH(F1118,'PRICING'!$A$7:$A$16,0))/60),2)),""))</f>
        <v/>
      </c>
      <c r="R1118" s="97">
        <f>IF(B1118="","",IF(N(K1118)&gt;0,K1118,IF(N(J1118)&gt;0,J1118,N(Q1118))))</f>
        <v/>
      </c>
      <c r="S1118" s="55">
        <f>IF(L1118="","",ROUND(L1118*(1+N(M1118)),2))</f>
        <v/>
      </c>
      <c r="T1118" s="55">
        <f>IF(B1118="","",SUMIFS('REVENUE'!$C$5:$C$1504,'REVENUE'!$B$5:$B$1504,A1118))</f>
        <v/>
      </c>
      <c r="U1118" s="55">
        <f>IF(B1118="","",IF(O1118="Completed",MAX(0,N(S1118)-T1118),""))</f>
        <v/>
      </c>
      <c r="V1118" s="49">
        <f>IF(B1118="","",IF(O1118&lt;&gt;"Completed",IF(T1118&gt;0,"Deposit","—"),IF(U1118&lt;=0.005,"Paid",IF(T1118&gt;0,"Partial","Unpaid"))))</f>
        <v/>
      </c>
      <c r="W1118" s="55">
        <f>IF(B1118="","",IFERROR(1/(1/INDEX('STAFF &amp; TASKS'!$C$5:$C$24,MATCH(H1118,'STAFF &amp; TASKS'!$A$5:$A$24,0))),PayRate))</f>
        <v/>
      </c>
      <c r="X1118" s="55">
        <f>IF(B1118="","",IF(OR(O1118="Cancelled",O1118="No-Show"),"",ROUND(R1118*W1118*(1+Burden),2)))</f>
        <v/>
      </c>
      <c r="Y1118" s="55">
        <f>IF(B1118="","",IF(OR(O1118="Cancelled",O1118="No-Show"),"",IF(N1118&lt;&gt;"",N1118,ROUND(R1118*SupHr*IFERROR(INDEX('PRICING'!$G$7:$G$16,MATCH(F1118,'PRICING'!$A$7:$A$16,0)),1),2))))</f>
        <v/>
      </c>
      <c r="Z1118" s="98">
        <f>IF(B1118="","",SUMIFS('MILEAGE'!$J$5:$J$1504,'MILEAGE'!$B$5:$B$1504,A1118))</f>
        <v/>
      </c>
      <c r="AA1118" s="55">
        <f>IF(B1118="","",ROUND(Z1118*MileRate,2))</f>
        <v/>
      </c>
      <c r="AB1118" s="55">
        <f>IF(B1118="","",SUMIFS('REVENUE'!$J$5:$J$1504,'REVENUE'!$B$5:$B$1504,A1118))</f>
        <v/>
      </c>
      <c r="AC1118" s="55">
        <f>IF(L1118="","",IF(OR(O1118="Cancelled",O1118="No-Show"),"",L1118-N(X1118)-N(Y1118)-AA1118-AB1118))</f>
        <v/>
      </c>
      <c r="AD1118" s="99">
        <f>IF(OR(AC1118="",N(L1118)=0),"",AC1118/L1118)</f>
        <v/>
      </c>
      <c r="AE1118" s="55">
        <f>IF(OR(AC1118="",N(R1118)=0),"",L1118/R1118)</f>
        <v/>
      </c>
      <c r="AF1118" s="100">
        <f>IF(OR(N(K1118)=0,N(J1118)+N(Q1118)=0),"",K1118-IF(N(J1118)&gt;0,J1118,Q1118))</f>
        <v/>
      </c>
      <c r="AG1118" s="99">
        <f>IF(B1118="","",IFERROR(AVERAGEIFS('QUALITY CONTROL'!$M$5:$M$304,'QUALITY CONTROL'!$B$5:$B$304,A1118),""))</f>
        <v/>
      </c>
      <c r="AH1118" s="51">
        <f>IF(B1118="","",DATE(YEAR(B1118),MONTH(B1118),1))</f>
        <v/>
      </c>
      <c r="AI1118" s="49">
        <f>IF(D1118="","",IFERROR(INDEX('CUSTOMERS'!$E$5:$E$404,MATCH(D1118,'CUSTOMERS'!$B$5:$B$404,0)),""))</f>
        <v/>
      </c>
      <c r="AJ1118" s="49">
        <f>IF(B1118="","",N(C1118))</f>
        <v/>
      </c>
      <c r="AK1118" s="49">
        <f>IF(OR(B1118="",O1118="Cancelled",O1118="Rescheduled"),"",B1118&amp;"|"&amp;(COUNTIFS('JOBS'!$B$5:$B$1504,B1118,'JOBS'!$AJ$5:$AJ$1504,"&lt;"&amp;AJ1118,'JOBS'!$O$5:$O$1504,"&lt;&gt;Cancelled",'JOBS'!$O$5:$O$1504,"&lt;&gt;Rescheduled")+COUNTIFS($B$5:B1118,B1118,$AJ$5:AJ1118,AJ1118,$O$5:O1118,"&lt;&gt;Cancelled",$O$5:O1118,"&lt;&gt;Rescheduled")))</f>
        <v/>
      </c>
      <c r="AL1118" s="49">
        <f>IF(N(U1118)&lt;=0.005,"",COUNTIFS('JOBS'!$U$5:$U$1504,"&gt;0.005",'JOBS'!$B$5:$B$1504,"&lt;"&amp;B1118)+COUNTIFS($U$5:U1118,"&gt;0.005",$B$5:B1118,B1118))</f>
        <v/>
      </c>
    </row>
    <row r="1119">
      <c r="A1119" s="46" t="inlineStr">
        <is>
          <t>J-1115</t>
        </is>
      </c>
      <c r="B1119" s="47" t="n"/>
      <c r="C1119" s="94" t="n"/>
      <c r="D1119" s="38" t="n"/>
      <c r="E1119" s="38" t="n"/>
      <c r="F1119" s="38" t="n"/>
      <c r="G1119" s="38" t="n"/>
      <c r="H1119" s="38" t="n"/>
      <c r="I1119" s="57" t="n"/>
      <c r="J1119" s="95" t="n"/>
      <c r="K1119" s="95" t="n"/>
      <c r="L1119" s="48" t="n"/>
      <c r="M1119" s="96" t="n"/>
      <c r="N1119" s="48" t="n"/>
      <c r="O1119" s="38" t="n"/>
      <c r="P1119" s="38" t="n"/>
      <c r="Q1119" s="97">
        <f>IF(OR(F1119="",E1119=""),"",IFERROR(IF(INDEX('PROPERTIES'!$F$5:$F$404,MATCH(E1119,'PROPERTIES'!$B$5:$B$404,0))=0,"",ROUND((INDEX('PROPERTIES'!$F$5:$F$404,MATCH(E1119,'PROPERTIES'!$B$5:$B$404,0))/INDEX('PRICING'!$C$7:$C$16,MATCH(F1119,'PRICING'!$A$7:$A$16,0))+INDEX('PROPERTIES'!$G$5:$G$404,MATCH(E1119,'PROPERTIES'!$B$5:$B$404,0))*INDEX('PRICING'!$D$7:$D$16,MATCH(F1119,'PRICING'!$A$7:$A$16,0))/60+INDEX('PROPERTIES'!$H$5:$H$404,MATCH(E1119,'PROPERTIES'!$B$5:$B$404,0))*INDEX('PRICING'!$E$7:$E$16,MATCH(F1119,'PRICING'!$A$7:$A$16,0))/60+INDEX('PRICING'!$F$7:$F$16,MATCH(F1119,'PRICING'!$A$7:$A$16,0))/60),2)),""))</f>
        <v/>
      </c>
      <c r="R1119" s="97">
        <f>IF(B1119="","",IF(N(K1119)&gt;0,K1119,IF(N(J1119)&gt;0,J1119,N(Q1119))))</f>
        <v/>
      </c>
      <c r="S1119" s="55">
        <f>IF(L1119="","",ROUND(L1119*(1+N(M1119)),2))</f>
        <v/>
      </c>
      <c r="T1119" s="55">
        <f>IF(B1119="","",SUMIFS('REVENUE'!$C$5:$C$1504,'REVENUE'!$B$5:$B$1504,A1119))</f>
        <v/>
      </c>
      <c r="U1119" s="55">
        <f>IF(B1119="","",IF(O1119="Completed",MAX(0,N(S1119)-T1119),""))</f>
        <v/>
      </c>
      <c r="V1119" s="49">
        <f>IF(B1119="","",IF(O1119&lt;&gt;"Completed",IF(T1119&gt;0,"Deposit","—"),IF(U1119&lt;=0.005,"Paid",IF(T1119&gt;0,"Partial","Unpaid"))))</f>
        <v/>
      </c>
      <c r="W1119" s="55">
        <f>IF(B1119="","",IFERROR(1/(1/INDEX('STAFF &amp; TASKS'!$C$5:$C$24,MATCH(H1119,'STAFF &amp; TASKS'!$A$5:$A$24,0))),PayRate))</f>
        <v/>
      </c>
      <c r="X1119" s="55">
        <f>IF(B1119="","",IF(OR(O1119="Cancelled",O1119="No-Show"),"",ROUND(R1119*W1119*(1+Burden),2)))</f>
        <v/>
      </c>
      <c r="Y1119" s="55">
        <f>IF(B1119="","",IF(OR(O1119="Cancelled",O1119="No-Show"),"",IF(N1119&lt;&gt;"",N1119,ROUND(R1119*SupHr*IFERROR(INDEX('PRICING'!$G$7:$G$16,MATCH(F1119,'PRICING'!$A$7:$A$16,0)),1),2))))</f>
        <v/>
      </c>
      <c r="Z1119" s="98">
        <f>IF(B1119="","",SUMIFS('MILEAGE'!$J$5:$J$1504,'MILEAGE'!$B$5:$B$1504,A1119))</f>
        <v/>
      </c>
      <c r="AA1119" s="55">
        <f>IF(B1119="","",ROUND(Z1119*MileRate,2))</f>
        <v/>
      </c>
      <c r="AB1119" s="55">
        <f>IF(B1119="","",SUMIFS('REVENUE'!$J$5:$J$1504,'REVENUE'!$B$5:$B$1504,A1119))</f>
        <v/>
      </c>
      <c r="AC1119" s="55">
        <f>IF(L1119="","",IF(OR(O1119="Cancelled",O1119="No-Show"),"",L1119-N(X1119)-N(Y1119)-AA1119-AB1119))</f>
        <v/>
      </c>
      <c r="AD1119" s="99">
        <f>IF(OR(AC1119="",N(L1119)=0),"",AC1119/L1119)</f>
        <v/>
      </c>
      <c r="AE1119" s="55">
        <f>IF(OR(AC1119="",N(R1119)=0),"",L1119/R1119)</f>
        <v/>
      </c>
      <c r="AF1119" s="100">
        <f>IF(OR(N(K1119)=0,N(J1119)+N(Q1119)=0),"",K1119-IF(N(J1119)&gt;0,J1119,Q1119))</f>
        <v/>
      </c>
      <c r="AG1119" s="99">
        <f>IF(B1119="","",IFERROR(AVERAGEIFS('QUALITY CONTROL'!$M$5:$M$304,'QUALITY CONTROL'!$B$5:$B$304,A1119),""))</f>
        <v/>
      </c>
      <c r="AH1119" s="51">
        <f>IF(B1119="","",DATE(YEAR(B1119),MONTH(B1119),1))</f>
        <v/>
      </c>
      <c r="AI1119" s="49">
        <f>IF(D1119="","",IFERROR(INDEX('CUSTOMERS'!$E$5:$E$404,MATCH(D1119,'CUSTOMERS'!$B$5:$B$404,0)),""))</f>
        <v/>
      </c>
      <c r="AJ1119" s="49">
        <f>IF(B1119="","",N(C1119))</f>
        <v/>
      </c>
      <c r="AK1119" s="49">
        <f>IF(OR(B1119="",O1119="Cancelled",O1119="Rescheduled"),"",B1119&amp;"|"&amp;(COUNTIFS('JOBS'!$B$5:$B$1504,B1119,'JOBS'!$AJ$5:$AJ$1504,"&lt;"&amp;AJ1119,'JOBS'!$O$5:$O$1504,"&lt;&gt;Cancelled",'JOBS'!$O$5:$O$1504,"&lt;&gt;Rescheduled")+COUNTIFS($B$5:B1119,B1119,$AJ$5:AJ1119,AJ1119,$O$5:O1119,"&lt;&gt;Cancelled",$O$5:O1119,"&lt;&gt;Rescheduled")))</f>
        <v/>
      </c>
      <c r="AL1119" s="49">
        <f>IF(N(U1119)&lt;=0.005,"",COUNTIFS('JOBS'!$U$5:$U$1504,"&gt;0.005",'JOBS'!$B$5:$B$1504,"&lt;"&amp;B1119)+COUNTIFS($U$5:U1119,"&gt;0.005",$B$5:B1119,B1119))</f>
        <v/>
      </c>
    </row>
    <row r="1120">
      <c r="A1120" s="46" t="inlineStr">
        <is>
          <t>J-1116</t>
        </is>
      </c>
      <c r="B1120" s="47" t="n"/>
      <c r="C1120" s="94" t="n"/>
      <c r="D1120" s="38" t="n"/>
      <c r="E1120" s="38" t="n"/>
      <c r="F1120" s="38" t="n"/>
      <c r="G1120" s="38" t="n"/>
      <c r="H1120" s="38" t="n"/>
      <c r="I1120" s="57" t="n"/>
      <c r="J1120" s="95" t="n"/>
      <c r="K1120" s="95" t="n"/>
      <c r="L1120" s="48" t="n"/>
      <c r="M1120" s="96" t="n"/>
      <c r="N1120" s="48" t="n"/>
      <c r="O1120" s="38" t="n"/>
      <c r="P1120" s="38" t="n"/>
      <c r="Q1120" s="97">
        <f>IF(OR(F1120="",E1120=""),"",IFERROR(IF(INDEX('PROPERTIES'!$F$5:$F$404,MATCH(E1120,'PROPERTIES'!$B$5:$B$404,0))=0,"",ROUND((INDEX('PROPERTIES'!$F$5:$F$404,MATCH(E1120,'PROPERTIES'!$B$5:$B$404,0))/INDEX('PRICING'!$C$7:$C$16,MATCH(F1120,'PRICING'!$A$7:$A$16,0))+INDEX('PROPERTIES'!$G$5:$G$404,MATCH(E1120,'PROPERTIES'!$B$5:$B$404,0))*INDEX('PRICING'!$D$7:$D$16,MATCH(F1120,'PRICING'!$A$7:$A$16,0))/60+INDEX('PROPERTIES'!$H$5:$H$404,MATCH(E1120,'PROPERTIES'!$B$5:$B$404,0))*INDEX('PRICING'!$E$7:$E$16,MATCH(F1120,'PRICING'!$A$7:$A$16,0))/60+INDEX('PRICING'!$F$7:$F$16,MATCH(F1120,'PRICING'!$A$7:$A$16,0))/60),2)),""))</f>
        <v/>
      </c>
      <c r="R1120" s="97">
        <f>IF(B1120="","",IF(N(K1120)&gt;0,K1120,IF(N(J1120)&gt;0,J1120,N(Q1120))))</f>
        <v/>
      </c>
      <c r="S1120" s="55">
        <f>IF(L1120="","",ROUND(L1120*(1+N(M1120)),2))</f>
        <v/>
      </c>
      <c r="T1120" s="55">
        <f>IF(B1120="","",SUMIFS('REVENUE'!$C$5:$C$1504,'REVENUE'!$B$5:$B$1504,A1120))</f>
        <v/>
      </c>
      <c r="U1120" s="55">
        <f>IF(B1120="","",IF(O1120="Completed",MAX(0,N(S1120)-T1120),""))</f>
        <v/>
      </c>
      <c r="V1120" s="49">
        <f>IF(B1120="","",IF(O1120&lt;&gt;"Completed",IF(T1120&gt;0,"Deposit","—"),IF(U1120&lt;=0.005,"Paid",IF(T1120&gt;0,"Partial","Unpaid"))))</f>
        <v/>
      </c>
      <c r="W1120" s="55">
        <f>IF(B1120="","",IFERROR(1/(1/INDEX('STAFF &amp; TASKS'!$C$5:$C$24,MATCH(H1120,'STAFF &amp; TASKS'!$A$5:$A$24,0))),PayRate))</f>
        <v/>
      </c>
      <c r="X1120" s="55">
        <f>IF(B1120="","",IF(OR(O1120="Cancelled",O1120="No-Show"),"",ROUND(R1120*W1120*(1+Burden),2)))</f>
        <v/>
      </c>
      <c r="Y1120" s="55">
        <f>IF(B1120="","",IF(OR(O1120="Cancelled",O1120="No-Show"),"",IF(N1120&lt;&gt;"",N1120,ROUND(R1120*SupHr*IFERROR(INDEX('PRICING'!$G$7:$G$16,MATCH(F1120,'PRICING'!$A$7:$A$16,0)),1),2))))</f>
        <v/>
      </c>
      <c r="Z1120" s="98">
        <f>IF(B1120="","",SUMIFS('MILEAGE'!$J$5:$J$1504,'MILEAGE'!$B$5:$B$1504,A1120))</f>
        <v/>
      </c>
      <c r="AA1120" s="55">
        <f>IF(B1120="","",ROUND(Z1120*MileRate,2))</f>
        <v/>
      </c>
      <c r="AB1120" s="55">
        <f>IF(B1120="","",SUMIFS('REVENUE'!$J$5:$J$1504,'REVENUE'!$B$5:$B$1504,A1120))</f>
        <v/>
      </c>
      <c r="AC1120" s="55">
        <f>IF(L1120="","",IF(OR(O1120="Cancelled",O1120="No-Show"),"",L1120-N(X1120)-N(Y1120)-AA1120-AB1120))</f>
        <v/>
      </c>
      <c r="AD1120" s="99">
        <f>IF(OR(AC1120="",N(L1120)=0),"",AC1120/L1120)</f>
        <v/>
      </c>
      <c r="AE1120" s="55">
        <f>IF(OR(AC1120="",N(R1120)=0),"",L1120/R1120)</f>
        <v/>
      </c>
      <c r="AF1120" s="100">
        <f>IF(OR(N(K1120)=0,N(J1120)+N(Q1120)=0),"",K1120-IF(N(J1120)&gt;0,J1120,Q1120))</f>
        <v/>
      </c>
      <c r="AG1120" s="99">
        <f>IF(B1120="","",IFERROR(AVERAGEIFS('QUALITY CONTROL'!$M$5:$M$304,'QUALITY CONTROL'!$B$5:$B$304,A1120),""))</f>
        <v/>
      </c>
      <c r="AH1120" s="51">
        <f>IF(B1120="","",DATE(YEAR(B1120),MONTH(B1120),1))</f>
        <v/>
      </c>
      <c r="AI1120" s="49">
        <f>IF(D1120="","",IFERROR(INDEX('CUSTOMERS'!$E$5:$E$404,MATCH(D1120,'CUSTOMERS'!$B$5:$B$404,0)),""))</f>
        <v/>
      </c>
      <c r="AJ1120" s="49">
        <f>IF(B1120="","",N(C1120))</f>
        <v/>
      </c>
      <c r="AK1120" s="49">
        <f>IF(OR(B1120="",O1120="Cancelled",O1120="Rescheduled"),"",B1120&amp;"|"&amp;(COUNTIFS('JOBS'!$B$5:$B$1504,B1120,'JOBS'!$AJ$5:$AJ$1504,"&lt;"&amp;AJ1120,'JOBS'!$O$5:$O$1504,"&lt;&gt;Cancelled",'JOBS'!$O$5:$O$1504,"&lt;&gt;Rescheduled")+COUNTIFS($B$5:B1120,B1120,$AJ$5:AJ1120,AJ1120,$O$5:O1120,"&lt;&gt;Cancelled",$O$5:O1120,"&lt;&gt;Rescheduled")))</f>
        <v/>
      </c>
      <c r="AL1120" s="49">
        <f>IF(N(U1120)&lt;=0.005,"",COUNTIFS('JOBS'!$U$5:$U$1504,"&gt;0.005",'JOBS'!$B$5:$B$1504,"&lt;"&amp;B1120)+COUNTIFS($U$5:U1120,"&gt;0.005",$B$5:B1120,B1120))</f>
        <v/>
      </c>
    </row>
    <row r="1121">
      <c r="A1121" s="46" t="inlineStr">
        <is>
          <t>J-1117</t>
        </is>
      </c>
      <c r="B1121" s="47" t="n"/>
      <c r="C1121" s="94" t="n"/>
      <c r="D1121" s="38" t="n"/>
      <c r="E1121" s="38" t="n"/>
      <c r="F1121" s="38" t="n"/>
      <c r="G1121" s="38" t="n"/>
      <c r="H1121" s="38" t="n"/>
      <c r="I1121" s="57" t="n"/>
      <c r="J1121" s="95" t="n"/>
      <c r="K1121" s="95" t="n"/>
      <c r="L1121" s="48" t="n"/>
      <c r="M1121" s="96" t="n"/>
      <c r="N1121" s="48" t="n"/>
      <c r="O1121" s="38" t="n"/>
      <c r="P1121" s="38" t="n"/>
      <c r="Q1121" s="97">
        <f>IF(OR(F1121="",E1121=""),"",IFERROR(IF(INDEX('PROPERTIES'!$F$5:$F$404,MATCH(E1121,'PROPERTIES'!$B$5:$B$404,0))=0,"",ROUND((INDEX('PROPERTIES'!$F$5:$F$404,MATCH(E1121,'PROPERTIES'!$B$5:$B$404,0))/INDEX('PRICING'!$C$7:$C$16,MATCH(F1121,'PRICING'!$A$7:$A$16,0))+INDEX('PROPERTIES'!$G$5:$G$404,MATCH(E1121,'PROPERTIES'!$B$5:$B$404,0))*INDEX('PRICING'!$D$7:$D$16,MATCH(F1121,'PRICING'!$A$7:$A$16,0))/60+INDEX('PROPERTIES'!$H$5:$H$404,MATCH(E1121,'PROPERTIES'!$B$5:$B$404,0))*INDEX('PRICING'!$E$7:$E$16,MATCH(F1121,'PRICING'!$A$7:$A$16,0))/60+INDEX('PRICING'!$F$7:$F$16,MATCH(F1121,'PRICING'!$A$7:$A$16,0))/60),2)),""))</f>
        <v/>
      </c>
      <c r="R1121" s="97">
        <f>IF(B1121="","",IF(N(K1121)&gt;0,K1121,IF(N(J1121)&gt;0,J1121,N(Q1121))))</f>
        <v/>
      </c>
      <c r="S1121" s="55">
        <f>IF(L1121="","",ROUND(L1121*(1+N(M1121)),2))</f>
        <v/>
      </c>
      <c r="T1121" s="55">
        <f>IF(B1121="","",SUMIFS('REVENUE'!$C$5:$C$1504,'REVENUE'!$B$5:$B$1504,A1121))</f>
        <v/>
      </c>
      <c r="U1121" s="55">
        <f>IF(B1121="","",IF(O1121="Completed",MAX(0,N(S1121)-T1121),""))</f>
        <v/>
      </c>
      <c r="V1121" s="49">
        <f>IF(B1121="","",IF(O1121&lt;&gt;"Completed",IF(T1121&gt;0,"Deposit","—"),IF(U1121&lt;=0.005,"Paid",IF(T1121&gt;0,"Partial","Unpaid"))))</f>
        <v/>
      </c>
      <c r="W1121" s="55">
        <f>IF(B1121="","",IFERROR(1/(1/INDEX('STAFF &amp; TASKS'!$C$5:$C$24,MATCH(H1121,'STAFF &amp; TASKS'!$A$5:$A$24,0))),PayRate))</f>
        <v/>
      </c>
      <c r="X1121" s="55">
        <f>IF(B1121="","",IF(OR(O1121="Cancelled",O1121="No-Show"),"",ROUND(R1121*W1121*(1+Burden),2)))</f>
        <v/>
      </c>
      <c r="Y1121" s="55">
        <f>IF(B1121="","",IF(OR(O1121="Cancelled",O1121="No-Show"),"",IF(N1121&lt;&gt;"",N1121,ROUND(R1121*SupHr*IFERROR(INDEX('PRICING'!$G$7:$G$16,MATCH(F1121,'PRICING'!$A$7:$A$16,0)),1),2))))</f>
        <v/>
      </c>
      <c r="Z1121" s="98">
        <f>IF(B1121="","",SUMIFS('MILEAGE'!$J$5:$J$1504,'MILEAGE'!$B$5:$B$1504,A1121))</f>
        <v/>
      </c>
      <c r="AA1121" s="55">
        <f>IF(B1121="","",ROUND(Z1121*MileRate,2))</f>
        <v/>
      </c>
      <c r="AB1121" s="55">
        <f>IF(B1121="","",SUMIFS('REVENUE'!$J$5:$J$1504,'REVENUE'!$B$5:$B$1504,A1121))</f>
        <v/>
      </c>
      <c r="AC1121" s="55">
        <f>IF(L1121="","",IF(OR(O1121="Cancelled",O1121="No-Show"),"",L1121-N(X1121)-N(Y1121)-AA1121-AB1121))</f>
        <v/>
      </c>
      <c r="AD1121" s="99">
        <f>IF(OR(AC1121="",N(L1121)=0),"",AC1121/L1121)</f>
        <v/>
      </c>
      <c r="AE1121" s="55">
        <f>IF(OR(AC1121="",N(R1121)=0),"",L1121/R1121)</f>
        <v/>
      </c>
      <c r="AF1121" s="100">
        <f>IF(OR(N(K1121)=0,N(J1121)+N(Q1121)=0),"",K1121-IF(N(J1121)&gt;0,J1121,Q1121))</f>
        <v/>
      </c>
      <c r="AG1121" s="99">
        <f>IF(B1121="","",IFERROR(AVERAGEIFS('QUALITY CONTROL'!$M$5:$M$304,'QUALITY CONTROL'!$B$5:$B$304,A1121),""))</f>
        <v/>
      </c>
      <c r="AH1121" s="51">
        <f>IF(B1121="","",DATE(YEAR(B1121),MONTH(B1121),1))</f>
        <v/>
      </c>
      <c r="AI1121" s="49">
        <f>IF(D1121="","",IFERROR(INDEX('CUSTOMERS'!$E$5:$E$404,MATCH(D1121,'CUSTOMERS'!$B$5:$B$404,0)),""))</f>
        <v/>
      </c>
      <c r="AJ1121" s="49">
        <f>IF(B1121="","",N(C1121))</f>
        <v/>
      </c>
      <c r="AK1121" s="49">
        <f>IF(OR(B1121="",O1121="Cancelled",O1121="Rescheduled"),"",B1121&amp;"|"&amp;(COUNTIFS('JOBS'!$B$5:$B$1504,B1121,'JOBS'!$AJ$5:$AJ$1504,"&lt;"&amp;AJ1121,'JOBS'!$O$5:$O$1504,"&lt;&gt;Cancelled",'JOBS'!$O$5:$O$1504,"&lt;&gt;Rescheduled")+COUNTIFS($B$5:B1121,B1121,$AJ$5:AJ1121,AJ1121,$O$5:O1121,"&lt;&gt;Cancelled",$O$5:O1121,"&lt;&gt;Rescheduled")))</f>
        <v/>
      </c>
      <c r="AL1121" s="49">
        <f>IF(N(U1121)&lt;=0.005,"",COUNTIFS('JOBS'!$U$5:$U$1504,"&gt;0.005",'JOBS'!$B$5:$B$1504,"&lt;"&amp;B1121)+COUNTIFS($U$5:U1121,"&gt;0.005",$B$5:B1121,B1121))</f>
        <v/>
      </c>
    </row>
    <row r="1122">
      <c r="A1122" s="46" t="inlineStr">
        <is>
          <t>J-1118</t>
        </is>
      </c>
      <c r="B1122" s="47" t="n"/>
      <c r="C1122" s="94" t="n"/>
      <c r="D1122" s="38" t="n"/>
      <c r="E1122" s="38" t="n"/>
      <c r="F1122" s="38" t="n"/>
      <c r="G1122" s="38" t="n"/>
      <c r="H1122" s="38" t="n"/>
      <c r="I1122" s="57" t="n"/>
      <c r="J1122" s="95" t="n"/>
      <c r="K1122" s="95" t="n"/>
      <c r="L1122" s="48" t="n"/>
      <c r="M1122" s="96" t="n"/>
      <c r="N1122" s="48" t="n"/>
      <c r="O1122" s="38" t="n"/>
      <c r="P1122" s="38" t="n"/>
      <c r="Q1122" s="97">
        <f>IF(OR(F1122="",E1122=""),"",IFERROR(IF(INDEX('PROPERTIES'!$F$5:$F$404,MATCH(E1122,'PROPERTIES'!$B$5:$B$404,0))=0,"",ROUND((INDEX('PROPERTIES'!$F$5:$F$404,MATCH(E1122,'PROPERTIES'!$B$5:$B$404,0))/INDEX('PRICING'!$C$7:$C$16,MATCH(F1122,'PRICING'!$A$7:$A$16,0))+INDEX('PROPERTIES'!$G$5:$G$404,MATCH(E1122,'PROPERTIES'!$B$5:$B$404,0))*INDEX('PRICING'!$D$7:$D$16,MATCH(F1122,'PRICING'!$A$7:$A$16,0))/60+INDEX('PROPERTIES'!$H$5:$H$404,MATCH(E1122,'PROPERTIES'!$B$5:$B$404,0))*INDEX('PRICING'!$E$7:$E$16,MATCH(F1122,'PRICING'!$A$7:$A$16,0))/60+INDEX('PRICING'!$F$7:$F$16,MATCH(F1122,'PRICING'!$A$7:$A$16,0))/60),2)),""))</f>
        <v/>
      </c>
      <c r="R1122" s="97">
        <f>IF(B1122="","",IF(N(K1122)&gt;0,K1122,IF(N(J1122)&gt;0,J1122,N(Q1122))))</f>
        <v/>
      </c>
      <c r="S1122" s="55">
        <f>IF(L1122="","",ROUND(L1122*(1+N(M1122)),2))</f>
        <v/>
      </c>
      <c r="T1122" s="55">
        <f>IF(B1122="","",SUMIFS('REVENUE'!$C$5:$C$1504,'REVENUE'!$B$5:$B$1504,A1122))</f>
        <v/>
      </c>
      <c r="U1122" s="55">
        <f>IF(B1122="","",IF(O1122="Completed",MAX(0,N(S1122)-T1122),""))</f>
        <v/>
      </c>
      <c r="V1122" s="49">
        <f>IF(B1122="","",IF(O1122&lt;&gt;"Completed",IF(T1122&gt;0,"Deposit","—"),IF(U1122&lt;=0.005,"Paid",IF(T1122&gt;0,"Partial","Unpaid"))))</f>
        <v/>
      </c>
      <c r="W1122" s="55">
        <f>IF(B1122="","",IFERROR(1/(1/INDEX('STAFF &amp; TASKS'!$C$5:$C$24,MATCH(H1122,'STAFF &amp; TASKS'!$A$5:$A$24,0))),PayRate))</f>
        <v/>
      </c>
      <c r="X1122" s="55">
        <f>IF(B1122="","",IF(OR(O1122="Cancelled",O1122="No-Show"),"",ROUND(R1122*W1122*(1+Burden),2)))</f>
        <v/>
      </c>
      <c r="Y1122" s="55">
        <f>IF(B1122="","",IF(OR(O1122="Cancelled",O1122="No-Show"),"",IF(N1122&lt;&gt;"",N1122,ROUND(R1122*SupHr*IFERROR(INDEX('PRICING'!$G$7:$G$16,MATCH(F1122,'PRICING'!$A$7:$A$16,0)),1),2))))</f>
        <v/>
      </c>
      <c r="Z1122" s="98">
        <f>IF(B1122="","",SUMIFS('MILEAGE'!$J$5:$J$1504,'MILEAGE'!$B$5:$B$1504,A1122))</f>
        <v/>
      </c>
      <c r="AA1122" s="55">
        <f>IF(B1122="","",ROUND(Z1122*MileRate,2))</f>
        <v/>
      </c>
      <c r="AB1122" s="55">
        <f>IF(B1122="","",SUMIFS('REVENUE'!$J$5:$J$1504,'REVENUE'!$B$5:$B$1504,A1122))</f>
        <v/>
      </c>
      <c r="AC1122" s="55">
        <f>IF(L1122="","",IF(OR(O1122="Cancelled",O1122="No-Show"),"",L1122-N(X1122)-N(Y1122)-AA1122-AB1122))</f>
        <v/>
      </c>
      <c r="AD1122" s="99">
        <f>IF(OR(AC1122="",N(L1122)=0),"",AC1122/L1122)</f>
        <v/>
      </c>
      <c r="AE1122" s="55">
        <f>IF(OR(AC1122="",N(R1122)=0),"",L1122/R1122)</f>
        <v/>
      </c>
      <c r="AF1122" s="100">
        <f>IF(OR(N(K1122)=0,N(J1122)+N(Q1122)=0),"",K1122-IF(N(J1122)&gt;0,J1122,Q1122))</f>
        <v/>
      </c>
      <c r="AG1122" s="99">
        <f>IF(B1122="","",IFERROR(AVERAGEIFS('QUALITY CONTROL'!$M$5:$M$304,'QUALITY CONTROL'!$B$5:$B$304,A1122),""))</f>
        <v/>
      </c>
      <c r="AH1122" s="51">
        <f>IF(B1122="","",DATE(YEAR(B1122),MONTH(B1122),1))</f>
        <v/>
      </c>
      <c r="AI1122" s="49">
        <f>IF(D1122="","",IFERROR(INDEX('CUSTOMERS'!$E$5:$E$404,MATCH(D1122,'CUSTOMERS'!$B$5:$B$404,0)),""))</f>
        <v/>
      </c>
      <c r="AJ1122" s="49">
        <f>IF(B1122="","",N(C1122))</f>
        <v/>
      </c>
      <c r="AK1122" s="49">
        <f>IF(OR(B1122="",O1122="Cancelled",O1122="Rescheduled"),"",B1122&amp;"|"&amp;(COUNTIFS('JOBS'!$B$5:$B$1504,B1122,'JOBS'!$AJ$5:$AJ$1504,"&lt;"&amp;AJ1122,'JOBS'!$O$5:$O$1504,"&lt;&gt;Cancelled",'JOBS'!$O$5:$O$1504,"&lt;&gt;Rescheduled")+COUNTIFS($B$5:B1122,B1122,$AJ$5:AJ1122,AJ1122,$O$5:O1122,"&lt;&gt;Cancelled",$O$5:O1122,"&lt;&gt;Rescheduled")))</f>
        <v/>
      </c>
      <c r="AL1122" s="49">
        <f>IF(N(U1122)&lt;=0.005,"",COUNTIFS('JOBS'!$U$5:$U$1504,"&gt;0.005",'JOBS'!$B$5:$B$1504,"&lt;"&amp;B1122)+COUNTIFS($U$5:U1122,"&gt;0.005",$B$5:B1122,B1122))</f>
        <v/>
      </c>
    </row>
    <row r="1123">
      <c r="A1123" s="46" t="inlineStr">
        <is>
          <t>J-1119</t>
        </is>
      </c>
      <c r="B1123" s="47" t="n"/>
      <c r="C1123" s="94" t="n"/>
      <c r="D1123" s="38" t="n"/>
      <c r="E1123" s="38" t="n"/>
      <c r="F1123" s="38" t="n"/>
      <c r="G1123" s="38" t="n"/>
      <c r="H1123" s="38" t="n"/>
      <c r="I1123" s="57" t="n"/>
      <c r="J1123" s="95" t="n"/>
      <c r="K1123" s="95" t="n"/>
      <c r="L1123" s="48" t="n"/>
      <c r="M1123" s="96" t="n"/>
      <c r="N1123" s="48" t="n"/>
      <c r="O1123" s="38" t="n"/>
      <c r="P1123" s="38" t="n"/>
      <c r="Q1123" s="97">
        <f>IF(OR(F1123="",E1123=""),"",IFERROR(IF(INDEX('PROPERTIES'!$F$5:$F$404,MATCH(E1123,'PROPERTIES'!$B$5:$B$404,0))=0,"",ROUND((INDEX('PROPERTIES'!$F$5:$F$404,MATCH(E1123,'PROPERTIES'!$B$5:$B$404,0))/INDEX('PRICING'!$C$7:$C$16,MATCH(F1123,'PRICING'!$A$7:$A$16,0))+INDEX('PROPERTIES'!$G$5:$G$404,MATCH(E1123,'PROPERTIES'!$B$5:$B$404,0))*INDEX('PRICING'!$D$7:$D$16,MATCH(F1123,'PRICING'!$A$7:$A$16,0))/60+INDEX('PROPERTIES'!$H$5:$H$404,MATCH(E1123,'PROPERTIES'!$B$5:$B$404,0))*INDEX('PRICING'!$E$7:$E$16,MATCH(F1123,'PRICING'!$A$7:$A$16,0))/60+INDEX('PRICING'!$F$7:$F$16,MATCH(F1123,'PRICING'!$A$7:$A$16,0))/60),2)),""))</f>
        <v/>
      </c>
      <c r="R1123" s="97">
        <f>IF(B1123="","",IF(N(K1123)&gt;0,K1123,IF(N(J1123)&gt;0,J1123,N(Q1123))))</f>
        <v/>
      </c>
      <c r="S1123" s="55">
        <f>IF(L1123="","",ROUND(L1123*(1+N(M1123)),2))</f>
        <v/>
      </c>
      <c r="T1123" s="55">
        <f>IF(B1123="","",SUMIFS('REVENUE'!$C$5:$C$1504,'REVENUE'!$B$5:$B$1504,A1123))</f>
        <v/>
      </c>
      <c r="U1123" s="55">
        <f>IF(B1123="","",IF(O1123="Completed",MAX(0,N(S1123)-T1123),""))</f>
        <v/>
      </c>
      <c r="V1123" s="49">
        <f>IF(B1123="","",IF(O1123&lt;&gt;"Completed",IF(T1123&gt;0,"Deposit","—"),IF(U1123&lt;=0.005,"Paid",IF(T1123&gt;0,"Partial","Unpaid"))))</f>
        <v/>
      </c>
      <c r="W1123" s="55">
        <f>IF(B1123="","",IFERROR(1/(1/INDEX('STAFF &amp; TASKS'!$C$5:$C$24,MATCH(H1123,'STAFF &amp; TASKS'!$A$5:$A$24,0))),PayRate))</f>
        <v/>
      </c>
      <c r="X1123" s="55">
        <f>IF(B1123="","",IF(OR(O1123="Cancelled",O1123="No-Show"),"",ROUND(R1123*W1123*(1+Burden),2)))</f>
        <v/>
      </c>
      <c r="Y1123" s="55">
        <f>IF(B1123="","",IF(OR(O1123="Cancelled",O1123="No-Show"),"",IF(N1123&lt;&gt;"",N1123,ROUND(R1123*SupHr*IFERROR(INDEX('PRICING'!$G$7:$G$16,MATCH(F1123,'PRICING'!$A$7:$A$16,0)),1),2))))</f>
        <v/>
      </c>
      <c r="Z1123" s="98">
        <f>IF(B1123="","",SUMIFS('MILEAGE'!$J$5:$J$1504,'MILEAGE'!$B$5:$B$1504,A1123))</f>
        <v/>
      </c>
      <c r="AA1123" s="55">
        <f>IF(B1123="","",ROUND(Z1123*MileRate,2))</f>
        <v/>
      </c>
      <c r="AB1123" s="55">
        <f>IF(B1123="","",SUMIFS('REVENUE'!$J$5:$J$1504,'REVENUE'!$B$5:$B$1504,A1123))</f>
        <v/>
      </c>
      <c r="AC1123" s="55">
        <f>IF(L1123="","",IF(OR(O1123="Cancelled",O1123="No-Show"),"",L1123-N(X1123)-N(Y1123)-AA1123-AB1123))</f>
        <v/>
      </c>
      <c r="AD1123" s="99">
        <f>IF(OR(AC1123="",N(L1123)=0),"",AC1123/L1123)</f>
        <v/>
      </c>
      <c r="AE1123" s="55">
        <f>IF(OR(AC1123="",N(R1123)=0),"",L1123/R1123)</f>
        <v/>
      </c>
      <c r="AF1123" s="100">
        <f>IF(OR(N(K1123)=0,N(J1123)+N(Q1123)=0),"",K1123-IF(N(J1123)&gt;0,J1123,Q1123))</f>
        <v/>
      </c>
      <c r="AG1123" s="99">
        <f>IF(B1123="","",IFERROR(AVERAGEIFS('QUALITY CONTROL'!$M$5:$M$304,'QUALITY CONTROL'!$B$5:$B$304,A1123),""))</f>
        <v/>
      </c>
      <c r="AH1123" s="51">
        <f>IF(B1123="","",DATE(YEAR(B1123),MONTH(B1123),1))</f>
        <v/>
      </c>
      <c r="AI1123" s="49">
        <f>IF(D1123="","",IFERROR(INDEX('CUSTOMERS'!$E$5:$E$404,MATCH(D1123,'CUSTOMERS'!$B$5:$B$404,0)),""))</f>
        <v/>
      </c>
      <c r="AJ1123" s="49">
        <f>IF(B1123="","",N(C1123))</f>
        <v/>
      </c>
      <c r="AK1123" s="49">
        <f>IF(OR(B1123="",O1123="Cancelled",O1123="Rescheduled"),"",B1123&amp;"|"&amp;(COUNTIFS('JOBS'!$B$5:$B$1504,B1123,'JOBS'!$AJ$5:$AJ$1504,"&lt;"&amp;AJ1123,'JOBS'!$O$5:$O$1504,"&lt;&gt;Cancelled",'JOBS'!$O$5:$O$1504,"&lt;&gt;Rescheduled")+COUNTIFS($B$5:B1123,B1123,$AJ$5:AJ1123,AJ1123,$O$5:O1123,"&lt;&gt;Cancelled",$O$5:O1123,"&lt;&gt;Rescheduled")))</f>
        <v/>
      </c>
      <c r="AL1123" s="49">
        <f>IF(N(U1123)&lt;=0.005,"",COUNTIFS('JOBS'!$U$5:$U$1504,"&gt;0.005",'JOBS'!$B$5:$B$1504,"&lt;"&amp;B1123)+COUNTIFS($U$5:U1123,"&gt;0.005",$B$5:B1123,B1123))</f>
        <v/>
      </c>
    </row>
    <row r="1124">
      <c r="A1124" s="46" t="inlineStr">
        <is>
          <t>J-1120</t>
        </is>
      </c>
      <c r="B1124" s="47" t="n"/>
      <c r="C1124" s="94" t="n"/>
      <c r="D1124" s="38" t="n"/>
      <c r="E1124" s="38" t="n"/>
      <c r="F1124" s="38" t="n"/>
      <c r="G1124" s="38" t="n"/>
      <c r="H1124" s="38" t="n"/>
      <c r="I1124" s="57" t="n"/>
      <c r="J1124" s="95" t="n"/>
      <c r="K1124" s="95" t="n"/>
      <c r="L1124" s="48" t="n"/>
      <c r="M1124" s="96" t="n"/>
      <c r="N1124" s="48" t="n"/>
      <c r="O1124" s="38" t="n"/>
      <c r="P1124" s="38" t="n"/>
      <c r="Q1124" s="97">
        <f>IF(OR(F1124="",E1124=""),"",IFERROR(IF(INDEX('PROPERTIES'!$F$5:$F$404,MATCH(E1124,'PROPERTIES'!$B$5:$B$404,0))=0,"",ROUND((INDEX('PROPERTIES'!$F$5:$F$404,MATCH(E1124,'PROPERTIES'!$B$5:$B$404,0))/INDEX('PRICING'!$C$7:$C$16,MATCH(F1124,'PRICING'!$A$7:$A$16,0))+INDEX('PROPERTIES'!$G$5:$G$404,MATCH(E1124,'PROPERTIES'!$B$5:$B$404,0))*INDEX('PRICING'!$D$7:$D$16,MATCH(F1124,'PRICING'!$A$7:$A$16,0))/60+INDEX('PROPERTIES'!$H$5:$H$404,MATCH(E1124,'PROPERTIES'!$B$5:$B$404,0))*INDEX('PRICING'!$E$7:$E$16,MATCH(F1124,'PRICING'!$A$7:$A$16,0))/60+INDEX('PRICING'!$F$7:$F$16,MATCH(F1124,'PRICING'!$A$7:$A$16,0))/60),2)),""))</f>
        <v/>
      </c>
      <c r="R1124" s="97">
        <f>IF(B1124="","",IF(N(K1124)&gt;0,K1124,IF(N(J1124)&gt;0,J1124,N(Q1124))))</f>
        <v/>
      </c>
      <c r="S1124" s="55">
        <f>IF(L1124="","",ROUND(L1124*(1+N(M1124)),2))</f>
        <v/>
      </c>
      <c r="T1124" s="55">
        <f>IF(B1124="","",SUMIFS('REVENUE'!$C$5:$C$1504,'REVENUE'!$B$5:$B$1504,A1124))</f>
        <v/>
      </c>
      <c r="U1124" s="55">
        <f>IF(B1124="","",IF(O1124="Completed",MAX(0,N(S1124)-T1124),""))</f>
        <v/>
      </c>
      <c r="V1124" s="49">
        <f>IF(B1124="","",IF(O1124&lt;&gt;"Completed",IF(T1124&gt;0,"Deposit","—"),IF(U1124&lt;=0.005,"Paid",IF(T1124&gt;0,"Partial","Unpaid"))))</f>
        <v/>
      </c>
      <c r="W1124" s="55">
        <f>IF(B1124="","",IFERROR(1/(1/INDEX('STAFF &amp; TASKS'!$C$5:$C$24,MATCH(H1124,'STAFF &amp; TASKS'!$A$5:$A$24,0))),PayRate))</f>
        <v/>
      </c>
      <c r="X1124" s="55">
        <f>IF(B1124="","",IF(OR(O1124="Cancelled",O1124="No-Show"),"",ROUND(R1124*W1124*(1+Burden),2)))</f>
        <v/>
      </c>
      <c r="Y1124" s="55">
        <f>IF(B1124="","",IF(OR(O1124="Cancelled",O1124="No-Show"),"",IF(N1124&lt;&gt;"",N1124,ROUND(R1124*SupHr*IFERROR(INDEX('PRICING'!$G$7:$G$16,MATCH(F1124,'PRICING'!$A$7:$A$16,0)),1),2))))</f>
        <v/>
      </c>
      <c r="Z1124" s="98">
        <f>IF(B1124="","",SUMIFS('MILEAGE'!$J$5:$J$1504,'MILEAGE'!$B$5:$B$1504,A1124))</f>
        <v/>
      </c>
      <c r="AA1124" s="55">
        <f>IF(B1124="","",ROUND(Z1124*MileRate,2))</f>
        <v/>
      </c>
      <c r="AB1124" s="55">
        <f>IF(B1124="","",SUMIFS('REVENUE'!$J$5:$J$1504,'REVENUE'!$B$5:$B$1504,A1124))</f>
        <v/>
      </c>
      <c r="AC1124" s="55">
        <f>IF(L1124="","",IF(OR(O1124="Cancelled",O1124="No-Show"),"",L1124-N(X1124)-N(Y1124)-AA1124-AB1124))</f>
        <v/>
      </c>
      <c r="AD1124" s="99">
        <f>IF(OR(AC1124="",N(L1124)=0),"",AC1124/L1124)</f>
        <v/>
      </c>
      <c r="AE1124" s="55">
        <f>IF(OR(AC1124="",N(R1124)=0),"",L1124/R1124)</f>
        <v/>
      </c>
      <c r="AF1124" s="100">
        <f>IF(OR(N(K1124)=0,N(J1124)+N(Q1124)=0),"",K1124-IF(N(J1124)&gt;0,J1124,Q1124))</f>
        <v/>
      </c>
      <c r="AG1124" s="99">
        <f>IF(B1124="","",IFERROR(AVERAGEIFS('QUALITY CONTROL'!$M$5:$M$304,'QUALITY CONTROL'!$B$5:$B$304,A1124),""))</f>
        <v/>
      </c>
      <c r="AH1124" s="51">
        <f>IF(B1124="","",DATE(YEAR(B1124),MONTH(B1124),1))</f>
        <v/>
      </c>
      <c r="AI1124" s="49">
        <f>IF(D1124="","",IFERROR(INDEX('CUSTOMERS'!$E$5:$E$404,MATCH(D1124,'CUSTOMERS'!$B$5:$B$404,0)),""))</f>
        <v/>
      </c>
      <c r="AJ1124" s="49">
        <f>IF(B1124="","",N(C1124))</f>
        <v/>
      </c>
      <c r="AK1124" s="49">
        <f>IF(OR(B1124="",O1124="Cancelled",O1124="Rescheduled"),"",B1124&amp;"|"&amp;(COUNTIFS('JOBS'!$B$5:$B$1504,B1124,'JOBS'!$AJ$5:$AJ$1504,"&lt;"&amp;AJ1124,'JOBS'!$O$5:$O$1504,"&lt;&gt;Cancelled",'JOBS'!$O$5:$O$1504,"&lt;&gt;Rescheduled")+COUNTIFS($B$5:B1124,B1124,$AJ$5:AJ1124,AJ1124,$O$5:O1124,"&lt;&gt;Cancelled",$O$5:O1124,"&lt;&gt;Rescheduled")))</f>
        <v/>
      </c>
      <c r="AL1124" s="49">
        <f>IF(N(U1124)&lt;=0.005,"",COUNTIFS('JOBS'!$U$5:$U$1504,"&gt;0.005",'JOBS'!$B$5:$B$1504,"&lt;"&amp;B1124)+COUNTIFS($U$5:U1124,"&gt;0.005",$B$5:B1124,B1124))</f>
        <v/>
      </c>
    </row>
    <row r="1125">
      <c r="A1125" s="46" t="inlineStr">
        <is>
          <t>J-1121</t>
        </is>
      </c>
      <c r="B1125" s="47" t="n"/>
      <c r="C1125" s="94" t="n"/>
      <c r="D1125" s="38" t="n"/>
      <c r="E1125" s="38" t="n"/>
      <c r="F1125" s="38" t="n"/>
      <c r="G1125" s="38" t="n"/>
      <c r="H1125" s="38" t="n"/>
      <c r="I1125" s="57" t="n"/>
      <c r="J1125" s="95" t="n"/>
      <c r="K1125" s="95" t="n"/>
      <c r="L1125" s="48" t="n"/>
      <c r="M1125" s="96" t="n"/>
      <c r="N1125" s="48" t="n"/>
      <c r="O1125" s="38" t="n"/>
      <c r="P1125" s="38" t="n"/>
      <c r="Q1125" s="97">
        <f>IF(OR(F1125="",E1125=""),"",IFERROR(IF(INDEX('PROPERTIES'!$F$5:$F$404,MATCH(E1125,'PROPERTIES'!$B$5:$B$404,0))=0,"",ROUND((INDEX('PROPERTIES'!$F$5:$F$404,MATCH(E1125,'PROPERTIES'!$B$5:$B$404,0))/INDEX('PRICING'!$C$7:$C$16,MATCH(F1125,'PRICING'!$A$7:$A$16,0))+INDEX('PROPERTIES'!$G$5:$G$404,MATCH(E1125,'PROPERTIES'!$B$5:$B$404,0))*INDEX('PRICING'!$D$7:$D$16,MATCH(F1125,'PRICING'!$A$7:$A$16,0))/60+INDEX('PROPERTIES'!$H$5:$H$404,MATCH(E1125,'PROPERTIES'!$B$5:$B$404,0))*INDEX('PRICING'!$E$7:$E$16,MATCH(F1125,'PRICING'!$A$7:$A$16,0))/60+INDEX('PRICING'!$F$7:$F$16,MATCH(F1125,'PRICING'!$A$7:$A$16,0))/60),2)),""))</f>
        <v/>
      </c>
      <c r="R1125" s="97">
        <f>IF(B1125="","",IF(N(K1125)&gt;0,K1125,IF(N(J1125)&gt;0,J1125,N(Q1125))))</f>
        <v/>
      </c>
      <c r="S1125" s="55">
        <f>IF(L1125="","",ROUND(L1125*(1+N(M1125)),2))</f>
        <v/>
      </c>
      <c r="T1125" s="55">
        <f>IF(B1125="","",SUMIFS('REVENUE'!$C$5:$C$1504,'REVENUE'!$B$5:$B$1504,A1125))</f>
        <v/>
      </c>
      <c r="U1125" s="55">
        <f>IF(B1125="","",IF(O1125="Completed",MAX(0,N(S1125)-T1125),""))</f>
        <v/>
      </c>
      <c r="V1125" s="49">
        <f>IF(B1125="","",IF(O1125&lt;&gt;"Completed",IF(T1125&gt;0,"Deposit","—"),IF(U1125&lt;=0.005,"Paid",IF(T1125&gt;0,"Partial","Unpaid"))))</f>
        <v/>
      </c>
      <c r="W1125" s="55">
        <f>IF(B1125="","",IFERROR(1/(1/INDEX('STAFF &amp; TASKS'!$C$5:$C$24,MATCH(H1125,'STAFF &amp; TASKS'!$A$5:$A$24,0))),PayRate))</f>
        <v/>
      </c>
      <c r="X1125" s="55">
        <f>IF(B1125="","",IF(OR(O1125="Cancelled",O1125="No-Show"),"",ROUND(R1125*W1125*(1+Burden),2)))</f>
        <v/>
      </c>
      <c r="Y1125" s="55">
        <f>IF(B1125="","",IF(OR(O1125="Cancelled",O1125="No-Show"),"",IF(N1125&lt;&gt;"",N1125,ROUND(R1125*SupHr*IFERROR(INDEX('PRICING'!$G$7:$G$16,MATCH(F1125,'PRICING'!$A$7:$A$16,0)),1),2))))</f>
        <v/>
      </c>
      <c r="Z1125" s="98">
        <f>IF(B1125="","",SUMIFS('MILEAGE'!$J$5:$J$1504,'MILEAGE'!$B$5:$B$1504,A1125))</f>
        <v/>
      </c>
      <c r="AA1125" s="55">
        <f>IF(B1125="","",ROUND(Z1125*MileRate,2))</f>
        <v/>
      </c>
      <c r="AB1125" s="55">
        <f>IF(B1125="","",SUMIFS('REVENUE'!$J$5:$J$1504,'REVENUE'!$B$5:$B$1504,A1125))</f>
        <v/>
      </c>
      <c r="AC1125" s="55">
        <f>IF(L1125="","",IF(OR(O1125="Cancelled",O1125="No-Show"),"",L1125-N(X1125)-N(Y1125)-AA1125-AB1125))</f>
        <v/>
      </c>
      <c r="AD1125" s="99">
        <f>IF(OR(AC1125="",N(L1125)=0),"",AC1125/L1125)</f>
        <v/>
      </c>
      <c r="AE1125" s="55">
        <f>IF(OR(AC1125="",N(R1125)=0),"",L1125/R1125)</f>
        <v/>
      </c>
      <c r="AF1125" s="100">
        <f>IF(OR(N(K1125)=0,N(J1125)+N(Q1125)=0),"",K1125-IF(N(J1125)&gt;0,J1125,Q1125))</f>
        <v/>
      </c>
      <c r="AG1125" s="99">
        <f>IF(B1125="","",IFERROR(AVERAGEIFS('QUALITY CONTROL'!$M$5:$M$304,'QUALITY CONTROL'!$B$5:$B$304,A1125),""))</f>
        <v/>
      </c>
      <c r="AH1125" s="51">
        <f>IF(B1125="","",DATE(YEAR(B1125),MONTH(B1125),1))</f>
        <v/>
      </c>
      <c r="AI1125" s="49">
        <f>IF(D1125="","",IFERROR(INDEX('CUSTOMERS'!$E$5:$E$404,MATCH(D1125,'CUSTOMERS'!$B$5:$B$404,0)),""))</f>
        <v/>
      </c>
      <c r="AJ1125" s="49">
        <f>IF(B1125="","",N(C1125))</f>
        <v/>
      </c>
      <c r="AK1125" s="49">
        <f>IF(OR(B1125="",O1125="Cancelled",O1125="Rescheduled"),"",B1125&amp;"|"&amp;(COUNTIFS('JOBS'!$B$5:$B$1504,B1125,'JOBS'!$AJ$5:$AJ$1504,"&lt;"&amp;AJ1125,'JOBS'!$O$5:$O$1504,"&lt;&gt;Cancelled",'JOBS'!$O$5:$O$1504,"&lt;&gt;Rescheduled")+COUNTIFS($B$5:B1125,B1125,$AJ$5:AJ1125,AJ1125,$O$5:O1125,"&lt;&gt;Cancelled",$O$5:O1125,"&lt;&gt;Rescheduled")))</f>
        <v/>
      </c>
      <c r="AL1125" s="49">
        <f>IF(N(U1125)&lt;=0.005,"",COUNTIFS('JOBS'!$U$5:$U$1504,"&gt;0.005",'JOBS'!$B$5:$B$1504,"&lt;"&amp;B1125)+COUNTIFS($U$5:U1125,"&gt;0.005",$B$5:B1125,B1125))</f>
        <v/>
      </c>
    </row>
    <row r="1126">
      <c r="A1126" s="46" t="inlineStr">
        <is>
          <t>J-1122</t>
        </is>
      </c>
      <c r="B1126" s="47" t="n"/>
      <c r="C1126" s="94" t="n"/>
      <c r="D1126" s="38" t="n"/>
      <c r="E1126" s="38" t="n"/>
      <c r="F1126" s="38" t="n"/>
      <c r="G1126" s="38" t="n"/>
      <c r="H1126" s="38" t="n"/>
      <c r="I1126" s="57" t="n"/>
      <c r="J1126" s="95" t="n"/>
      <c r="K1126" s="95" t="n"/>
      <c r="L1126" s="48" t="n"/>
      <c r="M1126" s="96" t="n"/>
      <c r="N1126" s="48" t="n"/>
      <c r="O1126" s="38" t="n"/>
      <c r="P1126" s="38" t="n"/>
      <c r="Q1126" s="97">
        <f>IF(OR(F1126="",E1126=""),"",IFERROR(IF(INDEX('PROPERTIES'!$F$5:$F$404,MATCH(E1126,'PROPERTIES'!$B$5:$B$404,0))=0,"",ROUND((INDEX('PROPERTIES'!$F$5:$F$404,MATCH(E1126,'PROPERTIES'!$B$5:$B$404,0))/INDEX('PRICING'!$C$7:$C$16,MATCH(F1126,'PRICING'!$A$7:$A$16,0))+INDEX('PROPERTIES'!$G$5:$G$404,MATCH(E1126,'PROPERTIES'!$B$5:$B$404,0))*INDEX('PRICING'!$D$7:$D$16,MATCH(F1126,'PRICING'!$A$7:$A$16,0))/60+INDEX('PROPERTIES'!$H$5:$H$404,MATCH(E1126,'PROPERTIES'!$B$5:$B$404,0))*INDEX('PRICING'!$E$7:$E$16,MATCH(F1126,'PRICING'!$A$7:$A$16,0))/60+INDEX('PRICING'!$F$7:$F$16,MATCH(F1126,'PRICING'!$A$7:$A$16,0))/60),2)),""))</f>
        <v/>
      </c>
      <c r="R1126" s="97">
        <f>IF(B1126="","",IF(N(K1126)&gt;0,K1126,IF(N(J1126)&gt;0,J1126,N(Q1126))))</f>
        <v/>
      </c>
      <c r="S1126" s="55">
        <f>IF(L1126="","",ROUND(L1126*(1+N(M1126)),2))</f>
        <v/>
      </c>
      <c r="T1126" s="55">
        <f>IF(B1126="","",SUMIFS('REVENUE'!$C$5:$C$1504,'REVENUE'!$B$5:$B$1504,A1126))</f>
        <v/>
      </c>
      <c r="U1126" s="55">
        <f>IF(B1126="","",IF(O1126="Completed",MAX(0,N(S1126)-T1126),""))</f>
        <v/>
      </c>
      <c r="V1126" s="49">
        <f>IF(B1126="","",IF(O1126&lt;&gt;"Completed",IF(T1126&gt;0,"Deposit","—"),IF(U1126&lt;=0.005,"Paid",IF(T1126&gt;0,"Partial","Unpaid"))))</f>
        <v/>
      </c>
      <c r="W1126" s="55">
        <f>IF(B1126="","",IFERROR(1/(1/INDEX('STAFF &amp; TASKS'!$C$5:$C$24,MATCH(H1126,'STAFF &amp; TASKS'!$A$5:$A$24,0))),PayRate))</f>
        <v/>
      </c>
      <c r="X1126" s="55">
        <f>IF(B1126="","",IF(OR(O1126="Cancelled",O1126="No-Show"),"",ROUND(R1126*W1126*(1+Burden),2)))</f>
        <v/>
      </c>
      <c r="Y1126" s="55">
        <f>IF(B1126="","",IF(OR(O1126="Cancelled",O1126="No-Show"),"",IF(N1126&lt;&gt;"",N1126,ROUND(R1126*SupHr*IFERROR(INDEX('PRICING'!$G$7:$G$16,MATCH(F1126,'PRICING'!$A$7:$A$16,0)),1),2))))</f>
        <v/>
      </c>
      <c r="Z1126" s="98">
        <f>IF(B1126="","",SUMIFS('MILEAGE'!$J$5:$J$1504,'MILEAGE'!$B$5:$B$1504,A1126))</f>
        <v/>
      </c>
      <c r="AA1126" s="55">
        <f>IF(B1126="","",ROUND(Z1126*MileRate,2))</f>
        <v/>
      </c>
      <c r="AB1126" s="55">
        <f>IF(B1126="","",SUMIFS('REVENUE'!$J$5:$J$1504,'REVENUE'!$B$5:$B$1504,A1126))</f>
        <v/>
      </c>
      <c r="AC1126" s="55">
        <f>IF(L1126="","",IF(OR(O1126="Cancelled",O1126="No-Show"),"",L1126-N(X1126)-N(Y1126)-AA1126-AB1126))</f>
        <v/>
      </c>
      <c r="AD1126" s="99">
        <f>IF(OR(AC1126="",N(L1126)=0),"",AC1126/L1126)</f>
        <v/>
      </c>
      <c r="AE1126" s="55">
        <f>IF(OR(AC1126="",N(R1126)=0),"",L1126/R1126)</f>
        <v/>
      </c>
      <c r="AF1126" s="100">
        <f>IF(OR(N(K1126)=0,N(J1126)+N(Q1126)=0),"",K1126-IF(N(J1126)&gt;0,J1126,Q1126))</f>
        <v/>
      </c>
      <c r="AG1126" s="99">
        <f>IF(B1126="","",IFERROR(AVERAGEIFS('QUALITY CONTROL'!$M$5:$M$304,'QUALITY CONTROL'!$B$5:$B$304,A1126),""))</f>
        <v/>
      </c>
      <c r="AH1126" s="51">
        <f>IF(B1126="","",DATE(YEAR(B1126),MONTH(B1126),1))</f>
        <v/>
      </c>
      <c r="AI1126" s="49">
        <f>IF(D1126="","",IFERROR(INDEX('CUSTOMERS'!$E$5:$E$404,MATCH(D1126,'CUSTOMERS'!$B$5:$B$404,0)),""))</f>
        <v/>
      </c>
      <c r="AJ1126" s="49">
        <f>IF(B1126="","",N(C1126))</f>
        <v/>
      </c>
      <c r="AK1126" s="49">
        <f>IF(OR(B1126="",O1126="Cancelled",O1126="Rescheduled"),"",B1126&amp;"|"&amp;(COUNTIFS('JOBS'!$B$5:$B$1504,B1126,'JOBS'!$AJ$5:$AJ$1504,"&lt;"&amp;AJ1126,'JOBS'!$O$5:$O$1504,"&lt;&gt;Cancelled",'JOBS'!$O$5:$O$1504,"&lt;&gt;Rescheduled")+COUNTIFS($B$5:B1126,B1126,$AJ$5:AJ1126,AJ1126,$O$5:O1126,"&lt;&gt;Cancelled",$O$5:O1126,"&lt;&gt;Rescheduled")))</f>
        <v/>
      </c>
      <c r="AL1126" s="49">
        <f>IF(N(U1126)&lt;=0.005,"",COUNTIFS('JOBS'!$U$5:$U$1504,"&gt;0.005",'JOBS'!$B$5:$B$1504,"&lt;"&amp;B1126)+COUNTIFS($U$5:U1126,"&gt;0.005",$B$5:B1126,B1126))</f>
        <v/>
      </c>
    </row>
    <row r="1127">
      <c r="A1127" s="46" t="inlineStr">
        <is>
          <t>J-1123</t>
        </is>
      </c>
      <c r="B1127" s="47" t="n"/>
      <c r="C1127" s="94" t="n"/>
      <c r="D1127" s="38" t="n"/>
      <c r="E1127" s="38" t="n"/>
      <c r="F1127" s="38" t="n"/>
      <c r="G1127" s="38" t="n"/>
      <c r="H1127" s="38" t="n"/>
      <c r="I1127" s="57" t="n"/>
      <c r="J1127" s="95" t="n"/>
      <c r="K1127" s="95" t="n"/>
      <c r="L1127" s="48" t="n"/>
      <c r="M1127" s="96" t="n"/>
      <c r="N1127" s="48" t="n"/>
      <c r="O1127" s="38" t="n"/>
      <c r="P1127" s="38" t="n"/>
      <c r="Q1127" s="97">
        <f>IF(OR(F1127="",E1127=""),"",IFERROR(IF(INDEX('PROPERTIES'!$F$5:$F$404,MATCH(E1127,'PROPERTIES'!$B$5:$B$404,0))=0,"",ROUND((INDEX('PROPERTIES'!$F$5:$F$404,MATCH(E1127,'PROPERTIES'!$B$5:$B$404,0))/INDEX('PRICING'!$C$7:$C$16,MATCH(F1127,'PRICING'!$A$7:$A$16,0))+INDEX('PROPERTIES'!$G$5:$G$404,MATCH(E1127,'PROPERTIES'!$B$5:$B$404,0))*INDEX('PRICING'!$D$7:$D$16,MATCH(F1127,'PRICING'!$A$7:$A$16,0))/60+INDEX('PROPERTIES'!$H$5:$H$404,MATCH(E1127,'PROPERTIES'!$B$5:$B$404,0))*INDEX('PRICING'!$E$7:$E$16,MATCH(F1127,'PRICING'!$A$7:$A$16,0))/60+INDEX('PRICING'!$F$7:$F$16,MATCH(F1127,'PRICING'!$A$7:$A$16,0))/60),2)),""))</f>
        <v/>
      </c>
      <c r="R1127" s="97">
        <f>IF(B1127="","",IF(N(K1127)&gt;0,K1127,IF(N(J1127)&gt;0,J1127,N(Q1127))))</f>
        <v/>
      </c>
      <c r="S1127" s="55">
        <f>IF(L1127="","",ROUND(L1127*(1+N(M1127)),2))</f>
        <v/>
      </c>
      <c r="T1127" s="55">
        <f>IF(B1127="","",SUMIFS('REVENUE'!$C$5:$C$1504,'REVENUE'!$B$5:$B$1504,A1127))</f>
        <v/>
      </c>
      <c r="U1127" s="55">
        <f>IF(B1127="","",IF(O1127="Completed",MAX(0,N(S1127)-T1127),""))</f>
        <v/>
      </c>
      <c r="V1127" s="49">
        <f>IF(B1127="","",IF(O1127&lt;&gt;"Completed",IF(T1127&gt;0,"Deposit","—"),IF(U1127&lt;=0.005,"Paid",IF(T1127&gt;0,"Partial","Unpaid"))))</f>
        <v/>
      </c>
      <c r="W1127" s="55">
        <f>IF(B1127="","",IFERROR(1/(1/INDEX('STAFF &amp; TASKS'!$C$5:$C$24,MATCH(H1127,'STAFF &amp; TASKS'!$A$5:$A$24,0))),PayRate))</f>
        <v/>
      </c>
      <c r="X1127" s="55">
        <f>IF(B1127="","",IF(OR(O1127="Cancelled",O1127="No-Show"),"",ROUND(R1127*W1127*(1+Burden),2)))</f>
        <v/>
      </c>
      <c r="Y1127" s="55">
        <f>IF(B1127="","",IF(OR(O1127="Cancelled",O1127="No-Show"),"",IF(N1127&lt;&gt;"",N1127,ROUND(R1127*SupHr*IFERROR(INDEX('PRICING'!$G$7:$G$16,MATCH(F1127,'PRICING'!$A$7:$A$16,0)),1),2))))</f>
        <v/>
      </c>
      <c r="Z1127" s="98">
        <f>IF(B1127="","",SUMIFS('MILEAGE'!$J$5:$J$1504,'MILEAGE'!$B$5:$B$1504,A1127))</f>
        <v/>
      </c>
      <c r="AA1127" s="55">
        <f>IF(B1127="","",ROUND(Z1127*MileRate,2))</f>
        <v/>
      </c>
      <c r="AB1127" s="55">
        <f>IF(B1127="","",SUMIFS('REVENUE'!$J$5:$J$1504,'REVENUE'!$B$5:$B$1504,A1127))</f>
        <v/>
      </c>
      <c r="AC1127" s="55">
        <f>IF(L1127="","",IF(OR(O1127="Cancelled",O1127="No-Show"),"",L1127-N(X1127)-N(Y1127)-AA1127-AB1127))</f>
        <v/>
      </c>
      <c r="AD1127" s="99">
        <f>IF(OR(AC1127="",N(L1127)=0),"",AC1127/L1127)</f>
        <v/>
      </c>
      <c r="AE1127" s="55">
        <f>IF(OR(AC1127="",N(R1127)=0),"",L1127/R1127)</f>
        <v/>
      </c>
      <c r="AF1127" s="100">
        <f>IF(OR(N(K1127)=0,N(J1127)+N(Q1127)=0),"",K1127-IF(N(J1127)&gt;0,J1127,Q1127))</f>
        <v/>
      </c>
      <c r="AG1127" s="99">
        <f>IF(B1127="","",IFERROR(AVERAGEIFS('QUALITY CONTROL'!$M$5:$M$304,'QUALITY CONTROL'!$B$5:$B$304,A1127),""))</f>
        <v/>
      </c>
      <c r="AH1127" s="51">
        <f>IF(B1127="","",DATE(YEAR(B1127),MONTH(B1127),1))</f>
        <v/>
      </c>
      <c r="AI1127" s="49">
        <f>IF(D1127="","",IFERROR(INDEX('CUSTOMERS'!$E$5:$E$404,MATCH(D1127,'CUSTOMERS'!$B$5:$B$404,0)),""))</f>
        <v/>
      </c>
      <c r="AJ1127" s="49">
        <f>IF(B1127="","",N(C1127))</f>
        <v/>
      </c>
      <c r="AK1127" s="49">
        <f>IF(OR(B1127="",O1127="Cancelled",O1127="Rescheduled"),"",B1127&amp;"|"&amp;(COUNTIFS('JOBS'!$B$5:$B$1504,B1127,'JOBS'!$AJ$5:$AJ$1504,"&lt;"&amp;AJ1127,'JOBS'!$O$5:$O$1504,"&lt;&gt;Cancelled",'JOBS'!$O$5:$O$1504,"&lt;&gt;Rescheduled")+COUNTIFS($B$5:B1127,B1127,$AJ$5:AJ1127,AJ1127,$O$5:O1127,"&lt;&gt;Cancelled",$O$5:O1127,"&lt;&gt;Rescheduled")))</f>
        <v/>
      </c>
      <c r="AL1127" s="49">
        <f>IF(N(U1127)&lt;=0.005,"",COUNTIFS('JOBS'!$U$5:$U$1504,"&gt;0.005",'JOBS'!$B$5:$B$1504,"&lt;"&amp;B1127)+COUNTIFS($U$5:U1127,"&gt;0.005",$B$5:B1127,B1127))</f>
        <v/>
      </c>
    </row>
    <row r="1128">
      <c r="A1128" s="46" t="inlineStr">
        <is>
          <t>J-1124</t>
        </is>
      </c>
      <c r="B1128" s="47" t="n"/>
      <c r="C1128" s="94" t="n"/>
      <c r="D1128" s="38" t="n"/>
      <c r="E1128" s="38" t="n"/>
      <c r="F1128" s="38" t="n"/>
      <c r="G1128" s="38" t="n"/>
      <c r="H1128" s="38" t="n"/>
      <c r="I1128" s="57" t="n"/>
      <c r="J1128" s="95" t="n"/>
      <c r="K1128" s="95" t="n"/>
      <c r="L1128" s="48" t="n"/>
      <c r="M1128" s="96" t="n"/>
      <c r="N1128" s="48" t="n"/>
      <c r="O1128" s="38" t="n"/>
      <c r="P1128" s="38" t="n"/>
      <c r="Q1128" s="97">
        <f>IF(OR(F1128="",E1128=""),"",IFERROR(IF(INDEX('PROPERTIES'!$F$5:$F$404,MATCH(E1128,'PROPERTIES'!$B$5:$B$404,0))=0,"",ROUND((INDEX('PROPERTIES'!$F$5:$F$404,MATCH(E1128,'PROPERTIES'!$B$5:$B$404,0))/INDEX('PRICING'!$C$7:$C$16,MATCH(F1128,'PRICING'!$A$7:$A$16,0))+INDEX('PROPERTIES'!$G$5:$G$404,MATCH(E1128,'PROPERTIES'!$B$5:$B$404,0))*INDEX('PRICING'!$D$7:$D$16,MATCH(F1128,'PRICING'!$A$7:$A$16,0))/60+INDEX('PROPERTIES'!$H$5:$H$404,MATCH(E1128,'PROPERTIES'!$B$5:$B$404,0))*INDEX('PRICING'!$E$7:$E$16,MATCH(F1128,'PRICING'!$A$7:$A$16,0))/60+INDEX('PRICING'!$F$7:$F$16,MATCH(F1128,'PRICING'!$A$7:$A$16,0))/60),2)),""))</f>
        <v/>
      </c>
      <c r="R1128" s="97">
        <f>IF(B1128="","",IF(N(K1128)&gt;0,K1128,IF(N(J1128)&gt;0,J1128,N(Q1128))))</f>
        <v/>
      </c>
      <c r="S1128" s="55">
        <f>IF(L1128="","",ROUND(L1128*(1+N(M1128)),2))</f>
        <v/>
      </c>
      <c r="T1128" s="55">
        <f>IF(B1128="","",SUMIFS('REVENUE'!$C$5:$C$1504,'REVENUE'!$B$5:$B$1504,A1128))</f>
        <v/>
      </c>
      <c r="U1128" s="55">
        <f>IF(B1128="","",IF(O1128="Completed",MAX(0,N(S1128)-T1128),""))</f>
        <v/>
      </c>
      <c r="V1128" s="49">
        <f>IF(B1128="","",IF(O1128&lt;&gt;"Completed",IF(T1128&gt;0,"Deposit","—"),IF(U1128&lt;=0.005,"Paid",IF(T1128&gt;0,"Partial","Unpaid"))))</f>
        <v/>
      </c>
      <c r="W1128" s="55">
        <f>IF(B1128="","",IFERROR(1/(1/INDEX('STAFF &amp; TASKS'!$C$5:$C$24,MATCH(H1128,'STAFF &amp; TASKS'!$A$5:$A$24,0))),PayRate))</f>
        <v/>
      </c>
      <c r="X1128" s="55">
        <f>IF(B1128="","",IF(OR(O1128="Cancelled",O1128="No-Show"),"",ROUND(R1128*W1128*(1+Burden),2)))</f>
        <v/>
      </c>
      <c r="Y1128" s="55">
        <f>IF(B1128="","",IF(OR(O1128="Cancelled",O1128="No-Show"),"",IF(N1128&lt;&gt;"",N1128,ROUND(R1128*SupHr*IFERROR(INDEX('PRICING'!$G$7:$G$16,MATCH(F1128,'PRICING'!$A$7:$A$16,0)),1),2))))</f>
        <v/>
      </c>
      <c r="Z1128" s="98">
        <f>IF(B1128="","",SUMIFS('MILEAGE'!$J$5:$J$1504,'MILEAGE'!$B$5:$B$1504,A1128))</f>
        <v/>
      </c>
      <c r="AA1128" s="55">
        <f>IF(B1128="","",ROUND(Z1128*MileRate,2))</f>
        <v/>
      </c>
      <c r="AB1128" s="55">
        <f>IF(B1128="","",SUMIFS('REVENUE'!$J$5:$J$1504,'REVENUE'!$B$5:$B$1504,A1128))</f>
        <v/>
      </c>
      <c r="AC1128" s="55">
        <f>IF(L1128="","",IF(OR(O1128="Cancelled",O1128="No-Show"),"",L1128-N(X1128)-N(Y1128)-AA1128-AB1128))</f>
        <v/>
      </c>
      <c r="AD1128" s="99">
        <f>IF(OR(AC1128="",N(L1128)=0),"",AC1128/L1128)</f>
        <v/>
      </c>
      <c r="AE1128" s="55">
        <f>IF(OR(AC1128="",N(R1128)=0),"",L1128/R1128)</f>
        <v/>
      </c>
      <c r="AF1128" s="100">
        <f>IF(OR(N(K1128)=0,N(J1128)+N(Q1128)=0),"",K1128-IF(N(J1128)&gt;0,J1128,Q1128))</f>
        <v/>
      </c>
      <c r="AG1128" s="99">
        <f>IF(B1128="","",IFERROR(AVERAGEIFS('QUALITY CONTROL'!$M$5:$M$304,'QUALITY CONTROL'!$B$5:$B$304,A1128),""))</f>
        <v/>
      </c>
      <c r="AH1128" s="51">
        <f>IF(B1128="","",DATE(YEAR(B1128),MONTH(B1128),1))</f>
        <v/>
      </c>
      <c r="AI1128" s="49">
        <f>IF(D1128="","",IFERROR(INDEX('CUSTOMERS'!$E$5:$E$404,MATCH(D1128,'CUSTOMERS'!$B$5:$B$404,0)),""))</f>
        <v/>
      </c>
      <c r="AJ1128" s="49">
        <f>IF(B1128="","",N(C1128))</f>
        <v/>
      </c>
      <c r="AK1128" s="49">
        <f>IF(OR(B1128="",O1128="Cancelled",O1128="Rescheduled"),"",B1128&amp;"|"&amp;(COUNTIFS('JOBS'!$B$5:$B$1504,B1128,'JOBS'!$AJ$5:$AJ$1504,"&lt;"&amp;AJ1128,'JOBS'!$O$5:$O$1504,"&lt;&gt;Cancelled",'JOBS'!$O$5:$O$1504,"&lt;&gt;Rescheduled")+COUNTIFS($B$5:B1128,B1128,$AJ$5:AJ1128,AJ1128,$O$5:O1128,"&lt;&gt;Cancelled",$O$5:O1128,"&lt;&gt;Rescheduled")))</f>
        <v/>
      </c>
      <c r="AL1128" s="49">
        <f>IF(N(U1128)&lt;=0.005,"",COUNTIFS('JOBS'!$U$5:$U$1504,"&gt;0.005",'JOBS'!$B$5:$B$1504,"&lt;"&amp;B1128)+COUNTIFS($U$5:U1128,"&gt;0.005",$B$5:B1128,B1128))</f>
        <v/>
      </c>
    </row>
    <row r="1129">
      <c r="A1129" s="46" t="inlineStr">
        <is>
          <t>J-1125</t>
        </is>
      </c>
      <c r="B1129" s="47" t="n"/>
      <c r="C1129" s="94" t="n"/>
      <c r="D1129" s="38" t="n"/>
      <c r="E1129" s="38" t="n"/>
      <c r="F1129" s="38" t="n"/>
      <c r="G1129" s="38" t="n"/>
      <c r="H1129" s="38" t="n"/>
      <c r="I1129" s="57" t="n"/>
      <c r="J1129" s="95" t="n"/>
      <c r="K1129" s="95" t="n"/>
      <c r="L1129" s="48" t="n"/>
      <c r="M1129" s="96" t="n"/>
      <c r="N1129" s="48" t="n"/>
      <c r="O1129" s="38" t="n"/>
      <c r="P1129" s="38" t="n"/>
      <c r="Q1129" s="97">
        <f>IF(OR(F1129="",E1129=""),"",IFERROR(IF(INDEX('PROPERTIES'!$F$5:$F$404,MATCH(E1129,'PROPERTIES'!$B$5:$B$404,0))=0,"",ROUND((INDEX('PROPERTIES'!$F$5:$F$404,MATCH(E1129,'PROPERTIES'!$B$5:$B$404,0))/INDEX('PRICING'!$C$7:$C$16,MATCH(F1129,'PRICING'!$A$7:$A$16,0))+INDEX('PROPERTIES'!$G$5:$G$404,MATCH(E1129,'PROPERTIES'!$B$5:$B$404,0))*INDEX('PRICING'!$D$7:$D$16,MATCH(F1129,'PRICING'!$A$7:$A$16,0))/60+INDEX('PROPERTIES'!$H$5:$H$404,MATCH(E1129,'PROPERTIES'!$B$5:$B$404,0))*INDEX('PRICING'!$E$7:$E$16,MATCH(F1129,'PRICING'!$A$7:$A$16,0))/60+INDEX('PRICING'!$F$7:$F$16,MATCH(F1129,'PRICING'!$A$7:$A$16,0))/60),2)),""))</f>
        <v/>
      </c>
      <c r="R1129" s="97">
        <f>IF(B1129="","",IF(N(K1129)&gt;0,K1129,IF(N(J1129)&gt;0,J1129,N(Q1129))))</f>
        <v/>
      </c>
      <c r="S1129" s="55">
        <f>IF(L1129="","",ROUND(L1129*(1+N(M1129)),2))</f>
        <v/>
      </c>
      <c r="T1129" s="55">
        <f>IF(B1129="","",SUMIFS('REVENUE'!$C$5:$C$1504,'REVENUE'!$B$5:$B$1504,A1129))</f>
        <v/>
      </c>
      <c r="U1129" s="55">
        <f>IF(B1129="","",IF(O1129="Completed",MAX(0,N(S1129)-T1129),""))</f>
        <v/>
      </c>
      <c r="V1129" s="49">
        <f>IF(B1129="","",IF(O1129&lt;&gt;"Completed",IF(T1129&gt;0,"Deposit","—"),IF(U1129&lt;=0.005,"Paid",IF(T1129&gt;0,"Partial","Unpaid"))))</f>
        <v/>
      </c>
      <c r="W1129" s="55">
        <f>IF(B1129="","",IFERROR(1/(1/INDEX('STAFF &amp; TASKS'!$C$5:$C$24,MATCH(H1129,'STAFF &amp; TASKS'!$A$5:$A$24,0))),PayRate))</f>
        <v/>
      </c>
      <c r="X1129" s="55">
        <f>IF(B1129="","",IF(OR(O1129="Cancelled",O1129="No-Show"),"",ROUND(R1129*W1129*(1+Burden),2)))</f>
        <v/>
      </c>
      <c r="Y1129" s="55">
        <f>IF(B1129="","",IF(OR(O1129="Cancelled",O1129="No-Show"),"",IF(N1129&lt;&gt;"",N1129,ROUND(R1129*SupHr*IFERROR(INDEX('PRICING'!$G$7:$G$16,MATCH(F1129,'PRICING'!$A$7:$A$16,0)),1),2))))</f>
        <v/>
      </c>
      <c r="Z1129" s="98">
        <f>IF(B1129="","",SUMIFS('MILEAGE'!$J$5:$J$1504,'MILEAGE'!$B$5:$B$1504,A1129))</f>
        <v/>
      </c>
      <c r="AA1129" s="55">
        <f>IF(B1129="","",ROUND(Z1129*MileRate,2))</f>
        <v/>
      </c>
      <c r="AB1129" s="55">
        <f>IF(B1129="","",SUMIFS('REVENUE'!$J$5:$J$1504,'REVENUE'!$B$5:$B$1504,A1129))</f>
        <v/>
      </c>
      <c r="AC1129" s="55">
        <f>IF(L1129="","",IF(OR(O1129="Cancelled",O1129="No-Show"),"",L1129-N(X1129)-N(Y1129)-AA1129-AB1129))</f>
        <v/>
      </c>
      <c r="AD1129" s="99">
        <f>IF(OR(AC1129="",N(L1129)=0),"",AC1129/L1129)</f>
        <v/>
      </c>
      <c r="AE1129" s="55">
        <f>IF(OR(AC1129="",N(R1129)=0),"",L1129/R1129)</f>
        <v/>
      </c>
      <c r="AF1129" s="100">
        <f>IF(OR(N(K1129)=0,N(J1129)+N(Q1129)=0),"",K1129-IF(N(J1129)&gt;0,J1129,Q1129))</f>
        <v/>
      </c>
      <c r="AG1129" s="99">
        <f>IF(B1129="","",IFERROR(AVERAGEIFS('QUALITY CONTROL'!$M$5:$M$304,'QUALITY CONTROL'!$B$5:$B$304,A1129),""))</f>
        <v/>
      </c>
      <c r="AH1129" s="51">
        <f>IF(B1129="","",DATE(YEAR(B1129),MONTH(B1129),1))</f>
        <v/>
      </c>
      <c r="AI1129" s="49">
        <f>IF(D1129="","",IFERROR(INDEX('CUSTOMERS'!$E$5:$E$404,MATCH(D1129,'CUSTOMERS'!$B$5:$B$404,0)),""))</f>
        <v/>
      </c>
      <c r="AJ1129" s="49">
        <f>IF(B1129="","",N(C1129))</f>
        <v/>
      </c>
      <c r="AK1129" s="49">
        <f>IF(OR(B1129="",O1129="Cancelled",O1129="Rescheduled"),"",B1129&amp;"|"&amp;(COUNTIFS('JOBS'!$B$5:$B$1504,B1129,'JOBS'!$AJ$5:$AJ$1504,"&lt;"&amp;AJ1129,'JOBS'!$O$5:$O$1504,"&lt;&gt;Cancelled",'JOBS'!$O$5:$O$1504,"&lt;&gt;Rescheduled")+COUNTIFS($B$5:B1129,B1129,$AJ$5:AJ1129,AJ1129,$O$5:O1129,"&lt;&gt;Cancelled",$O$5:O1129,"&lt;&gt;Rescheduled")))</f>
        <v/>
      </c>
      <c r="AL1129" s="49">
        <f>IF(N(U1129)&lt;=0.005,"",COUNTIFS('JOBS'!$U$5:$U$1504,"&gt;0.005",'JOBS'!$B$5:$B$1504,"&lt;"&amp;B1129)+COUNTIFS($U$5:U1129,"&gt;0.005",$B$5:B1129,B1129))</f>
        <v/>
      </c>
    </row>
    <row r="1130">
      <c r="A1130" s="46" t="inlineStr">
        <is>
          <t>J-1126</t>
        </is>
      </c>
      <c r="B1130" s="47" t="n"/>
      <c r="C1130" s="94" t="n"/>
      <c r="D1130" s="38" t="n"/>
      <c r="E1130" s="38" t="n"/>
      <c r="F1130" s="38" t="n"/>
      <c r="G1130" s="38" t="n"/>
      <c r="H1130" s="38" t="n"/>
      <c r="I1130" s="57" t="n"/>
      <c r="J1130" s="95" t="n"/>
      <c r="K1130" s="95" t="n"/>
      <c r="L1130" s="48" t="n"/>
      <c r="M1130" s="96" t="n"/>
      <c r="N1130" s="48" t="n"/>
      <c r="O1130" s="38" t="n"/>
      <c r="P1130" s="38" t="n"/>
      <c r="Q1130" s="97">
        <f>IF(OR(F1130="",E1130=""),"",IFERROR(IF(INDEX('PROPERTIES'!$F$5:$F$404,MATCH(E1130,'PROPERTIES'!$B$5:$B$404,0))=0,"",ROUND((INDEX('PROPERTIES'!$F$5:$F$404,MATCH(E1130,'PROPERTIES'!$B$5:$B$404,0))/INDEX('PRICING'!$C$7:$C$16,MATCH(F1130,'PRICING'!$A$7:$A$16,0))+INDEX('PROPERTIES'!$G$5:$G$404,MATCH(E1130,'PROPERTIES'!$B$5:$B$404,0))*INDEX('PRICING'!$D$7:$D$16,MATCH(F1130,'PRICING'!$A$7:$A$16,0))/60+INDEX('PROPERTIES'!$H$5:$H$404,MATCH(E1130,'PROPERTIES'!$B$5:$B$404,0))*INDEX('PRICING'!$E$7:$E$16,MATCH(F1130,'PRICING'!$A$7:$A$16,0))/60+INDEX('PRICING'!$F$7:$F$16,MATCH(F1130,'PRICING'!$A$7:$A$16,0))/60),2)),""))</f>
        <v/>
      </c>
      <c r="R1130" s="97">
        <f>IF(B1130="","",IF(N(K1130)&gt;0,K1130,IF(N(J1130)&gt;0,J1130,N(Q1130))))</f>
        <v/>
      </c>
      <c r="S1130" s="55">
        <f>IF(L1130="","",ROUND(L1130*(1+N(M1130)),2))</f>
        <v/>
      </c>
      <c r="T1130" s="55">
        <f>IF(B1130="","",SUMIFS('REVENUE'!$C$5:$C$1504,'REVENUE'!$B$5:$B$1504,A1130))</f>
        <v/>
      </c>
      <c r="U1130" s="55">
        <f>IF(B1130="","",IF(O1130="Completed",MAX(0,N(S1130)-T1130),""))</f>
        <v/>
      </c>
      <c r="V1130" s="49">
        <f>IF(B1130="","",IF(O1130&lt;&gt;"Completed",IF(T1130&gt;0,"Deposit","—"),IF(U1130&lt;=0.005,"Paid",IF(T1130&gt;0,"Partial","Unpaid"))))</f>
        <v/>
      </c>
      <c r="W1130" s="55">
        <f>IF(B1130="","",IFERROR(1/(1/INDEX('STAFF &amp; TASKS'!$C$5:$C$24,MATCH(H1130,'STAFF &amp; TASKS'!$A$5:$A$24,0))),PayRate))</f>
        <v/>
      </c>
      <c r="X1130" s="55">
        <f>IF(B1130="","",IF(OR(O1130="Cancelled",O1130="No-Show"),"",ROUND(R1130*W1130*(1+Burden),2)))</f>
        <v/>
      </c>
      <c r="Y1130" s="55">
        <f>IF(B1130="","",IF(OR(O1130="Cancelled",O1130="No-Show"),"",IF(N1130&lt;&gt;"",N1130,ROUND(R1130*SupHr*IFERROR(INDEX('PRICING'!$G$7:$G$16,MATCH(F1130,'PRICING'!$A$7:$A$16,0)),1),2))))</f>
        <v/>
      </c>
      <c r="Z1130" s="98">
        <f>IF(B1130="","",SUMIFS('MILEAGE'!$J$5:$J$1504,'MILEAGE'!$B$5:$B$1504,A1130))</f>
        <v/>
      </c>
      <c r="AA1130" s="55">
        <f>IF(B1130="","",ROUND(Z1130*MileRate,2))</f>
        <v/>
      </c>
      <c r="AB1130" s="55">
        <f>IF(B1130="","",SUMIFS('REVENUE'!$J$5:$J$1504,'REVENUE'!$B$5:$B$1504,A1130))</f>
        <v/>
      </c>
      <c r="AC1130" s="55">
        <f>IF(L1130="","",IF(OR(O1130="Cancelled",O1130="No-Show"),"",L1130-N(X1130)-N(Y1130)-AA1130-AB1130))</f>
        <v/>
      </c>
      <c r="AD1130" s="99">
        <f>IF(OR(AC1130="",N(L1130)=0),"",AC1130/L1130)</f>
        <v/>
      </c>
      <c r="AE1130" s="55">
        <f>IF(OR(AC1130="",N(R1130)=0),"",L1130/R1130)</f>
        <v/>
      </c>
      <c r="AF1130" s="100">
        <f>IF(OR(N(K1130)=0,N(J1130)+N(Q1130)=0),"",K1130-IF(N(J1130)&gt;0,J1130,Q1130))</f>
        <v/>
      </c>
      <c r="AG1130" s="99">
        <f>IF(B1130="","",IFERROR(AVERAGEIFS('QUALITY CONTROL'!$M$5:$M$304,'QUALITY CONTROL'!$B$5:$B$304,A1130),""))</f>
        <v/>
      </c>
      <c r="AH1130" s="51">
        <f>IF(B1130="","",DATE(YEAR(B1130),MONTH(B1130),1))</f>
        <v/>
      </c>
      <c r="AI1130" s="49">
        <f>IF(D1130="","",IFERROR(INDEX('CUSTOMERS'!$E$5:$E$404,MATCH(D1130,'CUSTOMERS'!$B$5:$B$404,0)),""))</f>
        <v/>
      </c>
      <c r="AJ1130" s="49">
        <f>IF(B1130="","",N(C1130))</f>
        <v/>
      </c>
      <c r="AK1130" s="49">
        <f>IF(OR(B1130="",O1130="Cancelled",O1130="Rescheduled"),"",B1130&amp;"|"&amp;(COUNTIFS('JOBS'!$B$5:$B$1504,B1130,'JOBS'!$AJ$5:$AJ$1504,"&lt;"&amp;AJ1130,'JOBS'!$O$5:$O$1504,"&lt;&gt;Cancelled",'JOBS'!$O$5:$O$1504,"&lt;&gt;Rescheduled")+COUNTIFS($B$5:B1130,B1130,$AJ$5:AJ1130,AJ1130,$O$5:O1130,"&lt;&gt;Cancelled",$O$5:O1130,"&lt;&gt;Rescheduled")))</f>
        <v/>
      </c>
      <c r="AL1130" s="49">
        <f>IF(N(U1130)&lt;=0.005,"",COUNTIFS('JOBS'!$U$5:$U$1504,"&gt;0.005",'JOBS'!$B$5:$B$1504,"&lt;"&amp;B1130)+COUNTIFS($U$5:U1130,"&gt;0.005",$B$5:B1130,B1130))</f>
        <v/>
      </c>
    </row>
    <row r="1131">
      <c r="A1131" s="46" t="inlineStr">
        <is>
          <t>J-1127</t>
        </is>
      </c>
      <c r="B1131" s="47" t="n"/>
      <c r="C1131" s="94" t="n"/>
      <c r="D1131" s="38" t="n"/>
      <c r="E1131" s="38" t="n"/>
      <c r="F1131" s="38" t="n"/>
      <c r="G1131" s="38" t="n"/>
      <c r="H1131" s="38" t="n"/>
      <c r="I1131" s="57" t="n"/>
      <c r="J1131" s="95" t="n"/>
      <c r="K1131" s="95" t="n"/>
      <c r="L1131" s="48" t="n"/>
      <c r="M1131" s="96" t="n"/>
      <c r="N1131" s="48" t="n"/>
      <c r="O1131" s="38" t="n"/>
      <c r="P1131" s="38" t="n"/>
      <c r="Q1131" s="97">
        <f>IF(OR(F1131="",E1131=""),"",IFERROR(IF(INDEX('PROPERTIES'!$F$5:$F$404,MATCH(E1131,'PROPERTIES'!$B$5:$B$404,0))=0,"",ROUND((INDEX('PROPERTIES'!$F$5:$F$404,MATCH(E1131,'PROPERTIES'!$B$5:$B$404,0))/INDEX('PRICING'!$C$7:$C$16,MATCH(F1131,'PRICING'!$A$7:$A$16,0))+INDEX('PROPERTIES'!$G$5:$G$404,MATCH(E1131,'PROPERTIES'!$B$5:$B$404,0))*INDEX('PRICING'!$D$7:$D$16,MATCH(F1131,'PRICING'!$A$7:$A$16,0))/60+INDEX('PROPERTIES'!$H$5:$H$404,MATCH(E1131,'PROPERTIES'!$B$5:$B$404,0))*INDEX('PRICING'!$E$7:$E$16,MATCH(F1131,'PRICING'!$A$7:$A$16,0))/60+INDEX('PRICING'!$F$7:$F$16,MATCH(F1131,'PRICING'!$A$7:$A$16,0))/60),2)),""))</f>
        <v/>
      </c>
      <c r="R1131" s="97">
        <f>IF(B1131="","",IF(N(K1131)&gt;0,K1131,IF(N(J1131)&gt;0,J1131,N(Q1131))))</f>
        <v/>
      </c>
      <c r="S1131" s="55">
        <f>IF(L1131="","",ROUND(L1131*(1+N(M1131)),2))</f>
        <v/>
      </c>
      <c r="T1131" s="55">
        <f>IF(B1131="","",SUMIFS('REVENUE'!$C$5:$C$1504,'REVENUE'!$B$5:$B$1504,A1131))</f>
        <v/>
      </c>
      <c r="U1131" s="55">
        <f>IF(B1131="","",IF(O1131="Completed",MAX(0,N(S1131)-T1131),""))</f>
        <v/>
      </c>
      <c r="V1131" s="49">
        <f>IF(B1131="","",IF(O1131&lt;&gt;"Completed",IF(T1131&gt;0,"Deposit","—"),IF(U1131&lt;=0.005,"Paid",IF(T1131&gt;0,"Partial","Unpaid"))))</f>
        <v/>
      </c>
      <c r="W1131" s="55">
        <f>IF(B1131="","",IFERROR(1/(1/INDEX('STAFF &amp; TASKS'!$C$5:$C$24,MATCH(H1131,'STAFF &amp; TASKS'!$A$5:$A$24,0))),PayRate))</f>
        <v/>
      </c>
      <c r="X1131" s="55">
        <f>IF(B1131="","",IF(OR(O1131="Cancelled",O1131="No-Show"),"",ROUND(R1131*W1131*(1+Burden),2)))</f>
        <v/>
      </c>
      <c r="Y1131" s="55">
        <f>IF(B1131="","",IF(OR(O1131="Cancelled",O1131="No-Show"),"",IF(N1131&lt;&gt;"",N1131,ROUND(R1131*SupHr*IFERROR(INDEX('PRICING'!$G$7:$G$16,MATCH(F1131,'PRICING'!$A$7:$A$16,0)),1),2))))</f>
        <v/>
      </c>
      <c r="Z1131" s="98">
        <f>IF(B1131="","",SUMIFS('MILEAGE'!$J$5:$J$1504,'MILEAGE'!$B$5:$B$1504,A1131))</f>
        <v/>
      </c>
      <c r="AA1131" s="55">
        <f>IF(B1131="","",ROUND(Z1131*MileRate,2))</f>
        <v/>
      </c>
      <c r="AB1131" s="55">
        <f>IF(B1131="","",SUMIFS('REVENUE'!$J$5:$J$1504,'REVENUE'!$B$5:$B$1504,A1131))</f>
        <v/>
      </c>
      <c r="AC1131" s="55">
        <f>IF(L1131="","",IF(OR(O1131="Cancelled",O1131="No-Show"),"",L1131-N(X1131)-N(Y1131)-AA1131-AB1131))</f>
        <v/>
      </c>
      <c r="AD1131" s="99">
        <f>IF(OR(AC1131="",N(L1131)=0),"",AC1131/L1131)</f>
        <v/>
      </c>
      <c r="AE1131" s="55">
        <f>IF(OR(AC1131="",N(R1131)=0),"",L1131/R1131)</f>
        <v/>
      </c>
      <c r="AF1131" s="100">
        <f>IF(OR(N(K1131)=0,N(J1131)+N(Q1131)=0),"",K1131-IF(N(J1131)&gt;0,J1131,Q1131))</f>
        <v/>
      </c>
      <c r="AG1131" s="99">
        <f>IF(B1131="","",IFERROR(AVERAGEIFS('QUALITY CONTROL'!$M$5:$M$304,'QUALITY CONTROL'!$B$5:$B$304,A1131),""))</f>
        <v/>
      </c>
      <c r="AH1131" s="51">
        <f>IF(B1131="","",DATE(YEAR(B1131),MONTH(B1131),1))</f>
        <v/>
      </c>
      <c r="AI1131" s="49">
        <f>IF(D1131="","",IFERROR(INDEX('CUSTOMERS'!$E$5:$E$404,MATCH(D1131,'CUSTOMERS'!$B$5:$B$404,0)),""))</f>
        <v/>
      </c>
      <c r="AJ1131" s="49">
        <f>IF(B1131="","",N(C1131))</f>
        <v/>
      </c>
      <c r="AK1131" s="49">
        <f>IF(OR(B1131="",O1131="Cancelled",O1131="Rescheduled"),"",B1131&amp;"|"&amp;(COUNTIFS('JOBS'!$B$5:$B$1504,B1131,'JOBS'!$AJ$5:$AJ$1504,"&lt;"&amp;AJ1131,'JOBS'!$O$5:$O$1504,"&lt;&gt;Cancelled",'JOBS'!$O$5:$O$1504,"&lt;&gt;Rescheduled")+COUNTIFS($B$5:B1131,B1131,$AJ$5:AJ1131,AJ1131,$O$5:O1131,"&lt;&gt;Cancelled",$O$5:O1131,"&lt;&gt;Rescheduled")))</f>
        <v/>
      </c>
      <c r="AL1131" s="49">
        <f>IF(N(U1131)&lt;=0.005,"",COUNTIFS('JOBS'!$U$5:$U$1504,"&gt;0.005",'JOBS'!$B$5:$B$1504,"&lt;"&amp;B1131)+COUNTIFS($U$5:U1131,"&gt;0.005",$B$5:B1131,B1131))</f>
        <v/>
      </c>
    </row>
    <row r="1132">
      <c r="A1132" s="46" t="inlineStr">
        <is>
          <t>J-1128</t>
        </is>
      </c>
      <c r="B1132" s="47" t="n"/>
      <c r="C1132" s="94" t="n"/>
      <c r="D1132" s="38" t="n"/>
      <c r="E1132" s="38" t="n"/>
      <c r="F1132" s="38" t="n"/>
      <c r="G1132" s="38" t="n"/>
      <c r="H1132" s="38" t="n"/>
      <c r="I1132" s="57" t="n"/>
      <c r="J1132" s="95" t="n"/>
      <c r="K1132" s="95" t="n"/>
      <c r="L1132" s="48" t="n"/>
      <c r="M1132" s="96" t="n"/>
      <c r="N1132" s="48" t="n"/>
      <c r="O1132" s="38" t="n"/>
      <c r="P1132" s="38" t="n"/>
      <c r="Q1132" s="97">
        <f>IF(OR(F1132="",E1132=""),"",IFERROR(IF(INDEX('PROPERTIES'!$F$5:$F$404,MATCH(E1132,'PROPERTIES'!$B$5:$B$404,0))=0,"",ROUND((INDEX('PROPERTIES'!$F$5:$F$404,MATCH(E1132,'PROPERTIES'!$B$5:$B$404,0))/INDEX('PRICING'!$C$7:$C$16,MATCH(F1132,'PRICING'!$A$7:$A$16,0))+INDEX('PROPERTIES'!$G$5:$G$404,MATCH(E1132,'PROPERTIES'!$B$5:$B$404,0))*INDEX('PRICING'!$D$7:$D$16,MATCH(F1132,'PRICING'!$A$7:$A$16,0))/60+INDEX('PROPERTIES'!$H$5:$H$404,MATCH(E1132,'PROPERTIES'!$B$5:$B$404,0))*INDEX('PRICING'!$E$7:$E$16,MATCH(F1132,'PRICING'!$A$7:$A$16,0))/60+INDEX('PRICING'!$F$7:$F$16,MATCH(F1132,'PRICING'!$A$7:$A$16,0))/60),2)),""))</f>
        <v/>
      </c>
      <c r="R1132" s="97">
        <f>IF(B1132="","",IF(N(K1132)&gt;0,K1132,IF(N(J1132)&gt;0,J1132,N(Q1132))))</f>
        <v/>
      </c>
      <c r="S1132" s="55">
        <f>IF(L1132="","",ROUND(L1132*(1+N(M1132)),2))</f>
        <v/>
      </c>
      <c r="T1132" s="55">
        <f>IF(B1132="","",SUMIFS('REVENUE'!$C$5:$C$1504,'REVENUE'!$B$5:$B$1504,A1132))</f>
        <v/>
      </c>
      <c r="U1132" s="55">
        <f>IF(B1132="","",IF(O1132="Completed",MAX(0,N(S1132)-T1132),""))</f>
        <v/>
      </c>
      <c r="V1132" s="49">
        <f>IF(B1132="","",IF(O1132&lt;&gt;"Completed",IF(T1132&gt;0,"Deposit","—"),IF(U1132&lt;=0.005,"Paid",IF(T1132&gt;0,"Partial","Unpaid"))))</f>
        <v/>
      </c>
      <c r="W1132" s="55">
        <f>IF(B1132="","",IFERROR(1/(1/INDEX('STAFF &amp; TASKS'!$C$5:$C$24,MATCH(H1132,'STAFF &amp; TASKS'!$A$5:$A$24,0))),PayRate))</f>
        <v/>
      </c>
      <c r="X1132" s="55">
        <f>IF(B1132="","",IF(OR(O1132="Cancelled",O1132="No-Show"),"",ROUND(R1132*W1132*(1+Burden),2)))</f>
        <v/>
      </c>
      <c r="Y1132" s="55">
        <f>IF(B1132="","",IF(OR(O1132="Cancelled",O1132="No-Show"),"",IF(N1132&lt;&gt;"",N1132,ROUND(R1132*SupHr*IFERROR(INDEX('PRICING'!$G$7:$G$16,MATCH(F1132,'PRICING'!$A$7:$A$16,0)),1),2))))</f>
        <v/>
      </c>
      <c r="Z1132" s="98">
        <f>IF(B1132="","",SUMIFS('MILEAGE'!$J$5:$J$1504,'MILEAGE'!$B$5:$B$1504,A1132))</f>
        <v/>
      </c>
      <c r="AA1132" s="55">
        <f>IF(B1132="","",ROUND(Z1132*MileRate,2))</f>
        <v/>
      </c>
      <c r="AB1132" s="55">
        <f>IF(B1132="","",SUMIFS('REVENUE'!$J$5:$J$1504,'REVENUE'!$B$5:$B$1504,A1132))</f>
        <v/>
      </c>
      <c r="AC1132" s="55">
        <f>IF(L1132="","",IF(OR(O1132="Cancelled",O1132="No-Show"),"",L1132-N(X1132)-N(Y1132)-AA1132-AB1132))</f>
        <v/>
      </c>
      <c r="AD1132" s="99">
        <f>IF(OR(AC1132="",N(L1132)=0),"",AC1132/L1132)</f>
        <v/>
      </c>
      <c r="AE1132" s="55">
        <f>IF(OR(AC1132="",N(R1132)=0),"",L1132/R1132)</f>
        <v/>
      </c>
      <c r="AF1132" s="100">
        <f>IF(OR(N(K1132)=0,N(J1132)+N(Q1132)=0),"",K1132-IF(N(J1132)&gt;0,J1132,Q1132))</f>
        <v/>
      </c>
      <c r="AG1132" s="99">
        <f>IF(B1132="","",IFERROR(AVERAGEIFS('QUALITY CONTROL'!$M$5:$M$304,'QUALITY CONTROL'!$B$5:$B$304,A1132),""))</f>
        <v/>
      </c>
      <c r="AH1132" s="51">
        <f>IF(B1132="","",DATE(YEAR(B1132),MONTH(B1132),1))</f>
        <v/>
      </c>
      <c r="AI1132" s="49">
        <f>IF(D1132="","",IFERROR(INDEX('CUSTOMERS'!$E$5:$E$404,MATCH(D1132,'CUSTOMERS'!$B$5:$B$404,0)),""))</f>
        <v/>
      </c>
      <c r="AJ1132" s="49">
        <f>IF(B1132="","",N(C1132))</f>
        <v/>
      </c>
      <c r="AK1132" s="49">
        <f>IF(OR(B1132="",O1132="Cancelled",O1132="Rescheduled"),"",B1132&amp;"|"&amp;(COUNTIFS('JOBS'!$B$5:$B$1504,B1132,'JOBS'!$AJ$5:$AJ$1504,"&lt;"&amp;AJ1132,'JOBS'!$O$5:$O$1504,"&lt;&gt;Cancelled",'JOBS'!$O$5:$O$1504,"&lt;&gt;Rescheduled")+COUNTIFS($B$5:B1132,B1132,$AJ$5:AJ1132,AJ1132,$O$5:O1132,"&lt;&gt;Cancelled",$O$5:O1132,"&lt;&gt;Rescheduled")))</f>
        <v/>
      </c>
      <c r="AL1132" s="49">
        <f>IF(N(U1132)&lt;=0.005,"",COUNTIFS('JOBS'!$U$5:$U$1504,"&gt;0.005",'JOBS'!$B$5:$B$1504,"&lt;"&amp;B1132)+COUNTIFS($U$5:U1132,"&gt;0.005",$B$5:B1132,B1132))</f>
        <v/>
      </c>
    </row>
    <row r="1133">
      <c r="A1133" s="46" t="inlineStr">
        <is>
          <t>J-1129</t>
        </is>
      </c>
      <c r="B1133" s="47" t="n"/>
      <c r="C1133" s="94" t="n"/>
      <c r="D1133" s="38" t="n"/>
      <c r="E1133" s="38" t="n"/>
      <c r="F1133" s="38" t="n"/>
      <c r="G1133" s="38" t="n"/>
      <c r="H1133" s="38" t="n"/>
      <c r="I1133" s="57" t="n"/>
      <c r="J1133" s="95" t="n"/>
      <c r="K1133" s="95" t="n"/>
      <c r="L1133" s="48" t="n"/>
      <c r="M1133" s="96" t="n"/>
      <c r="N1133" s="48" t="n"/>
      <c r="O1133" s="38" t="n"/>
      <c r="P1133" s="38" t="n"/>
      <c r="Q1133" s="97">
        <f>IF(OR(F1133="",E1133=""),"",IFERROR(IF(INDEX('PROPERTIES'!$F$5:$F$404,MATCH(E1133,'PROPERTIES'!$B$5:$B$404,0))=0,"",ROUND((INDEX('PROPERTIES'!$F$5:$F$404,MATCH(E1133,'PROPERTIES'!$B$5:$B$404,0))/INDEX('PRICING'!$C$7:$C$16,MATCH(F1133,'PRICING'!$A$7:$A$16,0))+INDEX('PROPERTIES'!$G$5:$G$404,MATCH(E1133,'PROPERTIES'!$B$5:$B$404,0))*INDEX('PRICING'!$D$7:$D$16,MATCH(F1133,'PRICING'!$A$7:$A$16,0))/60+INDEX('PROPERTIES'!$H$5:$H$404,MATCH(E1133,'PROPERTIES'!$B$5:$B$404,0))*INDEX('PRICING'!$E$7:$E$16,MATCH(F1133,'PRICING'!$A$7:$A$16,0))/60+INDEX('PRICING'!$F$7:$F$16,MATCH(F1133,'PRICING'!$A$7:$A$16,0))/60),2)),""))</f>
        <v/>
      </c>
      <c r="R1133" s="97">
        <f>IF(B1133="","",IF(N(K1133)&gt;0,K1133,IF(N(J1133)&gt;0,J1133,N(Q1133))))</f>
        <v/>
      </c>
      <c r="S1133" s="55">
        <f>IF(L1133="","",ROUND(L1133*(1+N(M1133)),2))</f>
        <v/>
      </c>
      <c r="T1133" s="55">
        <f>IF(B1133="","",SUMIFS('REVENUE'!$C$5:$C$1504,'REVENUE'!$B$5:$B$1504,A1133))</f>
        <v/>
      </c>
      <c r="U1133" s="55">
        <f>IF(B1133="","",IF(O1133="Completed",MAX(0,N(S1133)-T1133),""))</f>
        <v/>
      </c>
      <c r="V1133" s="49">
        <f>IF(B1133="","",IF(O1133&lt;&gt;"Completed",IF(T1133&gt;0,"Deposit","—"),IF(U1133&lt;=0.005,"Paid",IF(T1133&gt;0,"Partial","Unpaid"))))</f>
        <v/>
      </c>
      <c r="W1133" s="55">
        <f>IF(B1133="","",IFERROR(1/(1/INDEX('STAFF &amp; TASKS'!$C$5:$C$24,MATCH(H1133,'STAFF &amp; TASKS'!$A$5:$A$24,0))),PayRate))</f>
        <v/>
      </c>
      <c r="X1133" s="55">
        <f>IF(B1133="","",IF(OR(O1133="Cancelled",O1133="No-Show"),"",ROUND(R1133*W1133*(1+Burden),2)))</f>
        <v/>
      </c>
      <c r="Y1133" s="55">
        <f>IF(B1133="","",IF(OR(O1133="Cancelled",O1133="No-Show"),"",IF(N1133&lt;&gt;"",N1133,ROUND(R1133*SupHr*IFERROR(INDEX('PRICING'!$G$7:$G$16,MATCH(F1133,'PRICING'!$A$7:$A$16,0)),1),2))))</f>
        <v/>
      </c>
      <c r="Z1133" s="98">
        <f>IF(B1133="","",SUMIFS('MILEAGE'!$J$5:$J$1504,'MILEAGE'!$B$5:$B$1504,A1133))</f>
        <v/>
      </c>
      <c r="AA1133" s="55">
        <f>IF(B1133="","",ROUND(Z1133*MileRate,2))</f>
        <v/>
      </c>
      <c r="AB1133" s="55">
        <f>IF(B1133="","",SUMIFS('REVENUE'!$J$5:$J$1504,'REVENUE'!$B$5:$B$1504,A1133))</f>
        <v/>
      </c>
      <c r="AC1133" s="55">
        <f>IF(L1133="","",IF(OR(O1133="Cancelled",O1133="No-Show"),"",L1133-N(X1133)-N(Y1133)-AA1133-AB1133))</f>
        <v/>
      </c>
      <c r="AD1133" s="99">
        <f>IF(OR(AC1133="",N(L1133)=0),"",AC1133/L1133)</f>
        <v/>
      </c>
      <c r="AE1133" s="55">
        <f>IF(OR(AC1133="",N(R1133)=0),"",L1133/R1133)</f>
        <v/>
      </c>
      <c r="AF1133" s="100">
        <f>IF(OR(N(K1133)=0,N(J1133)+N(Q1133)=0),"",K1133-IF(N(J1133)&gt;0,J1133,Q1133))</f>
        <v/>
      </c>
      <c r="AG1133" s="99">
        <f>IF(B1133="","",IFERROR(AVERAGEIFS('QUALITY CONTROL'!$M$5:$M$304,'QUALITY CONTROL'!$B$5:$B$304,A1133),""))</f>
        <v/>
      </c>
      <c r="AH1133" s="51">
        <f>IF(B1133="","",DATE(YEAR(B1133),MONTH(B1133),1))</f>
        <v/>
      </c>
      <c r="AI1133" s="49">
        <f>IF(D1133="","",IFERROR(INDEX('CUSTOMERS'!$E$5:$E$404,MATCH(D1133,'CUSTOMERS'!$B$5:$B$404,0)),""))</f>
        <v/>
      </c>
      <c r="AJ1133" s="49">
        <f>IF(B1133="","",N(C1133))</f>
        <v/>
      </c>
      <c r="AK1133" s="49">
        <f>IF(OR(B1133="",O1133="Cancelled",O1133="Rescheduled"),"",B1133&amp;"|"&amp;(COUNTIFS('JOBS'!$B$5:$B$1504,B1133,'JOBS'!$AJ$5:$AJ$1504,"&lt;"&amp;AJ1133,'JOBS'!$O$5:$O$1504,"&lt;&gt;Cancelled",'JOBS'!$O$5:$O$1504,"&lt;&gt;Rescheduled")+COUNTIFS($B$5:B1133,B1133,$AJ$5:AJ1133,AJ1133,$O$5:O1133,"&lt;&gt;Cancelled",$O$5:O1133,"&lt;&gt;Rescheduled")))</f>
        <v/>
      </c>
      <c r="AL1133" s="49">
        <f>IF(N(U1133)&lt;=0.005,"",COUNTIFS('JOBS'!$U$5:$U$1504,"&gt;0.005",'JOBS'!$B$5:$B$1504,"&lt;"&amp;B1133)+COUNTIFS($U$5:U1133,"&gt;0.005",$B$5:B1133,B1133))</f>
        <v/>
      </c>
    </row>
    <row r="1134">
      <c r="A1134" s="46" t="inlineStr">
        <is>
          <t>J-1130</t>
        </is>
      </c>
      <c r="B1134" s="47" t="n"/>
      <c r="C1134" s="94" t="n"/>
      <c r="D1134" s="38" t="n"/>
      <c r="E1134" s="38" t="n"/>
      <c r="F1134" s="38" t="n"/>
      <c r="G1134" s="38" t="n"/>
      <c r="H1134" s="38" t="n"/>
      <c r="I1134" s="57" t="n"/>
      <c r="J1134" s="95" t="n"/>
      <c r="K1134" s="95" t="n"/>
      <c r="L1134" s="48" t="n"/>
      <c r="M1134" s="96" t="n"/>
      <c r="N1134" s="48" t="n"/>
      <c r="O1134" s="38" t="n"/>
      <c r="P1134" s="38" t="n"/>
      <c r="Q1134" s="97">
        <f>IF(OR(F1134="",E1134=""),"",IFERROR(IF(INDEX('PROPERTIES'!$F$5:$F$404,MATCH(E1134,'PROPERTIES'!$B$5:$B$404,0))=0,"",ROUND((INDEX('PROPERTIES'!$F$5:$F$404,MATCH(E1134,'PROPERTIES'!$B$5:$B$404,0))/INDEX('PRICING'!$C$7:$C$16,MATCH(F1134,'PRICING'!$A$7:$A$16,0))+INDEX('PROPERTIES'!$G$5:$G$404,MATCH(E1134,'PROPERTIES'!$B$5:$B$404,0))*INDEX('PRICING'!$D$7:$D$16,MATCH(F1134,'PRICING'!$A$7:$A$16,0))/60+INDEX('PROPERTIES'!$H$5:$H$404,MATCH(E1134,'PROPERTIES'!$B$5:$B$404,0))*INDEX('PRICING'!$E$7:$E$16,MATCH(F1134,'PRICING'!$A$7:$A$16,0))/60+INDEX('PRICING'!$F$7:$F$16,MATCH(F1134,'PRICING'!$A$7:$A$16,0))/60),2)),""))</f>
        <v/>
      </c>
      <c r="R1134" s="97">
        <f>IF(B1134="","",IF(N(K1134)&gt;0,K1134,IF(N(J1134)&gt;0,J1134,N(Q1134))))</f>
        <v/>
      </c>
      <c r="S1134" s="55">
        <f>IF(L1134="","",ROUND(L1134*(1+N(M1134)),2))</f>
        <v/>
      </c>
      <c r="T1134" s="55">
        <f>IF(B1134="","",SUMIFS('REVENUE'!$C$5:$C$1504,'REVENUE'!$B$5:$B$1504,A1134))</f>
        <v/>
      </c>
      <c r="U1134" s="55">
        <f>IF(B1134="","",IF(O1134="Completed",MAX(0,N(S1134)-T1134),""))</f>
        <v/>
      </c>
      <c r="V1134" s="49">
        <f>IF(B1134="","",IF(O1134&lt;&gt;"Completed",IF(T1134&gt;0,"Deposit","—"),IF(U1134&lt;=0.005,"Paid",IF(T1134&gt;0,"Partial","Unpaid"))))</f>
        <v/>
      </c>
      <c r="W1134" s="55">
        <f>IF(B1134="","",IFERROR(1/(1/INDEX('STAFF &amp; TASKS'!$C$5:$C$24,MATCH(H1134,'STAFF &amp; TASKS'!$A$5:$A$24,0))),PayRate))</f>
        <v/>
      </c>
      <c r="X1134" s="55">
        <f>IF(B1134="","",IF(OR(O1134="Cancelled",O1134="No-Show"),"",ROUND(R1134*W1134*(1+Burden),2)))</f>
        <v/>
      </c>
      <c r="Y1134" s="55">
        <f>IF(B1134="","",IF(OR(O1134="Cancelled",O1134="No-Show"),"",IF(N1134&lt;&gt;"",N1134,ROUND(R1134*SupHr*IFERROR(INDEX('PRICING'!$G$7:$G$16,MATCH(F1134,'PRICING'!$A$7:$A$16,0)),1),2))))</f>
        <v/>
      </c>
      <c r="Z1134" s="98">
        <f>IF(B1134="","",SUMIFS('MILEAGE'!$J$5:$J$1504,'MILEAGE'!$B$5:$B$1504,A1134))</f>
        <v/>
      </c>
      <c r="AA1134" s="55">
        <f>IF(B1134="","",ROUND(Z1134*MileRate,2))</f>
        <v/>
      </c>
      <c r="AB1134" s="55">
        <f>IF(B1134="","",SUMIFS('REVENUE'!$J$5:$J$1504,'REVENUE'!$B$5:$B$1504,A1134))</f>
        <v/>
      </c>
      <c r="AC1134" s="55">
        <f>IF(L1134="","",IF(OR(O1134="Cancelled",O1134="No-Show"),"",L1134-N(X1134)-N(Y1134)-AA1134-AB1134))</f>
        <v/>
      </c>
      <c r="AD1134" s="99">
        <f>IF(OR(AC1134="",N(L1134)=0),"",AC1134/L1134)</f>
        <v/>
      </c>
      <c r="AE1134" s="55">
        <f>IF(OR(AC1134="",N(R1134)=0),"",L1134/R1134)</f>
        <v/>
      </c>
      <c r="AF1134" s="100">
        <f>IF(OR(N(K1134)=0,N(J1134)+N(Q1134)=0),"",K1134-IF(N(J1134)&gt;0,J1134,Q1134))</f>
        <v/>
      </c>
      <c r="AG1134" s="99">
        <f>IF(B1134="","",IFERROR(AVERAGEIFS('QUALITY CONTROL'!$M$5:$M$304,'QUALITY CONTROL'!$B$5:$B$304,A1134),""))</f>
        <v/>
      </c>
      <c r="AH1134" s="51">
        <f>IF(B1134="","",DATE(YEAR(B1134),MONTH(B1134),1))</f>
        <v/>
      </c>
      <c r="AI1134" s="49">
        <f>IF(D1134="","",IFERROR(INDEX('CUSTOMERS'!$E$5:$E$404,MATCH(D1134,'CUSTOMERS'!$B$5:$B$404,0)),""))</f>
        <v/>
      </c>
      <c r="AJ1134" s="49">
        <f>IF(B1134="","",N(C1134))</f>
        <v/>
      </c>
      <c r="AK1134" s="49">
        <f>IF(OR(B1134="",O1134="Cancelled",O1134="Rescheduled"),"",B1134&amp;"|"&amp;(COUNTIFS('JOBS'!$B$5:$B$1504,B1134,'JOBS'!$AJ$5:$AJ$1504,"&lt;"&amp;AJ1134,'JOBS'!$O$5:$O$1504,"&lt;&gt;Cancelled",'JOBS'!$O$5:$O$1504,"&lt;&gt;Rescheduled")+COUNTIFS($B$5:B1134,B1134,$AJ$5:AJ1134,AJ1134,$O$5:O1134,"&lt;&gt;Cancelled",$O$5:O1134,"&lt;&gt;Rescheduled")))</f>
        <v/>
      </c>
      <c r="AL1134" s="49">
        <f>IF(N(U1134)&lt;=0.005,"",COUNTIFS('JOBS'!$U$5:$U$1504,"&gt;0.005",'JOBS'!$B$5:$B$1504,"&lt;"&amp;B1134)+COUNTIFS($U$5:U1134,"&gt;0.005",$B$5:B1134,B1134))</f>
        <v/>
      </c>
    </row>
    <row r="1135">
      <c r="A1135" s="46" t="inlineStr">
        <is>
          <t>J-1131</t>
        </is>
      </c>
      <c r="B1135" s="47" t="n"/>
      <c r="C1135" s="94" t="n"/>
      <c r="D1135" s="38" t="n"/>
      <c r="E1135" s="38" t="n"/>
      <c r="F1135" s="38" t="n"/>
      <c r="G1135" s="38" t="n"/>
      <c r="H1135" s="38" t="n"/>
      <c r="I1135" s="57" t="n"/>
      <c r="J1135" s="95" t="n"/>
      <c r="K1135" s="95" t="n"/>
      <c r="L1135" s="48" t="n"/>
      <c r="M1135" s="96" t="n"/>
      <c r="N1135" s="48" t="n"/>
      <c r="O1135" s="38" t="n"/>
      <c r="P1135" s="38" t="n"/>
      <c r="Q1135" s="97">
        <f>IF(OR(F1135="",E1135=""),"",IFERROR(IF(INDEX('PROPERTIES'!$F$5:$F$404,MATCH(E1135,'PROPERTIES'!$B$5:$B$404,0))=0,"",ROUND((INDEX('PROPERTIES'!$F$5:$F$404,MATCH(E1135,'PROPERTIES'!$B$5:$B$404,0))/INDEX('PRICING'!$C$7:$C$16,MATCH(F1135,'PRICING'!$A$7:$A$16,0))+INDEX('PROPERTIES'!$G$5:$G$404,MATCH(E1135,'PROPERTIES'!$B$5:$B$404,0))*INDEX('PRICING'!$D$7:$D$16,MATCH(F1135,'PRICING'!$A$7:$A$16,0))/60+INDEX('PROPERTIES'!$H$5:$H$404,MATCH(E1135,'PROPERTIES'!$B$5:$B$404,0))*INDEX('PRICING'!$E$7:$E$16,MATCH(F1135,'PRICING'!$A$7:$A$16,0))/60+INDEX('PRICING'!$F$7:$F$16,MATCH(F1135,'PRICING'!$A$7:$A$16,0))/60),2)),""))</f>
        <v/>
      </c>
      <c r="R1135" s="97">
        <f>IF(B1135="","",IF(N(K1135)&gt;0,K1135,IF(N(J1135)&gt;0,J1135,N(Q1135))))</f>
        <v/>
      </c>
      <c r="S1135" s="55">
        <f>IF(L1135="","",ROUND(L1135*(1+N(M1135)),2))</f>
        <v/>
      </c>
      <c r="T1135" s="55">
        <f>IF(B1135="","",SUMIFS('REVENUE'!$C$5:$C$1504,'REVENUE'!$B$5:$B$1504,A1135))</f>
        <v/>
      </c>
      <c r="U1135" s="55">
        <f>IF(B1135="","",IF(O1135="Completed",MAX(0,N(S1135)-T1135),""))</f>
        <v/>
      </c>
      <c r="V1135" s="49">
        <f>IF(B1135="","",IF(O1135&lt;&gt;"Completed",IF(T1135&gt;0,"Deposit","—"),IF(U1135&lt;=0.005,"Paid",IF(T1135&gt;0,"Partial","Unpaid"))))</f>
        <v/>
      </c>
      <c r="W1135" s="55">
        <f>IF(B1135="","",IFERROR(1/(1/INDEX('STAFF &amp; TASKS'!$C$5:$C$24,MATCH(H1135,'STAFF &amp; TASKS'!$A$5:$A$24,0))),PayRate))</f>
        <v/>
      </c>
      <c r="X1135" s="55">
        <f>IF(B1135="","",IF(OR(O1135="Cancelled",O1135="No-Show"),"",ROUND(R1135*W1135*(1+Burden),2)))</f>
        <v/>
      </c>
      <c r="Y1135" s="55">
        <f>IF(B1135="","",IF(OR(O1135="Cancelled",O1135="No-Show"),"",IF(N1135&lt;&gt;"",N1135,ROUND(R1135*SupHr*IFERROR(INDEX('PRICING'!$G$7:$G$16,MATCH(F1135,'PRICING'!$A$7:$A$16,0)),1),2))))</f>
        <v/>
      </c>
      <c r="Z1135" s="98">
        <f>IF(B1135="","",SUMIFS('MILEAGE'!$J$5:$J$1504,'MILEAGE'!$B$5:$B$1504,A1135))</f>
        <v/>
      </c>
      <c r="AA1135" s="55">
        <f>IF(B1135="","",ROUND(Z1135*MileRate,2))</f>
        <v/>
      </c>
      <c r="AB1135" s="55">
        <f>IF(B1135="","",SUMIFS('REVENUE'!$J$5:$J$1504,'REVENUE'!$B$5:$B$1504,A1135))</f>
        <v/>
      </c>
      <c r="AC1135" s="55">
        <f>IF(L1135="","",IF(OR(O1135="Cancelled",O1135="No-Show"),"",L1135-N(X1135)-N(Y1135)-AA1135-AB1135))</f>
        <v/>
      </c>
      <c r="AD1135" s="99">
        <f>IF(OR(AC1135="",N(L1135)=0),"",AC1135/L1135)</f>
        <v/>
      </c>
      <c r="AE1135" s="55">
        <f>IF(OR(AC1135="",N(R1135)=0),"",L1135/R1135)</f>
        <v/>
      </c>
      <c r="AF1135" s="100">
        <f>IF(OR(N(K1135)=0,N(J1135)+N(Q1135)=0),"",K1135-IF(N(J1135)&gt;0,J1135,Q1135))</f>
        <v/>
      </c>
      <c r="AG1135" s="99">
        <f>IF(B1135="","",IFERROR(AVERAGEIFS('QUALITY CONTROL'!$M$5:$M$304,'QUALITY CONTROL'!$B$5:$B$304,A1135),""))</f>
        <v/>
      </c>
      <c r="AH1135" s="51">
        <f>IF(B1135="","",DATE(YEAR(B1135),MONTH(B1135),1))</f>
        <v/>
      </c>
      <c r="AI1135" s="49">
        <f>IF(D1135="","",IFERROR(INDEX('CUSTOMERS'!$E$5:$E$404,MATCH(D1135,'CUSTOMERS'!$B$5:$B$404,0)),""))</f>
        <v/>
      </c>
      <c r="AJ1135" s="49">
        <f>IF(B1135="","",N(C1135))</f>
        <v/>
      </c>
      <c r="AK1135" s="49">
        <f>IF(OR(B1135="",O1135="Cancelled",O1135="Rescheduled"),"",B1135&amp;"|"&amp;(COUNTIFS('JOBS'!$B$5:$B$1504,B1135,'JOBS'!$AJ$5:$AJ$1504,"&lt;"&amp;AJ1135,'JOBS'!$O$5:$O$1504,"&lt;&gt;Cancelled",'JOBS'!$O$5:$O$1504,"&lt;&gt;Rescheduled")+COUNTIFS($B$5:B1135,B1135,$AJ$5:AJ1135,AJ1135,$O$5:O1135,"&lt;&gt;Cancelled",$O$5:O1135,"&lt;&gt;Rescheduled")))</f>
        <v/>
      </c>
      <c r="AL1135" s="49">
        <f>IF(N(U1135)&lt;=0.005,"",COUNTIFS('JOBS'!$U$5:$U$1504,"&gt;0.005",'JOBS'!$B$5:$B$1504,"&lt;"&amp;B1135)+COUNTIFS($U$5:U1135,"&gt;0.005",$B$5:B1135,B1135))</f>
        <v/>
      </c>
    </row>
    <row r="1136">
      <c r="A1136" s="46" t="inlineStr">
        <is>
          <t>J-1132</t>
        </is>
      </c>
      <c r="B1136" s="47" t="n"/>
      <c r="C1136" s="94" t="n"/>
      <c r="D1136" s="38" t="n"/>
      <c r="E1136" s="38" t="n"/>
      <c r="F1136" s="38" t="n"/>
      <c r="G1136" s="38" t="n"/>
      <c r="H1136" s="38" t="n"/>
      <c r="I1136" s="57" t="n"/>
      <c r="J1136" s="95" t="n"/>
      <c r="K1136" s="95" t="n"/>
      <c r="L1136" s="48" t="n"/>
      <c r="M1136" s="96" t="n"/>
      <c r="N1136" s="48" t="n"/>
      <c r="O1136" s="38" t="n"/>
      <c r="P1136" s="38" t="n"/>
      <c r="Q1136" s="97">
        <f>IF(OR(F1136="",E1136=""),"",IFERROR(IF(INDEX('PROPERTIES'!$F$5:$F$404,MATCH(E1136,'PROPERTIES'!$B$5:$B$404,0))=0,"",ROUND((INDEX('PROPERTIES'!$F$5:$F$404,MATCH(E1136,'PROPERTIES'!$B$5:$B$404,0))/INDEX('PRICING'!$C$7:$C$16,MATCH(F1136,'PRICING'!$A$7:$A$16,0))+INDEX('PROPERTIES'!$G$5:$G$404,MATCH(E1136,'PROPERTIES'!$B$5:$B$404,0))*INDEX('PRICING'!$D$7:$D$16,MATCH(F1136,'PRICING'!$A$7:$A$16,0))/60+INDEX('PROPERTIES'!$H$5:$H$404,MATCH(E1136,'PROPERTIES'!$B$5:$B$404,0))*INDEX('PRICING'!$E$7:$E$16,MATCH(F1136,'PRICING'!$A$7:$A$16,0))/60+INDEX('PRICING'!$F$7:$F$16,MATCH(F1136,'PRICING'!$A$7:$A$16,0))/60),2)),""))</f>
        <v/>
      </c>
      <c r="R1136" s="97">
        <f>IF(B1136="","",IF(N(K1136)&gt;0,K1136,IF(N(J1136)&gt;0,J1136,N(Q1136))))</f>
        <v/>
      </c>
      <c r="S1136" s="55">
        <f>IF(L1136="","",ROUND(L1136*(1+N(M1136)),2))</f>
        <v/>
      </c>
      <c r="T1136" s="55">
        <f>IF(B1136="","",SUMIFS('REVENUE'!$C$5:$C$1504,'REVENUE'!$B$5:$B$1504,A1136))</f>
        <v/>
      </c>
      <c r="U1136" s="55">
        <f>IF(B1136="","",IF(O1136="Completed",MAX(0,N(S1136)-T1136),""))</f>
        <v/>
      </c>
      <c r="V1136" s="49">
        <f>IF(B1136="","",IF(O1136&lt;&gt;"Completed",IF(T1136&gt;0,"Deposit","—"),IF(U1136&lt;=0.005,"Paid",IF(T1136&gt;0,"Partial","Unpaid"))))</f>
        <v/>
      </c>
      <c r="W1136" s="55">
        <f>IF(B1136="","",IFERROR(1/(1/INDEX('STAFF &amp; TASKS'!$C$5:$C$24,MATCH(H1136,'STAFF &amp; TASKS'!$A$5:$A$24,0))),PayRate))</f>
        <v/>
      </c>
      <c r="X1136" s="55">
        <f>IF(B1136="","",IF(OR(O1136="Cancelled",O1136="No-Show"),"",ROUND(R1136*W1136*(1+Burden),2)))</f>
        <v/>
      </c>
      <c r="Y1136" s="55">
        <f>IF(B1136="","",IF(OR(O1136="Cancelled",O1136="No-Show"),"",IF(N1136&lt;&gt;"",N1136,ROUND(R1136*SupHr*IFERROR(INDEX('PRICING'!$G$7:$G$16,MATCH(F1136,'PRICING'!$A$7:$A$16,0)),1),2))))</f>
        <v/>
      </c>
      <c r="Z1136" s="98">
        <f>IF(B1136="","",SUMIFS('MILEAGE'!$J$5:$J$1504,'MILEAGE'!$B$5:$B$1504,A1136))</f>
        <v/>
      </c>
      <c r="AA1136" s="55">
        <f>IF(B1136="","",ROUND(Z1136*MileRate,2))</f>
        <v/>
      </c>
      <c r="AB1136" s="55">
        <f>IF(B1136="","",SUMIFS('REVENUE'!$J$5:$J$1504,'REVENUE'!$B$5:$B$1504,A1136))</f>
        <v/>
      </c>
      <c r="AC1136" s="55">
        <f>IF(L1136="","",IF(OR(O1136="Cancelled",O1136="No-Show"),"",L1136-N(X1136)-N(Y1136)-AA1136-AB1136))</f>
        <v/>
      </c>
      <c r="AD1136" s="99">
        <f>IF(OR(AC1136="",N(L1136)=0),"",AC1136/L1136)</f>
        <v/>
      </c>
      <c r="AE1136" s="55">
        <f>IF(OR(AC1136="",N(R1136)=0),"",L1136/R1136)</f>
        <v/>
      </c>
      <c r="AF1136" s="100">
        <f>IF(OR(N(K1136)=0,N(J1136)+N(Q1136)=0),"",K1136-IF(N(J1136)&gt;0,J1136,Q1136))</f>
        <v/>
      </c>
      <c r="AG1136" s="99">
        <f>IF(B1136="","",IFERROR(AVERAGEIFS('QUALITY CONTROL'!$M$5:$M$304,'QUALITY CONTROL'!$B$5:$B$304,A1136),""))</f>
        <v/>
      </c>
      <c r="AH1136" s="51">
        <f>IF(B1136="","",DATE(YEAR(B1136),MONTH(B1136),1))</f>
        <v/>
      </c>
      <c r="AI1136" s="49">
        <f>IF(D1136="","",IFERROR(INDEX('CUSTOMERS'!$E$5:$E$404,MATCH(D1136,'CUSTOMERS'!$B$5:$B$404,0)),""))</f>
        <v/>
      </c>
      <c r="AJ1136" s="49">
        <f>IF(B1136="","",N(C1136))</f>
        <v/>
      </c>
      <c r="AK1136" s="49">
        <f>IF(OR(B1136="",O1136="Cancelled",O1136="Rescheduled"),"",B1136&amp;"|"&amp;(COUNTIFS('JOBS'!$B$5:$B$1504,B1136,'JOBS'!$AJ$5:$AJ$1504,"&lt;"&amp;AJ1136,'JOBS'!$O$5:$O$1504,"&lt;&gt;Cancelled",'JOBS'!$O$5:$O$1504,"&lt;&gt;Rescheduled")+COUNTIFS($B$5:B1136,B1136,$AJ$5:AJ1136,AJ1136,$O$5:O1136,"&lt;&gt;Cancelled",$O$5:O1136,"&lt;&gt;Rescheduled")))</f>
        <v/>
      </c>
      <c r="AL1136" s="49">
        <f>IF(N(U1136)&lt;=0.005,"",COUNTIFS('JOBS'!$U$5:$U$1504,"&gt;0.005",'JOBS'!$B$5:$B$1504,"&lt;"&amp;B1136)+COUNTIFS($U$5:U1136,"&gt;0.005",$B$5:B1136,B1136))</f>
        <v/>
      </c>
    </row>
    <row r="1137">
      <c r="A1137" s="46" t="inlineStr">
        <is>
          <t>J-1133</t>
        </is>
      </c>
      <c r="B1137" s="47" t="n"/>
      <c r="C1137" s="94" t="n"/>
      <c r="D1137" s="38" t="n"/>
      <c r="E1137" s="38" t="n"/>
      <c r="F1137" s="38" t="n"/>
      <c r="G1137" s="38" t="n"/>
      <c r="H1137" s="38" t="n"/>
      <c r="I1137" s="57" t="n"/>
      <c r="J1137" s="95" t="n"/>
      <c r="K1137" s="95" t="n"/>
      <c r="L1137" s="48" t="n"/>
      <c r="M1137" s="96" t="n"/>
      <c r="N1137" s="48" t="n"/>
      <c r="O1137" s="38" t="n"/>
      <c r="P1137" s="38" t="n"/>
      <c r="Q1137" s="97">
        <f>IF(OR(F1137="",E1137=""),"",IFERROR(IF(INDEX('PROPERTIES'!$F$5:$F$404,MATCH(E1137,'PROPERTIES'!$B$5:$B$404,0))=0,"",ROUND((INDEX('PROPERTIES'!$F$5:$F$404,MATCH(E1137,'PROPERTIES'!$B$5:$B$404,0))/INDEX('PRICING'!$C$7:$C$16,MATCH(F1137,'PRICING'!$A$7:$A$16,0))+INDEX('PROPERTIES'!$G$5:$G$404,MATCH(E1137,'PROPERTIES'!$B$5:$B$404,0))*INDEX('PRICING'!$D$7:$D$16,MATCH(F1137,'PRICING'!$A$7:$A$16,0))/60+INDEX('PROPERTIES'!$H$5:$H$404,MATCH(E1137,'PROPERTIES'!$B$5:$B$404,0))*INDEX('PRICING'!$E$7:$E$16,MATCH(F1137,'PRICING'!$A$7:$A$16,0))/60+INDEX('PRICING'!$F$7:$F$16,MATCH(F1137,'PRICING'!$A$7:$A$16,0))/60),2)),""))</f>
        <v/>
      </c>
      <c r="R1137" s="97">
        <f>IF(B1137="","",IF(N(K1137)&gt;0,K1137,IF(N(J1137)&gt;0,J1137,N(Q1137))))</f>
        <v/>
      </c>
      <c r="S1137" s="55">
        <f>IF(L1137="","",ROUND(L1137*(1+N(M1137)),2))</f>
        <v/>
      </c>
      <c r="T1137" s="55">
        <f>IF(B1137="","",SUMIFS('REVENUE'!$C$5:$C$1504,'REVENUE'!$B$5:$B$1504,A1137))</f>
        <v/>
      </c>
      <c r="U1137" s="55">
        <f>IF(B1137="","",IF(O1137="Completed",MAX(0,N(S1137)-T1137),""))</f>
        <v/>
      </c>
      <c r="V1137" s="49">
        <f>IF(B1137="","",IF(O1137&lt;&gt;"Completed",IF(T1137&gt;0,"Deposit","—"),IF(U1137&lt;=0.005,"Paid",IF(T1137&gt;0,"Partial","Unpaid"))))</f>
        <v/>
      </c>
      <c r="W1137" s="55">
        <f>IF(B1137="","",IFERROR(1/(1/INDEX('STAFF &amp; TASKS'!$C$5:$C$24,MATCH(H1137,'STAFF &amp; TASKS'!$A$5:$A$24,0))),PayRate))</f>
        <v/>
      </c>
      <c r="X1137" s="55">
        <f>IF(B1137="","",IF(OR(O1137="Cancelled",O1137="No-Show"),"",ROUND(R1137*W1137*(1+Burden),2)))</f>
        <v/>
      </c>
      <c r="Y1137" s="55">
        <f>IF(B1137="","",IF(OR(O1137="Cancelled",O1137="No-Show"),"",IF(N1137&lt;&gt;"",N1137,ROUND(R1137*SupHr*IFERROR(INDEX('PRICING'!$G$7:$G$16,MATCH(F1137,'PRICING'!$A$7:$A$16,0)),1),2))))</f>
        <v/>
      </c>
      <c r="Z1137" s="98">
        <f>IF(B1137="","",SUMIFS('MILEAGE'!$J$5:$J$1504,'MILEAGE'!$B$5:$B$1504,A1137))</f>
        <v/>
      </c>
      <c r="AA1137" s="55">
        <f>IF(B1137="","",ROUND(Z1137*MileRate,2))</f>
        <v/>
      </c>
      <c r="AB1137" s="55">
        <f>IF(B1137="","",SUMIFS('REVENUE'!$J$5:$J$1504,'REVENUE'!$B$5:$B$1504,A1137))</f>
        <v/>
      </c>
      <c r="AC1137" s="55">
        <f>IF(L1137="","",IF(OR(O1137="Cancelled",O1137="No-Show"),"",L1137-N(X1137)-N(Y1137)-AA1137-AB1137))</f>
        <v/>
      </c>
      <c r="AD1137" s="99">
        <f>IF(OR(AC1137="",N(L1137)=0),"",AC1137/L1137)</f>
        <v/>
      </c>
      <c r="AE1137" s="55">
        <f>IF(OR(AC1137="",N(R1137)=0),"",L1137/R1137)</f>
        <v/>
      </c>
      <c r="AF1137" s="100">
        <f>IF(OR(N(K1137)=0,N(J1137)+N(Q1137)=0),"",K1137-IF(N(J1137)&gt;0,J1137,Q1137))</f>
        <v/>
      </c>
      <c r="AG1137" s="99">
        <f>IF(B1137="","",IFERROR(AVERAGEIFS('QUALITY CONTROL'!$M$5:$M$304,'QUALITY CONTROL'!$B$5:$B$304,A1137),""))</f>
        <v/>
      </c>
      <c r="AH1137" s="51">
        <f>IF(B1137="","",DATE(YEAR(B1137),MONTH(B1137),1))</f>
        <v/>
      </c>
      <c r="AI1137" s="49">
        <f>IF(D1137="","",IFERROR(INDEX('CUSTOMERS'!$E$5:$E$404,MATCH(D1137,'CUSTOMERS'!$B$5:$B$404,0)),""))</f>
        <v/>
      </c>
      <c r="AJ1137" s="49">
        <f>IF(B1137="","",N(C1137))</f>
        <v/>
      </c>
      <c r="AK1137" s="49">
        <f>IF(OR(B1137="",O1137="Cancelled",O1137="Rescheduled"),"",B1137&amp;"|"&amp;(COUNTIFS('JOBS'!$B$5:$B$1504,B1137,'JOBS'!$AJ$5:$AJ$1504,"&lt;"&amp;AJ1137,'JOBS'!$O$5:$O$1504,"&lt;&gt;Cancelled",'JOBS'!$O$5:$O$1504,"&lt;&gt;Rescheduled")+COUNTIFS($B$5:B1137,B1137,$AJ$5:AJ1137,AJ1137,$O$5:O1137,"&lt;&gt;Cancelled",$O$5:O1137,"&lt;&gt;Rescheduled")))</f>
        <v/>
      </c>
      <c r="AL1137" s="49">
        <f>IF(N(U1137)&lt;=0.005,"",COUNTIFS('JOBS'!$U$5:$U$1504,"&gt;0.005",'JOBS'!$B$5:$B$1504,"&lt;"&amp;B1137)+COUNTIFS($U$5:U1137,"&gt;0.005",$B$5:B1137,B1137))</f>
        <v/>
      </c>
    </row>
    <row r="1138">
      <c r="A1138" s="46" t="inlineStr">
        <is>
          <t>J-1134</t>
        </is>
      </c>
      <c r="B1138" s="47" t="n"/>
      <c r="C1138" s="94" t="n"/>
      <c r="D1138" s="38" t="n"/>
      <c r="E1138" s="38" t="n"/>
      <c r="F1138" s="38" t="n"/>
      <c r="G1138" s="38" t="n"/>
      <c r="H1138" s="38" t="n"/>
      <c r="I1138" s="57" t="n"/>
      <c r="J1138" s="95" t="n"/>
      <c r="K1138" s="95" t="n"/>
      <c r="L1138" s="48" t="n"/>
      <c r="M1138" s="96" t="n"/>
      <c r="N1138" s="48" t="n"/>
      <c r="O1138" s="38" t="n"/>
      <c r="P1138" s="38" t="n"/>
      <c r="Q1138" s="97">
        <f>IF(OR(F1138="",E1138=""),"",IFERROR(IF(INDEX('PROPERTIES'!$F$5:$F$404,MATCH(E1138,'PROPERTIES'!$B$5:$B$404,0))=0,"",ROUND((INDEX('PROPERTIES'!$F$5:$F$404,MATCH(E1138,'PROPERTIES'!$B$5:$B$404,0))/INDEX('PRICING'!$C$7:$C$16,MATCH(F1138,'PRICING'!$A$7:$A$16,0))+INDEX('PROPERTIES'!$G$5:$G$404,MATCH(E1138,'PROPERTIES'!$B$5:$B$404,0))*INDEX('PRICING'!$D$7:$D$16,MATCH(F1138,'PRICING'!$A$7:$A$16,0))/60+INDEX('PROPERTIES'!$H$5:$H$404,MATCH(E1138,'PROPERTIES'!$B$5:$B$404,0))*INDEX('PRICING'!$E$7:$E$16,MATCH(F1138,'PRICING'!$A$7:$A$16,0))/60+INDEX('PRICING'!$F$7:$F$16,MATCH(F1138,'PRICING'!$A$7:$A$16,0))/60),2)),""))</f>
        <v/>
      </c>
      <c r="R1138" s="97">
        <f>IF(B1138="","",IF(N(K1138)&gt;0,K1138,IF(N(J1138)&gt;0,J1138,N(Q1138))))</f>
        <v/>
      </c>
      <c r="S1138" s="55">
        <f>IF(L1138="","",ROUND(L1138*(1+N(M1138)),2))</f>
        <v/>
      </c>
      <c r="T1138" s="55">
        <f>IF(B1138="","",SUMIFS('REVENUE'!$C$5:$C$1504,'REVENUE'!$B$5:$B$1504,A1138))</f>
        <v/>
      </c>
      <c r="U1138" s="55">
        <f>IF(B1138="","",IF(O1138="Completed",MAX(0,N(S1138)-T1138),""))</f>
        <v/>
      </c>
      <c r="V1138" s="49">
        <f>IF(B1138="","",IF(O1138&lt;&gt;"Completed",IF(T1138&gt;0,"Deposit","—"),IF(U1138&lt;=0.005,"Paid",IF(T1138&gt;0,"Partial","Unpaid"))))</f>
        <v/>
      </c>
      <c r="W1138" s="55">
        <f>IF(B1138="","",IFERROR(1/(1/INDEX('STAFF &amp; TASKS'!$C$5:$C$24,MATCH(H1138,'STAFF &amp; TASKS'!$A$5:$A$24,0))),PayRate))</f>
        <v/>
      </c>
      <c r="X1138" s="55">
        <f>IF(B1138="","",IF(OR(O1138="Cancelled",O1138="No-Show"),"",ROUND(R1138*W1138*(1+Burden),2)))</f>
        <v/>
      </c>
      <c r="Y1138" s="55">
        <f>IF(B1138="","",IF(OR(O1138="Cancelled",O1138="No-Show"),"",IF(N1138&lt;&gt;"",N1138,ROUND(R1138*SupHr*IFERROR(INDEX('PRICING'!$G$7:$G$16,MATCH(F1138,'PRICING'!$A$7:$A$16,0)),1),2))))</f>
        <v/>
      </c>
      <c r="Z1138" s="98">
        <f>IF(B1138="","",SUMIFS('MILEAGE'!$J$5:$J$1504,'MILEAGE'!$B$5:$B$1504,A1138))</f>
        <v/>
      </c>
      <c r="AA1138" s="55">
        <f>IF(B1138="","",ROUND(Z1138*MileRate,2))</f>
        <v/>
      </c>
      <c r="AB1138" s="55">
        <f>IF(B1138="","",SUMIFS('REVENUE'!$J$5:$J$1504,'REVENUE'!$B$5:$B$1504,A1138))</f>
        <v/>
      </c>
      <c r="AC1138" s="55">
        <f>IF(L1138="","",IF(OR(O1138="Cancelled",O1138="No-Show"),"",L1138-N(X1138)-N(Y1138)-AA1138-AB1138))</f>
        <v/>
      </c>
      <c r="AD1138" s="99">
        <f>IF(OR(AC1138="",N(L1138)=0),"",AC1138/L1138)</f>
        <v/>
      </c>
      <c r="AE1138" s="55">
        <f>IF(OR(AC1138="",N(R1138)=0),"",L1138/R1138)</f>
        <v/>
      </c>
      <c r="AF1138" s="100">
        <f>IF(OR(N(K1138)=0,N(J1138)+N(Q1138)=0),"",K1138-IF(N(J1138)&gt;0,J1138,Q1138))</f>
        <v/>
      </c>
      <c r="AG1138" s="99">
        <f>IF(B1138="","",IFERROR(AVERAGEIFS('QUALITY CONTROL'!$M$5:$M$304,'QUALITY CONTROL'!$B$5:$B$304,A1138),""))</f>
        <v/>
      </c>
      <c r="AH1138" s="51">
        <f>IF(B1138="","",DATE(YEAR(B1138),MONTH(B1138),1))</f>
        <v/>
      </c>
      <c r="AI1138" s="49">
        <f>IF(D1138="","",IFERROR(INDEX('CUSTOMERS'!$E$5:$E$404,MATCH(D1138,'CUSTOMERS'!$B$5:$B$404,0)),""))</f>
        <v/>
      </c>
      <c r="AJ1138" s="49">
        <f>IF(B1138="","",N(C1138))</f>
        <v/>
      </c>
      <c r="AK1138" s="49">
        <f>IF(OR(B1138="",O1138="Cancelled",O1138="Rescheduled"),"",B1138&amp;"|"&amp;(COUNTIFS('JOBS'!$B$5:$B$1504,B1138,'JOBS'!$AJ$5:$AJ$1504,"&lt;"&amp;AJ1138,'JOBS'!$O$5:$O$1504,"&lt;&gt;Cancelled",'JOBS'!$O$5:$O$1504,"&lt;&gt;Rescheduled")+COUNTIFS($B$5:B1138,B1138,$AJ$5:AJ1138,AJ1138,$O$5:O1138,"&lt;&gt;Cancelled",$O$5:O1138,"&lt;&gt;Rescheduled")))</f>
        <v/>
      </c>
      <c r="AL1138" s="49">
        <f>IF(N(U1138)&lt;=0.005,"",COUNTIFS('JOBS'!$U$5:$U$1504,"&gt;0.005",'JOBS'!$B$5:$B$1504,"&lt;"&amp;B1138)+COUNTIFS($U$5:U1138,"&gt;0.005",$B$5:B1138,B1138))</f>
        <v/>
      </c>
    </row>
    <row r="1139">
      <c r="A1139" s="46" t="inlineStr">
        <is>
          <t>J-1135</t>
        </is>
      </c>
      <c r="B1139" s="47" t="n"/>
      <c r="C1139" s="94" t="n"/>
      <c r="D1139" s="38" t="n"/>
      <c r="E1139" s="38" t="n"/>
      <c r="F1139" s="38" t="n"/>
      <c r="G1139" s="38" t="n"/>
      <c r="H1139" s="38" t="n"/>
      <c r="I1139" s="57" t="n"/>
      <c r="J1139" s="95" t="n"/>
      <c r="K1139" s="95" t="n"/>
      <c r="L1139" s="48" t="n"/>
      <c r="M1139" s="96" t="n"/>
      <c r="N1139" s="48" t="n"/>
      <c r="O1139" s="38" t="n"/>
      <c r="P1139" s="38" t="n"/>
      <c r="Q1139" s="97">
        <f>IF(OR(F1139="",E1139=""),"",IFERROR(IF(INDEX('PROPERTIES'!$F$5:$F$404,MATCH(E1139,'PROPERTIES'!$B$5:$B$404,0))=0,"",ROUND((INDEX('PROPERTIES'!$F$5:$F$404,MATCH(E1139,'PROPERTIES'!$B$5:$B$404,0))/INDEX('PRICING'!$C$7:$C$16,MATCH(F1139,'PRICING'!$A$7:$A$16,0))+INDEX('PROPERTIES'!$G$5:$G$404,MATCH(E1139,'PROPERTIES'!$B$5:$B$404,0))*INDEX('PRICING'!$D$7:$D$16,MATCH(F1139,'PRICING'!$A$7:$A$16,0))/60+INDEX('PROPERTIES'!$H$5:$H$404,MATCH(E1139,'PROPERTIES'!$B$5:$B$404,0))*INDEX('PRICING'!$E$7:$E$16,MATCH(F1139,'PRICING'!$A$7:$A$16,0))/60+INDEX('PRICING'!$F$7:$F$16,MATCH(F1139,'PRICING'!$A$7:$A$16,0))/60),2)),""))</f>
        <v/>
      </c>
      <c r="R1139" s="97">
        <f>IF(B1139="","",IF(N(K1139)&gt;0,K1139,IF(N(J1139)&gt;0,J1139,N(Q1139))))</f>
        <v/>
      </c>
      <c r="S1139" s="55">
        <f>IF(L1139="","",ROUND(L1139*(1+N(M1139)),2))</f>
        <v/>
      </c>
      <c r="T1139" s="55">
        <f>IF(B1139="","",SUMIFS('REVENUE'!$C$5:$C$1504,'REVENUE'!$B$5:$B$1504,A1139))</f>
        <v/>
      </c>
      <c r="U1139" s="55">
        <f>IF(B1139="","",IF(O1139="Completed",MAX(0,N(S1139)-T1139),""))</f>
        <v/>
      </c>
      <c r="V1139" s="49">
        <f>IF(B1139="","",IF(O1139&lt;&gt;"Completed",IF(T1139&gt;0,"Deposit","—"),IF(U1139&lt;=0.005,"Paid",IF(T1139&gt;0,"Partial","Unpaid"))))</f>
        <v/>
      </c>
      <c r="W1139" s="55">
        <f>IF(B1139="","",IFERROR(1/(1/INDEX('STAFF &amp; TASKS'!$C$5:$C$24,MATCH(H1139,'STAFF &amp; TASKS'!$A$5:$A$24,0))),PayRate))</f>
        <v/>
      </c>
      <c r="X1139" s="55">
        <f>IF(B1139="","",IF(OR(O1139="Cancelled",O1139="No-Show"),"",ROUND(R1139*W1139*(1+Burden),2)))</f>
        <v/>
      </c>
      <c r="Y1139" s="55">
        <f>IF(B1139="","",IF(OR(O1139="Cancelled",O1139="No-Show"),"",IF(N1139&lt;&gt;"",N1139,ROUND(R1139*SupHr*IFERROR(INDEX('PRICING'!$G$7:$G$16,MATCH(F1139,'PRICING'!$A$7:$A$16,0)),1),2))))</f>
        <v/>
      </c>
      <c r="Z1139" s="98">
        <f>IF(B1139="","",SUMIFS('MILEAGE'!$J$5:$J$1504,'MILEAGE'!$B$5:$B$1504,A1139))</f>
        <v/>
      </c>
      <c r="AA1139" s="55">
        <f>IF(B1139="","",ROUND(Z1139*MileRate,2))</f>
        <v/>
      </c>
      <c r="AB1139" s="55">
        <f>IF(B1139="","",SUMIFS('REVENUE'!$J$5:$J$1504,'REVENUE'!$B$5:$B$1504,A1139))</f>
        <v/>
      </c>
      <c r="AC1139" s="55">
        <f>IF(L1139="","",IF(OR(O1139="Cancelled",O1139="No-Show"),"",L1139-N(X1139)-N(Y1139)-AA1139-AB1139))</f>
        <v/>
      </c>
      <c r="AD1139" s="99">
        <f>IF(OR(AC1139="",N(L1139)=0),"",AC1139/L1139)</f>
        <v/>
      </c>
      <c r="AE1139" s="55">
        <f>IF(OR(AC1139="",N(R1139)=0),"",L1139/R1139)</f>
        <v/>
      </c>
      <c r="AF1139" s="100">
        <f>IF(OR(N(K1139)=0,N(J1139)+N(Q1139)=0),"",K1139-IF(N(J1139)&gt;0,J1139,Q1139))</f>
        <v/>
      </c>
      <c r="AG1139" s="99">
        <f>IF(B1139="","",IFERROR(AVERAGEIFS('QUALITY CONTROL'!$M$5:$M$304,'QUALITY CONTROL'!$B$5:$B$304,A1139),""))</f>
        <v/>
      </c>
      <c r="AH1139" s="51">
        <f>IF(B1139="","",DATE(YEAR(B1139),MONTH(B1139),1))</f>
        <v/>
      </c>
      <c r="AI1139" s="49">
        <f>IF(D1139="","",IFERROR(INDEX('CUSTOMERS'!$E$5:$E$404,MATCH(D1139,'CUSTOMERS'!$B$5:$B$404,0)),""))</f>
        <v/>
      </c>
      <c r="AJ1139" s="49">
        <f>IF(B1139="","",N(C1139))</f>
        <v/>
      </c>
      <c r="AK1139" s="49">
        <f>IF(OR(B1139="",O1139="Cancelled",O1139="Rescheduled"),"",B1139&amp;"|"&amp;(COUNTIFS('JOBS'!$B$5:$B$1504,B1139,'JOBS'!$AJ$5:$AJ$1504,"&lt;"&amp;AJ1139,'JOBS'!$O$5:$O$1504,"&lt;&gt;Cancelled",'JOBS'!$O$5:$O$1504,"&lt;&gt;Rescheduled")+COUNTIFS($B$5:B1139,B1139,$AJ$5:AJ1139,AJ1139,$O$5:O1139,"&lt;&gt;Cancelled",$O$5:O1139,"&lt;&gt;Rescheduled")))</f>
        <v/>
      </c>
      <c r="AL1139" s="49">
        <f>IF(N(U1139)&lt;=0.005,"",COUNTIFS('JOBS'!$U$5:$U$1504,"&gt;0.005",'JOBS'!$B$5:$B$1504,"&lt;"&amp;B1139)+COUNTIFS($U$5:U1139,"&gt;0.005",$B$5:B1139,B1139))</f>
        <v/>
      </c>
    </row>
    <row r="1140">
      <c r="A1140" s="46" t="inlineStr">
        <is>
          <t>J-1136</t>
        </is>
      </c>
      <c r="B1140" s="47" t="n"/>
      <c r="C1140" s="94" t="n"/>
      <c r="D1140" s="38" t="n"/>
      <c r="E1140" s="38" t="n"/>
      <c r="F1140" s="38" t="n"/>
      <c r="G1140" s="38" t="n"/>
      <c r="H1140" s="38" t="n"/>
      <c r="I1140" s="57" t="n"/>
      <c r="J1140" s="95" t="n"/>
      <c r="K1140" s="95" t="n"/>
      <c r="L1140" s="48" t="n"/>
      <c r="M1140" s="96" t="n"/>
      <c r="N1140" s="48" t="n"/>
      <c r="O1140" s="38" t="n"/>
      <c r="P1140" s="38" t="n"/>
      <c r="Q1140" s="97">
        <f>IF(OR(F1140="",E1140=""),"",IFERROR(IF(INDEX('PROPERTIES'!$F$5:$F$404,MATCH(E1140,'PROPERTIES'!$B$5:$B$404,0))=0,"",ROUND((INDEX('PROPERTIES'!$F$5:$F$404,MATCH(E1140,'PROPERTIES'!$B$5:$B$404,0))/INDEX('PRICING'!$C$7:$C$16,MATCH(F1140,'PRICING'!$A$7:$A$16,0))+INDEX('PROPERTIES'!$G$5:$G$404,MATCH(E1140,'PROPERTIES'!$B$5:$B$404,0))*INDEX('PRICING'!$D$7:$D$16,MATCH(F1140,'PRICING'!$A$7:$A$16,0))/60+INDEX('PROPERTIES'!$H$5:$H$404,MATCH(E1140,'PROPERTIES'!$B$5:$B$404,0))*INDEX('PRICING'!$E$7:$E$16,MATCH(F1140,'PRICING'!$A$7:$A$16,0))/60+INDEX('PRICING'!$F$7:$F$16,MATCH(F1140,'PRICING'!$A$7:$A$16,0))/60),2)),""))</f>
        <v/>
      </c>
      <c r="R1140" s="97">
        <f>IF(B1140="","",IF(N(K1140)&gt;0,K1140,IF(N(J1140)&gt;0,J1140,N(Q1140))))</f>
        <v/>
      </c>
      <c r="S1140" s="55">
        <f>IF(L1140="","",ROUND(L1140*(1+N(M1140)),2))</f>
        <v/>
      </c>
      <c r="T1140" s="55">
        <f>IF(B1140="","",SUMIFS('REVENUE'!$C$5:$C$1504,'REVENUE'!$B$5:$B$1504,A1140))</f>
        <v/>
      </c>
      <c r="U1140" s="55">
        <f>IF(B1140="","",IF(O1140="Completed",MAX(0,N(S1140)-T1140),""))</f>
        <v/>
      </c>
      <c r="V1140" s="49">
        <f>IF(B1140="","",IF(O1140&lt;&gt;"Completed",IF(T1140&gt;0,"Deposit","—"),IF(U1140&lt;=0.005,"Paid",IF(T1140&gt;0,"Partial","Unpaid"))))</f>
        <v/>
      </c>
      <c r="W1140" s="55">
        <f>IF(B1140="","",IFERROR(1/(1/INDEX('STAFF &amp; TASKS'!$C$5:$C$24,MATCH(H1140,'STAFF &amp; TASKS'!$A$5:$A$24,0))),PayRate))</f>
        <v/>
      </c>
      <c r="X1140" s="55">
        <f>IF(B1140="","",IF(OR(O1140="Cancelled",O1140="No-Show"),"",ROUND(R1140*W1140*(1+Burden),2)))</f>
        <v/>
      </c>
      <c r="Y1140" s="55">
        <f>IF(B1140="","",IF(OR(O1140="Cancelled",O1140="No-Show"),"",IF(N1140&lt;&gt;"",N1140,ROUND(R1140*SupHr*IFERROR(INDEX('PRICING'!$G$7:$G$16,MATCH(F1140,'PRICING'!$A$7:$A$16,0)),1),2))))</f>
        <v/>
      </c>
      <c r="Z1140" s="98">
        <f>IF(B1140="","",SUMIFS('MILEAGE'!$J$5:$J$1504,'MILEAGE'!$B$5:$B$1504,A1140))</f>
        <v/>
      </c>
      <c r="AA1140" s="55">
        <f>IF(B1140="","",ROUND(Z1140*MileRate,2))</f>
        <v/>
      </c>
      <c r="AB1140" s="55">
        <f>IF(B1140="","",SUMIFS('REVENUE'!$J$5:$J$1504,'REVENUE'!$B$5:$B$1504,A1140))</f>
        <v/>
      </c>
      <c r="AC1140" s="55">
        <f>IF(L1140="","",IF(OR(O1140="Cancelled",O1140="No-Show"),"",L1140-N(X1140)-N(Y1140)-AA1140-AB1140))</f>
        <v/>
      </c>
      <c r="AD1140" s="99">
        <f>IF(OR(AC1140="",N(L1140)=0),"",AC1140/L1140)</f>
        <v/>
      </c>
      <c r="AE1140" s="55">
        <f>IF(OR(AC1140="",N(R1140)=0),"",L1140/R1140)</f>
        <v/>
      </c>
      <c r="AF1140" s="100">
        <f>IF(OR(N(K1140)=0,N(J1140)+N(Q1140)=0),"",K1140-IF(N(J1140)&gt;0,J1140,Q1140))</f>
        <v/>
      </c>
      <c r="AG1140" s="99">
        <f>IF(B1140="","",IFERROR(AVERAGEIFS('QUALITY CONTROL'!$M$5:$M$304,'QUALITY CONTROL'!$B$5:$B$304,A1140),""))</f>
        <v/>
      </c>
      <c r="AH1140" s="51">
        <f>IF(B1140="","",DATE(YEAR(B1140),MONTH(B1140),1))</f>
        <v/>
      </c>
      <c r="AI1140" s="49">
        <f>IF(D1140="","",IFERROR(INDEX('CUSTOMERS'!$E$5:$E$404,MATCH(D1140,'CUSTOMERS'!$B$5:$B$404,0)),""))</f>
        <v/>
      </c>
      <c r="AJ1140" s="49">
        <f>IF(B1140="","",N(C1140))</f>
        <v/>
      </c>
      <c r="AK1140" s="49">
        <f>IF(OR(B1140="",O1140="Cancelled",O1140="Rescheduled"),"",B1140&amp;"|"&amp;(COUNTIFS('JOBS'!$B$5:$B$1504,B1140,'JOBS'!$AJ$5:$AJ$1504,"&lt;"&amp;AJ1140,'JOBS'!$O$5:$O$1504,"&lt;&gt;Cancelled",'JOBS'!$O$5:$O$1504,"&lt;&gt;Rescheduled")+COUNTIFS($B$5:B1140,B1140,$AJ$5:AJ1140,AJ1140,$O$5:O1140,"&lt;&gt;Cancelled",$O$5:O1140,"&lt;&gt;Rescheduled")))</f>
        <v/>
      </c>
      <c r="AL1140" s="49">
        <f>IF(N(U1140)&lt;=0.005,"",COUNTIFS('JOBS'!$U$5:$U$1504,"&gt;0.005",'JOBS'!$B$5:$B$1504,"&lt;"&amp;B1140)+COUNTIFS($U$5:U1140,"&gt;0.005",$B$5:B1140,B1140))</f>
        <v/>
      </c>
    </row>
    <row r="1141">
      <c r="A1141" s="46" t="inlineStr">
        <is>
          <t>J-1137</t>
        </is>
      </c>
      <c r="B1141" s="47" t="n"/>
      <c r="C1141" s="94" t="n"/>
      <c r="D1141" s="38" t="n"/>
      <c r="E1141" s="38" t="n"/>
      <c r="F1141" s="38" t="n"/>
      <c r="G1141" s="38" t="n"/>
      <c r="H1141" s="38" t="n"/>
      <c r="I1141" s="57" t="n"/>
      <c r="J1141" s="95" t="n"/>
      <c r="K1141" s="95" t="n"/>
      <c r="L1141" s="48" t="n"/>
      <c r="M1141" s="96" t="n"/>
      <c r="N1141" s="48" t="n"/>
      <c r="O1141" s="38" t="n"/>
      <c r="P1141" s="38" t="n"/>
      <c r="Q1141" s="97">
        <f>IF(OR(F1141="",E1141=""),"",IFERROR(IF(INDEX('PROPERTIES'!$F$5:$F$404,MATCH(E1141,'PROPERTIES'!$B$5:$B$404,0))=0,"",ROUND((INDEX('PROPERTIES'!$F$5:$F$404,MATCH(E1141,'PROPERTIES'!$B$5:$B$404,0))/INDEX('PRICING'!$C$7:$C$16,MATCH(F1141,'PRICING'!$A$7:$A$16,0))+INDEX('PROPERTIES'!$G$5:$G$404,MATCH(E1141,'PROPERTIES'!$B$5:$B$404,0))*INDEX('PRICING'!$D$7:$D$16,MATCH(F1141,'PRICING'!$A$7:$A$16,0))/60+INDEX('PROPERTIES'!$H$5:$H$404,MATCH(E1141,'PROPERTIES'!$B$5:$B$404,0))*INDEX('PRICING'!$E$7:$E$16,MATCH(F1141,'PRICING'!$A$7:$A$16,0))/60+INDEX('PRICING'!$F$7:$F$16,MATCH(F1141,'PRICING'!$A$7:$A$16,0))/60),2)),""))</f>
        <v/>
      </c>
      <c r="R1141" s="97">
        <f>IF(B1141="","",IF(N(K1141)&gt;0,K1141,IF(N(J1141)&gt;0,J1141,N(Q1141))))</f>
        <v/>
      </c>
      <c r="S1141" s="55">
        <f>IF(L1141="","",ROUND(L1141*(1+N(M1141)),2))</f>
        <v/>
      </c>
      <c r="T1141" s="55">
        <f>IF(B1141="","",SUMIFS('REVENUE'!$C$5:$C$1504,'REVENUE'!$B$5:$B$1504,A1141))</f>
        <v/>
      </c>
      <c r="U1141" s="55">
        <f>IF(B1141="","",IF(O1141="Completed",MAX(0,N(S1141)-T1141),""))</f>
        <v/>
      </c>
      <c r="V1141" s="49">
        <f>IF(B1141="","",IF(O1141&lt;&gt;"Completed",IF(T1141&gt;0,"Deposit","—"),IF(U1141&lt;=0.005,"Paid",IF(T1141&gt;0,"Partial","Unpaid"))))</f>
        <v/>
      </c>
      <c r="W1141" s="55">
        <f>IF(B1141="","",IFERROR(1/(1/INDEX('STAFF &amp; TASKS'!$C$5:$C$24,MATCH(H1141,'STAFF &amp; TASKS'!$A$5:$A$24,0))),PayRate))</f>
        <v/>
      </c>
      <c r="X1141" s="55">
        <f>IF(B1141="","",IF(OR(O1141="Cancelled",O1141="No-Show"),"",ROUND(R1141*W1141*(1+Burden),2)))</f>
        <v/>
      </c>
      <c r="Y1141" s="55">
        <f>IF(B1141="","",IF(OR(O1141="Cancelled",O1141="No-Show"),"",IF(N1141&lt;&gt;"",N1141,ROUND(R1141*SupHr*IFERROR(INDEX('PRICING'!$G$7:$G$16,MATCH(F1141,'PRICING'!$A$7:$A$16,0)),1),2))))</f>
        <v/>
      </c>
      <c r="Z1141" s="98">
        <f>IF(B1141="","",SUMIFS('MILEAGE'!$J$5:$J$1504,'MILEAGE'!$B$5:$B$1504,A1141))</f>
        <v/>
      </c>
      <c r="AA1141" s="55">
        <f>IF(B1141="","",ROUND(Z1141*MileRate,2))</f>
        <v/>
      </c>
      <c r="AB1141" s="55">
        <f>IF(B1141="","",SUMIFS('REVENUE'!$J$5:$J$1504,'REVENUE'!$B$5:$B$1504,A1141))</f>
        <v/>
      </c>
      <c r="AC1141" s="55">
        <f>IF(L1141="","",IF(OR(O1141="Cancelled",O1141="No-Show"),"",L1141-N(X1141)-N(Y1141)-AA1141-AB1141))</f>
        <v/>
      </c>
      <c r="AD1141" s="99">
        <f>IF(OR(AC1141="",N(L1141)=0),"",AC1141/L1141)</f>
        <v/>
      </c>
      <c r="AE1141" s="55">
        <f>IF(OR(AC1141="",N(R1141)=0),"",L1141/R1141)</f>
        <v/>
      </c>
      <c r="AF1141" s="100">
        <f>IF(OR(N(K1141)=0,N(J1141)+N(Q1141)=0),"",K1141-IF(N(J1141)&gt;0,J1141,Q1141))</f>
        <v/>
      </c>
      <c r="AG1141" s="99">
        <f>IF(B1141="","",IFERROR(AVERAGEIFS('QUALITY CONTROL'!$M$5:$M$304,'QUALITY CONTROL'!$B$5:$B$304,A1141),""))</f>
        <v/>
      </c>
      <c r="AH1141" s="51">
        <f>IF(B1141="","",DATE(YEAR(B1141),MONTH(B1141),1))</f>
        <v/>
      </c>
      <c r="AI1141" s="49">
        <f>IF(D1141="","",IFERROR(INDEX('CUSTOMERS'!$E$5:$E$404,MATCH(D1141,'CUSTOMERS'!$B$5:$B$404,0)),""))</f>
        <v/>
      </c>
      <c r="AJ1141" s="49">
        <f>IF(B1141="","",N(C1141))</f>
        <v/>
      </c>
      <c r="AK1141" s="49">
        <f>IF(OR(B1141="",O1141="Cancelled",O1141="Rescheduled"),"",B1141&amp;"|"&amp;(COUNTIFS('JOBS'!$B$5:$B$1504,B1141,'JOBS'!$AJ$5:$AJ$1504,"&lt;"&amp;AJ1141,'JOBS'!$O$5:$O$1504,"&lt;&gt;Cancelled",'JOBS'!$O$5:$O$1504,"&lt;&gt;Rescheduled")+COUNTIFS($B$5:B1141,B1141,$AJ$5:AJ1141,AJ1141,$O$5:O1141,"&lt;&gt;Cancelled",$O$5:O1141,"&lt;&gt;Rescheduled")))</f>
        <v/>
      </c>
      <c r="AL1141" s="49">
        <f>IF(N(U1141)&lt;=0.005,"",COUNTIFS('JOBS'!$U$5:$U$1504,"&gt;0.005",'JOBS'!$B$5:$B$1504,"&lt;"&amp;B1141)+COUNTIFS($U$5:U1141,"&gt;0.005",$B$5:B1141,B1141))</f>
        <v/>
      </c>
    </row>
    <row r="1142">
      <c r="A1142" s="46" t="inlineStr">
        <is>
          <t>J-1138</t>
        </is>
      </c>
      <c r="B1142" s="47" t="n"/>
      <c r="C1142" s="94" t="n"/>
      <c r="D1142" s="38" t="n"/>
      <c r="E1142" s="38" t="n"/>
      <c r="F1142" s="38" t="n"/>
      <c r="G1142" s="38" t="n"/>
      <c r="H1142" s="38" t="n"/>
      <c r="I1142" s="57" t="n"/>
      <c r="J1142" s="95" t="n"/>
      <c r="K1142" s="95" t="n"/>
      <c r="L1142" s="48" t="n"/>
      <c r="M1142" s="96" t="n"/>
      <c r="N1142" s="48" t="n"/>
      <c r="O1142" s="38" t="n"/>
      <c r="P1142" s="38" t="n"/>
      <c r="Q1142" s="97">
        <f>IF(OR(F1142="",E1142=""),"",IFERROR(IF(INDEX('PROPERTIES'!$F$5:$F$404,MATCH(E1142,'PROPERTIES'!$B$5:$B$404,0))=0,"",ROUND((INDEX('PROPERTIES'!$F$5:$F$404,MATCH(E1142,'PROPERTIES'!$B$5:$B$404,0))/INDEX('PRICING'!$C$7:$C$16,MATCH(F1142,'PRICING'!$A$7:$A$16,0))+INDEX('PROPERTIES'!$G$5:$G$404,MATCH(E1142,'PROPERTIES'!$B$5:$B$404,0))*INDEX('PRICING'!$D$7:$D$16,MATCH(F1142,'PRICING'!$A$7:$A$16,0))/60+INDEX('PROPERTIES'!$H$5:$H$404,MATCH(E1142,'PROPERTIES'!$B$5:$B$404,0))*INDEX('PRICING'!$E$7:$E$16,MATCH(F1142,'PRICING'!$A$7:$A$16,0))/60+INDEX('PRICING'!$F$7:$F$16,MATCH(F1142,'PRICING'!$A$7:$A$16,0))/60),2)),""))</f>
        <v/>
      </c>
      <c r="R1142" s="97">
        <f>IF(B1142="","",IF(N(K1142)&gt;0,K1142,IF(N(J1142)&gt;0,J1142,N(Q1142))))</f>
        <v/>
      </c>
      <c r="S1142" s="55">
        <f>IF(L1142="","",ROUND(L1142*(1+N(M1142)),2))</f>
        <v/>
      </c>
      <c r="T1142" s="55">
        <f>IF(B1142="","",SUMIFS('REVENUE'!$C$5:$C$1504,'REVENUE'!$B$5:$B$1504,A1142))</f>
        <v/>
      </c>
      <c r="U1142" s="55">
        <f>IF(B1142="","",IF(O1142="Completed",MAX(0,N(S1142)-T1142),""))</f>
        <v/>
      </c>
      <c r="V1142" s="49">
        <f>IF(B1142="","",IF(O1142&lt;&gt;"Completed",IF(T1142&gt;0,"Deposit","—"),IF(U1142&lt;=0.005,"Paid",IF(T1142&gt;0,"Partial","Unpaid"))))</f>
        <v/>
      </c>
      <c r="W1142" s="55">
        <f>IF(B1142="","",IFERROR(1/(1/INDEX('STAFF &amp; TASKS'!$C$5:$C$24,MATCH(H1142,'STAFF &amp; TASKS'!$A$5:$A$24,0))),PayRate))</f>
        <v/>
      </c>
      <c r="X1142" s="55">
        <f>IF(B1142="","",IF(OR(O1142="Cancelled",O1142="No-Show"),"",ROUND(R1142*W1142*(1+Burden),2)))</f>
        <v/>
      </c>
      <c r="Y1142" s="55">
        <f>IF(B1142="","",IF(OR(O1142="Cancelled",O1142="No-Show"),"",IF(N1142&lt;&gt;"",N1142,ROUND(R1142*SupHr*IFERROR(INDEX('PRICING'!$G$7:$G$16,MATCH(F1142,'PRICING'!$A$7:$A$16,0)),1),2))))</f>
        <v/>
      </c>
      <c r="Z1142" s="98">
        <f>IF(B1142="","",SUMIFS('MILEAGE'!$J$5:$J$1504,'MILEAGE'!$B$5:$B$1504,A1142))</f>
        <v/>
      </c>
      <c r="AA1142" s="55">
        <f>IF(B1142="","",ROUND(Z1142*MileRate,2))</f>
        <v/>
      </c>
      <c r="AB1142" s="55">
        <f>IF(B1142="","",SUMIFS('REVENUE'!$J$5:$J$1504,'REVENUE'!$B$5:$B$1504,A1142))</f>
        <v/>
      </c>
      <c r="AC1142" s="55">
        <f>IF(L1142="","",IF(OR(O1142="Cancelled",O1142="No-Show"),"",L1142-N(X1142)-N(Y1142)-AA1142-AB1142))</f>
        <v/>
      </c>
      <c r="AD1142" s="99">
        <f>IF(OR(AC1142="",N(L1142)=0),"",AC1142/L1142)</f>
        <v/>
      </c>
      <c r="AE1142" s="55">
        <f>IF(OR(AC1142="",N(R1142)=0),"",L1142/R1142)</f>
        <v/>
      </c>
      <c r="AF1142" s="100">
        <f>IF(OR(N(K1142)=0,N(J1142)+N(Q1142)=0),"",K1142-IF(N(J1142)&gt;0,J1142,Q1142))</f>
        <v/>
      </c>
      <c r="AG1142" s="99">
        <f>IF(B1142="","",IFERROR(AVERAGEIFS('QUALITY CONTROL'!$M$5:$M$304,'QUALITY CONTROL'!$B$5:$B$304,A1142),""))</f>
        <v/>
      </c>
      <c r="AH1142" s="51">
        <f>IF(B1142="","",DATE(YEAR(B1142),MONTH(B1142),1))</f>
        <v/>
      </c>
      <c r="AI1142" s="49">
        <f>IF(D1142="","",IFERROR(INDEX('CUSTOMERS'!$E$5:$E$404,MATCH(D1142,'CUSTOMERS'!$B$5:$B$404,0)),""))</f>
        <v/>
      </c>
      <c r="AJ1142" s="49">
        <f>IF(B1142="","",N(C1142))</f>
        <v/>
      </c>
      <c r="AK1142" s="49">
        <f>IF(OR(B1142="",O1142="Cancelled",O1142="Rescheduled"),"",B1142&amp;"|"&amp;(COUNTIFS('JOBS'!$B$5:$B$1504,B1142,'JOBS'!$AJ$5:$AJ$1504,"&lt;"&amp;AJ1142,'JOBS'!$O$5:$O$1504,"&lt;&gt;Cancelled",'JOBS'!$O$5:$O$1504,"&lt;&gt;Rescheduled")+COUNTIFS($B$5:B1142,B1142,$AJ$5:AJ1142,AJ1142,$O$5:O1142,"&lt;&gt;Cancelled",$O$5:O1142,"&lt;&gt;Rescheduled")))</f>
        <v/>
      </c>
      <c r="AL1142" s="49">
        <f>IF(N(U1142)&lt;=0.005,"",COUNTIFS('JOBS'!$U$5:$U$1504,"&gt;0.005",'JOBS'!$B$5:$B$1504,"&lt;"&amp;B1142)+COUNTIFS($U$5:U1142,"&gt;0.005",$B$5:B1142,B1142))</f>
        <v/>
      </c>
    </row>
    <row r="1143">
      <c r="A1143" s="46" t="inlineStr">
        <is>
          <t>J-1139</t>
        </is>
      </c>
      <c r="B1143" s="47" t="n"/>
      <c r="C1143" s="94" t="n"/>
      <c r="D1143" s="38" t="n"/>
      <c r="E1143" s="38" t="n"/>
      <c r="F1143" s="38" t="n"/>
      <c r="G1143" s="38" t="n"/>
      <c r="H1143" s="38" t="n"/>
      <c r="I1143" s="57" t="n"/>
      <c r="J1143" s="95" t="n"/>
      <c r="K1143" s="95" t="n"/>
      <c r="L1143" s="48" t="n"/>
      <c r="M1143" s="96" t="n"/>
      <c r="N1143" s="48" t="n"/>
      <c r="O1143" s="38" t="n"/>
      <c r="P1143" s="38" t="n"/>
      <c r="Q1143" s="97">
        <f>IF(OR(F1143="",E1143=""),"",IFERROR(IF(INDEX('PROPERTIES'!$F$5:$F$404,MATCH(E1143,'PROPERTIES'!$B$5:$B$404,0))=0,"",ROUND((INDEX('PROPERTIES'!$F$5:$F$404,MATCH(E1143,'PROPERTIES'!$B$5:$B$404,0))/INDEX('PRICING'!$C$7:$C$16,MATCH(F1143,'PRICING'!$A$7:$A$16,0))+INDEX('PROPERTIES'!$G$5:$G$404,MATCH(E1143,'PROPERTIES'!$B$5:$B$404,0))*INDEX('PRICING'!$D$7:$D$16,MATCH(F1143,'PRICING'!$A$7:$A$16,0))/60+INDEX('PROPERTIES'!$H$5:$H$404,MATCH(E1143,'PROPERTIES'!$B$5:$B$404,0))*INDEX('PRICING'!$E$7:$E$16,MATCH(F1143,'PRICING'!$A$7:$A$16,0))/60+INDEX('PRICING'!$F$7:$F$16,MATCH(F1143,'PRICING'!$A$7:$A$16,0))/60),2)),""))</f>
        <v/>
      </c>
      <c r="R1143" s="97">
        <f>IF(B1143="","",IF(N(K1143)&gt;0,K1143,IF(N(J1143)&gt;0,J1143,N(Q1143))))</f>
        <v/>
      </c>
      <c r="S1143" s="55">
        <f>IF(L1143="","",ROUND(L1143*(1+N(M1143)),2))</f>
        <v/>
      </c>
      <c r="T1143" s="55">
        <f>IF(B1143="","",SUMIFS('REVENUE'!$C$5:$C$1504,'REVENUE'!$B$5:$B$1504,A1143))</f>
        <v/>
      </c>
      <c r="U1143" s="55">
        <f>IF(B1143="","",IF(O1143="Completed",MAX(0,N(S1143)-T1143),""))</f>
        <v/>
      </c>
      <c r="V1143" s="49">
        <f>IF(B1143="","",IF(O1143&lt;&gt;"Completed",IF(T1143&gt;0,"Deposit","—"),IF(U1143&lt;=0.005,"Paid",IF(T1143&gt;0,"Partial","Unpaid"))))</f>
        <v/>
      </c>
      <c r="W1143" s="55">
        <f>IF(B1143="","",IFERROR(1/(1/INDEX('STAFF &amp; TASKS'!$C$5:$C$24,MATCH(H1143,'STAFF &amp; TASKS'!$A$5:$A$24,0))),PayRate))</f>
        <v/>
      </c>
      <c r="X1143" s="55">
        <f>IF(B1143="","",IF(OR(O1143="Cancelled",O1143="No-Show"),"",ROUND(R1143*W1143*(1+Burden),2)))</f>
        <v/>
      </c>
      <c r="Y1143" s="55">
        <f>IF(B1143="","",IF(OR(O1143="Cancelled",O1143="No-Show"),"",IF(N1143&lt;&gt;"",N1143,ROUND(R1143*SupHr*IFERROR(INDEX('PRICING'!$G$7:$G$16,MATCH(F1143,'PRICING'!$A$7:$A$16,0)),1),2))))</f>
        <v/>
      </c>
      <c r="Z1143" s="98">
        <f>IF(B1143="","",SUMIFS('MILEAGE'!$J$5:$J$1504,'MILEAGE'!$B$5:$B$1504,A1143))</f>
        <v/>
      </c>
      <c r="AA1143" s="55">
        <f>IF(B1143="","",ROUND(Z1143*MileRate,2))</f>
        <v/>
      </c>
      <c r="AB1143" s="55">
        <f>IF(B1143="","",SUMIFS('REVENUE'!$J$5:$J$1504,'REVENUE'!$B$5:$B$1504,A1143))</f>
        <v/>
      </c>
      <c r="AC1143" s="55">
        <f>IF(L1143="","",IF(OR(O1143="Cancelled",O1143="No-Show"),"",L1143-N(X1143)-N(Y1143)-AA1143-AB1143))</f>
        <v/>
      </c>
      <c r="AD1143" s="99">
        <f>IF(OR(AC1143="",N(L1143)=0),"",AC1143/L1143)</f>
        <v/>
      </c>
      <c r="AE1143" s="55">
        <f>IF(OR(AC1143="",N(R1143)=0),"",L1143/R1143)</f>
        <v/>
      </c>
      <c r="AF1143" s="100">
        <f>IF(OR(N(K1143)=0,N(J1143)+N(Q1143)=0),"",K1143-IF(N(J1143)&gt;0,J1143,Q1143))</f>
        <v/>
      </c>
      <c r="AG1143" s="99">
        <f>IF(B1143="","",IFERROR(AVERAGEIFS('QUALITY CONTROL'!$M$5:$M$304,'QUALITY CONTROL'!$B$5:$B$304,A1143),""))</f>
        <v/>
      </c>
      <c r="AH1143" s="51">
        <f>IF(B1143="","",DATE(YEAR(B1143),MONTH(B1143),1))</f>
        <v/>
      </c>
      <c r="AI1143" s="49">
        <f>IF(D1143="","",IFERROR(INDEX('CUSTOMERS'!$E$5:$E$404,MATCH(D1143,'CUSTOMERS'!$B$5:$B$404,0)),""))</f>
        <v/>
      </c>
      <c r="AJ1143" s="49">
        <f>IF(B1143="","",N(C1143))</f>
        <v/>
      </c>
      <c r="AK1143" s="49">
        <f>IF(OR(B1143="",O1143="Cancelled",O1143="Rescheduled"),"",B1143&amp;"|"&amp;(COUNTIFS('JOBS'!$B$5:$B$1504,B1143,'JOBS'!$AJ$5:$AJ$1504,"&lt;"&amp;AJ1143,'JOBS'!$O$5:$O$1504,"&lt;&gt;Cancelled",'JOBS'!$O$5:$O$1504,"&lt;&gt;Rescheduled")+COUNTIFS($B$5:B1143,B1143,$AJ$5:AJ1143,AJ1143,$O$5:O1143,"&lt;&gt;Cancelled",$O$5:O1143,"&lt;&gt;Rescheduled")))</f>
        <v/>
      </c>
      <c r="AL1143" s="49">
        <f>IF(N(U1143)&lt;=0.005,"",COUNTIFS('JOBS'!$U$5:$U$1504,"&gt;0.005",'JOBS'!$B$5:$B$1504,"&lt;"&amp;B1143)+COUNTIFS($U$5:U1143,"&gt;0.005",$B$5:B1143,B1143))</f>
        <v/>
      </c>
    </row>
    <row r="1144">
      <c r="A1144" s="46" t="inlineStr">
        <is>
          <t>J-1140</t>
        </is>
      </c>
      <c r="B1144" s="47" t="n"/>
      <c r="C1144" s="94" t="n"/>
      <c r="D1144" s="38" t="n"/>
      <c r="E1144" s="38" t="n"/>
      <c r="F1144" s="38" t="n"/>
      <c r="G1144" s="38" t="n"/>
      <c r="H1144" s="38" t="n"/>
      <c r="I1144" s="57" t="n"/>
      <c r="J1144" s="95" t="n"/>
      <c r="K1144" s="95" t="n"/>
      <c r="L1144" s="48" t="n"/>
      <c r="M1144" s="96" t="n"/>
      <c r="N1144" s="48" t="n"/>
      <c r="O1144" s="38" t="n"/>
      <c r="P1144" s="38" t="n"/>
      <c r="Q1144" s="97">
        <f>IF(OR(F1144="",E1144=""),"",IFERROR(IF(INDEX('PROPERTIES'!$F$5:$F$404,MATCH(E1144,'PROPERTIES'!$B$5:$B$404,0))=0,"",ROUND((INDEX('PROPERTIES'!$F$5:$F$404,MATCH(E1144,'PROPERTIES'!$B$5:$B$404,0))/INDEX('PRICING'!$C$7:$C$16,MATCH(F1144,'PRICING'!$A$7:$A$16,0))+INDEX('PROPERTIES'!$G$5:$G$404,MATCH(E1144,'PROPERTIES'!$B$5:$B$404,0))*INDEX('PRICING'!$D$7:$D$16,MATCH(F1144,'PRICING'!$A$7:$A$16,0))/60+INDEX('PROPERTIES'!$H$5:$H$404,MATCH(E1144,'PROPERTIES'!$B$5:$B$404,0))*INDEX('PRICING'!$E$7:$E$16,MATCH(F1144,'PRICING'!$A$7:$A$16,0))/60+INDEX('PRICING'!$F$7:$F$16,MATCH(F1144,'PRICING'!$A$7:$A$16,0))/60),2)),""))</f>
        <v/>
      </c>
      <c r="R1144" s="97">
        <f>IF(B1144="","",IF(N(K1144)&gt;0,K1144,IF(N(J1144)&gt;0,J1144,N(Q1144))))</f>
        <v/>
      </c>
      <c r="S1144" s="55">
        <f>IF(L1144="","",ROUND(L1144*(1+N(M1144)),2))</f>
        <v/>
      </c>
      <c r="T1144" s="55">
        <f>IF(B1144="","",SUMIFS('REVENUE'!$C$5:$C$1504,'REVENUE'!$B$5:$B$1504,A1144))</f>
        <v/>
      </c>
      <c r="U1144" s="55">
        <f>IF(B1144="","",IF(O1144="Completed",MAX(0,N(S1144)-T1144),""))</f>
        <v/>
      </c>
      <c r="V1144" s="49">
        <f>IF(B1144="","",IF(O1144&lt;&gt;"Completed",IF(T1144&gt;0,"Deposit","—"),IF(U1144&lt;=0.005,"Paid",IF(T1144&gt;0,"Partial","Unpaid"))))</f>
        <v/>
      </c>
      <c r="W1144" s="55">
        <f>IF(B1144="","",IFERROR(1/(1/INDEX('STAFF &amp; TASKS'!$C$5:$C$24,MATCH(H1144,'STAFF &amp; TASKS'!$A$5:$A$24,0))),PayRate))</f>
        <v/>
      </c>
      <c r="X1144" s="55">
        <f>IF(B1144="","",IF(OR(O1144="Cancelled",O1144="No-Show"),"",ROUND(R1144*W1144*(1+Burden),2)))</f>
        <v/>
      </c>
      <c r="Y1144" s="55">
        <f>IF(B1144="","",IF(OR(O1144="Cancelled",O1144="No-Show"),"",IF(N1144&lt;&gt;"",N1144,ROUND(R1144*SupHr*IFERROR(INDEX('PRICING'!$G$7:$G$16,MATCH(F1144,'PRICING'!$A$7:$A$16,0)),1),2))))</f>
        <v/>
      </c>
      <c r="Z1144" s="98">
        <f>IF(B1144="","",SUMIFS('MILEAGE'!$J$5:$J$1504,'MILEAGE'!$B$5:$B$1504,A1144))</f>
        <v/>
      </c>
      <c r="AA1144" s="55">
        <f>IF(B1144="","",ROUND(Z1144*MileRate,2))</f>
        <v/>
      </c>
      <c r="AB1144" s="55">
        <f>IF(B1144="","",SUMIFS('REVENUE'!$J$5:$J$1504,'REVENUE'!$B$5:$B$1504,A1144))</f>
        <v/>
      </c>
      <c r="AC1144" s="55">
        <f>IF(L1144="","",IF(OR(O1144="Cancelled",O1144="No-Show"),"",L1144-N(X1144)-N(Y1144)-AA1144-AB1144))</f>
        <v/>
      </c>
      <c r="AD1144" s="99">
        <f>IF(OR(AC1144="",N(L1144)=0),"",AC1144/L1144)</f>
        <v/>
      </c>
      <c r="AE1144" s="55">
        <f>IF(OR(AC1144="",N(R1144)=0),"",L1144/R1144)</f>
        <v/>
      </c>
      <c r="AF1144" s="100">
        <f>IF(OR(N(K1144)=0,N(J1144)+N(Q1144)=0),"",K1144-IF(N(J1144)&gt;0,J1144,Q1144))</f>
        <v/>
      </c>
      <c r="AG1144" s="99">
        <f>IF(B1144="","",IFERROR(AVERAGEIFS('QUALITY CONTROL'!$M$5:$M$304,'QUALITY CONTROL'!$B$5:$B$304,A1144),""))</f>
        <v/>
      </c>
      <c r="AH1144" s="51">
        <f>IF(B1144="","",DATE(YEAR(B1144),MONTH(B1144),1))</f>
        <v/>
      </c>
      <c r="AI1144" s="49">
        <f>IF(D1144="","",IFERROR(INDEX('CUSTOMERS'!$E$5:$E$404,MATCH(D1144,'CUSTOMERS'!$B$5:$B$404,0)),""))</f>
        <v/>
      </c>
      <c r="AJ1144" s="49">
        <f>IF(B1144="","",N(C1144))</f>
        <v/>
      </c>
      <c r="AK1144" s="49">
        <f>IF(OR(B1144="",O1144="Cancelled",O1144="Rescheduled"),"",B1144&amp;"|"&amp;(COUNTIFS('JOBS'!$B$5:$B$1504,B1144,'JOBS'!$AJ$5:$AJ$1504,"&lt;"&amp;AJ1144,'JOBS'!$O$5:$O$1504,"&lt;&gt;Cancelled",'JOBS'!$O$5:$O$1504,"&lt;&gt;Rescheduled")+COUNTIFS($B$5:B1144,B1144,$AJ$5:AJ1144,AJ1144,$O$5:O1144,"&lt;&gt;Cancelled",$O$5:O1144,"&lt;&gt;Rescheduled")))</f>
        <v/>
      </c>
      <c r="AL1144" s="49">
        <f>IF(N(U1144)&lt;=0.005,"",COUNTIFS('JOBS'!$U$5:$U$1504,"&gt;0.005",'JOBS'!$B$5:$B$1504,"&lt;"&amp;B1144)+COUNTIFS($U$5:U1144,"&gt;0.005",$B$5:B1144,B1144))</f>
        <v/>
      </c>
    </row>
    <row r="1145">
      <c r="A1145" s="46" t="inlineStr">
        <is>
          <t>J-1141</t>
        </is>
      </c>
      <c r="B1145" s="47" t="n"/>
      <c r="C1145" s="94" t="n"/>
      <c r="D1145" s="38" t="n"/>
      <c r="E1145" s="38" t="n"/>
      <c r="F1145" s="38" t="n"/>
      <c r="G1145" s="38" t="n"/>
      <c r="H1145" s="38" t="n"/>
      <c r="I1145" s="57" t="n"/>
      <c r="J1145" s="95" t="n"/>
      <c r="K1145" s="95" t="n"/>
      <c r="L1145" s="48" t="n"/>
      <c r="M1145" s="96" t="n"/>
      <c r="N1145" s="48" t="n"/>
      <c r="O1145" s="38" t="n"/>
      <c r="P1145" s="38" t="n"/>
      <c r="Q1145" s="97">
        <f>IF(OR(F1145="",E1145=""),"",IFERROR(IF(INDEX('PROPERTIES'!$F$5:$F$404,MATCH(E1145,'PROPERTIES'!$B$5:$B$404,0))=0,"",ROUND((INDEX('PROPERTIES'!$F$5:$F$404,MATCH(E1145,'PROPERTIES'!$B$5:$B$404,0))/INDEX('PRICING'!$C$7:$C$16,MATCH(F1145,'PRICING'!$A$7:$A$16,0))+INDEX('PROPERTIES'!$G$5:$G$404,MATCH(E1145,'PROPERTIES'!$B$5:$B$404,0))*INDEX('PRICING'!$D$7:$D$16,MATCH(F1145,'PRICING'!$A$7:$A$16,0))/60+INDEX('PROPERTIES'!$H$5:$H$404,MATCH(E1145,'PROPERTIES'!$B$5:$B$404,0))*INDEX('PRICING'!$E$7:$E$16,MATCH(F1145,'PRICING'!$A$7:$A$16,0))/60+INDEX('PRICING'!$F$7:$F$16,MATCH(F1145,'PRICING'!$A$7:$A$16,0))/60),2)),""))</f>
        <v/>
      </c>
      <c r="R1145" s="97">
        <f>IF(B1145="","",IF(N(K1145)&gt;0,K1145,IF(N(J1145)&gt;0,J1145,N(Q1145))))</f>
        <v/>
      </c>
      <c r="S1145" s="55">
        <f>IF(L1145="","",ROUND(L1145*(1+N(M1145)),2))</f>
        <v/>
      </c>
      <c r="T1145" s="55">
        <f>IF(B1145="","",SUMIFS('REVENUE'!$C$5:$C$1504,'REVENUE'!$B$5:$B$1504,A1145))</f>
        <v/>
      </c>
      <c r="U1145" s="55">
        <f>IF(B1145="","",IF(O1145="Completed",MAX(0,N(S1145)-T1145),""))</f>
        <v/>
      </c>
      <c r="V1145" s="49">
        <f>IF(B1145="","",IF(O1145&lt;&gt;"Completed",IF(T1145&gt;0,"Deposit","—"),IF(U1145&lt;=0.005,"Paid",IF(T1145&gt;0,"Partial","Unpaid"))))</f>
        <v/>
      </c>
      <c r="W1145" s="55">
        <f>IF(B1145="","",IFERROR(1/(1/INDEX('STAFF &amp; TASKS'!$C$5:$C$24,MATCH(H1145,'STAFF &amp; TASKS'!$A$5:$A$24,0))),PayRate))</f>
        <v/>
      </c>
      <c r="X1145" s="55">
        <f>IF(B1145="","",IF(OR(O1145="Cancelled",O1145="No-Show"),"",ROUND(R1145*W1145*(1+Burden),2)))</f>
        <v/>
      </c>
      <c r="Y1145" s="55">
        <f>IF(B1145="","",IF(OR(O1145="Cancelled",O1145="No-Show"),"",IF(N1145&lt;&gt;"",N1145,ROUND(R1145*SupHr*IFERROR(INDEX('PRICING'!$G$7:$G$16,MATCH(F1145,'PRICING'!$A$7:$A$16,0)),1),2))))</f>
        <v/>
      </c>
      <c r="Z1145" s="98">
        <f>IF(B1145="","",SUMIFS('MILEAGE'!$J$5:$J$1504,'MILEAGE'!$B$5:$B$1504,A1145))</f>
        <v/>
      </c>
      <c r="AA1145" s="55">
        <f>IF(B1145="","",ROUND(Z1145*MileRate,2))</f>
        <v/>
      </c>
      <c r="AB1145" s="55">
        <f>IF(B1145="","",SUMIFS('REVENUE'!$J$5:$J$1504,'REVENUE'!$B$5:$B$1504,A1145))</f>
        <v/>
      </c>
      <c r="AC1145" s="55">
        <f>IF(L1145="","",IF(OR(O1145="Cancelled",O1145="No-Show"),"",L1145-N(X1145)-N(Y1145)-AA1145-AB1145))</f>
        <v/>
      </c>
      <c r="AD1145" s="99">
        <f>IF(OR(AC1145="",N(L1145)=0),"",AC1145/L1145)</f>
        <v/>
      </c>
      <c r="AE1145" s="55">
        <f>IF(OR(AC1145="",N(R1145)=0),"",L1145/R1145)</f>
        <v/>
      </c>
      <c r="AF1145" s="100">
        <f>IF(OR(N(K1145)=0,N(J1145)+N(Q1145)=0),"",K1145-IF(N(J1145)&gt;0,J1145,Q1145))</f>
        <v/>
      </c>
      <c r="AG1145" s="99">
        <f>IF(B1145="","",IFERROR(AVERAGEIFS('QUALITY CONTROL'!$M$5:$M$304,'QUALITY CONTROL'!$B$5:$B$304,A1145),""))</f>
        <v/>
      </c>
      <c r="AH1145" s="51">
        <f>IF(B1145="","",DATE(YEAR(B1145),MONTH(B1145),1))</f>
        <v/>
      </c>
      <c r="AI1145" s="49">
        <f>IF(D1145="","",IFERROR(INDEX('CUSTOMERS'!$E$5:$E$404,MATCH(D1145,'CUSTOMERS'!$B$5:$B$404,0)),""))</f>
        <v/>
      </c>
      <c r="AJ1145" s="49">
        <f>IF(B1145="","",N(C1145))</f>
        <v/>
      </c>
      <c r="AK1145" s="49">
        <f>IF(OR(B1145="",O1145="Cancelled",O1145="Rescheduled"),"",B1145&amp;"|"&amp;(COUNTIFS('JOBS'!$B$5:$B$1504,B1145,'JOBS'!$AJ$5:$AJ$1504,"&lt;"&amp;AJ1145,'JOBS'!$O$5:$O$1504,"&lt;&gt;Cancelled",'JOBS'!$O$5:$O$1504,"&lt;&gt;Rescheduled")+COUNTIFS($B$5:B1145,B1145,$AJ$5:AJ1145,AJ1145,$O$5:O1145,"&lt;&gt;Cancelled",$O$5:O1145,"&lt;&gt;Rescheduled")))</f>
        <v/>
      </c>
      <c r="AL1145" s="49">
        <f>IF(N(U1145)&lt;=0.005,"",COUNTIFS('JOBS'!$U$5:$U$1504,"&gt;0.005",'JOBS'!$B$5:$B$1504,"&lt;"&amp;B1145)+COUNTIFS($U$5:U1145,"&gt;0.005",$B$5:B1145,B1145))</f>
        <v/>
      </c>
    </row>
    <row r="1146">
      <c r="A1146" s="46" t="inlineStr">
        <is>
          <t>J-1142</t>
        </is>
      </c>
      <c r="B1146" s="47" t="n"/>
      <c r="C1146" s="94" t="n"/>
      <c r="D1146" s="38" t="n"/>
      <c r="E1146" s="38" t="n"/>
      <c r="F1146" s="38" t="n"/>
      <c r="G1146" s="38" t="n"/>
      <c r="H1146" s="38" t="n"/>
      <c r="I1146" s="57" t="n"/>
      <c r="J1146" s="95" t="n"/>
      <c r="K1146" s="95" t="n"/>
      <c r="L1146" s="48" t="n"/>
      <c r="M1146" s="96" t="n"/>
      <c r="N1146" s="48" t="n"/>
      <c r="O1146" s="38" t="n"/>
      <c r="P1146" s="38" t="n"/>
      <c r="Q1146" s="97">
        <f>IF(OR(F1146="",E1146=""),"",IFERROR(IF(INDEX('PROPERTIES'!$F$5:$F$404,MATCH(E1146,'PROPERTIES'!$B$5:$B$404,0))=0,"",ROUND((INDEX('PROPERTIES'!$F$5:$F$404,MATCH(E1146,'PROPERTIES'!$B$5:$B$404,0))/INDEX('PRICING'!$C$7:$C$16,MATCH(F1146,'PRICING'!$A$7:$A$16,0))+INDEX('PROPERTIES'!$G$5:$G$404,MATCH(E1146,'PROPERTIES'!$B$5:$B$404,0))*INDEX('PRICING'!$D$7:$D$16,MATCH(F1146,'PRICING'!$A$7:$A$16,0))/60+INDEX('PROPERTIES'!$H$5:$H$404,MATCH(E1146,'PROPERTIES'!$B$5:$B$404,0))*INDEX('PRICING'!$E$7:$E$16,MATCH(F1146,'PRICING'!$A$7:$A$16,0))/60+INDEX('PRICING'!$F$7:$F$16,MATCH(F1146,'PRICING'!$A$7:$A$16,0))/60),2)),""))</f>
        <v/>
      </c>
      <c r="R1146" s="97">
        <f>IF(B1146="","",IF(N(K1146)&gt;0,K1146,IF(N(J1146)&gt;0,J1146,N(Q1146))))</f>
        <v/>
      </c>
      <c r="S1146" s="55">
        <f>IF(L1146="","",ROUND(L1146*(1+N(M1146)),2))</f>
        <v/>
      </c>
      <c r="T1146" s="55">
        <f>IF(B1146="","",SUMIFS('REVENUE'!$C$5:$C$1504,'REVENUE'!$B$5:$B$1504,A1146))</f>
        <v/>
      </c>
      <c r="U1146" s="55">
        <f>IF(B1146="","",IF(O1146="Completed",MAX(0,N(S1146)-T1146),""))</f>
        <v/>
      </c>
      <c r="V1146" s="49">
        <f>IF(B1146="","",IF(O1146&lt;&gt;"Completed",IF(T1146&gt;0,"Deposit","—"),IF(U1146&lt;=0.005,"Paid",IF(T1146&gt;0,"Partial","Unpaid"))))</f>
        <v/>
      </c>
      <c r="W1146" s="55">
        <f>IF(B1146="","",IFERROR(1/(1/INDEX('STAFF &amp; TASKS'!$C$5:$C$24,MATCH(H1146,'STAFF &amp; TASKS'!$A$5:$A$24,0))),PayRate))</f>
        <v/>
      </c>
      <c r="X1146" s="55">
        <f>IF(B1146="","",IF(OR(O1146="Cancelled",O1146="No-Show"),"",ROUND(R1146*W1146*(1+Burden),2)))</f>
        <v/>
      </c>
      <c r="Y1146" s="55">
        <f>IF(B1146="","",IF(OR(O1146="Cancelled",O1146="No-Show"),"",IF(N1146&lt;&gt;"",N1146,ROUND(R1146*SupHr*IFERROR(INDEX('PRICING'!$G$7:$G$16,MATCH(F1146,'PRICING'!$A$7:$A$16,0)),1),2))))</f>
        <v/>
      </c>
      <c r="Z1146" s="98">
        <f>IF(B1146="","",SUMIFS('MILEAGE'!$J$5:$J$1504,'MILEAGE'!$B$5:$B$1504,A1146))</f>
        <v/>
      </c>
      <c r="AA1146" s="55">
        <f>IF(B1146="","",ROUND(Z1146*MileRate,2))</f>
        <v/>
      </c>
      <c r="AB1146" s="55">
        <f>IF(B1146="","",SUMIFS('REVENUE'!$J$5:$J$1504,'REVENUE'!$B$5:$B$1504,A1146))</f>
        <v/>
      </c>
      <c r="AC1146" s="55">
        <f>IF(L1146="","",IF(OR(O1146="Cancelled",O1146="No-Show"),"",L1146-N(X1146)-N(Y1146)-AA1146-AB1146))</f>
        <v/>
      </c>
      <c r="AD1146" s="99">
        <f>IF(OR(AC1146="",N(L1146)=0),"",AC1146/L1146)</f>
        <v/>
      </c>
      <c r="AE1146" s="55">
        <f>IF(OR(AC1146="",N(R1146)=0),"",L1146/R1146)</f>
        <v/>
      </c>
      <c r="AF1146" s="100">
        <f>IF(OR(N(K1146)=0,N(J1146)+N(Q1146)=0),"",K1146-IF(N(J1146)&gt;0,J1146,Q1146))</f>
        <v/>
      </c>
      <c r="AG1146" s="99">
        <f>IF(B1146="","",IFERROR(AVERAGEIFS('QUALITY CONTROL'!$M$5:$M$304,'QUALITY CONTROL'!$B$5:$B$304,A1146),""))</f>
        <v/>
      </c>
      <c r="AH1146" s="51">
        <f>IF(B1146="","",DATE(YEAR(B1146),MONTH(B1146),1))</f>
        <v/>
      </c>
      <c r="AI1146" s="49">
        <f>IF(D1146="","",IFERROR(INDEX('CUSTOMERS'!$E$5:$E$404,MATCH(D1146,'CUSTOMERS'!$B$5:$B$404,0)),""))</f>
        <v/>
      </c>
      <c r="AJ1146" s="49">
        <f>IF(B1146="","",N(C1146))</f>
        <v/>
      </c>
      <c r="AK1146" s="49">
        <f>IF(OR(B1146="",O1146="Cancelled",O1146="Rescheduled"),"",B1146&amp;"|"&amp;(COUNTIFS('JOBS'!$B$5:$B$1504,B1146,'JOBS'!$AJ$5:$AJ$1504,"&lt;"&amp;AJ1146,'JOBS'!$O$5:$O$1504,"&lt;&gt;Cancelled",'JOBS'!$O$5:$O$1504,"&lt;&gt;Rescheduled")+COUNTIFS($B$5:B1146,B1146,$AJ$5:AJ1146,AJ1146,$O$5:O1146,"&lt;&gt;Cancelled",$O$5:O1146,"&lt;&gt;Rescheduled")))</f>
        <v/>
      </c>
      <c r="AL1146" s="49">
        <f>IF(N(U1146)&lt;=0.005,"",COUNTIFS('JOBS'!$U$5:$U$1504,"&gt;0.005",'JOBS'!$B$5:$B$1504,"&lt;"&amp;B1146)+COUNTIFS($U$5:U1146,"&gt;0.005",$B$5:B1146,B1146))</f>
        <v/>
      </c>
    </row>
    <row r="1147">
      <c r="A1147" s="46" t="inlineStr">
        <is>
          <t>J-1143</t>
        </is>
      </c>
      <c r="B1147" s="47" t="n"/>
      <c r="C1147" s="94" t="n"/>
      <c r="D1147" s="38" t="n"/>
      <c r="E1147" s="38" t="n"/>
      <c r="F1147" s="38" t="n"/>
      <c r="G1147" s="38" t="n"/>
      <c r="H1147" s="38" t="n"/>
      <c r="I1147" s="57" t="n"/>
      <c r="J1147" s="95" t="n"/>
      <c r="K1147" s="95" t="n"/>
      <c r="L1147" s="48" t="n"/>
      <c r="M1147" s="96" t="n"/>
      <c r="N1147" s="48" t="n"/>
      <c r="O1147" s="38" t="n"/>
      <c r="P1147" s="38" t="n"/>
      <c r="Q1147" s="97">
        <f>IF(OR(F1147="",E1147=""),"",IFERROR(IF(INDEX('PROPERTIES'!$F$5:$F$404,MATCH(E1147,'PROPERTIES'!$B$5:$B$404,0))=0,"",ROUND((INDEX('PROPERTIES'!$F$5:$F$404,MATCH(E1147,'PROPERTIES'!$B$5:$B$404,0))/INDEX('PRICING'!$C$7:$C$16,MATCH(F1147,'PRICING'!$A$7:$A$16,0))+INDEX('PROPERTIES'!$G$5:$G$404,MATCH(E1147,'PROPERTIES'!$B$5:$B$404,0))*INDEX('PRICING'!$D$7:$D$16,MATCH(F1147,'PRICING'!$A$7:$A$16,0))/60+INDEX('PROPERTIES'!$H$5:$H$404,MATCH(E1147,'PROPERTIES'!$B$5:$B$404,0))*INDEX('PRICING'!$E$7:$E$16,MATCH(F1147,'PRICING'!$A$7:$A$16,0))/60+INDEX('PRICING'!$F$7:$F$16,MATCH(F1147,'PRICING'!$A$7:$A$16,0))/60),2)),""))</f>
        <v/>
      </c>
      <c r="R1147" s="97">
        <f>IF(B1147="","",IF(N(K1147)&gt;0,K1147,IF(N(J1147)&gt;0,J1147,N(Q1147))))</f>
        <v/>
      </c>
      <c r="S1147" s="55">
        <f>IF(L1147="","",ROUND(L1147*(1+N(M1147)),2))</f>
        <v/>
      </c>
      <c r="T1147" s="55">
        <f>IF(B1147="","",SUMIFS('REVENUE'!$C$5:$C$1504,'REVENUE'!$B$5:$B$1504,A1147))</f>
        <v/>
      </c>
      <c r="U1147" s="55">
        <f>IF(B1147="","",IF(O1147="Completed",MAX(0,N(S1147)-T1147),""))</f>
        <v/>
      </c>
      <c r="V1147" s="49">
        <f>IF(B1147="","",IF(O1147&lt;&gt;"Completed",IF(T1147&gt;0,"Deposit","—"),IF(U1147&lt;=0.005,"Paid",IF(T1147&gt;0,"Partial","Unpaid"))))</f>
        <v/>
      </c>
      <c r="W1147" s="55">
        <f>IF(B1147="","",IFERROR(1/(1/INDEX('STAFF &amp; TASKS'!$C$5:$C$24,MATCH(H1147,'STAFF &amp; TASKS'!$A$5:$A$24,0))),PayRate))</f>
        <v/>
      </c>
      <c r="X1147" s="55">
        <f>IF(B1147="","",IF(OR(O1147="Cancelled",O1147="No-Show"),"",ROUND(R1147*W1147*(1+Burden),2)))</f>
        <v/>
      </c>
      <c r="Y1147" s="55">
        <f>IF(B1147="","",IF(OR(O1147="Cancelled",O1147="No-Show"),"",IF(N1147&lt;&gt;"",N1147,ROUND(R1147*SupHr*IFERROR(INDEX('PRICING'!$G$7:$G$16,MATCH(F1147,'PRICING'!$A$7:$A$16,0)),1),2))))</f>
        <v/>
      </c>
      <c r="Z1147" s="98">
        <f>IF(B1147="","",SUMIFS('MILEAGE'!$J$5:$J$1504,'MILEAGE'!$B$5:$B$1504,A1147))</f>
        <v/>
      </c>
      <c r="AA1147" s="55">
        <f>IF(B1147="","",ROUND(Z1147*MileRate,2))</f>
        <v/>
      </c>
      <c r="AB1147" s="55">
        <f>IF(B1147="","",SUMIFS('REVENUE'!$J$5:$J$1504,'REVENUE'!$B$5:$B$1504,A1147))</f>
        <v/>
      </c>
      <c r="AC1147" s="55">
        <f>IF(L1147="","",IF(OR(O1147="Cancelled",O1147="No-Show"),"",L1147-N(X1147)-N(Y1147)-AA1147-AB1147))</f>
        <v/>
      </c>
      <c r="AD1147" s="99">
        <f>IF(OR(AC1147="",N(L1147)=0),"",AC1147/L1147)</f>
        <v/>
      </c>
      <c r="AE1147" s="55">
        <f>IF(OR(AC1147="",N(R1147)=0),"",L1147/R1147)</f>
        <v/>
      </c>
      <c r="AF1147" s="100">
        <f>IF(OR(N(K1147)=0,N(J1147)+N(Q1147)=0),"",K1147-IF(N(J1147)&gt;0,J1147,Q1147))</f>
        <v/>
      </c>
      <c r="AG1147" s="99">
        <f>IF(B1147="","",IFERROR(AVERAGEIFS('QUALITY CONTROL'!$M$5:$M$304,'QUALITY CONTROL'!$B$5:$B$304,A1147),""))</f>
        <v/>
      </c>
      <c r="AH1147" s="51">
        <f>IF(B1147="","",DATE(YEAR(B1147),MONTH(B1147),1))</f>
        <v/>
      </c>
      <c r="AI1147" s="49">
        <f>IF(D1147="","",IFERROR(INDEX('CUSTOMERS'!$E$5:$E$404,MATCH(D1147,'CUSTOMERS'!$B$5:$B$404,0)),""))</f>
        <v/>
      </c>
      <c r="AJ1147" s="49">
        <f>IF(B1147="","",N(C1147))</f>
        <v/>
      </c>
      <c r="AK1147" s="49">
        <f>IF(OR(B1147="",O1147="Cancelled",O1147="Rescheduled"),"",B1147&amp;"|"&amp;(COUNTIFS('JOBS'!$B$5:$B$1504,B1147,'JOBS'!$AJ$5:$AJ$1504,"&lt;"&amp;AJ1147,'JOBS'!$O$5:$O$1504,"&lt;&gt;Cancelled",'JOBS'!$O$5:$O$1504,"&lt;&gt;Rescheduled")+COUNTIFS($B$5:B1147,B1147,$AJ$5:AJ1147,AJ1147,$O$5:O1147,"&lt;&gt;Cancelled",$O$5:O1147,"&lt;&gt;Rescheduled")))</f>
        <v/>
      </c>
      <c r="AL1147" s="49">
        <f>IF(N(U1147)&lt;=0.005,"",COUNTIFS('JOBS'!$U$5:$U$1504,"&gt;0.005",'JOBS'!$B$5:$B$1504,"&lt;"&amp;B1147)+COUNTIFS($U$5:U1147,"&gt;0.005",$B$5:B1147,B1147))</f>
        <v/>
      </c>
    </row>
    <row r="1148">
      <c r="A1148" s="46" t="inlineStr">
        <is>
          <t>J-1144</t>
        </is>
      </c>
      <c r="B1148" s="47" t="n"/>
      <c r="C1148" s="94" t="n"/>
      <c r="D1148" s="38" t="n"/>
      <c r="E1148" s="38" t="n"/>
      <c r="F1148" s="38" t="n"/>
      <c r="G1148" s="38" t="n"/>
      <c r="H1148" s="38" t="n"/>
      <c r="I1148" s="57" t="n"/>
      <c r="J1148" s="95" t="n"/>
      <c r="K1148" s="95" t="n"/>
      <c r="L1148" s="48" t="n"/>
      <c r="M1148" s="96" t="n"/>
      <c r="N1148" s="48" t="n"/>
      <c r="O1148" s="38" t="n"/>
      <c r="P1148" s="38" t="n"/>
      <c r="Q1148" s="97">
        <f>IF(OR(F1148="",E1148=""),"",IFERROR(IF(INDEX('PROPERTIES'!$F$5:$F$404,MATCH(E1148,'PROPERTIES'!$B$5:$B$404,0))=0,"",ROUND((INDEX('PROPERTIES'!$F$5:$F$404,MATCH(E1148,'PROPERTIES'!$B$5:$B$404,0))/INDEX('PRICING'!$C$7:$C$16,MATCH(F1148,'PRICING'!$A$7:$A$16,0))+INDEX('PROPERTIES'!$G$5:$G$404,MATCH(E1148,'PROPERTIES'!$B$5:$B$404,0))*INDEX('PRICING'!$D$7:$D$16,MATCH(F1148,'PRICING'!$A$7:$A$16,0))/60+INDEX('PROPERTIES'!$H$5:$H$404,MATCH(E1148,'PROPERTIES'!$B$5:$B$404,0))*INDEX('PRICING'!$E$7:$E$16,MATCH(F1148,'PRICING'!$A$7:$A$16,0))/60+INDEX('PRICING'!$F$7:$F$16,MATCH(F1148,'PRICING'!$A$7:$A$16,0))/60),2)),""))</f>
        <v/>
      </c>
      <c r="R1148" s="97">
        <f>IF(B1148="","",IF(N(K1148)&gt;0,K1148,IF(N(J1148)&gt;0,J1148,N(Q1148))))</f>
        <v/>
      </c>
      <c r="S1148" s="55">
        <f>IF(L1148="","",ROUND(L1148*(1+N(M1148)),2))</f>
        <v/>
      </c>
      <c r="T1148" s="55">
        <f>IF(B1148="","",SUMIFS('REVENUE'!$C$5:$C$1504,'REVENUE'!$B$5:$B$1504,A1148))</f>
        <v/>
      </c>
      <c r="U1148" s="55">
        <f>IF(B1148="","",IF(O1148="Completed",MAX(0,N(S1148)-T1148),""))</f>
        <v/>
      </c>
      <c r="V1148" s="49">
        <f>IF(B1148="","",IF(O1148&lt;&gt;"Completed",IF(T1148&gt;0,"Deposit","—"),IF(U1148&lt;=0.005,"Paid",IF(T1148&gt;0,"Partial","Unpaid"))))</f>
        <v/>
      </c>
      <c r="W1148" s="55">
        <f>IF(B1148="","",IFERROR(1/(1/INDEX('STAFF &amp; TASKS'!$C$5:$C$24,MATCH(H1148,'STAFF &amp; TASKS'!$A$5:$A$24,0))),PayRate))</f>
        <v/>
      </c>
      <c r="X1148" s="55">
        <f>IF(B1148="","",IF(OR(O1148="Cancelled",O1148="No-Show"),"",ROUND(R1148*W1148*(1+Burden),2)))</f>
        <v/>
      </c>
      <c r="Y1148" s="55">
        <f>IF(B1148="","",IF(OR(O1148="Cancelled",O1148="No-Show"),"",IF(N1148&lt;&gt;"",N1148,ROUND(R1148*SupHr*IFERROR(INDEX('PRICING'!$G$7:$G$16,MATCH(F1148,'PRICING'!$A$7:$A$16,0)),1),2))))</f>
        <v/>
      </c>
      <c r="Z1148" s="98">
        <f>IF(B1148="","",SUMIFS('MILEAGE'!$J$5:$J$1504,'MILEAGE'!$B$5:$B$1504,A1148))</f>
        <v/>
      </c>
      <c r="AA1148" s="55">
        <f>IF(B1148="","",ROUND(Z1148*MileRate,2))</f>
        <v/>
      </c>
      <c r="AB1148" s="55">
        <f>IF(B1148="","",SUMIFS('REVENUE'!$J$5:$J$1504,'REVENUE'!$B$5:$B$1504,A1148))</f>
        <v/>
      </c>
      <c r="AC1148" s="55">
        <f>IF(L1148="","",IF(OR(O1148="Cancelled",O1148="No-Show"),"",L1148-N(X1148)-N(Y1148)-AA1148-AB1148))</f>
        <v/>
      </c>
      <c r="AD1148" s="99">
        <f>IF(OR(AC1148="",N(L1148)=0),"",AC1148/L1148)</f>
        <v/>
      </c>
      <c r="AE1148" s="55">
        <f>IF(OR(AC1148="",N(R1148)=0),"",L1148/R1148)</f>
        <v/>
      </c>
      <c r="AF1148" s="100">
        <f>IF(OR(N(K1148)=0,N(J1148)+N(Q1148)=0),"",K1148-IF(N(J1148)&gt;0,J1148,Q1148))</f>
        <v/>
      </c>
      <c r="AG1148" s="99">
        <f>IF(B1148="","",IFERROR(AVERAGEIFS('QUALITY CONTROL'!$M$5:$M$304,'QUALITY CONTROL'!$B$5:$B$304,A1148),""))</f>
        <v/>
      </c>
      <c r="AH1148" s="51">
        <f>IF(B1148="","",DATE(YEAR(B1148),MONTH(B1148),1))</f>
        <v/>
      </c>
      <c r="AI1148" s="49">
        <f>IF(D1148="","",IFERROR(INDEX('CUSTOMERS'!$E$5:$E$404,MATCH(D1148,'CUSTOMERS'!$B$5:$B$404,0)),""))</f>
        <v/>
      </c>
      <c r="AJ1148" s="49">
        <f>IF(B1148="","",N(C1148))</f>
        <v/>
      </c>
      <c r="AK1148" s="49">
        <f>IF(OR(B1148="",O1148="Cancelled",O1148="Rescheduled"),"",B1148&amp;"|"&amp;(COUNTIFS('JOBS'!$B$5:$B$1504,B1148,'JOBS'!$AJ$5:$AJ$1504,"&lt;"&amp;AJ1148,'JOBS'!$O$5:$O$1504,"&lt;&gt;Cancelled",'JOBS'!$O$5:$O$1504,"&lt;&gt;Rescheduled")+COUNTIFS($B$5:B1148,B1148,$AJ$5:AJ1148,AJ1148,$O$5:O1148,"&lt;&gt;Cancelled",$O$5:O1148,"&lt;&gt;Rescheduled")))</f>
        <v/>
      </c>
      <c r="AL1148" s="49">
        <f>IF(N(U1148)&lt;=0.005,"",COUNTIFS('JOBS'!$U$5:$U$1504,"&gt;0.005",'JOBS'!$B$5:$B$1504,"&lt;"&amp;B1148)+COUNTIFS($U$5:U1148,"&gt;0.005",$B$5:B1148,B1148))</f>
        <v/>
      </c>
    </row>
    <row r="1149">
      <c r="A1149" s="46" t="inlineStr">
        <is>
          <t>J-1145</t>
        </is>
      </c>
      <c r="B1149" s="47" t="n"/>
      <c r="C1149" s="94" t="n"/>
      <c r="D1149" s="38" t="n"/>
      <c r="E1149" s="38" t="n"/>
      <c r="F1149" s="38" t="n"/>
      <c r="G1149" s="38" t="n"/>
      <c r="H1149" s="38" t="n"/>
      <c r="I1149" s="57" t="n"/>
      <c r="J1149" s="95" t="n"/>
      <c r="K1149" s="95" t="n"/>
      <c r="L1149" s="48" t="n"/>
      <c r="M1149" s="96" t="n"/>
      <c r="N1149" s="48" t="n"/>
      <c r="O1149" s="38" t="n"/>
      <c r="P1149" s="38" t="n"/>
      <c r="Q1149" s="97">
        <f>IF(OR(F1149="",E1149=""),"",IFERROR(IF(INDEX('PROPERTIES'!$F$5:$F$404,MATCH(E1149,'PROPERTIES'!$B$5:$B$404,0))=0,"",ROUND((INDEX('PROPERTIES'!$F$5:$F$404,MATCH(E1149,'PROPERTIES'!$B$5:$B$404,0))/INDEX('PRICING'!$C$7:$C$16,MATCH(F1149,'PRICING'!$A$7:$A$16,0))+INDEX('PROPERTIES'!$G$5:$G$404,MATCH(E1149,'PROPERTIES'!$B$5:$B$404,0))*INDEX('PRICING'!$D$7:$D$16,MATCH(F1149,'PRICING'!$A$7:$A$16,0))/60+INDEX('PROPERTIES'!$H$5:$H$404,MATCH(E1149,'PROPERTIES'!$B$5:$B$404,0))*INDEX('PRICING'!$E$7:$E$16,MATCH(F1149,'PRICING'!$A$7:$A$16,0))/60+INDEX('PRICING'!$F$7:$F$16,MATCH(F1149,'PRICING'!$A$7:$A$16,0))/60),2)),""))</f>
        <v/>
      </c>
      <c r="R1149" s="97">
        <f>IF(B1149="","",IF(N(K1149)&gt;0,K1149,IF(N(J1149)&gt;0,J1149,N(Q1149))))</f>
        <v/>
      </c>
      <c r="S1149" s="55">
        <f>IF(L1149="","",ROUND(L1149*(1+N(M1149)),2))</f>
        <v/>
      </c>
      <c r="T1149" s="55">
        <f>IF(B1149="","",SUMIFS('REVENUE'!$C$5:$C$1504,'REVENUE'!$B$5:$B$1504,A1149))</f>
        <v/>
      </c>
      <c r="U1149" s="55">
        <f>IF(B1149="","",IF(O1149="Completed",MAX(0,N(S1149)-T1149),""))</f>
        <v/>
      </c>
      <c r="V1149" s="49">
        <f>IF(B1149="","",IF(O1149&lt;&gt;"Completed",IF(T1149&gt;0,"Deposit","—"),IF(U1149&lt;=0.005,"Paid",IF(T1149&gt;0,"Partial","Unpaid"))))</f>
        <v/>
      </c>
      <c r="W1149" s="55">
        <f>IF(B1149="","",IFERROR(1/(1/INDEX('STAFF &amp; TASKS'!$C$5:$C$24,MATCH(H1149,'STAFF &amp; TASKS'!$A$5:$A$24,0))),PayRate))</f>
        <v/>
      </c>
      <c r="X1149" s="55">
        <f>IF(B1149="","",IF(OR(O1149="Cancelled",O1149="No-Show"),"",ROUND(R1149*W1149*(1+Burden),2)))</f>
        <v/>
      </c>
      <c r="Y1149" s="55">
        <f>IF(B1149="","",IF(OR(O1149="Cancelled",O1149="No-Show"),"",IF(N1149&lt;&gt;"",N1149,ROUND(R1149*SupHr*IFERROR(INDEX('PRICING'!$G$7:$G$16,MATCH(F1149,'PRICING'!$A$7:$A$16,0)),1),2))))</f>
        <v/>
      </c>
      <c r="Z1149" s="98">
        <f>IF(B1149="","",SUMIFS('MILEAGE'!$J$5:$J$1504,'MILEAGE'!$B$5:$B$1504,A1149))</f>
        <v/>
      </c>
      <c r="AA1149" s="55">
        <f>IF(B1149="","",ROUND(Z1149*MileRate,2))</f>
        <v/>
      </c>
      <c r="AB1149" s="55">
        <f>IF(B1149="","",SUMIFS('REVENUE'!$J$5:$J$1504,'REVENUE'!$B$5:$B$1504,A1149))</f>
        <v/>
      </c>
      <c r="AC1149" s="55">
        <f>IF(L1149="","",IF(OR(O1149="Cancelled",O1149="No-Show"),"",L1149-N(X1149)-N(Y1149)-AA1149-AB1149))</f>
        <v/>
      </c>
      <c r="AD1149" s="99">
        <f>IF(OR(AC1149="",N(L1149)=0),"",AC1149/L1149)</f>
        <v/>
      </c>
      <c r="AE1149" s="55">
        <f>IF(OR(AC1149="",N(R1149)=0),"",L1149/R1149)</f>
        <v/>
      </c>
      <c r="AF1149" s="100">
        <f>IF(OR(N(K1149)=0,N(J1149)+N(Q1149)=0),"",K1149-IF(N(J1149)&gt;0,J1149,Q1149))</f>
        <v/>
      </c>
      <c r="AG1149" s="99">
        <f>IF(B1149="","",IFERROR(AVERAGEIFS('QUALITY CONTROL'!$M$5:$M$304,'QUALITY CONTROL'!$B$5:$B$304,A1149),""))</f>
        <v/>
      </c>
      <c r="AH1149" s="51">
        <f>IF(B1149="","",DATE(YEAR(B1149),MONTH(B1149),1))</f>
        <v/>
      </c>
      <c r="AI1149" s="49">
        <f>IF(D1149="","",IFERROR(INDEX('CUSTOMERS'!$E$5:$E$404,MATCH(D1149,'CUSTOMERS'!$B$5:$B$404,0)),""))</f>
        <v/>
      </c>
      <c r="AJ1149" s="49">
        <f>IF(B1149="","",N(C1149))</f>
        <v/>
      </c>
      <c r="AK1149" s="49">
        <f>IF(OR(B1149="",O1149="Cancelled",O1149="Rescheduled"),"",B1149&amp;"|"&amp;(COUNTIFS('JOBS'!$B$5:$B$1504,B1149,'JOBS'!$AJ$5:$AJ$1504,"&lt;"&amp;AJ1149,'JOBS'!$O$5:$O$1504,"&lt;&gt;Cancelled",'JOBS'!$O$5:$O$1504,"&lt;&gt;Rescheduled")+COUNTIFS($B$5:B1149,B1149,$AJ$5:AJ1149,AJ1149,$O$5:O1149,"&lt;&gt;Cancelled",$O$5:O1149,"&lt;&gt;Rescheduled")))</f>
        <v/>
      </c>
      <c r="AL1149" s="49">
        <f>IF(N(U1149)&lt;=0.005,"",COUNTIFS('JOBS'!$U$5:$U$1504,"&gt;0.005",'JOBS'!$B$5:$B$1504,"&lt;"&amp;B1149)+COUNTIFS($U$5:U1149,"&gt;0.005",$B$5:B1149,B1149))</f>
        <v/>
      </c>
    </row>
    <row r="1150">
      <c r="A1150" s="46" t="inlineStr">
        <is>
          <t>J-1146</t>
        </is>
      </c>
      <c r="B1150" s="47" t="n"/>
      <c r="C1150" s="94" t="n"/>
      <c r="D1150" s="38" t="n"/>
      <c r="E1150" s="38" t="n"/>
      <c r="F1150" s="38" t="n"/>
      <c r="G1150" s="38" t="n"/>
      <c r="H1150" s="38" t="n"/>
      <c r="I1150" s="57" t="n"/>
      <c r="J1150" s="95" t="n"/>
      <c r="K1150" s="95" t="n"/>
      <c r="L1150" s="48" t="n"/>
      <c r="M1150" s="96" t="n"/>
      <c r="N1150" s="48" t="n"/>
      <c r="O1150" s="38" t="n"/>
      <c r="P1150" s="38" t="n"/>
      <c r="Q1150" s="97">
        <f>IF(OR(F1150="",E1150=""),"",IFERROR(IF(INDEX('PROPERTIES'!$F$5:$F$404,MATCH(E1150,'PROPERTIES'!$B$5:$B$404,0))=0,"",ROUND((INDEX('PROPERTIES'!$F$5:$F$404,MATCH(E1150,'PROPERTIES'!$B$5:$B$404,0))/INDEX('PRICING'!$C$7:$C$16,MATCH(F1150,'PRICING'!$A$7:$A$16,0))+INDEX('PROPERTIES'!$G$5:$G$404,MATCH(E1150,'PROPERTIES'!$B$5:$B$404,0))*INDEX('PRICING'!$D$7:$D$16,MATCH(F1150,'PRICING'!$A$7:$A$16,0))/60+INDEX('PROPERTIES'!$H$5:$H$404,MATCH(E1150,'PROPERTIES'!$B$5:$B$404,0))*INDEX('PRICING'!$E$7:$E$16,MATCH(F1150,'PRICING'!$A$7:$A$16,0))/60+INDEX('PRICING'!$F$7:$F$16,MATCH(F1150,'PRICING'!$A$7:$A$16,0))/60),2)),""))</f>
        <v/>
      </c>
      <c r="R1150" s="97">
        <f>IF(B1150="","",IF(N(K1150)&gt;0,K1150,IF(N(J1150)&gt;0,J1150,N(Q1150))))</f>
        <v/>
      </c>
      <c r="S1150" s="55">
        <f>IF(L1150="","",ROUND(L1150*(1+N(M1150)),2))</f>
        <v/>
      </c>
      <c r="T1150" s="55">
        <f>IF(B1150="","",SUMIFS('REVENUE'!$C$5:$C$1504,'REVENUE'!$B$5:$B$1504,A1150))</f>
        <v/>
      </c>
      <c r="U1150" s="55">
        <f>IF(B1150="","",IF(O1150="Completed",MAX(0,N(S1150)-T1150),""))</f>
        <v/>
      </c>
      <c r="V1150" s="49">
        <f>IF(B1150="","",IF(O1150&lt;&gt;"Completed",IF(T1150&gt;0,"Deposit","—"),IF(U1150&lt;=0.005,"Paid",IF(T1150&gt;0,"Partial","Unpaid"))))</f>
        <v/>
      </c>
      <c r="W1150" s="55">
        <f>IF(B1150="","",IFERROR(1/(1/INDEX('STAFF &amp; TASKS'!$C$5:$C$24,MATCH(H1150,'STAFF &amp; TASKS'!$A$5:$A$24,0))),PayRate))</f>
        <v/>
      </c>
      <c r="X1150" s="55">
        <f>IF(B1150="","",IF(OR(O1150="Cancelled",O1150="No-Show"),"",ROUND(R1150*W1150*(1+Burden),2)))</f>
        <v/>
      </c>
      <c r="Y1150" s="55">
        <f>IF(B1150="","",IF(OR(O1150="Cancelled",O1150="No-Show"),"",IF(N1150&lt;&gt;"",N1150,ROUND(R1150*SupHr*IFERROR(INDEX('PRICING'!$G$7:$G$16,MATCH(F1150,'PRICING'!$A$7:$A$16,0)),1),2))))</f>
        <v/>
      </c>
      <c r="Z1150" s="98">
        <f>IF(B1150="","",SUMIFS('MILEAGE'!$J$5:$J$1504,'MILEAGE'!$B$5:$B$1504,A1150))</f>
        <v/>
      </c>
      <c r="AA1150" s="55">
        <f>IF(B1150="","",ROUND(Z1150*MileRate,2))</f>
        <v/>
      </c>
      <c r="AB1150" s="55">
        <f>IF(B1150="","",SUMIFS('REVENUE'!$J$5:$J$1504,'REVENUE'!$B$5:$B$1504,A1150))</f>
        <v/>
      </c>
      <c r="AC1150" s="55">
        <f>IF(L1150="","",IF(OR(O1150="Cancelled",O1150="No-Show"),"",L1150-N(X1150)-N(Y1150)-AA1150-AB1150))</f>
        <v/>
      </c>
      <c r="AD1150" s="99">
        <f>IF(OR(AC1150="",N(L1150)=0),"",AC1150/L1150)</f>
        <v/>
      </c>
      <c r="AE1150" s="55">
        <f>IF(OR(AC1150="",N(R1150)=0),"",L1150/R1150)</f>
        <v/>
      </c>
      <c r="AF1150" s="100">
        <f>IF(OR(N(K1150)=0,N(J1150)+N(Q1150)=0),"",K1150-IF(N(J1150)&gt;0,J1150,Q1150))</f>
        <v/>
      </c>
      <c r="AG1150" s="99">
        <f>IF(B1150="","",IFERROR(AVERAGEIFS('QUALITY CONTROL'!$M$5:$M$304,'QUALITY CONTROL'!$B$5:$B$304,A1150),""))</f>
        <v/>
      </c>
      <c r="AH1150" s="51">
        <f>IF(B1150="","",DATE(YEAR(B1150),MONTH(B1150),1))</f>
        <v/>
      </c>
      <c r="AI1150" s="49">
        <f>IF(D1150="","",IFERROR(INDEX('CUSTOMERS'!$E$5:$E$404,MATCH(D1150,'CUSTOMERS'!$B$5:$B$404,0)),""))</f>
        <v/>
      </c>
      <c r="AJ1150" s="49">
        <f>IF(B1150="","",N(C1150))</f>
        <v/>
      </c>
      <c r="AK1150" s="49">
        <f>IF(OR(B1150="",O1150="Cancelled",O1150="Rescheduled"),"",B1150&amp;"|"&amp;(COUNTIFS('JOBS'!$B$5:$B$1504,B1150,'JOBS'!$AJ$5:$AJ$1504,"&lt;"&amp;AJ1150,'JOBS'!$O$5:$O$1504,"&lt;&gt;Cancelled",'JOBS'!$O$5:$O$1504,"&lt;&gt;Rescheduled")+COUNTIFS($B$5:B1150,B1150,$AJ$5:AJ1150,AJ1150,$O$5:O1150,"&lt;&gt;Cancelled",$O$5:O1150,"&lt;&gt;Rescheduled")))</f>
        <v/>
      </c>
      <c r="AL1150" s="49">
        <f>IF(N(U1150)&lt;=0.005,"",COUNTIFS('JOBS'!$U$5:$U$1504,"&gt;0.005",'JOBS'!$B$5:$B$1504,"&lt;"&amp;B1150)+COUNTIFS($U$5:U1150,"&gt;0.005",$B$5:B1150,B1150))</f>
        <v/>
      </c>
    </row>
    <row r="1151">
      <c r="A1151" s="46" t="inlineStr">
        <is>
          <t>J-1147</t>
        </is>
      </c>
      <c r="B1151" s="47" t="n"/>
      <c r="C1151" s="94" t="n"/>
      <c r="D1151" s="38" t="n"/>
      <c r="E1151" s="38" t="n"/>
      <c r="F1151" s="38" t="n"/>
      <c r="G1151" s="38" t="n"/>
      <c r="H1151" s="38" t="n"/>
      <c r="I1151" s="57" t="n"/>
      <c r="J1151" s="95" t="n"/>
      <c r="K1151" s="95" t="n"/>
      <c r="L1151" s="48" t="n"/>
      <c r="M1151" s="96" t="n"/>
      <c r="N1151" s="48" t="n"/>
      <c r="O1151" s="38" t="n"/>
      <c r="P1151" s="38" t="n"/>
      <c r="Q1151" s="97">
        <f>IF(OR(F1151="",E1151=""),"",IFERROR(IF(INDEX('PROPERTIES'!$F$5:$F$404,MATCH(E1151,'PROPERTIES'!$B$5:$B$404,0))=0,"",ROUND((INDEX('PROPERTIES'!$F$5:$F$404,MATCH(E1151,'PROPERTIES'!$B$5:$B$404,0))/INDEX('PRICING'!$C$7:$C$16,MATCH(F1151,'PRICING'!$A$7:$A$16,0))+INDEX('PROPERTIES'!$G$5:$G$404,MATCH(E1151,'PROPERTIES'!$B$5:$B$404,0))*INDEX('PRICING'!$D$7:$D$16,MATCH(F1151,'PRICING'!$A$7:$A$16,0))/60+INDEX('PROPERTIES'!$H$5:$H$404,MATCH(E1151,'PROPERTIES'!$B$5:$B$404,0))*INDEX('PRICING'!$E$7:$E$16,MATCH(F1151,'PRICING'!$A$7:$A$16,0))/60+INDEX('PRICING'!$F$7:$F$16,MATCH(F1151,'PRICING'!$A$7:$A$16,0))/60),2)),""))</f>
        <v/>
      </c>
      <c r="R1151" s="97">
        <f>IF(B1151="","",IF(N(K1151)&gt;0,K1151,IF(N(J1151)&gt;0,J1151,N(Q1151))))</f>
        <v/>
      </c>
      <c r="S1151" s="55">
        <f>IF(L1151="","",ROUND(L1151*(1+N(M1151)),2))</f>
        <v/>
      </c>
      <c r="T1151" s="55">
        <f>IF(B1151="","",SUMIFS('REVENUE'!$C$5:$C$1504,'REVENUE'!$B$5:$B$1504,A1151))</f>
        <v/>
      </c>
      <c r="U1151" s="55">
        <f>IF(B1151="","",IF(O1151="Completed",MAX(0,N(S1151)-T1151),""))</f>
        <v/>
      </c>
      <c r="V1151" s="49">
        <f>IF(B1151="","",IF(O1151&lt;&gt;"Completed",IF(T1151&gt;0,"Deposit","—"),IF(U1151&lt;=0.005,"Paid",IF(T1151&gt;0,"Partial","Unpaid"))))</f>
        <v/>
      </c>
      <c r="W1151" s="55">
        <f>IF(B1151="","",IFERROR(1/(1/INDEX('STAFF &amp; TASKS'!$C$5:$C$24,MATCH(H1151,'STAFF &amp; TASKS'!$A$5:$A$24,0))),PayRate))</f>
        <v/>
      </c>
      <c r="X1151" s="55">
        <f>IF(B1151="","",IF(OR(O1151="Cancelled",O1151="No-Show"),"",ROUND(R1151*W1151*(1+Burden),2)))</f>
        <v/>
      </c>
      <c r="Y1151" s="55">
        <f>IF(B1151="","",IF(OR(O1151="Cancelled",O1151="No-Show"),"",IF(N1151&lt;&gt;"",N1151,ROUND(R1151*SupHr*IFERROR(INDEX('PRICING'!$G$7:$G$16,MATCH(F1151,'PRICING'!$A$7:$A$16,0)),1),2))))</f>
        <v/>
      </c>
      <c r="Z1151" s="98">
        <f>IF(B1151="","",SUMIFS('MILEAGE'!$J$5:$J$1504,'MILEAGE'!$B$5:$B$1504,A1151))</f>
        <v/>
      </c>
      <c r="AA1151" s="55">
        <f>IF(B1151="","",ROUND(Z1151*MileRate,2))</f>
        <v/>
      </c>
      <c r="AB1151" s="55">
        <f>IF(B1151="","",SUMIFS('REVENUE'!$J$5:$J$1504,'REVENUE'!$B$5:$B$1504,A1151))</f>
        <v/>
      </c>
      <c r="AC1151" s="55">
        <f>IF(L1151="","",IF(OR(O1151="Cancelled",O1151="No-Show"),"",L1151-N(X1151)-N(Y1151)-AA1151-AB1151))</f>
        <v/>
      </c>
      <c r="AD1151" s="99">
        <f>IF(OR(AC1151="",N(L1151)=0),"",AC1151/L1151)</f>
        <v/>
      </c>
      <c r="AE1151" s="55">
        <f>IF(OR(AC1151="",N(R1151)=0),"",L1151/R1151)</f>
        <v/>
      </c>
      <c r="AF1151" s="100">
        <f>IF(OR(N(K1151)=0,N(J1151)+N(Q1151)=0),"",K1151-IF(N(J1151)&gt;0,J1151,Q1151))</f>
        <v/>
      </c>
      <c r="AG1151" s="99">
        <f>IF(B1151="","",IFERROR(AVERAGEIFS('QUALITY CONTROL'!$M$5:$M$304,'QUALITY CONTROL'!$B$5:$B$304,A1151),""))</f>
        <v/>
      </c>
      <c r="AH1151" s="51">
        <f>IF(B1151="","",DATE(YEAR(B1151),MONTH(B1151),1))</f>
        <v/>
      </c>
      <c r="AI1151" s="49">
        <f>IF(D1151="","",IFERROR(INDEX('CUSTOMERS'!$E$5:$E$404,MATCH(D1151,'CUSTOMERS'!$B$5:$B$404,0)),""))</f>
        <v/>
      </c>
      <c r="AJ1151" s="49">
        <f>IF(B1151="","",N(C1151))</f>
        <v/>
      </c>
      <c r="AK1151" s="49">
        <f>IF(OR(B1151="",O1151="Cancelled",O1151="Rescheduled"),"",B1151&amp;"|"&amp;(COUNTIFS('JOBS'!$B$5:$B$1504,B1151,'JOBS'!$AJ$5:$AJ$1504,"&lt;"&amp;AJ1151,'JOBS'!$O$5:$O$1504,"&lt;&gt;Cancelled",'JOBS'!$O$5:$O$1504,"&lt;&gt;Rescheduled")+COUNTIFS($B$5:B1151,B1151,$AJ$5:AJ1151,AJ1151,$O$5:O1151,"&lt;&gt;Cancelled",$O$5:O1151,"&lt;&gt;Rescheduled")))</f>
        <v/>
      </c>
      <c r="AL1151" s="49">
        <f>IF(N(U1151)&lt;=0.005,"",COUNTIFS('JOBS'!$U$5:$U$1504,"&gt;0.005",'JOBS'!$B$5:$B$1504,"&lt;"&amp;B1151)+COUNTIFS($U$5:U1151,"&gt;0.005",$B$5:B1151,B1151))</f>
        <v/>
      </c>
    </row>
    <row r="1152">
      <c r="A1152" s="46" t="inlineStr">
        <is>
          <t>J-1148</t>
        </is>
      </c>
      <c r="B1152" s="47" t="n"/>
      <c r="C1152" s="94" t="n"/>
      <c r="D1152" s="38" t="n"/>
      <c r="E1152" s="38" t="n"/>
      <c r="F1152" s="38" t="n"/>
      <c r="G1152" s="38" t="n"/>
      <c r="H1152" s="38" t="n"/>
      <c r="I1152" s="57" t="n"/>
      <c r="J1152" s="95" t="n"/>
      <c r="K1152" s="95" t="n"/>
      <c r="L1152" s="48" t="n"/>
      <c r="M1152" s="96" t="n"/>
      <c r="N1152" s="48" t="n"/>
      <c r="O1152" s="38" t="n"/>
      <c r="P1152" s="38" t="n"/>
      <c r="Q1152" s="97">
        <f>IF(OR(F1152="",E1152=""),"",IFERROR(IF(INDEX('PROPERTIES'!$F$5:$F$404,MATCH(E1152,'PROPERTIES'!$B$5:$B$404,0))=0,"",ROUND((INDEX('PROPERTIES'!$F$5:$F$404,MATCH(E1152,'PROPERTIES'!$B$5:$B$404,0))/INDEX('PRICING'!$C$7:$C$16,MATCH(F1152,'PRICING'!$A$7:$A$16,0))+INDEX('PROPERTIES'!$G$5:$G$404,MATCH(E1152,'PROPERTIES'!$B$5:$B$404,0))*INDEX('PRICING'!$D$7:$D$16,MATCH(F1152,'PRICING'!$A$7:$A$16,0))/60+INDEX('PROPERTIES'!$H$5:$H$404,MATCH(E1152,'PROPERTIES'!$B$5:$B$404,0))*INDEX('PRICING'!$E$7:$E$16,MATCH(F1152,'PRICING'!$A$7:$A$16,0))/60+INDEX('PRICING'!$F$7:$F$16,MATCH(F1152,'PRICING'!$A$7:$A$16,0))/60),2)),""))</f>
        <v/>
      </c>
      <c r="R1152" s="97">
        <f>IF(B1152="","",IF(N(K1152)&gt;0,K1152,IF(N(J1152)&gt;0,J1152,N(Q1152))))</f>
        <v/>
      </c>
      <c r="S1152" s="55">
        <f>IF(L1152="","",ROUND(L1152*(1+N(M1152)),2))</f>
        <v/>
      </c>
      <c r="T1152" s="55">
        <f>IF(B1152="","",SUMIFS('REVENUE'!$C$5:$C$1504,'REVENUE'!$B$5:$B$1504,A1152))</f>
        <v/>
      </c>
      <c r="U1152" s="55">
        <f>IF(B1152="","",IF(O1152="Completed",MAX(0,N(S1152)-T1152),""))</f>
        <v/>
      </c>
      <c r="V1152" s="49">
        <f>IF(B1152="","",IF(O1152&lt;&gt;"Completed",IF(T1152&gt;0,"Deposit","—"),IF(U1152&lt;=0.005,"Paid",IF(T1152&gt;0,"Partial","Unpaid"))))</f>
        <v/>
      </c>
      <c r="W1152" s="55">
        <f>IF(B1152="","",IFERROR(1/(1/INDEX('STAFF &amp; TASKS'!$C$5:$C$24,MATCH(H1152,'STAFF &amp; TASKS'!$A$5:$A$24,0))),PayRate))</f>
        <v/>
      </c>
      <c r="X1152" s="55">
        <f>IF(B1152="","",IF(OR(O1152="Cancelled",O1152="No-Show"),"",ROUND(R1152*W1152*(1+Burden),2)))</f>
        <v/>
      </c>
      <c r="Y1152" s="55">
        <f>IF(B1152="","",IF(OR(O1152="Cancelled",O1152="No-Show"),"",IF(N1152&lt;&gt;"",N1152,ROUND(R1152*SupHr*IFERROR(INDEX('PRICING'!$G$7:$G$16,MATCH(F1152,'PRICING'!$A$7:$A$16,0)),1),2))))</f>
        <v/>
      </c>
      <c r="Z1152" s="98">
        <f>IF(B1152="","",SUMIFS('MILEAGE'!$J$5:$J$1504,'MILEAGE'!$B$5:$B$1504,A1152))</f>
        <v/>
      </c>
      <c r="AA1152" s="55">
        <f>IF(B1152="","",ROUND(Z1152*MileRate,2))</f>
        <v/>
      </c>
      <c r="AB1152" s="55">
        <f>IF(B1152="","",SUMIFS('REVENUE'!$J$5:$J$1504,'REVENUE'!$B$5:$B$1504,A1152))</f>
        <v/>
      </c>
      <c r="AC1152" s="55">
        <f>IF(L1152="","",IF(OR(O1152="Cancelled",O1152="No-Show"),"",L1152-N(X1152)-N(Y1152)-AA1152-AB1152))</f>
        <v/>
      </c>
      <c r="AD1152" s="99">
        <f>IF(OR(AC1152="",N(L1152)=0),"",AC1152/L1152)</f>
        <v/>
      </c>
      <c r="AE1152" s="55">
        <f>IF(OR(AC1152="",N(R1152)=0),"",L1152/R1152)</f>
        <v/>
      </c>
      <c r="AF1152" s="100">
        <f>IF(OR(N(K1152)=0,N(J1152)+N(Q1152)=0),"",K1152-IF(N(J1152)&gt;0,J1152,Q1152))</f>
        <v/>
      </c>
      <c r="AG1152" s="99">
        <f>IF(B1152="","",IFERROR(AVERAGEIFS('QUALITY CONTROL'!$M$5:$M$304,'QUALITY CONTROL'!$B$5:$B$304,A1152),""))</f>
        <v/>
      </c>
      <c r="AH1152" s="51">
        <f>IF(B1152="","",DATE(YEAR(B1152),MONTH(B1152),1))</f>
        <v/>
      </c>
      <c r="AI1152" s="49">
        <f>IF(D1152="","",IFERROR(INDEX('CUSTOMERS'!$E$5:$E$404,MATCH(D1152,'CUSTOMERS'!$B$5:$B$404,0)),""))</f>
        <v/>
      </c>
      <c r="AJ1152" s="49">
        <f>IF(B1152="","",N(C1152))</f>
        <v/>
      </c>
      <c r="AK1152" s="49">
        <f>IF(OR(B1152="",O1152="Cancelled",O1152="Rescheduled"),"",B1152&amp;"|"&amp;(COUNTIFS('JOBS'!$B$5:$B$1504,B1152,'JOBS'!$AJ$5:$AJ$1504,"&lt;"&amp;AJ1152,'JOBS'!$O$5:$O$1504,"&lt;&gt;Cancelled",'JOBS'!$O$5:$O$1504,"&lt;&gt;Rescheduled")+COUNTIFS($B$5:B1152,B1152,$AJ$5:AJ1152,AJ1152,$O$5:O1152,"&lt;&gt;Cancelled",$O$5:O1152,"&lt;&gt;Rescheduled")))</f>
        <v/>
      </c>
      <c r="AL1152" s="49">
        <f>IF(N(U1152)&lt;=0.005,"",COUNTIFS('JOBS'!$U$5:$U$1504,"&gt;0.005",'JOBS'!$B$5:$B$1504,"&lt;"&amp;B1152)+COUNTIFS($U$5:U1152,"&gt;0.005",$B$5:B1152,B1152))</f>
        <v/>
      </c>
    </row>
    <row r="1153">
      <c r="A1153" s="46" t="inlineStr">
        <is>
          <t>J-1149</t>
        </is>
      </c>
      <c r="B1153" s="47" t="n"/>
      <c r="C1153" s="94" t="n"/>
      <c r="D1153" s="38" t="n"/>
      <c r="E1153" s="38" t="n"/>
      <c r="F1153" s="38" t="n"/>
      <c r="G1153" s="38" t="n"/>
      <c r="H1153" s="38" t="n"/>
      <c r="I1153" s="57" t="n"/>
      <c r="J1153" s="95" t="n"/>
      <c r="K1153" s="95" t="n"/>
      <c r="L1153" s="48" t="n"/>
      <c r="M1153" s="96" t="n"/>
      <c r="N1153" s="48" t="n"/>
      <c r="O1153" s="38" t="n"/>
      <c r="P1153" s="38" t="n"/>
      <c r="Q1153" s="97">
        <f>IF(OR(F1153="",E1153=""),"",IFERROR(IF(INDEX('PROPERTIES'!$F$5:$F$404,MATCH(E1153,'PROPERTIES'!$B$5:$B$404,0))=0,"",ROUND((INDEX('PROPERTIES'!$F$5:$F$404,MATCH(E1153,'PROPERTIES'!$B$5:$B$404,0))/INDEX('PRICING'!$C$7:$C$16,MATCH(F1153,'PRICING'!$A$7:$A$16,0))+INDEX('PROPERTIES'!$G$5:$G$404,MATCH(E1153,'PROPERTIES'!$B$5:$B$404,0))*INDEX('PRICING'!$D$7:$D$16,MATCH(F1153,'PRICING'!$A$7:$A$16,0))/60+INDEX('PROPERTIES'!$H$5:$H$404,MATCH(E1153,'PROPERTIES'!$B$5:$B$404,0))*INDEX('PRICING'!$E$7:$E$16,MATCH(F1153,'PRICING'!$A$7:$A$16,0))/60+INDEX('PRICING'!$F$7:$F$16,MATCH(F1153,'PRICING'!$A$7:$A$16,0))/60),2)),""))</f>
        <v/>
      </c>
      <c r="R1153" s="97">
        <f>IF(B1153="","",IF(N(K1153)&gt;0,K1153,IF(N(J1153)&gt;0,J1153,N(Q1153))))</f>
        <v/>
      </c>
      <c r="S1153" s="55">
        <f>IF(L1153="","",ROUND(L1153*(1+N(M1153)),2))</f>
        <v/>
      </c>
      <c r="T1153" s="55">
        <f>IF(B1153="","",SUMIFS('REVENUE'!$C$5:$C$1504,'REVENUE'!$B$5:$B$1504,A1153))</f>
        <v/>
      </c>
      <c r="U1153" s="55">
        <f>IF(B1153="","",IF(O1153="Completed",MAX(0,N(S1153)-T1153),""))</f>
        <v/>
      </c>
      <c r="V1153" s="49">
        <f>IF(B1153="","",IF(O1153&lt;&gt;"Completed",IF(T1153&gt;0,"Deposit","—"),IF(U1153&lt;=0.005,"Paid",IF(T1153&gt;0,"Partial","Unpaid"))))</f>
        <v/>
      </c>
      <c r="W1153" s="55">
        <f>IF(B1153="","",IFERROR(1/(1/INDEX('STAFF &amp; TASKS'!$C$5:$C$24,MATCH(H1153,'STAFF &amp; TASKS'!$A$5:$A$24,0))),PayRate))</f>
        <v/>
      </c>
      <c r="X1153" s="55">
        <f>IF(B1153="","",IF(OR(O1153="Cancelled",O1153="No-Show"),"",ROUND(R1153*W1153*(1+Burden),2)))</f>
        <v/>
      </c>
      <c r="Y1153" s="55">
        <f>IF(B1153="","",IF(OR(O1153="Cancelled",O1153="No-Show"),"",IF(N1153&lt;&gt;"",N1153,ROUND(R1153*SupHr*IFERROR(INDEX('PRICING'!$G$7:$G$16,MATCH(F1153,'PRICING'!$A$7:$A$16,0)),1),2))))</f>
        <v/>
      </c>
      <c r="Z1153" s="98">
        <f>IF(B1153="","",SUMIFS('MILEAGE'!$J$5:$J$1504,'MILEAGE'!$B$5:$B$1504,A1153))</f>
        <v/>
      </c>
      <c r="AA1153" s="55">
        <f>IF(B1153="","",ROUND(Z1153*MileRate,2))</f>
        <v/>
      </c>
      <c r="AB1153" s="55">
        <f>IF(B1153="","",SUMIFS('REVENUE'!$J$5:$J$1504,'REVENUE'!$B$5:$B$1504,A1153))</f>
        <v/>
      </c>
      <c r="AC1153" s="55">
        <f>IF(L1153="","",IF(OR(O1153="Cancelled",O1153="No-Show"),"",L1153-N(X1153)-N(Y1153)-AA1153-AB1153))</f>
        <v/>
      </c>
      <c r="AD1153" s="99">
        <f>IF(OR(AC1153="",N(L1153)=0),"",AC1153/L1153)</f>
        <v/>
      </c>
      <c r="AE1153" s="55">
        <f>IF(OR(AC1153="",N(R1153)=0),"",L1153/R1153)</f>
        <v/>
      </c>
      <c r="AF1153" s="100">
        <f>IF(OR(N(K1153)=0,N(J1153)+N(Q1153)=0),"",K1153-IF(N(J1153)&gt;0,J1153,Q1153))</f>
        <v/>
      </c>
      <c r="AG1153" s="99">
        <f>IF(B1153="","",IFERROR(AVERAGEIFS('QUALITY CONTROL'!$M$5:$M$304,'QUALITY CONTROL'!$B$5:$B$304,A1153),""))</f>
        <v/>
      </c>
      <c r="AH1153" s="51">
        <f>IF(B1153="","",DATE(YEAR(B1153),MONTH(B1153),1))</f>
        <v/>
      </c>
      <c r="AI1153" s="49">
        <f>IF(D1153="","",IFERROR(INDEX('CUSTOMERS'!$E$5:$E$404,MATCH(D1153,'CUSTOMERS'!$B$5:$B$404,0)),""))</f>
        <v/>
      </c>
      <c r="AJ1153" s="49">
        <f>IF(B1153="","",N(C1153))</f>
        <v/>
      </c>
      <c r="AK1153" s="49">
        <f>IF(OR(B1153="",O1153="Cancelled",O1153="Rescheduled"),"",B1153&amp;"|"&amp;(COUNTIFS('JOBS'!$B$5:$B$1504,B1153,'JOBS'!$AJ$5:$AJ$1504,"&lt;"&amp;AJ1153,'JOBS'!$O$5:$O$1504,"&lt;&gt;Cancelled",'JOBS'!$O$5:$O$1504,"&lt;&gt;Rescheduled")+COUNTIFS($B$5:B1153,B1153,$AJ$5:AJ1153,AJ1153,$O$5:O1153,"&lt;&gt;Cancelled",$O$5:O1153,"&lt;&gt;Rescheduled")))</f>
        <v/>
      </c>
      <c r="AL1153" s="49">
        <f>IF(N(U1153)&lt;=0.005,"",COUNTIFS('JOBS'!$U$5:$U$1504,"&gt;0.005",'JOBS'!$B$5:$B$1504,"&lt;"&amp;B1153)+COUNTIFS($U$5:U1153,"&gt;0.005",$B$5:B1153,B1153))</f>
        <v/>
      </c>
    </row>
    <row r="1154">
      <c r="A1154" s="46" t="inlineStr">
        <is>
          <t>J-1150</t>
        </is>
      </c>
      <c r="B1154" s="47" t="n"/>
      <c r="C1154" s="94" t="n"/>
      <c r="D1154" s="38" t="n"/>
      <c r="E1154" s="38" t="n"/>
      <c r="F1154" s="38" t="n"/>
      <c r="G1154" s="38" t="n"/>
      <c r="H1154" s="38" t="n"/>
      <c r="I1154" s="57" t="n"/>
      <c r="J1154" s="95" t="n"/>
      <c r="K1154" s="95" t="n"/>
      <c r="L1154" s="48" t="n"/>
      <c r="M1154" s="96" t="n"/>
      <c r="N1154" s="48" t="n"/>
      <c r="O1154" s="38" t="n"/>
      <c r="P1154" s="38" t="n"/>
      <c r="Q1154" s="97">
        <f>IF(OR(F1154="",E1154=""),"",IFERROR(IF(INDEX('PROPERTIES'!$F$5:$F$404,MATCH(E1154,'PROPERTIES'!$B$5:$B$404,0))=0,"",ROUND((INDEX('PROPERTIES'!$F$5:$F$404,MATCH(E1154,'PROPERTIES'!$B$5:$B$404,0))/INDEX('PRICING'!$C$7:$C$16,MATCH(F1154,'PRICING'!$A$7:$A$16,0))+INDEX('PROPERTIES'!$G$5:$G$404,MATCH(E1154,'PROPERTIES'!$B$5:$B$404,0))*INDEX('PRICING'!$D$7:$D$16,MATCH(F1154,'PRICING'!$A$7:$A$16,0))/60+INDEX('PROPERTIES'!$H$5:$H$404,MATCH(E1154,'PROPERTIES'!$B$5:$B$404,0))*INDEX('PRICING'!$E$7:$E$16,MATCH(F1154,'PRICING'!$A$7:$A$16,0))/60+INDEX('PRICING'!$F$7:$F$16,MATCH(F1154,'PRICING'!$A$7:$A$16,0))/60),2)),""))</f>
        <v/>
      </c>
      <c r="R1154" s="97">
        <f>IF(B1154="","",IF(N(K1154)&gt;0,K1154,IF(N(J1154)&gt;0,J1154,N(Q1154))))</f>
        <v/>
      </c>
      <c r="S1154" s="55">
        <f>IF(L1154="","",ROUND(L1154*(1+N(M1154)),2))</f>
        <v/>
      </c>
      <c r="T1154" s="55">
        <f>IF(B1154="","",SUMIFS('REVENUE'!$C$5:$C$1504,'REVENUE'!$B$5:$B$1504,A1154))</f>
        <v/>
      </c>
      <c r="U1154" s="55">
        <f>IF(B1154="","",IF(O1154="Completed",MAX(0,N(S1154)-T1154),""))</f>
        <v/>
      </c>
      <c r="V1154" s="49">
        <f>IF(B1154="","",IF(O1154&lt;&gt;"Completed",IF(T1154&gt;0,"Deposit","—"),IF(U1154&lt;=0.005,"Paid",IF(T1154&gt;0,"Partial","Unpaid"))))</f>
        <v/>
      </c>
      <c r="W1154" s="55">
        <f>IF(B1154="","",IFERROR(1/(1/INDEX('STAFF &amp; TASKS'!$C$5:$C$24,MATCH(H1154,'STAFF &amp; TASKS'!$A$5:$A$24,0))),PayRate))</f>
        <v/>
      </c>
      <c r="X1154" s="55">
        <f>IF(B1154="","",IF(OR(O1154="Cancelled",O1154="No-Show"),"",ROUND(R1154*W1154*(1+Burden),2)))</f>
        <v/>
      </c>
      <c r="Y1154" s="55">
        <f>IF(B1154="","",IF(OR(O1154="Cancelled",O1154="No-Show"),"",IF(N1154&lt;&gt;"",N1154,ROUND(R1154*SupHr*IFERROR(INDEX('PRICING'!$G$7:$G$16,MATCH(F1154,'PRICING'!$A$7:$A$16,0)),1),2))))</f>
        <v/>
      </c>
      <c r="Z1154" s="98">
        <f>IF(B1154="","",SUMIFS('MILEAGE'!$J$5:$J$1504,'MILEAGE'!$B$5:$B$1504,A1154))</f>
        <v/>
      </c>
      <c r="AA1154" s="55">
        <f>IF(B1154="","",ROUND(Z1154*MileRate,2))</f>
        <v/>
      </c>
      <c r="AB1154" s="55">
        <f>IF(B1154="","",SUMIFS('REVENUE'!$J$5:$J$1504,'REVENUE'!$B$5:$B$1504,A1154))</f>
        <v/>
      </c>
      <c r="AC1154" s="55">
        <f>IF(L1154="","",IF(OR(O1154="Cancelled",O1154="No-Show"),"",L1154-N(X1154)-N(Y1154)-AA1154-AB1154))</f>
        <v/>
      </c>
      <c r="AD1154" s="99">
        <f>IF(OR(AC1154="",N(L1154)=0),"",AC1154/L1154)</f>
        <v/>
      </c>
      <c r="AE1154" s="55">
        <f>IF(OR(AC1154="",N(R1154)=0),"",L1154/R1154)</f>
        <v/>
      </c>
      <c r="AF1154" s="100">
        <f>IF(OR(N(K1154)=0,N(J1154)+N(Q1154)=0),"",K1154-IF(N(J1154)&gt;0,J1154,Q1154))</f>
        <v/>
      </c>
      <c r="AG1154" s="99">
        <f>IF(B1154="","",IFERROR(AVERAGEIFS('QUALITY CONTROL'!$M$5:$M$304,'QUALITY CONTROL'!$B$5:$B$304,A1154),""))</f>
        <v/>
      </c>
      <c r="AH1154" s="51">
        <f>IF(B1154="","",DATE(YEAR(B1154),MONTH(B1154),1))</f>
        <v/>
      </c>
      <c r="AI1154" s="49">
        <f>IF(D1154="","",IFERROR(INDEX('CUSTOMERS'!$E$5:$E$404,MATCH(D1154,'CUSTOMERS'!$B$5:$B$404,0)),""))</f>
        <v/>
      </c>
      <c r="AJ1154" s="49">
        <f>IF(B1154="","",N(C1154))</f>
        <v/>
      </c>
      <c r="AK1154" s="49">
        <f>IF(OR(B1154="",O1154="Cancelled",O1154="Rescheduled"),"",B1154&amp;"|"&amp;(COUNTIFS('JOBS'!$B$5:$B$1504,B1154,'JOBS'!$AJ$5:$AJ$1504,"&lt;"&amp;AJ1154,'JOBS'!$O$5:$O$1504,"&lt;&gt;Cancelled",'JOBS'!$O$5:$O$1504,"&lt;&gt;Rescheduled")+COUNTIFS($B$5:B1154,B1154,$AJ$5:AJ1154,AJ1154,$O$5:O1154,"&lt;&gt;Cancelled",$O$5:O1154,"&lt;&gt;Rescheduled")))</f>
        <v/>
      </c>
      <c r="AL1154" s="49">
        <f>IF(N(U1154)&lt;=0.005,"",COUNTIFS('JOBS'!$U$5:$U$1504,"&gt;0.005",'JOBS'!$B$5:$B$1504,"&lt;"&amp;B1154)+COUNTIFS($U$5:U1154,"&gt;0.005",$B$5:B1154,B1154))</f>
        <v/>
      </c>
    </row>
    <row r="1155">
      <c r="A1155" s="46" t="inlineStr">
        <is>
          <t>J-1151</t>
        </is>
      </c>
      <c r="B1155" s="47" t="n"/>
      <c r="C1155" s="94" t="n"/>
      <c r="D1155" s="38" t="n"/>
      <c r="E1155" s="38" t="n"/>
      <c r="F1155" s="38" t="n"/>
      <c r="G1155" s="38" t="n"/>
      <c r="H1155" s="38" t="n"/>
      <c r="I1155" s="57" t="n"/>
      <c r="J1155" s="95" t="n"/>
      <c r="K1155" s="95" t="n"/>
      <c r="L1155" s="48" t="n"/>
      <c r="M1155" s="96" t="n"/>
      <c r="N1155" s="48" t="n"/>
      <c r="O1155" s="38" t="n"/>
      <c r="P1155" s="38" t="n"/>
      <c r="Q1155" s="97">
        <f>IF(OR(F1155="",E1155=""),"",IFERROR(IF(INDEX('PROPERTIES'!$F$5:$F$404,MATCH(E1155,'PROPERTIES'!$B$5:$B$404,0))=0,"",ROUND((INDEX('PROPERTIES'!$F$5:$F$404,MATCH(E1155,'PROPERTIES'!$B$5:$B$404,0))/INDEX('PRICING'!$C$7:$C$16,MATCH(F1155,'PRICING'!$A$7:$A$16,0))+INDEX('PROPERTIES'!$G$5:$G$404,MATCH(E1155,'PROPERTIES'!$B$5:$B$404,0))*INDEX('PRICING'!$D$7:$D$16,MATCH(F1155,'PRICING'!$A$7:$A$16,0))/60+INDEX('PROPERTIES'!$H$5:$H$404,MATCH(E1155,'PROPERTIES'!$B$5:$B$404,0))*INDEX('PRICING'!$E$7:$E$16,MATCH(F1155,'PRICING'!$A$7:$A$16,0))/60+INDEX('PRICING'!$F$7:$F$16,MATCH(F1155,'PRICING'!$A$7:$A$16,0))/60),2)),""))</f>
        <v/>
      </c>
      <c r="R1155" s="97">
        <f>IF(B1155="","",IF(N(K1155)&gt;0,K1155,IF(N(J1155)&gt;0,J1155,N(Q1155))))</f>
        <v/>
      </c>
      <c r="S1155" s="55">
        <f>IF(L1155="","",ROUND(L1155*(1+N(M1155)),2))</f>
        <v/>
      </c>
      <c r="T1155" s="55">
        <f>IF(B1155="","",SUMIFS('REVENUE'!$C$5:$C$1504,'REVENUE'!$B$5:$B$1504,A1155))</f>
        <v/>
      </c>
      <c r="U1155" s="55">
        <f>IF(B1155="","",IF(O1155="Completed",MAX(0,N(S1155)-T1155),""))</f>
        <v/>
      </c>
      <c r="V1155" s="49">
        <f>IF(B1155="","",IF(O1155&lt;&gt;"Completed",IF(T1155&gt;0,"Deposit","—"),IF(U1155&lt;=0.005,"Paid",IF(T1155&gt;0,"Partial","Unpaid"))))</f>
        <v/>
      </c>
      <c r="W1155" s="55">
        <f>IF(B1155="","",IFERROR(1/(1/INDEX('STAFF &amp; TASKS'!$C$5:$C$24,MATCH(H1155,'STAFF &amp; TASKS'!$A$5:$A$24,0))),PayRate))</f>
        <v/>
      </c>
      <c r="X1155" s="55">
        <f>IF(B1155="","",IF(OR(O1155="Cancelled",O1155="No-Show"),"",ROUND(R1155*W1155*(1+Burden),2)))</f>
        <v/>
      </c>
      <c r="Y1155" s="55">
        <f>IF(B1155="","",IF(OR(O1155="Cancelled",O1155="No-Show"),"",IF(N1155&lt;&gt;"",N1155,ROUND(R1155*SupHr*IFERROR(INDEX('PRICING'!$G$7:$G$16,MATCH(F1155,'PRICING'!$A$7:$A$16,0)),1),2))))</f>
        <v/>
      </c>
      <c r="Z1155" s="98">
        <f>IF(B1155="","",SUMIFS('MILEAGE'!$J$5:$J$1504,'MILEAGE'!$B$5:$B$1504,A1155))</f>
        <v/>
      </c>
      <c r="AA1155" s="55">
        <f>IF(B1155="","",ROUND(Z1155*MileRate,2))</f>
        <v/>
      </c>
      <c r="AB1155" s="55">
        <f>IF(B1155="","",SUMIFS('REVENUE'!$J$5:$J$1504,'REVENUE'!$B$5:$B$1504,A1155))</f>
        <v/>
      </c>
      <c r="AC1155" s="55">
        <f>IF(L1155="","",IF(OR(O1155="Cancelled",O1155="No-Show"),"",L1155-N(X1155)-N(Y1155)-AA1155-AB1155))</f>
        <v/>
      </c>
      <c r="AD1155" s="99">
        <f>IF(OR(AC1155="",N(L1155)=0),"",AC1155/L1155)</f>
        <v/>
      </c>
      <c r="AE1155" s="55">
        <f>IF(OR(AC1155="",N(R1155)=0),"",L1155/R1155)</f>
        <v/>
      </c>
      <c r="AF1155" s="100">
        <f>IF(OR(N(K1155)=0,N(J1155)+N(Q1155)=0),"",K1155-IF(N(J1155)&gt;0,J1155,Q1155))</f>
        <v/>
      </c>
      <c r="AG1155" s="99">
        <f>IF(B1155="","",IFERROR(AVERAGEIFS('QUALITY CONTROL'!$M$5:$M$304,'QUALITY CONTROL'!$B$5:$B$304,A1155),""))</f>
        <v/>
      </c>
      <c r="AH1155" s="51">
        <f>IF(B1155="","",DATE(YEAR(B1155),MONTH(B1155),1))</f>
        <v/>
      </c>
      <c r="AI1155" s="49">
        <f>IF(D1155="","",IFERROR(INDEX('CUSTOMERS'!$E$5:$E$404,MATCH(D1155,'CUSTOMERS'!$B$5:$B$404,0)),""))</f>
        <v/>
      </c>
      <c r="AJ1155" s="49">
        <f>IF(B1155="","",N(C1155))</f>
        <v/>
      </c>
      <c r="AK1155" s="49">
        <f>IF(OR(B1155="",O1155="Cancelled",O1155="Rescheduled"),"",B1155&amp;"|"&amp;(COUNTIFS('JOBS'!$B$5:$B$1504,B1155,'JOBS'!$AJ$5:$AJ$1504,"&lt;"&amp;AJ1155,'JOBS'!$O$5:$O$1504,"&lt;&gt;Cancelled",'JOBS'!$O$5:$O$1504,"&lt;&gt;Rescheduled")+COUNTIFS($B$5:B1155,B1155,$AJ$5:AJ1155,AJ1155,$O$5:O1155,"&lt;&gt;Cancelled",$O$5:O1155,"&lt;&gt;Rescheduled")))</f>
        <v/>
      </c>
      <c r="AL1155" s="49">
        <f>IF(N(U1155)&lt;=0.005,"",COUNTIFS('JOBS'!$U$5:$U$1504,"&gt;0.005",'JOBS'!$B$5:$B$1504,"&lt;"&amp;B1155)+COUNTIFS($U$5:U1155,"&gt;0.005",$B$5:B1155,B1155))</f>
        <v/>
      </c>
    </row>
    <row r="1156">
      <c r="A1156" s="46" t="inlineStr">
        <is>
          <t>J-1152</t>
        </is>
      </c>
      <c r="B1156" s="47" t="n"/>
      <c r="C1156" s="94" t="n"/>
      <c r="D1156" s="38" t="n"/>
      <c r="E1156" s="38" t="n"/>
      <c r="F1156" s="38" t="n"/>
      <c r="G1156" s="38" t="n"/>
      <c r="H1156" s="38" t="n"/>
      <c r="I1156" s="57" t="n"/>
      <c r="J1156" s="95" t="n"/>
      <c r="K1156" s="95" t="n"/>
      <c r="L1156" s="48" t="n"/>
      <c r="M1156" s="96" t="n"/>
      <c r="N1156" s="48" t="n"/>
      <c r="O1156" s="38" t="n"/>
      <c r="P1156" s="38" t="n"/>
      <c r="Q1156" s="97">
        <f>IF(OR(F1156="",E1156=""),"",IFERROR(IF(INDEX('PROPERTIES'!$F$5:$F$404,MATCH(E1156,'PROPERTIES'!$B$5:$B$404,0))=0,"",ROUND((INDEX('PROPERTIES'!$F$5:$F$404,MATCH(E1156,'PROPERTIES'!$B$5:$B$404,0))/INDEX('PRICING'!$C$7:$C$16,MATCH(F1156,'PRICING'!$A$7:$A$16,0))+INDEX('PROPERTIES'!$G$5:$G$404,MATCH(E1156,'PROPERTIES'!$B$5:$B$404,0))*INDEX('PRICING'!$D$7:$D$16,MATCH(F1156,'PRICING'!$A$7:$A$16,0))/60+INDEX('PROPERTIES'!$H$5:$H$404,MATCH(E1156,'PROPERTIES'!$B$5:$B$404,0))*INDEX('PRICING'!$E$7:$E$16,MATCH(F1156,'PRICING'!$A$7:$A$16,0))/60+INDEX('PRICING'!$F$7:$F$16,MATCH(F1156,'PRICING'!$A$7:$A$16,0))/60),2)),""))</f>
        <v/>
      </c>
      <c r="R1156" s="97">
        <f>IF(B1156="","",IF(N(K1156)&gt;0,K1156,IF(N(J1156)&gt;0,J1156,N(Q1156))))</f>
        <v/>
      </c>
      <c r="S1156" s="55">
        <f>IF(L1156="","",ROUND(L1156*(1+N(M1156)),2))</f>
        <v/>
      </c>
      <c r="T1156" s="55">
        <f>IF(B1156="","",SUMIFS('REVENUE'!$C$5:$C$1504,'REVENUE'!$B$5:$B$1504,A1156))</f>
        <v/>
      </c>
      <c r="U1156" s="55">
        <f>IF(B1156="","",IF(O1156="Completed",MAX(0,N(S1156)-T1156),""))</f>
        <v/>
      </c>
      <c r="V1156" s="49">
        <f>IF(B1156="","",IF(O1156&lt;&gt;"Completed",IF(T1156&gt;0,"Deposit","—"),IF(U1156&lt;=0.005,"Paid",IF(T1156&gt;0,"Partial","Unpaid"))))</f>
        <v/>
      </c>
      <c r="W1156" s="55">
        <f>IF(B1156="","",IFERROR(1/(1/INDEX('STAFF &amp; TASKS'!$C$5:$C$24,MATCH(H1156,'STAFF &amp; TASKS'!$A$5:$A$24,0))),PayRate))</f>
        <v/>
      </c>
      <c r="X1156" s="55">
        <f>IF(B1156="","",IF(OR(O1156="Cancelled",O1156="No-Show"),"",ROUND(R1156*W1156*(1+Burden),2)))</f>
        <v/>
      </c>
      <c r="Y1156" s="55">
        <f>IF(B1156="","",IF(OR(O1156="Cancelled",O1156="No-Show"),"",IF(N1156&lt;&gt;"",N1156,ROUND(R1156*SupHr*IFERROR(INDEX('PRICING'!$G$7:$G$16,MATCH(F1156,'PRICING'!$A$7:$A$16,0)),1),2))))</f>
        <v/>
      </c>
      <c r="Z1156" s="98">
        <f>IF(B1156="","",SUMIFS('MILEAGE'!$J$5:$J$1504,'MILEAGE'!$B$5:$B$1504,A1156))</f>
        <v/>
      </c>
      <c r="AA1156" s="55">
        <f>IF(B1156="","",ROUND(Z1156*MileRate,2))</f>
        <v/>
      </c>
      <c r="AB1156" s="55">
        <f>IF(B1156="","",SUMIFS('REVENUE'!$J$5:$J$1504,'REVENUE'!$B$5:$B$1504,A1156))</f>
        <v/>
      </c>
      <c r="AC1156" s="55">
        <f>IF(L1156="","",IF(OR(O1156="Cancelled",O1156="No-Show"),"",L1156-N(X1156)-N(Y1156)-AA1156-AB1156))</f>
        <v/>
      </c>
      <c r="AD1156" s="99">
        <f>IF(OR(AC1156="",N(L1156)=0),"",AC1156/L1156)</f>
        <v/>
      </c>
      <c r="AE1156" s="55">
        <f>IF(OR(AC1156="",N(R1156)=0),"",L1156/R1156)</f>
        <v/>
      </c>
      <c r="AF1156" s="100">
        <f>IF(OR(N(K1156)=0,N(J1156)+N(Q1156)=0),"",K1156-IF(N(J1156)&gt;0,J1156,Q1156))</f>
        <v/>
      </c>
      <c r="AG1156" s="99">
        <f>IF(B1156="","",IFERROR(AVERAGEIFS('QUALITY CONTROL'!$M$5:$M$304,'QUALITY CONTROL'!$B$5:$B$304,A1156),""))</f>
        <v/>
      </c>
      <c r="AH1156" s="51">
        <f>IF(B1156="","",DATE(YEAR(B1156),MONTH(B1156),1))</f>
        <v/>
      </c>
      <c r="AI1156" s="49">
        <f>IF(D1156="","",IFERROR(INDEX('CUSTOMERS'!$E$5:$E$404,MATCH(D1156,'CUSTOMERS'!$B$5:$B$404,0)),""))</f>
        <v/>
      </c>
      <c r="AJ1156" s="49">
        <f>IF(B1156="","",N(C1156))</f>
        <v/>
      </c>
      <c r="AK1156" s="49">
        <f>IF(OR(B1156="",O1156="Cancelled",O1156="Rescheduled"),"",B1156&amp;"|"&amp;(COUNTIFS('JOBS'!$B$5:$B$1504,B1156,'JOBS'!$AJ$5:$AJ$1504,"&lt;"&amp;AJ1156,'JOBS'!$O$5:$O$1504,"&lt;&gt;Cancelled",'JOBS'!$O$5:$O$1504,"&lt;&gt;Rescheduled")+COUNTIFS($B$5:B1156,B1156,$AJ$5:AJ1156,AJ1156,$O$5:O1156,"&lt;&gt;Cancelled",$O$5:O1156,"&lt;&gt;Rescheduled")))</f>
        <v/>
      </c>
      <c r="AL1156" s="49">
        <f>IF(N(U1156)&lt;=0.005,"",COUNTIFS('JOBS'!$U$5:$U$1504,"&gt;0.005",'JOBS'!$B$5:$B$1504,"&lt;"&amp;B1156)+COUNTIFS($U$5:U1156,"&gt;0.005",$B$5:B1156,B1156))</f>
        <v/>
      </c>
    </row>
    <row r="1157">
      <c r="A1157" s="46" t="inlineStr">
        <is>
          <t>J-1153</t>
        </is>
      </c>
      <c r="B1157" s="47" t="n"/>
      <c r="C1157" s="94" t="n"/>
      <c r="D1157" s="38" t="n"/>
      <c r="E1157" s="38" t="n"/>
      <c r="F1157" s="38" t="n"/>
      <c r="G1157" s="38" t="n"/>
      <c r="H1157" s="38" t="n"/>
      <c r="I1157" s="57" t="n"/>
      <c r="J1157" s="95" t="n"/>
      <c r="K1157" s="95" t="n"/>
      <c r="L1157" s="48" t="n"/>
      <c r="M1157" s="96" t="n"/>
      <c r="N1157" s="48" t="n"/>
      <c r="O1157" s="38" t="n"/>
      <c r="P1157" s="38" t="n"/>
      <c r="Q1157" s="97">
        <f>IF(OR(F1157="",E1157=""),"",IFERROR(IF(INDEX('PROPERTIES'!$F$5:$F$404,MATCH(E1157,'PROPERTIES'!$B$5:$B$404,0))=0,"",ROUND((INDEX('PROPERTIES'!$F$5:$F$404,MATCH(E1157,'PROPERTIES'!$B$5:$B$404,0))/INDEX('PRICING'!$C$7:$C$16,MATCH(F1157,'PRICING'!$A$7:$A$16,0))+INDEX('PROPERTIES'!$G$5:$G$404,MATCH(E1157,'PROPERTIES'!$B$5:$B$404,0))*INDEX('PRICING'!$D$7:$D$16,MATCH(F1157,'PRICING'!$A$7:$A$16,0))/60+INDEX('PROPERTIES'!$H$5:$H$404,MATCH(E1157,'PROPERTIES'!$B$5:$B$404,0))*INDEX('PRICING'!$E$7:$E$16,MATCH(F1157,'PRICING'!$A$7:$A$16,0))/60+INDEX('PRICING'!$F$7:$F$16,MATCH(F1157,'PRICING'!$A$7:$A$16,0))/60),2)),""))</f>
        <v/>
      </c>
      <c r="R1157" s="97">
        <f>IF(B1157="","",IF(N(K1157)&gt;0,K1157,IF(N(J1157)&gt;0,J1157,N(Q1157))))</f>
        <v/>
      </c>
      <c r="S1157" s="55">
        <f>IF(L1157="","",ROUND(L1157*(1+N(M1157)),2))</f>
        <v/>
      </c>
      <c r="T1157" s="55">
        <f>IF(B1157="","",SUMIFS('REVENUE'!$C$5:$C$1504,'REVENUE'!$B$5:$B$1504,A1157))</f>
        <v/>
      </c>
      <c r="U1157" s="55">
        <f>IF(B1157="","",IF(O1157="Completed",MAX(0,N(S1157)-T1157),""))</f>
        <v/>
      </c>
      <c r="V1157" s="49">
        <f>IF(B1157="","",IF(O1157&lt;&gt;"Completed",IF(T1157&gt;0,"Deposit","—"),IF(U1157&lt;=0.005,"Paid",IF(T1157&gt;0,"Partial","Unpaid"))))</f>
        <v/>
      </c>
      <c r="W1157" s="55">
        <f>IF(B1157="","",IFERROR(1/(1/INDEX('STAFF &amp; TASKS'!$C$5:$C$24,MATCH(H1157,'STAFF &amp; TASKS'!$A$5:$A$24,0))),PayRate))</f>
        <v/>
      </c>
      <c r="X1157" s="55">
        <f>IF(B1157="","",IF(OR(O1157="Cancelled",O1157="No-Show"),"",ROUND(R1157*W1157*(1+Burden),2)))</f>
        <v/>
      </c>
      <c r="Y1157" s="55">
        <f>IF(B1157="","",IF(OR(O1157="Cancelled",O1157="No-Show"),"",IF(N1157&lt;&gt;"",N1157,ROUND(R1157*SupHr*IFERROR(INDEX('PRICING'!$G$7:$G$16,MATCH(F1157,'PRICING'!$A$7:$A$16,0)),1),2))))</f>
        <v/>
      </c>
      <c r="Z1157" s="98">
        <f>IF(B1157="","",SUMIFS('MILEAGE'!$J$5:$J$1504,'MILEAGE'!$B$5:$B$1504,A1157))</f>
        <v/>
      </c>
      <c r="AA1157" s="55">
        <f>IF(B1157="","",ROUND(Z1157*MileRate,2))</f>
        <v/>
      </c>
      <c r="AB1157" s="55">
        <f>IF(B1157="","",SUMIFS('REVENUE'!$J$5:$J$1504,'REVENUE'!$B$5:$B$1504,A1157))</f>
        <v/>
      </c>
      <c r="AC1157" s="55">
        <f>IF(L1157="","",IF(OR(O1157="Cancelled",O1157="No-Show"),"",L1157-N(X1157)-N(Y1157)-AA1157-AB1157))</f>
        <v/>
      </c>
      <c r="AD1157" s="99">
        <f>IF(OR(AC1157="",N(L1157)=0),"",AC1157/L1157)</f>
        <v/>
      </c>
      <c r="AE1157" s="55">
        <f>IF(OR(AC1157="",N(R1157)=0),"",L1157/R1157)</f>
        <v/>
      </c>
      <c r="AF1157" s="100">
        <f>IF(OR(N(K1157)=0,N(J1157)+N(Q1157)=0),"",K1157-IF(N(J1157)&gt;0,J1157,Q1157))</f>
        <v/>
      </c>
      <c r="AG1157" s="99">
        <f>IF(B1157="","",IFERROR(AVERAGEIFS('QUALITY CONTROL'!$M$5:$M$304,'QUALITY CONTROL'!$B$5:$B$304,A1157),""))</f>
        <v/>
      </c>
      <c r="AH1157" s="51">
        <f>IF(B1157="","",DATE(YEAR(B1157),MONTH(B1157),1))</f>
        <v/>
      </c>
      <c r="AI1157" s="49">
        <f>IF(D1157="","",IFERROR(INDEX('CUSTOMERS'!$E$5:$E$404,MATCH(D1157,'CUSTOMERS'!$B$5:$B$404,0)),""))</f>
        <v/>
      </c>
      <c r="AJ1157" s="49">
        <f>IF(B1157="","",N(C1157))</f>
        <v/>
      </c>
      <c r="AK1157" s="49">
        <f>IF(OR(B1157="",O1157="Cancelled",O1157="Rescheduled"),"",B1157&amp;"|"&amp;(COUNTIFS('JOBS'!$B$5:$B$1504,B1157,'JOBS'!$AJ$5:$AJ$1504,"&lt;"&amp;AJ1157,'JOBS'!$O$5:$O$1504,"&lt;&gt;Cancelled",'JOBS'!$O$5:$O$1504,"&lt;&gt;Rescheduled")+COUNTIFS($B$5:B1157,B1157,$AJ$5:AJ1157,AJ1157,$O$5:O1157,"&lt;&gt;Cancelled",$O$5:O1157,"&lt;&gt;Rescheduled")))</f>
        <v/>
      </c>
      <c r="AL1157" s="49">
        <f>IF(N(U1157)&lt;=0.005,"",COUNTIFS('JOBS'!$U$5:$U$1504,"&gt;0.005",'JOBS'!$B$5:$B$1504,"&lt;"&amp;B1157)+COUNTIFS($U$5:U1157,"&gt;0.005",$B$5:B1157,B1157))</f>
        <v/>
      </c>
    </row>
    <row r="1158">
      <c r="A1158" s="46" t="inlineStr">
        <is>
          <t>J-1154</t>
        </is>
      </c>
      <c r="B1158" s="47" t="n"/>
      <c r="C1158" s="94" t="n"/>
      <c r="D1158" s="38" t="n"/>
      <c r="E1158" s="38" t="n"/>
      <c r="F1158" s="38" t="n"/>
      <c r="G1158" s="38" t="n"/>
      <c r="H1158" s="38" t="n"/>
      <c r="I1158" s="57" t="n"/>
      <c r="J1158" s="95" t="n"/>
      <c r="K1158" s="95" t="n"/>
      <c r="L1158" s="48" t="n"/>
      <c r="M1158" s="96" t="n"/>
      <c r="N1158" s="48" t="n"/>
      <c r="O1158" s="38" t="n"/>
      <c r="P1158" s="38" t="n"/>
      <c r="Q1158" s="97">
        <f>IF(OR(F1158="",E1158=""),"",IFERROR(IF(INDEX('PROPERTIES'!$F$5:$F$404,MATCH(E1158,'PROPERTIES'!$B$5:$B$404,0))=0,"",ROUND((INDEX('PROPERTIES'!$F$5:$F$404,MATCH(E1158,'PROPERTIES'!$B$5:$B$404,0))/INDEX('PRICING'!$C$7:$C$16,MATCH(F1158,'PRICING'!$A$7:$A$16,0))+INDEX('PROPERTIES'!$G$5:$G$404,MATCH(E1158,'PROPERTIES'!$B$5:$B$404,0))*INDEX('PRICING'!$D$7:$D$16,MATCH(F1158,'PRICING'!$A$7:$A$16,0))/60+INDEX('PROPERTIES'!$H$5:$H$404,MATCH(E1158,'PROPERTIES'!$B$5:$B$404,0))*INDEX('PRICING'!$E$7:$E$16,MATCH(F1158,'PRICING'!$A$7:$A$16,0))/60+INDEX('PRICING'!$F$7:$F$16,MATCH(F1158,'PRICING'!$A$7:$A$16,0))/60),2)),""))</f>
        <v/>
      </c>
      <c r="R1158" s="97">
        <f>IF(B1158="","",IF(N(K1158)&gt;0,K1158,IF(N(J1158)&gt;0,J1158,N(Q1158))))</f>
        <v/>
      </c>
      <c r="S1158" s="55">
        <f>IF(L1158="","",ROUND(L1158*(1+N(M1158)),2))</f>
        <v/>
      </c>
      <c r="T1158" s="55">
        <f>IF(B1158="","",SUMIFS('REVENUE'!$C$5:$C$1504,'REVENUE'!$B$5:$B$1504,A1158))</f>
        <v/>
      </c>
      <c r="U1158" s="55">
        <f>IF(B1158="","",IF(O1158="Completed",MAX(0,N(S1158)-T1158),""))</f>
        <v/>
      </c>
      <c r="V1158" s="49">
        <f>IF(B1158="","",IF(O1158&lt;&gt;"Completed",IF(T1158&gt;0,"Deposit","—"),IF(U1158&lt;=0.005,"Paid",IF(T1158&gt;0,"Partial","Unpaid"))))</f>
        <v/>
      </c>
      <c r="W1158" s="55">
        <f>IF(B1158="","",IFERROR(1/(1/INDEX('STAFF &amp; TASKS'!$C$5:$C$24,MATCH(H1158,'STAFF &amp; TASKS'!$A$5:$A$24,0))),PayRate))</f>
        <v/>
      </c>
      <c r="X1158" s="55">
        <f>IF(B1158="","",IF(OR(O1158="Cancelled",O1158="No-Show"),"",ROUND(R1158*W1158*(1+Burden),2)))</f>
        <v/>
      </c>
      <c r="Y1158" s="55">
        <f>IF(B1158="","",IF(OR(O1158="Cancelled",O1158="No-Show"),"",IF(N1158&lt;&gt;"",N1158,ROUND(R1158*SupHr*IFERROR(INDEX('PRICING'!$G$7:$G$16,MATCH(F1158,'PRICING'!$A$7:$A$16,0)),1),2))))</f>
        <v/>
      </c>
      <c r="Z1158" s="98">
        <f>IF(B1158="","",SUMIFS('MILEAGE'!$J$5:$J$1504,'MILEAGE'!$B$5:$B$1504,A1158))</f>
        <v/>
      </c>
      <c r="AA1158" s="55">
        <f>IF(B1158="","",ROUND(Z1158*MileRate,2))</f>
        <v/>
      </c>
      <c r="AB1158" s="55">
        <f>IF(B1158="","",SUMIFS('REVENUE'!$J$5:$J$1504,'REVENUE'!$B$5:$B$1504,A1158))</f>
        <v/>
      </c>
      <c r="AC1158" s="55">
        <f>IF(L1158="","",IF(OR(O1158="Cancelled",O1158="No-Show"),"",L1158-N(X1158)-N(Y1158)-AA1158-AB1158))</f>
        <v/>
      </c>
      <c r="AD1158" s="99">
        <f>IF(OR(AC1158="",N(L1158)=0),"",AC1158/L1158)</f>
        <v/>
      </c>
      <c r="AE1158" s="55">
        <f>IF(OR(AC1158="",N(R1158)=0),"",L1158/R1158)</f>
        <v/>
      </c>
      <c r="AF1158" s="100">
        <f>IF(OR(N(K1158)=0,N(J1158)+N(Q1158)=0),"",K1158-IF(N(J1158)&gt;0,J1158,Q1158))</f>
        <v/>
      </c>
      <c r="AG1158" s="99">
        <f>IF(B1158="","",IFERROR(AVERAGEIFS('QUALITY CONTROL'!$M$5:$M$304,'QUALITY CONTROL'!$B$5:$B$304,A1158),""))</f>
        <v/>
      </c>
      <c r="AH1158" s="51">
        <f>IF(B1158="","",DATE(YEAR(B1158),MONTH(B1158),1))</f>
        <v/>
      </c>
      <c r="AI1158" s="49">
        <f>IF(D1158="","",IFERROR(INDEX('CUSTOMERS'!$E$5:$E$404,MATCH(D1158,'CUSTOMERS'!$B$5:$B$404,0)),""))</f>
        <v/>
      </c>
      <c r="AJ1158" s="49">
        <f>IF(B1158="","",N(C1158))</f>
        <v/>
      </c>
      <c r="AK1158" s="49">
        <f>IF(OR(B1158="",O1158="Cancelled",O1158="Rescheduled"),"",B1158&amp;"|"&amp;(COUNTIFS('JOBS'!$B$5:$B$1504,B1158,'JOBS'!$AJ$5:$AJ$1504,"&lt;"&amp;AJ1158,'JOBS'!$O$5:$O$1504,"&lt;&gt;Cancelled",'JOBS'!$O$5:$O$1504,"&lt;&gt;Rescheduled")+COUNTIFS($B$5:B1158,B1158,$AJ$5:AJ1158,AJ1158,$O$5:O1158,"&lt;&gt;Cancelled",$O$5:O1158,"&lt;&gt;Rescheduled")))</f>
        <v/>
      </c>
      <c r="AL1158" s="49">
        <f>IF(N(U1158)&lt;=0.005,"",COUNTIFS('JOBS'!$U$5:$U$1504,"&gt;0.005",'JOBS'!$B$5:$B$1504,"&lt;"&amp;B1158)+COUNTIFS($U$5:U1158,"&gt;0.005",$B$5:B1158,B1158))</f>
        <v/>
      </c>
    </row>
    <row r="1159">
      <c r="A1159" s="46" t="inlineStr">
        <is>
          <t>J-1155</t>
        </is>
      </c>
      <c r="B1159" s="47" t="n"/>
      <c r="C1159" s="94" t="n"/>
      <c r="D1159" s="38" t="n"/>
      <c r="E1159" s="38" t="n"/>
      <c r="F1159" s="38" t="n"/>
      <c r="G1159" s="38" t="n"/>
      <c r="H1159" s="38" t="n"/>
      <c r="I1159" s="57" t="n"/>
      <c r="J1159" s="95" t="n"/>
      <c r="K1159" s="95" t="n"/>
      <c r="L1159" s="48" t="n"/>
      <c r="M1159" s="96" t="n"/>
      <c r="N1159" s="48" t="n"/>
      <c r="O1159" s="38" t="n"/>
      <c r="P1159" s="38" t="n"/>
      <c r="Q1159" s="97">
        <f>IF(OR(F1159="",E1159=""),"",IFERROR(IF(INDEX('PROPERTIES'!$F$5:$F$404,MATCH(E1159,'PROPERTIES'!$B$5:$B$404,0))=0,"",ROUND((INDEX('PROPERTIES'!$F$5:$F$404,MATCH(E1159,'PROPERTIES'!$B$5:$B$404,0))/INDEX('PRICING'!$C$7:$C$16,MATCH(F1159,'PRICING'!$A$7:$A$16,0))+INDEX('PROPERTIES'!$G$5:$G$404,MATCH(E1159,'PROPERTIES'!$B$5:$B$404,0))*INDEX('PRICING'!$D$7:$D$16,MATCH(F1159,'PRICING'!$A$7:$A$16,0))/60+INDEX('PROPERTIES'!$H$5:$H$404,MATCH(E1159,'PROPERTIES'!$B$5:$B$404,0))*INDEX('PRICING'!$E$7:$E$16,MATCH(F1159,'PRICING'!$A$7:$A$16,0))/60+INDEX('PRICING'!$F$7:$F$16,MATCH(F1159,'PRICING'!$A$7:$A$16,0))/60),2)),""))</f>
        <v/>
      </c>
      <c r="R1159" s="97">
        <f>IF(B1159="","",IF(N(K1159)&gt;0,K1159,IF(N(J1159)&gt;0,J1159,N(Q1159))))</f>
        <v/>
      </c>
      <c r="S1159" s="55">
        <f>IF(L1159="","",ROUND(L1159*(1+N(M1159)),2))</f>
        <v/>
      </c>
      <c r="T1159" s="55">
        <f>IF(B1159="","",SUMIFS('REVENUE'!$C$5:$C$1504,'REVENUE'!$B$5:$B$1504,A1159))</f>
        <v/>
      </c>
      <c r="U1159" s="55">
        <f>IF(B1159="","",IF(O1159="Completed",MAX(0,N(S1159)-T1159),""))</f>
        <v/>
      </c>
      <c r="V1159" s="49">
        <f>IF(B1159="","",IF(O1159&lt;&gt;"Completed",IF(T1159&gt;0,"Deposit","—"),IF(U1159&lt;=0.005,"Paid",IF(T1159&gt;0,"Partial","Unpaid"))))</f>
        <v/>
      </c>
      <c r="W1159" s="55">
        <f>IF(B1159="","",IFERROR(1/(1/INDEX('STAFF &amp; TASKS'!$C$5:$C$24,MATCH(H1159,'STAFF &amp; TASKS'!$A$5:$A$24,0))),PayRate))</f>
        <v/>
      </c>
      <c r="X1159" s="55">
        <f>IF(B1159="","",IF(OR(O1159="Cancelled",O1159="No-Show"),"",ROUND(R1159*W1159*(1+Burden),2)))</f>
        <v/>
      </c>
      <c r="Y1159" s="55">
        <f>IF(B1159="","",IF(OR(O1159="Cancelled",O1159="No-Show"),"",IF(N1159&lt;&gt;"",N1159,ROUND(R1159*SupHr*IFERROR(INDEX('PRICING'!$G$7:$G$16,MATCH(F1159,'PRICING'!$A$7:$A$16,0)),1),2))))</f>
        <v/>
      </c>
      <c r="Z1159" s="98">
        <f>IF(B1159="","",SUMIFS('MILEAGE'!$J$5:$J$1504,'MILEAGE'!$B$5:$B$1504,A1159))</f>
        <v/>
      </c>
      <c r="AA1159" s="55">
        <f>IF(B1159="","",ROUND(Z1159*MileRate,2))</f>
        <v/>
      </c>
      <c r="AB1159" s="55">
        <f>IF(B1159="","",SUMIFS('REVENUE'!$J$5:$J$1504,'REVENUE'!$B$5:$B$1504,A1159))</f>
        <v/>
      </c>
      <c r="AC1159" s="55">
        <f>IF(L1159="","",IF(OR(O1159="Cancelled",O1159="No-Show"),"",L1159-N(X1159)-N(Y1159)-AA1159-AB1159))</f>
        <v/>
      </c>
      <c r="AD1159" s="99">
        <f>IF(OR(AC1159="",N(L1159)=0),"",AC1159/L1159)</f>
        <v/>
      </c>
      <c r="AE1159" s="55">
        <f>IF(OR(AC1159="",N(R1159)=0),"",L1159/R1159)</f>
        <v/>
      </c>
      <c r="AF1159" s="100">
        <f>IF(OR(N(K1159)=0,N(J1159)+N(Q1159)=0),"",K1159-IF(N(J1159)&gt;0,J1159,Q1159))</f>
        <v/>
      </c>
      <c r="AG1159" s="99">
        <f>IF(B1159="","",IFERROR(AVERAGEIFS('QUALITY CONTROL'!$M$5:$M$304,'QUALITY CONTROL'!$B$5:$B$304,A1159),""))</f>
        <v/>
      </c>
      <c r="AH1159" s="51">
        <f>IF(B1159="","",DATE(YEAR(B1159),MONTH(B1159),1))</f>
        <v/>
      </c>
      <c r="AI1159" s="49">
        <f>IF(D1159="","",IFERROR(INDEX('CUSTOMERS'!$E$5:$E$404,MATCH(D1159,'CUSTOMERS'!$B$5:$B$404,0)),""))</f>
        <v/>
      </c>
      <c r="AJ1159" s="49">
        <f>IF(B1159="","",N(C1159))</f>
        <v/>
      </c>
      <c r="AK1159" s="49">
        <f>IF(OR(B1159="",O1159="Cancelled",O1159="Rescheduled"),"",B1159&amp;"|"&amp;(COUNTIFS('JOBS'!$B$5:$B$1504,B1159,'JOBS'!$AJ$5:$AJ$1504,"&lt;"&amp;AJ1159,'JOBS'!$O$5:$O$1504,"&lt;&gt;Cancelled",'JOBS'!$O$5:$O$1504,"&lt;&gt;Rescheduled")+COUNTIFS($B$5:B1159,B1159,$AJ$5:AJ1159,AJ1159,$O$5:O1159,"&lt;&gt;Cancelled",$O$5:O1159,"&lt;&gt;Rescheduled")))</f>
        <v/>
      </c>
      <c r="AL1159" s="49">
        <f>IF(N(U1159)&lt;=0.005,"",COUNTIFS('JOBS'!$U$5:$U$1504,"&gt;0.005",'JOBS'!$B$5:$B$1504,"&lt;"&amp;B1159)+COUNTIFS($U$5:U1159,"&gt;0.005",$B$5:B1159,B1159))</f>
        <v/>
      </c>
    </row>
    <row r="1160">
      <c r="A1160" s="46" t="inlineStr">
        <is>
          <t>J-1156</t>
        </is>
      </c>
      <c r="B1160" s="47" t="n"/>
      <c r="C1160" s="94" t="n"/>
      <c r="D1160" s="38" t="n"/>
      <c r="E1160" s="38" t="n"/>
      <c r="F1160" s="38" t="n"/>
      <c r="G1160" s="38" t="n"/>
      <c r="H1160" s="38" t="n"/>
      <c r="I1160" s="57" t="n"/>
      <c r="J1160" s="95" t="n"/>
      <c r="K1160" s="95" t="n"/>
      <c r="L1160" s="48" t="n"/>
      <c r="M1160" s="96" t="n"/>
      <c r="N1160" s="48" t="n"/>
      <c r="O1160" s="38" t="n"/>
      <c r="P1160" s="38" t="n"/>
      <c r="Q1160" s="97">
        <f>IF(OR(F1160="",E1160=""),"",IFERROR(IF(INDEX('PROPERTIES'!$F$5:$F$404,MATCH(E1160,'PROPERTIES'!$B$5:$B$404,0))=0,"",ROUND((INDEX('PROPERTIES'!$F$5:$F$404,MATCH(E1160,'PROPERTIES'!$B$5:$B$404,0))/INDEX('PRICING'!$C$7:$C$16,MATCH(F1160,'PRICING'!$A$7:$A$16,0))+INDEX('PROPERTIES'!$G$5:$G$404,MATCH(E1160,'PROPERTIES'!$B$5:$B$404,0))*INDEX('PRICING'!$D$7:$D$16,MATCH(F1160,'PRICING'!$A$7:$A$16,0))/60+INDEX('PROPERTIES'!$H$5:$H$404,MATCH(E1160,'PROPERTIES'!$B$5:$B$404,0))*INDEX('PRICING'!$E$7:$E$16,MATCH(F1160,'PRICING'!$A$7:$A$16,0))/60+INDEX('PRICING'!$F$7:$F$16,MATCH(F1160,'PRICING'!$A$7:$A$16,0))/60),2)),""))</f>
        <v/>
      </c>
      <c r="R1160" s="97">
        <f>IF(B1160="","",IF(N(K1160)&gt;0,K1160,IF(N(J1160)&gt;0,J1160,N(Q1160))))</f>
        <v/>
      </c>
      <c r="S1160" s="55">
        <f>IF(L1160="","",ROUND(L1160*(1+N(M1160)),2))</f>
        <v/>
      </c>
      <c r="T1160" s="55">
        <f>IF(B1160="","",SUMIFS('REVENUE'!$C$5:$C$1504,'REVENUE'!$B$5:$B$1504,A1160))</f>
        <v/>
      </c>
      <c r="U1160" s="55">
        <f>IF(B1160="","",IF(O1160="Completed",MAX(0,N(S1160)-T1160),""))</f>
        <v/>
      </c>
      <c r="V1160" s="49">
        <f>IF(B1160="","",IF(O1160&lt;&gt;"Completed",IF(T1160&gt;0,"Deposit","—"),IF(U1160&lt;=0.005,"Paid",IF(T1160&gt;0,"Partial","Unpaid"))))</f>
        <v/>
      </c>
      <c r="W1160" s="55">
        <f>IF(B1160="","",IFERROR(1/(1/INDEX('STAFF &amp; TASKS'!$C$5:$C$24,MATCH(H1160,'STAFF &amp; TASKS'!$A$5:$A$24,0))),PayRate))</f>
        <v/>
      </c>
      <c r="X1160" s="55">
        <f>IF(B1160="","",IF(OR(O1160="Cancelled",O1160="No-Show"),"",ROUND(R1160*W1160*(1+Burden),2)))</f>
        <v/>
      </c>
      <c r="Y1160" s="55">
        <f>IF(B1160="","",IF(OR(O1160="Cancelled",O1160="No-Show"),"",IF(N1160&lt;&gt;"",N1160,ROUND(R1160*SupHr*IFERROR(INDEX('PRICING'!$G$7:$G$16,MATCH(F1160,'PRICING'!$A$7:$A$16,0)),1),2))))</f>
        <v/>
      </c>
      <c r="Z1160" s="98">
        <f>IF(B1160="","",SUMIFS('MILEAGE'!$J$5:$J$1504,'MILEAGE'!$B$5:$B$1504,A1160))</f>
        <v/>
      </c>
      <c r="AA1160" s="55">
        <f>IF(B1160="","",ROUND(Z1160*MileRate,2))</f>
        <v/>
      </c>
      <c r="AB1160" s="55">
        <f>IF(B1160="","",SUMIFS('REVENUE'!$J$5:$J$1504,'REVENUE'!$B$5:$B$1504,A1160))</f>
        <v/>
      </c>
      <c r="AC1160" s="55">
        <f>IF(L1160="","",IF(OR(O1160="Cancelled",O1160="No-Show"),"",L1160-N(X1160)-N(Y1160)-AA1160-AB1160))</f>
        <v/>
      </c>
      <c r="AD1160" s="99">
        <f>IF(OR(AC1160="",N(L1160)=0),"",AC1160/L1160)</f>
        <v/>
      </c>
      <c r="AE1160" s="55">
        <f>IF(OR(AC1160="",N(R1160)=0),"",L1160/R1160)</f>
        <v/>
      </c>
      <c r="AF1160" s="100">
        <f>IF(OR(N(K1160)=0,N(J1160)+N(Q1160)=0),"",K1160-IF(N(J1160)&gt;0,J1160,Q1160))</f>
        <v/>
      </c>
      <c r="AG1160" s="99">
        <f>IF(B1160="","",IFERROR(AVERAGEIFS('QUALITY CONTROL'!$M$5:$M$304,'QUALITY CONTROL'!$B$5:$B$304,A1160),""))</f>
        <v/>
      </c>
      <c r="AH1160" s="51">
        <f>IF(B1160="","",DATE(YEAR(B1160),MONTH(B1160),1))</f>
        <v/>
      </c>
      <c r="AI1160" s="49">
        <f>IF(D1160="","",IFERROR(INDEX('CUSTOMERS'!$E$5:$E$404,MATCH(D1160,'CUSTOMERS'!$B$5:$B$404,0)),""))</f>
        <v/>
      </c>
      <c r="AJ1160" s="49">
        <f>IF(B1160="","",N(C1160))</f>
        <v/>
      </c>
      <c r="AK1160" s="49">
        <f>IF(OR(B1160="",O1160="Cancelled",O1160="Rescheduled"),"",B1160&amp;"|"&amp;(COUNTIFS('JOBS'!$B$5:$B$1504,B1160,'JOBS'!$AJ$5:$AJ$1504,"&lt;"&amp;AJ1160,'JOBS'!$O$5:$O$1504,"&lt;&gt;Cancelled",'JOBS'!$O$5:$O$1504,"&lt;&gt;Rescheduled")+COUNTIFS($B$5:B1160,B1160,$AJ$5:AJ1160,AJ1160,$O$5:O1160,"&lt;&gt;Cancelled",$O$5:O1160,"&lt;&gt;Rescheduled")))</f>
        <v/>
      </c>
      <c r="AL1160" s="49">
        <f>IF(N(U1160)&lt;=0.005,"",COUNTIFS('JOBS'!$U$5:$U$1504,"&gt;0.005",'JOBS'!$B$5:$B$1504,"&lt;"&amp;B1160)+COUNTIFS($U$5:U1160,"&gt;0.005",$B$5:B1160,B1160))</f>
        <v/>
      </c>
    </row>
    <row r="1161">
      <c r="A1161" s="46" t="inlineStr">
        <is>
          <t>J-1157</t>
        </is>
      </c>
      <c r="B1161" s="47" t="n"/>
      <c r="C1161" s="94" t="n"/>
      <c r="D1161" s="38" t="n"/>
      <c r="E1161" s="38" t="n"/>
      <c r="F1161" s="38" t="n"/>
      <c r="G1161" s="38" t="n"/>
      <c r="H1161" s="38" t="n"/>
      <c r="I1161" s="57" t="n"/>
      <c r="J1161" s="95" t="n"/>
      <c r="K1161" s="95" t="n"/>
      <c r="L1161" s="48" t="n"/>
      <c r="M1161" s="96" t="n"/>
      <c r="N1161" s="48" t="n"/>
      <c r="O1161" s="38" t="n"/>
      <c r="P1161" s="38" t="n"/>
      <c r="Q1161" s="97">
        <f>IF(OR(F1161="",E1161=""),"",IFERROR(IF(INDEX('PROPERTIES'!$F$5:$F$404,MATCH(E1161,'PROPERTIES'!$B$5:$B$404,0))=0,"",ROUND((INDEX('PROPERTIES'!$F$5:$F$404,MATCH(E1161,'PROPERTIES'!$B$5:$B$404,0))/INDEX('PRICING'!$C$7:$C$16,MATCH(F1161,'PRICING'!$A$7:$A$16,0))+INDEX('PROPERTIES'!$G$5:$G$404,MATCH(E1161,'PROPERTIES'!$B$5:$B$404,0))*INDEX('PRICING'!$D$7:$D$16,MATCH(F1161,'PRICING'!$A$7:$A$16,0))/60+INDEX('PROPERTIES'!$H$5:$H$404,MATCH(E1161,'PROPERTIES'!$B$5:$B$404,0))*INDEX('PRICING'!$E$7:$E$16,MATCH(F1161,'PRICING'!$A$7:$A$16,0))/60+INDEX('PRICING'!$F$7:$F$16,MATCH(F1161,'PRICING'!$A$7:$A$16,0))/60),2)),""))</f>
        <v/>
      </c>
      <c r="R1161" s="97">
        <f>IF(B1161="","",IF(N(K1161)&gt;0,K1161,IF(N(J1161)&gt;0,J1161,N(Q1161))))</f>
        <v/>
      </c>
      <c r="S1161" s="55">
        <f>IF(L1161="","",ROUND(L1161*(1+N(M1161)),2))</f>
        <v/>
      </c>
      <c r="T1161" s="55">
        <f>IF(B1161="","",SUMIFS('REVENUE'!$C$5:$C$1504,'REVENUE'!$B$5:$B$1504,A1161))</f>
        <v/>
      </c>
      <c r="U1161" s="55">
        <f>IF(B1161="","",IF(O1161="Completed",MAX(0,N(S1161)-T1161),""))</f>
        <v/>
      </c>
      <c r="V1161" s="49">
        <f>IF(B1161="","",IF(O1161&lt;&gt;"Completed",IF(T1161&gt;0,"Deposit","—"),IF(U1161&lt;=0.005,"Paid",IF(T1161&gt;0,"Partial","Unpaid"))))</f>
        <v/>
      </c>
      <c r="W1161" s="55">
        <f>IF(B1161="","",IFERROR(1/(1/INDEX('STAFF &amp; TASKS'!$C$5:$C$24,MATCH(H1161,'STAFF &amp; TASKS'!$A$5:$A$24,0))),PayRate))</f>
        <v/>
      </c>
      <c r="X1161" s="55">
        <f>IF(B1161="","",IF(OR(O1161="Cancelled",O1161="No-Show"),"",ROUND(R1161*W1161*(1+Burden),2)))</f>
        <v/>
      </c>
      <c r="Y1161" s="55">
        <f>IF(B1161="","",IF(OR(O1161="Cancelled",O1161="No-Show"),"",IF(N1161&lt;&gt;"",N1161,ROUND(R1161*SupHr*IFERROR(INDEX('PRICING'!$G$7:$G$16,MATCH(F1161,'PRICING'!$A$7:$A$16,0)),1),2))))</f>
        <v/>
      </c>
      <c r="Z1161" s="98">
        <f>IF(B1161="","",SUMIFS('MILEAGE'!$J$5:$J$1504,'MILEAGE'!$B$5:$B$1504,A1161))</f>
        <v/>
      </c>
      <c r="AA1161" s="55">
        <f>IF(B1161="","",ROUND(Z1161*MileRate,2))</f>
        <v/>
      </c>
      <c r="AB1161" s="55">
        <f>IF(B1161="","",SUMIFS('REVENUE'!$J$5:$J$1504,'REVENUE'!$B$5:$B$1504,A1161))</f>
        <v/>
      </c>
      <c r="AC1161" s="55">
        <f>IF(L1161="","",IF(OR(O1161="Cancelled",O1161="No-Show"),"",L1161-N(X1161)-N(Y1161)-AA1161-AB1161))</f>
        <v/>
      </c>
      <c r="AD1161" s="99">
        <f>IF(OR(AC1161="",N(L1161)=0),"",AC1161/L1161)</f>
        <v/>
      </c>
      <c r="AE1161" s="55">
        <f>IF(OR(AC1161="",N(R1161)=0),"",L1161/R1161)</f>
        <v/>
      </c>
      <c r="AF1161" s="100">
        <f>IF(OR(N(K1161)=0,N(J1161)+N(Q1161)=0),"",K1161-IF(N(J1161)&gt;0,J1161,Q1161))</f>
        <v/>
      </c>
      <c r="AG1161" s="99">
        <f>IF(B1161="","",IFERROR(AVERAGEIFS('QUALITY CONTROL'!$M$5:$M$304,'QUALITY CONTROL'!$B$5:$B$304,A1161),""))</f>
        <v/>
      </c>
      <c r="AH1161" s="51">
        <f>IF(B1161="","",DATE(YEAR(B1161),MONTH(B1161),1))</f>
        <v/>
      </c>
      <c r="AI1161" s="49">
        <f>IF(D1161="","",IFERROR(INDEX('CUSTOMERS'!$E$5:$E$404,MATCH(D1161,'CUSTOMERS'!$B$5:$B$404,0)),""))</f>
        <v/>
      </c>
      <c r="AJ1161" s="49">
        <f>IF(B1161="","",N(C1161))</f>
        <v/>
      </c>
      <c r="AK1161" s="49">
        <f>IF(OR(B1161="",O1161="Cancelled",O1161="Rescheduled"),"",B1161&amp;"|"&amp;(COUNTIFS('JOBS'!$B$5:$B$1504,B1161,'JOBS'!$AJ$5:$AJ$1504,"&lt;"&amp;AJ1161,'JOBS'!$O$5:$O$1504,"&lt;&gt;Cancelled",'JOBS'!$O$5:$O$1504,"&lt;&gt;Rescheduled")+COUNTIFS($B$5:B1161,B1161,$AJ$5:AJ1161,AJ1161,$O$5:O1161,"&lt;&gt;Cancelled",$O$5:O1161,"&lt;&gt;Rescheduled")))</f>
        <v/>
      </c>
      <c r="AL1161" s="49">
        <f>IF(N(U1161)&lt;=0.005,"",COUNTIFS('JOBS'!$U$5:$U$1504,"&gt;0.005",'JOBS'!$B$5:$B$1504,"&lt;"&amp;B1161)+COUNTIFS($U$5:U1161,"&gt;0.005",$B$5:B1161,B1161))</f>
        <v/>
      </c>
    </row>
    <row r="1162">
      <c r="A1162" s="46" t="inlineStr">
        <is>
          <t>J-1158</t>
        </is>
      </c>
      <c r="B1162" s="47" t="n"/>
      <c r="C1162" s="94" t="n"/>
      <c r="D1162" s="38" t="n"/>
      <c r="E1162" s="38" t="n"/>
      <c r="F1162" s="38" t="n"/>
      <c r="G1162" s="38" t="n"/>
      <c r="H1162" s="38" t="n"/>
      <c r="I1162" s="57" t="n"/>
      <c r="J1162" s="95" t="n"/>
      <c r="K1162" s="95" t="n"/>
      <c r="L1162" s="48" t="n"/>
      <c r="M1162" s="96" t="n"/>
      <c r="N1162" s="48" t="n"/>
      <c r="O1162" s="38" t="n"/>
      <c r="P1162" s="38" t="n"/>
      <c r="Q1162" s="97">
        <f>IF(OR(F1162="",E1162=""),"",IFERROR(IF(INDEX('PROPERTIES'!$F$5:$F$404,MATCH(E1162,'PROPERTIES'!$B$5:$B$404,0))=0,"",ROUND((INDEX('PROPERTIES'!$F$5:$F$404,MATCH(E1162,'PROPERTIES'!$B$5:$B$404,0))/INDEX('PRICING'!$C$7:$C$16,MATCH(F1162,'PRICING'!$A$7:$A$16,0))+INDEX('PROPERTIES'!$G$5:$G$404,MATCH(E1162,'PROPERTIES'!$B$5:$B$404,0))*INDEX('PRICING'!$D$7:$D$16,MATCH(F1162,'PRICING'!$A$7:$A$16,0))/60+INDEX('PROPERTIES'!$H$5:$H$404,MATCH(E1162,'PROPERTIES'!$B$5:$B$404,0))*INDEX('PRICING'!$E$7:$E$16,MATCH(F1162,'PRICING'!$A$7:$A$16,0))/60+INDEX('PRICING'!$F$7:$F$16,MATCH(F1162,'PRICING'!$A$7:$A$16,0))/60),2)),""))</f>
        <v/>
      </c>
      <c r="R1162" s="97">
        <f>IF(B1162="","",IF(N(K1162)&gt;0,K1162,IF(N(J1162)&gt;0,J1162,N(Q1162))))</f>
        <v/>
      </c>
      <c r="S1162" s="55">
        <f>IF(L1162="","",ROUND(L1162*(1+N(M1162)),2))</f>
        <v/>
      </c>
      <c r="T1162" s="55">
        <f>IF(B1162="","",SUMIFS('REVENUE'!$C$5:$C$1504,'REVENUE'!$B$5:$B$1504,A1162))</f>
        <v/>
      </c>
      <c r="U1162" s="55">
        <f>IF(B1162="","",IF(O1162="Completed",MAX(0,N(S1162)-T1162),""))</f>
        <v/>
      </c>
      <c r="V1162" s="49">
        <f>IF(B1162="","",IF(O1162&lt;&gt;"Completed",IF(T1162&gt;0,"Deposit","—"),IF(U1162&lt;=0.005,"Paid",IF(T1162&gt;0,"Partial","Unpaid"))))</f>
        <v/>
      </c>
      <c r="W1162" s="55">
        <f>IF(B1162="","",IFERROR(1/(1/INDEX('STAFF &amp; TASKS'!$C$5:$C$24,MATCH(H1162,'STAFF &amp; TASKS'!$A$5:$A$24,0))),PayRate))</f>
        <v/>
      </c>
      <c r="X1162" s="55">
        <f>IF(B1162="","",IF(OR(O1162="Cancelled",O1162="No-Show"),"",ROUND(R1162*W1162*(1+Burden),2)))</f>
        <v/>
      </c>
      <c r="Y1162" s="55">
        <f>IF(B1162="","",IF(OR(O1162="Cancelled",O1162="No-Show"),"",IF(N1162&lt;&gt;"",N1162,ROUND(R1162*SupHr*IFERROR(INDEX('PRICING'!$G$7:$G$16,MATCH(F1162,'PRICING'!$A$7:$A$16,0)),1),2))))</f>
        <v/>
      </c>
      <c r="Z1162" s="98">
        <f>IF(B1162="","",SUMIFS('MILEAGE'!$J$5:$J$1504,'MILEAGE'!$B$5:$B$1504,A1162))</f>
        <v/>
      </c>
      <c r="AA1162" s="55">
        <f>IF(B1162="","",ROUND(Z1162*MileRate,2))</f>
        <v/>
      </c>
      <c r="AB1162" s="55">
        <f>IF(B1162="","",SUMIFS('REVENUE'!$J$5:$J$1504,'REVENUE'!$B$5:$B$1504,A1162))</f>
        <v/>
      </c>
      <c r="AC1162" s="55">
        <f>IF(L1162="","",IF(OR(O1162="Cancelled",O1162="No-Show"),"",L1162-N(X1162)-N(Y1162)-AA1162-AB1162))</f>
        <v/>
      </c>
      <c r="AD1162" s="99">
        <f>IF(OR(AC1162="",N(L1162)=0),"",AC1162/L1162)</f>
        <v/>
      </c>
      <c r="AE1162" s="55">
        <f>IF(OR(AC1162="",N(R1162)=0),"",L1162/R1162)</f>
        <v/>
      </c>
      <c r="AF1162" s="100">
        <f>IF(OR(N(K1162)=0,N(J1162)+N(Q1162)=0),"",K1162-IF(N(J1162)&gt;0,J1162,Q1162))</f>
        <v/>
      </c>
      <c r="AG1162" s="99">
        <f>IF(B1162="","",IFERROR(AVERAGEIFS('QUALITY CONTROL'!$M$5:$M$304,'QUALITY CONTROL'!$B$5:$B$304,A1162),""))</f>
        <v/>
      </c>
      <c r="AH1162" s="51">
        <f>IF(B1162="","",DATE(YEAR(B1162),MONTH(B1162),1))</f>
        <v/>
      </c>
      <c r="AI1162" s="49">
        <f>IF(D1162="","",IFERROR(INDEX('CUSTOMERS'!$E$5:$E$404,MATCH(D1162,'CUSTOMERS'!$B$5:$B$404,0)),""))</f>
        <v/>
      </c>
      <c r="AJ1162" s="49">
        <f>IF(B1162="","",N(C1162))</f>
        <v/>
      </c>
      <c r="AK1162" s="49">
        <f>IF(OR(B1162="",O1162="Cancelled",O1162="Rescheduled"),"",B1162&amp;"|"&amp;(COUNTIFS('JOBS'!$B$5:$B$1504,B1162,'JOBS'!$AJ$5:$AJ$1504,"&lt;"&amp;AJ1162,'JOBS'!$O$5:$O$1504,"&lt;&gt;Cancelled",'JOBS'!$O$5:$O$1504,"&lt;&gt;Rescheduled")+COUNTIFS($B$5:B1162,B1162,$AJ$5:AJ1162,AJ1162,$O$5:O1162,"&lt;&gt;Cancelled",$O$5:O1162,"&lt;&gt;Rescheduled")))</f>
        <v/>
      </c>
      <c r="AL1162" s="49">
        <f>IF(N(U1162)&lt;=0.005,"",COUNTIFS('JOBS'!$U$5:$U$1504,"&gt;0.005",'JOBS'!$B$5:$B$1504,"&lt;"&amp;B1162)+COUNTIFS($U$5:U1162,"&gt;0.005",$B$5:B1162,B1162))</f>
        <v/>
      </c>
    </row>
    <row r="1163">
      <c r="A1163" s="46" t="inlineStr">
        <is>
          <t>J-1159</t>
        </is>
      </c>
      <c r="B1163" s="47" t="n"/>
      <c r="C1163" s="94" t="n"/>
      <c r="D1163" s="38" t="n"/>
      <c r="E1163" s="38" t="n"/>
      <c r="F1163" s="38" t="n"/>
      <c r="G1163" s="38" t="n"/>
      <c r="H1163" s="38" t="n"/>
      <c r="I1163" s="57" t="n"/>
      <c r="J1163" s="95" t="n"/>
      <c r="K1163" s="95" t="n"/>
      <c r="L1163" s="48" t="n"/>
      <c r="M1163" s="96" t="n"/>
      <c r="N1163" s="48" t="n"/>
      <c r="O1163" s="38" t="n"/>
      <c r="P1163" s="38" t="n"/>
      <c r="Q1163" s="97">
        <f>IF(OR(F1163="",E1163=""),"",IFERROR(IF(INDEX('PROPERTIES'!$F$5:$F$404,MATCH(E1163,'PROPERTIES'!$B$5:$B$404,0))=0,"",ROUND((INDEX('PROPERTIES'!$F$5:$F$404,MATCH(E1163,'PROPERTIES'!$B$5:$B$404,0))/INDEX('PRICING'!$C$7:$C$16,MATCH(F1163,'PRICING'!$A$7:$A$16,0))+INDEX('PROPERTIES'!$G$5:$G$404,MATCH(E1163,'PROPERTIES'!$B$5:$B$404,0))*INDEX('PRICING'!$D$7:$D$16,MATCH(F1163,'PRICING'!$A$7:$A$16,0))/60+INDEX('PROPERTIES'!$H$5:$H$404,MATCH(E1163,'PROPERTIES'!$B$5:$B$404,0))*INDEX('PRICING'!$E$7:$E$16,MATCH(F1163,'PRICING'!$A$7:$A$16,0))/60+INDEX('PRICING'!$F$7:$F$16,MATCH(F1163,'PRICING'!$A$7:$A$16,0))/60),2)),""))</f>
        <v/>
      </c>
      <c r="R1163" s="97">
        <f>IF(B1163="","",IF(N(K1163)&gt;0,K1163,IF(N(J1163)&gt;0,J1163,N(Q1163))))</f>
        <v/>
      </c>
      <c r="S1163" s="55">
        <f>IF(L1163="","",ROUND(L1163*(1+N(M1163)),2))</f>
        <v/>
      </c>
      <c r="T1163" s="55">
        <f>IF(B1163="","",SUMIFS('REVENUE'!$C$5:$C$1504,'REVENUE'!$B$5:$B$1504,A1163))</f>
        <v/>
      </c>
      <c r="U1163" s="55">
        <f>IF(B1163="","",IF(O1163="Completed",MAX(0,N(S1163)-T1163),""))</f>
        <v/>
      </c>
      <c r="V1163" s="49">
        <f>IF(B1163="","",IF(O1163&lt;&gt;"Completed",IF(T1163&gt;0,"Deposit","—"),IF(U1163&lt;=0.005,"Paid",IF(T1163&gt;0,"Partial","Unpaid"))))</f>
        <v/>
      </c>
      <c r="W1163" s="55">
        <f>IF(B1163="","",IFERROR(1/(1/INDEX('STAFF &amp; TASKS'!$C$5:$C$24,MATCH(H1163,'STAFF &amp; TASKS'!$A$5:$A$24,0))),PayRate))</f>
        <v/>
      </c>
      <c r="X1163" s="55">
        <f>IF(B1163="","",IF(OR(O1163="Cancelled",O1163="No-Show"),"",ROUND(R1163*W1163*(1+Burden),2)))</f>
        <v/>
      </c>
      <c r="Y1163" s="55">
        <f>IF(B1163="","",IF(OR(O1163="Cancelled",O1163="No-Show"),"",IF(N1163&lt;&gt;"",N1163,ROUND(R1163*SupHr*IFERROR(INDEX('PRICING'!$G$7:$G$16,MATCH(F1163,'PRICING'!$A$7:$A$16,0)),1),2))))</f>
        <v/>
      </c>
      <c r="Z1163" s="98">
        <f>IF(B1163="","",SUMIFS('MILEAGE'!$J$5:$J$1504,'MILEAGE'!$B$5:$B$1504,A1163))</f>
        <v/>
      </c>
      <c r="AA1163" s="55">
        <f>IF(B1163="","",ROUND(Z1163*MileRate,2))</f>
        <v/>
      </c>
      <c r="AB1163" s="55">
        <f>IF(B1163="","",SUMIFS('REVENUE'!$J$5:$J$1504,'REVENUE'!$B$5:$B$1504,A1163))</f>
        <v/>
      </c>
      <c r="AC1163" s="55">
        <f>IF(L1163="","",IF(OR(O1163="Cancelled",O1163="No-Show"),"",L1163-N(X1163)-N(Y1163)-AA1163-AB1163))</f>
        <v/>
      </c>
      <c r="AD1163" s="99">
        <f>IF(OR(AC1163="",N(L1163)=0),"",AC1163/L1163)</f>
        <v/>
      </c>
      <c r="AE1163" s="55">
        <f>IF(OR(AC1163="",N(R1163)=0),"",L1163/R1163)</f>
        <v/>
      </c>
      <c r="AF1163" s="100">
        <f>IF(OR(N(K1163)=0,N(J1163)+N(Q1163)=0),"",K1163-IF(N(J1163)&gt;0,J1163,Q1163))</f>
        <v/>
      </c>
      <c r="AG1163" s="99">
        <f>IF(B1163="","",IFERROR(AVERAGEIFS('QUALITY CONTROL'!$M$5:$M$304,'QUALITY CONTROL'!$B$5:$B$304,A1163),""))</f>
        <v/>
      </c>
      <c r="AH1163" s="51">
        <f>IF(B1163="","",DATE(YEAR(B1163),MONTH(B1163),1))</f>
        <v/>
      </c>
      <c r="AI1163" s="49">
        <f>IF(D1163="","",IFERROR(INDEX('CUSTOMERS'!$E$5:$E$404,MATCH(D1163,'CUSTOMERS'!$B$5:$B$404,0)),""))</f>
        <v/>
      </c>
      <c r="AJ1163" s="49">
        <f>IF(B1163="","",N(C1163))</f>
        <v/>
      </c>
      <c r="AK1163" s="49">
        <f>IF(OR(B1163="",O1163="Cancelled",O1163="Rescheduled"),"",B1163&amp;"|"&amp;(COUNTIFS('JOBS'!$B$5:$B$1504,B1163,'JOBS'!$AJ$5:$AJ$1504,"&lt;"&amp;AJ1163,'JOBS'!$O$5:$O$1504,"&lt;&gt;Cancelled",'JOBS'!$O$5:$O$1504,"&lt;&gt;Rescheduled")+COUNTIFS($B$5:B1163,B1163,$AJ$5:AJ1163,AJ1163,$O$5:O1163,"&lt;&gt;Cancelled",$O$5:O1163,"&lt;&gt;Rescheduled")))</f>
        <v/>
      </c>
      <c r="AL1163" s="49">
        <f>IF(N(U1163)&lt;=0.005,"",COUNTIFS('JOBS'!$U$5:$U$1504,"&gt;0.005",'JOBS'!$B$5:$B$1504,"&lt;"&amp;B1163)+COUNTIFS($U$5:U1163,"&gt;0.005",$B$5:B1163,B1163))</f>
        <v/>
      </c>
    </row>
    <row r="1164">
      <c r="A1164" s="46" t="inlineStr">
        <is>
          <t>J-1160</t>
        </is>
      </c>
      <c r="B1164" s="47" t="n"/>
      <c r="C1164" s="94" t="n"/>
      <c r="D1164" s="38" t="n"/>
      <c r="E1164" s="38" t="n"/>
      <c r="F1164" s="38" t="n"/>
      <c r="G1164" s="38" t="n"/>
      <c r="H1164" s="38" t="n"/>
      <c r="I1164" s="57" t="n"/>
      <c r="J1164" s="95" t="n"/>
      <c r="K1164" s="95" t="n"/>
      <c r="L1164" s="48" t="n"/>
      <c r="M1164" s="96" t="n"/>
      <c r="N1164" s="48" t="n"/>
      <c r="O1164" s="38" t="n"/>
      <c r="P1164" s="38" t="n"/>
      <c r="Q1164" s="97">
        <f>IF(OR(F1164="",E1164=""),"",IFERROR(IF(INDEX('PROPERTIES'!$F$5:$F$404,MATCH(E1164,'PROPERTIES'!$B$5:$B$404,0))=0,"",ROUND((INDEX('PROPERTIES'!$F$5:$F$404,MATCH(E1164,'PROPERTIES'!$B$5:$B$404,0))/INDEX('PRICING'!$C$7:$C$16,MATCH(F1164,'PRICING'!$A$7:$A$16,0))+INDEX('PROPERTIES'!$G$5:$G$404,MATCH(E1164,'PROPERTIES'!$B$5:$B$404,0))*INDEX('PRICING'!$D$7:$D$16,MATCH(F1164,'PRICING'!$A$7:$A$16,0))/60+INDEX('PROPERTIES'!$H$5:$H$404,MATCH(E1164,'PROPERTIES'!$B$5:$B$404,0))*INDEX('PRICING'!$E$7:$E$16,MATCH(F1164,'PRICING'!$A$7:$A$16,0))/60+INDEX('PRICING'!$F$7:$F$16,MATCH(F1164,'PRICING'!$A$7:$A$16,0))/60),2)),""))</f>
        <v/>
      </c>
      <c r="R1164" s="97">
        <f>IF(B1164="","",IF(N(K1164)&gt;0,K1164,IF(N(J1164)&gt;0,J1164,N(Q1164))))</f>
        <v/>
      </c>
      <c r="S1164" s="55">
        <f>IF(L1164="","",ROUND(L1164*(1+N(M1164)),2))</f>
        <v/>
      </c>
      <c r="T1164" s="55">
        <f>IF(B1164="","",SUMIFS('REVENUE'!$C$5:$C$1504,'REVENUE'!$B$5:$B$1504,A1164))</f>
        <v/>
      </c>
      <c r="U1164" s="55">
        <f>IF(B1164="","",IF(O1164="Completed",MAX(0,N(S1164)-T1164),""))</f>
        <v/>
      </c>
      <c r="V1164" s="49">
        <f>IF(B1164="","",IF(O1164&lt;&gt;"Completed",IF(T1164&gt;0,"Deposit","—"),IF(U1164&lt;=0.005,"Paid",IF(T1164&gt;0,"Partial","Unpaid"))))</f>
        <v/>
      </c>
      <c r="W1164" s="55">
        <f>IF(B1164="","",IFERROR(1/(1/INDEX('STAFF &amp; TASKS'!$C$5:$C$24,MATCH(H1164,'STAFF &amp; TASKS'!$A$5:$A$24,0))),PayRate))</f>
        <v/>
      </c>
      <c r="X1164" s="55">
        <f>IF(B1164="","",IF(OR(O1164="Cancelled",O1164="No-Show"),"",ROUND(R1164*W1164*(1+Burden),2)))</f>
        <v/>
      </c>
      <c r="Y1164" s="55">
        <f>IF(B1164="","",IF(OR(O1164="Cancelled",O1164="No-Show"),"",IF(N1164&lt;&gt;"",N1164,ROUND(R1164*SupHr*IFERROR(INDEX('PRICING'!$G$7:$G$16,MATCH(F1164,'PRICING'!$A$7:$A$16,0)),1),2))))</f>
        <v/>
      </c>
      <c r="Z1164" s="98">
        <f>IF(B1164="","",SUMIFS('MILEAGE'!$J$5:$J$1504,'MILEAGE'!$B$5:$B$1504,A1164))</f>
        <v/>
      </c>
      <c r="AA1164" s="55">
        <f>IF(B1164="","",ROUND(Z1164*MileRate,2))</f>
        <v/>
      </c>
      <c r="AB1164" s="55">
        <f>IF(B1164="","",SUMIFS('REVENUE'!$J$5:$J$1504,'REVENUE'!$B$5:$B$1504,A1164))</f>
        <v/>
      </c>
      <c r="AC1164" s="55">
        <f>IF(L1164="","",IF(OR(O1164="Cancelled",O1164="No-Show"),"",L1164-N(X1164)-N(Y1164)-AA1164-AB1164))</f>
        <v/>
      </c>
      <c r="AD1164" s="99">
        <f>IF(OR(AC1164="",N(L1164)=0),"",AC1164/L1164)</f>
        <v/>
      </c>
      <c r="AE1164" s="55">
        <f>IF(OR(AC1164="",N(R1164)=0),"",L1164/R1164)</f>
        <v/>
      </c>
      <c r="AF1164" s="100">
        <f>IF(OR(N(K1164)=0,N(J1164)+N(Q1164)=0),"",K1164-IF(N(J1164)&gt;0,J1164,Q1164))</f>
        <v/>
      </c>
      <c r="AG1164" s="99">
        <f>IF(B1164="","",IFERROR(AVERAGEIFS('QUALITY CONTROL'!$M$5:$M$304,'QUALITY CONTROL'!$B$5:$B$304,A1164),""))</f>
        <v/>
      </c>
      <c r="AH1164" s="51">
        <f>IF(B1164="","",DATE(YEAR(B1164),MONTH(B1164),1))</f>
        <v/>
      </c>
      <c r="AI1164" s="49">
        <f>IF(D1164="","",IFERROR(INDEX('CUSTOMERS'!$E$5:$E$404,MATCH(D1164,'CUSTOMERS'!$B$5:$B$404,0)),""))</f>
        <v/>
      </c>
      <c r="AJ1164" s="49">
        <f>IF(B1164="","",N(C1164))</f>
        <v/>
      </c>
      <c r="AK1164" s="49">
        <f>IF(OR(B1164="",O1164="Cancelled",O1164="Rescheduled"),"",B1164&amp;"|"&amp;(COUNTIFS('JOBS'!$B$5:$B$1504,B1164,'JOBS'!$AJ$5:$AJ$1504,"&lt;"&amp;AJ1164,'JOBS'!$O$5:$O$1504,"&lt;&gt;Cancelled",'JOBS'!$O$5:$O$1504,"&lt;&gt;Rescheduled")+COUNTIFS($B$5:B1164,B1164,$AJ$5:AJ1164,AJ1164,$O$5:O1164,"&lt;&gt;Cancelled",$O$5:O1164,"&lt;&gt;Rescheduled")))</f>
        <v/>
      </c>
      <c r="AL1164" s="49">
        <f>IF(N(U1164)&lt;=0.005,"",COUNTIFS('JOBS'!$U$5:$U$1504,"&gt;0.005",'JOBS'!$B$5:$B$1504,"&lt;"&amp;B1164)+COUNTIFS($U$5:U1164,"&gt;0.005",$B$5:B1164,B1164))</f>
        <v/>
      </c>
    </row>
    <row r="1165">
      <c r="A1165" s="46" t="inlineStr">
        <is>
          <t>J-1161</t>
        </is>
      </c>
      <c r="B1165" s="47" t="n"/>
      <c r="C1165" s="94" t="n"/>
      <c r="D1165" s="38" t="n"/>
      <c r="E1165" s="38" t="n"/>
      <c r="F1165" s="38" t="n"/>
      <c r="G1165" s="38" t="n"/>
      <c r="H1165" s="38" t="n"/>
      <c r="I1165" s="57" t="n"/>
      <c r="J1165" s="95" t="n"/>
      <c r="K1165" s="95" t="n"/>
      <c r="L1165" s="48" t="n"/>
      <c r="M1165" s="96" t="n"/>
      <c r="N1165" s="48" t="n"/>
      <c r="O1165" s="38" t="n"/>
      <c r="P1165" s="38" t="n"/>
      <c r="Q1165" s="97">
        <f>IF(OR(F1165="",E1165=""),"",IFERROR(IF(INDEX('PROPERTIES'!$F$5:$F$404,MATCH(E1165,'PROPERTIES'!$B$5:$B$404,0))=0,"",ROUND((INDEX('PROPERTIES'!$F$5:$F$404,MATCH(E1165,'PROPERTIES'!$B$5:$B$404,0))/INDEX('PRICING'!$C$7:$C$16,MATCH(F1165,'PRICING'!$A$7:$A$16,0))+INDEX('PROPERTIES'!$G$5:$G$404,MATCH(E1165,'PROPERTIES'!$B$5:$B$404,0))*INDEX('PRICING'!$D$7:$D$16,MATCH(F1165,'PRICING'!$A$7:$A$16,0))/60+INDEX('PROPERTIES'!$H$5:$H$404,MATCH(E1165,'PROPERTIES'!$B$5:$B$404,0))*INDEX('PRICING'!$E$7:$E$16,MATCH(F1165,'PRICING'!$A$7:$A$16,0))/60+INDEX('PRICING'!$F$7:$F$16,MATCH(F1165,'PRICING'!$A$7:$A$16,0))/60),2)),""))</f>
        <v/>
      </c>
      <c r="R1165" s="97">
        <f>IF(B1165="","",IF(N(K1165)&gt;0,K1165,IF(N(J1165)&gt;0,J1165,N(Q1165))))</f>
        <v/>
      </c>
      <c r="S1165" s="55">
        <f>IF(L1165="","",ROUND(L1165*(1+N(M1165)),2))</f>
        <v/>
      </c>
      <c r="T1165" s="55">
        <f>IF(B1165="","",SUMIFS('REVENUE'!$C$5:$C$1504,'REVENUE'!$B$5:$B$1504,A1165))</f>
        <v/>
      </c>
      <c r="U1165" s="55">
        <f>IF(B1165="","",IF(O1165="Completed",MAX(0,N(S1165)-T1165),""))</f>
        <v/>
      </c>
      <c r="V1165" s="49">
        <f>IF(B1165="","",IF(O1165&lt;&gt;"Completed",IF(T1165&gt;0,"Deposit","—"),IF(U1165&lt;=0.005,"Paid",IF(T1165&gt;0,"Partial","Unpaid"))))</f>
        <v/>
      </c>
      <c r="W1165" s="55">
        <f>IF(B1165="","",IFERROR(1/(1/INDEX('STAFF &amp; TASKS'!$C$5:$C$24,MATCH(H1165,'STAFF &amp; TASKS'!$A$5:$A$24,0))),PayRate))</f>
        <v/>
      </c>
      <c r="X1165" s="55">
        <f>IF(B1165="","",IF(OR(O1165="Cancelled",O1165="No-Show"),"",ROUND(R1165*W1165*(1+Burden),2)))</f>
        <v/>
      </c>
      <c r="Y1165" s="55">
        <f>IF(B1165="","",IF(OR(O1165="Cancelled",O1165="No-Show"),"",IF(N1165&lt;&gt;"",N1165,ROUND(R1165*SupHr*IFERROR(INDEX('PRICING'!$G$7:$G$16,MATCH(F1165,'PRICING'!$A$7:$A$16,0)),1),2))))</f>
        <v/>
      </c>
      <c r="Z1165" s="98">
        <f>IF(B1165="","",SUMIFS('MILEAGE'!$J$5:$J$1504,'MILEAGE'!$B$5:$B$1504,A1165))</f>
        <v/>
      </c>
      <c r="AA1165" s="55">
        <f>IF(B1165="","",ROUND(Z1165*MileRate,2))</f>
        <v/>
      </c>
      <c r="AB1165" s="55">
        <f>IF(B1165="","",SUMIFS('REVENUE'!$J$5:$J$1504,'REVENUE'!$B$5:$B$1504,A1165))</f>
        <v/>
      </c>
      <c r="AC1165" s="55">
        <f>IF(L1165="","",IF(OR(O1165="Cancelled",O1165="No-Show"),"",L1165-N(X1165)-N(Y1165)-AA1165-AB1165))</f>
        <v/>
      </c>
      <c r="AD1165" s="99">
        <f>IF(OR(AC1165="",N(L1165)=0),"",AC1165/L1165)</f>
        <v/>
      </c>
      <c r="AE1165" s="55">
        <f>IF(OR(AC1165="",N(R1165)=0),"",L1165/R1165)</f>
        <v/>
      </c>
      <c r="AF1165" s="100">
        <f>IF(OR(N(K1165)=0,N(J1165)+N(Q1165)=0),"",K1165-IF(N(J1165)&gt;0,J1165,Q1165))</f>
        <v/>
      </c>
      <c r="AG1165" s="99">
        <f>IF(B1165="","",IFERROR(AVERAGEIFS('QUALITY CONTROL'!$M$5:$M$304,'QUALITY CONTROL'!$B$5:$B$304,A1165),""))</f>
        <v/>
      </c>
      <c r="AH1165" s="51">
        <f>IF(B1165="","",DATE(YEAR(B1165),MONTH(B1165),1))</f>
        <v/>
      </c>
      <c r="AI1165" s="49">
        <f>IF(D1165="","",IFERROR(INDEX('CUSTOMERS'!$E$5:$E$404,MATCH(D1165,'CUSTOMERS'!$B$5:$B$404,0)),""))</f>
        <v/>
      </c>
      <c r="AJ1165" s="49">
        <f>IF(B1165="","",N(C1165))</f>
        <v/>
      </c>
      <c r="AK1165" s="49">
        <f>IF(OR(B1165="",O1165="Cancelled",O1165="Rescheduled"),"",B1165&amp;"|"&amp;(COUNTIFS('JOBS'!$B$5:$B$1504,B1165,'JOBS'!$AJ$5:$AJ$1504,"&lt;"&amp;AJ1165,'JOBS'!$O$5:$O$1504,"&lt;&gt;Cancelled",'JOBS'!$O$5:$O$1504,"&lt;&gt;Rescheduled")+COUNTIFS($B$5:B1165,B1165,$AJ$5:AJ1165,AJ1165,$O$5:O1165,"&lt;&gt;Cancelled",$O$5:O1165,"&lt;&gt;Rescheduled")))</f>
        <v/>
      </c>
      <c r="AL1165" s="49">
        <f>IF(N(U1165)&lt;=0.005,"",COUNTIFS('JOBS'!$U$5:$U$1504,"&gt;0.005",'JOBS'!$B$5:$B$1504,"&lt;"&amp;B1165)+COUNTIFS($U$5:U1165,"&gt;0.005",$B$5:B1165,B1165))</f>
        <v/>
      </c>
    </row>
    <row r="1166">
      <c r="A1166" s="46" t="inlineStr">
        <is>
          <t>J-1162</t>
        </is>
      </c>
      <c r="B1166" s="47" t="n"/>
      <c r="C1166" s="94" t="n"/>
      <c r="D1166" s="38" t="n"/>
      <c r="E1166" s="38" t="n"/>
      <c r="F1166" s="38" t="n"/>
      <c r="G1166" s="38" t="n"/>
      <c r="H1166" s="38" t="n"/>
      <c r="I1166" s="57" t="n"/>
      <c r="J1166" s="95" t="n"/>
      <c r="K1166" s="95" t="n"/>
      <c r="L1166" s="48" t="n"/>
      <c r="M1166" s="96" t="n"/>
      <c r="N1166" s="48" t="n"/>
      <c r="O1166" s="38" t="n"/>
      <c r="P1166" s="38" t="n"/>
      <c r="Q1166" s="97">
        <f>IF(OR(F1166="",E1166=""),"",IFERROR(IF(INDEX('PROPERTIES'!$F$5:$F$404,MATCH(E1166,'PROPERTIES'!$B$5:$B$404,0))=0,"",ROUND((INDEX('PROPERTIES'!$F$5:$F$404,MATCH(E1166,'PROPERTIES'!$B$5:$B$404,0))/INDEX('PRICING'!$C$7:$C$16,MATCH(F1166,'PRICING'!$A$7:$A$16,0))+INDEX('PROPERTIES'!$G$5:$G$404,MATCH(E1166,'PROPERTIES'!$B$5:$B$404,0))*INDEX('PRICING'!$D$7:$D$16,MATCH(F1166,'PRICING'!$A$7:$A$16,0))/60+INDEX('PROPERTIES'!$H$5:$H$404,MATCH(E1166,'PROPERTIES'!$B$5:$B$404,0))*INDEX('PRICING'!$E$7:$E$16,MATCH(F1166,'PRICING'!$A$7:$A$16,0))/60+INDEX('PRICING'!$F$7:$F$16,MATCH(F1166,'PRICING'!$A$7:$A$16,0))/60),2)),""))</f>
        <v/>
      </c>
      <c r="R1166" s="97">
        <f>IF(B1166="","",IF(N(K1166)&gt;0,K1166,IF(N(J1166)&gt;0,J1166,N(Q1166))))</f>
        <v/>
      </c>
      <c r="S1166" s="55">
        <f>IF(L1166="","",ROUND(L1166*(1+N(M1166)),2))</f>
        <v/>
      </c>
      <c r="T1166" s="55">
        <f>IF(B1166="","",SUMIFS('REVENUE'!$C$5:$C$1504,'REVENUE'!$B$5:$B$1504,A1166))</f>
        <v/>
      </c>
      <c r="U1166" s="55">
        <f>IF(B1166="","",IF(O1166="Completed",MAX(0,N(S1166)-T1166),""))</f>
        <v/>
      </c>
      <c r="V1166" s="49">
        <f>IF(B1166="","",IF(O1166&lt;&gt;"Completed",IF(T1166&gt;0,"Deposit","—"),IF(U1166&lt;=0.005,"Paid",IF(T1166&gt;0,"Partial","Unpaid"))))</f>
        <v/>
      </c>
      <c r="W1166" s="55">
        <f>IF(B1166="","",IFERROR(1/(1/INDEX('STAFF &amp; TASKS'!$C$5:$C$24,MATCH(H1166,'STAFF &amp; TASKS'!$A$5:$A$24,0))),PayRate))</f>
        <v/>
      </c>
      <c r="X1166" s="55">
        <f>IF(B1166="","",IF(OR(O1166="Cancelled",O1166="No-Show"),"",ROUND(R1166*W1166*(1+Burden),2)))</f>
        <v/>
      </c>
      <c r="Y1166" s="55">
        <f>IF(B1166="","",IF(OR(O1166="Cancelled",O1166="No-Show"),"",IF(N1166&lt;&gt;"",N1166,ROUND(R1166*SupHr*IFERROR(INDEX('PRICING'!$G$7:$G$16,MATCH(F1166,'PRICING'!$A$7:$A$16,0)),1),2))))</f>
        <v/>
      </c>
      <c r="Z1166" s="98">
        <f>IF(B1166="","",SUMIFS('MILEAGE'!$J$5:$J$1504,'MILEAGE'!$B$5:$B$1504,A1166))</f>
        <v/>
      </c>
      <c r="AA1166" s="55">
        <f>IF(B1166="","",ROUND(Z1166*MileRate,2))</f>
        <v/>
      </c>
      <c r="AB1166" s="55">
        <f>IF(B1166="","",SUMIFS('REVENUE'!$J$5:$J$1504,'REVENUE'!$B$5:$B$1504,A1166))</f>
        <v/>
      </c>
      <c r="AC1166" s="55">
        <f>IF(L1166="","",IF(OR(O1166="Cancelled",O1166="No-Show"),"",L1166-N(X1166)-N(Y1166)-AA1166-AB1166))</f>
        <v/>
      </c>
      <c r="AD1166" s="99">
        <f>IF(OR(AC1166="",N(L1166)=0),"",AC1166/L1166)</f>
        <v/>
      </c>
      <c r="AE1166" s="55">
        <f>IF(OR(AC1166="",N(R1166)=0),"",L1166/R1166)</f>
        <v/>
      </c>
      <c r="AF1166" s="100">
        <f>IF(OR(N(K1166)=0,N(J1166)+N(Q1166)=0),"",K1166-IF(N(J1166)&gt;0,J1166,Q1166))</f>
        <v/>
      </c>
      <c r="AG1166" s="99">
        <f>IF(B1166="","",IFERROR(AVERAGEIFS('QUALITY CONTROL'!$M$5:$M$304,'QUALITY CONTROL'!$B$5:$B$304,A1166),""))</f>
        <v/>
      </c>
      <c r="AH1166" s="51">
        <f>IF(B1166="","",DATE(YEAR(B1166),MONTH(B1166),1))</f>
        <v/>
      </c>
      <c r="AI1166" s="49">
        <f>IF(D1166="","",IFERROR(INDEX('CUSTOMERS'!$E$5:$E$404,MATCH(D1166,'CUSTOMERS'!$B$5:$B$404,0)),""))</f>
        <v/>
      </c>
      <c r="AJ1166" s="49">
        <f>IF(B1166="","",N(C1166))</f>
        <v/>
      </c>
      <c r="AK1166" s="49">
        <f>IF(OR(B1166="",O1166="Cancelled",O1166="Rescheduled"),"",B1166&amp;"|"&amp;(COUNTIFS('JOBS'!$B$5:$B$1504,B1166,'JOBS'!$AJ$5:$AJ$1504,"&lt;"&amp;AJ1166,'JOBS'!$O$5:$O$1504,"&lt;&gt;Cancelled",'JOBS'!$O$5:$O$1504,"&lt;&gt;Rescheduled")+COUNTIFS($B$5:B1166,B1166,$AJ$5:AJ1166,AJ1166,$O$5:O1166,"&lt;&gt;Cancelled",$O$5:O1166,"&lt;&gt;Rescheduled")))</f>
        <v/>
      </c>
      <c r="AL1166" s="49">
        <f>IF(N(U1166)&lt;=0.005,"",COUNTIFS('JOBS'!$U$5:$U$1504,"&gt;0.005",'JOBS'!$B$5:$B$1504,"&lt;"&amp;B1166)+COUNTIFS($U$5:U1166,"&gt;0.005",$B$5:B1166,B1166))</f>
        <v/>
      </c>
    </row>
    <row r="1167">
      <c r="A1167" s="46" t="inlineStr">
        <is>
          <t>J-1163</t>
        </is>
      </c>
      <c r="B1167" s="47" t="n"/>
      <c r="C1167" s="94" t="n"/>
      <c r="D1167" s="38" t="n"/>
      <c r="E1167" s="38" t="n"/>
      <c r="F1167" s="38" t="n"/>
      <c r="G1167" s="38" t="n"/>
      <c r="H1167" s="38" t="n"/>
      <c r="I1167" s="57" t="n"/>
      <c r="J1167" s="95" t="n"/>
      <c r="K1167" s="95" t="n"/>
      <c r="L1167" s="48" t="n"/>
      <c r="M1167" s="96" t="n"/>
      <c r="N1167" s="48" t="n"/>
      <c r="O1167" s="38" t="n"/>
      <c r="P1167" s="38" t="n"/>
      <c r="Q1167" s="97">
        <f>IF(OR(F1167="",E1167=""),"",IFERROR(IF(INDEX('PROPERTIES'!$F$5:$F$404,MATCH(E1167,'PROPERTIES'!$B$5:$B$404,0))=0,"",ROUND((INDEX('PROPERTIES'!$F$5:$F$404,MATCH(E1167,'PROPERTIES'!$B$5:$B$404,0))/INDEX('PRICING'!$C$7:$C$16,MATCH(F1167,'PRICING'!$A$7:$A$16,0))+INDEX('PROPERTIES'!$G$5:$G$404,MATCH(E1167,'PROPERTIES'!$B$5:$B$404,0))*INDEX('PRICING'!$D$7:$D$16,MATCH(F1167,'PRICING'!$A$7:$A$16,0))/60+INDEX('PROPERTIES'!$H$5:$H$404,MATCH(E1167,'PROPERTIES'!$B$5:$B$404,0))*INDEX('PRICING'!$E$7:$E$16,MATCH(F1167,'PRICING'!$A$7:$A$16,0))/60+INDEX('PRICING'!$F$7:$F$16,MATCH(F1167,'PRICING'!$A$7:$A$16,0))/60),2)),""))</f>
        <v/>
      </c>
      <c r="R1167" s="97">
        <f>IF(B1167="","",IF(N(K1167)&gt;0,K1167,IF(N(J1167)&gt;0,J1167,N(Q1167))))</f>
        <v/>
      </c>
      <c r="S1167" s="55">
        <f>IF(L1167="","",ROUND(L1167*(1+N(M1167)),2))</f>
        <v/>
      </c>
      <c r="T1167" s="55">
        <f>IF(B1167="","",SUMIFS('REVENUE'!$C$5:$C$1504,'REVENUE'!$B$5:$B$1504,A1167))</f>
        <v/>
      </c>
      <c r="U1167" s="55">
        <f>IF(B1167="","",IF(O1167="Completed",MAX(0,N(S1167)-T1167),""))</f>
        <v/>
      </c>
      <c r="V1167" s="49">
        <f>IF(B1167="","",IF(O1167&lt;&gt;"Completed",IF(T1167&gt;0,"Deposit","—"),IF(U1167&lt;=0.005,"Paid",IF(T1167&gt;0,"Partial","Unpaid"))))</f>
        <v/>
      </c>
      <c r="W1167" s="55">
        <f>IF(B1167="","",IFERROR(1/(1/INDEX('STAFF &amp; TASKS'!$C$5:$C$24,MATCH(H1167,'STAFF &amp; TASKS'!$A$5:$A$24,0))),PayRate))</f>
        <v/>
      </c>
      <c r="X1167" s="55">
        <f>IF(B1167="","",IF(OR(O1167="Cancelled",O1167="No-Show"),"",ROUND(R1167*W1167*(1+Burden),2)))</f>
        <v/>
      </c>
      <c r="Y1167" s="55">
        <f>IF(B1167="","",IF(OR(O1167="Cancelled",O1167="No-Show"),"",IF(N1167&lt;&gt;"",N1167,ROUND(R1167*SupHr*IFERROR(INDEX('PRICING'!$G$7:$G$16,MATCH(F1167,'PRICING'!$A$7:$A$16,0)),1),2))))</f>
        <v/>
      </c>
      <c r="Z1167" s="98">
        <f>IF(B1167="","",SUMIFS('MILEAGE'!$J$5:$J$1504,'MILEAGE'!$B$5:$B$1504,A1167))</f>
        <v/>
      </c>
      <c r="AA1167" s="55">
        <f>IF(B1167="","",ROUND(Z1167*MileRate,2))</f>
        <v/>
      </c>
      <c r="AB1167" s="55">
        <f>IF(B1167="","",SUMIFS('REVENUE'!$J$5:$J$1504,'REVENUE'!$B$5:$B$1504,A1167))</f>
        <v/>
      </c>
      <c r="AC1167" s="55">
        <f>IF(L1167="","",IF(OR(O1167="Cancelled",O1167="No-Show"),"",L1167-N(X1167)-N(Y1167)-AA1167-AB1167))</f>
        <v/>
      </c>
      <c r="AD1167" s="99">
        <f>IF(OR(AC1167="",N(L1167)=0),"",AC1167/L1167)</f>
        <v/>
      </c>
      <c r="AE1167" s="55">
        <f>IF(OR(AC1167="",N(R1167)=0),"",L1167/R1167)</f>
        <v/>
      </c>
      <c r="AF1167" s="100">
        <f>IF(OR(N(K1167)=0,N(J1167)+N(Q1167)=0),"",K1167-IF(N(J1167)&gt;0,J1167,Q1167))</f>
        <v/>
      </c>
      <c r="AG1167" s="99">
        <f>IF(B1167="","",IFERROR(AVERAGEIFS('QUALITY CONTROL'!$M$5:$M$304,'QUALITY CONTROL'!$B$5:$B$304,A1167),""))</f>
        <v/>
      </c>
      <c r="AH1167" s="51">
        <f>IF(B1167="","",DATE(YEAR(B1167),MONTH(B1167),1))</f>
        <v/>
      </c>
      <c r="AI1167" s="49">
        <f>IF(D1167="","",IFERROR(INDEX('CUSTOMERS'!$E$5:$E$404,MATCH(D1167,'CUSTOMERS'!$B$5:$B$404,0)),""))</f>
        <v/>
      </c>
      <c r="AJ1167" s="49">
        <f>IF(B1167="","",N(C1167))</f>
        <v/>
      </c>
      <c r="AK1167" s="49">
        <f>IF(OR(B1167="",O1167="Cancelled",O1167="Rescheduled"),"",B1167&amp;"|"&amp;(COUNTIFS('JOBS'!$B$5:$B$1504,B1167,'JOBS'!$AJ$5:$AJ$1504,"&lt;"&amp;AJ1167,'JOBS'!$O$5:$O$1504,"&lt;&gt;Cancelled",'JOBS'!$O$5:$O$1504,"&lt;&gt;Rescheduled")+COUNTIFS($B$5:B1167,B1167,$AJ$5:AJ1167,AJ1167,$O$5:O1167,"&lt;&gt;Cancelled",$O$5:O1167,"&lt;&gt;Rescheduled")))</f>
        <v/>
      </c>
      <c r="AL1167" s="49">
        <f>IF(N(U1167)&lt;=0.005,"",COUNTIFS('JOBS'!$U$5:$U$1504,"&gt;0.005",'JOBS'!$B$5:$B$1504,"&lt;"&amp;B1167)+COUNTIFS($U$5:U1167,"&gt;0.005",$B$5:B1167,B1167))</f>
        <v/>
      </c>
    </row>
    <row r="1168">
      <c r="A1168" s="46" t="inlineStr">
        <is>
          <t>J-1164</t>
        </is>
      </c>
      <c r="B1168" s="47" t="n"/>
      <c r="C1168" s="94" t="n"/>
      <c r="D1168" s="38" t="n"/>
      <c r="E1168" s="38" t="n"/>
      <c r="F1168" s="38" t="n"/>
      <c r="G1168" s="38" t="n"/>
      <c r="H1168" s="38" t="n"/>
      <c r="I1168" s="57" t="n"/>
      <c r="J1168" s="95" t="n"/>
      <c r="K1168" s="95" t="n"/>
      <c r="L1168" s="48" t="n"/>
      <c r="M1168" s="96" t="n"/>
      <c r="N1168" s="48" t="n"/>
      <c r="O1168" s="38" t="n"/>
      <c r="P1168" s="38" t="n"/>
      <c r="Q1168" s="97">
        <f>IF(OR(F1168="",E1168=""),"",IFERROR(IF(INDEX('PROPERTIES'!$F$5:$F$404,MATCH(E1168,'PROPERTIES'!$B$5:$B$404,0))=0,"",ROUND((INDEX('PROPERTIES'!$F$5:$F$404,MATCH(E1168,'PROPERTIES'!$B$5:$B$404,0))/INDEX('PRICING'!$C$7:$C$16,MATCH(F1168,'PRICING'!$A$7:$A$16,0))+INDEX('PROPERTIES'!$G$5:$G$404,MATCH(E1168,'PROPERTIES'!$B$5:$B$404,0))*INDEX('PRICING'!$D$7:$D$16,MATCH(F1168,'PRICING'!$A$7:$A$16,0))/60+INDEX('PROPERTIES'!$H$5:$H$404,MATCH(E1168,'PROPERTIES'!$B$5:$B$404,0))*INDEX('PRICING'!$E$7:$E$16,MATCH(F1168,'PRICING'!$A$7:$A$16,0))/60+INDEX('PRICING'!$F$7:$F$16,MATCH(F1168,'PRICING'!$A$7:$A$16,0))/60),2)),""))</f>
        <v/>
      </c>
      <c r="R1168" s="97">
        <f>IF(B1168="","",IF(N(K1168)&gt;0,K1168,IF(N(J1168)&gt;0,J1168,N(Q1168))))</f>
        <v/>
      </c>
      <c r="S1168" s="55">
        <f>IF(L1168="","",ROUND(L1168*(1+N(M1168)),2))</f>
        <v/>
      </c>
      <c r="T1168" s="55">
        <f>IF(B1168="","",SUMIFS('REVENUE'!$C$5:$C$1504,'REVENUE'!$B$5:$B$1504,A1168))</f>
        <v/>
      </c>
      <c r="U1168" s="55">
        <f>IF(B1168="","",IF(O1168="Completed",MAX(0,N(S1168)-T1168),""))</f>
        <v/>
      </c>
      <c r="V1168" s="49">
        <f>IF(B1168="","",IF(O1168&lt;&gt;"Completed",IF(T1168&gt;0,"Deposit","—"),IF(U1168&lt;=0.005,"Paid",IF(T1168&gt;0,"Partial","Unpaid"))))</f>
        <v/>
      </c>
      <c r="W1168" s="55">
        <f>IF(B1168="","",IFERROR(1/(1/INDEX('STAFF &amp; TASKS'!$C$5:$C$24,MATCH(H1168,'STAFF &amp; TASKS'!$A$5:$A$24,0))),PayRate))</f>
        <v/>
      </c>
      <c r="X1168" s="55">
        <f>IF(B1168="","",IF(OR(O1168="Cancelled",O1168="No-Show"),"",ROUND(R1168*W1168*(1+Burden),2)))</f>
        <v/>
      </c>
      <c r="Y1168" s="55">
        <f>IF(B1168="","",IF(OR(O1168="Cancelled",O1168="No-Show"),"",IF(N1168&lt;&gt;"",N1168,ROUND(R1168*SupHr*IFERROR(INDEX('PRICING'!$G$7:$G$16,MATCH(F1168,'PRICING'!$A$7:$A$16,0)),1),2))))</f>
        <v/>
      </c>
      <c r="Z1168" s="98">
        <f>IF(B1168="","",SUMIFS('MILEAGE'!$J$5:$J$1504,'MILEAGE'!$B$5:$B$1504,A1168))</f>
        <v/>
      </c>
      <c r="AA1168" s="55">
        <f>IF(B1168="","",ROUND(Z1168*MileRate,2))</f>
        <v/>
      </c>
      <c r="AB1168" s="55">
        <f>IF(B1168="","",SUMIFS('REVENUE'!$J$5:$J$1504,'REVENUE'!$B$5:$B$1504,A1168))</f>
        <v/>
      </c>
      <c r="AC1168" s="55">
        <f>IF(L1168="","",IF(OR(O1168="Cancelled",O1168="No-Show"),"",L1168-N(X1168)-N(Y1168)-AA1168-AB1168))</f>
        <v/>
      </c>
      <c r="AD1168" s="99">
        <f>IF(OR(AC1168="",N(L1168)=0),"",AC1168/L1168)</f>
        <v/>
      </c>
      <c r="AE1168" s="55">
        <f>IF(OR(AC1168="",N(R1168)=0),"",L1168/R1168)</f>
        <v/>
      </c>
      <c r="AF1168" s="100">
        <f>IF(OR(N(K1168)=0,N(J1168)+N(Q1168)=0),"",K1168-IF(N(J1168)&gt;0,J1168,Q1168))</f>
        <v/>
      </c>
      <c r="AG1168" s="99">
        <f>IF(B1168="","",IFERROR(AVERAGEIFS('QUALITY CONTROL'!$M$5:$M$304,'QUALITY CONTROL'!$B$5:$B$304,A1168),""))</f>
        <v/>
      </c>
      <c r="AH1168" s="51">
        <f>IF(B1168="","",DATE(YEAR(B1168),MONTH(B1168),1))</f>
        <v/>
      </c>
      <c r="AI1168" s="49">
        <f>IF(D1168="","",IFERROR(INDEX('CUSTOMERS'!$E$5:$E$404,MATCH(D1168,'CUSTOMERS'!$B$5:$B$404,0)),""))</f>
        <v/>
      </c>
      <c r="AJ1168" s="49">
        <f>IF(B1168="","",N(C1168))</f>
        <v/>
      </c>
      <c r="AK1168" s="49">
        <f>IF(OR(B1168="",O1168="Cancelled",O1168="Rescheduled"),"",B1168&amp;"|"&amp;(COUNTIFS('JOBS'!$B$5:$B$1504,B1168,'JOBS'!$AJ$5:$AJ$1504,"&lt;"&amp;AJ1168,'JOBS'!$O$5:$O$1504,"&lt;&gt;Cancelled",'JOBS'!$O$5:$O$1504,"&lt;&gt;Rescheduled")+COUNTIFS($B$5:B1168,B1168,$AJ$5:AJ1168,AJ1168,$O$5:O1168,"&lt;&gt;Cancelled",$O$5:O1168,"&lt;&gt;Rescheduled")))</f>
        <v/>
      </c>
      <c r="AL1168" s="49">
        <f>IF(N(U1168)&lt;=0.005,"",COUNTIFS('JOBS'!$U$5:$U$1504,"&gt;0.005",'JOBS'!$B$5:$B$1504,"&lt;"&amp;B1168)+COUNTIFS($U$5:U1168,"&gt;0.005",$B$5:B1168,B1168))</f>
        <v/>
      </c>
    </row>
    <row r="1169">
      <c r="A1169" s="46" t="inlineStr">
        <is>
          <t>J-1165</t>
        </is>
      </c>
      <c r="B1169" s="47" t="n"/>
      <c r="C1169" s="94" t="n"/>
      <c r="D1169" s="38" t="n"/>
      <c r="E1169" s="38" t="n"/>
      <c r="F1169" s="38" t="n"/>
      <c r="G1169" s="38" t="n"/>
      <c r="H1169" s="38" t="n"/>
      <c r="I1169" s="57" t="n"/>
      <c r="J1169" s="95" t="n"/>
      <c r="K1169" s="95" t="n"/>
      <c r="L1169" s="48" t="n"/>
      <c r="M1169" s="96" t="n"/>
      <c r="N1169" s="48" t="n"/>
      <c r="O1169" s="38" t="n"/>
      <c r="P1169" s="38" t="n"/>
      <c r="Q1169" s="97">
        <f>IF(OR(F1169="",E1169=""),"",IFERROR(IF(INDEX('PROPERTIES'!$F$5:$F$404,MATCH(E1169,'PROPERTIES'!$B$5:$B$404,0))=0,"",ROUND((INDEX('PROPERTIES'!$F$5:$F$404,MATCH(E1169,'PROPERTIES'!$B$5:$B$404,0))/INDEX('PRICING'!$C$7:$C$16,MATCH(F1169,'PRICING'!$A$7:$A$16,0))+INDEX('PROPERTIES'!$G$5:$G$404,MATCH(E1169,'PROPERTIES'!$B$5:$B$404,0))*INDEX('PRICING'!$D$7:$D$16,MATCH(F1169,'PRICING'!$A$7:$A$16,0))/60+INDEX('PROPERTIES'!$H$5:$H$404,MATCH(E1169,'PROPERTIES'!$B$5:$B$404,0))*INDEX('PRICING'!$E$7:$E$16,MATCH(F1169,'PRICING'!$A$7:$A$16,0))/60+INDEX('PRICING'!$F$7:$F$16,MATCH(F1169,'PRICING'!$A$7:$A$16,0))/60),2)),""))</f>
        <v/>
      </c>
      <c r="R1169" s="97">
        <f>IF(B1169="","",IF(N(K1169)&gt;0,K1169,IF(N(J1169)&gt;0,J1169,N(Q1169))))</f>
        <v/>
      </c>
      <c r="S1169" s="55">
        <f>IF(L1169="","",ROUND(L1169*(1+N(M1169)),2))</f>
        <v/>
      </c>
      <c r="T1169" s="55">
        <f>IF(B1169="","",SUMIFS('REVENUE'!$C$5:$C$1504,'REVENUE'!$B$5:$B$1504,A1169))</f>
        <v/>
      </c>
      <c r="U1169" s="55">
        <f>IF(B1169="","",IF(O1169="Completed",MAX(0,N(S1169)-T1169),""))</f>
        <v/>
      </c>
      <c r="V1169" s="49">
        <f>IF(B1169="","",IF(O1169&lt;&gt;"Completed",IF(T1169&gt;0,"Deposit","—"),IF(U1169&lt;=0.005,"Paid",IF(T1169&gt;0,"Partial","Unpaid"))))</f>
        <v/>
      </c>
      <c r="W1169" s="55">
        <f>IF(B1169="","",IFERROR(1/(1/INDEX('STAFF &amp; TASKS'!$C$5:$C$24,MATCH(H1169,'STAFF &amp; TASKS'!$A$5:$A$24,0))),PayRate))</f>
        <v/>
      </c>
      <c r="X1169" s="55">
        <f>IF(B1169="","",IF(OR(O1169="Cancelled",O1169="No-Show"),"",ROUND(R1169*W1169*(1+Burden),2)))</f>
        <v/>
      </c>
      <c r="Y1169" s="55">
        <f>IF(B1169="","",IF(OR(O1169="Cancelled",O1169="No-Show"),"",IF(N1169&lt;&gt;"",N1169,ROUND(R1169*SupHr*IFERROR(INDEX('PRICING'!$G$7:$G$16,MATCH(F1169,'PRICING'!$A$7:$A$16,0)),1),2))))</f>
        <v/>
      </c>
      <c r="Z1169" s="98">
        <f>IF(B1169="","",SUMIFS('MILEAGE'!$J$5:$J$1504,'MILEAGE'!$B$5:$B$1504,A1169))</f>
        <v/>
      </c>
      <c r="AA1169" s="55">
        <f>IF(B1169="","",ROUND(Z1169*MileRate,2))</f>
        <v/>
      </c>
      <c r="AB1169" s="55">
        <f>IF(B1169="","",SUMIFS('REVENUE'!$J$5:$J$1504,'REVENUE'!$B$5:$B$1504,A1169))</f>
        <v/>
      </c>
      <c r="AC1169" s="55">
        <f>IF(L1169="","",IF(OR(O1169="Cancelled",O1169="No-Show"),"",L1169-N(X1169)-N(Y1169)-AA1169-AB1169))</f>
        <v/>
      </c>
      <c r="AD1169" s="99">
        <f>IF(OR(AC1169="",N(L1169)=0),"",AC1169/L1169)</f>
        <v/>
      </c>
      <c r="AE1169" s="55">
        <f>IF(OR(AC1169="",N(R1169)=0),"",L1169/R1169)</f>
        <v/>
      </c>
      <c r="AF1169" s="100">
        <f>IF(OR(N(K1169)=0,N(J1169)+N(Q1169)=0),"",K1169-IF(N(J1169)&gt;0,J1169,Q1169))</f>
        <v/>
      </c>
      <c r="AG1169" s="99">
        <f>IF(B1169="","",IFERROR(AVERAGEIFS('QUALITY CONTROL'!$M$5:$M$304,'QUALITY CONTROL'!$B$5:$B$304,A1169),""))</f>
        <v/>
      </c>
      <c r="AH1169" s="51">
        <f>IF(B1169="","",DATE(YEAR(B1169),MONTH(B1169),1))</f>
        <v/>
      </c>
      <c r="AI1169" s="49">
        <f>IF(D1169="","",IFERROR(INDEX('CUSTOMERS'!$E$5:$E$404,MATCH(D1169,'CUSTOMERS'!$B$5:$B$404,0)),""))</f>
        <v/>
      </c>
      <c r="AJ1169" s="49">
        <f>IF(B1169="","",N(C1169))</f>
        <v/>
      </c>
      <c r="AK1169" s="49">
        <f>IF(OR(B1169="",O1169="Cancelled",O1169="Rescheduled"),"",B1169&amp;"|"&amp;(COUNTIFS('JOBS'!$B$5:$B$1504,B1169,'JOBS'!$AJ$5:$AJ$1504,"&lt;"&amp;AJ1169,'JOBS'!$O$5:$O$1504,"&lt;&gt;Cancelled",'JOBS'!$O$5:$O$1504,"&lt;&gt;Rescheduled")+COUNTIFS($B$5:B1169,B1169,$AJ$5:AJ1169,AJ1169,$O$5:O1169,"&lt;&gt;Cancelled",$O$5:O1169,"&lt;&gt;Rescheduled")))</f>
        <v/>
      </c>
      <c r="AL1169" s="49">
        <f>IF(N(U1169)&lt;=0.005,"",COUNTIFS('JOBS'!$U$5:$U$1504,"&gt;0.005",'JOBS'!$B$5:$B$1504,"&lt;"&amp;B1169)+COUNTIFS($U$5:U1169,"&gt;0.005",$B$5:B1169,B1169))</f>
        <v/>
      </c>
    </row>
    <row r="1170">
      <c r="A1170" s="46" t="inlineStr">
        <is>
          <t>J-1166</t>
        </is>
      </c>
      <c r="B1170" s="47" t="n"/>
      <c r="C1170" s="94" t="n"/>
      <c r="D1170" s="38" t="n"/>
      <c r="E1170" s="38" t="n"/>
      <c r="F1170" s="38" t="n"/>
      <c r="G1170" s="38" t="n"/>
      <c r="H1170" s="38" t="n"/>
      <c r="I1170" s="57" t="n"/>
      <c r="J1170" s="95" t="n"/>
      <c r="K1170" s="95" t="n"/>
      <c r="L1170" s="48" t="n"/>
      <c r="M1170" s="96" t="n"/>
      <c r="N1170" s="48" t="n"/>
      <c r="O1170" s="38" t="n"/>
      <c r="P1170" s="38" t="n"/>
      <c r="Q1170" s="97">
        <f>IF(OR(F1170="",E1170=""),"",IFERROR(IF(INDEX('PROPERTIES'!$F$5:$F$404,MATCH(E1170,'PROPERTIES'!$B$5:$B$404,0))=0,"",ROUND((INDEX('PROPERTIES'!$F$5:$F$404,MATCH(E1170,'PROPERTIES'!$B$5:$B$404,0))/INDEX('PRICING'!$C$7:$C$16,MATCH(F1170,'PRICING'!$A$7:$A$16,0))+INDEX('PROPERTIES'!$G$5:$G$404,MATCH(E1170,'PROPERTIES'!$B$5:$B$404,0))*INDEX('PRICING'!$D$7:$D$16,MATCH(F1170,'PRICING'!$A$7:$A$16,0))/60+INDEX('PROPERTIES'!$H$5:$H$404,MATCH(E1170,'PROPERTIES'!$B$5:$B$404,0))*INDEX('PRICING'!$E$7:$E$16,MATCH(F1170,'PRICING'!$A$7:$A$16,0))/60+INDEX('PRICING'!$F$7:$F$16,MATCH(F1170,'PRICING'!$A$7:$A$16,0))/60),2)),""))</f>
        <v/>
      </c>
      <c r="R1170" s="97">
        <f>IF(B1170="","",IF(N(K1170)&gt;0,K1170,IF(N(J1170)&gt;0,J1170,N(Q1170))))</f>
        <v/>
      </c>
      <c r="S1170" s="55">
        <f>IF(L1170="","",ROUND(L1170*(1+N(M1170)),2))</f>
        <v/>
      </c>
      <c r="T1170" s="55">
        <f>IF(B1170="","",SUMIFS('REVENUE'!$C$5:$C$1504,'REVENUE'!$B$5:$B$1504,A1170))</f>
        <v/>
      </c>
      <c r="U1170" s="55">
        <f>IF(B1170="","",IF(O1170="Completed",MAX(0,N(S1170)-T1170),""))</f>
        <v/>
      </c>
      <c r="V1170" s="49">
        <f>IF(B1170="","",IF(O1170&lt;&gt;"Completed",IF(T1170&gt;0,"Deposit","—"),IF(U1170&lt;=0.005,"Paid",IF(T1170&gt;0,"Partial","Unpaid"))))</f>
        <v/>
      </c>
      <c r="W1170" s="55">
        <f>IF(B1170="","",IFERROR(1/(1/INDEX('STAFF &amp; TASKS'!$C$5:$C$24,MATCH(H1170,'STAFF &amp; TASKS'!$A$5:$A$24,0))),PayRate))</f>
        <v/>
      </c>
      <c r="X1170" s="55">
        <f>IF(B1170="","",IF(OR(O1170="Cancelled",O1170="No-Show"),"",ROUND(R1170*W1170*(1+Burden),2)))</f>
        <v/>
      </c>
      <c r="Y1170" s="55">
        <f>IF(B1170="","",IF(OR(O1170="Cancelled",O1170="No-Show"),"",IF(N1170&lt;&gt;"",N1170,ROUND(R1170*SupHr*IFERROR(INDEX('PRICING'!$G$7:$G$16,MATCH(F1170,'PRICING'!$A$7:$A$16,0)),1),2))))</f>
        <v/>
      </c>
      <c r="Z1170" s="98">
        <f>IF(B1170="","",SUMIFS('MILEAGE'!$J$5:$J$1504,'MILEAGE'!$B$5:$B$1504,A1170))</f>
        <v/>
      </c>
      <c r="AA1170" s="55">
        <f>IF(B1170="","",ROUND(Z1170*MileRate,2))</f>
        <v/>
      </c>
      <c r="AB1170" s="55">
        <f>IF(B1170="","",SUMIFS('REVENUE'!$J$5:$J$1504,'REVENUE'!$B$5:$B$1504,A1170))</f>
        <v/>
      </c>
      <c r="AC1170" s="55">
        <f>IF(L1170="","",IF(OR(O1170="Cancelled",O1170="No-Show"),"",L1170-N(X1170)-N(Y1170)-AA1170-AB1170))</f>
        <v/>
      </c>
      <c r="AD1170" s="99">
        <f>IF(OR(AC1170="",N(L1170)=0),"",AC1170/L1170)</f>
        <v/>
      </c>
      <c r="AE1170" s="55">
        <f>IF(OR(AC1170="",N(R1170)=0),"",L1170/R1170)</f>
        <v/>
      </c>
      <c r="AF1170" s="100">
        <f>IF(OR(N(K1170)=0,N(J1170)+N(Q1170)=0),"",K1170-IF(N(J1170)&gt;0,J1170,Q1170))</f>
        <v/>
      </c>
      <c r="AG1170" s="99">
        <f>IF(B1170="","",IFERROR(AVERAGEIFS('QUALITY CONTROL'!$M$5:$M$304,'QUALITY CONTROL'!$B$5:$B$304,A1170),""))</f>
        <v/>
      </c>
      <c r="AH1170" s="51">
        <f>IF(B1170="","",DATE(YEAR(B1170),MONTH(B1170),1))</f>
        <v/>
      </c>
      <c r="AI1170" s="49">
        <f>IF(D1170="","",IFERROR(INDEX('CUSTOMERS'!$E$5:$E$404,MATCH(D1170,'CUSTOMERS'!$B$5:$B$404,0)),""))</f>
        <v/>
      </c>
      <c r="AJ1170" s="49">
        <f>IF(B1170="","",N(C1170))</f>
        <v/>
      </c>
      <c r="AK1170" s="49">
        <f>IF(OR(B1170="",O1170="Cancelled",O1170="Rescheduled"),"",B1170&amp;"|"&amp;(COUNTIFS('JOBS'!$B$5:$B$1504,B1170,'JOBS'!$AJ$5:$AJ$1504,"&lt;"&amp;AJ1170,'JOBS'!$O$5:$O$1504,"&lt;&gt;Cancelled",'JOBS'!$O$5:$O$1504,"&lt;&gt;Rescheduled")+COUNTIFS($B$5:B1170,B1170,$AJ$5:AJ1170,AJ1170,$O$5:O1170,"&lt;&gt;Cancelled",$O$5:O1170,"&lt;&gt;Rescheduled")))</f>
        <v/>
      </c>
      <c r="AL1170" s="49">
        <f>IF(N(U1170)&lt;=0.005,"",COUNTIFS('JOBS'!$U$5:$U$1504,"&gt;0.005",'JOBS'!$B$5:$B$1504,"&lt;"&amp;B1170)+COUNTIFS($U$5:U1170,"&gt;0.005",$B$5:B1170,B1170))</f>
        <v/>
      </c>
    </row>
    <row r="1171">
      <c r="A1171" s="46" t="inlineStr">
        <is>
          <t>J-1167</t>
        </is>
      </c>
      <c r="B1171" s="47" t="n"/>
      <c r="C1171" s="94" t="n"/>
      <c r="D1171" s="38" t="n"/>
      <c r="E1171" s="38" t="n"/>
      <c r="F1171" s="38" t="n"/>
      <c r="G1171" s="38" t="n"/>
      <c r="H1171" s="38" t="n"/>
      <c r="I1171" s="57" t="n"/>
      <c r="J1171" s="95" t="n"/>
      <c r="K1171" s="95" t="n"/>
      <c r="L1171" s="48" t="n"/>
      <c r="M1171" s="96" t="n"/>
      <c r="N1171" s="48" t="n"/>
      <c r="O1171" s="38" t="n"/>
      <c r="P1171" s="38" t="n"/>
      <c r="Q1171" s="97">
        <f>IF(OR(F1171="",E1171=""),"",IFERROR(IF(INDEX('PROPERTIES'!$F$5:$F$404,MATCH(E1171,'PROPERTIES'!$B$5:$B$404,0))=0,"",ROUND((INDEX('PROPERTIES'!$F$5:$F$404,MATCH(E1171,'PROPERTIES'!$B$5:$B$404,0))/INDEX('PRICING'!$C$7:$C$16,MATCH(F1171,'PRICING'!$A$7:$A$16,0))+INDEX('PROPERTIES'!$G$5:$G$404,MATCH(E1171,'PROPERTIES'!$B$5:$B$404,0))*INDEX('PRICING'!$D$7:$D$16,MATCH(F1171,'PRICING'!$A$7:$A$16,0))/60+INDEX('PROPERTIES'!$H$5:$H$404,MATCH(E1171,'PROPERTIES'!$B$5:$B$404,0))*INDEX('PRICING'!$E$7:$E$16,MATCH(F1171,'PRICING'!$A$7:$A$16,0))/60+INDEX('PRICING'!$F$7:$F$16,MATCH(F1171,'PRICING'!$A$7:$A$16,0))/60),2)),""))</f>
        <v/>
      </c>
      <c r="R1171" s="97">
        <f>IF(B1171="","",IF(N(K1171)&gt;0,K1171,IF(N(J1171)&gt;0,J1171,N(Q1171))))</f>
        <v/>
      </c>
      <c r="S1171" s="55">
        <f>IF(L1171="","",ROUND(L1171*(1+N(M1171)),2))</f>
        <v/>
      </c>
      <c r="T1171" s="55">
        <f>IF(B1171="","",SUMIFS('REVENUE'!$C$5:$C$1504,'REVENUE'!$B$5:$B$1504,A1171))</f>
        <v/>
      </c>
      <c r="U1171" s="55">
        <f>IF(B1171="","",IF(O1171="Completed",MAX(0,N(S1171)-T1171),""))</f>
        <v/>
      </c>
      <c r="V1171" s="49">
        <f>IF(B1171="","",IF(O1171&lt;&gt;"Completed",IF(T1171&gt;0,"Deposit","—"),IF(U1171&lt;=0.005,"Paid",IF(T1171&gt;0,"Partial","Unpaid"))))</f>
        <v/>
      </c>
      <c r="W1171" s="55">
        <f>IF(B1171="","",IFERROR(1/(1/INDEX('STAFF &amp; TASKS'!$C$5:$C$24,MATCH(H1171,'STAFF &amp; TASKS'!$A$5:$A$24,0))),PayRate))</f>
        <v/>
      </c>
      <c r="X1171" s="55">
        <f>IF(B1171="","",IF(OR(O1171="Cancelled",O1171="No-Show"),"",ROUND(R1171*W1171*(1+Burden),2)))</f>
        <v/>
      </c>
      <c r="Y1171" s="55">
        <f>IF(B1171="","",IF(OR(O1171="Cancelled",O1171="No-Show"),"",IF(N1171&lt;&gt;"",N1171,ROUND(R1171*SupHr*IFERROR(INDEX('PRICING'!$G$7:$G$16,MATCH(F1171,'PRICING'!$A$7:$A$16,0)),1),2))))</f>
        <v/>
      </c>
      <c r="Z1171" s="98">
        <f>IF(B1171="","",SUMIFS('MILEAGE'!$J$5:$J$1504,'MILEAGE'!$B$5:$B$1504,A1171))</f>
        <v/>
      </c>
      <c r="AA1171" s="55">
        <f>IF(B1171="","",ROUND(Z1171*MileRate,2))</f>
        <v/>
      </c>
      <c r="AB1171" s="55">
        <f>IF(B1171="","",SUMIFS('REVENUE'!$J$5:$J$1504,'REVENUE'!$B$5:$B$1504,A1171))</f>
        <v/>
      </c>
      <c r="AC1171" s="55">
        <f>IF(L1171="","",IF(OR(O1171="Cancelled",O1171="No-Show"),"",L1171-N(X1171)-N(Y1171)-AA1171-AB1171))</f>
        <v/>
      </c>
      <c r="AD1171" s="99">
        <f>IF(OR(AC1171="",N(L1171)=0),"",AC1171/L1171)</f>
        <v/>
      </c>
      <c r="AE1171" s="55">
        <f>IF(OR(AC1171="",N(R1171)=0),"",L1171/R1171)</f>
        <v/>
      </c>
      <c r="AF1171" s="100">
        <f>IF(OR(N(K1171)=0,N(J1171)+N(Q1171)=0),"",K1171-IF(N(J1171)&gt;0,J1171,Q1171))</f>
        <v/>
      </c>
      <c r="AG1171" s="99">
        <f>IF(B1171="","",IFERROR(AVERAGEIFS('QUALITY CONTROL'!$M$5:$M$304,'QUALITY CONTROL'!$B$5:$B$304,A1171),""))</f>
        <v/>
      </c>
      <c r="AH1171" s="51">
        <f>IF(B1171="","",DATE(YEAR(B1171),MONTH(B1171),1))</f>
        <v/>
      </c>
      <c r="AI1171" s="49">
        <f>IF(D1171="","",IFERROR(INDEX('CUSTOMERS'!$E$5:$E$404,MATCH(D1171,'CUSTOMERS'!$B$5:$B$404,0)),""))</f>
        <v/>
      </c>
      <c r="AJ1171" s="49">
        <f>IF(B1171="","",N(C1171))</f>
        <v/>
      </c>
      <c r="AK1171" s="49">
        <f>IF(OR(B1171="",O1171="Cancelled",O1171="Rescheduled"),"",B1171&amp;"|"&amp;(COUNTIFS('JOBS'!$B$5:$B$1504,B1171,'JOBS'!$AJ$5:$AJ$1504,"&lt;"&amp;AJ1171,'JOBS'!$O$5:$O$1504,"&lt;&gt;Cancelled",'JOBS'!$O$5:$O$1504,"&lt;&gt;Rescheduled")+COUNTIFS($B$5:B1171,B1171,$AJ$5:AJ1171,AJ1171,$O$5:O1171,"&lt;&gt;Cancelled",$O$5:O1171,"&lt;&gt;Rescheduled")))</f>
        <v/>
      </c>
      <c r="AL1171" s="49">
        <f>IF(N(U1171)&lt;=0.005,"",COUNTIFS('JOBS'!$U$5:$U$1504,"&gt;0.005",'JOBS'!$B$5:$B$1504,"&lt;"&amp;B1171)+COUNTIFS($U$5:U1171,"&gt;0.005",$B$5:B1171,B1171))</f>
        <v/>
      </c>
    </row>
    <row r="1172">
      <c r="A1172" s="46" t="inlineStr">
        <is>
          <t>J-1168</t>
        </is>
      </c>
      <c r="B1172" s="47" t="n"/>
      <c r="C1172" s="94" t="n"/>
      <c r="D1172" s="38" t="n"/>
      <c r="E1172" s="38" t="n"/>
      <c r="F1172" s="38" t="n"/>
      <c r="G1172" s="38" t="n"/>
      <c r="H1172" s="38" t="n"/>
      <c r="I1172" s="57" t="n"/>
      <c r="J1172" s="95" t="n"/>
      <c r="K1172" s="95" t="n"/>
      <c r="L1172" s="48" t="n"/>
      <c r="M1172" s="96" t="n"/>
      <c r="N1172" s="48" t="n"/>
      <c r="O1172" s="38" t="n"/>
      <c r="P1172" s="38" t="n"/>
      <c r="Q1172" s="97">
        <f>IF(OR(F1172="",E1172=""),"",IFERROR(IF(INDEX('PROPERTIES'!$F$5:$F$404,MATCH(E1172,'PROPERTIES'!$B$5:$B$404,0))=0,"",ROUND((INDEX('PROPERTIES'!$F$5:$F$404,MATCH(E1172,'PROPERTIES'!$B$5:$B$404,0))/INDEX('PRICING'!$C$7:$C$16,MATCH(F1172,'PRICING'!$A$7:$A$16,0))+INDEX('PROPERTIES'!$G$5:$G$404,MATCH(E1172,'PROPERTIES'!$B$5:$B$404,0))*INDEX('PRICING'!$D$7:$D$16,MATCH(F1172,'PRICING'!$A$7:$A$16,0))/60+INDEX('PROPERTIES'!$H$5:$H$404,MATCH(E1172,'PROPERTIES'!$B$5:$B$404,0))*INDEX('PRICING'!$E$7:$E$16,MATCH(F1172,'PRICING'!$A$7:$A$16,0))/60+INDEX('PRICING'!$F$7:$F$16,MATCH(F1172,'PRICING'!$A$7:$A$16,0))/60),2)),""))</f>
        <v/>
      </c>
      <c r="R1172" s="97">
        <f>IF(B1172="","",IF(N(K1172)&gt;0,K1172,IF(N(J1172)&gt;0,J1172,N(Q1172))))</f>
        <v/>
      </c>
      <c r="S1172" s="55">
        <f>IF(L1172="","",ROUND(L1172*(1+N(M1172)),2))</f>
        <v/>
      </c>
      <c r="T1172" s="55">
        <f>IF(B1172="","",SUMIFS('REVENUE'!$C$5:$C$1504,'REVENUE'!$B$5:$B$1504,A1172))</f>
        <v/>
      </c>
      <c r="U1172" s="55">
        <f>IF(B1172="","",IF(O1172="Completed",MAX(0,N(S1172)-T1172),""))</f>
        <v/>
      </c>
      <c r="V1172" s="49">
        <f>IF(B1172="","",IF(O1172&lt;&gt;"Completed",IF(T1172&gt;0,"Deposit","—"),IF(U1172&lt;=0.005,"Paid",IF(T1172&gt;0,"Partial","Unpaid"))))</f>
        <v/>
      </c>
      <c r="W1172" s="55">
        <f>IF(B1172="","",IFERROR(1/(1/INDEX('STAFF &amp; TASKS'!$C$5:$C$24,MATCH(H1172,'STAFF &amp; TASKS'!$A$5:$A$24,0))),PayRate))</f>
        <v/>
      </c>
      <c r="X1172" s="55">
        <f>IF(B1172="","",IF(OR(O1172="Cancelled",O1172="No-Show"),"",ROUND(R1172*W1172*(1+Burden),2)))</f>
        <v/>
      </c>
      <c r="Y1172" s="55">
        <f>IF(B1172="","",IF(OR(O1172="Cancelled",O1172="No-Show"),"",IF(N1172&lt;&gt;"",N1172,ROUND(R1172*SupHr*IFERROR(INDEX('PRICING'!$G$7:$G$16,MATCH(F1172,'PRICING'!$A$7:$A$16,0)),1),2))))</f>
        <v/>
      </c>
      <c r="Z1172" s="98">
        <f>IF(B1172="","",SUMIFS('MILEAGE'!$J$5:$J$1504,'MILEAGE'!$B$5:$B$1504,A1172))</f>
        <v/>
      </c>
      <c r="AA1172" s="55">
        <f>IF(B1172="","",ROUND(Z1172*MileRate,2))</f>
        <v/>
      </c>
      <c r="AB1172" s="55">
        <f>IF(B1172="","",SUMIFS('REVENUE'!$J$5:$J$1504,'REVENUE'!$B$5:$B$1504,A1172))</f>
        <v/>
      </c>
      <c r="AC1172" s="55">
        <f>IF(L1172="","",IF(OR(O1172="Cancelled",O1172="No-Show"),"",L1172-N(X1172)-N(Y1172)-AA1172-AB1172))</f>
        <v/>
      </c>
      <c r="AD1172" s="99">
        <f>IF(OR(AC1172="",N(L1172)=0),"",AC1172/L1172)</f>
        <v/>
      </c>
      <c r="AE1172" s="55">
        <f>IF(OR(AC1172="",N(R1172)=0),"",L1172/R1172)</f>
        <v/>
      </c>
      <c r="AF1172" s="100">
        <f>IF(OR(N(K1172)=0,N(J1172)+N(Q1172)=0),"",K1172-IF(N(J1172)&gt;0,J1172,Q1172))</f>
        <v/>
      </c>
      <c r="AG1172" s="99">
        <f>IF(B1172="","",IFERROR(AVERAGEIFS('QUALITY CONTROL'!$M$5:$M$304,'QUALITY CONTROL'!$B$5:$B$304,A1172),""))</f>
        <v/>
      </c>
      <c r="AH1172" s="51">
        <f>IF(B1172="","",DATE(YEAR(B1172),MONTH(B1172),1))</f>
        <v/>
      </c>
      <c r="AI1172" s="49">
        <f>IF(D1172="","",IFERROR(INDEX('CUSTOMERS'!$E$5:$E$404,MATCH(D1172,'CUSTOMERS'!$B$5:$B$404,0)),""))</f>
        <v/>
      </c>
      <c r="AJ1172" s="49">
        <f>IF(B1172="","",N(C1172))</f>
        <v/>
      </c>
      <c r="AK1172" s="49">
        <f>IF(OR(B1172="",O1172="Cancelled",O1172="Rescheduled"),"",B1172&amp;"|"&amp;(COUNTIFS('JOBS'!$B$5:$B$1504,B1172,'JOBS'!$AJ$5:$AJ$1504,"&lt;"&amp;AJ1172,'JOBS'!$O$5:$O$1504,"&lt;&gt;Cancelled",'JOBS'!$O$5:$O$1504,"&lt;&gt;Rescheduled")+COUNTIFS($B$5:B1172,B1172,$AJ$5:AJ1172,AJ1172,$O$5:O1172,"&lt;&gt;Cancelled",$O$5:O1172,"&lt;&gt;Rescheduled")))</f>
        <v/>
      </c>
      <c r="AL1172" s="49">
        <f>IF(N(U1172)&lt;=0.005,"",COUNTIFS('JOBS'!$U$5:$U$1504,"&gt;0.005",'JOBS'!$B$5:$B$1504,"&lt;"&amp;B1172)+COUNTIFS($U$5:U1172,"&gt;0.005",$B$5:B1172,B1172))</f>
        <v/>
      </c>
    </row>
    <row r="1173">
      <c r="A1173" s="46" t="inlineStr">
        <is>
          <t>J-1169</t>
        </is>
      </c>
      <c r="B1173" s="47" t="n"/>
      <c r="C1173" s="94" t="n"/>
      <c r="D1173" s="38" t="n"/>
      <c r="E1173" s="38" t="n"/>
      <c r="F1173" s="38" t="n"/>
      <c r="G1173" s="38" t="n"/>
      <c r="H1173" s="38" t="n"/>
      <c r="I1173" s="57" t="n"/>
      <c r="J1173" s="95" t="n"/>
      <c r="K1173" s="95" t="n"/>
      <c r="L1173" s="48" t="n"/>
      <c r="M1173" s="96" t="n"/>
      <c r="N1173" s="48" t="n"/>
      <c r="O1173" s="38" t="n"/>
      <c r="P1173" s="38" t="n"/>
      <c r="Q1173" s="97">
        <f>IF(OR(F1173="",E1173=""),"",IFERROR(IF(INDEX('PROPERTIES'!$F$5:$F$404,MATCH(E1173,'PROPERTIES'!$B$5:$B$404,0))=0,"",ROUND((INDEX('PROPERTIES'!$F$5:$F$404,MATCH(E1173,'PROPERTIES'!$B$5:$B$404,0))/INDEX('PRICING'!$C$7:$C$16,MATCH(F1173,'PRICING'!$A$7:$A$16,0))+INDEX('PROPERTIES'!$G$5:$G$404,MATCH(E1173,'PROPERTIES'!$B$5:$B$404,0))*INDEX('PRICING'!$D$7:$D$16,MATCH(F1173,'PRICING'!$A$7:$A$16,0))/60+INDEX('PROPERTIES'!$H$5:$H$404,MATCH(E1173,'PROPERTIES'!$B$5:$B$404,0))*INDEX('PRICING'!$E$7:$E$16,MATCH(F1173,'PRICING'!$A$7:$A$16,0))/60+INDEX('PRICING'!$F$7:$F$16,MATCH(F1173,'PRICING'!$A$7:$A$16,0))/60),2)),""))</f>
        <v/>
      </c>
      <c r="R1173" s="97">
        <f>IF(B1173="","",IF(N(K1173)&gt;0,K1173,IF(N(J1173)&gt;0,J1173,N(Q1173))))</f>
        <v/>
      </c>
      <c r="S1173" s="55">
        <f>IF(L1173="","",ROUND(L1173*(1+N(M1173)),2))</f>
        <v/>
      </c>
      <c r="T1173" s="55">
        <f>IF(B1173="","",SUMIFS('REVENUE'!$C$5:$C$1504,'REVENUE'!$B$5:$B$1504,A1173))</f>
        <v/>
      </c>
      <c r="U1173" s="55">
        <f>IF(B1173="","",IF(O1173="Completed",MAX(0,N(S1173)-T1173),""))</f>
        <v/>
      </c>
      <c r="V1173" s="49">
        <f>IF(B1173="","",IF(O1173&lt;&gt;"Completed",IF(T1173&gt;0,"Deposit","—"),IF(U1173&lt;=0.005,"Paid",IF(T1173&gt;0,"Partial","Unpaid"))))</f>
        <v/>
      </c>
      <c r="W1173" s="55">
        <f>IF(B1173="","",IFERROR(1/(1/INDEX('STAFF &amp; TASKS'!$C$5:$C$24,MATCH(H1173,'STAFF &amp; TASKS'!$A$5:$A$24,0))),PayRate))</f>
        <v/>
      </c>
      <c r="X1173" s="55">
        <f>IF(B1173="","",IF(OR(O1173="Cancelled",O1173="No-Show"),"",ROUND(R1173*W1173*(1+Burden),2)))</f>
        <v/>
      </c>
      <c r="Y1173" s="55">
        <f>IF(B1173="","",IF(OR(O1173="Cancelled",O1173="No-Show"),"",IF(N1173&lt;&gt;"",N1173,ROUND(R1173*SupHr*IFERROR(INDEX('PRICING'!$G$7:$G$16,MATCH(F1173,'PRICING'!$A$7:$A$16,0)),1),2))))</f>
        <v/>
      </c>
      <c r="Z1173" s="98">
        <f>IF(B1173="","",SUMIFS('MILEAGE'!$J$5:$J$1504,'MILEAGE'!$B$5:$B$1504,A1173))</f>
        <v/>
      </c>
      <c r="AA1173" s="55">
        <f>IF(B1173="","",ROUND(Z1173*MileRate,2))</f>
        <v/>
      </c>
      <c r="AB1173" s="55">
        <f>IF(B1173="","",SUMIFS('REVENUE'!$J$5:$J$1504,'REVENUE'!$B$5:$B$1504,A1173))</f>
        <v/>
      </c>
      <c r="AC1173" s="55">
        <f>IF(L1173="","",IF(OR(O1173="Cancelled",O1173="No-Show"),"",L1173-N(X1173)-N(Y1173)-AA1173-AB1173))</f>
        <v/>
      </c>
      <c r="AD1173" s="99">
        <f>IF(OR(AC1173="",N(L1173)=0),"",AC1173/L1173)</f>
        <v/>
      </c>
      <c r="AE1173" s="55">
        <f>IF(OR(AC1173="",N(R1173)=0),"",L1173/R1173)</f>
        <v/>
      </c>
      <c r="AF1173" s="100">
        <f>IF(OR(N(K1173)=0,N(J1173)+N(Q1173)=0),"",K1173-IF(N(J1173)&gt;0,J1173,Q1173))</f>
        <v/>
      </c>
      <c r="AG1173" s="99">
        <f>IF(B1173="","",IFERROR(AVERAGEIFS('QUALITY CONTROL'!$M$5:$M$304,'QUALITY CONTROL'!$B$5:$B$304,A1173),""))</f>
        <v/>
      </c>
      <c r="AH1173" s="51">
        <f>IF(B1173="","",DATE(YEAR(B1173),MONTH(B1173),1))</f>
        <v/>
      </c>
      <c r="AI1173" s="49">
        <f>IF(D1173="","",IFERROR(INDEX('CUSTOMERS'!$E$5:$E$404,MATCH(D1173,'CUSTOMERS'!$B$5:$B$404,0)),""))</f>
        <v/>
      </c>
      <c r="AJ1173" s="49">
        <f>IF(B1173="","",N(C1173))</f>
        <v/>
      </c>
      <c r="AK1173" s="49">
        <f>IF(OR(B1173="",O1173="Cancelled",O1173="Rescheduled"),"",B1173&amp;"|"&amp;(COUNTIFS('JOBS'!$B$5:$B$1504,B1173,'JOBS'!$AJ$5:$AJ$1504,"&lt;"&amp;AJ1173,'JOBS'!$O$5:$O$1504,"&lt;&gt;Cancelled",'JOBS'!$O$5:$O$1504,"&lt;&gt;Rescheduled")+COUNTIFS($B$5:B1173,B1173,$AJ$5:AJ1173,AJ1173,$O$5:O1173,"&lt;&gt;Cancelled",$O$5:O1173,"&lt;&gt;Rescheduled")))</f>
        <v/>
      </c>
      <c r="AL1173" s="49">
        <f>IF(N(U1173)&lt;=0.005,"",COUNTIFS('JOBS'!$U$5:$U$1504,"&gt;0.005",'JOBS'!$B$5:$B$1504,"&lt;"&amp;B1173)+COUNTIFS($U$5:U1173,"&gt;0.005",$B$5:B1173,B1173))</f>
        <v/>
      </c>
    </row>
    <row r="1174">
      <c r="A1174" s="46" t="inlineStr">
        <is>
          <t>J-1170</t>
        </is>
      </c>
      <c r="B1174" s="47" t="n"/>
      <c r="C1174" s="94" t="n"/>
      <c r="D1174" s="38" t="n"/>
      <c r="E1174" s="38" t="n"/>
      <c r="F1174" s="38" t="n"/>
      <c r="G1174" s="38" t="n"/>
      <c r="H1174" s="38" t="n"/>
      <c r="I1174" s="57" t="n"/>
      <c r="J1174" s="95" t="n"/>
      <c r="K1174" s="95" t="n"/>
      <c r="L1174" s="48" t="n"/>
      <c r="M1174" s="96" t="n"/>
      <c r="N1174" s="48" t="n"/>
      <c r="O1174" s="38" t="n"/>
      <c r="P1174" s="38" t="n"/>
      <c r="Q1174" s="97">
        <f>IF(OR(F1174="",E1174=""),"",IFERROR(IF(INDEX('PROPERTIES'!$F$5:$F$404,MATCH(E1174,'PROPERTIES'!$B$5:$B$404,0))=0,"",ROUND((INDEX('PROPERTIES'!$F$5:$F$404,MATCH(E1174,'PROPERTIES'!$B$5:$B$404,0))/INDEX('PRICING'!$C$7:$C$16,MATCH(F1174,'PRICING'!$A$7:$A$16,0))+INDEX('PROPERTIES'!$G$5:$G$404,MATCH(E1174,'PROPERTIES'!$B$5:$B$404,0))*INDEX('PRICING'!$D$7:$D$16,MATCH(F1174,'PRICING'!$A$7:$A$16,0))/60+INDEX('PROPERTIES'!$H$5:$H$404,MATCH(E1174,'PROPERTIES'!$B$5:$B$404,0))*INDEX('PRICING'!$E$7:$E$16,MATCH(F1174,'PRICING'!$A$7:$A$16,0))/60+INDEX('PRICING'!$F$7:$F$16,MATCH(F1174,'PRICING'!$A$7:$A$16,0))/60),2)),""))</f>
        <v/>
      </c>
      <c r="R1174" s="97">
        <f>IF(B1174="","",IF(N(K1174)&gt;0,K1174,IF(N(J1174)&gt;0,J1174,N(Q1174))))</f>
        <v/>
      </c>
      <c r="S1174" s="55">
        <f>IF(L1174="","",ROUND(L1174*(1+N(M1174)),2))</f>
        <v/>
      </c>
      <c r="T1174" s="55">
        <f>IF(B1174="","",SUMIFS('REVENUE'!$C$5:$C$1504,'REVENUE'!$B$5:$B$1504,A1174))</f>
        <v/>
      </c>
      <c r="U1174" s="55">
        <f>IF(B1174="","",IF(O1174="Completed",MAX(0,N(S1174)-T1174),""))</f>
        <v/>
      </c>
      <c r="V1174" s="49">
        <f>IF(B1174="","",IF(O1174&lt;&gt;"Completed",IF(T1174&gt;0,"Deposit","—"),IF(U1174&lt;=0.005,"Paid",IF(T1174&gt;0,"Partial","Unpaid"))))</f>
        <v/>
      </c>
      <c r="W1174" s="55">
        <f>IF(B1174="","",IFERROR(1/(1/INDEX('STAFF &amp; TASKS'!$C$5:$C$24,MATCH(H1174,'STAFF &amp; TASKS'!$A$5:$A$24,0))),PayRate))</f>
        <v/>
      </c>
      <c r="X1174" s="55">
        <f>IF(B1174="","",IF(OR(O1174="Cancelled",O1174="No-Show"),"",ROUND(R1174*W1174*(1+Burden),2)))</f>
        <v/>
      </c>
      <c r="Y1174" s="55">
        <f>IF(B1174="","",IF(OR(O1174="Cancelled",O1174="No-Show"),"",IF(N1174&lt;&gt;"",N1174,ROUND(R1174*SupHr*IFERROR(INDEX('PRICING'!$G$7:$G$16,MATCH(F1174,'PRICING'!$A$7:$A$16,0)),1),2))))</f>
        <v/>
      </c>
      <c r="Z1174" s="98">
        <f>IF(B1174="","",SUMIFS('MILEAGE'!$J$5:$J$1504,'MILEAGE'!$B$5:$B$1504,A1174))</f>
        <v/>
      </c>
      <c r="AA1174" s="55">
        <f>IF(B1174="","",ROUND(Z1174*MileRate,2))</f>
        <v/>
      </c>
      <c r="AB1174" s="55">
        <f>IF(B1174="","",SUMIFS('REVENUE'!$J$5:$J$1504,'REVENUE'!$B$5:$B$1504,A1174))</f>
        <v/>
      </c>
      <c r="AC1174" s="55">
        <f>IF(L1174="","",IF(OR(O1174="Cancelled",O1174="No-Show"),"",L1174-N(X1174)-N(Y1174)-AA1174-AB1174))</f>
        <v/>
      </c>
      <c r="AD1174" s="99">
        <f>IF(OR(AC1174="",N(L1174)=0),"",AC1174/L1174)</f>
        <v/>
      </c>
      <c r="AE1174" s="55">
        <f>IF(OR(AC1174="",N(R1174)=0),"",L1174/R1174)</f>
        <v/>
      </c>
      <c r="AF1174" s="100">
        <f>IF(OR(N(K1174)=0,N(J1174)+N(Q1174)=0),"",K1174-IF(N(J1174)&gt;0,J1174,Q1174))</f>
        <v/>
      </c>
      <c r="AG1174" s="99">
        <f>IF(B1174="","",IFERROR(AVERAGEIFS('QUALITY CONTROL'!$M$5:$M$304,'QUALITY CONTROL'!$B$5:$B$304,A1174),""))</f>
        <v/>
      </c>
      <c r="AH1174" s="51">
        <f>IF(B1174="","",DATE(YEAR(B1174),MONTH(B1174),1))</f>
        <v/>
      </c>
      <c r="AI1174" s="49">
        <f>IF(D1174="","",IFERROR(INDEX('CUSTOMERS'!$E$5:$E$404,MATCH(D1174,'CUSTOMERS'!$B$5:$B$404,0)),""))</f>
        <v/>
      </c>
      <c r="AJ1174" s="49">
        <f>IF(B1174="","",N(C1174))</f>
        <v/>
      </c>
      <c r="AK1174" s="49">
        <f>IF(OR(B1174="",O1174="Cancelled",O1174="Rescheduled"),"",B1174&amp;"|"&amp;(COUNTIFS('JOBS'!$B$5:$B$1504,B1174,'JOBS'!$AJ$5:$AJ$1504,"&lt;"&amp;AJ1174,'JOBS'!$O$5:$O$1504,"&lt;&gt;Cancelled",'JOBS'!$O$5:$O$1504,"&lt;&gt;Rescheduled")+COUNTIFS($B$5:B1174,B1174,$AJ$5:AJ1174,AJ1174,$O$5:O1174,"&lt;&gt;Cancelled",$O$5:O1174,"&lt;&gt;Rescheduled")))</f>
        <v/>
      </c>
      <c r="AL1174" s="49">
        <f>IF(N(U1174)&lt;=0.005,"",COUNTIFS('JOBS'!$U$5:$U$1504,"&gt;0.005",'JOBS'!$B$5:$B$1504,"&lt;"&amp;B1174)+COUNTIFS($U$5:U1174,"&gt;0.005",$B$5:B1174,B1174))</f>
        <v/>
      </c>
    </row>
    <row r="1175">
      <c r="A1175" s="46" t="inlineStr">
        <is>
          <t>J-1171</t>
        </is>
      </c>
      <c r="B1175" s="47" t="n"/>
      <c r="C1175" s="94" t="n"/>
      <c r="D1175" s="38" t="n"/>
      <c r="E1175" s="38" t="n"/>
      <c r="F1175" s="38" t="n"/>
      <c r="G1175" s="38" t="n"/>
      <c r="H1175" s="38" t="n"/>
      <c r="I1175" s="57" t="n"/>
      <c r="J1175" s="95" t="n"/>
      <c r="K1175" s="95" t="n"/>
      <c r="L1175" s="48" t="n"/>
      <c r="M1175" s="96" t="n"/>
      <c r="N1175" s="48" t="n"/>
      <c r="O1175" s="38" t="n"/>
      <c r="P1175" s="38" t="n"/>
      <c r="Q1175" s="97">
        <f>IF(OR(F1175="",E1175=""),"",IFERROR(IF(INDEX('PROPERTIES'!$F$5:$F$404,MATCH(E1175,'PROPERTIES'!$B$5:$B$404,0))=0,"",ROUND((INDEX('PROPERTIES'!$F$5:$F$404,MATCH(E1175,'PROPERTIES'!$B$5:$B$404,0))/INDEX('PRICING'!$C$7:$C$16,MATCH(F1175,'PRICING'!$A$7:$A$16,0))+INDEX('PROPERTIES'!$G$5:$G$404,MATCH(E1175,'PROPERTIES'!$B$5:$B$404,0))*INDEX('PRICING'!$D$7:$D$16,MATCH(F1175,'PRICING'!$A$7:$A$16,0))/60+INDEX('PROPERTIES'!$H$5:$H$404,MATCH(E1175,'PROPERTIES'!$B$5:$B$404,0))*INDEX('PRICING'!$E$7:$E$16,MATCH(F1175,'PRICING'!$A$7:$A$16,0))/60+INDEX('PRICING'!$F$7:$F$16,MATCH(F1175,'PRICING'!$A$7:$A$16,0))/60),2)),""))</f>
        <v/>
      </c>
      <c r="R1175" s="97">
        <f>IF(B1175="","",IF(N(K1175)&gt;0,K1175,IF(N(J1175)&gt;0,J1175,N(Q1175))))</f>
        <v/>
      </c>
      <c r="S1175" s="55">
        <f>IF(L1175="","",ROUND(L1175*(1+N(M1175)),2))</f>
        <v/>
      </c>
      <c r="T1175" s="55">
        <f>IF(B1175="","",SUMIFS('REVENUE'!$C$5:$C$1504,'REVENUE'!$B$5:$B$1504,A1175))</f>
        <v/>
      </c>
      <c r="U1175" s="55">
        <f>IF(B1175="","",IF(O1175="Completed",MAX(0,N(S1175)-T1175),""))</f>
        <v/>
      </c>
      <c r="V1175" s="49">
        <f>IF(B1175="","",IF(O1175&lt;&gt;"Completed",IF(T1175&gt;0,"Deposit","—"),IF(U1175&lt;=0.005,"Paid",IF(T1175&gt;0,"Partial","Unpaid"))))</f>
        <v/>
      </c>
      <c r="W1175" s="55">
        <f>IF(B1175="","",IFERROR(1/(1/INDEX('STAFF &amp; TASKS'!$C$5:$C$24,MATCH(H1175,'STAFF &amp; TASKS'!$A$5:$A$24,0))),PayRate))</f>
        <v/>
      </c>
      <c r="X1175" s="55">
        <f>IF(B1175="","",IF(OR(O1175="Cancelled",O1175="No-Show"),"",ROUND(R1175*W1175*(1+Burden),2)))</f>
        <v/>
      </c>
      <c r="Y1175" s="55">
        <f>IF(B1175="","",IF(OR(O1175="Cancelled",O1175="No-Show"),"",IF(N1175&lt;&gt;"",N1175,ROUND(R1175*SupHr*IFERROR(INDEX('PRICING'!$G$7:$G$16,MATCH(F1175,'PRICING'!$A$7:$A$16,0)),1),2))))</f>
        <v/>
      </c>
      <c r="Z1175" s="98">
        <f>IF(B1175="","",SUMIFS('MILEAGE'!$J$5:$J$1504,'MILEAGE'!$B$5:$B$1504,A1175))</f>
        <v/>
      </c>
      <c r="AA1175" s="55">
        <f>IF(B1175="","",ROUND(Z1175*MileRate,2))</f>
        <v/>
      </c>
      <c r="AB1175" s="55">
        <f>IF(B1175="","",SUMIFS('REVENUE'!$J$5:$J$1504,'REVENUE'!$B$5:$B$1504,A1175))</f>
        <v/>
      </c>
      <c r="AC1175" s="55">
        <f>IF(L1175="","",IF(OR(O1175="Cancelled",O1175="No-Show"),"",L1175-N(X1175)-N(Y1175)-AA1175-AB1175))</f>
        <v/>
      </c>
      <c r="AD1175" s="99">
        <f>IF(OR(AC1175="",N(L1175)=0),"",AC1175/L1175)</f>
        <v/>
      </c>
      <c r="AE1175" s="55">
        <f>IF(OR(AC1175="",N(R1175)=0),"",L1175/R1175)</f>
        <v/>
      </c>
      <c r="AF1175" s="100">
        <f>IF(OR(N(K1175)=0,N(J1175)+N(Q1175)=0),"",K1175-IF(N(J1175)&gt;0,J1175,Q1175))</f>
        <v/>
      </c>
      <c r="AG1175" s="99">
        <f>IF(B1175="","",IFERROR(AVERAGEIFS('QUALITY CONTROL'!$M$5:$M$304,'QUALITY CONTROL'!$B$5:$B$304,A1175),""))</f>
        <v/>
      </c>
      <c r="AH1175" s="51">
        <f>IF(B1175="","",DATE(YEAR(B1175),MONTH(B1175),1))</f>
        <v/>
      </c>
      <c r="AI1175" s="49">
        <f>IF(D1175="","",IFERROR(INDEX('CUSTOMERS'!$E$5:$E$404,MATCH(D1175,'CUSTOMERS'!$B$5:$B$404,0)),""))</f>
        <v/>
      </c>
      <c r="AJ1175" s="49">
        <f>IF(B1175="","",N(C1175))</f>
        <v/>
      </c>
      <c r="AK1175" s="49">
        <f>IF(OR(B1175="",O1175="Cancelled",O1175="Rescheduled"),"",B1175&amp;"|"&amp;(COUNTIFS('JOBS'!$B$5:$B$1504,B1175,'JOBS'!$AJ$5:$AJ$1504,"&lt;"&amp;AJ1175,'JOBS'!$O$5:$O$1504,"&lt;&gt;Cancelled",'JOBS'!$O$5:$O$1504,"&lt;&gt;Rescheduled")+COUNTIFS($B$5:B1175,B1175,$AJ$5:AJ1175,AJ1175,$O$5:O1175,"&lt;&gt;Cancelled",$O$5:O1175,"&lt;&gt;Rescheduled")))</f>
        <v/>
      </c>
      <c r="AL1175" s="49">
        <f>IF(N(U1175)&lt;=0.005,"",COUNTIFS('JOBS'!$U$5:$U$1504,"&gt;0.005",'JOBS'!$B$5:$B$1504,"&lt;"&amp;B1175)+COUNTIFS($U$5:U1175,"&gt;0.005",$B$5:B1175,B1175))</f>
        <v/>
      </c>
    </row>
    <row r="1176">
      <c r="A1176" s="46" t="inlineStr">
        <is>
          <t>J-1172</t>
        </is>
      </c>
      <c r="B1176" s="47" t="n"/>
      <c r="C1176" s="94" t="n"/>
      <c r="D1176" s="38" t="n"/>
      <c r="E1176" s="38" t="n"/>
      <c r="F1176" s="38" t="n"/>
      <c r="G1176" s="38" t="n"/>
      <c r="H1176" s="38" t="n"/>
      <c r="I1176" s="57" t="n"/>
      <c r="J1176" s="95" t="n"/>
      <c r="K1176" s="95" t="n"/>
      <c r="L1176" s="48" t="n"/>
      <c r="M1176" s="96" t="n"/>
      <c r="N1176" s="48" t="n"/>
      <c r="O1176" s="38" t="n"/>
      <c r="P1176" s="38" t="n"/>
      <c r="Q1176" s="97">
        <f>IF(OR(F1176="",E1176=""),"",IFERROR(IF(INDEX('PROPERTIES'!$F$5:$F$404,MATCH(E1176,'PROPERTIES'!$B$5:$B$404,0))=0,"",ROUND((INDEX('PROPERTIES'!$F$5:$F$404,MATCH(E1176,'PROPERTIES'!$B$5:$B$404,0))/INDEX('PRICING'!$C$7:$C$16,MATCH(F1176,'PRICING'!$A$7:$A$16,0))+INDEX('PROPERTIES'!$G$5:$G$404,MATCH(E1176,'PROPERTIES'!$B$5:$B$404,0))*INDEX('PRICING'!$D$7:$D$16,MATCH(F1176,'PRICING'!$A$7:$A$16,0))/60+INDEX('PROPERTIES'!$H$5:$H$404,MATCH(E1176,'PROPERTIES'!$B$5:$B$404,0))*INDEX('PRICING'!$E$7:$E$16,MATCH(F1176,'PRICING'!$A$7:$A$16,0))/60+INDEX('PRICING'!$F$7:$F$16,MATCH(F1176,'PRICING'!$A$7:$A$16,0))/60),2)),""))</f>
        <v/>
      </c>
      <c r="R1176" s="97">
        <f>IF(B1176="","",IF(N(K1176)&gt;0,K1176,IF(N(J1176)&gt;0,J1176,N(Q1176))))</f>
        <v/>
      </c>
      <c r="S1176" s="55">
        <f>IF(L1176="","",ROUND(L1176*(1+N(M1176)),2))</f>
        <v/>
      </c>
      <c r="T1176" s="55">
        <f>IF(B1176="","",SUMIFS('REVENUE'!$C$5:$C$1504,'REVENUE'!$B$5:$B$1504,A1176))</f>
        <v/>
      </c>
      <c r="U1176" s="55">
        <f>IF(B1176="","",IF(O1176="Completed",MAX(0,N(S1176)-T1176),""))</f>
        <v/>
      </c>
      <c r="V1176" s="49">
        <f>IF(B1176="","",IF(O1176&lt;&gt;"Completed",IF(T1176&gt;0,"Deposit","—"),IF(U1176&lt;=0.005,"Paid",IF(T1176&gt;0,"Partial","Unpaid"))))</f>
        <v/>
      </c>
      <c r="W1176" s="55">
        <f>IF(B1176="","",IFERROR(1/(1/INDEX('STAFF &amp; TASKS'!$C$5:$C$24,MATCH(H1176,'STAFF &amp; TASKS'!$A$5:$A$24,0))),PayRate))</f>
        <v/>
      </c>
      <c r="X1176" s="55">
        <f>IF(B1176="","",IF(OR(O1176="Cancelled",O1176="No-Show"),"",ROUND(R1176*W1176*(1+Burden),2)))</f>
        <v/>
      </c>
      <c r="Y1176" s="55">
        <f>IF(B1176="","",IF(OR(O1176="Cancelled",O1176="No-Show"),"",IF(N1176&lt;&gt;"",N1176,ROUND(R1176*SupHr*IFERROR(INDEX('PRICING'!$G$7:$G$16,MATCH(F1176,'PRICING'!$A$7:$A$16,0)),1),2))))</f>
        <v/>
      </c>
      <c r="Z1176" s="98">
        <f>IF(B1176="","",SUMIFS('MILEAGE'!$J$5:$J$1504,'MILEAGE'!$B$5:$B$1504,A1176))</f>
        <v/>
      </c>
      <c r="AA1176" s="55">
        <f>IF(B1176="","",ROUND(Z1176*MileRate,2))</f>
        <v/>
      </c>
      <c r="AB1176" s="55">
        <f>IF(B1176="","",SUMIFS('REVENUE'!$J$5:$J$1504,'REVENUE'!$B$5:$B$1504,A1176))</f>
        <v/>
      </c>
      <c r="AC1176" s="55">
        <f>IF(L1176="","",IF(OR(O1176="Cancelled",O1176="No-Show"),"",L1176-N(X1176)-N(Y1176)-AA1176-AB1176))</f>
        <v/>
      </c>
      <c r="AD1176" s="99">
        <f>IF(OR(AC1176="",N(L1176)=0),"",AC1176/L1176)</f>
        <v/>
      </c>
      <c r="AE1176" s="55">
        <f>IF(OR(AC1176="",N(R1176)=0),"",L1176/R1176)</f>
        <v/>
      </c>
      <c r="AF1176" s="100">
        <f>IF(OR(N(K1176)=0,N(J1176)+N(Q1176)=0),"",K1176-IF(N(J1176)&gt;0,J1176,Q1176))</f>
        <v/>
      </c>
      <c r="AG1176" s="99">
        <f>IF(B1176="","",IFERROR(AVERAGEIFS('QUALITY CONTROL'!$M$5:$M$304,'QUALITY CONTROL'!$B$5:$B$304,A1176),""))</f>
        <v/>
      </c>
      <c r="AH1176" s="51">
        <f>IF(B1176="","",DATE(YEAR(B1176),MONTH(B1176),1))</f>
        <v/>
      </c>
      <c r="AI1176" s="49">
        <f>IF(D1176="","",IFERROR(INDEX('CUSTOMERS'!$E$5:$E$404,MATCH(D1176,'CUSTOMERS'!$B$5:$B$404,0)),""))</f>
        <v/>
      </c>
      <c r="AJ1176" s="49">
        <f>IF(B1176="","",N(C1176))</f>
        <v/>
      </c>
      <c r="AK1176" s="49">
        <f>IF(OR(B1176="",O1176="Cancelled",O1176="Rescheduled"),"",B1176&amp;"|"&amp;(COUNTIFS('JOBS'!$B$5:$B$1504,B1176,'JOBS'!$AJ$5:$AJ$1504,"&lt;"&amp;AJ1176,'JOBS'!$O$5:$O$1504,"&lt;&gt;Cancelled",'JOBS'!$O$5:$O$1504,"&lt;&gt;Rescheduled")+COUNTIFS($B$5:B1176,B1176,$AJ$5:AJ1176,AJ1176,$O$5:O1176,"&lt;&gt;Cancelled",$O$5:O1176,"&lt;&gt;Rescheduled")))</f>
        <v/>
      </c>
      <c r="AL1176" s="49">
        <f>IF(N(U1176)&lt;=0.005,"",COUNTIFS('JOBS'!$U$5:$U$1504,"&gt;0.005",'JOBS'!$B$5:$B$1504,"&lt;"&amp;B1176)+COUNTIFS($U$5:U1176,"&gt;0.005",$B$5:B1176,B1176))</f>
        <v/>
      </c>
    </row>
    <row r="1177">
      <c r="A1177" s="46" t="inlineStr">
        <is>
          <t>J-1173</t>
        </is>
      </c>
      <c r="B1177" s="47" t="n"/>
      <c r="C1177" s="94" t="n"/>
      <c r="D1177" s="38" t="n"/>
      <c r="E1177" s="38" t="n"/>
      <c r="F1177" s="38" t="n"/>
      <c r="G1177" s="38" t="n"/>
      <c r="H1177" s="38" t="n"/>
      <c r="I1177" s="57" t="n"/>
      <c r="J1177" s="95" t="n"/>
      <c r="K1177" s="95" t="n"/>
      <c r="L1177" s="48" t="n"/>
      <c r="M1177" s="96" t="n"/>
      <c r="N1177" s="48" t="n"/>
      <c r="O1177" s="38" t="n"/>
      <c r="P1177" s="38" t="n"/>
      <c r="Q1177" s="97">
        <f>IF(OR(F1177="",E1177=""),"",IFERROR(IF(INDEX('PROPERTIES'!$F$5:$F$404,MATCH(E1177,'PROPERTIES'!$B$5:$B$404,0))=0,"",ROUND((INDEX('PROPERTIES'!$F$5:$F$404,MATCH(E1177,'PROPERTIES'!$B$5:$B$404,0))/INDEX('PRICING'!$C$7:$C$16,MATCH(F1177,'PRICING'!$A$7:$A$16,0))+INDEX('PROPERTIES'!$G$5:$G$404,MATCH(E1177,'PROPERTIES'!$B$5:$B$404,0))*INDEX('PRICING'!$D$7:$D$16,MATCH(F1177,'PRICING'!$A$7:$A$16,0))/60+INDEX('PROPERTIES'!$H$5:$H$404,MATCH(E1177,'PROPERTIES'!$B$5:$B$404,0))*INDEX('PRICING'!$E$7:$E$16,MATCH(F1177,'PRICING'!$A$7:$A$16,0))/60+INDEX('PRICING'!$F$7:$F$16,MATCH(F1177,'PRICING'!$A$7:$A$16,0))/60),2)),""))</f>
        <v/>
      </c>
      <c r="R1177" s="97">
        <f>IF(B1177="","",IF(N(K1177)&gt;0,K1177,IF(N(J1177)&gt;0,J1177,N(Q1177))))</f>
        <v/>
      </c>
      <c r="S1177" s="55">
        <f>IF(L1177="","",ROUND(L1177*(1+N(M1177)),2))</f>
        <v/>
      </c>
      <c r="T1177" s="55">
        <f>IF(B1177="","",SUMIFS('REVENUE'!$C$5:$C$1504,'REVENUE'!$B$5:$B$1504,A1177))</f>
        <v/>
      </c>
      <c r="U1177" s="55">
        <f>IF(B1177="","",IF(O1177="Completed",MAX(0,N(S1177)-T1177),""))</f>
        <v/>
      </c>
      <c r="V1177" s="49">
        <f>IF(B1177="","",IF(O1177&lt;&gt;"Completed",IF(T1177&gt;0,"Deposit","—"),IF(U1177&lt;=0.005,"Paid",IF(T1177&gt;0,"Partial","Unpaid"))))</f>
        <v/>
      </c>
      <c r="W1177" s="55">
        <f>IF(B1177="","",IFERROR(1/(1/INDEX('STAFF &amp; TASKS'!$C$5:$C$24,MATCH(H1177,'STAFF &amp; TASKS'!$A$5:$A$24,0))),PayRate))</f>
        <v/>
      </c>
      <c r="X1177" s="55">
        <f>IF(B1177="","",IF(OR(O1177="Cancelled",O1177="No-Show"),"",ROUND(R1177*W1177*(1+Burden),2)))</f>
        <v/>
      </c>
      <c r="Y1177" s="55">
        <f>IF(B1177="","",IF(OR(O1177="Cancelled",O1177="No-Show"),"",IF(N1177&lt;&gt;"",N1177,ROUND(R1177*SupHr*IFERROR(INDEX('PRICING'!$G$7:$G$16,MATCH(F1177,'PRICING'!$A$7:$A$16,0)),1),2))))</f>
        <v/>
      </c>
      <c r="Z1177" s="98">
        <f>IF(B1177="","",SUMIFS('MILEAGE'!$J$5:$J$1504,'MILEAGE'!$B$5:$B$1504,A1177))</f>
        <v/>
      </c>
      <c r="AA1177" s="55">
        <f>IF(B1177="","",ROUND(Z1177*MileRate,2))</f>
        <v/>
      </c>
      <c r="AB1177" s="55">
        <f>IF(B1177="","",SUMIFS('REVENUE'!$J$5:$J$1504,'REVENUE'!$B$5:$B$1504,A1177))</f>
        <v/>
      </c>
      <c r="AC1177" s="55">
        <f>IF(L1177="","",IF(OR(O1177="Cancelled",O1177="No-Show"),"",L1177-N(X1177)-N(Y1177)-AA1177-AB1177))</f>
        <v/>
      </c>
      <c r="AD1177" s="99">
        <f>IF(OR(AC1177="",N(L1177)=0),"",AC1177/L1177)</f>
        <v/>
      </c>
      <c r="AE1177" s="55">
        <f>IF(OR(AC1177="",N(R1177)=0),"",L1177/R1177)</f>
        <v/>
      </c>
      <c r="AF1177" s="100">
        <f>IF(OR(N(K1177)=0,N(J1177)+N(Q1177)=0),"",K1177-IF(N(J1177)&gt;0,J1177,Q1177))</f>
        <v/>
      </c>
      <c r="AG1177" s="99">
        <f>IF(B1177="","",IFERROR(AVERAGEIFS('QUALITY CONTROL'!$M$5:$M$304,'QUALITY CONTROL'!$B$5:$B$304,A1177),""))</f>
        <v/>
      </c>
      <c r="AH1177" s="51">
        <f>IF(B1177="","",DATE(YEAR(B1177),MONTH(B1177),1))</f>
        <v/>
      </c>
      <c r="AI1177" s="49">
        <f>IF(D1177="","",IFERROR(INDEX('CUSTOMERS'!$E$5:$E$404,MATCH(D1177,'CUSTOMERS'!$B$5:$B$404,0)),""))</f>
        <v/>
      </c>
      <c r="AJ1177" s="49">
        <f>IF(B1177="","",N(C1177))</f>
        <v/>
      </c>
      <c r="AK1177" s="49">
        <f>IF(OR(B1177="",O1177="Cancelled",O1177="Rescheduled"),"",B1177&amp;"|"&amp;(COUNTIFS('JOBS'!$B$5:$B$1504,B1177,'JOBS'!$AJ$5:$AJ$1504,"&lt;"&amp;AJ1177,'JOBS'!$O$5:$O$1504,"&lt;&gt;Cancelled",'JOBS'!$O$5:$O$1504,"&lt;&gt;Rescheduled")+COUNTIFS($B$5:B1177,B1177,$AJ$5:AJ1177,AJ1177,$O$5:O1177,"&lt;&gt;Cancelled",$O$5:O1177,"&lt;&gt;Rescheduled")))</f>
        <v/>
      </c>
      <c r="AL1177" s="49">
        <f>IF(N(U1177)&lt;=0.005,"",COUNTIFS('JOBS'!$U$5:$U$1504,"&gt;0.005",'JOBS'!$B$5:$B$1504,"&lt;"&amp;B1177)+COUNTIFS($U$5:U1177,"&gt;0.005",$B$5:B1177,B1177))</f>
        <v/>
      </c>
    </row>
    <row r="1178">
      <c r="A1178" s="46" t="inlineStr">
        <is>
          <t>J-1174</t>
        </is>
      </c>
      <c r="B1178" s="47" t="n"/>
      <c r="C1178" s="94" t="n"/>
      <c r="D1178" s="38" t="n"/>
      <c r="E1178" s="38" t="n"/>
      <c r="F1178" s="38" t="n"/>
      <c r="G1178" s="38" t="n"/>
      <c r="H1178" s="38" t="n"/>
      <c r="I1178" s="57" t="n"/>
      <c r="J1178" s="95" t="n"/>
      <c r="K1178" s="95" t="n"/>
      <c r="L1178" s="48" t="n"/>
      <c r="M1178" s="96" t="n"/>
      <c r="N1178" s="48" t="n"/>
      <c r="O1178" s="38" t="n"/>
      <c r="P1178" s="38" t="n"/>
      <c r="Q1178" s="97">
        <f>IF(OR(F1178="",E1178=""),"",IFERROR(IF(INDEX('PROPERTIES'!$F$5:$F$404,MATCH(E1178,'PROPERTIES'!$B$5:$B$404,0))=0,"",ROUND((INDEX('PROPERTIES'!$F$5:$F$404,MATCH(E1178,'PROPERTIES'!$B$5:$B$404,0))/INDEX('PRICING'!$C$7:$C$16,MATCH(F1178,'PRICING'!$A$7:$A$16,0))+INDEX('PROPERTIES'!$G$5:$G$404,MATCH(E1178,'PROPERTIES'!$B$5:$B$404,0))*INDEX('PRICING'!$D$7:$D$16,MATCH(F1178,'PRICING'!$A$7:$A$16,0))/60+INDEX('PROPERTIES'!$H$5:$H$404,MATCH(E1178,'PROPERTIES'!$B$5:$B$404,0))*INDEX('PRICING'!$E$7:$E$16,MATCH(F1178,'PRICING'!$A$7:$A$16,0))/60+INDEX('PRICING'!$F$7:$F$16,MATCH(F1178,'PRICING'!$A$7:$A$16,0))/60),2)),""))</f>
        <v/>
      </c>
      <c r="R1178" s="97">
        <f>IF(B1178="","",IF(N(K1178)&gt;0,K1178,IF(N(J1178)&gt;0,J1178,N(Q1178))))</f>
        <v/>
      </c>
      <c r="S1178" s="55">
        <f>IF(L1178="","",ROUND(L1178*(1+N(M1178)),2))</f>
        <v/>
      </c>
      <c r="T1178" s="55">
        <f>IF(B1178="","",SUMIFS('REVENUE'!$C$5:$C$1504,'REVENUE'!$B$5:$B$1504,A1178))</f>
        <v/>
      </c>
      <c r="U1178" s="55">
        <f>IF(B1178="","",IF(O1178="Completed",MAX(0,N(S1178)-T1178),""))</f>
        <v/>
      </c>
      <c r="V1178" s="49">
        <f>IF(B1178="","",IF(O1178&lt;&gt;"Completed",IF(T1178&gt;0,"Deposit","—"),IF(U1178&lt;=0.005,"Paid",IF(T1178&gt;0,"Partial","Unpaid"))))</f>
        <v/>
      </c>
      <c r="W1178" s="55">
        <f>IF(B1178="","",IFERROR(1/(1/INDEX('STAFF &amp; TASKS'!$C$5:$C$24,MATCH(H1178,'STAFF &amp; TASKS'!$A$5:$A$24,0))),PayRate))</f>
        <v/>
      </c>
      <c r="X1178" s="55">
        <f>IF(B1178="","",IF(OR(O1178="Cancelled",O1178="No-Show"),"",ROUND(R1178*W1178*(1+Burden),2)))</f>
        <v/>
      </c>
      <c r="Y1178" s="55">
        <f>IF(B1178="","",IF(OR(O1178="Cancelled",O1178="No-Show"),"",IF(N1178&lt;&gt;"",N1178,ROUND(R1178*SupHr*IFERROR(INDEX('PRICING'!$G$7:$G$16,MATCH(F1178,'PRICING'!$A$7:$A$16,0)),1),2))))</f>
        <v/>
      </c>
      <c r="Z1178" s="98">
        <f>IF(B1178="","",SUMIFS('MILEAGE'!$J$5:$J$1504,'MILEAGE'!$B$5:$B$1504,A1178))</f>
        <v/>
      </c>
      <c r="AA1178" s="55">
        <f>IF(B1178="","",ROUND(Z1178*MileRate,2))</f>
        <v/>
      </c>
      <c r="AB1178" s="55">
        <f>IF(B1178="","",SUMIFS('REVENUE'!$J$5:$J$1504,'REVENUE'!$B$5:$B$1504,A1178))</f>
        <v/>
      </c>
      <c r="AC1178" s="55">
        <f>IF(L1178="","",IF(OR(O1178="Cancelled",O1178="No-Show"),"",L1178-N(X1178)-N(Y1178)-AA1178-AB1178))</f>
        <v/>
      </c>
      <c r="AD1178" s="99">
        <f>IF(OR(AC1178="",N(L1178)=0),"",AC1178/L1178)</f>
        <v/>
      </c>
      <c r="AE1178" s="55">
        <f>IF(OR(AC1178="",N(R1178)=0),"",L1178/R1178)</f>
        <v/>
      </c>
      <c r="AF1178" s="100">
        <f>IF(OR(N(K1178)=0,N(J1178)+N(Q1178)=0),"",K1178-IF(N(J1178)&gt;0,J1178,Q1178))</f>
        <v/>
      </c>
      <c r="AG1178" s="99">
        <f>IF(B1178="","",IFERROR(AVERAGEIFS('QUALITY CONTROL'!$M$5:$M$304,'QUALITY CONTROL'!$B$5:$B$304,A1178),""))</f>
        <v/>
      </c>
      <c r="AH1178" s="51">
        <f>IF(B1178="","",DATE(YEAR(B1178),MONTH(B1178),1))</f>
        <v/>
      </c>
      <c r="AI1178" s="49">
        <f>IF(D1178="","",IFERROR(INDEX('CUSTOMERS'!$E$5:$E$404,MATCH(D1178,'CUSTOMERS'!$B$5:$B$404,0)),""))</f>
        <v/>
      </c>
      <c r="AJ1178" s="49">
        <f>IF(B1178="","",N(C1178))</f>
        <v/>
      </c>
      <c r="AK1178" s="49">
        <f>IF(OR(B1178="",O1178="Cancelled",O1178="Rescheduled"),"",B1178&amp;"|"&amp;(COUNTIFS('JOBS'!$B$5:$B$1504,B1178,'JOBS'!$AJ$5:$AJ$1504,"&lt;"&amp;AJ1178,'JOBS'!$O$5:$O$1504,"&lt;&gt;Cancelled",'JOBS'!$O$5:$O$1504,"&lt;&gt;Rescheduled")+COUNTIFS($B$5:B1178,B1178,$AJ$5:AJ1178,AJ1178,$O$5:O1178,"&lt;&gt;Cancelled",$O$5:O1178,"&lt;&gt;Rescheduled")))</f>
        <v/>
      </c>
      <c r="AL1178" s="49">
        <f>IF(N(U1178)&lt;=0.005,"",COUNTIFS('JOBS'!$U$5:$U$1504,"&gt;0.005",'JOBS'!$B$5:$B$1504,"&lt;"&amp;B1178)+COUNTIFS($U$5:U1178,"&gt;0.005",$B$5:B1178,B1178))</f>
        <v/>
      </c>
    </row>
    <row r="1179">
      <c r="A1179" s="46" t="inlineStr">
        <is>
          <t>J-1175</t>
        </is>
      </c>
      <c r="B1179" s="47" t="n"/>
      <c r="C1179" s="94" t="n"/>
      <c r="D1179" s="38" t="n"/>
      <c r="E1179" s="38" t="n"/>
      <c r="F1179" s="38" t="n"/>
      <c r="G1179" s="38" t="n"/>
      <c r="H1179" s="38" t="n"/>
      <c r="I1179" s="57" t="n"/>
      <c r="J1179" s="95" t="n"/>
      <c r="K1179" s="95" t="n"/>
      <c r="L1179" s="48" t="n"/>
      <c r="M1179" s="96" t="n"/>
      <c r="N1179" s="48" t="n"/>
      <c r="O1179" s="38" t="n"/>
      <c r="P1179" s="38" t="n"/>
      <c r="Q1179" s="97">
        <f>IF(OR(F1179="",E1179=""),"",IFERROR(IF(INDEX('PROPERTIES'!$F$5:$F$404,MATCH(E1179,'PROPERTIES'!$B$5:$B$404,0))=0,"",ROUND((INDEX('PROPERTIES'!$F$5:$F$404,MATCH(E1179,'PROPERTIES'!$B$5:$B$404,0))/INDEX('PRICING'!$C$7:$C$16,MATCH(F1179,'PRICING'!$A$7:$A$16,0))+INDEX('PROPERTIES'!$G$5:$G$404,MATCH(E1179,'PROPERTIES'!$B$5:$B$404,0))*INDEX('PRICING'!$D$7:$D$16,MATCH(F1179,'PRICING'!$A$7:$A$16,0))/60+INDEX('PROPERTIES'!$H$5:$H$404,MATCH(E1179,'PROPERTIES'!$B$5:$B$404,0))*INDEX('PRICING'!$E$7:$E$16,MATCH(F1179,'PRICING'!$A$7:$A$16,0))/60+INDEX('PRICING'!$F$7:$F$16,MATCH(F1179,'PRICING'!$A$7:$A$16,0))/60),2)),""))</f>
        <v/>
      </c>
      <c r="R1179" s="97">
        <f>IF(B1179="","",IF(N(K1179)&gt;0,K1179,IF(N(J1179)&gt;0,J1179,N(Q1179))))</f>
        <v/>
      </c>
      <c r="S1179" s="55">
        <f>IF(L1179="","",ROUND(L1179*(1+N(M1179)),2))</f>
        <v/>
      </c>
      <c r="T1179" s="55">
        <f>IF(B1179="","",SUMIFS('REVENUE'!$C$5:$C$1504,'REVENUE'!$B$5:$B$1504,A1179))</f>
        <v/>
      </c>
      <c r="U1179" s="55">
        <f>IF(B1179="","",IF(O1179="Completed",MAX(0,N(S1179)-T1179),""))</f>
        <v/>
      </c>
      <c r="V1179" s="49">
        <f>IF(B1179="","",IF(O1179&lt;&gt;"Completed",IF(T1179&gt;0,"Deposit","—"),IF(U1179&lt;=0.005,"Paid",IF(T1179&gt;0,"Partial","Unpaid"))))</f>
        <v/>
      </c>
      <c r="W1179" s="55">
        <f>IF(B1179="","",IFERROR(1/(1/INDEX('STAFF &amp; TASKS'!$C$5:$C$24,MATCH(H1179,'STAFF &amp; TASKS'!$A$5:$A$24,0))),PayRate))</f>
        <v/>
      </c>
      <c r="X1179" s="55">
        <f>IF(B1179="","",IF(OR(O1179="Cancelled",O1179="No-Show"),"",ROUND(R1179*W1179*(1+Burden),2)))</f>
        <v/>
      </c>
      <c r="Y1179" s="55">
        <f>IF(B1179="","",IF(OR(O1179="Cancelled",O1179="No-Show"),"",IF(N1179&lt;&gt;"",N1179,ROUND(R1179*SupHr*IFERROR(INDEX('PRICING'!$G$7:$G$16,MATCH(F1179,'PRICING'!$A$7:$A$16,0)),1),2))))</f>
        <v/>
      </c>
      <c r="Z1179" s="98">
        <f>IF(B1179="","",SUMIFS('MILEAGE'!$J$5:$J$1504,'MILEAGE'!$B$5:$B$1504,A1179))</f>
        <v/>
      </c>
      <c r="AA1179" s="55">
        <f>IF(B1179="","",ROUND(Z1179*MileRate,2))</f>
        <v/>
      </c>
      <c r="AB1179" s="55">
        <f>IF(B1179="","",SUMIFS('REVENUE'!$J$5:$J$1504,'REVENUE'!$B$5:$B$1504,A1179))</f>
        <v/>
      </c>
      <c r="AC1179" s="55">
        <f>IF(L1179="","",IF(OR(O1179="Cancelled",O1179="No-Show"),"",L1179-N(X1179)-N(Y1179)-AA1179-AB1179))</f>
        <v/>
      </c>
      <c r="AD1179" s="99">
        <f>IF(OR(AC1179="",N(L1179)=0),"",AC1179/L1179)</f>
        <v/>
      </c>
      <c r="AE1179" s="55">
        <f>IF(OR(AC1179="",N(R1179)=0),"",L1179/R1179)</f>
        <v/>
      </c>
      <c r="AF1179" s="100">
        <f>IF(OR(N(K1179)=0,N(J1179)+N(Q1179)=0),"",K1179-IF(N(J1179)&gt;0,J1179,Q1179))</f>
        <v/>
      </c>
      <c r="AG1179" s="99">
        <f>IF(B1179="","",IFERROR(AVERAGEIFS('QUALITY CONTROL'!$M$5:$M$304,'QUALITY CONTROL'!$B$5:$B$304,A1179),""))</f>
        <v/>
      </c>
      <c r="AH1179" s="51">
        <f>IF(B1179="","",DATE(YEAR(B1179),MONTH(B1179),1))</f>
        <v/>
      </c>
      <c r="AI1179" s="49">
        <f>IF(D1179="","",IFERROR(INDEX('CUSTOMERS'!$E$5:$E$404,MATCH(D1179,'CUSTOMERS'!$B$5:$B$404,0)),""))</f>
        <v/>
      </c>
      <c r="AJ1179" s="49">
        <f>IF(B1179="","",N(C1179))</f>
        <v/>
      </c>
      <c r="AK1179" s="49">
        <f>IF(OR(B1179="",O1179="Cancelled",O1179="Rescheduled"),"",B1179&amp;"|"&amp;(COUNTIFS('JOBS'!$B$5:$B$1504,B1179,'JOBS'!$AJ$5:$AJ$1504,"&lt;"&amp;AJ1179,'JOBS'!$O$5:$O$1504,"&lt;&gt;Cancelled",'JOBS'!$O$5:$O$1504,"&lt;&gt;Rescheduled")+COUNTIFS($B$5:B1179,B1179,$AJ$5:AJ1179,AJ1179,$O$5:O1179,"&lt;&gt;Cancelled",$O$5:O1179,"&lt;&gt;Rescheduled")))</f>
        <v/>
      </c>
      <c r="AL1179" s="49">
        <f>IF(N(U1179)&lt;=0.005,"",COUNTIFS('JOBS'!$U$5:$U$1504,"&gt;0.005",'JOBS'!$B$5:$B$1504,"&lt;"&amp;B1179)+COUNTIFS($U$5:U1179,"&gt;0.005",$B$5:B1179,B1179))</f>
        <v/>
      </c>
    </row>
    <row r="1180">
      <c r="A1180" s="46" t="inlineStr">
        <is>
          <t>J-1176</t>
        </is>
      </c>
      <c r="B1180" s="47" t="n"/>
      <c r="C1180" s="94" t="n"/>
      <c r="D1180" s="38" t="n"/>
      <c r="E1180" s="38" t="n"/>
      <c r="F1180" s="38" t="n"/>
      <c r="G1180" s="38" t="n"/>
      <c r="H1180" s="38" t="n"/>
      <c r="I1180" s="57" t="n"/>
      <c r="J1180" s="95" t="n"/>
      <c r="K1180" s="95" t="n"/>
      <c r="L1180" s="48" t="n"/>
      <c r="M1180" s="96" t="n"/>
      <c r="N1180" s="48" t="n"/>
      <c r="O1180" s="38" t="n"/>
      <c r="P1180" s="38" t="n"/>
      <c r="Q1180" s="97">
        <f>IF(OR(F1180="",E1180=""),"",IFERROR(IF(INDEX('PROPERTIES'!$F$5:$F$404,MATCH(E1180,'PROPERTIES'!$B$5:$B$404,0))=0,"",ROUND((INDEX('PROPERTIES'!$F$5:$F$404,MATCH(E1180,'PROPERTIES'!$B$5:$B$404,0))/INDEX('PRICING'!$C$7:$C$16,MATCH(F1180,'PRICING'!$A$7:$A$16,0))+INDEX('PROPERTIES'!$G$5:$G$404,MATCH(E1180,'PROPERTIES'!$B$5:$B$404,0))*INDEX('PRICING'!$D$7:$D$16,MATCH(F1180,'PRICING'!$A$7:$A$16,0))/60+INDEX('PROPERTIES'!$H$5:$H$404,MATCH(E1180,'PROPERTIES'!$B$5:$B$404,0))*INDEX('PRICING'!$E$7:$E$16,MATCH(F1180,'PRICING'!$A$7:$A$16,0))/60+INDEX('PRICING'!$F$7:$F$16,MATCH(F1180,'PRICING'!$A$7:$A$16,0))/60),2)),""))</f>
        <v/>
      </c>
      <c r="R1180" s="97">
        <f>IF(B1180="","",IF(N(K1180)&gt;0,K1180,IF(N(J1180)&gt;0,J1180,N(Q1180))))</f>
        <v/>
      </c>
      <c r="S1180" s="55">
        <f>IF(L1180="","",ROUND(L1180*(1+N(M1180)),2))</f>
        <v/>
      </c>
      <c r="T1180" s="55">
        <f>IF(B1180="","",SUMIFS('REVENUE'!$C$5:$C$1504,'REVENUE'!$B$5:$B$1504,A1180))</f>
        <v/>
      </c>
      <c r="U1180" s="55">
        <f>IF(B1180="","",IF(O1180="Completed",MAX(0,N(S1180)-T1180),""))</f>
        <v/>
      </c>
      <c r="V1180" s="49">
        <f>IF(B1180="","",IF(O1180&lt;&gt;"Completed",IF(T1180&gt;0,"Deposit","—"),IF(U1180&lt;=0.005,"Paid",IF(T1180&gt;0,"Partial","Unpaid"))))</f>
        <v/>
      </c>
      <c r="W1180" s="55">
        <f>IF(B1180="","",IFERROR(1/(1/INDEX('STAFF &amp; TASKS'!$C$5:$C$24,MATCH(H1180,'STAFF &amp; TASKS'!$A$5:$A$24,0))),PayRate))</f>
        <v/>
      </c>
      <c r="X1180" s="55">
        <f>IF(B1180="","",IF(OR(O1180="Cancelled",O1180="No-Show"),"",ROUND(R1180*W1180*(1+Burden),2)))</f>
        <v/>
      </c>
      <c r="Y1180" s="55">
        <f>IF(B1180="","",IF(OR(O1180="Cancelled",O1180="No-Show"),"",IF(N1180&lt;&gt;"",N1180,ROUND(R1180*SupHr*IFERROR(INDEX('PRICING'!$G$7:$G$16,MATCH(F1180,'PRICING'!$A$7:$A$16,0)),1),2))))</f>
        <v/>
      </c>
      <c r="Z1180" s="98">
        <f>IF(B1180="","",SUMIFS('MILEAGE'!$J$5:$J$1504,'MILEAGE'!$B$5:$B$1504,A1180))</f>
        <v/>
      </c>
      <c r="AA1180" s="55">
        <f>IF(B1180="","",ROUND(Z1180*MileRate,2))</f>
        <v/>
      </c>
      <c r="AB1180" s="55">
        <f>IF(B1180="","",SUMIFS('REVENUE'!$J$5:$J$1504,'REVENUE'!$B$5:$B$1504,A1180))</f>
        <v/>
      </c>
      <c r="AC1180" s="55">
        <f>IF(L1180="","",IF(OR(O1180="Cancelled",O1180="No-Show"),"",L1180-N(X1180)-N(Y1180)-AA1180-AB1180))</f>
        <v/>
      </c>
      <c r="AD1180" s="99">
        <f>IF(OR(AC1180="",N(L1180)=0),"",AC1180/L1180)</f>
        <v/>
      </c>
      <c r="AE1180" s="55">
        <f>IF(OR(AC1180="",N(R1180)=0),"",L1180/R1180)</f>
        <v/>
      </c>
      <c r="AF1180" s="100">
        <f>IF(OR(N(K1180)=0,N(J1180)+N(Q1180)=0),"",K1180-IF(N(J1180)&gt;0,J1180,Q1180))</f>
        <v/>
      </c>
      <c r="AG1180" s="99">
        <f>IF(B1180="","",IFERROR(AVERAGEIFS('QUALITY CONTROL'!$M$5:$M$304,'QUALITY CONTROL'!$B$5:$B$304,A1180),""))</f>
        <v/>
      </c>
      <c r="AH1180" s="51">
        <f>IF(B1180="","",DATE(YEAR(B1180),MONTH(B1180),1))</f>
        <v/>
      </c>
      <c r="AI1180" s="49">
        <f>IF(D1180="","",IFERROR(INDEX('CUSTOMERS'!$E$5:$E$404,MATCH(D1180,'CUSTOMERS'!$B$5:$B$404,0)),""))</f>
        <v/>
      </c>
      <c r="AJ1180" s="49">
        <f>IF(B1180="","",N(C1180))</f>
        <v/>
      </c>
      <c r="AK1180" s="49">
        <f>IF(OR(B1180="",O1180="Cancelled",O1180="Rescheduled"),"",B1180&amp;"|"&amp;(COUNTIFS('JOBS'!$B$5:$B$1504,B1180,'JOBS'!$AJ$5:$AJ$1504,"&lt;"&amp;AJ1180,'JOBS'!$O$5:$O$1504,"&lt;&gt;Cancelled",'JOBS'!$O$5:$O$1504,"&lt;&gt;Rescheduled")+COUNTIFS($B$5:B1180,B1180,$AJ$5:AJ1180,AJ1180,$O$5:O1180,"&lt;&gt;Cancelled",$O$5:O1180,"&lt;&gt;Rescheduled")))</f>
        <v/>
      </c>
      <c r="AL1180" s="49">
        <f>IF(N(U1180)&lt;=0.005,"",COUNTIFS('JOBS'!$U$5:$U$1504,"&gt;0.005",'JOBS'!$B$5:$B$1504,"&lt;"&amp;B1180)+COUNTIFS($U$5:U1180,"&gt;0.005",$B$5:B1180,B1180))</f>
        <v/>
      </c>
    </row>
    <row r="1181">
      <c r="A1181" s="46" t="inlineStr">
        <is>
          <t>J-1177</t>
        </is>
      </c>
      <c r="B1181" s="47" t="n"/>
      <c r="C1181" s="94" t="n"/>
      <c r="D1181" s="38" t="n"/>
      <c r="E1181" s="38" t="n"/>
      <c r="F1181" s="38" t="n"/>
      <c r="G1181" s="38" t="n"/>
      <c r="H1181" s="38" t="n"/>
      <c r="I1181" s="57" t="n"/>
      <c r="J1181" s="95" t="n"/>
      <c r="K1181" s="95" t="n"/>
      <c r="L1181" s="48" t="n"/>
      <c r="M1181" s="96" t="n"/>
      <c r="N1181" s="48" t="n"/>
      <c r="O1181" s="38" t="n"/>
      <c r="P1181" s="38" t="n"/>
      <c r="Q1181" s="97">
        <f>IF(OR(F1181="",E1181=""),"",IFERROR(IF(INDEX('PROPERTIES'!$F$5:$F$404,MATCH(E1181,'PROPERTIES'!$B$5:$B$404,0))=0,"",ROUND((INDEX('PROPERTIES'!$F$5:$F$404,MATCH(E1181,'PROPERTIES'!$B$5:$B$404,0))/INDEX('PRICING'!$C$7:$C$16,MATCH(F1181,'PRICING'!$A$7:$A$16,0))+INDEX('PROPERTIES'!$G$5:$G$404,MATCH(E1181,'PROPERTIES'!$B$5:$B$404,0))*INDEX('PRICING'!$D$7:$D$16,MATCH(F1181,'PRICING'!$A$7:$A$16,0))/60+INDEX('PROPERTIES'!$H$5:$H$404,MATCH(E1181,'PROPERTIES'!$B$5:$B$404,0))*INDEX('PRICING'!$E$7:$E$16,MATCH(F1181,'PRICING'!$A$7:$A$16,0))/60+INDEX('PRICING'!$F$7:$F$16,MATCH(F1181,'PRICING'!$A$7:$A$16,0))/60),2)),""))</f>
        <v/>
      </c>
      <c r="R1181" s="97">
        <f>IF(B1181="","",IF(N(K1181)&gt;0,K1181,IF(N(J1181)&gt;0,J1181,N(Q1181))))</f>
        <v/>
      </c>
      <c r="S1181" s="55">
        <f>IF(L1181="","",ROUND(L1181*(1+N(M1181)),2))</f>
        <v/>
      </c>
      <c r="T1181" s="55">
        <f>IF(B1181="","",SUMIFS('REVENUE'!$C$5:$C$1504,'REVENUE'!$B$5:$B$1504,A1181))</f>
        <v/>
      </c>
      <c r="U1181" s="55">
        <f>IF(B1181="","",IF(O1181="Completed",MAX(0,N(S1181)-T1181),""))</f>
        <v/>
      </c>
      <c r="V1181" s="49">
        <f>IF(B1181="","",IF(O1181&lt;&gt;"Completed",IF(T1181&gt;0,"Deposit","—"),IF(U1181&lt;=0.005,"Paid",IF(T1181&gt;0,"Partial","Unpaid"))))</f>
        <v/>
      </c>
      <c r="W1181" s="55">
        <f>IF(B1181="","",IFERROR(1/(1/INDEX('STAFF &amp; TASKS'!$C$5:$C$24,MATCH(H1181,'STAFF &amp; TASKS'!$A$5:$A$24,0))),PayRate))</f>
        <v/>
      </c>
      <c r="X1181" s="55">
        <f>IF(B1181="","",IF(OR(O1181="Cancelled",O1181="No-Show"),"",ROUND(R1181*W1181*(1+Burden),2)))</f>
        <v/>
      </c>
      <c r="Y1181" s="55">
        <f>IF(B1181="","",IF(OR(O1181="Cancelled",O1181="No-Show"),"",IF(N1181&lt;&gt;"",N1181,ROUND(R1181*SupHr*IFERROR(INDEX('PRICING'!$G$7:$G$16,MATCH(F1181,'PRICING'!$A$7:$A$16,0)),1),2))))</f>
        <v/>
      </c>
      <c r="Z1181" s="98">
        <f>IF(B1181="","",SUMIFS('MILEAGE'!$J$5:$J$1504,'MILEAGE'!$B$5:$B$1504,A1181))</f>
        <v/>
      </c>
      <c r="AA1181" s="55">
        <f>IF(B1181="","",ROUND(Z1181*MileRate,2))</f>
        <v/>
      </c>
      <c r="AB1181" s="55">
        <f>IF(B1181="","",SUMIFS('REVENUE'!$J$5:$J$1504,'REVENUE'!$B$5:$B$1504,A1181))</f>
        <v/>
      </c>
      <c r="AC1181" s="55">
        <f>IF(L1181="","",IF(OR(O1181="Cancelled",O1181="No-Show"),"",L1181-N(X1181)-N(Y1181)-AA1181-AB1181))</f>
        <v/>
      </c>
      <c r="AD1181" s="99">
        <f>IF(OR(AC1181="",N(L1181)=0),"",AC1181/L1181)</f>
        <v/>
      </c>
      <c r="AE1181" s="55">
        <f>IF(OR(AC1181="",N(R1181)=0),"",L1181/R1181)</f>
        <v/>
      </c>
      <c r="AF1181" s="100">
        <f>IF(OR(N(K1181)=0,N(J1181)+N(Q1181)=0),"",K1181-IF(N(J1181)&gt;0,J1181,Q1181))</f>
        <v/>
      </c>
      <c r="AG1181" s="99">
        <f>IF(B1181="","",IFERROR(AVERAGEIFS('QUALITY CONTROL'!$M$5:$M$304,'QUALITY CONTROL'!$B$5:$B$304,A1181),""))</f>
        <v/>
      </c>
      <c r="AH1181" s="51">
        <f>IF(B1181="","",DATE(YEAR(B1181),MONTH(B1181),1))</f>
        <v/>
      </c>
      <c r="AI1181" s="49">
        <f>IF(D1181="","",IFERROR(INDEX('CUSTOMERS'!$E$5:$E$404,MATCH(D1181,'CUSTOMERS'!$B$5:$B$404,0)),""))</f>
        <v/>
      </c>
      <c r="AJ1181" s="49">
        <f>IF(B1181="","",N(C1181))</f>
        <v/>
      </c>
      <c r="AK1181" s="49">
        <f>IF(OR(B1181="",O1181="Cancelled",O1181="Rescheduled"),"",B1181&amp;"|"&amp;(COUNTIFS('JOBS'!$B$5:$B$1504,B1181,'JOBS'!$AJ$5:$AJ$1504,"&lt;"&amp;AJ1181,'JOBS'!$O$5:$O$1504,"&lt;&gt;Cancelled",'JOBS'!$O$5:$O$1504,"&lt;&gt;Rescheduled")+COUNTIFS($B$5:B1181,B1181,$AJ$5:AJ1181,AJ1181,$O$5:O1181,"&lt;&gt;Cancelled",$O$5:O1181,"&lt;&gt;Rescheduled")))</f>
        <v/>
      </c>
      <c r="AL1181" s="49">
        <f>IF(N(U1181)&lt;=0.005,"",COUNTIFS('JOBS'!$U$5:$U$1504,"&gt;0.005",'JOBS'!$B$5:$B$1504,"&lt;"&amp;B1181)+COUNTIFS($U$5:U1181,"&gt;0.005",$B$5:B1181,B1181))</f>
        <v/>
      </c>
    </row>
    <row r="1182">
      <c r="A1182" s="46" t="inlineStr">
        <is>
          <t>J-1178</t>
        </is>
      </c>
      <c r="B1182" s="47" t="n"/>
      <c r="C1182" s="94" t="n"/>
      <c r="D1182" s="38" t="n"/>
      <c r="E1182" s="38" t="n"/>
      <c r="F1182" s="38" t="n"/>
      <c r="G1182" s="38" t="n"/>
      <c r="H1182" s="38" t="n"/>
      <c r="I1182" s="57" t="n"/>
      <c r="J1182" s="95" t="n"/>
      <c r="K1182" s="95" t="n"/>
      <c r="L1182" s="48" t="n"/>
      <c r="M1182" s="96" t="n"/>
      <c r="N1182" s="48" t="n"/>
      <c r="O1182" s="38" t="n"/>
      <c r="P1182" s="38" t="n"/>
      <c r="Q1182" s="97">
        <f>IF(OR(F1182="",E1182=""),"",IFERROR(IF(INDEX('PROPERTIES'!$F$5:$F$404,MATCH(E1182,'PROPERTIES'!$B$5:$B$404,0))=0,"",ROUND((INDEX('PROPERTIES'!$F$5:$F$404,MATCH(E1182,'PROPERTIES'!$B$5:$B$404,0))/INDEX('PRICING'!$C$7:$C$16,MATCH(F1182,'PRICING'!$A$7:$A$16,0))+INDEX('PROPERTIES'!$G$5:$G$404,MATCH(E1182,'PROPERTIES'!$B$5:$B$404,0))*INDEX('PRICING'!$D$7:$D$16,MATCH(F1182,'PRICING'!$A$7:$A$16,0))/60+INDEX('PROPERTIES'!$H$5:$H$404,MATCH(E1182,'PROPERTIES'!$B$5:$B$404,0))*INDEX('PRICING'!$E$7:$E$16,MATCH(F1182,'PRICING'!$A$7:$A$16,0))/60+INDEX('PRICING'!$F$7:$F$16,MATCH(F1182,'PRICING'!$A$7:$A$16,0))/60),2)),""))</f>
        <v/>
      </c>
      <c r="R1182" s="97">
        <f>IF(B1182="","",IF(N(K1182)&gt;0,K1182,IF(N(J1182)&gt;0,J1182,N(Q1182))))</f>
        <v/>
      </c>
      <c r="S1182" s="55">
        <f>IF(L1182="","",ROUND(L1182*(1+N(M1182)),2))</f>
        <v/>
      </c>
      <c r="T1182" s="55">
        <f>IF(B1182="","",SUMIFS('REVENUE'!$C$5:$C$1504,'REVENUE'!$B$5:$B$1504,A1182))</f>
        <v/>
      </c>
      <c r="U1182" s="55">
        <f>IF(B1182="","",IF(O1182="Completed",MAX(0,N(S1182)-T1182),""))</f>
        <v/>
      </c>
      <c r="V1182" s="49">
        <f>IF(B1182="","",IF(O1182&lt;&gt;"Completed",IF(T1182&gt;0,"Deposit","—"),IF(U1182&lt;=0.005,"Paid",IF(T1182&gt;0,"Partial","Unpaid"))))</f>
        <v/>
      </c>
      <c r="W1182" s="55">
        <f>IF(B1182="","",IFERROR(1/(1/INDEX('STAFF &amp; TASKS'!$C$5:$C$24,MATCH(H1182,'STAFF &amp; TASKS'!$A$5:$A$24,0))),PayRate))</f>
        <v/>
      </c>
      <c r="X1182" s="55">
        <f>IF(B1182="","",IF(OR(O1182="Cancelled",O1182="No-Show"),"",ROUND(R1182*W1182*(1+Burden),2)))</f>
        <v/>
      </c>
      <c r="Y1182" s="55">
        <f>IF(B1182="","",IF(OR(O1182="Cancelled",O1182="No-Show"),"",IF(N1182&lt;&gt;"",N1182,ROUND(R1182*SupHr*IFERROR(INDEX('PRICING'!$G$7:$G$16,MATCH(F1182,'PRICING'!$A$7:$A$16,0)),1),2))))</f>
        <v/>
      </c>
      <c r="Z1182" s="98">
        <f>IF(B1182="","",SUMIFS('MILEAGE'!$J$5:$J$1504,'MILEAGE'!$B$5:$B$1504,A1182))</f>
        <v/>
      </c>
      <c r="AA1182" s="55">
        <f>IF(B1182="","",ROUND(Z1182*MileRate,2))</f>
        <v/>
      </c>
      <c r="AB1182" s="55">
        <f>IF(B1182="","",SUMIFS('REVENUE'!$J$5:$J$1504,'REVENUE'!$B$5:$B$1504,A1182))</f>
        <v/>
      </c>
      <c r="AC1182" s="55">
        <f>IF(L1182="","",IF(OR(O1182="Cancelled",O1182="No-Show"),"",L1182-N(X1182)-N(Y1182)-AA1182-AB1182))</f>
        <v/>
      </c>
      <c r="AD1182" s="99">
        <f>IF(OR(AC1182="",N(L1182)=0),"",AC1182/L1182)</f>
        <v/>
      </c>
      <c r="AE1182" s="55">
        <f>IF(OR(AC1182="",N(R1182)=0),"",L1182/R1182)</f>
        <v/>
      </c>
      <c r="AF1182" s="100">
        <f>IF(OR(N(K1182)=0,N(J1182)+N(Q1182)=0),"",K1182-IF(N(J1182)&gt;0,J1182,Q1182))</f>
        <v/>
      </c>
      <c r="AG1182" s="99">
        <f>IF(B1182="","",IFERROR(AVERAGEIFS('QUALITY CONTROL'!$M$5:$M$304,'QUALITY CONTROL'!$B$5:$B$304,A1182),""))</f>
        <v/>
      </c>
      <c r="AH1182" s="51">
        <f>IF(B1182="","",DATE(YEAR(B1182),MONTH(B1182),1))</f>
        <v/>
      </c>
      <c r="AI1182" s="49">
        <f>IF(D1182="","",IFERROR(INDEX('CUSTOMERS'!$E$5:$E$404,MATCH(D1182,'CUSTOMERS'!$B$5:$B$404,0)),""))</f>
        <v/>
      </c>
      <c r="AJ1182" s="49">
        <f>IF(B1182="","",N(C1182))</f>
        <v/>
      </c>
      <c r="AK1182" s="49">
        <f>IF(OR(B1182="",O1182="Cancelled",O1182="Rescheduled"),"",B1182&amp;"|"&amp;(COUNTIFS('JOBS'!$B$5:$B$1504,B1182,'JOBS'!$AJ$5:$AJ$1504,"&lt;"&amp;AJ1182,'JOBS'!$O$5:$O$1504,"&lt;&gt;Cancelled",'JOBS'!$O$5:$O$1504,"&lt;&gt;Rescheduled")+COUNTIFS($B$5:B1182,B1182,$AJ$5:AJ1182,AJ1182,$O$5:O1182,"&lt;&gt;Cancelled",$O$5:O1182,"&lt;&gt;Rescheduled")))</f>
        <v/>
      </c>
      <c r="AL1182" s="49">
        <f>IF(N(U1182)&lt;=0.005,"",COUNTIFS('JOBS'!$U$5:$U$1504,"&gt;0.005",'JOBS'!$B$5:$B$1504,"&lt;"&amp;B1182)+COUNTIFS($U$5:U1182,"&gt;0.005",$B$5:B1182,B1182))</f>
        <v/>
      </c>
    </row>
    <row r="1183">
      <c r="A1183" s="46" t="inlineStr">
        <is>
          <t>J-1179</t>
        </is>
      </c>
      <c r="B1183" s="47" t="n"/>
      <c r="C1183" s="94" t="n"/>
      <c r="D1183" s="38" t="n"/>
      <c r="E1183" s="38" t="n"/>
      <c r="F1183" s="38" t="n"/>
      <c r="G1183" s="38" t="n"/>
      <c r="H1183" s="38" t="n"/>
      <c r="I1183" s="57" t="n"/>
      <c r="J1183" s="95" t="n"/>
      <c r="K1183" s="95" t="n"/>
      <c r="L1183" s="48" t="n"/>
      <c r="M1183" s="96" t="n"/>
      <c r="N1183" s="48" t="n"/>
      <c r="O1183" s="38" t="n"/>
      <c r="P1183" s="38" t="n"/>
      <c r="Q1183" s="97">
        <f>IF(OR(F1183="",E1183=""),"",IFERROR(IF(INDEX('PROPERTIES'!$F$5:$F$404,MATCH(E1183,'PROPERTIES'!$B$5:$B$404,0))=0,"",ROUND((INDEX('PROPERTIES'!$F$5:$F$404,MATCH(E1183,'PROPERTIES'!$B$5:$B$404,0))/INDEX('PRICING'!$C$7:$C$16,MATCH(F1183,'PRICING'!$A$7:$A$16,0))+INDEX('PROPERTIES'!$G$5:$G$404,MATCH(E1183,'PROPERTIES'!$B$5:$B$404,0))*INDEX('PRICING'!$D$7:$D$16,MATCH(F1183,'PRICING'!$A$7:$A$16,0))/60+INDEX('PROPERTIES'!$H$5:$H$404,MATCH(E1183,'PROPERTIES'!$B$5:$B$404,0))*INDEX('PRICING'!$E$7:$E$16,MATCH(F1183,'PRICING'!$A$7:$A$16,0))/60+INDEX('PRICING'!$F$7:$F$16,MATCH(F1183,'PRICING'!$A$7:$A$16,0))/60),2)),""))</f>
        <v/>
      </c>
      <c r="R1183" s="97">
        <f>IF(B1183="","",IF(N(K1183)&gt;0,K1183,IF(N(J1183)&gt;0,J1183,N(Q1183))))</f>
        <v/>
      </c>
      <c r="S1183" s="55">
        <f>IF(L1183="","",ROUND(L1183*(1+N(M1183)),2))</f>
        <v/>
      </c>
      <c r="T1183" s="55">
        <f>IF(B1183="","",SUMIFS('REVENUE'!$C$5:$C$1504,'REVENUE'!$B$5:$B$1504,A1183))</f>
        <v/>
      </c>
      <c r="U1183" s="55">
        <f>IF(B1183="","",IF(O1183="Completed",MAX(0,N(S1183)-T1183),""))</f>
        <v/>
      </c>
      <c r="V1183" s="49">
        <f>IF(B1183="","",IF(O1183&lt;&gt;"Completed",IF(T1183&gt;0,"Deposit","—"),IF(U1183&lt;=0.005,"Paid",IF(T1183&gt;0,"Partial","Unpaid"))))</f>
        <v/>
      </c>
      <c r="W1183" s="55">
        <f>IF(B1183="","",IFERROR(1/(1/INDEX('STAFF &amp; TASKS'!$C$5:$C$24,MATCH(H1183,'STAFF &amp; TASKS'!$A$5:$A$24,0))),PayRate))</f>
        <v/>
      </c>
      <c r="X1183" s="55">
        <f>IF(B1183="","",IF(OR(O1183="Cancelled",O1183="No-Show"),"",ROUND(R1183*W1183*(1+Burden),2)))</f>
        <v/>
      </c>
      <c r="Y1183" s="55">
        <f>IF(B1183="","",IF(OR(O1183="Cancelled",O1183="No-Show"),"",IF(N1183&lt;&gt;"",N1183,ROUND(R1183*SupHr*IFERROR(INDEX('PRICING'!$G$7:$G$16,MATCH(F1183,'PRICING'!$A$7:$A$16,0)),1),2))))</f>
        <v/>
      </c>
      <c r="Z1183" s="98">
        <f>IF(B1183="","",SUMIFS('MILEAGE'!$J$5:$J$1504,'MILEAGE'!$B$5:$B$1504,A1183))</f>
        <v/>
      </c>
      <c r="AA1183" s="55">
        <f>IF(B1183="","",ROUND(Z1183*MileRate,2))</f>
        <v/>
      </c>
      <c r="AB1183" s="55">
        <f>IF(B1183="","",SUMIFS('REVENUE'!$J$5:$J$1504,'REVENUE'!$B$5:$B$1504,A1183))</f>
        <v/>
      </c>
      <c r="AC1183" s="55">
        <f>IF(L1183="","",IF(OR(O1183="Cancelled",O1183="No-Show"),"",L1183-N(X1183)-N(Y1183)-AA1183-AB1183))</f>
        <v/>
      </c>
      <c r="AD1183" s="99">
        <f>IF(OR(AC1183="",N(L1183)=0),"",AC1183/L1183)</f>
        <v/>
      </c>
      <c r="AE1183" s="55">
        <f>IF(OR(AC1183="",N(R1183)=0),"",L1183/R1183)</f>
        <v/>
      </c>
      <c r="AF1183" s="100">
        <f>IF(OR(N(K1183)=0,N(J1183)+N(Q1183)=0),"",K1183-IF(N(J1183)&gt;0,J1183,Q1183))</f>
        <v/>
      </c>
      <c r="AG1183" s="99">
        <f>IF(B1183="","",IFERROR(AVERAGEIFS('QUALITY CONTROL'!$M$5:$M$304,'QUALITY CONTROL'!$B$5:$B$304,A1183),""))</f>
        <v/>
      </c>
      <c r="AH1183" s="51">
        <f>IF(B1183="","",DATE(YEAR(B1183),MONTH(B1183),1))</f>
        <v/>
      </c>
      <c r="AI1183" s="49">
        <f>IF(D1183="","",IFERROR(INDEX('CUSTOMERS'!$E$5:$E$404,MATCH(D1183,'CUSTOMERS'!$B$5:$B$404,0)),""))</f>
        <v/>
      </c>
      <c r="AJ1183" s="49">
        <f>IF(B1183="","",N(C1183))</f>
        <v/>
      </c>
      <c r="AK1183" s="49">
        <f>IF(OR(B1183="",O1183="Cancelled",O1183="Rescheduled"),"",B1183&amp;"|"&amp;(COUNTIFS('JOBS'!$B$5:$B$1504,B1183,'JOBS'!$AJ$5:$AJ$1504,"&lt;"&amp;AJ1183,'JOBS'!$O$5:$O$1504,"&lt;&gt;Cancelled",'JOBS'!$O$5:$O$1504,"&lt;&gt;Rescheduled")+COUNTIFS($B$5:B1183,B1183,$AJ$5:AJ1183,AJ1183,$O$5:O1183,"&lt;&gt;Cancelled",$O$5:O1183,"&lt;&gt;Rescheduled")))</f>
        <v/>
      </c>
      <c r="AL1183" s="49">
        <f>IF(N(U1183)&lt;=0.005,"",COUNTIFS('JOBS'!$U$5:$U$1504,"&gt;0.005",'JOBS'!$B$5:$B$1504,"&lt;"&amp;B1183)+COUNTIFS($U$5:U1183,"&gt;0.005",$B$5:B1183,B1183))</f>
        <v/>
      </c>
    </row>
    <row r="1184">
      <c r="A1184" s="46" t="inlineStr">
        <is>
          <t>J-1180</t>
        </is>
      </c>
      <c r="B1184" s="47" t="n"/>
      <c r="C1184" s="94" t="n"/>
      <c r="D1184" s="38" t="n"/>
      <c r="E1184" s="38" t="n"/>
      <c r="F1184" s="38" t="n"/>
      <c r="G1184" s="38" t="n"/>
      <c r="H1184" s="38" t="n"/>
      <c r="I1184" s="57" t="n"/>
      <c r="J1184" s="95" t="n"/>
      <c r="K1184" s="95" t="n"/>
      <c r="L1184" s="48" t="n"/>
      <c r="M1184" s="96" t="n"/>
      <c r="N1184" s="48" t="n"/>
      <c r="O1184" s="38" t="n"/>
      <c r="P1184" s="38" t="n"/>
      <c r="Q1184" s="97">
        <f>IF(OR(F1184="",E1184=""),"",IFERROR(IF(INDEX('PROPERTIES'!$F$5:$F$404,MATCH(E1184,'PROPERTIES'!$B$5:$B$404,0))=0,"",ROUND((INDEX('PROPERTIES'!$F$5:$F$404,MATCH(E1184,'PROPERTIES'!$B$5:$B$404,0))/INDEX('PRICING'!$C$7:$C$16,MATCH(F1184,'PRICING'!$A$7:$A$16,0))+INDEX('PROPERTIES'!$G$5:$G$404,MATCH(E1184,'PROPERTIES'!$B$5:$B$404,0))*INDEX('PRICING'!$D$7:$D$16,MATCH(F1184,'PRICING'!$A$7:$A$16,0))/60+INDEX('PROPERTIES'!$H$5:$H$404,MATCH(E1184,'PROPERTIES'!$B$5:$B$404,0))*INDEX('PRICING'!$E$7:$E$16,MATCH(F1184,'PRICING'!$A$7:$A$16,0))/60+INDEX('PRICING'!$F$7:$F$16,MATCH(F1184,'PRICING'!$A$7:$A$16,0))/60),2)),""))</f>
        <v/>
      </c>
      <c r="R1184" s="97">
        <f>IF(B1184="","",IF(N(K1184)&gt;0,K1184,IF(N(J1184)&gt;0,J1184,N(Q1184))))</f>
        <v/>
      </c>
      <c r="S1184" s="55">
        <f>IF(L1184="","",ROUND(L1184*(1+N(M1184)),2))</f>
        <v/>
      </c>
      <c r="T1184" s="55">
        <f>IF(B1184="","",SUMIFS('REVENUE'!$C$5:$C$1504,'REVENUE'!$B$5:$B$1504,A1184))</f>
        <v/>
      </c>
      <c r="U1184" s="55">
        <f>IF(B1184="","",IF(O1184="Completed",MAX(0,N(S1184)-T1184),""))</f>
        <v/>
      </c>
      <c r="V1184" s="49">
        <f>IF(B1184="","",IF(O1184&lt;&gt;"Completed",IF(T1184&gt;0,"Deposit","—"),IF(U1184&lt;=0.005,"Paid",IF(T1184&gt;0,"Partial","Unpaid"))))</f>
        <v/>
      </c>
      <c r="W1184" s="55">
        <f>IF(B1184="","",IFERROR(1/(1/INDEX('STAFF &amp; TASKS'!$C$5:$C$24,MATCH(H1184,'STAFF &amp; TASKS'!$A$5:$A$24,0))),PayRate))</f>
        <v/>
      </c>
      <c r="X1184" s="55">
        <f>IF(B1184="","",IF(OR(O1184="Cancelled",O1184="No-Show"),"",ROUND(R1184*W1184*(1+Burden),2)))</f>
        <v/>
      </c>
      <c r="Y1184" s="55">
        <f>IF(B1184="","",IF(OR(O1184="Cancelled",O1184="No-Show"),"",IF(N1184&lt;&gt;"",N1184,ROUND(R1184*SupHr*IFERROR(INDEX('PRICING'!$G$7:$G$16,MATCH(F1184,'PRICING'!$A$7:$A$16,0)),1),2))))</f>
        <v/>
      </c>
      <c r="Z1184" s="98">
        <f>IF(B1184="","",SUMIFS('MILEAGE'!$J$5:$J$1504,'MILEAGE'!$B$5:$B$1504,A1184))</f>
        <v/>
      </c>
      <c r="AA1184" s="55">
        <f>IF(B1184="","",ROUND(Z1184*MileRate,2))</f>
        <v/>
      </c>
      <c r="AB1184" s="55">
        <f>IF(B1184="","",SUMIFS('REVENUE'!$J$5:$J$1504,'REVENUE'!$B$5:$B$1504,A1184))</f>
        <v/>
      </c>
      <c r="AC1184" s="55">
        <f>IF(L1184="","",IF(OR(O1184="Cancelled",O1184="No-Show"),"",L1184-N(X1184)-N(Y1184)-AA1184-AB1184))</f>
        <v/>
      </c>
      <c r="AD1184" s="99">
        <f>IF(OR(AC1184="",N(L1184)=0),"",AC1184/L1184)</f>
        <v/>
      </c>
      <c r="AE1184" s="55">
        <f>IF(OR(AC1184="",N(R1184)=0),"",L1184/R1184)</f>
        <v/>
      </c>
      <c r="AF1184" s="100">
        <f>IF(OR(N(K1184)=0,N(J1184)+N(Q1184)=0),"",K1184-IF(N(J1184)&gt;0,J1184,Q1184))</f>
        <v/>
      </c>
      <c r="AG1184" s="99">
        <f>IF(B1184="","",IFERROR(AVERAGEIFS('QUALITY CONTROL'!$M$5:$M$304,'QUALITY CONTROL'!$B$5:$B$304,A1184),""))</f>
        <v/>
      </c>
      <c r="AH1184" s="51">
        <f>IF(B1184="","",DATE(YEAR(B1184),MONTH(B1184),1))</f>
        <v/>
      </c>
      <c r="AI1184" s="49">
        <f>IF(D1184="","",IFERROR(INDEX('CUSTOMERS'!$E$5:$E$404,MATCH(D1184,'CUSTOMERS'!$B$5:$B$404,0)),""))</f>
        <v/>
      </c>
      <c r="AJ1184" s="49">
        <f>IF(B1184="","",N(C1184))</f>
        <v/>
      </c>
      <c r="AK1184" s="49">
        <f>IF(OR(B1184="",O1184="Cancelled",O1184="Rescheduled"),"",B1184&amp;"|"&amp;(COUNTIFS('JOBS'!$B$5:$B$1504,B1184,'JOBS'!$AJ$5:$AJ$1504,"&lt;"&amp;AJ1184,'JOBS'!$O$5:$O$1504,"&lt;&gt;Cancelled",'JOBS'!$O$5:$O$1504,"&lt;&gt;Rescheduled")+COUNTIFS($B$5:B1184,B1184,$AJ$5:AJ1184,AJ1184,$O$5:O1184,"&lt;&gt;Cancelled",$O$5:O1184,"&lt;&gt;Rescheduled")))</f>
        <v/>
      </c>
      <c r="AL1184" s="49">
        <f>IF(N(U1184)&lt;=0.005,"",COUNTIFS('JOBS'!$U$5:$U$1504,"&gt;0.005",'JOBS'!$B$5:$B$1504,"&lt;"&amp;B1184)+COUNTIFS($U$5:U1184,"&gt;0.005",$B$5:B1184,B1184))</f>
        <v/>
      </c>
    </row>
    <row r="1185">
      <c r="A1185" s="46" t="inlineStr">
        <is>
          <t>J-1181</t>
        </is>
      </c>
      <c r="B1185" s="47" t="n"/>
      <c r="C1185" s="94" t="n"/>
      <c r="D1185" s="38" t="n"/>
      <c r="E1185" s="38" t="n"/>
      <c r="F1185" s="38" t="n"/>
      <c r="G1185" s="38" t="n"/>
      <c r="H1185" s="38" t="n"/>
      <c r="I1185" s="57" t="n"/>
      <c r="J1185" s="95" t="n"/>
      <c r="K1185" s="95" t="n"/>
      <c r="L1185" s="48" t="n"/>
      <c r="M1185" s="96" t="n"/>
      <c r="N1185" s="48" t="n"/>
      <c r="O1185" s="38" t="n"/>
      <c r="P1185" s="38" t="n"/>
      <c r="Q1185" s="97">
        <f>IF(OR(F1185="",E1185=""),"",IFERROR(IF(INDEX('PROPERTIES'!$F$5:$F$404,MATCH(E1185,'PROPERTIES'!$B$5:$B$404,0))=0,"",ROUND((INDEX('PROPERTIES'!$F$5:$F$404,MATCH(E1185,'PROPERTIES'!$B$5:$B$404,0))/INDEX('PRICING'!$C$7:$C$16,MATCH(F1185,'PRICING'!$A$7:$A$16,0))+INDEX('PROPERTIES'!$G$5:$G$404,MATCH(E1185,'PROPERTIES'!$B$5:$B$404,0))*INDEX('PRICING'!$D$7:$D$16,MATCH(F1185,'PRICING'!$A$7:$A$16,0))/60+INDEX('PROPERTIES'!$H$5:$H$404,MATCH(E1185,'PROPERTIES'!$B$5:$B$404,0))*INDEX('PRICING'!$E$7:$E$16,MATCH(F1185,'PRICING'!$A$7:$A$16,0))/60+INDEX('PRICING'!$F$7:$F$16,MATCH(F1185,'PRICING'!$A$7:$A$16,0))/60),2)),""))</f>
        <v/>
      </c>
      <c r="R1185" s="97">
        <f>IF(B1185="","",IF(N(K1185)&gt;0,K1185,IF(N(J1185)&gt;0,J1185,N(Q1185))))</f>
        <v/>
      </c>
      <c r="S1185" s="55">
        <f>IF(L1185="","",ROUND(L1185*(1+N(M1185)),2))</f>
        <v/>
      </c>
      <c r="T1185" s="55">
        <f>IF(B1185="","",SUMIFS('REVENUE'!$C$5:$C$1504,'REVENUE'!$B$5:$B$1504,A1185))</f>
        <v/>
      </c>
      <c r="U1185" s="55">
        <f>IF(B1185="","",IF(O1185="Completed",MAX(0,N(S1185)-T1185),""))</f>
        <v/>
      </c>
      <c r="V1185" s="49">
        <f>IF(B1185="","",IF(O1185&lt;&gt;"Completed",IF(T1185&gt;0,"Deposit","—"),IF(U1185&lt;=0.005,"Paid",IF(T1185&gt;0,"Partial","Unpaid"))))</f>
        <v/>
      </c>
      <c r="W1185" s="55">
        <f>IF(B1185="","",IFERROR(1/(1/INDEX('STAFF &amp; TASKS'!$C$5:$C$24,MATCH(H1185,'STAFF &amp; TASKS'!$A$5:$A$24,0))),PayRate))</f>
        <v/>
      </c>
      <c r="X1185" s="55">
        <f>IF(B1185="","",IF(OR(O1185="Cancelled",O1185="No-Show"),"",ROUND(R1185*W1185*(1+Burden),2)))</f>
        <v/>
      </c>
      <c r="Y1185" s="55">
        <f>IF(B1185="","",IF(OR(O1185="Cancelled",O1185="No-Show"),"",IF(N1185&lt;&gt;"",N1185,ROUND(R1185*SupHr*IFERROR(INDEX('PRICING'!$G$7:$G$16,MATCH(F1185,'PRICING'!$A$7:$A$16,0)),1),2))))</f>
        <v/>
      </c>
      <c r="Z1185" s="98">
        <f>IF(B1185="","",SUMIFS('MILEAGE'!$J$5:$J$1504,'MILEAGE'!$B$5:$B$1504,A1185))</f>
        <v/>
      </c>
      <c r="AA1185" s="55">
        <f>IF(B1185="","",ROUND(Z1185*MileRate,2))</f>
        <v/>
      </c>
      <c r="AB1185" s="55">
        <f>IF(B1185="","",SUMIFS('REVENUE'!$J$5:$J$1504,'REVENUE'!$B$5:$B$1504,A1185))</f>
        <v/>
      </c>
      <c r="AC1185" s="55">
        <f>IF(L1185="","",IF(OR(O1185="Cancelled",O1185="No-Show"),"",L1185-N(X1185)-N(Y1185)-AA1185-AB1185))</f>
        <v/>
      </c>
      <c r="AD1185" s="99">
        <f>IF(OR(AC1185="",N(L1185)=0),"",AC1185/L1185)</f>
        <v/>
      </c>
      <c r="AE1185" s="55">
        <f>IF(OR(AC1185="",N(R1185)=0),"",L1185/R1185)</f>
        <v/>
      </c>
      <c r="AF1185" s="100">
        <f>IF(OR(N(K1185)=0,N(J1185)+N(Q1185)=0),"",K1185-IF(N(J1185)&gt;0,J1185,Q1185))</f>
        <v/>
      </c>
      <c r="AG1185" s="99">
        <f>IF(B1185="","",IFERROR(AVERAGEIFS('QUALITY CONTROL'!$M$5:$M$304,'QUALITY CONTROL'!$B$5:$B$304,A1185),""))</f>
        <v/>
      </c>
      <c r="AH1185" s="51">
        <f>IF(B1185="","",DATE(YEAR(B1185),MONTH(B1185),1))</f>
        <v/>
      </c>
      <c r="AI1185" s="49">
        <f>IF(D1185="","",IFERROR(INDEX('CUSTOMERS'!$E$5:$E$404,MATCH(D1185,'CUSTOMERS'!$B$5:$B$404,0)),""))</f>
        <v/>
      </c>
      <c r="AJ1185" s="49">
        <f>IF(B1185="","",N(C1185))</f>
        <v/>
      </c>
      <c r="AK1185" s="49">
        <f>IF(OR(B1185="",O1185="Cancelled",O1185="Rescheduled"),"",B1185&amp;"|"&amp;(COUNTIFS('JOBS'!$B$5:$B$1504,B1185,'JOBS'!$AJ$5:$AJ$1504,"&lt;"&amp;AJ1185,'JOBS'!$O$5:$O$1504,"&lt;&gt;Cancelled",'JOBS'!$O$5:$O$1504,"&lt;&gt;Rescheduled")+COUNTIFS($B$5:B1185,B1185,$AJ$5:AJ1185,AJ1185,$O$5:O1185,"&lt;&gt;Cancelled",$O$5:O1185,"&lt;&gt;Rescheduled")))</f>
        <v/>
      </c>
      <c r="AL1185" s="49">
        <f>IF(N(U1185)&lt;=0.005,"",COUNTIFS('JOBS'!$U$5:$U$1504,"&gt;0.005",'JOBS'!$B$5:$B$1504,"&lt;"&amp;B1185)+COUNTIFS($U$5:U1185,"&gt;0.005",$B$5:B1185,B1185))</f>
        <v/>
      </c>
    </row>
    <row r="1186">
      <c r="A1186" s="46" t="inlineStr">
        <is>
          <t>J-1182</t>
        </is>
      </c>
      <c r="B1186" s="47" t="n"/>
      <c r="C1186" s="94" t="n"/>
      <c r="D1186" s="38" t="n"/>
      <c r="E1186" s="38" t="n"/>
      <c r="F1186" s="38" t="n"/>
      <c r="G1186" s="38" t="n"/>
      <c r="H1186" s="38" t="n"/>
      <c r="I1186" s="57" t="n"/>
      <c r="J1186" s="95" t="n"/>
      <c r="K1186" s="95" t="n"/>
      <c r="L1186" s="48" t="n"/>
      <c r="M1186" s="96" t="n"/>
      <c r="N1186" s="48" t="n"/>
      <c r="O1186" s="38" t="n"/>
      <c r="P1186" s="38" t="n"/>
      <c r="Q1186" s="97">
        <f>IF(OR(F1186="",E1186=""),"",IFERROR(IF(INDEX('PROPERTIES'!$F$5:$F$404,MATCH(E1186,'PROPERTIES'!$B$5:$B$404,0))=0,"",ROUND((INDEX('PROPERTIES'!$F$5:$F$404,MATCH(E1186,'PROPERTIES'!$B$5:$B$404,0))/INDEX('PRICING'!$C$7:$C$16,MATCH(F1186,'PRICING'!$A$7:$A$16,0))+INDEX('PROPERTIES'!$G$5:$G$404,MATCH(E1186,'PROPERTIES'!$B$5:$B$404,0))*INDEX('PRICING'!$D$7:$D$16,MATCH(F1186,'PRICING'!$A$7:$A$16,0))/60+INDEX('PROPERTIES'!$H$5:$H$404,MATCH(E1186,'PROPERTIES'!$B$5:$B$404,0))*INDEX('PRICING'!$E$7:$E$16,MATCH(F1186,'PRICING'!$A$7:$A$16,0))/60+INDEX('PRICING'!$F$7:$F$16,MATCH(F1186,'PRICING'!$A$7:$A$16,0))/60),2)),""))</f>
        <v/>
      </c>
      <c r="R1186" s="97">
        <f>IF(B1186="","",IF(N(K1186)&gt;0,K1186,IF(N(J1186)&gt;0,J1186,N(Q1186))))</f>
        <v/>
      </c>
      <c r="S1186" s="55">
        <f>IF(L1186="","",ROUND(L1186*(1+N(M1186)),2))</f>
        <v/>
      </c>
      <c r="T1186" s="55">
        <f>IF(B1186="","",SUMIFS('REVENUE'!$C$5:$C$1504,'REVENUE'!$B$5:$B$1504,A1186))</f>
        <v/>
      </c>
      <c r="U1186" s="55">
        <f>IF(B1186="","",IF(O1186="Completed",MAX(0,N(S1186)-T1186),""))</f>
        <v/>
      </c>
      <c r="V1186" s="49">
        <f>IF(B1186="","",IF(O1186&lt;&gt;"Completed",IF(T1186&gt;0,"Deposit","—"),IF(U1186&lt;=0.005,"Paid",IF(T1186&gt;0,"Partial","Unpaid"))))</f>
        <v/>
      </c>
      <c r="W1186" s="55">
        <f>IF(B1186="","",IFERROR(1/(1/INDEX('STAFF &amp; TASKS'!$C$5:$C$24,MATCH(H1186,'STAFF &amp; TASKS'!$A$5:$A$24,0))),PayRate))</f>
        <v/>
      </c>
      <c r="X1186" s="55">
        <f>IF(B1186="","",IF(OR(O1186="Cancelled",O1186="No-Show"),"",ROUND(R1186*W1186*(1+Burden),2)))</f>
        <v/>
      </c>
      <c r="Y1186" s="55">
        <f>IF(B1186="","",IF(OR(O1186="Cancelled",O1186="No-Show"),"",IF(N1186&lt;&gt;"",N1186,ROUND(R1186*SupHr*IFERROR(INDEX('PRICING'!$G$7:$G$16,MATCH(F1186,'PRICING'!$A$7:$A$16,0)),1),2))))</f>
        <v/>
      </c>
      <c r="Z1186" s="98">
        <f>IF(B1186="","",SUMIFS('MILEAGE'!$J$5:$J$1504,'MILEAGE'!$B$5:$B$1504,A1186))</f>
        <v/>
      </c>
      <c r="AA1186" s="55">
        <f>IF(B1186="","",ROUND(Z1186*MileRate,2))</f>
        <v/>
      </c>
      <c r="AB1186" s="55">
        <f>IF(B1186="","",SUMIFS('REVENUE'!$J$5:$J$1504,'REVENUE'!$B$5:$B$1504,A1186))</f>
        <v/>
      </c>
      <c r="AC1186" s="55">
        <f>IF(L1186="","",IF(OR(O1186="Cancelled",O1186="No-Show"),"",L1186-N(X1186)-N(Y1186)-AA1186-AB1186))</f>
        <v/>
      </c>
      <c r="AD1186" s="99">
        <f>IF(OR(AC1186="",N(L1186)=0),"",AC1186/L1186)</f>
        <v/>
      </c>
      <c r="AE1186" s="55">
        <f>IF(OR(AC1186="",N(R1186)=0),"",L1186/R1186)</f>
        <v/>
      </c>
      <c r="AF1186" s="100">
        <f>IF(OR(N(K1186)=0,N(J1186)+N(Q1186)=0),"",K1186-IF(N(J1186)&gt;0,J1186,Q1186))</f>
        <v/>
      </c>
      <c r="AG1186" s="99">
        <f>IF(B1186="","",IFERROR(AVERAGEIFS('QUALITY CONTROL'!$M$5:$M$304,'QUALITY CONTROL'!$B$5:$B$304,A1186),""))</f>
        <v/>
      </c>
      <c r="AH1186" s="51">
        <f>IF(B1186="","",DATE(YEAR(B1186),MONTH(B1186),1))</f>
        <v/>
      </c>
      <c r="AI1186" s="49">
        <f>IF(D1186="","",IFERROR(INDEX('CUSTOMERS'!$E$5:$E$404,MATCH(D1186,'CUSTOMERS'!$B$5:$B$404,0)),""))</f>
        <v/>
      </c>
      <c r="AJ1186" s="49">
        <f>IF(B1186="","",N(C1186))</f>
        <v/>
      </c>
      <c r="AK1186" s="49">
        <f>IF(OR(B1186="",O1186="Cancelled",O1186="Rescheduled"),"",B1186&amp;"|"&amp;(COUNTIFS('JOBS'!$B$5:$B$1504,B1186,'JOBS'!$AJ$5:$AJ$1504,"&lt;"&amp;AJ1186,'JOBS'!$O$5:$O$1504,"&lt;&gt;Cancelled",'JOBS'!$O$5:$O$1504,"&lt;&gt;Rescheduled")+COUNTIFS($B$5:B1186,B1186,$AJ$5:AJ1186,AJ1186,$O$5:O1186,"&lt;&gt;Cancelled",$O$5:O1186,"&lt;&gt;Rescheduled")))</f>
        <v/>
      </c>
      <c r="AL1186" s="49">
        <f>IF(N(U1186)&lt;=0.005,"",COUNTIFS('JOBS'!$U$5:$U$1504,"&gt;0.005",'JOBS'!$B$5:$B$1504,"&lt;"&amp;B1186)+COUNTIFS($U$5:U1186,"&gt;0.005",$B$5:B1186,B1186))</f>
        <v/>
      </c>
    </row>
    <row r="1187">
      <c r="A1187" s="46" t="inlineStr">
        <is>
          <t>J-1183</t>
        </is>
      </c>
      <c r="B1187" s="47" t="n"/>
      <c r="C1187" s="94" t="n"/>
      <c r="D1187" s="38" t="n"/>
      <c r="E1187" s="38" t="n"/>
      <c r="F1187" s="38" t="n"/>
      <c r="G1187" s="38" t="n"/>
      <c r="H1187" s="38" t="n"/>
      <c r="I1187" s="57" t="n"/>
      <c r="J1187" s="95" t="n"/>
      <c r="K1187" s="95" t="n"/>
      <c r="L1187" s="48" t="n"/>
      <c r="M1187" s="96" t="n"/>
      <c r="N1187" s="48" t="n"/>
      <c r="O1187" s="38" t="n"/>
      <c r="P1187" s="38" t="n"/>
      <c r="Q1187" s="97">
        <f>IF(OR(F1187="",E1187=""),"",IFERROR(IF(INDEX('PROPERTIES'!$F$5:$F$404,MATCH(E1187,'PROPERTIES'!$B$5:$B$404,0))=0,"",ROUND((INDEX('PROPERTIES'!$F$5:$F$404,MATCH(E1187,'PROPERTIES'!$B$5:$B$404,0))/INDEX('PRICING'!$C$7:$C$16,MATCH(F1187,'PRICING'!$A$7:$A$16,0))+INDEX('PROPERTIES'!$G$5:$G$404,MATCH(E1187,'PROPERTIES'!$B$5:$B$404,0))*INDEX('PRICING'!$D$7:$D$16,MATCH(F1187,'PRICING'!$A$7:$A$16,0))/60+INDEX('PROPERTIES'!$H$5:$H$404,MATCH(E1187,'PROPERTIES'!$B$5:$B$404,0))*INDEX('PRICING'!$E$7:$E$16,MATCH(F1187,'PRICING'!$A$7:$A$16,0))/60+INDEX('PRICING'!$F$7:$F$16,MATCH(F1187,'PRICING'!$A$7:$A$16,0))/60),2)),""))</f>
        <v/>
      </c>
      <c r="R1187" s="97">
        <f>IF(B1187="","",IF(N(K1187)&gt;0,K1187,IF(N(J1187)&gt;0,J1187,N(Q1187))))</f>
        <v/>
      </c>
      <c r="S1187" s="55">
        <f>IF(L1187="","",ROUND(L1187*(1+N(M1187)),2))</f>
        <v/>
      </c>
      <c r="T1187" s="55">
        <f>IF(B1187="","",SUMIFS('REVENUE'!$C$5:$C$1504,'REVENUE'!$B$5:$B$1504,A1187))</f>
        <v/>
      </c>
      <c r="U1187" s="55">
        <f>IF(B1187="","",IF(O1187="Completed",MAX(0,N(S1187)-T1187),""))</f>
        <v/>
      </c>
      <c r="V1187" s="49">
        <f>IF(B1187="","",IF(O1187&lt;&gt;"Completed",IF(T1187&gt;0,"Deposit","—"),IF(U1187&lt;=0.005,"Paid",IF(T1187&gt;0,"Partial","Unpaid"))))</f>
        <v/>
      </c>
      <c r="W1187" s="55">
        <f>IF(B1187="","",IFERROR(1/(1/INDEX('STAFF &amp; TASKS'!$C$5:$C$24,MATCH(H1187,'STAFF &amp; TASKS'!$A$5:$A$24,0))),PayRate))</f>
        <v/>
      </c>
      <c r="X1187" s="55">
        <f>IF(B1187="","",IF(OR(O1187="Cancelled",O1187="No-Show"),"",ROUND(R1187*W1187*(1+Burden),2)))</f>
        <v/>
      </c>
      <c r="Y1187" s="55">
        <f>IF(B1187="","",IF(OR(O1187="Cancelled",O1187="No-Show"),"",IF(N1187&lt;&gt;"",N1187,ROUND(R1187*SupHr*IFERROR(INDEX('PRICING'!$G$7:$G$16,MATCH(F1187,'PRICING'!$A$7:$A$16,0)),1),2))))</f>
        <v/>
      </c>
      <c r="Z1187" s="98">
        <f>IF(B1187="","",SUMIFS('MILEAGE'!$J$5:$J$1504,'MILEAGE'!$B$5:$B$1504,A1187))</f>
        <v/>
      </c>
      <c r="AA1187" s="55">
        <f>IF(B1187="","",ROUND(Z1187*MileRate,2))</f>
        <v/>
      </c>
      <c r="AB1187" s="55">
        <f>IF(B1187="","",SUMIFS('REVENUE'!$J$5:$J$1504,'REVENUE'!$B$5:$B$1504,A1187))</f>
        <v/>
      </c>
      <c r="AC1187" s="55">
        <f>IF(L1187="","",IF(OR(O1187="Cancelled",O1187="No-Show"),"",L1187-N(X1187)-N(Y1187)-AA1187-AB1187))</f>
        <v/>
      </c>
      <c r="AD1187" s="99">
        <f>IF(OR(AC1187="",N(L1187)=0),"",AC1187/L1187)</f>
        <v/>
      </c>
      <c r="AE1187" s="55">
        <f>IF(OR(AC1187="",N(R1187)=0),"",L1187/R1187)</f>
        <v/>
      </c>
      <c r="AF1187" s="100">
        <f>IF(OR(N(K1187)=0,N(J1187)+N(Q1187)=0),"",K1187-IF(N(J1187)&gt;0,J1187,Q1187))</f>
        <v/>
      </c>
      <c r="AG1187" s="99">
        <f>IF(B1187="","",IFERROR(AVERAGEIFS('QUALITY CONTROL'!$M$5:$M$304,'QUALITY CONTROL'!$B$5:$B$304,A1187),""))</f>
        <v/>
      </c>
      <c r="AH1187" s="51">
        <f>IF(B1187="","",DATE(YEAR(B1187),MONTH(B1187),1))</f>
        <v/>
      </c>
      <c r="AI1187" s="49">
        <f>IF(D1187="","",IFERROR(INDEX('CUSTOMERS'!$E$5:$E$404,MATCH(D1187,'CUSTOMERS'!$B$5:$B$404,0)),""))</f>
        <v/>
      </c>
      <c r="AJ1187" s="49">
        <f>IF(B1187="","",N(C1187))</f>
        <v/>
      </c>
      <c r="AK1187" s="49">
        <f>IF(OR(B1187="",O1187="Cancelled",O1187="Rescheduled"),"",B1187&amp;"|"&amp;(COUNTIFS('JOBS'!$B$5:$B$1504,B1187,'JOBS'!$AJ$5:$AJ$1504,"&lt;"&amp;AJ1187,'JOBS'!$O$5:$O$1504,"&lt;&gt;Cancelled",'JOBS'!$O$5:$O$1504,"&lt;&gt;Rescheduled")+COUNTIFS($B$5:B1187,B1187,$AJ$5:AJ1187,AJ1187,$O$5:O1187,"&lt;&gt;Cancelled",$O$5:O1187,"&lt;&gt;Rescheduled")))</f>
        <v/>
      </c>
      <c r="AL1187" s="49">
        <f>IF(N(U1187)&lt;=0.005,"",COUNTIFS('JOBS'!$U$5:$U$1504,"&gt;0.005",'JOBS'!$B$5:$B$1504,"&lt;"&amp;B1187)+COUNTIFS($U$5:U1187,"&gt;0.005",$B$5:B1187,B1187))</f>
        <v/>
      </c>
    </row>
    <row r="1188">
      <c r="A1188" s="46" t="inlineStr">
        <is>
          <t>J-1184</t>
        </is>
      </c>
      <c r="B1188" s="47" t="n"/>
      <c r="C1188" s="94" t="n"/>
      <c r="D1188" s="38" t="n"/>
      <c r="E1188" s="38" t="n"/>
      <c r="F1188" s="38" t="n"/>
      <c r="G1188" s="38" t="n"/>
      <c r="H1188" s="38" t="n"/>
      <c r="I1188" s="57" t="n"/>
      <c r="J1188" s="95" t="n"/>
      <c r="K1188" s="95" t="n"/>
      <c r="L1188" s="48" t="n"/>
      <c r="M1188" s="96" t="n"/>
      <c r="N1188" s="48" t="n"/>
      <c r="O1188" s="38" t="n"/>
      <c r="P1188" s="38" t="n"/>
      <c r="Q1188" s="97">
        <f>IF(OR(F1188="",E1188=""),"",IFERROR(IF(INDEX('PROPERTIES'!$F$5:$F$404,MATCH(E1188,'PROPERTIES'!$B$5:$B$404,0))=0,"",ROUND((INDEX('PROPERTIES'!$F$5:$F$404,MATCH(E1188,'PROPERTIES'!$B$5:$B$404,0))/INDEX('PRICING'!$C$7:$C$16,MATCH(F1188,'PRICING'!$A$7:$A$16,0))+INDEX('PROPERTIES'!$G$5:$G$404,MATCH(E1188,'PROPERTIES'!$B$5:$B$404,0))*INDEX('PRICING'!$D$7:$D$16,MATCH(F1188,'PRICING'!$A$7:$A$16,0))/60+INDEX('PROPERTIES'!$H$5:$H$404,MATCH(E1188,'PROPERTIES'!$B$5:$B$404,0))*INDEX('PRICING'!$E$7:$E$16,MATCH(F1188,'PRICING'!$A$7:$A$16,0))/60+INDEX('PRICING'!$F$7:$F$16,MATCH(F1188,'PRICING'!$A$7:$A$16,0))/60),2)),""))</f>
        <v/>
      </c>
      <c r="R1188" s="97">
        <f>IF(B1188="","",IF(N(K1188)&gt;0,K1188,IF(N(J1188)&gt;0,J1188,N(Q1188))))</f>
        <v/>
      </c>
      <c r="S1188" s="55">
        <f>IF(L1188="","",ROUND(L1188*(1+N(M1188)),2))</f>
        <v/>
      </c>
      <c r="T1188" s="55">
        <f>IF(B1188="","",SUMIFS('REVENUE'!$C$5:$C$1504,'REVENUE'!$B$5:$B$1504,A1188))</f>
        <v/>
      </c>
      <c r="U1188" s="55">
        <f>IF(B1188="","",IF(O1188="Completed",MAX(0,N(S1188)-T1188),""))</f>
        <v/>
      </c>
      <c r="V1188" s="49">
        <f>IF(B1188="","",IF(O1188&lt;&gt;"Completed",IF(T1188&gt;0,"Deposit","—"),IF(U1188&lt;=0.005,"Paid",IF(T1188&gt;0,"Partial","Unpaid"))))</f>
        <v/>
      </c>
      <c r="W1188" s="55">
        <f>IF(B1188="","",IFERROR(1/(1/INDEX('STAFF &amp; TASKS'!$C$5:$C$24,MATCH(H1188,'STAFF &amp; TASKS'!$A$5:$A$24,0))),PayRate))</f>
        <v/>
      </c>
      <c r="X1188" s="55">
        <f>IF(B1188="","",IF(OR(O1188="Cancelled",O1188="No-Show"),"",ROUND(R1188*W1188*(1+Burden),2)))</f>
        <v/>
      </c>
      <c r="Y1188" s="55">
        <f>IF(B1188="","",IF(OR(O1188="Cancelled",O1188="No-Show"),"",IF(N1188&lt;&gt;"",N1188,ROUND(R1188*SupHr*IFERROR(INDEX('PRICING'!$G$7:$G$16,MATCH(F1188,'PRICING'!$A$7:$A$16,0)),1),2))))</f>
        <v/>
      </c>
      <c r="Z1188" s="98">
        <f>IF(B1188="","",SUMIFS('MILEAGE'!$J$5:$J$1504,'MILEAGE'!$B$5:$B$1504,A1188))</f>
        <v/>
      </c>
      <c r="AA1188" s="55">
        <f>IF(B1188="","",ROUND(Z1188*MileRate,2))</f>
        <v/>
      </c>
      <c r="AB1188" s="55">
        <f>IF(B1188="","",SUMIFS('REVENUE'!$J$5:$J$1504,'REVENUE'!$B$5:$B$1504,A1188))</f>
        <v/>
      </c>
      <c r="AC1188" s="55">
        <f>IF(L1188="","",IF(OR(O1188="Cancelled",O1188="No-Show"),"",L1188-N(X1188)-N(Y1188)-AA1188-AB1188))</f>
        <v/>
      </c>
      <c r="AD1188" s="99">
        <f>IF(OR(AC1188="",N(L1188)=0),"",AC1188/L1188)</f>
        <v/>
      </c>
      <c r="AE1188" s="55">
        <f>IF(OR(AC1188="",N(R1188)=0),"",L1188/R1188)</f>
        <v/>
      </c>
      <c r="AF1188" s="100">
        <f>IF(OR(N(K1188)=0,N(J1188)+N(Q1188)=0),"",K1188-IF(N(J1188)&gt;0,J1188,Q1188))</f>
        <v/>
      </c>
      <c r="AG1188" s="99">
        <f>IF(B1188="","",IFERROR(AVERAGEIFS('QUALITY CONTROL'!$M$5:$M$304,'QUALITY CONTROL'!$B$5:$B$304,A1188),""))</f>
        <v/>
      </c>
      <c r="AH1188" s="51">
        <f>IF(B1188="","",DATE(YEAR(B1188),MONTH(B1188),1))</f>
        <v/>
      </c>
      <c r="AI1188" s="49">
        <f>IF(D1188="","",IFERROR(INDEX('CUSTOMERS'!$E$5:$E$404,MATCH(D1188,'CUSTOMERS'!$B$5:$B$404,0)),""))</f>
        <v/>
      </c>
      <c r="AJ1188" s="49">
        <f>IF(B1188="","",N(C1188))</f>
        <v/>
      </c>
      <c r="AK1188" s="49">
        <f>IF(OR(B1188="",O1188="Cancelled",O1188="Rescheduled"),"",B1188&amp;"|"&amp;(COUNTIFS('JOBS'!$B$5:$B$1504,B1188,'JOBS'!$AJ$5:$AJ$1504,"&lt;"&amp;AJ1188,'JOBS'!$O$5:$O$1504,"&lt;&gt;Cancelled",'JOBS'!$O$5:$O$1504,"&lt;&gt;Rescheduled")+COUNTIFS($B$5:B1188,B1188,$AJ$5:AJ1188,AJ1188,$O$5:O1188,"&lt;&gt;Cancelled",$O$5:O1188,"&lt;&gt;Rescheduled")))</f>
        <v/>
      </c>
      <c r="AL1188" s="49">
        <f>IF(N(U1188)&lt;=0.005,"",COUNTIFS('JOBS'!$U$5:$U$1504,"&gt;0.005",'JOBS'!$B$5:$B$1504,"&lt;"&amp;B1188)+COUNTIFS($U$5:U1188,"&gt;0.005",$B$5:B1188,B1188))</f>
        <v/>
      </c>
    </row>
    <row r="1189">
      <c r="A1189" s="46" t="inlineStr">
        <is>
          <t>J-1185</t>
        </is>
      </c>
      <c r="B1189" s="47" t="n"/>
      <c r="C1189" s="94" t="n"/>
      <c r="D1189" s="38" t="n"/>
      <c r="E1189" s="38" t="n"/>
      <c r="F1189" s="38" t="n"/>
      <c r="G1189" s="38" t="n"/>
      <c r="H1189" s="38" t="n"/>
      <c r="I1189" s="57" t="n"/>
      <c r="J1189" s="95" t="n"/>
      <c r="K1189" s="95" t="n"/>
      <c r="L1189" s="48" t="n"/>
      <c r="M1189" s="96" t="n"/>
      <c r="N1189" s="48" t="n"/>
      <c r="O1189" s="38" t="n"/>
      <c r="P1189" s="38" t="n"/>
      <c r="Q1189" s="97">
        <f>IF(OR(F1189="",E1189=""),"",IFERROR(IF(INDEX('PROPERTIES'!$F$5:$F$404,MATCH(E1189,'PROPERTIES'!$B$5:$B$404,0))=0,"",ROUND((INDEX('PROPERTIES'!$F$5:$F$404,MATCH(E1189,'PROPERTIES'!$B$5:$B$404,0))/INDEX('PRICING'!$C$7:$C$16,MATCH(F1189,'PRICING'!$A$7:$A$16,0))+INDEX('PROPERTIES'!$G$5:$G$404,MATCH(E1189,'PROPERTIES'!$B$5:$B$404,0))*INDEX('PRICING'!$D$7:$D$16,MATCH(F1189,'PRICING'!$A$7:$A$16,0))/60+INDEX('PROPERTIES'!$H$5:$H$404,MATCH(E1189,'PROPERTIES'!$B$5:$B$404,0))*INDEX('PRICING'!$E$7:$E$16,MATCH(F1189,'PRICING'!$A$7:$A$16,0))/60+INDEX('PRICING'!$F$7:$F$16,MATCH(F1189,'PRICING'!$A$7:$A$16,0))/60),2)),""))</f>
        <v/>
      </c>
      <c r="R1189" s="97">
        <f>IF(B1189="","",IF(N(K1189)&gt;0,K1189,IF(N(J1189)&gt;0,J1189,N(Q1189))))</f>
        <v/>
      </c>
      <c r="S1189" s="55">
        <f>IF(L1189="","",ROUND(L1189*(1+N(M1189)),2))</f>
        <v/>
      </c>
      <c r="T1189" s="55">
        <f>IF(B1189="","",SUMIFS('REVENUE'!$C$5:$C$1504,'REVENUE'!$B$5:$B$1504,A1189))</f>
        <v/>
      </c>
      <c r="U1189" s="55">
        <f>IF(B1189="","",IF(O1189="Completed",MAX(0,N(S1189)-T1189),""))</f>
        <v/>
      </c>
      <c r="V1189" s="49">
        <f>IF(B1189="","",IF(O1189&lt;&gt;"Completed",IF(T1189&gt;0,"Deposit","—"),IF(U1189&lt;=0.005,"Paid",IF(T1189&gt;0,"Partial","Unpaid"))))</f>
        <v/>
      </c>
      <c r="W1189" s="55">
        <f>IF(B1189="","",IFERROR(1/(1/INDEX('STAFF &amp; TASKS'!$C$5:$C$24,MATCH(H1189,'STAFF &amp; TASKS'!$A$5:$A$24,0))),PayRate))</f>
        <v/>
      </c>
      <c r="X1189" s="55">
        <f>IF(B1189="","",IF(OR(O1189="Cancelled",O1189="No-Show"),"",ROUND(R1189*W1189*(1+Burden),2)))</f>
        <v/>
      </c>
      <c r="Y1189" s="55">
        <f>IF(B1189="","",IF(OR(O1189="Cancelled",O1189="No-Show"),"",IF(N1189&lt;&gt;"",N1189,ROUND(R1189*SupHr*IFERROR(INDEX('PRICING'!$G$7:$G$16,MATCH(F1189,'PRICING'!$A$7:$A$16,0)),1),2))))</f>
        <v/>
      </c>
      <c r="Z1189" s="98">
        <f>IF(B1189="","",SUMIFS('MILEAGE'!$J$5:$J$1504,'MILEAGE'!$B$5:$B$1504,A1189))</f>
        <v/>
      </c>
      <c r="AA1189" s="55">
        <f>IF(B1189="","",ROUND(Z1189*MileRate,2))</f>
        <v/>
      </c>
      <c r="AB1189" s="55">
        <f>IF(B1189="","",SUMIFS('REVENUE'!$J$5:$J$1504,'REVENUE'!$B$5:$B$1504,A1189))</f>
        <v/>
      </c>
      <c r="AC1189" s="55">
        <f>IF(L1189="","",IF(OR(O1189="Cancelled",O1189="No-Show"),"",L1189-N(X1189)-N(Y1189)-AA1189-AB1189))</f>
        <v/>
      </c>
      <c r="AD1189" s="99">
        <f>IF(OR(AC1189="",N(L1189)=0),"",AC1189/L1189)</f>
        <v/>
      </c>
      <c r="AE1189" s="55">
        <f>IF(OR(AC1189="",N(R1189)=0),"",L1189/R1189)</f>
        <v/>
      </c>
      <c r="AF1189" s="100">
        <f>IF(OR(N(K1189)=0,N(J1189)+N(Q1189)=0),"",K1189-IF(N(J1189)&gt;0,J1189,Q1189))</f>
        <v/>
      </c>
      <c r="AG1189" s="99">
        <f>IF(B1189="","",IFERROR(AVERAGEIFS('QUALITY CONTROL'!$M$5:$M$304,'QUALITY CONTROL'!$B$5:$B$304,A1189),""))</f>
        <v/>
      </c>
      <c r="AH1189" s="51">
        <f>IF(B1189="","",DATE(YEAR(B1189),MONTH(B1189),1))</f>
        <v/>
      </c>
      <c r="AI1189" s="49">
        <f>IF(D1189="","",IFERROR(INDEX('CUSTOMERS'!$E$5:$E$404,MATCH(D1189,'CUSTOMERS'!$B$5:$B$404,0)),""))</f>
        <v/>
      </c>
      <c r="AJ1189" s="49">
        <f>IF(B1189="","",N(C1189))</f>
        <v/>
      </c>
      <c r="AK1189" s="49">
        <f>IF(OR(B1189="",O1189="Cancelled",O1189="Rescheduled"),"",B1189&amp;"|"&amp;(COUNTIFS('JOBS'!$B$5:$B$1504,B1189,'JOBS'!$AJ$5:$AJ$1504,"&lt;"&amp;AJ1189,'JOBS'!$O$5:$O$1504,"&lt;&gt;Cancelled",'JOBS'!$O$5:$O$1504,"&lt;&gt;Rescheduled")+COUNTIFS($B$5:B1189,B1189,$AJ$5:AJ1189,AJ1189,$O$5:O1189,"&lt;&gt;Cancelled",$O$5:O1189,"&lt;&gt;Rescheduled")))</f>
        <v/>
      </c>
      <c r="AL1189" s="49">
        <f>IF(N(U1189)&lt;=0.005,"",COUNTIFS('JOBS'!$U$5:$U$1504,"&gt;0.005",'JOBS'!$B$5:$B$1504,"&lt;"&amp;B1189)+COUNTIFS($U$5:U1189,"&gt;0.005",$B$5:B1189,B1189))</f>
        <v/>
      </c>
    </row>
    <row r="1190">
      <c r="A1190" s="46" t="inlineStr">
        <is>
          <t>J-1186</t>
        </is>
      </c>
      <c r="B1190" s="47" t="n"/>
      <c r="C1190" s="94" t="n"/>
      <c r="D1190" s="38" t="n"/>
      <c r="E1190" s="38" t="n"/>
      <c r="F1190" s="38" t="n"/>
      <c r="G1190" s="38" t="n"/>
      <c r="H1190" s="38" t="n"/>
      <c r="I1190" s="57" t="n"/>
      <c r="J1190" s="95" t="n"/>
      <c r="K1190" s="95" t="n"/>
      <c r="L1190" s="48" t="n"/>
      <c r="M1190" s="96" t="n"/>
      <c r="N1190" s="48" t="n"/>
      <c r="O1190" s="38" t="n"/>
      <c r="P1190" s="38" t="n"/>
      <c r="Q1190" s="97">
        <f>IF(OR(F1190="",E1190=""),"",IFERROR(IF(INDEX('PROPERTIES'!$F$5:$F$404,MATCH(E1190,'PROPERTIES'!$B$5:$B$404,0))=0,"",ROUND((INDEX('PROPERTIES'!$F$5:$F$404,MATCH(E1190,'PROPERTIES'!$B$5:$B$404,0))/INDEX('PRICING'!$C$7:$C$16,MATCH(F1190,'PRICING'!$A$7:$A$16,0))+INDEX('PROPERTIES'!$G$5:$G$404,MATCH(E1190,'PROPERTIES'!$B$5:$B$404,0))*INDEX('PRICING'!$D$7:$D$16,MATCH(F1190,'PRICING'!$A$7:$A$16,0))/60+INDEX('PROPERTIES'!$H$5:$H$404,MATCH(E1190,'PROPERTIES'!$B$5:$B$404,0))*INDEX('PRICING'!$E$7:$E$16,MATCH(F1190,'PRICING'!$A$7:$A$16,0))/60+INDEX('PRICING'!$F$7:$F$16,MATCH(F1190,'PRICING'!$A$7:$A$16,0))/60),2)),""))</f>
        <v/>
      </c>
      <c r="R1190" s="97">
        <f>IF(B1190="","",IF(N(K1190)&gt;0,K1190,IF(N(J1190)&gt;0,J1190,N(Q1190))))</f>
        <v/>
      </c>
      <c r="S1190" s="55">
        <f>IF(L1190="","",ROUND(L1190*(1+N(M1190)),2))</f>
        <v/>
      </c>
      <c r="T1190" s="55">
        <f>IF(B1190="","",SUMIFS('REVENUE'!$C$5:$C$1504,'REVENUE'!$B$5:$B$1504,A1190))</f>
        <v/>
      </c>
      <c r="U1190" s="55">
        <f>IF(B1190="","",IF(O1190="Completed",MAX(0,N(S1190)-T1190),""))</f>
        <v/>
      </c>
      <c r="V1190" s="49">
        <f>IF(B1190="","",IF(O1190&lt;&gt;"Completed",IF(T1190&gt;0,"Deposit","—"),IF(U1190&lt;=0.005,"Paid",IF(T1190&gt;0,"Partial","Unpaid"))))</f>
        <v/>
      </c>
      <c r="W1190" s="55">
        <f>IF(B1190="","",IFERROR(1/(1/INDEX('STAFF &amp; TASKS'!$C$5:$C$24,MATCH(H1190,'STAFF &amp; TASKS'!$A$5:$A$24,0))),PayRate))</f>
        <v/>
      </c>
      <c r="X1190" s="55">
        <f>IF(B1190="","",IF(OR(O1190="Cancelled",O1190="No-Show"),"",ROUND(R1190*W1190*(1+Burden),2)))</f>
        <v/>
      </c>
      <c r="Y1190" s="55">
        <f>IF(B1190="","",IF(OR(O1190="Cancelled",O1190="No-Show"),"",IF(N1190&lt;&gt;"",N1190,ROUND(R1190*SupHr*IFERROR(INDEX('PRICING'!$G$7:$G$16,MATCH(F1190,'PRICING'!$A$7:$A$16,0)),1),2))))</f>
        <v/>
      </c>
      <c r="Z1190" s="98">
        <f>IF(B1190="","",SUMIFS('MILEAGE'!$J$5:$J$1504,'MILEAGE'!$B$5:$B$1504,A1190))</f>
        <v/>
      </c>
      <c r="AA1190" s="55">
        <f>IF(B1190="","",ROUND(Z1190*MileRate,2))</f>
        <v/>
      </c>
      <c r="AB1190" s="55">
        <f>IF(B1190="","",SUMIFS('REVENUE'!$J$5:$J$1504,'REVENUE'!$B$5:$B$1504,A1190))</f>
        <v/>
      </c>
      <c r="AC1190" s="55">
        <f>IF(L1190="","",IF(OR(O1190="Cancelled",O1190="No-Show"),"",L1190-N(X1190)-N(Y1190)-AA1190-AB1190))</f>
        <v/>
      </c>
      <c r="AD1190" s="99">
        <f>IF(OR(AC1190="",N(L1190)=0),"",AC1190/L1190)</f>
        <v/>
      </c>
      <c r="AE1190" s="55">
        <f>IF(OR(AC1190="",N(R1190)=0),"",L1190/R1190)</f>
        <v/>
      </c>
      <c r="AF1190" s="100">
        <f>IF(OR(N(K1190)=0,N(J1190)+N(Q1190)=0),"",K1190-IF(N(J1190)&gt;0,J1190,Q1190))</f>
        <v/>
      </c>
      <c r="AG1190" s="99">
        <f>IF(B1190="","",IFERROR(AVERAGEIFS('QUALITY CONTROL'!$M$5:$M$304,'QUALITY CONTROL'!$B$5:$B$304,A1190),""))</f>
        <v/>
      </c>
      <c r="AH1190" s="51">
        <f>IF(B1190="","",DATE(YEAR(B1190),MONTH(B1190),1))</f>
        <v/>
      </c>
      <c r="AI1190" s="49">
        <f>IF(D1190="","",IFERROR(INDEX('CUSTOMERS'!$E$5:$E$404,MATCH(D1190,'CUSTOMERS'!$B$5:$B$404,0)),""))</f>
        <v/>
      </c>
      <c r="AJ1190" s="49">
        <f>IF(B1190="","",N(C1190))</f>
        <v/>
      </c>
      <c r="AK1190" s="49">
        <f>IF(OR(B1190="",O1190="Cancelled",O1190="Rescheduled"),"",B1190&amp;"|"&amp;(COUNTIFS('JOBS'!$B$5:$B$1504,B1190,'JOBS'!$AJ$5:$AJ$1504,"&lt;"&amp;AJ1190,'JOBS'!$O$5:$O$1504,"&lt;&gt;Cancelled",'JOBS'!$O$5:$O$1504,"&lt;&gt;Rescheduled")+COUNTIFS($B$5:B1190,B1190,$AJ$5:AJ1190,AJ1190,$O$5:O1190,"&lt;&gt;Cancelled",$O$5:O1190,"&lt;&gt;Rescheduled")))</f>
        <v/>
      </c>
      <c r="AL1190" s="49">
        <f>IF(N(U1190)&lt;=0.005,"",COUNTIFS('JOBS'!$U$5:$U$1504,"&gt;0.005",'JOBS'!$B$5:$B$1504,"&lt;"&amp;B1190)+COUNTIFS($U$5:U1190,"&gt;0.005",$B$5:B1190,B1190))</f>
        <v/>
      </c>
    </row>
    <row r="1191">
      <c r="A1191" s="46" t="inlineStr">
        <is>
          <t>J-1187</t>
        </is>
      </c>
      <c r="B1191" s="47" t="n"/>
      <c r="C1191" s="94" t="n"/>
      <c r="D1191" s="38" t="n"/>
      <c r="E1191" s="38" t="n"/>
      <c r="F1191" s="38" t="n"/>
      <c r="G1191" s="38" t="n"/>
      <c r="H1191" s="38" t="n"/>
      <c r="I1191" s="57" t="n"/>
      <c r="J1191" s="95" t="n"/>
      <c r="K1191" s="95" t="n"/>
      <c r="L1191" s="48" t="n"/>
      <c r="M1191" s="96" t="n"/>
      <c r="N1191" s="48" t="n"/>
      <c r="O1191" s="38" t="n"/>
      <c r="P1191" s="38" t="n"/>
      <c r="Q1191" s="97">
        <f>IF(OR(F1191="",E1191=""),"",IFERROR(IF(INDEX('PROPERTIES'!$F$5:$F$404,MATCH(E1191,'PROPERTIES'!$B$5:$B$404,0))=0,"",ROUND((INDEX('PROPERTIES'!$F$5:$F$404,MATCH(E1191,'PROPERTIES'!$B$5:$B$404,0))/INDEX('PRICING'!$C$7:$C$16,MATCH(F1191,'PRICING'!$A$7:$A$16,0))+INDEX('PROPERTIES'!$G$5:$G$404,MATCH(E1191,'PROPERTIES'!$B$5:$B$404,0))*INDEX('PRICING'!$D$7:$D$16,MATCH(F1191,'PRICING'!$A$7:$A$16,0))/60+INDEX('PROPERTIES'!$H$5:$H$404,MATCH(E1191,'PROPERTIES'!$B$5:$B$404,0))*INDEX('PRICING'!$E$7:$E$16,MATCH(F1191,'PRICING'!$A$7:$A$16,0))/60+INDEX('PRICING'!$F$7:$F$16,MATCH(F1191,'PRICING'!$A$7:$A$16,0))/60),2)),""))</f>
        <v/>
      </c>
      <c r="R1191" s="97">
        <f>IF(B1191="","",IF(N(K1191)&gt;0,K1191,IF(N(J1191)&gt;0,J1191,N(Q1191))))</f>
        <v/>
      </c>
      <c r="S1191" s="55">
        <f>IF(L1191="","",ROUND(L1191*(1+N(M1191)),2))</f>
        <v/>
      </c>
      <c r="T1191" s="55">
        <f>IF(B1191="","",SUMIFS('REVENUE'!$C$5:$C$1504,'REVENUE'!$B$5:$B$1504,A1191))</f>
        <v/>
      </c>
      <c r="U1191" s="55">
        <f>IF(B1191="","",IF(O1191="Completed",MAX(0,N(S1191)-T1191),""))</f>
        <v/>
      </c>
      <c r="V1191" s="49">
        <f>IF(B1191="","",IF(O1191&lt;&gt;"Completed",IF(T1191&gt;0,"Deposit","—"),IF(U1191&lt;=0.005,"Paid",IF(T1191&gt;0,"Partial","Unpaid"))))</f>
        <v/>
      </c>
      <c r="W1191" s="55">
        <f>IF(B1191="","",IFERROR(1/(1/INDEX('STAFF &amp; TASKS'!$C$5:$C$24,MATCH(H1191,'STAFF &amp; TASKS'!$A$5:$A$24,0))),PayRate))</f>
        <v/>
      </c>
      <c r="X1191" s="55">
        <f>IF(B1191="","",IF(OR(O1191="Cancelled",O1191="No-Show"),"",ROUND(R1191*W1191*(1+Burden),2)))</f>
        <v/>
      </c>
      <c r="Y1191" s="55">
        <f>IF(B1191="","",IF(OR(O1191="Cancelled",O1191="No-Show"),"",IF(N1191&lt;&gt;"",N1191,ROUND(R1191*SupHr*IFERROR(INDEX('PRICING'!$G$7:$G$16,MATCH(F1191,'PRICING'!$A$7:$A$16,0)),1),2))))</f>
        <v/>
      </c>
      <c r="Z1191" s="98">
        <f>IF(B1191="","",SUMIFS('MILEAGE'!$J$5:$J$1504,'MILEAGE'!$B$5:$B$1504,A1191))</f>
        <v/>
      </c>
      <c r="AA1191" s="55">
        <f>IF(B1191="","",ROUND(Z1191*MileRate,2))</f>
        <v/>
      </c>
      <c r="AB1191" s="55">
        <f>IF(B1191="","",SUMIFS('REVENUE'!$J$5:$J$1504,'REVENUE'!$B$5:$B$1504,A1191))</f>
        <v/>
      </c>
      <c r="AC1191" s="55">
        <f>IF(L1191="","",IF(OR(O1191="Cancelled",O1191="No-Show"),"",L1191-N(X1191)-N(Y1191)-AA1191-AB1191))</f>
        <v/>
      </c>
      <c r="AD1191" s="99">
        <f>IF(OR(AC1191="",N(L1191)=0),"",AC1191/L1191)</f>
        <v/>
      </c>
      <c r="AE1191" s="55">
        <f>IF(OR(AC1191="",N(R1191)=0),"",L1191/R1191)</f>
        <v/>
      </c>
      <c r="AF1191" s="100">
        <f>IF(OR(N(K1191)=0,N(J1191)+N(Q1191)=0),"",K1191-IF(N(J1191)&gt;0,J1191,Q1191))</f>
        <v/>
      </c>
      <c r="AG1191" s="99">
        <f>IF(B1191="","",IFERROR(AVERAGEIFS('QUALITY CONTROL'!$M$5:$M$304,'QUALITY CONTROL'!$B$5:$B$304,A1191),""))</f>
        <v/>
      </c>
      <c r="AH1191" s="51">
        <f>IF(B1191="","",DATE(YEAR(B1191),MONTH(B1191),1))</f>
        <v/>
      </c>
      <c r="AI1191" s="49">
        <f>IF(D1191="","",IFERROR(INDEX('CUSTOMERS'!$E$5:$E$404,MATCH(D1191,'CUSTOMERS'!$B$5:$B$404,0)),""))</f>
        <v/>
      </c>
      <c r="AJ1191" s="49">
        <f>IF(B1191="","",N(C1191))</f>
        <v/>
      </c>
      <c r="AK1191" s="49">
        <f>IF(OR(B1191="",O1191="Cancelled",O1191="Rescheduled"),"",B1191&amp;"|"&amp;(COUNTIFS('JOBS'!$B$5:$B$1504,B1191,'JOBS'!$AJ$5:$AJ$1504,"&lt;"&amp;AJ1191,'JOBS'!$O$5:$O$1504,"&lt;&gt;Cancelled",'JOBS'!$O$5:$O$1504,"&lt;&gt;Rescheduled")+COUNTIFS($B$5:B1191,B1191,$AJ$5:AJ1191,AJ1191,$O$5:O1191,"&lt;&gt;Cancelled",$O$5:O1191,"&lt;&gt;Rescheduled")))</f>
        <v/>
      </c>
      <c r="AL1191" s="49">
        <f>IF(N(U1191)&lt;=0.005,"",COUNTIFS('JOBS'!$U$5:$U$1504,"&gt;0.005",'JOBS'!$B$5:$B$1504,"&lt;"&amp;B1191)+COUNTIFS($U$5:U1191,"&gt;0.005",$B$5:B1191,B1191))</f>
        <v/>
      </c>
    </row>
    <row r="1192">
      <c r="A1192" s="46" t="inlineStr">
        <is>
          <t>J-1188</t>
        </is>
      </c>
      <c r="B1192" s="47" t="n"/>
      <c r="C1192" s="94" t="n"/>
      <c r="D1192" s="38" t="n"/>
      <c r="E1192" s="38" t="n"/>
      <c r="F1192" s="38" t="n"/>
      <c r="G1192" s="38" t="n"/>
      <c r="H1192" s="38" t="n"/>
      <c r="I1192" s="57" t="n"/>
      <c r="J1192" s="95" t="n"/>
      <c r="K1192" s="95" t="n"/>
      <c r="L1192" s="48" t="n"/>
      <c r="M1192" s="96" t="n"/>
      <c r="N1192" s="48" t="n"/>
      <c r="O1192" s="38" t="n"/>
      <c r="P1192" s="38" t="n"/>
      <c r="Q1192" s="97">
        <f>IF(OR(F1192="",E1192=""),"",IFERROR(IF(INDEX('PROPERTIES'!$F$5:$F$404,MATCH(E1192,'PROPERTIES'!$B$5:$B$404,0))=0,"",ROUND((INDEX('PROPERTIES'!$F$5:$F$404,MATCH(E1192,'PROPERTIES'!$B$5:$B$404,0))/INDEX('PRICING'!$C$7:$C$16,MATCH(F1192,'PRICING'!$A$7:$A$16,0))+INDEX('PROPERTIES'!$G$5:$G$404,MATCH(E1192,'PROPERTIES'!$B$5:$B$404,0))*INDEX('PRICING'!$D$7:$D$16,MATCH(F1192,'PRICING'!$A$7:$A$16,0))/60+INDEX('PROPERTIES'!$H$5:$H$404,MATCH(E1192,'PROPERTIES'!$B$5:$B$404,0))*INDEX('PRICING'!$E$7:$E$16,MATCH(F1192,'PRICING'!$A$7:$A$16,0))/60+INDEX('PRICING'!$F$7:$F$16,MATCH(F1192,'PRICING'!$A$7:$A$16,0))/60),2)),""))</f>
        <v/>
      </c>
      <c r="R1192" s="97">
        <f>IF(B1192="","",IF(N(K1192)&gt;0,K1192,IF(N(J1192)&gt;0,J1192,N(Q1192))))</f>
        <v/>
      </c>
      <c r="S1192" s="55">
        <f>IF(L1192="","",ROUND(L1192*(1+N(M1192)),2))</f>
        <v/>
      </c>
      <c r="T1192" s="55">
        <f>IF(B1192="","",SUMIFS('REVENUE'!$C$5:$C$1504,'REVENUE'!$B$5:$B$1504,A1192))</f>
        <v/>
      </c>
      <c r="U1192" s="55">
        <f>IF(B1192="","",IF(O1192="Completed",MAX(0,N(S1192)-T1192),""))</f>
        <v/>
      </c>
      <c r="V1192" s="49">
        <f>IF(B1192="","",IF(O1192&lt;&gt;"Completed",IF(T1192&gt;0,"Deposit","—"),IF(U1192&lt;=0.005,"Paid",IF(T1192&gt;0,"Partial","Unpaid"))))</f>
        <v/>
      </c>
      <c r="W1192" s="55">
        <f>IF(B1192="","",IFERROR(1/(1/INDEX('STAFF &amp; TASKS'!$C$5:$C$24,MATCH(H1192,'STAFF &amp; TASKS'!$A$5:$A$24,0))),PayRate))</f>
        <v/>
      </c>
      <c r="X1192" s="55">
        <f>IF(B1192="","",IF(OR(O1192="Cancelled",O1192="No-Show"),"",ROUND(R1192*W1192*(1+Burden),2)))</f>
        <v/>
      </c>
      <c r="Y1192" s="55">
        <f>IF(B1192="","",IF(OR(O1192="Cancelled",O1192="No-Show"),"",IF(N1192&lt;&gt;"",N1192,ROUND(R1192*SupHr*IFERROR(INDEX('PRICING'!$G$7:$G$16,MATCH(F1192,'PRICING'!$A$7:$A$16,0)),1),2))))</f>
        <v/>
      </c>
      <c r="Z1192" s="98">
        <f>IF(B1192="","",SUMIFS('MILEAGE'!$J$5:$J$1504,'MILEAGE'!$B$5:$B$1504,A1192))</f>
        <v/>
      </c>
      <c r="AA1192" s="55">
        <f>IF(B1192="","",ROUND(Z1192*MileRate,2))</f>
        <v/>
      </c>
      <c r="AB1192" s="55">
        <f>IF(B1192="","",SUMIFS('REVENUE'!$J$5:$J$1504,'REVENUE'!$B$5:$B$1504,A1192))</f>
        <v/>
      </c>
      <c r="AC1192" s="55">
        <f>IF(L1192="","",IF(OR(O1192="Cancelled",O1192="No-Show"),"",L1192-N(X1192)-N(Y1192)-AA1192-AB1192))</f>
        <v/>
      </c>
      <c r="AD1192" s="99">
        <f>IF(OR(AC1192="",N(L1192)=0),"",AC1192/L1192)</f>
        <v/>
      </c>
      <c r="AE1192" s="55">
        <f>IF(OR(AC1192="",N(R1192)=0),"",L1192/R1192)</f>
        <v/>
      </c>
      <c r="AF1192" s="100">
        <f>IF(OR(N(K1192)=0,N(J1192)+N(Q1192)=0),"",K1192-IF(N(J1192)&gt;0,J1192,Q1192))</f>
        <v/>
      </c>
      <c r="AG1192" s="99">
        <f>IF(B1192="","",IFERROR(AVERAGEIFS('QUALITY CONTROL'!$M$5:$M$304,'QUALITY CONTROL'!$B$5:$B$304,A1192),""))</f>
        <v/>
      </c>
      <c r="AH1192" s="51">
        <f>IF(B1192="","",DATE(YEAR(B1192),MONTH(B1192),1))</f>
        <v/>
      </c>
      <c r="AI1192" s="49">
        <f>IF(D1192="","",IFERROR(INDEX('CUSTOMERS'!$E$5:$E$404,MATCH(D1192,'CUSTOMERS'!$B$5:$B$404,0)),""))</f>
        <v/>
      </c>
      <c r="AJ1192" s="49">
        <f>IF(B1192="","",N(C1192))</f>
        <v/>
      </c>
      <c r="AK1192" s="49">
        <f>IF(OR(B1192="",O1192="Cancelled",O1192="Rescheduled"),"",B1192&amp;"|"&amp;(COUNTIFS('JOBS'!$B$5:$B$1504,B1192,'JOBS'!$AJ$5:$AJ$1504,"&lt;"&amp;AJ1192,'JOBS'!$O$5:$O$1504,"&lt;&gt;Cancelled",'JOBS'!$O$5:$O$1504,"&lt;&gt;Rescheduled")+COUNTIFS($B$5:B1192,B1192,$AJ$5:AJ1192,AJ1192,$O$5:O1192,"&lt;&gt;Cancelled",$O$5:O1192,"&lt;&gt;Rescheduled")))</f>
        <v/>
      </c>
      <c r="AL1192" s="49">
        <f>IF(N(U1192)&lt;=0.005,"",COUNTIFS('JOBS'!$U$5:$U$1504,"&gt;0.005",'JOBS'!$B$5:$B$1504,"&lt;"&amp;B1192)+COUNTIFS($U$5:U1192,"&gt;0.005",$B$5:B1192,B1192))</f>
        <v/>
      </c>
    </row>
    <row r="1193">
      <c r="A1193" s="46" t="inlineStr">
        <is>
          <t>J-1189</t>
        </is>
      </c>
      <c r="B1193" s="47" t="n"/>
      <c r="C1193" s="94" t="n"/>
      <c r="D1193" s="38" t="n"/>
      <c r="E1193" s="38" t="n"/>
      <c r="F1193" s="38" t="n"/>
      <c r="G1193" s="38" t="n"/>
      <c r="H1193" s="38" t="n"/>
      <c r="I1193" s="57" t="n"/>
      <c r="J1193" s="95" t="n"/>
      <c r="K1193" s="95" t="n"/>
      <c r="L1193" s="48" t="n"/>
      <c r="M1193" s="96" t="n"/>
      <c r="N1193" s="48" t="n"/>
      <c r="O1193" s="38" t="n"/>
      <c r="P1193" s="38" t="n"/>
      <c r="Q1193" s="97">
        <f>IF(OR(F1193="",E1193=""),"",IFERROR(IF(INDEX('PROPERTIES'!$F$5:$F$404,MATCH(E1193,'PROPERTIES'!$B$5:$B$404,0))=0,"",ROUND((INDEX('PROPERTIES'!$F$5:$F$404,MATCH(E1193,'PROPERTIES'!$B$5:$B$404,0))/INDEX('PRICING'!$C$7:$C$16,MATCH(F1193,'PRICING'!$A$7:$A$16,0))+INDEX('PROPERTIES'!$G$5:$G$404,MATCH(E1193,'PROPERTIES'!$B$5:$B$404,0))*INDEX('PRICING'!$D$7:$D$16,MATCH(F1193,'PRICING'!$A$7:$A$16,0))/60+INDEX('PROPERTIES'!$H$5:$H$404,MATCH(E1193,'PROPERTIES'!$B$5:$B$404,0))*INDEX('PRICING'!$E$7:$E$16,MATCH(F1193,'PRICING'!$A$7:$A$16,0))/60+INDEX('PRICING'!$F$7:$F$16,MATCH(F1193,'PRICING'!$A$7:$A$16,0))/60),2)),""))</f>
        <v/>
      </c>
      <c r="R1193" s="97">
        <f>IF(B1193="","",IF(N(K1193)&gt;0,K1193,IF(N(J1193)&gt;0,J1193,N(Q1193))))</f>
        <v/>
      </c>
      <c r="S1193" s="55">
        <f>IF(L1193="","",ROUND(L1193*(1+N(M1193)),2))</f>
        <v/>
      </c>
      <c r="T1193" s="55">
        <f>IF(B1193="","",SUMIFS('REVENUE'!$C$5:$C$1504,'REVENUE'!$B$5:$B$1504,A1193))</f>
        <v/>
      </c>
      <c r="U1193" s="55">
        <f>IF(B1193="","",IF(O1193="Completed",MAX(0,N(S1193)-T1193),""))</f>
        <v/>
      </c>
      <c r="V1193" s="49">
        <f>IF(B1193="","",IF(O1193&lt;&gt;"Completed",IF(T1193&gt;0,"Deposit","—"),IF(U1193&lt;=0.005,"Paid",IF(T1193&gt;0,"Partial","Unpaid"))))</f>
        <v/>
      </c>
      <c r="W1193" s="55">
        <f>IF(B1193="","",IFERROR(1/(1/INDEX('STAFF &amp; TASKS'!$C$5:$C$24,MATCH(H1193,'STAFF &amp; TASKS'!$A$5:$A$24,0))),PayRate))</f>
        <v/>
      </c>
      <c r="X1193" s="55">
        <f>IF(B1193="","",IF(OR(O1193="Cancelled",O1193="No-Show"),"",ROUND(R1193*W1193*(1+Burden),2)))</f>
        <v/>
      </c>
      <c r="Y1193" s="55">
        <f>IF(B1193="","",IF(OR(O1193="Cancelled",O1193="No-Show"),"",IF(N1193&lt;&gt;"",N1193,ROUND(R1193*SupHr*IFERROR(INDEX('PRICING'!$G$7:$G$16,MATCH(F1193,'PRICING'!$A$7:$A$16,0)),1),2))))</f>
        <v/>
      </c>
      <c r="Z1193" s="98">
        <f>IF(B1193="","",SUMIFS('MILEAGE'!$J$5:$J$1504,'MILEAGE'!$B$5:$B$1504,A1193))</f>
        <v/>
      </c>
      <c r="AA1193" s="55">
        <f>IF(B1193="","",ROUND(Z1193*MileRate,2))</f>
        <v/>
      </c>
      <c r="AB1193" s="55">
        <f>IF(B1193="","",SUMIFS('REVENUE'!$J$5:$J$1504,'REVENUE'!$B$5:$B$1504,A1193))</f>
        <v/>
      </c>
      <c r="AC1193" s="55">
        <f>IF(L1193="","",IF(OR(O1193="Cancelled",O1193="No-Show"),"",L1193-N(X1193)-N(Y1193)-AA1193-AB1193))</f>
        <v/>
      </c>
      <c r="AD1193" s="99">
        <f>IF(OR(AC1193="",N(L1193)=0),"",AC1193/L1193)</f>
        <v/>
      </c>
      <c r="AE1193" s="55">
        <f>IF(OR(AC1193="",N(R1193)=0),"",L1193/R1193)</f>
        <v/>
      </c>
      <c r="AF1193" s="100">
        <f>IF(OR(N(K1193)=0,N(J1193)+N(Q1193)=0),"",K1193-IF(N(J1193)&gt;0,J1193,Q1193))</f>
        <v/>
      </c>
      <c r="AG1193" s="99">
        <f>IF(B1193="","",IFERROR(AVERAGEIFS('QUALITY CONTROL'!$M$5:$M$304,'QUALITY CONTROL'!$B$5:$B$304,A1193),""))</f>
        <v/>
      </c>
      <c r="AH1193" s="51">
        <f>IF(B1193="","",DATE(YEAR(B1193),MONTH(B1193),1))</f>
        <v/>
      </c>
      <c r="AI1193" s="49">
        <f>IF(D1193="","",IFERROR(INDEX('CUSTOMERS'!$E$5:$E$404,MATCH(D1193,'CUSTOMERS'!$B$5:$B$404,0)),""))</f>
        <v/>
      </c>
      <c r="AJ1193" s="49">
        <f>IF(B1193="","",N(C1193))</f>
        <v/>
      </c>
      <c r="AK1193" s="49">
        <f>IF(OR(B1193="",O1193="Cancelled",O1193="Rescheduled"),"",B1193&amp;"|"&amp;(COUNTIFS('JOBS'!$B$5:$B$1504,B1193,'JOBS'!$AJ$5:$AJ$1504,"&lt;"&amp;AJ1193,'JOBS'!$O$5:$O$1504,"&lt;&gt;Cancelled",'JOBS'!$O$5:$O$1504,"&lt;&gt;Rescheduled")+COUNTIFS($B$5:B1193,B1193,$AJ$5:AJ1193,AJ1193,$O$5:O1193,"&lt;&gt;Cancelled",$O$5:O1193,"&lt;&gt;Rescheduled")))</f>
        <v/>
      </c>
      <c r="AL1193" s="49">
        <f>IF(N(U1193)&lt;=0.005,"",COUNTIFS('JOBS'!$U$5:$U$1504,"&gt;0.005",'JOBS'!$B$5:$B$1504,"&lt;"&amp;B1193)+COUNTIFS($U$5:U1193,"&gt;0.005",$B$5:B1193,B1193))</f>
        <v/>
      </c>
    </row>
    <row r="1194">
      <c r="A1194" s="46" t="inlineStr">
        <is>
          <t>J-1190</t>
        </is>
      </c>
      <c r="B1194" s="47" t="n"/>
      <c r="C1194" s="94" t="n"/>
      <c r="D1194" s="38" t="n"/>
      <c r="E1194" s="38" t="n"/>
      <c r="F1194" s="38" t="n"/>
      <c r="G1194" s="38" t="n"/>
      <c r="H1194" s="38" t="n"/>
      <c r="I1194" s="57" t="n"/>
      <c r="J1194" s="95" t="n"/>
      <c r="K1194" s="95" t="n"/>
      <c r="L1194" s="48" t="n"/>
      <c r="M1194" s="96" t="n"/>
      <c r="N1194" s="48" t="n"/>
      <c r="O1194" s="38" t="n"/>
      <c r="P1194" s="38" t="n"/>
      <c r="Q1194" s="97">
        <f>IF(OR(F1194="",E1194=""),"",IFERROR(IF(INDEX('PROPERTIES'!$F$5:$F$404,MATCH(E1194,'PROPERTIES'!$B$5:$B$404,0))=0,"",ROUND((INDEX('PROPERTIES'!$F$5:$F$404,MATCH(E1194,'PROPERTIES'!$B$5:$B$404,0))/INDEX('PRICING'!$C$7:$C$16,MATCH(F1194,'PRICING'!$A$7:$A$16,0))+INDEX('PROPERTIES'!$G$5:$G$404,MATCH(E1194,'PROPERTIES'!$B$5:$B$404,0))*INDEX('PRICING'!$D$7:$D$16,MATCH(F1194,'PRICING'!$A$7:$A$16,0))/60+INDEX('PROPERTIES'!$H$5:$H$404,MATCH(E1194,'PROPERTIES'!$B$5:$B$404,0))*INDEX('PRICING'!$E$7:$E$16,MATCH(F1194,'PRICING'!$A$7:$A$16,0))/60+INDEX('PRICING'!$F$7:$F$16,MATCH(F1194,'PRICING'!$A$7:$A$16,0))/60),2)),""))</f>
        <v/>
      </c>
      <c r="R1194" s="97">
        <f>IF(B1194="","",IF(N(K1194)&gt;0,K1194,IF(N(J1194)&gt;0,J1194,N(Q1194))))</f>
        <v/>
      </c>
      <c r="S1194" s="55">
        <f>IF(L1194="","",ROUND(L1194*(1+N(M1194)),2))</f>
        <v/>
      </c>
      <c r="T1194" s="55">
        <f>IF(B1194="","",SUMIFS('REVENUE'!$C$5:$C$1504,'REVENUE'!$B$5:$B$1504,A1194))</f>
        <v/>
      </c>
      <c r="U1194" s="55">
        <f>IF(B1194="","",IF(O1194="Completed",MAX(0,N(S1194)-T1194),""))</f>
        <v/>
      </c>
      <c r="V1194" s="49">
        <f>IF(B1194="","",IF(O1194&lt;&gt;"Completed",IF(T1194&gt;0,"Deposit","—"),IF(U1194&lt;=0.005,"Paid",IF(T1194&gt;0,"Partial","Unpaid"))))</f>
        <v/>
      </c>
      <c r="W1194" s="55">
        <f>IF(B1194="","",IFERROR(1/(1/INDEX('STAFF &amp; TASKS'!$C$5:$C$24,MATCH(H1194,'STAFF &amp; TASKS'!$A$5:$A$24,0))),PayRate))</f>
        <v/>
      </c>
      <c r="X1194" s="55">
        <f>IF(B1194="","",IF(OR(O1194="Cancelled",O1194="No-Show"),"",ROUND(R1194*W1194*(1+Burden),2)))</f>
        <v/>
      </c>
      <c r="Y1194" s="55">
        <f>IF(B1194="","",IF(OR(O1194="Cancelled",O1194="No-Show"),"",IF(N1194&lt;&gt;"",N1194,ROUND(R1194*SupHr*IFERROR(INDEX('PRICING'!$G$7:$G$16,MATCH(F1194,'PRICING'!$A$7:$A$16,0)),1),2))))</f>
        <v/>
      </c>
      <c r="Z1194" s="98">
        <f>IF(B1194="","",SUMIFS('MILEAGE'!$J$5:$J$1504,'MILEAGE'!$B$5:$B$1504,A1194))</f>
        <v/>
      </c>
      <c r="AA1194" s="55">
        <f>IF(B1194="","",ROUND(Z1194*MileRate,2))</f>
        <v/>
      </c>
      <c r="AB1194" s="55">
        <f>IF(B1194="","",SUMIFS('REVENUE'!$J$5:$J$1504,'REVENUE'!$B$5:$B$1504,A1194))</f>
        <v/>
      </c>
      <c r="AC1194" s="55">
        <f>IF(L1194="","",IF(OR(O1194="Cancelled",O1194="No-Show"),"",L1194-N(X1194)-N(Y1194)-AA1194-AB1194))</f>
        <v/>
      </c>
      <c r="AD1194" s="99">
        <f>IF(OR(AC1194="",N(L1194)=0),"",AC1194/L1194)</f>
        <v/>
      </c>
      <c r="AE1194" s="55">
        <f>IF(OR(AC1194="",N(R1194)=0),"",L1194/R1194)</f>
        <v/>
      </c>
      <c r="AF1194" s="100">
        <f>IF(OR(N(K1194)=0,N(J1194)+N(Q1194)=0),"",K1194-IF(N(J1194)&gt;0,J1194,Q1194))</f>
        <v/>
      </c>
      <c r="AG1194" s="99">
        <f>IF(B1194="","",IFERROR(AVERAGEIFS('QUALITY CONTROL'!$M$5:$M$304,'QUALITY CONTROL'!$B$5:$B$304,A1194),""))</f>
        <v/>
      </c>
      <c r="AH1194" s="51">
        <f>IF(B1194="","",DATE(YEAR(B1194),MONTH(B1194),1))</f>
        <v/>
      </c>
      <c r="AI1194" s="49">
        <f>IF(D1194="","",IFERROR(INDEX('CUSTOMERS'!$E$5:$E$404,MATCH(D1194,'CUSTOMERS'!$B$5:$B$404,0)),""))</f>
        <v/>
      </c>
      <c r="AJ1194" s="49">
        <f>IF(B1194="","",N(C1194))</f>
        <v/>
      </c>
      <c r="AK1194" s="49">
        <f>IF(OR(B1194="",O1194="Cancelled",O1194="Rescheduled"),"",B1194&amp;"|"&amp;(COUNTIFS('JOBS'!$B$5:$B$1504,B1194,'JOBS'!$AJ$5:$AJ$1504,"&lt;"&amp;AJ1194,'JOBS'!$O$5:$O$1504,"&lt;&gt;Cancelled",'JOBS'!$O$5:$O$1504,"&lt;&gt;Rescheduled")+COUNTIFS($B$5:B1194,B1194,$AJ$5:AJ1194,AJ1194,$O$5:O1194,"&lt;&gt;Cancelled",$O$5:O1194,"&lt;&gt;Rescheduled")))</f>
        <v/>
      </c>
      <c r="AL1194" s="49">
        <f>IF(N(U1194)&lt;=0.005,"",COUNTIFS('JOBS'!$U$5:$U$1504,"&gt;0.005",'JOBS'!$B$5:$B$1504,"&lt;"&amp;B1194)+COUNTIFS($U$5:U1194,"&gt;0.005",$B$5:B1194,B1194))</f>
        <v/>
      </c>
    </row>
    <row r="1195">
      <c r="A1195" s="46" t="inlineStr">
        <is>
          <t>J-1191</t>
        </is>
      </c>
      <c r="B1195" s="47" t="n"/>
      <c r="C1195" s="94" t="n"/>
      <c r="D1195" s="38" t="n"/>
      <c r="E1195" s="38" t="n"/>
      <c r="F1195" s="38" t="n"/>
      <c r="G1195" s="38" t="n"/>
      <c r="H1195" s="38" t="n"/>
      <c r="I1195" s="57" t="n"/>
      <c r="J1195" s="95" t="n"/>
      <c r="K1195" s="95" t="n"/>
      <c r="L1195" s="48" t="n"/>
      <c r="M1195" s="96" t="n"/>
      <c r="N1195" s="48" t="n"/>
      <c r="O1195" s="38" t="n"/>
      <c r="P1195" s="38" t="n"/>
      <c r="Q1195" s="97">
        <f>IF(OR(F1195="",E1195=""),"",IFERROR(IF(INDEX('PROPERTIES'!$F$5:$F$404,MATCH(E1195,'PROPERTIES'!$B$5:$B$404,0))=0,"",ROUND((INDEX('PROPERTIES'!$F$5:$F$404,MATCH(E1195,'PROPERTIES'!$B$5:$B$404,0))/INDEX('PRICING'!$C$7:$C$16,MATCH(F1195,'PRICING'!$A$7:$A$16,0))+INDEX('PROPERTIES'!$G$5:$G$404,MATCH(E1195,'PROPERTIES'!$B$5:$B$404,0))*INDEX('PRICING'!$D$7:$D$16,MATCH(F1195,'PRICING'!$A$7:$A$16,0))/60+INDEX('PROPERTIES'!$H$5:$H$404,MATCH(E1195,'PROPERTIES'!$B$5:$B$404,0))*INDEX('PRICING'!$E$7:$E$16,MATCH(F1195,'PRICING'!$A$7:$A$16,0))/60+INDEX('PRICING'!$F$7:$F$16,MATCH(F1195,'PRICING'!$A$7:$A$16,0))/60),2)),""))</f>
        <v/>
      </c>
      <c r="R1195" s="97">
        <f>IF(B1195="","",IF(N(K1195)&gt;0,K1195,IF(N(J1195)&gt;0,J1195,N(Q1195))))</f>
        <v/>
      </c>
      <c r="S1195" s="55">
        <f>IF(L1195="","",ROUND(L1195*(1+N(M1195)),2))</f>
        <v/>
      </c>
      <c r="T1195" s="55">
        <f>IF(B1195="","",SUMIFS('REVENUE'!$C$5:$C$1504,'REVENUE'!$B$5:$B$1504,A1195))</f>
        <v/>
      </c>
      <c r="U1195" s="55">
        <f>IF(B1195="","",IF(O1195="Completed",MAX(0,N(S1195)-T1195),""))</f>
        <v/>
      </c>
      <c r="V1195" s="49">
        <f>IF(B1195="","",IF(O1195&lt;&gt;"Completed",IF(T1195&gt;0,"Deposit","—"),IF(U1195&lt;=0.005,"Paid",IF(T1195&gt;0,"Partial","Unpaid"))))</f>
        <v/>
      </c>
      <c r="W1195" s="55">
        <f>IF(B1195="","",IFERROR(1/(1/INDEX('STAFF &amp; TASKS'!$C$5:$C$24,MATCH(H1195,'STAFF &amp; TASKS'!$A$5:$A$24,0))),PayRate))</f>
        <v/>
      </c>
      <c r="X1195" s="55">
        <f>IF(B1195="","",IF(OR(O1195="Cancelled",O1195="No-Show"),"",ROUND(R1195*W1195*(1+Burden),2)))</f>
        <v/>
      </c>
      <c r="Y1195" s="55">
        <f>IF(B1195="","",IF(OR(O1195="Cancelled",O1195="No-Show"),"",IF(N1195&lt;&gt;"",N1195,ROUND(R1195*SupHr*IFERROR(INDEX('PRICING'!$G$7:$G$16,MATCH(F1195,'PRICING'!$A$7:$A$16,0)),1),2))))</f>
        <v/>
      </c>
      <c r="Z1195" s="98">
        <f>IF(B1195="","",SUMIFS('MILEAGE'!$J$5:$J$1504,'MILEAGE'!$B$5:$B$1504,A1195))</f>
        <v/>
      </c>
      <c r="AA1195" s="55">
        <f>IF(B1195="","",ROUND(Z1195*MileRate,2))</f>
        <v/>
      </c>
      <c r="AB1195" s="55">
        <f>IF(B1195="","",SUMIFS('REVENUE'!$J$5:$J$1504,'REVENUE'!$B$5:$B$1504,A1195))</f>
        <v/>
      </c>
      <c r="AC1195" s="55">
        <f>IF(L1195="","",IF(OR(O1195="Cancelled",O1195="No-Show"),"",L1195-N(X1195)-N(Y1195)-AA1195-AB1195))</f>
        <v/>
      </c>
      <c r="AD1195" s="99">
        <f>IF(OR(AC1195="",N(L1195)=0),"",AC1195/L1195)</f>
        <v/>
      </c>
      <c r="AE1195" s="55">
        <f>IF(OR(AC1195="",N(R1195)=0),"",L1195/R1195)</f>
        <v/>
      </c>
      <c r="AF1195" s="100">
        <f>IF(OR(N(K1195)=0,N(J1195)+N(Q1195)=0),"",K1195-IF(N(J1195)&gt;0,J1195,Q1195))</f>
        <v/>
      </c>
      <c r="AG1195" s="99">
        <f>IF(B1195="","",IFERROR(AVERAGEIFS('QUALITY CONTROL'!$M$5:$M$304,'QUALITY CONTROL'!$B$5:$B$304,A1195),""))</f>
        <v/>
      </c>
      <c r="AH1195" s="51">
        <f>IF(B1195="","",DATE(YEAR(B1195),MONTH(B1195),1))</f>
        <v/>
      </c>
      <c r="AI1195" s="49">
        <f>IF(D1195="","",IFERROR(INDEX('CUSTOMERS'!$E$5:$E$404,MATCH(D1195,'CUSTOMERS'!$B$5:$B$404,0)),""))</f>
        <v/>
      </c>
      <c r="AJ1195" s="49">
        <f>IF(B1195="","",N(C1195))</f>
        <v/>
      </c>
      <c r="AK1195" s="49">
        <f>IF(OR(B1195="",O1195="Cancelled",O1195="Rescheduled"),"",B1195&amp;"|"&amp;(COUNTIFS('JOBS'!$B$5:$B$1504,B1195,'JOBS'!$AJ$5:$AJ$1504,"&lt;"&amp;AJ1195,'JOBS'!$O$5:$O$1504,"&lt;&gt;Cancelled",'JOBS'!$O$5:$O$1504,"&lt;&gt;Rescheduled")+COUNTIFS($B$5:B1195,B1195,$AJ$5:AJ1195,AJ1195,$O$5:O1195,"&lt;&gt;Cancelled",$O$5:O1195,"&lt;&gt;Rescheduled")))</f>
        <v/>
      </c>
      <c r="AL1195" s="49">
        <f>IF(N(U1195)&lt;=0.005,"",COUNTIFS('JOBS'!$U$5:$U$1504,"&gt;0.005",'JOBS'!$B$5:$B$1504,"&lt;"&amp;B1195)+COUNTIFS($U$5:U1195,"&gt;0.005",$B$5:B1195,B1195))</f>
        <v/>
      </c>
    </row>
    <row r="1196">
      <c r="A1196" s="46" t="inlineStr">
        <is>
          <t>J-1192</t>
        </is>
      </c>
      <c r="B1196" s="47" t="n"/>
      <c r="C1196" s="94" t="n"/>
      <c r="D1196" s="38" t="n"/>
      <c r="E1196" s="38" t="n"/>
      <c r="F1196" s="38" t="n"/>
      <c r="G1196" s="38" t="n"/>
      <c r="H1196" s="38" t="n"/>
      <c r="I1196" s="57" t="n"/>
      <c r="J1196" s="95" t="n"/>
      <c r="K1196" s="95" t="n"/>
      <c r="L1196" s="48" t="n"/>
      <c r="M1196" s="96" t="n"/>
      <c r="N1196" s="48" t="n"/>
      <c r="O1196" s="38" t="n"/>
      <c r="P1196" s="38" t="n"/>
      <c r="Q1196" s="97">
        <f>IF(OR(F1196="",E1196=""),"",IFERROR(IF(INDEX('PROPERTIES'!$F$5:$F$404,MATCH(E1196,'PROPERTIES'!$B$5:$B$404,0))=0,"",ROUND((INDEX('PROPERTIES'!$F$5:$F$404,MATCH(E1196,'PROPERTIES'!$B$5:$B$404,0))/INDEX('PRICING'!$C$7:$C$16,MATCH(F1196,'PRICING'!$A$7:$A$16,0))+INDEX('PROPERTIES'!$G$5:$G$404,MATCH(E1196,'PROPERTIES'!$B$5:$B$404,0))*INDEX('PRICING'!$D$7:$D$16,MATCH(F1196,'PRICING'!$A$7:$A$16,0))/60+INDEX('PROPERTIES'!$H$5:$H$404,MATCH(E1196,'PROPERTIES'!$B$5:$B$404,0))*INDEX('PRICING'!$E$7:$E$16,MATCH(F1196,'PRICING'!$A$7:$A$16,0))/60+INDEX('PRICING'!$F$7:$F$16,MATCH(F1196,'PRICING'!$A$7:$A$16,0))/60),2)),""))</f>
        <v/>
      </c>
      <c r="R1196" s="97">
        <f>IF(B1196="","",IF(N(K1196)&gt;0,K1196,IF(N(J1196)&gt;0,J1196,N(Q1196))))</f>
        <v/>
      </c>
      <c r="S1196" s="55">
        <f>IF(L1196="","",ROUND(L1196*(1+N(M1196)),2))</f>
        <v/>
      </c>
      <c r="T1196" s="55">
        <f>IF(B1196="","",SUMIFS('REVENUE'!$C$5:$C$1504,'REVENUE'!$B$5:$B$1504,A1196))</f>
        <v/>
      </c>
      <c r="U1196" s="55">
        <f>IF(B1196="","",IF(O1196="Completed",MAX(0,N(S1196)-T1196),""))</f>
        <v/>
      </c>
      <c r="V1196" s="49">
        <f>IF(B1196="","",IF(O1196&lt;&gt;"Completed",IF(T1196&gt;0,"Deposit","—"),IF(U1196&lt;=0.005,"Paid",IF(T1196&gt;0,"Partial","Unpaid"))))</f>
        <v/>
      </c>
      <c r="W1196" s="55">
        <f>IF(B1196="","",IFERROR(1/(1/INDEX('STAFF &amp; TASKS'!$C$5:$C$24,MATCH(H1196,'STAFF &amp; TASKS'!$A$5:$A$24,0))),PayRate))</f>
        <v/>
      </c>
      <c r="X1196" s="55">
        <f>IF(B1196="","",IF(OR(O1196="Cancelled",O1196="No-Show"),"",ROUND(R1196*W1196*(1+Burden),2)))</f>
        <v/>
      </c>
      <c r="Y1196" s="55">
        <f>IF(B1196="","",IF(OR(O1196="Cancelled",O1196="No-Show"),"",IF(N1196&lt;&gt;"",N1196,ROUND(R1196*SupHr*IFERROR(INDEX('PRICING'!$G$7:$G$16,MATCH(F1196,'PRICING'!$A$7:$A$16,0)),1),2))))</f>
        <v/>
      </c>
      <c r="Z1196" s="98">
        <f>IF(B1196="","",SUMIFS('MILEAGE'!$J$5:$J$1504,'MILEAGE'!$B$5:$B$1504,A1196))</f>
        <v/>
      </c>
      <c r="AA1196" s="55">
        <f>IF(B1196="","",ROUND(Z1196*MileRate,2))</f>
        <v/>
      </c>
      <c r="AB1196" s="55">
        <f>IF(B1196="","",SUMIFS('REVENUE'!$J$5:$J$1504,'REVENUE'!$B$5:$B$1504,A1196))</f>
        <v/>
      </c>
      <c r="AC1196" s="55">
        <f>IF(L1196="","",IF(OR(O1196="Cancelled",O1196="No-Show"),"",L1196-N(X1196)-N(Y1196)-AA1196-AB1196))</f>
        <v/>
      </c>
      <c r="AD1196" s="99">
        <f>IF(OR(AC1196="",N(L1196)=0),"",AC1196/L1196)</f>
        <v/>
      </c>
      <c r="AE1196" s="55">
        <f>IF(OR(AC1196="",N(R1196)=0),"",L1196/R1196)</f>
        <v/>
      </c>
      <c r="AF1196" s="100">
        <f>IF(OR(N(K1196)=0,N(J1196)+N(Q1196)=0),"",K1196-IF(N(J1196)&gt;0,J1196,Q1196))</f>
        <v/>
      </c>
      <c r="AG1196" s="99">
        <f>IF(B1196="","",IFERROR(AVERAGEIFS('QUALITY CONTROL'!$M$5:$M$304,'QUALITY CONTROL'!$B$5:$B$304,A1196),""))</f>
        <v/>
      </c>
      <c r="AH1196" s="51">
        <f>IF(B1196="","",DATE(YEAR(B1196),MONTH(B1196),1))</f>
        <v/>
      </c>
      <c r="AI1196" s="49">
        <f>IF(D1196="","",IFERROR(INDEX('CUSTOMERS'!$E$5:$E$404,MATCH(D1196,'CUSTOMERS'!$B$5:$B$404,0)),""))</f>
        <v/>
      </c>
      <c r="AJ1196" s="49">
        <f>IF(B1196="","",N(C1196))</f>
        <v/>
      </c>
      <c r="AK1196" s="49">
        <f>IF(OR(B1196="",O1196="Cancelled",O1196="Rescheduled"),"",B1196&amp;"|"&amp;(COUNTIFS('JOBS'!$B$5:$B$1504,B1196,'JOBS'!$AJ$5:$AJ$1504,"&lt;"&amp;AJ1196,'JOBS'!$O$5:$O$1504,"&lt;&gt;Cancelled",'JOBS'!$O$5:$O$1504,"&lt;&gt;Rescheduled")+COUNTIFS($B$5:B1196,B1196,$AJ$5:AJ1196,AJ1196,$O$5:O1196,"&lt;&gt;Cancelled",$O$5:O1196,"&lt;&gt;Rescheduled")))</f>
        <v/>
      </c>
      <c r="AL1196" s="49">
        <f>IF(N(U1196)&lt;=0.005,"",COUNTIFS('JOBS'!$U$5:$U$1504,"&gt;0.005",'JOBS'!$B$5:$B$1504,"&lt;"&amp;B1196)+COUNTIFS($U$5:U1196,"&gt;0.005",$B$5:B1196,B1196))</f>
        <v/>
      </c>
    </row>
    <row r="1197">
      <c r="A1197" s="46" t="inlineStr">
        <is>
          <t>J-1193</t>
        </is>
      </c>
      <c r="B1197" s="47" t="n"/>
      <c r="C1197" s="94" t="n"/>
      <c r="D1197" s="38" t="n"/>
      <c r="E1197" s="38" t="n"/>
      <c r="F1197" s="38" t="n"/>
      <c r="G1197" s="38" t="n"/>
      <c r="H1197" s="38" t="n"/>
      <c r="I1197" s="57" t="n"/>
      <c r="J1197" s="95" t="n"/>
      <c r="K1197" s="95" t="n"/>
      <c r="L1197" s="48" t="n"/>
      <c r="M1197" s="96" t="n"/>
      <c r="N1197" s="48" t="n"/>
      <c r="O1197" s="38" t="n"/>
      <c r="P1197" s="38" t="n"/>
      <c r="Q1197" s="97">
        <f>IF(OR(F1197="",E1197=""),"",IFERROR(IF(INDEX('PROPERTIES'!$F$5:$F$404,MATCH(E1197,'PROPERTIES'!$B$5:$B$404,0))=0,"",ROUND((INDEX('PROPERTIES'!$F$5:$F$404,MATCH(E1197,'PROPERTIES'!$B$5:$B$404,0))/INDEX('PRICING'!$C$7:$C$16,MATCH(F1197,'PRICING'!$A$7:$A$16,0))+INDEX('PROPERTIES'!$G$5:$G$404,MATCH(E1197,'PROPERTIES'!$B$5:$B$404,0))*INDEX('PRICING'!$D$7:$D$16,MATCH(F1197,'PRICING'!$A$7:$A$16,0))/60+INDEX('PROPERTIES'!$H$5:$H$404,MATCH(E1197,'PROPERTIES'!$B$5:$B$404,0))*INDEX('PRICING'!$E$7:$E$16,MATCH(F1197,'PRICING'!$A$7:$A$16,0))/60+INDEX('PRICING'!$F$7:$F$16,MATCH(F1197,'PRICING'!$A$7:$A$16,0))/60),2)),""))</f>
        <v/>
      </c>
      <c r="R1197" s="97">
        <f>IF(B1197="","",IF(N(K1197)&gt;0,K1197,IF(N(J1197)&gt;0,J1197,N(Q1197))))</f>
        <v/>
      </c>
      <c r="S1197" s="55">
        <f>IF(L1197="","",ROUND(L1197*(1+N(M1197)),2))</f>
        <v/>
      </c>
      <c r="T1197" s="55">
        <f>IF(B1197="","",SUMIFS('REVENUE'!$C$5:$C$1504,'REVENUE'!$B$5:$B$1504,A1197))</f>
        <v/>
      </c>
      <c r="U1197" s="55">
        <f>IF(B1197="","",IF(O1197="Completed",MAX(0,N(S1197)-T1197),""))</f>
        <v/>
      </c>
      <c r="V1197" s="49">
        <f>IF(B1197="","",IF(O1197&lt;&gt;"Completed",IF(T1197&gt;0,"Deposit","—"),IF(U1197&lt;=0.005,"Paid",IF(T1197&gt;0,"Partial","Unpaid"))))</f>
        <v/>
      </c>
      <c r="W1197" s="55">
        <f>IF(B1197="","",IFERROR(1/(1/INDEX('STAFF &amp; TASKS'!$C$5:$C$24,MATCH(H1197,'STAFF &amp; TASKS'!$A$5:$A$24,0))),PayRate))</f>
        <v/>
      </c>
      <c r="X1197" s="55">
        <f>IF(B1197="","",IF(OR(O1197="Cancelled",O1197="No-Show"),"",ROUND(R1197*W1197*(1+Burden),2)))</f>
        <v/>
      </c>
      <c r="Y1197" s="55">
        <f>IF(B1197="","",IF(OR(O1197="Cancelled",O1197="No-Show"),"",IF(N1197&lt;&gt;"",N1197,ROUND(R1197*SupHr*IFERROR(INDEX('PRICING'!$G$7:$G$16,MATCH(F1197,'PRICING'!$A$7:$A$16,0)),1),2))))</f>
        <v/>
      </c>
      <c r="Z1197" s="98">
        <f>IF(B1197="","",SUMIFS('MILEAGE'!$J$5:$J$1504,'MILEAGE'!$B$5:$B$1504,A1197))</f>
        <v/>
      </c>
      <c r="AA1197" s="55">
        <f>IF(B1197="","",ROUND(Z1197*MileRate,2))</f>
        <v/>
      </c>
      <c r="AB1197" s="55">
        <f>IF(B1197="","",SUMIFS('REVENUE'!$J$5:$J$1504,'REVENUE'!$B$5:$B$1504,A1197))</f>
        <v/>
      </c>
      <c r="AC1197" s="55">
        <f>IF(L1197="","",IF(OR(O1197="Cancelled",O1197="No-Show"),"",L1197-N(X1197)-N(Y1197)-AA1197-AB1197))</f>
        <v/>
      </c>
      <c r="AD1197" s="99">
        <f>IF(OR(AC1197="",N(L1197)=0),"",AC1197/L1197)</f>
        <v/>
      </c>
      <c r="AE1197" s="55">
        <f>IF(OR(AC1197="",N(R1197)=0),"",L1197/R1197)</f>
        <v/>
      </c>
      <c r="AF1197" s="100">
        <f>IF(OR(N(K1197)=0,N(J1197)+N(Q1197)=0),"",K1197-IF(N(J1197)&gt;0,J1197,Q1197))</f>
        <v/>
      </c>
      <c r="AG1197" s="99">
        <f>IF(B1197="","",IFERROR(AVERAGEIFS('QUALITY CONTROL'!$M$5:$M$304,'QUALITY CONTROL'!$B$5:$B$304,A1197),""))</f>
        <v/>
      </c>
      <c r="AH1197" s="51">
        <f>IF(B1197="","",DATE(YEAR(B1197),MONTH(B1197),1))</f>
        <v/>
      </c>
      <c r="AI1197" s="49">
        <f>IF(D1197="","",IFERROR(INDEX('CUSTOMERS'!$E$5:$E$404,MATCH(D1197,'CUSTOMERS'!$B$5:$B$404,0)),""))</f>
        <v/>
      </c>
      <c r="AJ1197" s="49">
        <f>IF(B1197="","",N(C1197))</f>
        <v/>
      </c>
      <c r="AK1197" s="49">
        <f>IF(OR(B1197="",O1197="Cancelled",O1197="Rescheduled"),"",B1197&amp;"|"&amp;(COUNTIFS('JOBS'!$B$5:$B$1504,B1197,'JOBS'!$AJ$5:$AJ$1504,"&lt;"&amp;AJ1197,'JOBS'!$O$5:$O$1504,"&lt;&gt;Cancelled",'JOBS'!$O$5:$O$1504,"&lt;&gt;Rescheduled")+COUNTIFS($B$5:B1197,B1197,$AJ$5:AJ1197,AJ1197,$O$5:O1197,"&lt;&gt;Cancelled",$O$5:O1197,"&lt;&gt;Rescheduled")))</f>
        <v/>
      </c>
      <c r="AL1197" s="49">
        <f>IF(N(U1197)&lt;=0.005,"",COUNTIFS('JOBS'!$U$5:$U$1504,"&gt;0.005",'JOBS'!$B$5:$B$1504,"&lt;"&amp;B1197)+COUNTIFS($U$5:U1197,"&gt;0.005",$B$5:B1197,B1197))</f>
        <v/>
      </c>
    </row>
    <row r="1198">
      <c r="A1198" s="46" t="inlineStr">
        <is>
          <t>J-1194</t>
        </is>
      </c>
      <c r="B1198" s="47" t="n"/>
      <c r="C1198" s="94" t="n"/>
      <c r="D1198" s="38" t="n"/>
      <c r="E1198" s="38" t="n"/>
      <c r="F1198" s="38" t="n"/>
      <c r="G1198" s="38" t="n"/>
      <c r="H1198" s="38" t="n"/>
      <c r="I1198" s="57" t="n"/>
      <c r="J1198" s="95" t="n"/>
      <c r="K1198" s="95" t="n"/>
      <c r="L1198" s="48" t="n"/>
      <c r="M1198" s="96" t="n"/>
      <c r="N1198" s="48" t="n"/>
      <c r="O1198" s="38" t="n"/>
      <c r="P1198" s="38" t="n"/>
      <c r="Q1198" s="97">
        <f>IF(OR(F1198="",E1198=""),"",IFERROR(IF(INDEX('PROPERTIES'!$F$5:$F$404,MATCH(E1198,'PROPERTIES'!$B$5:$B$404,0))=0,"",ROUND((INDEX('PROPERTIES'!$F$5:$F$404,MATCH(E1198,'PROPERTIES'!$B$5:$B$404,0))/INDEX('PRICING'!$C$7:$C$16,MATCH(F1198,'PRICING'!$A$7:$A$16,0))+INDEX('PROPERTIES'!$G$5:$G$404,MATCH(E1198,'PROPERTIES'!$B$5:$B$404,0))*INDEX('PRICING'!$D$7:$D$16,MATCH(F1198,'PRICING'!$A$7:$A$16,0))/60+INDEX('PROPERTIES'!$H$5:$H$404,MATCH(E1198,'PROPERTIES'!$B$5:$B$404,0))*INDEX('PRICING'!$E$7:$E$16,MATCH(F1198,'PRICING'!$A$7:$A$16,0))/60+INDEX('PRICING'!$F$7:$F$16,MATCH(F1198,'PRICING'!$A$7:$A$16,0))/60),2)),""))</f>
        <v/>
      </c>
      <c r="R1198" s="97">
        <f>IF(B1198="","",IF(N(K1198)&gt;0,K1198,IF(N(J1198)&gt;0,J1198,N(Q1198))))</f>
        <v/>
      </c>
      <c r="S1198" s="55">
        <f>IF(L1198="","",ROUND(L1198*(1+N(M1198)),2))</f>
        <v/>
      </c>
      <c r="T1198" s="55">
        <f>IF(B1198="","",SUMIFS('REVENUE'!$C$5:$C$1504,'REVENUE'!$B$5:$B$1504,A1198))</f>
        <v/>
      </c>
      <c r="U1198" s="55">
        <f>IF(B1198="","",IF(O1198="Completed",MAX(0,N(S1198)-T1198),""))</f>
        <v/>
      </c>
      <c r="V1198" s="49">
        <f>IF(B1198="","",IF(O1198&lt;&gt;"Completed",IF(T1198&gt;0,"Deposit","—"),IF(U1198&lt;=0.005,"Paid",IF(T1198&gt;0,"Partial","Unpaid"))))</f>
        <v/>
      </c>
      <c r="W1198" s="55">
        <f>IF(B1198="","",IFERROR(1/(1/INDEX('STAFF &amp; TASKS'!$C$5:$C$24,MATCH(H1198,'STAFF &amp; TASKS'!$A$5:$A$24,0))),PayRate))</f>
        <v/>
      </c>
      <c r="X1198" s="55">
        <f>IF(B1198="","",IF(OR(O1198="Cancelled",O1198="No-Show"),"",ROUND(R1198*W1198*(1+Burden),2)))</f>
        <v/>
      </c>
      <c r="Y1198" s="55">
        <f>IF(B1198="","",IF(OR(O1198="Cancelled",O1198="No-Show"),"",IF(N1198&lt;&gt;"",N1198,ROUND(R1198*SupHr*IFERROR(INDEX('PRICING'!$G$7:$G$16,MATCH(F1198,'PRICING'!$A$7:$A$16,0)),1),2))))</f>
        <v/>
      </c>
      <c r="Z1198" s="98">
        <f>IF(B1198="","",SUMIFS('MILEAGE'!$J$5:$J$1504,'MILEAGE'!$B$5:$B$1504,A1198))</f>
        <v/>
      </c>
      <c r="AA1198" s="55">
        <f>IF(B1198="","",ROUND(Z1198*MileRate,2))</f>
        <v/>
      </c>
      <c r="AB1198" s="55">
        <f>IF(B1198="","",SUMIFS('REVENUE'!$J$5:$J$1504,'REVENUE'!$B$5:$B$1504,A1198))</f>
        <v/>
      </c>
      <c r="AC1198" s="55">
        <f>IF(L1198="","",IF(OR(O1198="Cancelled",O1198="No-Show"),"",L1198-N(X1198)-N(Y1198)-AA1198-AB1198))</f>
        <v/>
      </c>
      <c r="AD1198" s="99">
        <f>IF(OR(AC1198="",N(L1198)=0),"",AC1198/L1198)</f>
        <v/>
      </c>
      <c r="AE1198" s="55">
        <f>IF(OR(AC1198="",N(R1198)=0),"",L1198/R1198)</f>
        <v/>
      </c>
      <c r="AF1198" s="100">
        <f>IF(OR(N(K1198)=0,N(J1198)+N(Q1198)=0),"",K1198-IF(N(J1198)&gt;0,J1198,Q1198))</f>
        <v/>
      </c>
      <c r="AG1198" s="99">
        <f>IF(B1198="","",IFERROR(AVERAGEIFS('QUALITY CONTROL'!$M$5:$M$304,'QUALITY CONTROL'!$B$5:$B$304,A1198),""))</f>
        <v/>
      </c>
      <c r="AH1198" s="51">
        <f>IF(B1198="","",DATE(YEAR(B1198),MONTH(B1198),1))</f>
        <v/>
      </c>
      <c r="AI1198" s="49">
        <f>IF(D1198="","",IFERROR(INDEX('CUSTOMERS'!$E$5:$E$404,MATCH(D1198,'CUSTOMERS'!$B$5:$B$404,0)),""))</f>
        <v/>
      </c>
      <c r="AJ1198" s="49">
        <f>IF(B1198="","",N(C1198))</f>
        <v/>
      </c>
      <c r="AK1198" s="49">
        <f>IF(OR(B1198="",O1198="Cancelled",O1198="Rescheduled"),"",B1198&amp;"|"&amp;(COUNTIFS('JOBS'!$B$5:$B$1504,B1198,'JOBS'!$AJ$5:$AJ$1504,"&lt;"&amp;AJ1198,'JOBS'!$O$5:$O$1504,"&lt;&gt;Cancelled",'JOBS'!$O$5:$O$1504,"&lt;&gt;Rescheduled")+COUNTIFS($B$5:B1198,B1198,$AJ$5:AJ1198,AJ1198,$O$5:O1198,"&lt;&gt;Cancelled",$O$5:O1198,"&lt;&gt;Rescheduled")))</f>
        <v/>
      </c>
      <c r="AL1198" s="49">
        <f>IF(N(U1198)&lt;=0.005,"",COUNTIFS('JOBS'!$U$5:$U$1504,"&gt;0.005",'JOBS'!$B$5:$B$1504,"&lt;"&amp;B1198)+COUNTIFS($U$5:U1198,"&gt;0.005",$B$5:B1198,B1198))</f>
        <v/>
      </c>
    </row>
    <row r="1199">
      <c r="A1199" s="46" t="inlineStr">
        <is>
          <t>J-1195</t>
        </is>
      </c>
      <c r="B1199" s="47" t="n"/>
      <c r="C1199" s="94" t="n"/>
      <c r="D1199" s="38" t="n"/>
      <c r="E1199" s="38" t="n"/>
      <c r="F1199" s="38" t="n"/>
      <c r="G1199" s="38" t="n"/>
      <c r="H1199" s="38" t="n"/>
      <c r="I1199" s="57" t="n"/>
      <c r="J1199" s="95" t="n"/>
      <c r="K1199" s="95" t="n"/>
      <c r="L1199" s="48" t="n"/>
      <c r="M1199" s="96" t="n"/>
      <c r="N1199" s="48" t="n"/>
      <c r="O1199" s="38" t="n"/>
      <c r="P1199" s="38" t="n"/>
      <c r="Q1199" s="97">
        <f>IF(OR(F1199="",E1199=""),"",IFERROR(IF(INDEX('PROPERTIES'!$F$5:$F$404,MATCH(E1199,'PROPERTIES'!$B$5:$B$404,0))=0,"",ROUND((INDEX('PROPERTIES'!$F$5:$F$404,MATCH(E1199,'PROPERTIES'!$B$5:$B$404,0))/INDEX('PRICING'!$C$7:$C$16,MATCH(F1199,'PRICING'!$A$7:$A$16,0))+INDEX('PROPERTIES'!$G$5:$G$404,MATCH(E1199,'PROPERTIES'!$B$5:$B$404,0))*INDEX('PRICING'!$D$7:$D$16,MATCH(F1199,'PRICING'!$A$7:$A$16,0))/60+INDEX('PROPERTIES'!$H$5:$H$404,MATCH(E1199,'PROPERTIES'!$B$5:$B$404,0))*INDEX('PRICING'!$E$7:$E$16,MATCH(F1199,'PRICING'!$A$7:$A$16,0))/60+INDEX('PRICING'!$F$7:$F$16,MATCH(F1199,'PRICING'!$A$7:$A$16,0))/60),2)),""))</f>
        <v/>
      </c>
      <c r="R1199" s="97">
        <f>IF(B1199="","",IF(N(K1199)&gt;0,K1199,IF(N(J1199)&gt;0,J1199,N(Q1199))))</f>
        <v/>
      </c>
      <c r="S1199" s="55">
        <f>IF(L1199="","",ROUND(L1199*(1+N(M1199)),2))</f>
        <v/>
      </c>
      <c r="T1199" s="55">
        <f>IF(B1199="","",SUMIFS('REVENUE'!$C$5:$C$1504,'REVENUE'!$B$5:$B$1504,A1199))</f>
        <v/>
      </c>
      <c r="U1199" s="55">
        <f>IF(B1199="","",IF(O1199="Completed",MAX(0,N(S1199)-T1199),""))</f>
        <v/>
      </c>
      <c r="V1199" s="49">
        <f>IF(B1199="","",IF(O1199&lt;&gt;"Completed",IF(T1199&gt;0,"Deposit","—"),IF(U1199&lt;=0.005,"Paid",IF(T1199&gt;0,"Partial","Unpaid"))))</f>
        <v/>
      </c>
      <c r="W1199" s="55">
        <f>IF(B1199="","",IFERROR(1/(1/INDEX('STAFF &amp; TASKS'!$C$5:$C$24,MATCH(H1199,'STAFF &amp; TASKS'!$A$5:$A$24,0))),PayRate))</f>
        <v/>
      </c>
      <c r="X1199" s="55">
        <f>IF(B1199="","",IF(OR(O1199="Cancelled",O1199="No-Show"),"",ROUND(R1199*W1199*(1+Burden),2)))</f>
        <v/>
      </c>
      <c r="Y1199" s="55">
        <f>IF(B1199="","",IF(OR(O1199="Cancelled",O1199="No-Show"),"",IF(N1199&lt;&gt;"",N1199,ROUND(R1199*SupHr*IFERROR(INDEX('PRICING'!$G$7:$G$16,MATCH(F1199,'PRICING'!$A$7:$A$16,0)),1),2))))</f>
        <v/>
      </c>
      <c r="Z1199" s="98">
        <f>IF(B1199="","",SUMIFS('MILEAGE'!$J$5:$J$1504,'MILEAGE'!$B$5:$B$1504,A1199))</f>
        <v/>
      </c>
      <c r="AA1199" s="55">
        <f>IF(B1199="","",ROUND(Z1199*MileRate,2))</f>
        <v/>
      </c>
      <c r="AB1199" s="55">
        <f>IF(B1199="","",SUMIFS('REVENUE'!$J$5:$J$1504,'REVENUE'!$B$5:$B$1504,A1199))</f>
        <v/>
      </c>
      <c r="AC1199" s="55">
        <f>IF(L1199="","",IF(OR(O1199="Cancelled",O1199="No-Show"),"",L1199-N(X1199)-N(Y1199)-AA1199-AB1199))</f>
        <v/>
      </c>
      <c r="AD1199" s="99">
        <f>IF(OR(AC1199="",N(L1199)=0),"",AC1199/L1199)</f>
        <v/>
      </c>
      <c r="AE1199" s="55">
        <f>IF(OR(AC1199="",N(R1199)=0),"",L1199/R1199)</f>
        <v/>
      </c>
      <c r="AF1199" s="100">
        <f>IF(OR(N(K1199)=0,N(J1199)+N(Q1199)=0),"",K1199-IF(N(J1199)&gt;0,J1199,Q1199))</f>
        <v/>
      </c>
      <c r="AG1199" s="99">
        <f>IF(B1199="","",IFERROR(AVERAGEIFS('QUALITY CONTROL'!$M$5:$M$304,'QUALITY CONTROL'!$B$5:$B$304,A1199),""))</f>
        <v/>
      </c>
      <c r="AH1199" s="51">
        <f>IF(B1199="","",DATE(YEAR(B1199),MONTH(B1199),1))</f>
        <v/>
      </c>
      <c r="AI1199" s="49">
        <f>IF(D1199="","",IFERROR(INDEX('CUSTOMERS'!$E$5:$E$404,MATCH(D1199,'CUSTOMERS'!$B$5:$B$404,0)),""))</f>
        <v/>
      </c>
      <c r="AJ1199" s="49">
        <f>IF(B1199="","",N(C1199))</f>
        <v/>
      </c>
      <c r="AK1199" s="49">
        <f>IF(OR(B1199="",O1199="Cancelled",O1199="Rescheduled"),"",B1199&amp;"|"&amp;(COUNTIFS('JOBS'!$B$5:$B$1504,B1199,'JOBS'!$AJ$5:$AJ$1504,"&lt;"&amp;AJ1199,'JOBS'!$O$5:$O$1504,"&lt;&gt;Cancelled",'JOBS'!$O$5:$O$1504,"&lt;&gt;Rescheduled")+COUNTIFS($B$5:B1199,B1199,$AJ$5:AJ1199,AJ1199,$O$5:O1199,"&lt;&gt;Cancelled",$O$5:O1199,"&lt;&gt;Rescheduled")))</f>
        <v/>
      </c>
      <c r="AL1199" s="49">
        <f>IF(N(U1199)&lt;=0.005,"",COUNTIFS('JOBS'!$U$5:$U$1504,"&gt;0.005",'JOBS'!$B$5:$B$1504,"&lt;"&amp;B1199)+COUNTIFS($U$5:U1199,"&gt;0.005",$B$5:B1199,B1199))</f>
        <v/>
      </c>
    </row>
    <row r="1200">
      <c r="A1200" s="46" t="inlineStr">
        <is>
          <t>J-1196</t>
        </is>
      </c>
      <c r="B1200" s="47" t="n"/>
      <c r="C1200" s="94" t="n"/>
      <c r="D1200" s="38" t="n"/>
      <c r="E1200" s="38" t="n"/>
      <c r="F1200" s="38" t="n"/>
      <c r="G1200" s="38" t="n"/>
      <c r="H1200" s="38" t="n"/>
      <c r="I1200" s="57" t="n"/>
      <c r="J1200" s="95" t="n"/>
      <c r="K1200" s="95" t="n"/>
      <c r="L1200" s="48" t="n"/>
      <c r="M1200" s="96" t="n"/>
      <c r="N1200" s="48" t="n"/>
      <c r="O1200" s="38" t="n"/>
      <c r="P1200" s="38" t="n"/>
      <c r="Q1200" s="97">
        <f>IF(OR(F1200="",E1200=""),"",IFERROR(IF(INDEX('PROPERTIES'!$F$5:$F$404,MATCH(E1200,'PROPERTIES'!$B$5:$B$404,0))=0,"",ROUND((INDEX('PROPERTIES'!$F$5:$F$404,MATCH(E1200,'PROPERTIES'!$B$5:$B$404,0))/INDEX('PRICING'!$C$7:$C$16,MATCH(F1200,'PRICING'!$A$7:$A$16,0))+INDEX('PROPERTIES'!$G$5:$G$404,MATCH(E1200,'PROPERTIES'!$B$5:$B$404,0))*INDEX('PRICING'!$D$7:$D$16,MATCH(F1200,'PRICING'!$A$7:$A$16,0))/60+INDEX('PROPERTIES'!$H$5:$H$404,MATCH(E1200,'PROPERTIES'!$B$5:$B$404,0))*INDEX('PRICING'!$E$7:$E$16,MATCH(F1200,'PRICING'!$A$7:$A$16,0))/60+INDEX('PRICING'!$F$7:$F$16,MATCH(F1200,'PRICING'!$A$7:$A$16,0))/60),2)),""))</f>
        <v/>
      </c>
      <c r="R1200" s="97">
        <f>IF(B1200="","",IF(N(K1200)&gt;0,K1200,IF(N(J1200)&gt;0,J1200,N(Q1200))))</f>
        <v/>
      </c>
      <c r="S1200" s="55">
        <f>IF(L1200="","",ROUND(L1200*(1+N(M1200)),2))</f>
        <v/>
      </c>
      <c r="T1200" s="55">
        <f>IF(B1200="","",SUMIFS('REVENUE'!$C$5:$C$1504,'REVENUE'!$B$5:$B$1504,A1200))</f>
        <v/>
      </c>
      <c r="U1200" s="55">
        <f>IF(B1200="","",IF(O1200="Completed",MAX(0,N(S1200)-T1200),""))</f>
        <v/>
      </c>
      <c r="V1200" s="49">
        <f>IF(B1200="","",IF(O1200&lt;&gt;"Completed",IF(T1200&gt;0,"Deposit","—"),IF(U1200&lt;=0.005,"Paid",IF(T1200&gt;0,"Partial","Unpaid"))))</f>
        <v/>
      </c>
      <c r="W1200" s="55">
        <f>IF(B1200="","",IFERROR(1/(1/INDEX('STAFF &amp; TASKS'!$C$5:$C$24,MATCH(H1200,'STAFF &amp; TASKS'!$A$5:$A$24,0))),PayRate))</f>
        <v/>
      </c>
      <c r="X1200" s="55">
        <f>IF(B1200="","",IF(OR(O1200="Cancelled",O1200="No-Show"),"",ROUND(R1200*W1200*(1+Burden),2)))</f>
        <v/>
      </c>
      <c r="Y1200" s="55">
        <f>IF(B1200="","",IF(OR(O1200="Cancelled",O1200="No-Show"),"",IF(N1200&lt;&gt;"",N1200,ROUND(R1200*SupHr*IFERROR(INDEX('PRICING'!$G$7:$G$16,MATCH(F1200,'PRICING'!$A$7:$A$16,0)),1),2))))</f>
        <v/>
      </c>
      <c r="Z1200" s="98">
        <f>IF(B1200="","",SUMIFS('MILEAGE'!$J$5:$J$1504,'MILEAGE'!$B$5:$B$1504,A1200))</f>
        <v/>
      </c>
      <c r="AA1200" s="55">
        <f>IF(B1200="","",ROUND(Z1200*MileRate,2))</f>
        <v/>
      </c>
      <c r="AB1200" s="55">
        <f>IF(B1200="","",SUMIFS('REVENUE'!$J$5:$J$1504,'REVENUE'!$B$5:$B$1504,A1200))</f>
        <v/>
      </c>
      <c r="AC1200" s="55">
        <f>IF(L1200="","",IF(OR(O1200="Cancelled",O1200="No-Show"),"",L1200-N(X1200)-N(Y1200)-AA1200-AB1200))</f>
        <v/>
      </c>
      <c r="AD1200" s="99">
        <f>IF(OR(AC1200="",N(L1200)=0),"",AC1200/L1200)</f>
        <v/>
      </c>
      <c r="AE1200" s="55">
        <f>IF(OR(AC1200="",N(R1200)=0),"",L1200/R1200)</f>
        <v/>
      </c>
      <c r="AF1200" s="100">
        <f>IF(OR(N(K1200)=0,N(J1200)+N(Q1200)=0),"",K1200-IF(N(J1200)&gt;0,J1200,Q1200))</f>
        <v/>
      </c>
      <c r="AG1200" s="99">
        <f>IF(B1200="","",IFERROR(AVERAGEIFS('QUALITY CONTROL'!$M$5:$M$304,'QUALITY CONTROL'!$B$5:$B$304,A1200),""))</f>
        <v/>
      </c>
      <c r="AH1200" s="51">
        <f>IF(B1200="","",DATE(YEAR(B1200),MONTH(B1200),1))</f>
        <v/>
      </c>
      <c r="AI1200" s="49">
        <f>IF(D1200="","",IFERROR(INDEX('CUSTOMERS'!$E$5:$E$404,MATCH(D1200,'CUSTOMERS'!$B$5:$B$404,0)),""))</f>
        <v/>
      </c>
      <c r="AJ1200" s="49">
        <f>IF(B1200="","",N(C1200))</f>
        <v/>
      </c>
      <c r="AK1200" s="49">
        <f>IF(OR(B1200="",O1200="Cancelled",O1200="Rescheduled"),"",B1200&amp;"|"&amp;(COUNTIFS('JOBS'!$B$5:$B$1504,B1200,'JOBS'!$AJ$5:$AJ$1504,"&lt;"&amp;AJ1200,'JOBS'!$O$5:$O$1504,"&lt;&gt;Cancelled",'JOBS'!$O$5:$O$1504,"&lt;&gt;Rescheduled")+COUNTIFS($B$5:B1200,B1200,$AJ$5:AJ1200,AJ1200,$O$5:O1200,"&lt;&gt;Cancelled",$O$5:O1200,"&lt;&gt;Rescheduled")))</f>
        <v/>
      </c>
      <c r="AL1200" s="49">
        <f>IF(N(U1200)&lt;=0.005,"",COUNTIFS('JOBS'!$U$5:$U$1504,"&gt;0.005",'JOBS'!$B$5:$B$1504,"&lt;"&amp;B1200)+COUNTIFS($U$5:U1200,"&gt;0.005",$B$5:B1200,B1200))</f>
        <v/>
      </c>
    </row>
    <row r="1201">
      <c r="A1201" s="46" t="inlineStr">
        <is>
          <t>J-1197</t>
        </is>
      </c>
      <c r="B1201" s="47" t="n"/>
      <c r="C1201" s="94" t="n"/>
      <c r="D1201" s="38" t="n"/>
      <c r="E1201" s="38" t="n"/>
      <c r="F1201" s="38" t="n"/>
      <c r="G1201" s="38" t="n"/>
      <c r="H1201" s="38" t="n"/>
      <c r="I1201" s="57" t="n"/>
      <c r="J1201" s="95" t="n"/>
      <c r="K1201" s="95" t="n"/>
      <c r="L1201" s="48" t="n"/>
      <c r="M1201" s="96" t="n"/>
      <c r="N1201" s="48" t="n"/>
      <c r="O1201" s="38" t="n"/>
      <c r="P1201" s="38" t="n"/>
      <c r="Q1201" s="97">
        <f>IF(OR(F1201="",E1201=""),"",IFERROR(IF(INDEX('PROPERTIES'!$F$5:$F$404,MATCH(E1201,'PROPERTIES'!$B$5:$B$404,0))=0,"",ROUND((INDEX('PROPERTIES'!$F$5:$F$404,MATCH(E1201,'PROPERTIES'!$B$5:$B$404,0))/INDEX('PRICING'!$C$7:$C$16,MATCH(F1201,'PRICING'!$A$7:$A$16,0))+INDEX('PROPERTIES'!$G$5:$G$404,MATCH(E1201,'PROPERTIES'!$B$5:$B$404,0))*INDEX('PRICING'!$D$7:$D$16,MATCH(F1201,'PRICING'!$A$7:$A$16,0))/60+INDEX('PROPERTIES'!$H$5:$H$404,MATCH(E1201,'PROPERTIES'!$B$5:$B$404,0))*INDEX('PRICING'!$E$7:$E$16,MATCH(F1201,'PRICING'!$A$7:$A$16,0))/60+INDEX('PRICING'!$F$7:$F$16,MATCH(F1201,'PRICING'!$A$7:$A$16,0))/60),2)),""))</f>
        <v/>
      </c>
      <c r="R1201" s="97">
        <f>IF(B1201="","",IF(N(K1201)&gt;0,K1201,IF(N(J1201)&gt;0,J1201,N(Q1201))))</f>
        <v/>
      </c>
      <c r="S1201" s="55">
        <f>IF(L1201="","",ROUND(L1201*(1+N(M1201)),2))</f>
        <v/>
      </c>
      <c r="T1201" s="55">
        <f>IF(B1201="","",SUMIFS('REVENUE'!$C$5:$C$1504,'REVENUE'!$B$5:$B$1504,A1201))</f>
        <v/>
      </c>
      <c r="U1201" s="55">
        <f>IF(B1201="","",IF(O1201="Completed",MAX(0,N(S1201)-T1201),""))</f>
        <v/>
      </c>
      <c r="V1201" s="49">
        <f>IF(B1201="","",IF(O1201&lt;&gt;"Completed",IF(T1201&gt;0,"Deposit","—"),IF(U1201&lt;=0.005,"Paid",IF(T1201&gt;0,"Partial","Unpaid"))))</f>
        <v/>
      </c>
      <c r="W1201" s="55">
        <f>IF(B1201="","",IFERROR(1/(1/INDEX('STAFF &amp; TASKS'!$C$5:$C$24,MATCH(H1201,'STAFF &amp; TASKS'!$A$5:$A$24,0))),PayRate))</f>
        <v/>
      </c>
      <c r="X1201" s="55">
        <f>IF(B1201="","",IF(OR(O1201="Cancelled",O1201="No-Show"),"",ROUND(R1201*W1201*(1+Burden),2)))</f>
        <v/>
      </c>
      <c r="Y1201" s="55">
        <f>IF(B1201="","",IF(OR(O1201="Cancelled",O1201="No-Show"),"",IF(N1201&lt;&gt;"",N1201,ROUND(R1201*SupHr*IFERROR(INDEX('PRICING'!$G$7:$G$16,MATCH(F1201,'PRICING'!$A$7:$A$16,0)),1),2))))</f>
        <v/>
      </c>
      <c r="Z1201" s="98">
        <f>IF(B1201="","",SUMIFS('MILEAGE'!$J$5:$J$1504,'MILEAGE'!$B$5:$B$1504,A1201))</f>
        <v/>
      </c>
      <c r="AA1201" s="55">
        <f>IF(B1201="","",ROUND(Z1201*MileRate,2))</f>
        <v/>
      </c>
      <c r="AB1201" s="55">
        <f>IF(B1201="","",SUMIFS('REVENUE'!$J$5:$J$1504,'REVENUE'!$B$5:$B$1504,A1201))</f>
        <v/>
      </c>
      <c r="AC1201" s="55">
        <f>IF(L1201="","",IF(OR(O1201="Cancelled",O1201="No-Show"),"",L1201-N(X1201)-N(Y1201)-AA1201-AB1201))</f>
        <v/>
      </c>
      <c r="AD1201" s="99">
        <f>IF(OR(AC1201="",N(L1201)=0),"",AC1201/L1201)</f>
        <v/>
      </c>
      <c r="AE1201" s="55">
        <f>IF(OR(AC1201="",N(R1201)=0),"",L1201/R1201)</f>
        <v/>
      </c>
      <c r="AF1201" s="100">
        <f>IF(OR(N(K1201)=0,N(J1201)+N(Q1201)=0),"",K1201-IF(N(J1201)&gt;0,J1201,Q1201))</f>
        <v/>
      </c>
      <c r="AG1201" s="99">
        <f>IF(B1201="","",IFERROR(AVERAGEIFS('QUALITY CONTROL'!$M$5:$M$304,'QUALITY CONTROL'!$B$5:$B$304,A1201),""))</f>
        <v/>
      </c>
      <c r="AH1201" s="51">
        <f>IF(B1201="","",DATE(YEAR(B1201),MONTH(B1201),1))</f>
        <v/>
      </c>
      <c r="AI1201" s="49">
        <f>IF(D1201="","",IFERROR(INDEX('CUSTOMERS'!$E$5:$E$404,MATCH(D1201,'CUSTOMERS'!$B$5:$B$404,0)),""))</f>
        <v/>
      </c>
      <c r="AJ1201" s="49">
        <f>IF(B1201="","",N(C1201))</f>
        <v/>
      </c>
      <c r="AK1201" s="49">
        <f>IF(OR(B1201="",O1201="Cancelled",O1201="Rescheduled"),"",B1201&amp;"|"&amp;(COUNTIFS('JOBS'!$B$5:$B$1504,B1201,'JOBS'!$AJ$5:$AJ$1504,"&lt;"&amp;AJ1201,'JOBS'!$O$5:$O$1504,"&lt;&gt;Cancelled",'JOBS'!$O$5:$O$1504,"&lt;&gt;Rescheduled")+COUNTIFS($B$5:B1201,B1201,$AJ$5:AJ1201,AJ1201,$O$5:O1201,"&lt;&gt;Cancelled",$O$5:O1201,"&lt;&gt;Rescheduled")))</f>
        <v/>
      </c>
      <c r="AL1201" s="49">
        <f>IF(N(U1201)&lt;=0.005,"",COUNTIFS('JOBS'!$U$5:$U$1504,"&gt;0.005",'JOBS'!$B$5:$B$1504,"&lt;"&amp;B1201)+COUNTIFS($U$5:U1201,"&gt;0.005",$B$5:B1201,B1201))</f>
        <v/>
      </c>
    </row>
    <row r="1202">
      <c r="A1202" s="46" t="inlineStr">
        <is>
          <t>J-1198</t>
        </is>
      </c>
      <c r="B1202" s="47" t="n"/>
      <c r="C1202" s="94" t="n"/>
      <c r="D1202" s="38" t="n"/>
      <c r="E1202" s="38" t="n"/>
      <c r="F1202" s="38" t="n"/>
      <c r="G1202" s="38" t="n"/>
      <c r="H1202" s="38" t="n"/>
      <c r="I1202" s="57" t="n"/>
      <c r="J1202" s="95" t="n"/>
      <c r="K1202" s="95" t="n"/>
      <c r="L1202" s="48" t="n"/>
      <c r="M1202" s="96" t="n"/>
      <c r="N1202" s="48" t="n"/>
      <c r="O1202" s="38" t="n"/>
      <c r="P1202" s="38" t="n"/>
      <c r="Q1202" s="97">
        <f>IF(OR(F1202="",E1202=""),"",IFERROR(IF(INDEX('PROPERTIES'!$F$5:$F$404,MATCH(E1202,'PROPERTIES'!$B$5:$B$404,0))=0,"",ROUND((INDEX('PROPERTIES'!$F$5:$F$404,MATCH(E1202,'PROPERTIES'!$B$5:$B$404,0))/INDEX('PRICING'!$C$7:$C$16,MATCH(F1202,'PRICING'!$A$7:$A$16,0))+INDEX('PROPERTIES'!$G$5:$G$404,MATCH(E1202,'PROPERTIES'!$B$5:$B$404,0))*INDEX('PRICING'!$D$7:$D$16,MATCH(F1202,'PRICING'!$A$7:$A$16,0))/60+INDEX('PROPERTIES'!$H$5:$H$404,MATCH(E1202,'PROPERTIES'!$B$5:$B$404,0))*INDEX('PRICING'!$E$7:$E$16,MATCH(F1202,'PRICING'!$A$7:$A$16,0))/60+INDEX('PRICING'!$F$7:$F$16,MATCH(F1202,'PRICING'!$A$7:$A$16,0))/60),2)),""))</f>
        <v/>
      </c>
      <c r="R1202" s="97">
        <f>IF(B1202="","",IF(N(K1202)&gt;0,K1202,IF(N(J1202)&gt;0,J1202,N(Q1202))))</f>
        <v/>
      </c>
      <c r="S1202" s="55">
        <f>IF(L1202="","",ROUND(L1202*(1+N(M1202)),2))</f>
        <v/>
      </c>
      <c r="T1202" s="55">
        <f>IF(B1202="","",SUMIFS('REVENUE'!$C$5:$C$1504,'REVENUE'!$B$5:$B$1504,A1202))</f>
        <v/>
      </c>
      <c r="U1202" s="55">
        <f>IF(B1202="","",IF(O1202="Completed",MAX(0,N(S1202)-T1202),""))</f>
        <v/>
      </c>
      <c r="V1202" s="49">
        <f>IF(B1202="","",IF(O1202&lt;&gt;"Completed",IF(T1202&gt;0,"Deposit","—"),IF(U1202&lt;=0.005,"Paid",IF(T1202&gt;0,"Partial","Unpaid"))))</f>
        <v/>
      </c>
      <c r="W1202" s="55">
        <f>IF(B1202="","",IFERROR(1/(1/INDEX('STAFF &amp; TASKS'!$C$5:$C$24,MATCH(H1202,'STAFF &amp; TASKS'!$A$5:$A$24,0))),PayRate))</f>
        <v/>
      </c>
      <c r="X1202" s="55">
        <f>IF(B1202="","",IF(OR(O1202="Cancelled",O1202="No-Show"),"",ROUND(R1202*W1202*(1+Burden),2)))</f>
        <v/>
      </c>
      <c r="Y1202" s="55">
        <f>IF(B1202="","",IF(OR(O1202="Cancelled",O1202="No-Show"),"",IF(N1202&lt;&gt;"",N1202,ROUND(R1202*SupHr*IFERROR(INDEX('PRICING'!$G$7:$G$16,MATCH(F1202,'PRICING'!$A$7:$A$16,0)),1),2))))</f>
        <v/>
      </c>
      <c r="Z1202" s="98">
        <f>IF(B1202="","",SUMIFS('MILEAGE'!$J$5:$J$1504,'MILEAGE'!$B$5:$B$1504,A1202))</f>
        <v/>
      </c>
      <c r="AA1202" s="55">
        <f>IF(B1202="","",ROUND(Z1202*MileRate,2))</f>
        <v/>
      </c>
      <c r="AB1202" s="55">
        <f>IF(B1202="","",SUMIFS('REVENUE'!$J$5:$J$1504,'REVENUE'!$B$5:$B$1504,A1202))</f>
        <v/>
      </c>
      <c r="AC1202" s="55">
        <f>IF(L1202="","",IF(OR(O1202="Cancelled",O1202="No-Show"),"",L1202-N(X1202)-N(Y1202)-AA1202-AB1202))</f>
        <v/>
      </c>
      <c r="AD1202" s="99">
        <f>IF(OR(AC1202="",N(L1202)=0),"",AC1202/L1202)</f>
        <v/>
      </c>
      <c r="AE1202" s="55">
        <f>IF(OR(AC1202="",N(R1202)=0),"",L1202/R1202)</f>
        <v/>
      </c>
      <c r="AF1202" s="100">
        <f>IF(OR(N(K1202)=0,N(J1202)+N(Q1202)=0),"",K1202-IF(N(J1202)&gt;0,J1202,Q1202))</f>
        <v/>
      </c>
      <c r="AG1202" s="99">
        <f>IF(B1202="","",IFERROR(AVERAGEIFS('QUALITY CONTROL'!$M$5:$M$304,'QUALITY CONTROL'!$B$5:$B$304,A1202),""))</f>
        <v/>
      </c>
      <c r="AH1202" s="51">
        <f>IF(B1202="","",DATE(YEAR(B1202),MONTH(B1202),1))</f>
        <v/>
      </c>
      <c r="AI1202" s="49">
        <f>IF(D1202="","",IFERROR(INDEX('CUSTOMERS'!$E$5:$E$404,MATCH(D1202,'CUSTOMERS'!$B$5:$B$404,0)),""))</f>
        <v/>
      </c>
      <c r="AJ1202" s="49">
        <f>IF(B1202="","",N(C1202))</f>
        <v/>
      </c>
      <c r="AK1202" s="49">
        <f>IF(OR(B1202="",O1202="Cancelled",O1202="Rescheduled"),"",B1202&amp;"|"&amp;(COUNTIFS('JOBS'!$B$5:$B$1504,B1202,'JOBS'!$AJ$5:$AJ$1504,"&lt;"&amp;AJ1202,'JOBS'!$O$5:$O$1504,"&lt;&gt;Cancelled",'JOBS'!$O$5:$O$1504,"&lt;&gt;Rescheduled")+COUNTIFS($B$5:B1202,B1202,$AJ$5:AJ1202,AJ1202,$O$5:O1202,"&lt;&gt;Cancelled",$O$5:O1202,"&lt;&gt;Rescheduled")))</f>
        <v/>
      </c>
      <c r="AL1202" s="49">
        <f>IF(N(U1202)&lt;=0.005,"",COUNTIFS('JOBS'!$U$5:$U$1504,"&gt;0.005",'JOBS'!$B$5:$B$1504,"&lt;"&amp;B1202)+COUNTIFS($U$5:U1202,"&gt;0.005",$B$5:B1202,B1202))</f>
        <v/>
      </c>
    </row>
    <row r="1203">
      <c r="A1203" s="46" t="inlineStr">
        <is>
          <t>J-1199</t>
        </is>
      </c>
      <c r="B1203" s="47" t="n"/>
      <c r="C1203" s="94" t="n"/>
      <c r="D1203" s="38" t="n"/>
      <c r="E1203" s="38" t="n"/>
      <c r="F1203" s="38" t="n"/>
      <c r="G1203" s="38" t="n"/>
      <c r="H1203" s="38" t="n"/>
      <c r="I1203" s="57" t="n"/>
      <c r="J1203" s="95" t="n"/>
      <c r="K1203" s="95" t="n"/>
      <c r="L1203" s="48" t="n"/>
      <c r="M1203" s="96" t="n"/>
      <c r="N1203" s="48" t="n"/>
      <c r="O1203" s="38" t="n"/>
      <c r="P1203" s="38" t="n"/>
      <c r="Q1203" s="97">
        <f>IF(OR(F1203="",E1203=""),"",IFERROR(IF(INDEX('PROPERTIES'!$F$5:$F$404,MATCH(E1203,'PROPERTIES'!$B$5:$B$404,0))=0,"",ROUND((INDEX('PROPERTIES'!$F$5:$F$404,MATCH(E1203,'PROPERTIES'!$B$5:$B$404,0))/INDEX('PRICING'!$C$7:$C$16,MATCH(F1203,'PRICING'!$A$7:$A$16,0))+INDEX('PROPERTIES'!$G$5:$G$404,MATCH(E1203,'PROPERTIES'!$B$5:$B$404,0))*INDEX('PRICING'!$D$7:$D$16,MATCH(F1203,'PRICING'!$A$7:$A$16,0))/60+INDEX('PROPERTIES'!$H$5:$H$404,MATCH(E1203,'PROPERTIES'!$B$5:$B$404,0))*INDEX('PRICING'!$E$7:$E$16,MATCH(F1203,'PRICING'!$A$7:$A$16,0))/60+INDEX('PRICING'!$F$7:$F$16,MATCH(F1203,'PRICING'!$A$7:$A$16,0))/60),2)),""))</f>
        <v/>
      </c>
      <c r="R1203" s="97">
        <f>IF(B1203="","",IF(N(K1203)&gt;0,K1203,IF(N(J1203)&gt;0,J1203,N(Q1203))))</f>
        <v/>
      </c>
      <c r="S1203" s="55">
        <f>IF(L1203="","",ROUND(L1203*(1+N(M1203)),2))</f>
        <v/>
      </c>
      <c r="T1203" s="55">
        <f>IF(B1203="","",SUMIFS('REVENUE'!$C$5:$C$1504,'REVENUE'!$B$5:$B$1504,A1203))</f>
        <v/>
      </c>
      <c r="U1203" s="55">
        <f>IF(B1203="","",IF(O1203="Completed",MAX(0,N(S1203)-T1203),""))</f>
        <v/>
      </c>
      <c r="V1203" s="49">
        <f>IF(B1203="","",IF(O1203&lt;&gt;"Completed",IF(T1203&gt;0,"Deposit","—"),IF(U1203&lt;=0.005,"Paid",IF(T1203&gt;0,"Partial","Unpaid"))))</f>
        <v/>
      </c>
      <c r="W1203" s="55">
        <f>IF(B1203="","",IFERROR(1/(1/INDEX('STAFF &amp; TASKS'!$C$5:$C$24,MATCH(H1203,'STAFF &amp; TASKS'!$A$5:$A$24,0))),PayRate))</f>
        <v/>
      </c>
      <c r="X1203" s="55">
        <f>IF(B1203="","",IF(OR(O1203="Cancelled",O1203="No-Show"),"",ROUND(R1203*W1203*(1+Burden),2)))</f>
        <v/>
      </c>
      <c r="Y1203" s="55">
        <f>IF(B1203="","",IF(OR(O1203="Cancelled",O1203="No-Show"),"",IF(N1203&lt;&gt;"",N1203,ROUND(R1203*SupHr*IFERROR(INDEX('PRICING'!$G$7:$G$16,MATCH(F1203,'PRICING'!$A$7:$A$16,0)),1),2))))</f>
        <v/>
      </c>
      <c r="Z1203" s="98">
        <f>IF(B1203="","",SUMIFS('MILEAGE'!$J$5:$J$1504,'MILEAGE'!$B$5:$B$1504,A1203))</f>
        <v/>
      </c>
      <c r="AA1203" s="55">
        <f>IF(B1203="","",ROUND(Z1203*MileRate,2))</f>
        <v/>
      </c>
      <c r="AB1203" s="55">
        <f>IF(B1203="","",SUMIFS('REVENUE'!$J$5:$J$1504,'REVENUE'!$B$5:$B$1504,A1203))</f>
        <v/>
      </c>
      <c r="AC1203" s="55">
        <f>IF(L1203="","",IF(OR(O1203="Cancelled",O1203="No-Show"),"",L1203-N(X1203)-N(Y1203)-AA1203-AB1203))</f>
        <v/>
      </c>
      <c r="AD1203" s="99">
        <f>IF(OR(AC1203="",N(L1203)=0),"",AC1203/L1203)</f>
        <v/>
      </c>
      <c r="AE1203" s="55">
        <f>IF(OR(AC1203="",N(R1203)=0),"",L1203/R1203)</f>
        <v/>
      </c>
      <c r="AF1203" s="100">
        <f>IF(OR(N(K1203)=0,N(J1203)+N(Q1203)=0),"",K1203-IF(N(J1203)&gt;0,J1203,Q1203))</f>
        <v/>
      </c>
      <c r="AG1203" s="99">
        <f>IF(B1203="","",IFERROR(AVERAGEIFS('QUALITY CONTROL'!$M$5:$M$304,'QUALITY CONTROL'!$B$5:$B$304,A1203),""))</f>
        <v/>
      </c>
      <c r="AH1203" s="51">
        <f>IF(B1203="","",DATE(YEAR(B1203),MONTH(B1203),1))</f>
        <v/>
      </c>
      <c r="AI1203" s="49">
        <f>IF(D1203="","",IFERROR(INDEX('CUSTOMERS'!$E$5:$E$404,MATCH(D1203,'CUSTOMERS'!$B$5:$B$404,0)),""))</f>
        <v/>
      </c>
      <c r="AJ1203" s="49">
        <f>IF(B1203="","",N(C1203))</f>
        <v/>
      </c>
      <c r="AK1203" s="49">
        <f>IF(OR(B1203="",O1203="Cancelled",O1203="Rescheduled"),"",B1203&amp;"|"&amp;(COUNTIFS('JOBS'!$B$5:$B$1504,B1203,'JOBS'!$AJ$5:$AJ$1504,"&lt;"&amp;AJ1203,'JOBS'!$O$5:$O$1504,"&lt;&gt;Cancelled",'JOBS'!$O$5:$O$1504,"&lt;&gt;Rescheduled")+COUNTIFS($B$5:B1203,B1203,$AJ$5:AJ1203,AJ1203,$O$5:O1203,"&lt;&gt;Cancelled",$O$5:O1203,"&lt;&gt;Rescheduled")))</f>
        <v/>
      </c>
      <c r="AL1203" s="49">
        <f>IF(N(U1203)&lt;=0.005,"",COUNTIFS('JOBS'!$U$5:$U$1504,"&gt;0.005",'JOBS'!$B$5:$B$1504,"&lt;"&amp;B1203)+COUNTIFS($U$5:U1203,"&gt;0.005",$B$5:B1203,B1203))</f>
        <v/>
      </c>
    </row>
    <row r="1204">
      <c r="A1204" s="46" t="inlineStr">
        <is>
          <t>J-1200</t>
        </is>
      </c>
      <c r="B1204" s="47" t="n"/>
      <c r="C1204" s="94" t="n"/>
      <c r="D1204" s="38" t="n"/>
      <c r="E1204" s="38" t="n"/>
      <c r="F1204" s="38" t="n"/>
      <c r="G1204" s="38" t="n"/>
      <c r="H1204" s="38" t="n"/>
      <c r="I1204" s="57" t="n"/>
      <c r="J1204" s="95" t="n"/>
      <c r="K1204" s="95" t="n"/>
      <c r="L1204" s="48" t="n"/>
      <c r="M1204" s="96" t="n"/>
      <c r="N1204" s="48" t="n"/>
      <c r="O1204" s="38" t="n"/>
      <c r="P1204" s="38" t="n"/>
      <c r="Q1204" s="97">
        <f>IF(OR(F1204="",E1204=""),"",IFERROR(IF(INDEX('PROPERTIES'!$F$5:$F$404,MATCH(E1204,'PROPERTIES'!$B$5:$B$404,0))=0,"",ROUND((INDEX('PROPERTIES'!$F$5:$F$404,MATCH(E1204,'PROPERTIES'!$B$5:$B$404,0))/INDEX('PRICING'!$C$7:$C$16,MATCH(F1204,'PRICING'!$A$7:$A$16,0))+INDEX('PROPERTIES'!$G$5:$G$404,MATCH(E1204,'PROPERTIES'!$B$5:$B$404,0))*INDEX('PRICING'!$D$7:$D$16,MATCH(F1204,'PRICING'!$A$7:$A$16,0))/60+INDEX('PROPERTIES'!$H$5:$H$404,MATCH(E1204,'PROPERTIES'!$B$5:$B$404,0))*INDEX('PRICING'!$E$7:$E$16,MATCH(F1204,'PRICING'!$A$7:$A$16,0))/60+INDEX('PRICING'!$F$7:$F$16,MATCH(F1204,'PRICING'!$A$7:$A$16,0))/60),2)),""))</f>
        <v/>
      </c>
      <c r="R1204" s="97">
        <f>IF(B1204="","",IF(N(K1204)&gt;0,K1204,IF(N(J1204)&gt;0,J1204,N(Q1204))))</f>
        <v/>
      </c>
      <c r="S1204" s="55">
        <f>IF(L1204="","",ROUND(L1204*(1+N(M1204)),2))</f>
        <v/>
      </c>
      <c r="T1204" s="55">
        <f>IF(B1204="","",SUMIFS('REVENUE'!$C$5:$C$1504,'REVENUE'!$B$5:$B$1504,A1204))</f>
        <v/>
      </c>
      <c r="U1204" s="55">
        <f>IF(B1204="","",IF(O1204="Completed",MAX(0,N(S1204)-T1204),""))</f>
        <v/>
      </c>
      <c r="V1204" s="49">
        <f>IF(B1204="","",IF(O1204&lt;&gt;"Completed",IF(T1204&gt;0,"Deposit","—"),IF(U1204&lt;=0.005,"Paid",IF(T1204&gt;0,"Partial","Unpaid"))))</f>
        <v/>
      </c>
      <c r="W1204" s="55">
        <f>IF(B1204="","",IFERROR(1/(1/INDEX('STAFF &amp; TASKS'!$C$5:$C$24,MATCH(H1204,'STAFF &amp; TASKS'!$A$5:$A$24,0))),PayRate))</f>
        <v/>
      </c>
      <c r="X1204" s="55">
        <f>IF(B1204="","",IF(OR(O1204="Cancelled",O1204="No-Show"),"",ROUND(R1204*W1204*(1+Burden),2)))</f>
        <v/>
      </c>
      <c r="Y1204" s="55">
        <f>IF(B1204="","",IF(OR(O1204="Cancelled",O1204="No-Show"),"",IF(N1204&lt;&gt;"",N1204,ROUND(R1204*SupHr*IFERROR(INDEX('PRICING'!$G$7:$G$16,MATCH(F1204,'PRICING'!$A$7:$A$16,0)),1),2))))</f>
        <v/>
      </c>
      <c r="Z1204" s="98">
        <f>IF(B1204="","",SUMIFS('MILEAGE'!$J$5:$J$1504,'MILEAGE'!$B$5:$B$1504,A1204))</f>
        <v/>
      </c>
      <c r="AA1204" s="55">
        <f>IF(B1204="","",ROUND(Z1204*MileRate,2))</f>
        <v/>
      </c>
      <c r="AB1204" s="55">
        <f>IF(B1204="","",SUMIFS('REVENUE'!$J$5:$J$1504,'REVENUE'!$B$5:$B$1504,A1204))</f>
        <v/>
      </c>
      <c r="AC1204" s="55">
        <f>IF(L1204="","",IF(OR(O1204="Cancelled",O1204="No-Show"),"",L1204-N(X1204)-N(Y1204)-AA1204-AB1204))</f>
        <v/>
      </c>
      <c r="AD1204" s="99">
        <f>IF(OR(AC1204="",N(L1204)=0),"",AC1204/L1204)</f>
        <v/>
      </c>
      <c r="AE1204" s="55">
        <f>IF(OR(AC1204="",N(R1204)=0),"",L1204/R1204)</f>
        <v/>
      </c>
      <c r="AF1204" s="100">
        <f>IF(OR(N(K1204)=0,N(J1204)+N(Q1204)=0),"",K1204-IF(N(J1204)&gt;0,J1204,Q1204))</f>
        <v/>
      </c>
      <c r="AG1204" s="99">
        <f>IF(B1204="","",IFERROR(AVERAGEIFS('QUALITY CONTROL'!$M$5:$M$304,'QUALITY CONTROL'!$B$5:$B$304,A1204),""))</f>
        <v/>
      </c>
      <c r="AH1204" s="51">
        <f>IF(B1204="","",DATE(YEAR(B1204),MONTH(B1204),1))</f>
        <v/>
      </c>
      <c r="AI1204" s="49">
        <f>IF(D1204="","",IFERROR(INDEX('CUSTOMERS'!$E$5:$E$404,MATCH(D1204,'CUSTOMERS'!$B$5:$B$404,0)),""))</f>
        <v/>
      </c>
      <c r="AJ1204" s="49">
        <f>IF(B1204="","",N(C1204))</f>
        <v/>
      </c>
      <c r="AK1204" s="49">
        <f>IF(OR(B1204="",O1204="Cancelled",O1204="Rescheduled"),"",B1204&amp;"|"&amp;(COUNTIFS('JOBS'!$B$5:$B$1504,B1204,'JOBS'!$AJ$5:$AJ$1504,"&lt;"&amp;AJ1204,'JOBS'!$O$5:$O$1504,"&lt;&gt;Cancelled",'JOBS'!$O$5:$O$1504,"&lt;&gt;Rescheduled")+COUNTIFS($B$5:B1204,B1204,$AJ$5:AJ1204,AJ1204,$O$5:O1204,"&lt;&gt;Cancelled",$O$5:O1204,"&lt;&gt;Rescheduled")))</f>
        <v/>
      </c>
      <c r="AL1204" s="49">
        <f>IF(N(U1204)&lt;=0.005,"",COUNTIFS('JOBS'!$U$5:$U$1504,"&gt;0.005",'JOBS'!$B$5:$B$1504,"&lt;"&amp;B1204)+COUNTIFS($U$5:U1204,"&gt;0.005",$B$5:B1204,B1204))</f>
        <v/>
      </c>
    </row>
    <row r="1205">
      <c r="A1205" s="46" t="inlineStr">
        <is>
          <t>J-1201</t>
        </is>
      </c>
      <c r="B1205" s="47" t="n"/>
      <c r="C1205" s="94" t="n"/>
      <c r="D1205" s="38" t="n"/>
      <c r="E1205" s="38" t="n"/>
      <c r="F1205" s="38" t="n"/>
      <c r="G1205" s="38" t="n"/>
      <c r="H1205" s="38" t="n"/>
      <c r="I1205" s="57" t="n"/>
      <c r="J1205" s="95" t="n"/>
      <c r="K1205" s="95" t="n"/>
      <c r="L1205" s="48" t="n"/>
      <c r="M1205" s="96" t="n"/>
      <c r="N1205" s="48" t="n"/>
      <c r="O1205" s="38" t="n"/>
      <c r="P1205" s="38" t="n"/>
      <c r="Q1205" s="97">
        <f>IF(OR(F1205="",E1205=""),"",IFERROR(IF(INDEX('PROPERTIES'!$F$5:$F$404,MATCH(E1205,'PROPERTIES'!$B$5:$B$404,0))=0,"",ROUND((INDEX('PROPERTIES'!$F$5:$F$404,MATCH(E1205,'PROPERTIES'!$B$5:$B$404,0))/INDEX('PRICING'!$C$7:$C$16,MATCH(F1205,'PRICING'!$A$7:$A$16,0))+INDEX('PROPERTIES'!$G$5:$G$404,MATCH(E1205,'PROPERTIES'!$B$5:$B$404,0))*INDEX('PRICING'!$D$7:$D$16,MATCH(F1205,'PRICING'!$A$7:$A$16,0))/60+INDEX('PROPERTIES'!$H$5:$H$404,MATCH(E1205,'PROPERTIES'!$B$5:$B$404,0))*INDEX('PRICING'!$E$7:$E$16,MATCH(F1205,'PRICING'!$A$7:$A$16,0))/60+INDEX('PRICING'!$F$7:$F$16,MATCH(F1205,'PRICING'!$A$7:$A$16,0))/60),2)),""))</f>
        <v/>
      </c>
      <c r="R1205" s="97">
        <f>IF(B1205="","",IF(N(K1205)&gt;0,K1205,IF(N(J1205)&gt;0,J1205,N(Q1205))))</f>
        <v/>
      </c>
      <c r="S1205" s="55">
        <f>IF(L1205="","",ROUND(L1205*(1+N(M1205)),2))</f>
        <v/>
      </c>
      <c r="T1205" s="55">
        <f>IF(B1205="","",SUMIFS('REVENUE'!$C$5:$C$1504,'REVENUE'!$B$5:$B$1504,A1205))</f>
        <v/>
      </c>
      <c r="U1205" s="55">
        <f>IF(B1205="","",IF(O1205="Completed",MAX(0,N(S1205)-T1205),""))</f>
        <v/>
      </c>
      <c r="V1205" s="49">
        <f>IF(B1205="","",IF(O1205&lt;&gt;"Completed",IF(T1205&gt;0,"Deposit","—"),IF(U1205&lt;=0.005,"Paid",IF(T1205&gt;0,"Partial","Unpaid"))))</f>
        <v/>
      </c>
      <c r="W1205" s="55">
        <f>IF(B1205="","",IFERROR(1/(1/INDEX('STAFF &amp; TASKS'!$C$5:$C$24,MATCH(H1205,'STAFF &amp; TASKS'!$A$5:$A$24,0))),PayRate))</f>
        <v/>
      </c>
      <c r="X1205" s="55">
        <f>IF(B1205="","",IF(OR(O1205="Cancelled",O1205="No-Show"),"",ROUND(R1205*W1205*(1+Burden),2)))</f>
        <v/>
      </c>
      <c r="Y1205" s="55">
        <f>IF(B1205="","",IF(OR(O1205="Cancelled",O1205="No-Show"),"",IF(N1205&lt;&gt;"",N1205,ROUND(R1205*SupHr*IFERROR(INDEX('PRICING'!$G$7:$G$16,MATCH(F1205,'PRICING'!$A$7:$A$16,0)),1),2))))</f>
        <v/>
      </c>
      <c r="Z1205" s="98">
        <f>IF(B1205="","",SUMIFS('MILEAGE'!$J$5:$J$1504,'MILEAGE'!$B$5:$B$1504,A1205))</f>
        <v/>
      </c>
      <c r="AA1205" s="55">
        <f>IF(B1205="","",ROUND(Z1205*MileRate,2))</f>
        <v/>
      </c>
      <c r="AB1205" s="55">
        <f>IF(B1205="","",SUMIFS('REVENUE'!$J$5:$J$1504,'REVENUE'!$B$5:$B$1504,A1205))</f>
        <v/>
      </c>
      <c r="AC1205" s="55">
        <f>IF(L1205="","",IF(OR(O1205="Cancelled",O1205="No-Show"),"",L1205-N(X1205)-N(Y1205)-AA1205-AB1205))</f>
        <v/>
      </c>
      <c r="AD1205" s="99">
        <f>IF(OR(AC1205="",N(L1205)=0),"",AC1205/L1205)</f>
        <v/>
      </c>
      <c r="AE1205" s="55">
        <f>IF(OR(AC1205="",N(R1205)=0),"",L1205/R1205)</f>
        <v/>
      </c>
      <c r="AF1205" s="100">
        <f>IF(OR(N(K1205)=0,N(J1205)+N(Q1205)=0),"",K1205-IF(N(J1205)&gt;0,J1205,Q1205))</f>
        <v/>
      </c>
      <c r="AG1205" s="99">
        <f>IF(B1205="","",IFERROR(AVERAGEIFS('QUALITY CONTROL'!$M$5:$M$304,'QUALITY CONTROL'!$B$5:$B$304,A1205),""))</f>
        <v/>
      </c>
      <c r="AH1205" s="51">
        <f>IF(B1205="","",DATE(YEAR(B1205),MONTH(B1205),1))</f>
        <v/>
      </c>
      <c r="AI1205" s="49">
        <f>IF(D1205="","",IFERROR(INDEX('CUSTOMERS'!$E$5:$E$404,MATCH(D1205,'CUSTOMERS'!$B$5:$B$404,0)),""))</f>
        <v/>
      </c>
      <c r="AJ1205" s="49">
        <f>IF(B1205="","",N(C1205))</f>
        <v/>
      </c>
      <c r="AK1205" s="49">
        <f>IF(OR(B1205="",O1205="Cancelled",O1205="Rescheduled"),"",B1205&amp;"|"&amp;(COUNTIFS('JOBS'!$B$5:$B$1504,B1205,'JOBS'!$AJ$5:$AJ$1504,"&lt;"&amp;AJ1205,'JOBS'!$O$5:$O$1504,"&lt;&gt;Cancelled",'JOBS'!$O$5:$O$1504,"&lt;&gt;Rescheduled")+COUNTIFS($B$5:B1205,B1205,$AJ$5:AJ1205,AJ1205,$O$5:O1205,"&lt;&gt;Cancelled",$O$5:O1205,"&lt;&gt;Rescheduled")))</f>
        <v/>
      </c>
      <c r="AL1205" s="49">
        <f>IF(N(U1205)&lt;=0.005,"",COUNTIFS('JOBS'!$U$5:$U$1504,"&gt;0.005",'JOBS'!$B$5:$B$1504,"&lt;"&amp;B1205)+COUNTIFS($U$5:U1205,"&gt;0.005",$B$5:B1205,B1205))</f>
        <v/>
      </c>
    </row>
    <row r="1206">
      <c r="A1206" s="46" t="inlineStr">
        <is>
          <t>J-1202</t>
        </is>
      </c>
      <c r="B1206" s="47" t="n"/>
      <c r="C1206" s="94" t="n"/>
      <c r="D1206" s="38" t="n"/>
      <c r="E1206" s="38" t="n"/>
      <c r="F1206" s="38" t="n"/>
      <c r="G1206" s="38" t="n"/>
      <c r="H1206" s="38" t="n"/>
      <c r="I1206" s="57" t="n"/>
      <c r="J1206" s="95" t="n"/>
      <c r="K1206" s="95" t="n"/>
      <c r="L1206" s="48" t="n"/>
      <c r="M1206" s="96" t="n"/>
      <c r="N1206" s="48" t="n"/>
      <c r="O1206" s="38" t="n"/>
      <c r="P1206" s="38" t="n"/>
      <c r="Q1206" s="97">
        <f>IF(OR(F1206="",E1206=""),"",IFERROR(IF(INDEX('PROPERTIES'!$F$5:$F$404,MATCH(E1206,'PROPERTIES'!$B$5:$B$404,0))=0,"",ROUND((INDEX('PROPERTIES'!$F$5:$F$404,MATCH(E1206,'PROPERTIES'!$B$5:$B$404,0))/INDEX('PRICING'!$C$7:$C$16,MATCH(F1206,'PRICING'!$A$7:$A$16,0))+INDEX('PROPERTIES'!$G$5:$G$404,MATCH(E1206,'PROPERTIES'!$B$5:$B$404,0))*INDEX('PRICING'!$D$7:$D$16,MATCH(F1206,'PRICING'!$A$7:$A$16,0))/60+INDEX('PROPERTIES'!$H$5:$H$404,MATCH(E1206,'PROPERTIES'!$B$5:$B$404,0))*INDEX('PRICING'!$E$7:$E$16,MATCH(F1206,'PRICING'!$A$7:$A$16,0))/60+INDEX('PRICING'!$F$7:$F$16,MATCH(F1206,'PRICING'!$A$7:$A$16,0))/60),2)),""))</f>
        <v/>
      </c>
      <c r="R1206" s="97">
        <f>IF(B1206="","",IF(N(K1206)&gt;0,K1206,IF(N(J1206)&gt;0,J1206,N(Q1206))))</f>
        <v/>
      </c>
      <c r="S1206" s="55">
        <f>IF(L1206="","",ROUND(L1206*(1+N(M1206)),2))</f>
        <v/>
      </c>
      <c r="T1206" s="55">
        <f>IF(B1206="","",SUMIFS('REVENUE'!$C$5:$C$1504,'REVENUE'!$B$5:$B$1504,A1206))</f>
        <v/>
      </c>
      <c r="U1206" s="55">
        <f>IF(B1206="","",IF(O1206="Completed",MAX(0,N(S1206)-T1206),""))</f>
        <v/>
      </c>
      <c r="V1206" s="49">
        <f>IF(B1206="","",IF(O1206&lt;&gt;"Completed",IF(T1206&gt;0,"Deposit","—"),IF(U1206&lt;=0.005,"Paid",IF(T1206&gt;0,"Partial","Unpaid"))))</f>
        <v/>
      </c>
      <c r="W1206" s="55">
        <f>IF(B1206="","",IFERROR(1/(1/INDEX('STAFF &amp; TASKS'!$C$5:$C$24,MATCH(H1206,'STAFF &amp; TASKS'!$A$5:$A$24,0))),PayRate))</f>
        <v/>
      </c>
      <c r="X1206" s="55">
        <f>IF(B1206="","",IF(OR(O1206="Cancelled",O1206="No-Show"),"",ROUND(R1206*W1206*(1+Burden),2)))</f>
        <v/>
      </c>
      <c r="Y1206" s="55">
        <f>IF(B1206="","",IF(OR(O1206="Cancelled",O1206="No-Show"),"",IF(N1206&lt;&gt;"",N1206,ROUND(R1206*SupHr*IFERROR(INDEX('PRICING'!$G$7:$G$16,MATCH(F1206,'PRICING'!$A$7:$A$16,0)),1),2))))</f>
        <v/>
      </c>
      <c r="Z1206" s="98">
        <f>IF(B1206="","",SUMIFS('MILEAGE'!$J$5:$J$1504,'MILEAGE'!$B$5:$B$1504,A1206))</f>
        <v/>
      </c>
      <c r="AA1206" s="55">
        <f>IF(B1206="","",ROUND(Z1206*MileRate,2))</f>
        <v/>
      </c>
      <c r="AB1206" s="55">
        <f>IF(B1206="","",SUMIFS('REVENUE'!$J$5:$J$1504,'REVENUE'!$B$5:$B$1504,A1206))</f>
        <v/>
      </c>
      <c r="AC1206" s="55">
        <f>IF(L1206="","",IF(OR(O1206="Cancelled",O1206="No-Show"),"",L1206-N(X1206)-N(Y1206)-AA1206-AB1206))</f>
        <v/>
      </c>
      <c r="AD1206" s="99">
        <f>IF(OR(AC1206="",N(L1206)=0),"",AC1206/L1206)</f>
        <v/>
      </c>
      <c r="AE1206" s="55">
        <f>IF(OR(AC1206="",N(R1206)=0),"",L1206/R1206)</f>
        <v/>
      </c>
      <c r="AF1206" s="100">
        <f>IF(OR(N(K1206)=0,N(J1206)+N(Q1206)=0),"",K1206-IF(N(J1206)&gt;0,J1206,Q1206))</f>
        <v/>
      </c>
      <c r="AG1206" s="99">
        <f>IF(B1206="","",IFERROR(AVERAGEIFS('QUALITY CONTROL'!$M$5:$M$304,'QUALITY CONTROL'!$B$5:$B$304,A1206),""))</f>
        <v/>
      </c>
      <c r="AH1206" s="51">
        <f>IF(B1206="","",DATE(YEAR(B1206),MONTH(B1206),1))</f>
        <v/>
      </c>
      <c r="AI1206" s="49">
        <f>IF(D1206="","",IFERROR(INDEX('CUSTOMERS'!$E$5:$E$404,MATCH(D1206,'CUSTOMERS'!$B$5:$B$404,0)),""))</f>
        <v/>
      </c>
      <c r="AJ1206" s="49">
        <f>IF(B1206="","",N(C1206))</f>
        <v/>
      </c>
      <c r="AK1206" s="49">
        <f>IF(OR(B1206="",O1206="Cancelled",O1206="Rescheduled"),"",B1206&amp;"|"&amp;(COUNTIFS('JOBS'!$B$5:$B$1504,B1206,'JOBS'!$AJ$5:$AJ$1504,"&lt;"&amp;AJ1206,'JOBS'!$O$5:$O$1504,"&lt;&gt;Cancelled",'JOBS'!$O$5:$O$1504,"&lt;&gt;Rescheduled")+COUNTIFS($B$5:B1206,B1206,$AJ$5:AJ1206,AJ1206,$O$5:O1206,"&lt;&gt;Cancelled",$O$5:O1206,"&lt;&gt;Rescheduled")))</f>
        <v/>
      </c>
      <c r="AL1206" s="49">
        <f>IF(N(U1206)&lt;=0.005,"",COUNTIFS('JOBS'!$U$5:$U$1504,"&gt;0.005",'JOBS'!$B$5:$B$1504,"&lt;"&amp;B1206)+COUNTIFS($U$5:U1206,"&gt;0.005",$B$5:B1206,B1206))</f>
        <v/>
      </c>
    </row>
    <row r="1207">
      <c r="A1207" s="46" t="inlineStr">
        <is>
          <t>J-1203</t>
        </is>
      </c>
      <c r="B1207" s="47" t="n"/>
      <c r="C1207" s="94" t="n"/>
      <c r="D1207" s="38" t="n"/>
      <c r="E1207" s="38" t="n"/>
      <c r="F1207" s="38" t="n"/>
      <c r="G1207" s="38" t="n"/>
      <c r="H1207" s="38" t="n"/>
      <c r="I1207" s="57" t="n"/>
      <c r="J1207" s="95" t="n"/>
      <c r="K1207" s="95" t="n"/>
      <c r="L1207" s="48" t="n"/>
      <c r="M1207" s="96" t="n"/>
      <c r="N1207" s="48" t="n"/>
      <c r="O1207" s="38" t="n"/>
      <c r="P1207" s="38" t="n"/>
      <c r="Q1207" s="97">
        <f>IF(OR(F1207="",E1207=""),"",IFERROR(IF(INDEX('PROPERTIES'!$F$5:$F$404,MATCH(E1207,'PROPERTIES'!$B$5:$B$404,0))=0,"",ROUND((INDEX('PROPERTIES'!$F$5:$F$404,MATCH(E1207,'PROPERTIES'!$B$5:$B$404,0))/INDEX('PRICING'!$C$7:$C$16,MATCH(F1207,'PRICING'!$A$7:$A$16,0))+INDEX('PROPERTIES'!$G$5:$G$404,MATCH(E1207,'PROPERTIES'!$B$5:$B$404,0))*INDEX('PRICING'!$D$7:$D$16,MATCH(F1207,'PRICING'!$A$7:$A$16,0))/60+INDEX('PROPERTIES'!$H$5:$H$404,MATCH(E1207,'PROPERTIES'!$B$5:$B$404,0))*INDEX('PRICING'!$E$7:$E$16,MATCH(F1207,'PRICING'!$A$7:$A$16,0))/60+INDEX('PRICING'!$F$7:$F$16,MATCH(F1207,'PRICING'!$A$7:$A$16,0))/60),2)),""))</f>
        <v/>
      </c>
      <c r="R1207" s="97">
        <f>IF(B1207="","",IF(N(K1207)&gt;0,K1207,IF(N(J1207)&gt;0,J1207,N(Q1207))))</f>
        <v/>
      </c>
      <c r="S1207" s="55">
        <f>IF(L1207="","",ROUND(L1207*(1+N(M1207)),2))</f>
        <v/>
      </c>
      <c r="T1207" s="55">
        <f>IF(B1207="","",SUMIFS('REVENUE'!$C$5:$C$1504,'REVENUE'!$B$5:$B$1504,A1207))</f>
        <v/>
      </c>
      <c r="U1207" s="55">
        <f>IF(B1207="","",IF(O1207="Completed",MAX(0,N(S1207)-T1207),""))</f>
        <v/>
      </c>
      <c r="V1207" s="49">
        <f>IF(B1207="","",IF(O1207&lt;&gt;"Completed",IF(T1207&gt;0,"Deposit","—"),IF(U1207&lt;=0.005,"Paid",IF(T1207&gt;0,"Partial","Unpaid"))))</f>
        <v/>
      </c>
      <c r="W1207" s="55">
        <f>IF(B1207="","",IFERROR(1/(1/INDEX('STAFF &amp; TASKS'!$C$5:$C$24,MATCH(H1207,'STAFF &amp; TASKS'!$A$5:$A$24,0))),PayRate))</f>
        <v/>
      </c>
      <c r="X1207" s="55">
        <f>IF(B1207="","",IF(OR(O1207="Cancelled",O1207="No-Show"),"",ROUND(R1207*W1207*(1+Burden),2)))</f>
        <v/>
      </c>
      <c r="Y1207" s="55">
        <f>IF(B1207="","",IF(OR(O1207="Cancelled",O1207="No-Show"),"",IF(N1207&lt;&gt;"",N1207,ROUND(R1207*SupHr*IFERROR(INDEX('PRICING'!$G$7:$G$16,MATCH(F1207,'PRICING'!$A$7:$A$16,0)),1),2))))</f>
        <v/>
      </c>
      <c r="Z1207" s="98">
        <f>IF(B1207="","",SUMIFS('MILEAGE'!$J$5:$J$1504,'MILEAGE'!$B$5:$B$1504,A1207))</f>
        <v/>
      </c>
      <c r="AA1207" s="55">
        <f>IF(B1207="","",ROUND(Z1207*MileRate,2))</f>
        <v/>
      </c>
      <c r="AB1207" s="55">
        <f>IF(B1207="","",SUMIFS('REVENUE'!$J$5:$J$1504,'REVENUE'!$B$5:$B$1504,A1207))</f>
        <v/>
      </c>
      <c r="AC1207" s="55">
        <f>IF(L1207="","",IF(OR(O1207="Cancelled",O1207="No-Show"),"",L1207-N(X1207)-N(Y1207)-AA1207-AB1207))</f>
        <v/>
      </c>
      <c r="AD1207" s="99">
        <f>IF(OR(AC1207="",N(L1207)=0),"",AC1207/L1207)</f>
        <v/>
      </c>
      <c r="AE1207" s="55">
        <f>IF(OR(AC1207="",N(R1207)=0),"",L1207/R1207)</f>
        <v/>
      </c>
      <c r="AF1207" s="100">
        <f>IF(OR(N(K1207)=0,N(J1207)+N(Q1207)=0),"",K1207-IF(N(J1207)&gt;0,J1207,Q1207))</f>
        <v/>
      </c>
      <c r="AG1207" s="99">
        <f>IF(B1207="","",IFERROR(AVERAGEIFS('QUALITY CONTROL'!$M$5:$M$304,'QUALITY CONTROL'!$B$5:$B$304,A1207),""))</f>
        <v/>
      </c>
      <c r="AH1207" s="51">
        <f>IF(B1207="","",DATE(YEAR(B1207),MONTH(B1207),1))</f>
        <v/>
      </c>
      <c r="AI1207" s="49">
        <f>IF(D1207="","",IFERROR(INDEX('CUSTOMERS'!$E$5:$E$404,MATCH(D1207,'CUSTOMERS'!$B$5:$B$404,0)),""))</f>
        <v/>
      </c>
      <c r="AJ1207" s="49">
        <f>IF(B1207="","",N(C1207))</f>
        <v/>
      </c>
      <c r="AK1207" s="49">
        <f>IF(OR(B1207="",O1207="Cancelled",O1207="Rescheduled"),"",B1207&amp;"|"&amp;(COUNTIFS('JOBS'!$B$5:$B$1504,B1207,'JOBS'!$AJ$5:$AJ$1504,"&lt;"&amp;AJ1207,'JOBS'!$O$5:$O$1504,"&lt;&gt;Cancelled",'JOBS'!$O$5:$O$1504,"&lt;&gt;Rescheduled")+COUNTIFS($B$5:B1207,B1207,$AJ$5:AJ1207,AJ1207,$O$5:O1207,"&lt;&gt;Cancelled",$O$5:O1207,"&lt;&gt;Rescheduled")))</f>
        <v/>
      </c>
      <c r="AL1207" s="49">
        <f>IF(N(U1207)&lt;=0.005,"",COUNTIFS('JOBS'!$U$5:$U$1504,"&gt;0.005",'JOBS'!$B$5:$B$1504,"&lt;"&amp;B1207)+COUNTIFS($U$5:U1207,"&gt;0.005",$B$5:B1207,B1207))</f>
        <v/>
      </c>
    </row>
    <row r="1208">
      <c r="A1208" s="46" t="inlineStr">
        <is>
          <t>J-1204</t>
        </is>
      </c>
      <c r="B1208" s="47" t="n"/>
      <c r="C1208" s="94" t="n"/>
      <c r="D1208" s="38" t="n"/>
      <c r="E1208" s="38" t="n"/>
      <c r="F1208" s="38" t="n"/>
      <c r="G1208" s="38" t="n"/>
      <c r="H1208" s="38" t="n"/>
      <c r="I1208" s="57" t="n"/>
      <c r="J1208" s="95" t="n"/>
      <c r="K1208" s="95" t="n"/>
      <c r="L1208" s="48" t="n"/>
      <c r="M1208" s="96" t="n"/>
      <c r="N1208" s="48" t="n"/>
      <c r="O1208" s="38" t="n"/>
      <c r="P1208" s="38" t="n"/>
      <c r="Q1208" s="97">
        <f>IF(OR(F1208="",E1208=""),"",IFERROR(IF(INDEX('PROPERTIES'!$F$5:$F$404,MATCH(E1208,'PROPERTIES'!$B$5:$B$404,0))=0,"",ROUND((INDEX('PROPERTIES'!$F$5:$F$404,MATCH(E1208,'PROPERTIES'!$B$5:$B$404,0))/INDEX('PRICING'!$C$7:$C$16,MATCH(F1208,'PRICING'!$A$7:$A$16,0))+INDEX('PROPERTIES'!$G$5:$G$404,MATCH(E1208,'PROPERTIES'!$B$5:$B$404,0))*INDEX('PRICING'!$D$7:$D$16,MATCH(F1208,'PRICING'!$A$7:$A$16,0))/60+INDEX('PROPERTIES'!$H$5:$H$404,MATCH(E1208,'PROPERTIES'!$B$5:$B$404,0))*INDEX('PRICING'!$E$7:$E$16,MATCH(F1208,'PRICING'!$A$7:$A$16,0))/60+INDEX('PRICING'!$F$7:$F$16,MATCH(F1208,'PRICING'!$A$7:$A$16,0))/60),2)),""))</f>
        <v/>
      </c>
      <c r="R1208" s="97">
        <f>IF(B1208="","",IF(N(K1208)&gt;0,K1208,IF(N(J1208)&gt;0,J1208,N(Q1208))))</f>
        <v/>
      </c>
      <c r="S1208" s="55">
        <f>IF(L1208="","",ROUND(L1208*(1+N(M1208)),2))</f>
        <v/>
      </c>
      <c r="T1208" s="55">
        <f>IF(B1208="","",SUMIFS('REVENUE'!$C$5:$C$1504,'REVENUE'!$B$5:$B$1504,A1208))</f>
        <v/>
      </c>
      <c r="U1208" s="55">
        <f>IF(B1208="","",IF(O1208="Completed",MAX(0,N(S1208)-T1208),""))</f>
        <v/>
      </c>
      <c r="V1208" s="49">
        <f>IF(B1208="","",IF(O1208&lt;&gt;"Completed",IF(T1208&gt;0,"Deposit","—"),IF(U1208&lt;=0.005,"Paid",IF(T1208&gt;0,"Partial","Unpaid"))))</f>
        <v/>
      </c>
      <c r="W1208" s="55">
        <f>IF(B1208="","",IFERROR(1/(1/INDEX('STAFF &amp; TASKS'!$C$5:$C$24,MATCH(H1208,'STAFF &amp; TASKS'!$A$5:$A$24,0))),PayRate))</f>
        <v/>
      </c>
      <c r="X1208" s="55">
        <f>IF(B1208="","",IF(OR(O1208="Cancelled",O1208="No-Show"),"",ROUND(R1208*W1208*(1+Burden),2)))</f>
        <v/>
      </c>
      <c r="Y1208" s="55">
        <f>IF(B1208="","",IF(OR(O1208="Cancelled",O1208="No-Show"),"",IF(N1208&lt;&gt;"",N1208,ROUND(R1208*SupHr*IFERROR(INDEX('PRICING'!$G$7:$G$16,MATCH(F1208,'PRICING'!$A$7:$A$16,0)),1),2))))</f>
        <v/>
      </c>
      <c r="Z1208" s="98">
        <f>IF(B1208="","",SUMIFS('MILEAGE'!$J$5:$J$1504,'MILEAGE'!$B$5:$B$1504,A1208))</f>
        <v/>
      </c>
      <c r="AA1208" s="55">
        <f>IF(B1208="","",ROUND(Z1208*MileRate,2))</f>
        <v/>
      </c>
      <c r="AB1208" s="55">
        <f>IF(B1208="","",SUMIFS('REVENUE'!$J$5:$J$1504,'REVENUE'!$B$5:$B$1504,A1208))</f>
        <v/>
      </c>
      <c r="AC1208" s="55">
        <f>IF(L1208="","",IF(OR(O1208="Cancelled",O1208="No-Show"),"",L1208-N(X1208)-N(Y1208)-AA1208-AB1208))</f>
        <v/>
      </c>
      <c r="AD1208" s="99">
        <f>IF(OR(AC1208="",N(L1208)=0),"",AC1208/L1208)</f>
        <v/>
      </c>
      <c r="AE1208" s="55">
        <f>IF(OR(AC1208="",N(R1208)=0),"",L1208/R1208)</f>
        <v/>
      </c>
      <c r="AF1208" s="100">
        <f>IF(OR(N(K1208)=0,N(J1208)+N(Q1208)=0),"",K1208-IF(N(J1208)&gt;0,J1208,Q1208))</f>
        <v/>
      </c>
      <c r="AG1208" s="99">
        <f>IF(B1208="","",IFERROR(AVERAGEIFS('QUALITY CONTROL'!$M$5:$M$304,'QUALITY CONTROL'!$B$5:$B$304,A1208),""))</f>
        <v/>
      </c>
      <c r="AH1208" s="51">
        <f>IF(B1208="","",DATE(YEAR(B1208),MONTH(B1208),1))</f>
        <v/>
      </c>
      <c r="AI1208" s="49">
        <f>IF(D1208="","",IFERROR(INDEX('CUSTOMERS'!$E$5:$E$404,MATCH(D1208,'CUSTOMERS'!$B$5:$B$404,0)),""))</f>
        <v/>
      </c>
      <c r="AJ1208" s="49">
        <f>IF(B1208="","",N(C1208))</f>
        <v/>
      </c>
      <c r="AK1208" s="49">
        <f>IF(OR(B1208="",O1208="Cancelled",O1208="Rescheduled"),"",B1208&amp;"|"&amp;(COUNTIFS('JOBS'!$B$5:$B$1504,B1208,'JOBS'!$AJ$5:$AJ$1504,"&lt;"&amp;AJ1208,'JOBS'!$O$5:$O$1504,"&lt;&gt;Cancelled",'JOBS'!$O$5:$O$1504,"&lt;&gt;Rescheduled")+COUNTIFS($B$5:B1208,B1208,$AJ$5:AJ1208,AJ1208,$O$5:O1208,"&lt;&gt;Cancelled",$O$5:O1208,"&lt;&gt;Rescheduled")))</f>
        <v/>
      </c>
      <c r="AL1208" s="49">
        <f>IF(N(U1208)&lt;=0.005,"",COUNTIFS('JOBS'!$U$5:$U$1504,"&gt;0.005",'JOBS'!$B$5:$B$1504,"&lt;"&amp;B1208)+COUNTIFS($U$5:U1208,"&gt;0.005",$B$5:B1208,B1208))</f>
        <v/>
      </c>
    </row>
    <row r="1209">
      <c r="A1209" s="46" t="inlineStr">
        <is>
          <t>J-1205</t>
        </is>
      </c>
      <c r="B1209" s="47" t="n"/>
      <c r="C1209" s="94" t="n"/>
      <c r="D1209" s="38" t="n"/>
      <c r="E1209" s="38" t="n"/>
      <c r="F1209" s="38" t="n"/>
      <c r="G1209" s="38" t="n"/>
      <c r="H1209" s="38" t="n"/>
      <c r="I1209" s="57" t="n"/>
      <c r="J1209" s="95" t="n"/>
      <c r="K1209" s="95" t="n"/>
      <c r="L1209" s="48" t="n"/>
      <c r="M1209" s="96" t="n"/>
      <c r="N1209" s="48" t="n"/>
      <c r="O1209" s="38" t="n"/>
      <c r="P1209" s="38" t="n"/>
      <c r="Q1209" s="97">
        <f>IF(OR(F1209="",E1209=""),"",IFERROR(IF(INDEX('PROPERTIES'!$F$5:$F$404,MATCH(E1209,'PROPERTIES'!$B$5:$B$404,0))=0,"",ROUND((INDEX('PROPERTIES'!$F$5:$F$404,MATCH(E1209,'PROPERTIES'!$B$5:$B$404,0))/INDEX('PRICING'!$C$7:$C$16,MATCH(F1209,'PRICING'!$A$7:$A$16,0))+INDEX('PROPERTIES'!$G$5:$G$404,MATCH(E1209,'PROPERTIES'!$B$5:$B$404,0))*INDEX('PRICING'!$D$7:$D$16,MATCH(F1209,'PRICING'!$A$7:$A$16,0))/60+INDEX('PROPERTIES'!$H$5:$H$404,MATCH(E1209,'PROPERTIES'!$B$5:$B$404,0))*INDEX('PRICING'!$E$7:$E$16,MATCH(F1209,'PRICING'!$A$7:$A$16,0))/60+INDEX('PRICING'!$F$7:$F$16,MATCH(F1209,'PRICING'!$A$7:$A$16,0))/60),2)),""))</f>
        <v/>
      </c>
      <c r="R1209" s="97">
        <f>IF(B1209="","",IF(N(K1209)&gt;0,K1209,IF(N(J1209)&gt;0,J1209,N(Q1209))))</f>
        <v/>
      </c>
      <c r="S1209" s="55">
        <f>IF(L1209="","",ROUND(L1209*(1+N(M1209)),2))</f>
        <v/>
      </c>
      <c r="T1209" s="55">
        <f>IF(B1209="","",SUMIFS('REVENUE'!$C$5:$C$1504,'REVENUE'!$B$5:$B$1504,A1209))</f>
        <v/>
      </c>
      <c r="U1209" s="55">
        <f>IF(B1209="","",IF(O1209="Completed",MAX(0,N(S1209)-T1209),""))</f>
        <v/>
      </c>
      <c r="V1209" s="49">
        <f>IF(B1209="","",IF(O1209&lt;&gt;"Completed",IF(T1209&gt;0,"Deposit","—"),IF(U1209&lt;=0.005,"Paid",IF(T1209&gt;0,"Partial","Unpaid"))))</f>
        <v/>
      </c>
      <c r="W1209" s="55">
        <f>IF(B1209="","",IFERROR(1/(1/INDEX('STAFF &amp; TASKS'!$C$5:$C$24,MATCH(H1209,'STAFF &amp; TASKS'!$A$5:$A$24,0))),PayRate))</f>
        <v/>
      </c>
      <c r="X1209" s="55">
        <f>IF(B1209="","",IF(OR(O1209="Cancelled",O1209="No-Show"),"",ROUND(R1209*W1209*(1+Burden),2)))</f>
        <v/>
      </c>
      <c r="Y1209" s="55">
        <f>IF(B1209="","",IF(OR(O1209="Cancelled",O1209="No-Show"),"",IF(N1209&lt;&gt;"",N1209,ROUND(R1209*SupHr*IFERROR(INDEX('PRICING'!$G$7:$G$16,MATCH(F1209,'PRICING'!$A$7:$A$16,0)),1),2))))</f>
        <v/>
      </c>
      <c r="Z1209" s="98">
        <f>IF(B1209="","",SUMIFS('MILEAGE'!$J$5:$J$1504,'MILEAGE'!$B$5:$B$1504,A1209))</f>
        <v/>
      </c>
      <c r="AA1209" s="55">
        <f>IF(B1209="","",ROUND(Z1209*MileRate,2))</f>
        <v/>
      </c>
      <c r="AB1209" s="55">
        <f>IF(B1209="","",SUMIFS('REVENUE'!$J$5:$J$1504,'REVENUE'!$B$5:$B$1504,A1209))</f>
        <v/>
      </c>
      <c r="AC1209" s="55">
        <f>IF(L1209="","",IF(OR(O1209="Cancelled",O1209="No-Show"),"",L1209-N(X1209)-N(Y1209)-AA1209-AB1209))</f>
        <v/>
      </c>
      <c r="AD1209" s="99">
        <f>IF(OR(AC1209="",N(L1209)=0),"",AC1209/L1209)</f>
        <v/>
      </c>
      <c r="AE1209" s="55">
        <f>IF(OR(AC1209="",N(R1209)=0),"",L1209/R1209)</f>
        <v/>
      </c>
      <c r="AF1209" s="100">
        <f>IF(OR(N(K1209)=0,N(J1209)+N(Q1209)=0),"",K1209-IF(N(J1209)&gt;0,J1209,Q1209))</f>
        <v/>
      </c>
      <c r="AG1209" s="99">
        <f>IF(B1209="","",IFERROR(AVERAGEIFS('QUALITY CONTROL'!$M$5:$M$304,'QUALITY CONTROL'!$B$5:$B$304,A1209),""))</f>
        <v/>
      </c>
      <c r="AH1209" s="51">
        <f>IF(B1209="","",DATE(YEAR(B1209),MONTH(B1209),1))</f>
        <v/>
      </c>
      <c r="AI1209" s="49">
        <f>IF(D1209="","",IFERROR(INDEX('CUSTOMERS'!$E$5:$E$404,MATCH(D1209,'CUSTOMERS'!$B$5:$B$404,0)),""))</f>
        <v/>
      </c>
      <c r="AJ1209" s="49">
        <f>IF(B1209="","",N(C1209))</f>
        <v/>
      </c>
      <c r="AK1209" s="49">
        <f>IF(OR(B1209="",O1209="Cancelled",O1209="Rescheduled"),"",B1209&amp;"|"&amp;(COUNTIFS('JOBS'!$B$5:$B$1504,B1209,'JOBS'!$AJ$5:$AJ$1504,"&lt;"&amp;AJ1209,'JOBS'!$O$5:$O$1504,"&lt;&gt;Cancelled",'JOBS'!$O$5:$O$1504,"&lt;&gt;Rescheduled")+COUNTIFS($B$5:B1209,B1209,$AJ$5:AJ1209,AJ1209,$O$5:O1209,"&lt;&gt;Cancelled",$O$5:O1209,"&lt;&gt;Rescheduled")))</f>
        <v/>
      </c>
      <c r="AL1209" s="49">
        <f>IF(N(U1209)&lt;=0.005,"",COUNTIFS('JOBS'!$U$5:$U$1504,"&gt;0.005",'JOBS'!$B$5:$B$1504,"&lt;"&amp;B1209)+COUNTIFS($U$5:U1209,"&gt;0.005",$B$5:B1209,B1209))</f>
        <v/>
      </c>
    </row>
    <row r="1210">
      <c r="A1210" s="46" t="inlineStr">
        <is>
          <t>J-1206</t>
        </is>
      </c>
      <c r="B1210" s="47" t="n"/>
      <c r="C1210" s="94" t="n"/>
      <c r="D1210" s="38" t="n"/>
      <c r="E1210" s="38" t="n"/>
      <c r="F1210" s="38" t="n"/>
      <c r="G1210" s="38" t="n"/>
      <c r="H1210" s="38" t="n"/>
      <c r="I1210" s="57" t="n"/>
      <c r="J1210" s="95" t="n"/>
      <c r="K1210" s="95" t="n"/>
      <c r="L1210" s="48" t="n"/>
      <c r="M1210" s="96" t="n"/>
      <c r="N1210" s="48" t="n"/>
      <c r="O1210" s="38" t="n"/>
      <c r="P1210" s="38" t="n"/>
      <c r="Q1210" s="97">
        <f>IF(OR(F1210="",E1210=""),"",IFERROR(IF(INDEX('PROPERTIES'!$F$5:$F$404,MATCH(E1210,'PROPERTIES'!$B$5:$B$404,0))=0,"",ROUND((INDEX('PROPERTIES'!$F$5:$F$404,MATCH(E1210,'PROPERTIES'!$B$5:$B$404,0))/INDEX('PRICING'!$C$7:$C$16,MATCH(F1210,'PRICING'!$A$7:$A$16,0))+INDEX('PROPERTIES'!$G$5:$G$404,MATCH(E1210,'PROPERTIES'!$B$5:$B$404,0))*INDEX('PRICING'!$D$7:$D$16,MATCH(F1210,'PRICING'!$A$7:$A$16,0))/60+INDEX('PROPERTIES'!$H$5:$H$404,MATCH(E1210,'PROPERTIES'!$B$5:$B$404,0))*INDEX('PRICING'!$E$7:$E$16,MATCH(F1210,'PRICING'!$A$7:$A$16,0))/60+INDEX('PRICING'!$F$7:$F$16,MATCH(F1210,'PRICING'!$A$7:$A$16,0))/60),2)),""))</f>
        <v/>
      </c>
      <c r="R1210" s="97">
        <f>IF(B1210="","",IF(N(K1210)&gt;0,K1210,IF(N(J1210)&gt;0,J1210,N(Q1210))))</f>
        <v/>
      </c>
      <c r="S1210" s="55">
        <f>IF(L1210="","",ROUND(L1210*(1+N(M1210)),2))</f>
        <v/>
      </c>
      <c r="T1210" s="55">
        <f>IF(B1210="","",SUMIFS('REVENUE'!$C$5:$C$1504,'REVENUE'!$B$5:$B$1504,A1210))</f>
        <v/>
      </c>
      <c r="U1210" s="55">
        <f>IF(B1210="","",IF(O1210="Completed",MAX(0,N(S1210)-T1210),""))</f>
        <v/>
      </c>
      <c r="V1210" s="49">
        <f>IF(B1210="","",IF(O1210&lt;&gt;"Completed",IF(T1210&gt;0,"Deposit","—"),IF(U1210&lt;=0.005,"Paid",IF(T1210&gt;0,"Partial","Unpaid"))))</f>
        <v/>
      </c>
      <c r="W1210" s="55">
        <f>IF(B1210="","",IFERROR(1/(1/INDEX('STAFF &amp; TASKS'!$C$5:$C$24,MATCH(H1210,'STAFF &amp; TASKS'!$A$5:$A$24,0))),PayRate))</f>
        <v/>
      </c>
      <c r="X1210" s="55">
        <f>IF(B1210="","",IF(OR(O1210="Cancelled",O1210="No-Show"),"",ROUND(R1210*W1210*(1+Burden),2)))</f>
        <v/>
      </c>
      <c r="Y1210" s="55">
        <f>IF(B1210="","",IF(OR(O1210="Cancelled",O1210="No-Show"),"",IF(N1210&lt;&gt;"",N1210,ROUND(R1210*SupHr*IFERROR(INDEX('PRICING'!$G$7:$G$16,MATCH(F1210,'PRICING'!$A$7:$A$16,0)),1),2))))</f>
        <v/>
      </c>
      <c r="Z1210" s="98">
        <f>IF(B1210="","",SUMIFS('MILEAGE'!$J$5:$J$1504,'MILEAGE'!$B$5:$B$1504,A1210))</f>
        <v/>
      </c>
      <c r="AA1210" s="55">
        <f>IF(B1210="","",ROUND(Z1210*MileRate,2))</f>
        <v/>
      </c>
      <c r="AB1210" s="55">
        <f>IF(B1210="","",SUMIFS('REVENUE'!$J$5:$J$1504,'REVENUE'!$B$5:$B$1504,A1210))</f>
        <v/>
      </c>
      <c r="AC1210" s="55">
        <f>IF(L1210="","",IF(OR(O1210="Cancelled",O1210="No-Show"),"",L1210-N(X1210)-N(Y1210)-AA1210-AB1210))</f>
        <v/>
      </c>
      <c r="AD1210" s="99">
        <f>IF(OR(AC1210="",N(L1210)=0),"",AC1210/L1210)</f>
        <v/>
      </c>
      <c r="AE1210" s="55">
        <f>IF(OR(AC1210="",N(R1210)=0),"",L1210/R1210)</f>
        <v/>
      </c>
      <c r="AF1210" s="100">
        <f>IF(OR(N(K1210)=0,N(J1210)+N(Q1210)=0),"",K1210-IF(N(J1210)&gt;0,J1210,Q1210))</f>
        <v/>
      </c>
      <c r="AG1210" s="99">
        <f>IF(B1210="","",IFERROR(AVERAGEIFS('QUALITY CONTROL'!$M$5:$M$304,'QUALITY CONTROL'!$B$5:$B$304,A1210),""))</f>
        <v/>
      </c>
      <c r="AH1210" s="51">
        <f>IF(B1210="","",DATE(YEAR(B1210),MONTH(B1210),1))</f>
        <v/>
      </c>
      <c r="AI1210" s="49">
        <f>IF(D1210="","",IFERROR(INDEX('CUSTOMERS'!$E$5:$E$404,MATCH(D1210,'CUSTOMERS'!$B$5:$B$404,0)),""))</f>
        <v/>
      </c>
      <c r="AJ1210" s="49">
        <f>IF(B1210="","",N(C1210))</f>
        <v/>
      </c>
      <c r="AK1210" s="49">
        <f>IF(OR(B1210="",O1210="Cancelled",O1210="Rescheduled"),"",B1210&amp;"|"&amp;(COUNTIFS('JOBS'!$B$5:$B$1504,B1210,'JOBS'!$AJ$5:$AJ$1504,"&lt;"&amp;AJ1210,'JOBS'!$O$5:$O$1504,"&lt;&gt;Cancelled",'JOBS'!$O$5:$O$1504,"&lt;&gt;Rescheduled")+COUNTIFS($B$5:B1210,B1210,$AJ$5:AJ1210,AJ1210,$O$5:O1210,"&lt;&gt;Cancelled",$O$5:O1210,"&lt;&gt;Rescheduled")))</f>
        <v/>
      </c>
      <c r="AL1210" s="49">
        <f>IF(N(U1210)&lt;=0.005,"",COUNTIFS('JOBS'!$U$5:$U$1504,"&gt;0.005",'JOBS'!$B$5:$B$1504,"&lt;"&amp;B1210)+COUNTIFS($U$5:U1210,"&gt;0.005",$B$5:B1210,B1210))</f>
        <v/>
      </c>
    </row>
    <row r="1211">
      <c r="A1211" s="46" t="inlineStr">
        <is>
          <t>J-1207</t>
        </is>
      </c>
      <c r="B1211" s="47" t="n"/>
      <c r="C1211" s="94" t="n"/>
      <c r="D1211" s="38" t="n"/>
      <c r="E1211" s="38" t="n"/>
      <c r="F1211" s="38" t="n"/>
      <c r="G1211" s="38" t="n"/>
      <c r="H1211" s="38" t="n"/>
      <c r="I1211" s="57" t="n"/>
      <c r="J1211" s="95" t="n"/>
      <c r="K1211" s="95" t="n"/>
      <c r="L1211" s="48" t="n"/>
      <c r="M1211" s="96" t="n"/>
      <c r="N1211" s="48" t="n"/>
      <c r="O1211" s="38" t="n"/>
      <c r="P1211" s="38" t="n"/>
      <c r="Q1211" s="97">
        <f>IF(OR(F1211="",E1211=""),"",IFERROR(IF(INDEX('PROPERTIES'!$F$5:$F$404,MATCH(E1211,'PROPERTIES'!$B$5:$B$404,0))=0,"",ROUND((INDEX('PROPERTIES'!$F$5:$F$404,MATCH(E1211,'PROPERTIES'!$B$5:$B$404,0))/INDEX('PRICING'!$C$7:$C$16,MATCH(F1211,'PRICING'!$A$7:$A$16,0))+INDEX('PROPERTIES'!$G$5:$G$404,MATCH(E1211,'PROPERTIES'!$B$5:$B$404,0))*INDEX('PRICING'!$D$7:$D$16,MATCH(F1211,'PRICING'!$A$7:$A$16,0))/60+INDEX('PROPERTIES'!$H$5:$H$404,MATCH(E1211,'PROPERTIES'!$B$5:$B$404,0))*INDEX('PRICING'!$E$7:$E$16,MATCH(F1211,'PRICING'!$A$7:$A$16,0))/60+INDEX('PRICING'!$F$7:$F$16,MATCH(F1211,'PRICING'!$A$7:$A$16,0))/60),2)),""))</f>
        <v/>
      </c>
      <c r="R1211" s="97">
        <f>IF(B1211="","",IF(N(K1211)&gt;0,K1211,IF(N(J1211)&gt;0,J1211,N(Q1211))))</f>
        <v/>
      </c>
      <c r="S1211" s="55">
        <f>IF(L1211="","",ROUND(L1211*(1+N(M1211)),2))</f>
        <v/>
      </c>
      <c r="T1211" s="55">
        <f>IF(B1211="","",SUMIFS('REVENUE'!$C$5:$C$1504,'REVENUE'!$B$5:$B$1504,A1211))</f>
        <v/>
      </c>
      <c r="U1211" s="55">
        <f>IF(B1211="","",IF(O1211="Completed",MAX(0,N(S1211)-T1211),""))</f>
        <v/>
      </c>
      <c r="V1211" s="49">
        <f>IF(B1211="","",IF(O1211&lt;&gt;"Completed",IF(T1211&gt;0,"Deposit","—"),IF(U1211&lt;=0.005,"Paid",IF(T1211&gt;0,"Partial","Unpaid"))))</f>
        <v/>
      </c>
      <c r="W1211" s="55">
        <f>IF(B1211="","",IFERROR(1/(1/INDEX('STAFF &amp; TASKS'!$C$5:$C$24,MATCH(H1211,'STAFF &amp; TASKS'!$A$5:$A$24,0))),PayRate))</f>
        <v/>
      </c>
      <c r="X1211" s="55">
        <f>IF(B1211="","",IF(OR(O1211="Cancelled",O1211="No-Show"),"",ROUND(R1211*W1211*(1+Burden),2)))</f>
        <v/>
      </c>
      <c r="Y1211" s="55">
        <f>IF(B1211="","",IF(OR(O1211="Cancelled",O1211="No-Show"),"",IF(N1211&lt;&gt;"",N1211,ROUND(R1211*SupHr*IFERROR(INDEX('PRICING'!$G$7:$G$16,MATCH(F1211,'PRICING'!$A$7:$A$16,0)),1),2))))</f>
        <v/>
      </c>
      <c r="Z1211" s="98">
        <f>IF(B1211="","",SUMIFS('MILEAGE'!$J$5:$J$1504,'MILEAGE'!$B$5:$B$1504,A1211))</f>
        <v/>
      </c>
      <c r="AA1211" s="55">
        <f>IF(B1211="","",ROUND(Z1211*MileRate,2))</f>
        <v/>
      </c>
      <c r="AB1211" s="55">
        <f>IF(B1211="","",SUMIFS('REVENUE'!$J$5:$J$1504,'REVENUE'!$B$5:$B$1504,A1211))</f>
        <v/>
      </c>
      <c r="AC1211" s="55">
        <f>IF(L1211="","",IF(OR(O1211="Cancelled",O1211="No-Show"),"",L1211-N(X1211)-N(Y1211)-AA1211-AB1211))</f>
        <v/>
      </c>
      <c r="AD1211" s="99">
        <f>IF(OR(AC1211="",N(L1211)=0),"",AC1211/L1211)</f>
        <v/>
      </c>
      <c r="AE1211" s="55">
        <f>IF(OR(AC1211="",N(R1211)=0),"",L1211/R1211)</f>
        <v/>
      </c>
      <c r="AF1211" s="100">
        <f>IF(OR(N(K1211)=0,N(J1211)+N(Q1211)=0),"",K1211-IF(N(J1211)&gt;0,J1211,Q1211))</f>
        <v/>
      </c>
      <c r="AG1211" s="99">
        <f>IF(B1211="","",IFERROR(AVERAGEIFS('QUALITY CONTROL'!$M$5:$M$304,'QUALITY CONTROL'!$B$5:$B$304,A1211),""))</f>
        <v/>
      </c>
      <c r="AH1211" s="51">
        <f>IF(B1211="","",DATE(YEAR(B1211),MONTH(B1211),1))</f>
        <v/>
      </c>
      <c r="AI1211" s="49">
        <f>IF(D1211="","",IFERROR(INDEX('CUSTOMERS'!$E$5:$E$404,MATCH(D1211,'CUSTOMERS'!$B$5:$B$404,0)),""))</f>
        <v/>
      </c>
      <c r="AJ1211" s="49">
        <f>IF(B1211="","",N(C1211))</f>
        <v/>
      </c>
      <c r="AK1211" s="49">
        <f>IF(OR(B1211="",O1211="Cancelled",O1211="Rescheduled"),"",B1211&amp;"|"&amp;(COUNTIFS('JOBS'!$B$5:$B$1504,B1211,'JOBS'!$AJ$5:$AJ$1504,"&lt;"&amp;AJ1211,'JOBS'!$O$5:$O$1504,"&lt;&gt;Cancelled",'JOBS'!$O$5:$O$1504,"&lt;&gt;Rescheduled")+COUNTIFS($B$5:B1211,B1211,$AJ$5:AJ1211,AJ1211,$O$5:O1211,"&lt;&gt;Cancelled",$O$5:O1211,"&lt;&gt;Rescheduled")))</f>
        <v/>
      </c>
      <c r="AL1211" s="49">
        <f>IF(N(U1211)&lt;=0.005,"",COUNTIFS('JOBS'!$U$5:$U$1504,"&gt;0.005",'JOBS'!$B$5:$B$1504,"&lt;"&amp;B1211)+COUNTIFS($U$5:U1211,"&gt;0.005",$B$5:B1211,B1211))</f>
        <v/>
      </c>
    </row>
    <row r="1212">
      <c r="A1212" s="46" t="inlineStr">
        <is>
          <t>J-1208</t>
        </is>
      </c>
      <c r="B1212" s="47" t="n"/>
      <c r="C1212" s="94" t="n"/>
      <c r="D1212" s="38" t="n"/>
      <c r="E1212" s="38" t="n"/>
      <c r="F1212" s="38" t="n"/>
      <c r="G1212" s="38" t="n"/>
      <c r="H1212" s="38" t="n"/>
      <c r="I1212" s="57" t="n"/>
      <c r="J1212" s="95" t="n"/>
      <c r="K1212" s="95" t="n"/>
      <c r="L1212" s="48" t="n"/>
      <c r="M1212" s="96" t="n"/>
      <c r="N1212" s="48" t="n"/>
      <c r="O1212" s="38" t="n"/>
      <c r="P1212" s="38" t="n"/>
      <c r="Q1212" s="97">
        <f>IF(OR(F1212="",E1212=""),"",IFERROR(IF(INDEX('PROPERTIES'!$F$5:$F$404,MATCH(E1212,'PROPERTIES'!$B$5:$B$404,0))=0,"",ROUND((INDEX('PROPERTIES'!$F$5:$F$404,MATCH(E1212,'PROPERTIES'!$B$5:$B$404,0))/INDEX('PRICING'!$C$7:$C$16,MATCH(F1212,'PRICING'!$A$7:$A$16,0))+INDEX('PROPERTIES'!$G$5:$G$404,MATCH(E1212,'PROPERTIES'!$B$5:$B$404,0))*INDEX('PRICING'!$D$7:$D$16,MATCH(F1212,'PRICING'!$A$7:$A$16,0))/60+INDEX('PROPERTIES'!$H$5:$H$404,MATCH(E1212,'PROPERTIES'!$B$5:$B$404,0))*INDEX('PRICING'!$E$7:$E$16,MATCH(F1212,'PRICING'!$A$7:$A$16,0))/60+INDEX('PRICING'!$F$7:$F$16,MATCH(F1212,'PRICING'!$A$7:$A$16,0))/60),2)),""))</f>
        <v/>
      </c>
      <c r="R1212" s="97">
        <f>IF(B1212="","",IF(N(K1212)&gt;0,K1212,IF(N(J1212)&gt;0,J1212,N(Q1212))))</f>
        <v/>
      </c>
      <c r="S1212" s="55">
        <f>IF(L1212="","",ROUND(L1212*(1+N(M1212)),2))</f>
        <v/>
      </c>
      <c r="T1212" s="55">
        <f>IF(B1212="","",SUMIFS('REVENUE'!$C$5:$C$1504,'REVENUE'!$B$5:$B$1504,A1212))</f>
        <v/>
      </c>
      <c r="U1212" s="55">
        <f>IF(B1212="","",IF(O1212="Completed",MAX(0,N(S1212)-T1212),""))</f>
        <v/>
      </c>
      <c r="V1212" s="49">
        <f>IF(B1212="","",IF(O1212&lt;&gt;"Completed",IF(T1212&gt;0,"Deposit","—"),IF(U1212&lt;=0.005,"Paid",IF(T1212&gt;0,"Partial","Unpaid"))))</f>
        <v/>
      </c>
      <c r="W1212" s="55">
        <f>IF(B1212="","",IFERROR(1/(1/INDEX('STAFF &amp; TASKS'!$C$5:$C$24,MATCH(H1212,'STAFF &amp; TASKS'!$A$5:$A$24,0))),PayRate))</f>
        <v/>
      </c>
      <c r="X1212" s="55">
        <f>IF(B1212="","",IF(OR(O1212="Cancelled",O1212="No-Show"),"",ROUND(R1212*W1212*(1+Burden),2)))</f>
        <v/>
      </c>
      <c r="Y1212" s="55">
        <f>IF(B1212="","",IF(OR(O1212="Cancelled",O1212="No-Show"),"",IF(N1212&lt;&gt;"",N1212,ROUND(R1212*SupHr*IFERROR(INDEX('PRICING'!$G$7:$G$16,MATCH(F1212,'PRICING'!$A$7:$A$16,0)),1),2))))</f>
        <v/>
      </c>
      <c r="Z1212" s="98">
        <f>IF(B1212="","",SUMIFS('MILEAGE'!$J$5:$J$1504,'MILEAGE'!$B$5:$B$1504,A1212))</f>
        <v/>
      </c>
      <c r="AA1212" s="55">
        <f>IF(B1212="","",ROUND(Z1212*MileRate,2))</f>
        <v/>
      </c>
      <c r="AB1212" s="55">
        <f>IF(B1212="","",SUMIFS('REVENUE'!$J$5:$J$1504,'REVENUE'!$B$5:$B$1504,A1212))</f>
        <v/>
      </c>
      <c r="AC1212" s="55">
        <f>IF(L1212="","",IF(OR(O1212="Cancelled",O1212="No-Show"),"",L1212-N(X1212)-N(Y1212)-AA1212-AB1212))</f>
        <v/>
      </c>
      <c r="AD1212" s="99">
        <f>IF(OR(AC1212="",N(L1212)=0),"",AC1212/L1212)</f>
        <v/>
      </c>
      <c r="AE1212" s="55">
        <f>IF(OR(AC1212="",N(R1212)=0),"",L1212/R1212)</f>
        <v/>
      </c>
      <c r="AF1212" s="100">
        <f>IF(OR(N(K1212)=0,N(J1212)+N(Q1212)=0),"",K1212-IF(N(J1212)&gt;0,J1212,Q1212))</f>
        <v/>
      </c>
      <c r="AG1212" s="99">
        <f>IF(B1212="","",IFERROR(AVERAGEIFS('QUALITY CONTROL'!$M$5:$M$304,'QUALITY CONTROL'!$B$5:$B$304,A1212),""))</f>
        <v/>
      </c>
      <c r="AH1212" s="51">
        <f>IF(B1212="","",DATE(YEAR(B1212),MONTH(B1212),1))</f>
        <v/>
      </c>
      <c r="AI1212" s="49">
        <f>IF(D1212="","",IFERROR(INDEX('CUSTOMERS'!$E$5:$E$404,MATCH(D1212,'CUSTOMERS'!$B$5:$B$404,0)),""))</f>
        <v/>
      </c>
      <c r="AJ1212" s="49">
        <f>IF(B1212="","",N(C1212))</f>
        <v/>
      </c>
      <c r="AK1212" s="49">
        <f>IF(OR(B1212="",O1212="Cancelled",O1212="Rescheduled"),"",B1212&amp;"|"&amp;(COUNTIFS('JOBS'!$B$5:$B$1504,B1212,'JOBS'!$AJ$5:$AJ$1504,"&lt;"&amp;AJ1212,'JOBS'!$O$5:$O$1504,"&lt;&gt;Cancelled",'JOBS'!$O$5:$O$1504,"&lt;&gt;Rescheduled")+COUNTIFS($B$5:B1212,B1212,$AJ$5:AJ1212,AJ1212,$O$5:O1212,"&lt;&gt;Cancelled",$O$5:O1212,"&lt;&gt;Rescheduled")))</f>
        <v/>
      </c>
      <c r="AL1212" s="49">
        <f>IF(N(U1212)&lt;=0.005,"",COUNTIFS('JOBS'!$U$5:$U$1504,"&gt;0.005",'JOBS'!$B$5:$B$1504,"&lt;"&amp;B1212)+COUNTIFS($U$5:U1212,"&gt;0.005",$B$5:B1212,B1212))</f>
        <v/>
      </c>
    </row>
    <row r="1213">
      <c r="A1213" s="46" t="inlineStr">
        <is>
          <t>J-1209</t>
        </is>
      </c>
      <c r="B1213" s="47" t="n"/>
      <c r="C1213" s="94" t="n"/>
      <c r="D1213" s="38" t="n"/>
      <c r="E1213" s="38" t="n"/>
      <c r="F1213" s="38" t="n"/>
      <c r="G1213" s="38" t="n"/>
      <c r="H1213" s="38" t="n"/>
      <c r="I1213" s="57" t="n"/>
      <c r="J1213" s="95" t="n"/>
      <c r="K1213" s="95" t="n"/>
      <c r="L1213" s="48" t="n"/>
      <c r="M1213" s="96" t="n"/>
      <c r="N1213" s="48" t="n"/>
      <c r="O1213" s="38" t="n"/>
      <c r="P1213" s="38" t="n"/>
      <c r="Q1213" s="97">
        <f>IF(OR(F1213="",E1213=""),"",IFERROR(IF(INDEX('PROPERTIES'!$F$5:$F$404,MATCH(E1213,'PROPERTIES'!$B$5:$B$404,0))=0,"",ROUND((INDEX('PROPERTIES'!$F$5:$F$404,MATCH(E1213,'PROPERTIES'!$B$5:$B$404,0))/INDEX('PRICING'!$C$7:$C$16,MATCH(F1213,'PRICING'!$A$7:$A$16,0))+INDEX('PROPERTIES'!$G$5:$G$404,MATCH(E1213,'PROPERTIES'!$B$5:$B$404,0))*INDEX('PRICING'!$D$7:$D$16,MATCH(F1213,'PRICING'!$A$7:$A$16,0))/60+INDEX('PROPERTIES'!$H$5:$H$404,MATCH(E1213,'PROPERTIES'!$B$5:$B$404,0))*INDEX('PRICING'!$E$7:$E$16,MATCH(F1213,'PRICING'!$A$7:$A$16,0))/60+INDEX('PRICING'!$F$7:$F$16,MATCH(F1213,'PRICING'!$A$7:$A$16,0))/60),2)),""))</f>
        <v/>
      </c>
      <c r="R1213" s="97">
        <f>IF(B1213="","",IF(N(K1213)&gt;0,K1213,IF(N(J1213)&gt;0,J1213,N(Q1213))))</f>
        <v/>
      </c>
      <c r="S1213" s="55">
        <f>IF(L1213="","",ROUND(L1213*(1+N(M1213)),2))</f>
        <v/>
      </c>
      <c r="T1213" s="55">
        <f>IF(B1213="","",SUMIFS('REVENUE'!$C$5:$C$1504,'REVENUE'!$B$5:$B$1504,A1213))</f>
        <v/>
      </c>
      <c r="U1213" s="55">
        <f>IF(B1213="","",IF(O1213="Completed",MAX(0,N(S1213)-T1213),""))</f>
        <v/>
      </c>
      <c r="V1213" s="49">
        <f>IF(B1213="","",IF(O1213&lt;&gt;"Completed",IF(T1213&gt;0,"Deposit","—"),IF(U1213&lt;=0.005,"Paid",IF(T1213&gt;0,"Partial","Unpaid"))))</f>
        <v/>
      </c>
      <c r="W1213" s="55">
        <f>IF(B1213="","",IFERROR(1/(1/INDEX('STAFF &amp; TASKS'!$C$5:$C$24,MATCH(H1213,'STAFF &amp; TASKS'!$A$5:$A$24,0))),PayRate))</f>
        <v/>
      </c>
      <c r="X1213" s="55">
        <f>IF(B1213="","",IF(OR(O1213="Cancelled",O1213="No-Show"),"",ROUND(R1213*W1213*(1+Burden),2)))</f>
        <v/>
      </c>
      <c r="Y1213" s="55">
        <f>IF(B1213="","",IF(OR(O1213="Cancelled",O1213="No-Show"),"",IF(N1213&lt;&gt;"",N1213,ROUND(R1213*SupHr*IFERROR(INDEX('PRICING'!$G$7:$G$16,MATCH(F1213,'PRICING'!$A$7:$A$16,0)),1),2))))</f>
        <v/>
      </c>
      <c r="Z1213" s="98">
        <f>IF(B1213="","",SUMIFS('MILEAGE'!$J$5:$J$1504,'MILEAGE'!$B$5:$B$1504,A1213))</f>
        <v/>
      </c>
      <c r="AA1213" s="55">
        <f>IF(B1213="","",ROUND(Z1213*MileRate,2))</f>
        <v/>
      </c>
      <c r="AB1213" s="55">
        <f>IF(B1213="","",SUMIFS('REVENUE'!$J$5:$J$1504,'REVENUE'!$B$5:$B$1504,A1213))</f>
        <v/>
      </c>
      <c r="AC1213" s="55">
        <f>IF(L1213="","",IF(OR(O1213="Cancelled",O1213="No-Show"),"",L1213-N(X1213)-N(Y1213)-AA1213-AB1213))</f>
        <v/>
      </c>
      <c r="AD1213" s="99">
        <f>IF(OR(AC1213="",N(L1213)=0),"",AC1213/L1213)</f>
        <v/>
      </c>
      <c r="AE1213" s="55">
        <f>IF(OR(AC1213="",N(R1213)=0),"",L1213/R1213)</f>
        <v/>
      </c>
      <c r="AF1213" s="100">
        <f>IF(OR(N(K1213)=0,N(J1213)+N(Q1213)=0),"",K1213-IF(N(J1213)&gt;0,J1213,Q1213))</f>
        <v/>
      </c>
      <c r="AG1213" s="99">
        <f>IF(B1213="","",IFERROR(AVERAGEIFS('QUALITY CONTROL'!$M$5:$M$304,'QUALITY CONTROL'!$B$5:$B$304,A1213),""))</f>
        <v/>
      </c>
      <c r="AH1213" s="51">
        <f>IF(B1213="","",DATE(YEAR(B1213),MONTH(B1213),1))</f>
        <v/>
      </c>
      <c r="AI1213" s="49">
        <f>IF(D1213="","",IFERROR(INDEX('CUSTOMERS'!$E$5:$E$404,MATCH(D1213,'CUSTOMERS'!$B$5:$B$404,0)),""))</f>
        <v/>
      </c>
      <c r="AJ1213" s="49">
        <f>IF(B1213="","",N(C1213))</f>
        <v/>
      </c>
      <c r="AK1213" s="49">
        <f>IF(OR(B1213="",O1213="Cancelled",O1213="Rescheduled"),"",B1213&amp;"|"&amp;(COUNTIFS('JOBS'!$B$5:$B$1504,B1213,'JOBS'!$AJ$5:$AJ$1504,"&lt;"&amp;AJ1213,'JOBS'!$O$5:$O$1504,"&lt;&gt;Cancelled",'JOBS'!$O$5:$O$1504,"&lt;&gt;Rescheduled")+COUNTIFS($B$5:B1213,B1213,$AJ$5:AJ1213,AJ1213,$O$5:O1213,"&lt;&gt;Cancelled",$O$5:O1213,"&lt;&gt;Rescheduled")))</f>
        <v/>
      </c>
      <c r="AL1213" s="49">
        <f>IF(N(U1213)&lt;=0.005,"",COUNTIFS('JOBS'!$U$5:$U$1504,"&gt;0.005",'JOBS'!$B$5:$B$1504,"&lt;"&amp;B1213)+COUNTIFS($U$5:U1213,"&gt;0.005",$B$5:B1213,B1213))</f>
        <v/>
      </c>
    </row>
    <row r="1214">
      <c r="A1214" s="46" t="inlineStr">
        <is>
          <t>J-1210</t>
        </is>
      </c>
      <c r="B1214" s="47" t="n"/>
      <c r="C1214" s="94" t="n"/>
      <c r="D1214" s="38" t="n"/>
      <c r="E1214" s="38" t="n"/>
      <c r="F1214" s="38" t="n"/>
      <c r="G1214" s="38" t="n"/>
      <c r="H1214" s="38" t="n"/>
      <c r="I1214" s="57" t="n"/>
      <c r="J1214" s="95" t="n"/>
      <c r="K1214" s="95" t="n"/>
      <c r="L1214" s="48" t="n"/>
      <c r="M1214" s="96" t="n"/>
      <c r="N1214" s="48" t="n"/>
      <c r="O1214" s="38" t="n"/>
      <c r="P1214" s="38" t="n"/>
      <c r="Q1214" s="97">
        <f>IF(OR(F1214="",E1214=""),"",IFERROR(IF(INDEX('PROPERTIES'!$F$5:$F$404,MATCH(E1214,'PROPERTIES'!$B$5:$B$404,0))=0,"",ROUND((INDEX('PROPERTIES'!$F$5:$F$404,MATCH(E1214,'PROPERTIES'!$B$5:$B$404,0))/INDEX('PRICING'!$C$7:$C$16,MATCH(F1214,'PRICING'!$A$7:$A$16,0))+INDEX('PROPERTIES'!$G$5:$G$404,MATCH(E1214,'PROPERTIES'!$B$5:$B$404,0))*INDEX('PRICING'!$D$7:$D$16,MATCH(F1214,'PRICING'!$A$7:$A$16,0))/60+INDEX('PROPERTIES'!$H$5:$H$404,MATCH(E1214,'PROPERTIES'!$B$5:$B$404,0))*INDEX('PRICING'!$E$7:$E$16,MATCH(F1214,'PRICING'!$A$7:$A$16,0))/60+INDEX('PRICING'!$F$7:$F$16,MATCH(F1214,'PRICING'!$A$7:$A$16,0))/60),2)),""))</f>
        <v/>
      </c>
      <c r="R1214" s="97">
        <f>IF(B1214="","",IF(N(K1214)&gt;0,K1214,IF(N(J1214)&gt;0,J1214,N(Q1214))))</f>
        <v/>
      </c>
      <c r="S1214" s="55">
        <f>IF(L1214="","",ROUND(L1214*(1+N(M1214)),2))</f>
        <v/>
      </c>
      <c r="T1214" s="55">
        <f>IF(B1214="","",SUMIFS('REVENUE'!$C$5:$C$1504,'REVENUE'!$B$5:$B$1504,A1214))</f>
        <v/>
      </c>
      <c r="U1214" s="55">
        <f>IF(B1214="","",IF(O1214="Completed",MAX(0,N(S1214)-T1214),""))</f>
        <v/>
      </c>
      <c r="V1214" s="49">
        <f>IF(B1214="","",IF(O1214&lt;&gt;"Completed",IF(T1214&gt;0,"Deposit","—"),IF(U1214&lt;=0.005,"Paid",IF(T1214&gt;0,"Partial","Unpaid"))))</f>
        <v/>
      </c>
      <c r="W1214" s="55">
        <f>IF(B1214="","",IFERROR(1/(1/INDEX('STAFF &amp; TASKS'!$C$5:$C$24,MATCH(H1214,'STAFF &amp; TASKS'!$A$5:$A$24,0))),PayRate))</f>
        <v/>
      </c>
      <c r="X1214" s="55">
        <f>IF(B1214="","",IF(OR(O1214="Cancelled",O1214="No-Show"),"",ROUND(R1214*W1214*(1+Burden),2)))</f>
        <v/>
      </c>
      <c r="Y1214" s="55">
        <f>IF(B1214="","",IF(OR(O1214="Cancelled",O1214="No-Show"),"",IF(N1214&lt;&gt;"",N1214,ROUND(R1214*SupHr*IFERROR(INDEX('PRICING'!$G$7:$G$16,MATCH(F1214,'PRICING'!$A$7:$A$16,0)),1),2))))</f>
        <v/>
      </c>
      <c r="Z1214" s="98">
        <f>IF(B1214="","",SUMIFS('MILEAGE'!$J$5:$J$1504,'MILEAGE'!$B$5:$B$1504,A1214))</f>
        <v/>
      </c>
      <c r="AA1214" s="55">
        <f>IF(B1214="","",ROUND(Z1214*MileRate,2))</f>
        <v/>
      </c>
      <c r="AB1214" s="55">
        <f>IF(B1214="","",SUMIFS('REVENUE'!$J$5:$J$1504,'REVENUE'!$B$5:$B$1504,A1214))</f>
        <v/>
      </c>
      <c r="AC1214" s="55">
        <f>IF(L1214="","",IF(OR(O1214="Cancelled",O1214="No-Show"),"",L1214-N(X1214)-N(Y1214)-AA1214-AB1214))</f>
        <v/>
      </c>
      <c r="AD1214" s="99">
        <f>IF(OR(AC1214="",N(L1214)=0),"",AC1214/L1214)</f>
        <v/>
      </c>
      <c r="AE1214" s="55">
        <f>IF(OR(AC1214="",N(R1214)=0),"",L1214/R1214)</f>
        <v/>
      </c>
      <c r="AF1214" s="100">
        <f>IF(OR(N(K1214)=0,N(J1214)+N(Q1214)=0),"",K1214-IF(N(J1214)&gt;0,J1214,Q1214))</f>
        <v/>
      </c>
      <c r="AG1214" s="99">
        <f>IF(B1214="","",IFERROR(AVERAGEIFS('QUALITY CONTROL'!$M$5:$M$304,'QUALITY CONTROL'!$B$5:$B$304,A1214),""))</f>
        <v/>
      </c>
      <c r="AH1214" s="51">
        <f>IF(B1214="","",DATE(YEAR(B1214),MONTH(B1214),1))</f>
        <v/>
      </c>
      <c r="AI1214" s="49">
        <f>IF(D1214="","",IFERROR(INDEX('CUSTOMERS'!$E$5:$E$404,MATCH(D1214,'CUSTOMERS'!$B$5:$B$404,0)),""))</f>
        <v/>
      </c>
      <c r="AJ1214" s="49">
        <f>IF(B1214="","",N(C1214))</f>
        <v/>
      </c>
      <c r="AK1214" s="49">
        <f>IF(OR(B1214="",O1214="Cancelled",O1214="Rescheduled"),"",B1214&amp;"|"&amp;(COUNTIFS('JOBS'!$B$5:$B$1504,B1214,'JOBS'!$AJ$5:$AJ$1504,"&lt;"&amp;AJ1214,'JOBS'!$O$5:$O$1504,"&lt;&gt;Cancelled",'JOBS'!$O$5:$O$1504,"&lt;&gt;Rescheduled")+COUNTIFS($B$5:B1214,B1214,$AJ$5:AJ1214,AJ1214,$O$5:O1214,"&lt;&gt;Cancelled",$O$5:O1214,"&lt;&gt;Rescheduled")))</f>
        <v/>
      </c>
      <c r="AL1214" s="49">
        <f>IF(N(U1214)&lt;=0.005,"",COUNTIFS('JOBS'!$U$5:$U$1504,"&gt;0.005",'JOBS'!$B$5:$B$1504,"&lt;"&amp;B1214)+COUNTIFS($U$5:U1214,"&gt;0.005",$B$5:B1214,B1214))</f>
        <v/>
      </c>
    </row>
    <row r="1215">
      <c r="A1215" s="46" t="inlineStr">
        <is>
          <t>J-1211</t>
        </is>
      </c>
      <c r="B1215" s="47" t="n"/>
      <c r="C1215" s="94" t="n"/>
      <c r="D1215" s="38" t="n"/>
      <c r="E1215" s="38" t="n"/>
      <c r="F1215" s="38" t="n"/>
      <c r="G1215" s="38" t="n"/>
      <c r="H1215" s="38" t="n"/>
      <c r="I1215" s="57" t="n"/>
      <c r="J1215" s="95" t="n"/>
      <c r="K1215" s="95" t="n"/>
      <c r="L1215" s="48" t="n"/>
      <c r="M1215" s="96" t="n"/>
      <c r="N1215" s="48" t="n"/>
      <c r="O1215" s="38" t="n"/>
      <c r="P1215" s="38" t="n"/>
      <c r="Q1215" s="97">
        <f>IF(OR(F1215="",E1215=""),"",IFERROR(IF(INDEX('PROPERTIES'!$F$5:$F$404,MATCH(E1215,'PROPERTIES'!$B$5:$B$404,0))=0,"",ROUND((INDEX('PROPERTIES'!$F$5:$F$404,MATCH(E1215,'PROPERTIES'!$B$5:$B$404,0))/INDEX('PRICING'!$C$7:$C$16,MATCH(F1215,'PRICING'!$A$7:$A$16,0))+INDEX('PROPERTIES'!$G$5:$G$404,MATCH(E1215,'PROPERTIES'!$B$5:$B$404,0))*INDEX('PRICING'!$D$7:$D$16,MATCH(F1215,'PRICING'!$A$7:$A$16,0))/60+INDEX('PROPERTIES'!$H$5:$H$404,MATCH(E1215,'PROPERTIES'!$B$5:$B$404,0))*INDEX('PRICING'!$E$7:$E$16,MATCH(F1215,'PRICING'!$A$7:$A$16,0))/60+INDEX('PRICING'!$F$7:$F$16,MATCH(F1215,'PRICING'!$A$7:$A$16,0))/60),2)),""))</f>
        <v/>
      </c>
      <c r="R1215" s="97">
        <f>IF(B1215="","",IF(N(K1215)&gt;0,K1215,IF(N(J1215)&gt;0,J1215,N(Q1215))))</f>
        <v/>
      </c>
      <c r="S1215" s="55">
        <f>IF(L1215="","",ROUND(L1215*(1+N(M1215)),2))</f>
        <v/>
      </c>
      <c r="T1215" s="55">
        <f>IF(B1215="","",SUMIFS('REVENUE'!$C$5:$C$1504,'REVENUE'!$B$5:$B$1504,A1215))</f>
        <v/>
      </c>
      <c r="U1215" s="55">
        <f>IF(B1215="","",IF(O1215="Completed",MAX(0,N(S1215)-T1215),""))</f>
        <v/>
      </c>
      <c r="V1215" s="49">
        <f>IF(B1215="","",IF(O1215&lt;&gt;"Completed",IF(T1215&gt;0,"Deposit","—"),IF(U1215&lt;=0.005,"Paid",IF(T1215&gt;0,"Partial","Unpaid"))))</f>
        <v/>
      </c>
      <c r="W1215" s="55">
        <f>IF(B1215="","",IFERROR(1/(1/INDEX('STAFF &amp; TASKS'!$C$5:$C$24,MATCH(H1215,'STAFF &amp; TASKS'!$A$5:$A$24,0))),PayRate))</f>
        <v/>
      </c>
      <c r="X1215" s="55">
        <f>IF(B1215="","",IF(OR(O1215="Cancelled",O1215="No-Show"),"",ROUND(R1215*W1215*(1+Burden),2)))</f>
        <v/>
      </c>
      <c r="Y1215" s="55">
        <f>IF(B1215="","",IF(OR(O1215="Cancelled",O1215="No-Show"),"",IF(N1215&lt;&gt;"",N1215,ROUND(R1215*SupHr*IFERROR(INDEX('PRICING'!$G$7:$G$16,MATCH(F1215,'PRICING'!$A$7:$A$16,0)),1),2))))</f>
        <v/>
      </c>
      <c r="Z1215" s="98">
        <f>IF(B1215="","",SUMIFS('MILEAGE'!$J$5:$J$1504,'MILEAGE'!$B$5:$B$1504,A1215))</f>
        <v/>
      </c>
      <c r="AA1215" s="55">
        <f>IF(B1215="","",ROUND(Z1215*MileRate,2))</f>
        <v/>
      </c>
      <c r="AB1215" s="55">
        <f>IF(B1215="","",SUMIFS('REVENUE'!$J$5:$J$1504,'REVENUE'!$B$5:$B$1504,A1215))</f>
        <v/>
      </c>
      <c r="AC1215" s="55">
        <f>IF(L1215="","",IF(OR(O1215="Cancelled",O1215="No-Show"),"",L1215-N(X1215)-N(Y1215)-AA1215-AB1215))</f>
        <v/>
      </c>
      <c r="AD1215" s="99">
        <f>IF(OR(AC1215="",N(L1215)=0),"",AC1215/L1215)</f>
        <v/>
      </c>
      <c r="AE1215" s="55">
        <f>IF(OR(AC1215="",N(R1215)=0),"",L1215/R1215)</f>
        <v/>
      </c>
      <c r="AF1215" s="100">
        <f>IF(OR(N(K1215)=0,N(J1215)+N(Q1215)=0),"",K1215-IF(N(J1215)&gt;0,J1215,Q1215))</f>
        <v/>
      </c>
      <c r="AG1215" s="99">
        <f>IF(B1215="","",IFERROR(AVERAGEIFS('QUALITY CONTROL'!$M$5:$M$304,'QUALITY CONTROL'!$B$5:$B$304,A1215),""))</f>
        <v/>
      </c>
      <c r="AH1215" s="51">
        <f>IF(B1215="","",DATE(YEAR(B1215),MONTH(B1215),1))</f>
        <v/>
      </c>
      <c r="AI1215" s="49">
        <f>IF(D1215="","",IFERROR(INDEX('CUSTOMERS'!$E$5:$E$404,MATCH(D1215,'CUSTOMERS'!$B$5:$B$404,0)),""))</f>
        <v/>
      </c>
      <c r="AJ1215" s="49">
        <f>IF(B1215="","",N(C1215))</f>
        <v/>
      </c>
      <c r="AK1215" s="49">
        <f>IF(OR(B1215="",O1215="Cancelled",O1215="Rescheduled"),"",B1215&amp;"|"&amp;(COUNTIFS('JOBS'!$B$5:$B$1504,B1215,'JOBS'!$AJ$5:$AJ$1504,"&lt;"&amp;AJ1215,'JOBS'!$O$5:$O$1504,"&lt;&gt;Cancelled",'JOBS'!$O$5:$O$1504,"&lt;&gt;Rescheduled")+COUNTIFS($B$5:B1215,B1215,$AJ$5:AJ1215,AJ1215,$O$5:O1215,"&lt;&gt;Cancelled",$O$5:O1215,"&lt;&gt;Rescheduled")))</f>
        <v/>
      </c>
      <c r="AL1215" s="49">
        <f>IF(N(U1215)&lt;=0.005,"",COUNTIFS('JOBS'!$U$5:$U$1504,"&gt;0.005",'JOBS'!$B$5:$B$1504,"&lt;"&amp;B1215)+COUNTIFS($U$5:U1215,"&gt;0.005",$B$5:B1215,B1215))</f>
        <v/>
      </c>
    </row>
    <row r="1216">
      <c r="A1216" s="46" t="inlineStr">
        <is>
          <t>J-1212</t>
        </is>
      </c>
      <c r="B1216" s="47" t="n"/>
      <c r="C1216" s="94" t="n"/>
      <c r="D1216" s="38" t="n"/>
      <c r="E1216" s="38" t="n"/>
      <c r="F1216" s="38" t="n"/>
      <c r="G1216" s="38" t="n"/>
      <c r="H1216" s="38" t="n"/>
      <c r="I1216" s="57" t="n"/>
      <c r="J1216" s="95" t="n"/>
      <c r="K1216" s="95" t="n"/>
      <c r="L1216" s="48" t="n"/>
      <c r="M1216" s="96" t="n"/>
      <c r="N1216" s="48" t="n"/>
      <c r="O1216" s="38" t="n"/>
      <c r="P1216" s="38" t="n"/>
      <c r="Q1216" s="97">
        <f>IF(OR(F1216="",E1216=""),"",IFERROR(IF(INDEX('PROPERTIES'!$F$5:$F$404,MATCH(E1216,'PROPERTIES'!$B$5:$B$404,0))=0,"",ROUND((INDEX('PROPERTIES'!$F$5:$F$404,MATCH(E1216,'PROPERTIES'!$B$5:$B$404,0))/INDEX('PRICING'!$C$7:$C$16,MATCH(F1216,'PRICING'!$A$7:$A$16,0))+INDEX('PROPERTIES'!$G$5:$G$404,MATCH(E1216,'PROPERTIES'!$B$5:$B$404,0))*INDEX('PRICING'!$D$7:$D$16,MATCH(F1216,'PRICING'!$A$7:$A$16,0))/60+INDEX('PROPERTIES'!$H$5:$H$404,MATCH(E1216,'PROPERTIES'!$B$5:$B$404,0))*INDEX('PRICING'!$E$7:$E$16,MATCH(F1216,'PRICING'!$A$7:$A$16,0))/60+INDEX('PRICING'!$F$7:$F$16,MATCH(F1216,'PRICING'!$A$7:$A$16,0))/60),2)),""))</f>
        <v/>
      </c>
      <c r="R1216" s="97">
        <f>IF(B1216="","",IF(N(K1216)&gt;0,K1216,IF(N(J1216)&gt;0,J1216,N(Q1216))))</f>
        <v/>
      </c>
      <c r="S1216" s="55">
        <f>IF(L1216="","",ROUND(L1216*(1+N(M1216)),2))</f>
        <v/>
      </c>
      <c r="T1216" s="55">
        <f>IF(B1216="","",SUMIFS('REVENUE'!$C$5:$C$1504,'REVENUE'!$B$5:$B$1504,A1216))</f>
        <v/>
      </c>
      <c r="U1216" s="55">
        <f>IF(B1216="","",IF(O1216="Completed",MAX(0,N(S1216)-T1216),""))</f>
        <v/>
      </c>
      <c r="V1216" s="49">
        <f>IF(B1216="","",IF(O1216&lt;&gt;"Completed",IF(T1216&gt;0,"Deposit","—"),IF(U1216&lt;=0.005,"Paid",IF(T1216&gt;0,"Partial","Unpaid"))))</f>
        <v/>
      </c>
      <c r="W1216" s="55">
        <f>IF(B1216="","",IFERROR(1/(1/INDEX('STAFF &amp; TASKS'!$C$5:$C$24,MATCH(H1216,'STAFF &amp; TASKS'!$A$5:$A$24,0))),PayRate))</f>
        <v/>
      </c>
      <c r="X1216" s="55">
        <f>IF(B1216="","",IF(OR(O1216="Cancelled",O1216="No-Show"),"",ROUND(R1216*W1216*(1+Burden),2)))</f>
        <v/>
      </c>
      <c r="Y1216" s="55">
        <f>IF(B1216="","",IF(OR(O1216="Cancelled",O1216="No-Show"),"",IF(N1216&lt;&gt;"",N1216,ROUND(R1216*SupHr*IFERROR(INDEX('PRICING'!$G$7:$G$16,MATCH(F1216,'PRICING'!$A$7:$A$16,0)),1),2))))</f>
        <v/>
      </c>
      <c r="Z1216" s="98">
        <f>IF(B1216="","",SUMIFS('MILEAGE'!$J$5:$J$1504,'MILEAGE'!$B$5:$B$1504,A1216))</f>
        <v/>
      </c>
      <c r="AA1216" s="55">
        <f>IF(B1216="","",ROUND(Z1216*MileRate,2))</f>
        <v/>
      </c>
      <c r="AB1216" s="55">
        <f>IF(B1216="","",SUMIFS('REVENUE'!$J$5:$J$1504,'REVENUE'!$B$5:$B$1504,A1216))</f>
        <v/>
      </c>
      <c r="AC1216" s="55">
        <f>IF(L1216="","",IF(OR(O1216="Cancelled",O1216="No-Show"),"",L1216-N(X1216)-N(Y1216)-AA1216-AB1216))</f>
        <v/>
      </c>
      <c r="AD1216" s="99">
        <f>IF(OR(AC1216="",N(L1216)=0),"",AC1216/L1216)</f>
        <v/>
      </c>
      <c r="AE1216" s="55">
        <f>IF(OR(AC1216="",N(R1216)=0),"",L1216/R1216)</f>
        <v/>
      </c>
      <c r="AF1216" s="100">
        <f>IF(OR(N(K1216)=0,N(J1216)+N(Q1216)=0),"",K1216-IF(N(J1216)&gt;0,J1216,Q1216))</f>
        <v/>
      </c>
      <c r="AG1216" s="99">
        <f>IF(B1216="","",IFERROR(AVERAGEIFS('QUALITY CONTROL'!$M$5:$M$304,'QUALITY CONTROL'!$B$5:$B$304,A1216),""))</f>
        <v/>
      </c>
      <c r="AH1216" s="51">
        <f>IF(B1216="","",DATE(YEAR(B1216),MONTH(B1216),1))</f>
        <v/>
      </c>
      <c r="AI1216" s="49">
        <f>IF(D1216="","",IFERROR(INDEX('CUSTOMERS'!$E$5:$E$404,MATCH(D1216,'CUSTOMERS'!$B$5:$B$404,0)),""))</f>
        <v/>
      </c>
      <c r="AJ1216" s="49">
        <f>IF(B1216="","",N(C1216))</f>
        <v/>
      </c>
      <c r="AK1216" s="49">
        <f>IF(OR(B1216="",O1216="Cancelled",O1216="Rescheduled"),"",B1216&amp;"|"&amp;(COUNTIFS('JOBS'!$B$5:$B$1504,B1216,'JOBS'!$AJ$5:$AJ$1504,"&lt;"&amp;AJ1216,'JOBS'!$O$5:$O$1504,"&lt;&gt;Cancelled",'JOBS'!$O$5:$O$1504,"&lt;&gt;Rescheduled")+COUNTIFS($B$5:B1216,B1216,$AJ$5:AJ1216,AJ1216,$O$5:O1216,"&lt;&gt;Cancelled",$O$5:O1216,"&lt;&gt;Rescheduled")))</f>
        <v/>
      </c>
      <c r="AL1216" s="49">
        <f>IF(N(U1216)&lt;=0.005,"",COUNTIFS('JOBS'!$U$5:$U$1504,"&gt;0.005",'JOBS'!$B$5:$B$1504,"&lt;"&amp;B1216)+COUNTIFS($U$5:U1216,"&gt;0.005",$B$5:B1216,B1216))</f>
        <v/>
      </c>
    </row>
    <row r="1217">
      <c r="A1217" s="46" t="inlineStr">
        <is>
          <t>J-1213</t>
        </is>
      </c>
      <c r="B1217" s="47" t="n"/>
      <c r="C1217" s="94" t="n"/>
      <c r="D1217" s="38" t="n"/>
      <c r="E1217" s="38" t="n"/>
      <c r="F1217" s="38" t="n"/>
      <c r="G1217" s="38" t="n"/>
      <c r="H1217" s="38" t="n"/>
      <c r="I1217" s="57" t="n"/>
      <c r="J1217" s="95" t="n"/>
      <c r="K1217" s="95" t="n"/>
      <c r="L1217" s="48" t="n"/>
      <c r="M1217" s="96" t="n"/>
      <c r="N1217" s="48" t="n"/>
      <c r="O1217" s="38" t="n"/>
      <c r="P1217" s="38" t="n"/>
      <c r="Q1217" s="97">
        <f>IF(OR(F1217="",E1217=""),"",IFERROR(IF(INDEX('PROPERTIES'!$F$5:$F$404,MATCH(E1217,'PROPERTIES'!$B$5:$B$404,0))=0,"",ROUND((INDEX('PROPERTIES'!$F$5:$F$404,MATCH(E1217,'PROPERTIES'!$B$5:$B$404,0))/INDEX('PRICING'!$C$7:$C$16,MATCH(F1217,'PRICING'!$A$7:$A$16,0))+INDEX('PROPERTIES'!$G$5:$G$404,MATCH(E1217,'PROPERTIES'!$B$5:$B$404,0))*INDEX('PRICING'!$D$7:$D$16,MATCH(F1217,'PRICING'!$A$7:$A$16,0))/60+INDEX('PROPERTIES'!$H$5:$H$404,MATCH(E1217,'PROPERTIES'!$B$5:$B$404,0))*INDEX('PRICING'!$E$7:$E$16,MATCH(F1217,'PRICING'!$A$7:$A$16,0))/60+INDEX('PRICING'!$F$7:$F$16,MATCH(F1217,'PRICING'!$A$7:$A$16,0))/60),2)),""))</f>
        <v/>
      </c>
      <c r="R1217" s="97">
        <f>IF(B1217="","",IF(N(K1217)&gt;0,K1217,IF(N(J1217)&gt;0,J1217,N(Q1217))))</f>
        <v/>
      </c>
      <c r="S1217" s="55">
        <f>IF(L1217="","",ROUND(L1217*(1+N(M1217)),2))</f>
        <v/>
      </c>
      <c r="T1217" s="55">
        <f>IF(B1217="","",SUMIFS('REVENUE'!$C$5:$C$1504,'REVENUE'!$B$5:$B$1504,A1217))</f>
        <v/>
      </c>
      <c r="U1217" s="55">
        <f>IF(B1217="","",IF(O1217="Completed",MAX(0,N(S1217)-T1217),""))</f>
        <v/>
      </c>
      <c r="V1217" s="49">
        <f>IF(B1217="","",IF(O1217&lt;&gt;"Completed",IF(T1217&gt;0,"Deposit","—"),IF(U1217&lt;=0.005,"Paid",IF(T1217&gt;0,"Partial","Unpaid"))))</f>
        <v/>
      </c>
      <c r="W1217" s="55">
        <f>IF(B1217="","",IFERROR(1/(1/INDEX('STAFF &amp; TASKS'!$C$5:$C$24,MATCH(H1217,'STAFF &amp; TASKS'!$A$5:$A$24,0))),PayRate))</f>
        <v/>
      </c>
      <c r="X1217" s="55">
        <f>IF(B1217="","",IF(OR(O1217="Cancelled",O1217="No-Show"),"",ROUND(R1217*W1217*(1+Burden),2)))</f>
        <v/>
      </c>
      <c r="Y1217" s="55">
        <f>IF(B1217="","",IF(OR(O1217="Cancelled",O1217="No-Show"),"",IF(N1217&lt;&gt;"",N1217,ROUND(R1217*SupHr*IFERROR(INDEX('PRICING'!$G$7:$G$16,MATCH(F1217,'PRICING'!$A$7:$A$16,0)),1),2))))</f>
        <v/>
      </c>
      <c r="Z1217" s="98">
        <f>IF(B1217="","",SUMIFS('MILEAGE'!$J$5:$J$1504,'MILEAGE'!$B$5:$B$1504,A1217))</f>
        <v/>
      </c>
      <c r="AA1217" s="55">
        <f>IF(B1217="","",ROUND(Z1217*MileRate,2))</f>
        <v/>
      </c>
      <c r="AB1217" s="55">
        <f>IF(B1217="","",SUMIFS('REVENUE'!$J$5:$J$1504,'REVENUE'!$B$5:$B$1504,A1217))</f>
        <v/>
      </c>
      <c r="AC1217" s="55">
        <f>IF(L1217="","",IF(OR(O1217="Cancelled",O1217="No-Show"),"",L1217-N(X1217)-N(Y1217)-AA1217-AB1217))</f>
        <v/>
      </c>
      <c r="AD1217" s="99">
        <f>IF(OR(AC1217="",N(L1217)=0),"",AC1217/L1217)</f>
        <v/>
      </c>
      <c r="AE1217" s="55">
        <f>IF(OR(AC1217="",N(R1217)=0),"",L1217/R1217)</f>
        <v/>
      </c>
      <c r="AF1217" s="100">
        <f>IF(OR(N(K1217)=0,N(J1217)+N(Q1217)=0),"",K1217-IF(N(J1217)&gt;0,J1217,Q1217))</f>
        <v/>
      </c>
      <c r="AG1217" s="99">
        <f>IF(B1217="","",IFERROR(AVERAGEIFS('QUALITY CONTROL'!$M$5:$M$304,'QUALITY CONTROL'!$B$5:$B$304,A1217),""))</f>
        <v/>
      </c>
      <c r="AH1217" s="51">
        <f>IF(B1217="","",DATE(YEAR(B1217),MONTH(B1217),1))</f>
        <v/>
      </c>
      <c r="AI1217" s="49">
        <f>IF(D1217="","",IFERROR(INDEX('CUSTOMERS'!$E$5:$E$404,MATCH(D1217,'CUSTOMERS'!$B$5:$B$404,0)),""))</f>
        <v/>
      </c>
      <c r="AJ1217" s="49">
        <f>IF(B1217="","",N(C1217))</f>
        <v/>
      </c>
      <c r="AK1217" s="49">
        <f>IF(OR(B1217="",O1217="Cancelled",O1217="Rescheduled"),"",B1217&amp;"|"&amp;(COUNTIFS('JOBS'!$B$5:$B$1504,B1217,'JOBS'!$AJ$5:$AJ$1504,"&lt;"&amp;AJ1217,'JOBS'!$O$5:$O$1504,"&lt;&gt;Cancelled",'JOBS'!$O$5:$O$1504,"&lt;&gt;Rescheduled")+COUNTIFS($B$5:B1217,B1217,$AJ$5:AJ1217,AJ1217,$O$5:O1217,"&lt;&gt;Cancelled",$O$5:O1217,"&lt;&gt;Rescheduled")))</f>
        <v/>
      </c>
      <c r="AL1217" s="49">
        <f>IF(N(U1217)&lt;=0.005,"",COUNTIFS('JOBS'!$U$5:$U$1504,"&gt;0.005",'JOBS'!$B$5:$B$1504,"&lt;"&amp;B1217)+COUNTIFS($U$5:U1217,"&gt;0.005",$B$5:B1217,B1217))</f>
        <v/>
      </c>
    </row>
    <row r="1218">
      <c r="A1218" s="46" t="inlineStr">
        <is>
          <t>J-1214</t>
        </is>
      </c>
      <c r="B1218" s="47" t="n"/>
      <c r="C1218" s="94" t="n"/>
      <c r="D1218" s="38" t="n"/>
      <c r="E1218" s="38" t="n"/>
      <c r="F1218" s="38" t="n"/>
      <c r="G1218" s="38" t="n"/>
      <c r="H1218" s="38" t="n"/>
      <c r="I1218" s="57" t="n"/>
      <c r="J1218" s="95" t="n"/>
      <c r="K1218" s="95" t="n"/>
      <c r="L1218" s="48" t="n"/>
      <c r="M1218" s="96" t="n"/>
      <c r="N1218" s="48" t="n"/>
      <c r="O1218" s="38" t="n"/>
      <c r="P1218" s="38" t="n"/>
      <c r="Q1218" s="97">
        <f>IF(OR(F1218="",E1218=""),"",IFERROR(IF(INDEX('PROPERTIES'!$F$5:$F$404,MATCH(E1218,'PROPERTIES'!$B$5:$B$404,0))=0,"",ROUND((INDEX('PROPERTIES'!$F$5:$F$404,MATCH(E1218,'PROPERTIES'!$B$5:$B$404,0))/INDEX('PRICING'!$C$7:$C$16,MATCH(F1218,'PRICING'!$A$7:$A$16,0))+INDEX('PROPERTIES'!$G$5:$G$404,MATCH(E1218,'PROPERTIES'!$B$5:$B$404,0))*INDEX('PRICING'!$D$7:$D$16,MATCH(F1218,'PRICING'!$A$7:$A$16,0))/60+INDEX('PROPERTIES'!$H$5:$H$404,MATCH(E1218,'PROPERTIES'!$B$5:$B$404,0))*INDEX('PRICING'!$E$7:$E$16,MATCH(F1218,'PRICING'!$A$7:$A$16,0))/60+INDEX('PRICING'!$F$7:$F$16,MATCH(F1218,'PRICING'!$A$7:$A$16,0))/60),2)),""))</f>
        <v/>
      </c>
      <c r="R1218" s="97">
        <f>IF(B1218="","",IF(N(K1218)&gt;0,K1218,IF(N(J1218)&gt;0,J1218,N(Q1218))))</f>
        <v/>
      </c>
      <c r="S1218" s="55">
        <f>IF(L1218="","",ROUND(L1218*(1+N(M1218)),2))</f>
        <v/>
      </c>
      <c r="T1218" s="55">
        <f>IF(B1218="","",SUMIFS('REVENUE'!$C$5:$C$1504,'REVENUE'!$B$5:$B$1504,A1218))</f>
        <v/>
      </c>
      <c r="U1218" s="55">
        <f>IF(B1218="","",IF(O1218="Completed",MAX(0,N(S1218)-T1218),""))</f>
        <v/>
      </c>
      <c r="V1218" s="49">
        <f>IF(B1218="","",IF(O1218&lt;&gt;"Completed",IF(T1218&gt;0,"Deposit","—"),IF(U1218&lt;=0.005,"Paid",IF(T1218&gt;0,"Partial","Unpaid"))))</f>
        <v/>
      </c>
      <c r="W1218" s="55">
        <f>IF(B1218="","",IFERROR(1/(1/INDEX('STAFF &amp; TASKS'!$C$5:$C$24,MATCH(H1218,'STAFF &amp; TASKS'!$A$5:$A$24,0))),PayRate))</f>
        <v/>
      </c>
      <c r="X1218" s="55">
        <f>IF(B1218="","",IF(OR(O1218="Cancelled",O1218="No-Show"),"",ROUND(R1218*W1218*(1+Burden),2)))</f>
        <v/>
      </c>
      <c r="Y1218" s="55">
        <f>IF(B1218="","",IF(OR(O1218="Cancelled",O1218="No-Show"),"",IF(N1218&lt;&gt;"",N1218,ROUND(R1218*SupHr*IFERROR(INDEX('PRICING'!$G$7:$G$16,MATCH(F1218,'PRICING'!$A$7:$A$16,0)),1),2))))</f>
        <v/>
      </c>
      <c r="Z1218" s="98">
        <f>IF(B1218="","",SUMIFS('MILEAGE'!$J$5:$J$1504,'MILEAGE'!$B$5:$B$1504,A1218))</f>
        <v/>
      </c>
      <c r="AA1218" s="55">
        <f>IF(B1218="","",ROUND(Z1218*MileRate,2))</f>
        <v/>
      </c>
      <c r="AB1218" s="55">
        <f>IF(B1218="","",SUMIFS('REVENUE'!$J$5:$J$1504,'REVENUE'!$B$5:$B$1504,A1218))</f>
        <v/>
      </c>
      <c r="AC1218" s="55">
        <f>IF(L1218="","",IF(OR(O1218="Cancelled",O1218="No-Show"),"",L1218-N(X1218)-N(Y1218)-AA1218-AB1218))</f>
        <v/>
      </c>
      <c r="AD1218" s="99">
        <f>IF(OR(AC1218="",N(L1218)=0),"",AC1218/L1218)</f>
        <v/>
      </c>
      <c r="AE1218" s="55">
        <f>IF(OR(AC1218="",N(R1218)=0),"",L1218/R1218)</f>
        <v/>
      </c>
      <c r="AF1218" s="100">
        <f>IF(OR(N(K1218)=0,N(J1218)+N(Q1218)=0),"",K1218-IF(N(J1218)&gt;0,J1218,Q1218))</f>
        <v/>
      </c>
      <c r="AG1218" s="99">
        <f>IF(B1218="","",IFERROR(AVERAGEIFS('QUALITY CONTROL'!$M$5:$M$304,'QUALITY CONTROL'!$B$5:$B$304,A1218),""))</f>
        <v/>
      </c>
      <c r="AH1218" s="51">
        <f>IF(B1218="","",DATE(YEAR(B1218),MONTH(B1218),1))</f>
        <v/>
      </c>
      <c r="AI1218" s="49">
        <f>IF(D1218="","",IFERROR(INDEX('CUSTOMERS'!$E$5:$E$404,MATCH(D1218,'CUSTOMERS'!$B$5:$B$404,0)),""))</f>
        <v/>
      </c>
      <c r="AJ1218" s="49">
        <f>IF(B1218="","",N(C1218))</f>
        <v/>
      </c>
      <c r="AK1218" s="49">
        <f>IF(OR(B1218="",O1218="Cancelled",O1218="Rescheduled"),"",B1218&amp;"|"&amp;(COUNTIFS('JOBS'!$B$5:$B$1504,B1218,'JOBS'!$AJ$5:$AJ$1504,"&lt;"&amp;AJ1218,'JOBS'!$O$5:$O$1504,"&lt;&gt;Cancelled",'JOBS'!$O$5:$O$1504,"&lt;&gt;Rescheduled")+COUNTIFS($B$5:B1218,B1218,$AJ$5:AJ1218,AJ1218,$O$5:O1218,"&lt;&gt;Cancelled",$O$5:O1218,"&lt;&gt;Rescheduled")))</f>
        <v/>
      </c>
      <c r="AL1218" s="49">
        <f>IF(N(U1218)&lt;=0.005,"",COUNTIFS('JOBS'!$U$5:$U$1504,"&gt;0.005",'JOBS'!$B$5:$B$1504,"&lt;"&amp;B1218)+COUNTIFS($U$5:U1218,"&gt;0.005",$B$5:B1218,B1218))</f>
        <v/>
      </c>
    </row>
    <row r="1219">
      <c r="A1219" s="46" t="inlineStr">
        <is>
          <t>J-1215</t>
        </is>
      </c>
      <c r="B1219" s="47" t="n"/>
      <c r="C1219" s="94" t="n"/>
      <c r="D1219" s="38" t="n"/>
      <c r="E1219" s="38" t="n"/>
      <c r="F1219" s="38" t="n"/>
      <c r="G1219" s="38" t="n"/>
      <c r="H1219" s="38" t="n"/>
      <c r="I1219" s="57" t="n"/>
      <c r="J1219" s="95" t="n"/>
      <c r="K1219" s="95" t="n"/>
      <c r="L1219" s="48" t="n"/>
      <c r="M1219" s="96" t="n"/>
      <c r="N1219" s="48" t="n"/>
      <c r="O1219" s="38" t="n"/>
      <c r="P1219" s="38" t="n"/>
      <c r="Q1219" s="97">
        <f>IF(OR(F1219="",E1219=""),"",IFERROR(IF(INDEX('PROPERTIES'!$F$5:$F$404,MATCH(E1219,'PROPERTIES'!$B$5:$B$404,0))=0,"",ROUND((INDEX('PROPERTIES'!$F$5:$F$404,MATCH(E1219,'PROPERTIES'!$B$5:$B$404,0))/INDEX('PRICING'!$C$7:$C$16,MATCH(F1219,'PRICING'!$A$7:$A$16,0))+INDEX('PROPERTIES'!$G$5:$G$404,MATCH(E1219,'PROPERTIES'!$B$5:$B$404,0))*INDEX('PRICING'!$D$7:$D$16,MATCH(F1219,'PRICING'!$A$7:$A$16,0))/60+INDEX('PROPERTIES'!$H$5:$H$404,MATCH(E1219,'PROPERTIES'!$B$5:$B$404,0))*INDEX('PRICING'!$E$7:$E$16,MATCH(F1219,'PRICING'!$A$7:$A$16,0))/60+INDEX('PRICING'!$F$7:$F$16,MATCH(F1219,'PRICING'!$A$7:$A$16,0))/60),2)),""))</f>
        <v/>
      </c>
      <c r="R1219" s="97">
        <f>IF(B1219="","",IF(N(K1219)&gt;0,K1219,IF(N(J1219)&gt;0,J1219,N(Q1219))))</f>
        <v/>
      </c>
      <c r="S1219" s="55">
        <f>IF(L1219="","",ROUND(L1219*(1+N(M1219)),2))</f>
        <v/>
      </c>
      <c r="T1219" s="55">
        <f>IF(B1219="","",SUMIFS('REVENUE'!$C$5:$C$1504,'REVENUE'!$B$5:$B$1504,A1219))</f>
        <v/>
      </c>
      <c r="U1219" s="55">
        <f>IF(B1219="","",IF(O1219="Completed",MAX(0,N(S1219)-T1219),""))</f>
        <v/>
      </c>
      <c r="V1219" s="49">
        <f>IF(B1219="","",IF(O1219&lt;&gt;"Completed",IF(T1219&gt;0,"Deposit","—"),IF(U1219&lt;=0.005,"Paid",IF(T1219&gt;0,"Partial","Unpaid"))))</f>
        <v/>
      </c>
      <c r="W1219" s="55">
        <f>IF(B1219="","",IFERROR(1/(1/INDEX('STAFF &amp; TASKS'!$C$5:$C$24,MATCH(H1219,'STAFF &amp; TASKS'!$A$5:$A$24,0))),PayRate))</f>
        <v/>
      </c>
      <c r="X1219" s="55">
        <f>IF(B1219="","",IF(OR(O1219="Cancelled",O1219="No-Show"),"",ROUND(R1219*W1219*(1+Burden),2)))</f>
        <v/>
      </c>
      <c r="Y1219" s="55">
        <f>IF(B1219="","",IF(OR(O1219="Cancelled",O1219="No-Show"),"",IF(N1219&lt;&gt;"",N1219,ROUND(R1219*SupHr*IFERROR(INDEX('PRICING'!$G$7:$G$16,MATCH(F1219,'PRICING'!$A$7:$A$16,0)),1),2))))</f>
        <v/>
      </c>
      <c r="Z1219" s="98">
        <f>IF(B1219="","",SUMIFS('MILEAGE'!$J$5:$J$1504,'MILEAGE'!$B$5:$B$1504,A1219))</f>
        <v/>
      </c>
      <c r="AA1219" s="55">
        <f>IF(B1219="","",ROUND(Z1219*MileRate,2))</f>
        <v/>
      </c>
      <c r="AB1219" s="55">
        <f>IF(B1219="","",SUMIFS('REVENUE'!$J$5:$J$1504,'REVENUE'!$B$5:$B$1504,A1219))</f>
        <v/>
      </c>
      <c r="AC1219" s="55">
        <f>IF(L1219="","",IF(OR(O1219="Cancelled",O1219="No-Show"),"",L1219-N(X1219)-N(Y1219)-AA1219-AB1219))</f>
        <v/>
      </c>
      <c r="AD1219" s="99">
        <f>IF(OR(AC1219="",N(L1219)=0),"",AC1219/L1219)</f>
        <v/>
      </c>
      <c r="AE1219" s="55">
        <f>IF(OR(AC1219="",N(R1219)=0),"",L1219/R1219)</f>
        <v/>
      </c>
      <c r="AF1219" s="100">
        <f>IF(OR(N(K1219)=0,N(J1219)+N(Q1219)=0),"",K1219-IF(N(J1219)&gt;0,J1219,Q1219))</f>
        <v/>
      </c>
      <c r="AG1219" s="99">
        <f>IF(B1219="","",IFERROR(AVERAGEIFS('QUALITY CONTROL'!$M$5:$M$304,'QUALITY CONTROL'!$B$5:$B$304,A1219),""))</f>
        <v/>
      </c>
      <c r="AH1219" s="51">
        <f>IF(B1219="","",DATE(YEAR(B1219),MONTH(B1219),1))</f>
        <v/>
      </c>
      <c r="AI1219" s="49">
        <f>IF(D1219="","",IFERROR(INDEX('CUSTOMERS'!$E$5:$E$404,MATCH(D1219,'CUSTOMERS'!$B$5:$B$404,0)),""))</f>
        <v/>
      </c>
      <c r="AJ1219" s="49">
        <f>IF(B1219="","",N(C1219))</f>
        <v/>
      </c>
      <c r="AK1219" s="49">
        <f>IF(OR(B1219="",O1219="Cancelled",O1219="Rescheduled"),"",B1219&amp;"|"&amp;(COUNTIFS('JOBS'!$B$5:$B$1504,B1219,'JOBS'!$AJ$5:$AJ$1504,"&lt;"&amp;AJ1219,'JOBS'!$O$5:$O$1504,"&lt;&gt;Cancelled",'JOBS'!$O$5:$O$1504,"&lt;&gt;Rescheduled")+COUNTIFS($B$5:B1219,B1219,$AJ$5:AJ1219,AJ1219,$O$5:O1219,"&lt;&gt;Cancelled",$O$5:O1219,"&lt;&gt;Rescheduled")))</f>
        <v/>
      </c>
      <c r="AL1219" s="49">
        <f>IF(N(U1219)&lt;=0.005,"",COUNTIFS('JOBS'!$U$5:$U$1504,"&gt;0.005",'JOBS'!$B$5:$B$1504,"&lt;"&amp;B1219)+COUNTIFS($U$5:U1219,"&gt;0.005",$B$5:B1219,B1219))</f>
        <v/>
      </c>
    </row>
    <row r="1220">
      <c r="A1220" s="46" t="inlineStr">
        <is>
          <t>J-1216</t>
        </is>
      </c>
      <c r="B1220" s="47" t="n"/>
      <c r="C1220" s="94" t="n"/>
      <c r="D1220" s="38" t="n"/>
      <c r="E1220" s="38" t="n"/>
      <c r="F1220" s="38" t="n"/>
      <c r="G1220" s="38" t="n"/>
      <c r="H1220" s="38" t="n"/>
      <c r="I1220" s="57" t="n"/>
      <c r="J1220" s="95" t="n"/>
      <c r="K1220" s="95" t="n"/>
      <c r="L1220" s="48" t="n"/>
      <c r="M1220" s="96" t="n"/>
      <c r="N1220" s="48" t="n"/>
      <c r="O1220" s="38" t="n"/>
      <c r="P1220" s="38" t="n"/>
      <c r="Q1220" s="97">
        <f>IF(OR(F1220="",E1220=""),"",IFERROR(IF(INDEX('PROPERTIES'!$F$5:$F$404,MATCH(E1220,'PROPERTIES'!$B$5:$B$404,0))=0,"",ROUND((INDEX('PROPERTIES'!$F$5:$F$404,MATCH(E1220,'PROPERTIES'!$B$5:$B$404,0))/INDEX('PRICING'!$C$7:$C$16,MATCH(F1220,'PRICING'!$A$7:$A$16,0))+INDEX('PROPERTIES'!$G$5:$G$404,MATCH(E1220,'PROPERTIES'!$B$5:$B$404,0))*INDEX('PRICING'!$D$7:$D$16,MATCH(F1220,'PRICING'!$A$7:$A$16,0))/60+INDEX('PROPERTIES'!$H$5:$H$404,MATCH(E1220,'PROPERTIES'!$B$5:$B$404,0))*INDEX('PRICING'!$E$7:$E$16,MATCH(F1220,'PRICING'!$A$7:$A$16,0))/60+INDEX('PRICING'!$F$7:$F$16,MATCH(F1220,'PRICING'!$A$7:$A$16,0))/60),2)),""))</f>
        <v/>
      </c>
      <c r="R1220" s="97">
        <f>IF(B1220="","",IF(N(K1220)&gt;0,K1220,IF(N(J1220)&gt;0,J1220,N(Q1220))))</f>
        <v/>
      </c>
      <c r="S1220" s="55">
        <f>IF(L1220="","",ROUND(L1220*(1+N(M1220)),2))</f>
        <v/>
      </c>
      <c r="T1220" s="55">
        <f>IF(B1220="","",SUMIFS('REVENUE'!$C$5:$C$1504,'REVENUE'!$B$5:$B$1504,A1220))</f>
        <v/>
      </c>
      <c r="U1220" s="55">
        <f>IF(B1220="","",IF(O1220="Completed",MAX(0,N(S1220)-T1220),""))</f>
        <v/>
      </c>
      <c r="V1220" s="49">
        <f>IF(B1220="","",IF(O1220&lt;&gt;"Completed",IF(T1220&gt;0,"Deposit","—"),IF(U1220&lt;=0.005,"Paid",IF(T1220&gt;0,"Partial","Unpaid"))))</f>
        <v/>
      </c>
      <c r="W1220" s="55">
        <f>IF(B1220="","",IFERROR(1/(1/INDEX('STAFF &amp; TASKS'!$C$5:$C$24,MATCH(H1220,'STAFF &amp; TASKS'!$A$5:$A$24,0))),PayRate))</f>
        <v/>
      </c>
      <c r="X1220" s="55">
        <f>IF(B1220="","",IF(OR(O1220="Cancelled",O1220="No-Show"),"",ROUND(R1220*W1220*(1+Burden),2)))</f>
        <v/>
      </c>
      <c r="Y1220" s="55">
        <f>IF(B1220="","",IF(OR(O1220="Cancelled",O1220="No-Show"),"",IF(N1220&lt;&gt;"",N1220,ROUND(R1220*SupHr*IFERROR(INDEX('PRICING'!$G$7:$G$16,MATCH(F1220,'PRICING'!$A$7:$A$16,0)),1),2))))</f>
        <v/>
      </c>
      <c r="Z1220" s="98">
        <f>IF(B1220="","",SUMIFS('MILEAGE'!$J$5:$J$1504,'MILEAGE'!$B$5:$B$1504,A1220))</f>
        <v/>
      </c>
      <c r="AA1220" s="55">
        <f>IF(B1220="","",ROUND(Z1220*MileRate,2))</f>
        <v/>
      </c>
      <c r="AB1220" s="55">
        <f>IF(B1220="","",SUMIFS('REVENUE'!$J$5:$J$1504,'REVENUE'!$B$5:$B$1504,A1220))</f>
        <v/>
      </c>
      <c r="AC1220" s="55">
        <f>IF(L1220="","",IF(OR(O1220="Cancelled",O1220="No-Show"),"",L1220-N(X1220)-N(Y1220)-AA1220-AB1220))</f>
        <v/>
      </c>
      <c r="AD1220" s="99">
        <f>IF(OR(AC1220="",N(L1220)=0),"",AC1220/L1220)</f>
        <v/>
      </c>
      <c r="AE1220" s="55">
        <f>IF(OR(AC1220="",N(R1220)=0),"",L1220/R1220)</f>
        <v/>
      </c>
      <c r="AF1220" s="100">
        <f>IF(OR(N(K1220)=0,N(J1220)+N(Q1220)=0),"",K1220-IF(N(J1220)&gt;0,J1220,Q1220))</f>
        <v/>
      </c>
      <c r="AG1220" s="99">
        <f>IF(B1220="","",IFERROR(AVERAGEIFS('QUALITY CONTROL'!$M$5:$M$304,'QUALITY CONTROL'!$B$5:$B$304,A1220),""))</f>
        <v/>
      </c>
      <c r="AH1220" s="51">
        <f>IF(B1220="","",DATE(YEAR(B1220),MONTH(B1220),1))</f>
        <v/>
      </c>
      <c r="AI1220" s="49">
        <f>IF(D1220="","",IFERROR(INDEX('CUSTOMERS'!$E$5:$E$404,MATCH(D1220,'CUSTOMERS'!$B$5:$B$404,0)),""))</f>
        <v/>
      </c>
      <c r="AJ1220" s="49">
        <f>IF(B1220="","",N(C1220))</f>
        <v/>
      </c>
      <c r="AK1220" s="49">
        <f>IF(OR(B1220="",O1220="Cancelled",O1220="Rescheduled"),"",B1220&amp;"|"&amp;(COUNTIFS('JOBS'!$B$5:$B$1504,B1220,'JOBS'!$AJ$5:$AJ$1504,"&lt;"&amp;AJ1220,'JOBS'!$O$5:$O$1504,"&lt;&gt;Cancelled",'JOBS'!$O$5:$O$1504,"&lt;&gt;Rescheduled")+COUNTIFS($B$5:B1220,B1220,$AJ$5:AJ1220,AJ1220,$O$5:O1220,"&lt;&gt;Cancelled",$O$5:O1220,"&lt;&gt;Rescheduled")))</f>
        <v/>
      </c>
      <c r="AL1220" s="49">
        <f>IF(N(U1220)&lt;=0.005,"",COUNTIFS('JOBS'!$U$5:$U$1504,"&gt;0.005",'JOBS'!$B$5:$B$1504,"&lt;"&amp;B1220)+COUNTIFS($U$5:U1220,"&gt;0.005",$B$5:B1220,B1220))</f>
        <v/>
      </c>
    </row>
    <row r="1221">
      <c r="A1221" s="46" t="inlineStr">
        <is>
          <t>J-1217</t>
        </is>
      </c>
      <c r="B1221" s="47" t="n"/>
      <c r="C1221" s="94" t="n"/>
      <c r="D1221" s="38" t="n"/>
      <c r="E1221" s="38" t="n"/>
      <c r="F1221" s="38" t="n"/>
      <c r="G1221" s="38" t="n"/>
      <c r="H1221" s="38" t="n"/>
      <c r="I1221" s="57" t="n"/>
      <c r="J1221" s="95" t="n"/>
      <c r="K1221" s="95" t="n"/>
      <c r="L1221" s="48" t="n"/>
      <c r="M1221" s="96" t="n"/>
      <c r="N1221" s="48" t="n"/>
      <c r="O1221" s="38" t="n"/>
      <c r="P1221" s="38" t="n"/>
      <c r="Q1221" s="97">
        <f>IF(OR(F1221="",E1221=""),"",IFERROR(IF(INDEX('PROPERTIES'!$F$5:$F$404,MATCH(E1221,'PROPERTIES'!$B$5:$B$404,0))=0,"",ROUND((INDEX('PROPERTIES'!$F$5:$F$404,MATCH(E1221,'PROPERTIES'!$B$5:$B$404,0))/INDEX('PRICING'!$C$7:$C$16,MATCH(F1221,'PRICING'!$A$7:$A$16,0))+INDEX('PROPERTIES'!$G$5:$G$404,MATCH(E1221,'PROPERTIES'!$B$5:$B$404,0))*INDEX('PRICING'!$D$7:$D$16,MATCH(F1221,'PRICING'!$A$7:$A$16,0))/60+INDEX('PROPERTIES'!$H$5:$H$404,MATCH(E1221,'PROPERTIES'!$B$5:$B$404,0))*INDEX('PRICING'!$E$7:$E$16,MATCH(F1221,'PRICING'!$A$7:$A$16,0))/60+INDEX('PRICING'!$F$7:$F$16,MATCH(F1221,'PRICING'!$A$7:$A$16,0))/60),2)),""))</f>
        <v/>
      </c>
      <c r="R1221" s="97">
        <f>IF(B1221="","",IF(N(K1221)&gt;0,K1221,IF(N(J1221)&gt;0,J1221,N(Q1221))))</f>
        <v/>
      </c>
      <c r="S1221" s="55">
        <f>IF(L1221="","",ROUND(L1221*(1+N(M1221)),2))</f>
        <v/>
      </c>
      <c r="T1221" s="55">
        <f>IF(B1221="","",SUMIFS('REVENUE'!$C$5:$C$1504,'REVENUE'!$B$5:$B$1504,A1221))</f>
        <v/>
      </c>
      <c r="U1221" s="55">
        <f>IF(B1221="","",IF(O1221="Completed",MAX(0,N(S1221)-T1221),""))</f>
        <v/>
      </c>
      <c r="V1221" s="49">
        <f>IF(B1221="","",IF(O1221&lt;&gt;"Completed",IF(T1221&gt;0,"Deposit","—"),IF(U1221&lt;=0.005,"Paid",IF(T1221&gt;0,"Partial","Unpaid"))))</f>
        <v/>
      </c>
      <c r="W1221" s="55">
        <f>IF(B1221="","",IFERROR(1/(1/INDEX('STAFF &amp; TASKS'!$C$5:$C$24,MATCH(H1221,'STAFF &amp; TASKS'!$A$5:$A$24,0))),PayRate))</f>
        <v/>
      </c>
      <c r="X1221" s="55">
        <f>IF(B1221="","",IF(OR(O1221="Cancelled",O1221="No-Show"),"",ROUND(R1221*W1221*(1+Burden),2)))</f>
        <v/>
      </c>
      <c r="Y1221" s="55">
        <f>IF(B1221="","",IF(OR(O1221="Cancelled",O1221="No-Show"),"",IF(N1221&lt;&gt;"",N1221,ROUND(R1221*SupHr*IFERROR(INDEX('PRICING'!$G$7:$G$16,MATCH(F1221,'PRICING'!$A$7:$A$16,0)),1),2))))</f>
        <v/>
      </c>
      <c r="Z1221" s="98">
        <f>IF(B1221="","",SUMIFS('MILEAGE'!$J$5:$J$1504,'MILEAGE'!$B$5:$B$1504,A1221))</f>
        <v/>
      </c>
      <c r="AA1221" s="55">
        <f>IF(B1221="","",ROUND(Z1221*MileRate,2))</f>
        <v/>
      </c>
      <c r="AB1221" s="55">
        <f>IF(B1221="","",SUMIFS('REVENUE'!$J$5:$J$1504,'REVENUE'!$B$5:$B$1504,A1221))</f>
        <v/>
      </c>
      <c r="AC1221" s="55">
        <f>IF(L1221="","",IF(OR(O1221="Cancelled",O1221="No-Show"),"",L1221-N(X1221)-N(Y1221)-AA1221-AB1221))</f>
        <v/>
      </c>
      <c r="AD1221" s="99">
        <f>IF(OR(AC1221="",N(L1221)=0),"",AC1221/L1221)</f>
        <v/>
      </c>
      <c r="AE1221" s="55">
        <f>IF(OR(AC1221="",N(R1221)=0),"",L1221/R1221)</f>
        <v/>
      </c>
      <c r="AF1221" s="100">
        <f>IF(OR(N(K1221)=0,N(J1221)+N(Q1221)=0),"",K1221-IF(N(J1221)&gt;0,J1221,Q1221))</f>
        <v/>
      </c>
      <c r="AG1221" s="99">
        <f>IF(B1221="","",IFERROR(AVERAGEIFS('QUALITY CONTROL'!$M$5:$M$304,'QUALITY CONTROL'!$B$5:$B$304,A1221),""))</f>
        <v/>
      </c>
      <c r="AH1221" s="51">
        <f>IF(B1221="","",DATE(YEAR(B1221),MONTH(B1221),1))</f>
        <v/>
      </c>
      <c r="AI1221" s="49">
        <f>IF(D1221="","",IFERROR(INDEX('CUSTOMERS'!$E$5:$E$404,MATCH(D1221,'CUSTOMERS'!$B$5:$B$404,0)),""))</f>
        <v/>
      </c>
      <c r="AJ1221" s="49">
        <f>IF(B1221="","",N(C1221))</f>
        <v/>
      </c>
      <c r="AK1221" s="49">
        <f>IF(OR(B1221="",O1221="Cancelled",O1221="Rescheduled"),"",B1221&amp;"|"&amp;(COUNTIFS('JOBS'!$B$5:$B$1504,B1221,'JOBS'!$AJ$5:$AJ$1504,"&lt;"&amp;AJ1221,'JOBS'!$O$5:$O$1504,"&lt;&gt;Cancelled",'JOBS'!$O$5:$O$1504,"&lt;&gt;Rescheduled")+COUNTIFS($B$5:B1221,B1221,$AJ$5:AJ1221,AJ1221,$O$5:O1221,"&lt;&gt;Cancelled",$O$5:O1221,"&lt;&gt;Rescheduled")))</f>
        <v/>
      </c>
      <c r="AL1221" s="49">
        <f>IF(N(U1221)&lt;=0.005,"",COUNTIFS('JOBS'!$U$5:$U$1504,"&gt;0.005",'JOBS'!$B$5:$B$1504,"&lt;"&amp;B1221)+COUNTIFS($U$5:U1221,"&gt;0.005",$B$5:B1221,B1221))</f>
        <v/>
      </c>
    </row>
    <row r="1222">
      <c r="A1222" s="46" t="inlineStr">
        <is>
          <t>J-1218</t>
        </is>
      </c>
      <c r="B1222" s="47" t="n"/>
      <c r="C1222" s="94" t="n"/>
      <c r="D1222" s="38" t="n"/>
      <c r="E1222" s="38" t="n"/>
      <c r="F1222" s="38" t="n"/>
      <c r="G1222" s="38" t="n"/>
      <c r="H1222" s="38" t="n"/>
      <c r="I1222" s="57" t="n"/>
      <c r="J1222" s="95" t="n"/>
      <c r="K1222" s="95" t="n"/>
      <c r="L1222" s="48" t="n"/>
      <c r="M1222" s="96" t="n"/>
      <c r="N1222" s="48" t="n"/>
      <c r="O1222" s="38" t="n"/>
      <c r="P1222" s="38" t="n"/>
      <c r="Q1222" s="97">
        <f>IF(OR(F1222="",E1222=""),"",IFERROR(IF(INDEX('PROPERTIES'!$F$5:$F$404,MATCH(E1222,'PROPERTIES'!$B$5:$B$404,0))=0,"",ROUND((INDEX('PROPERTIES'!$F$5:$F$404,MATCH(E1222,'PROPERTIES'!$B$5:$B$404,0))/INDEX('PRICING'!$C$7:$C$16,MATCH(F1222,'PRICING'!$A$7:$A$16,0))+INDEX('PROPERTIES'!$G$5:$G$404,MATCH(E1222,'PROPERTIES'!$B$5:$B$404,0))*INDEX('PRICING'!$D$7:$D$16,MATCH(F1222,'PRICING'!$A$7:$A$16,0))/60+INDEX('PROPERTIES'!$H$5:$H$404,MATCH(E1222,'PROPERTIES'!$B$5:$B$404,0))*INDEX('PRICING'!$E$7:$E$16,MATCH(F1222,'PRICING'!$A$7:$A$16,0))/60+INDEX('PRICING'!$F$7:$F$16,MATCH(F1222,'PRICING'!$A$7:$A$16,0))/60),2)),""))</f>
        <v/>
      </c>
      <c r="R1222" s="97">
        <f>IF(B1222="","",IF(N(K1222)&gt;0,K1222,IF(N(J1222)&gt;0,J1222,N(Q1222))))</f>
        <v/>
      </c>
      <c r="S1222" s="55">
        <f>IF(L1222="","",ROUND(L1222*(1+N(M1222)),2))</f>
        <v/>
      </c>
      <c r="T1222" s="55">
        <f>IF(B1222="","",SUMIFS('REVENUE'!$C$5:$C$1504,'REVENUE'!$B$5:$B$1504,A1222))</f>
        <v/>
      </c>
      <c r="U1222" s="55">
        <f>IF(B1222="","",IF(O1222="Completed",MAX(0,N(S1222)-T1222),""))</f>
        <v/>
      </c>
      <c r="V1222" s="49">
        <f>IF(B1222="","",IF(O1222&lt;&gt;"Completed",IF(T1222&gt;0,"Deposit","—"),IF(U1222&lt;=0.005,"Paid",IF(T1222&gt;0,"Partial","Unpaid"))))</f>
        <v/>
      </c>
      <c r="W1222" s="55">
        <f>IF(B1222="","",IFERROR(1/(1/INDEX('STAFF &amp; TASKS'!$C$5:$C$24,MATCH(H1222,'STAFF &amp; TASKS'!$A$5:$A$24,0))),PayRate))</f>
        <v/>
      </c>
      <c r="X1222" s="55">
        <f>IF(B1222="","",IF(OR(O1222="Cancelled",O1222="No-Show"),"",ROUND(R1222*W1222*(1+Burden),2)))</f>
        <v/>
      </c>
      <c r="Y1222" s="55">
        <f>IF(B1222="","",IF(OR(O1222="Cancelled",O1222="No-Show"),"",IF(N1222&lt;&gt;"",N1222,ROUND(R1222*SupHr*IFERROR(INDEX('PRICING'!$G$7:$G$16,MATCH(F1222,'PRICING'!$A$7:$A$16,0)),1),2))))</f>
        <v/>
      </c>
      <c r="Z1222" s="98">
        <f>IF(B1222="","",SUMIFS('MILEAGE'!$J$5:$J$1504,'MILEAGE'!$B$5:$B$1504,A1222))</f>
        <v/>
      </c>
      <c r="AA1222" s="55">
        <f>IF(B1222="","",ROUND(Z1222*MileRate,2))</f>
        <v/>
      </c>
      <c r="AB1222" s="55">
        <f>IF(B1222="","",SUMIFS('REVENUE'!$J$5:$J$1504,'REVENUE'!$B$5:$B$1504,A1222))</f>
        <v/>
      </c>
      <c r="AC1222" s="55">
        <f>IF(L1222="","",IF(OR(O1222="Cancelled",O1222="No-Show"),"",L1222-N(X1222)-N(Y1222)-AA1222-AB1222))</f>
        <v/>
      </c>
      <c r="AD1222" s="99">
        <f>IF(OR(AC1222="",N(L1222)=0),"",AC1222/L1222)</f>
        <v/>
      </c>
      <c r="AE1222" s="55">
        <f>IF(OR(AC1222="",N(R1222)=0),"",L1222/R1222)</f>
        <v/>
      </c>
      <c r="AF1222" s="100">
        <f>IF(OR(N(K1222)=0,N(J1222)+N(Q1222)=0),"",K1222-IF(N(J1222)&gt;0,J1222,Q1222))</f>
        <v/>
      </c>
      <c r="AG1222" s="99">
        <f>IF(B1222="","",IFERROR(AVERAGEIFS('QUALITY CONTROL'!$M$5:$M$304,'QUALITY CONTROL'!$B$5:$B$304,A1222),""))</f>
        <v/>
      </c>
      <c r="AH1222" s="51">
        <f>IF(B1222="","",DATE(YEAR(B1222),MONTH(B1222),1))</f>
        <v/>
      </c>
      <c r="AI1222" s="49">
        <f>IF(D1222="","",IFERROR(INDEX('CUSTOMERS'!$E$5:$E$404,MATCH(D1222,'CUSTOMERS'!$B$5:$B$404,0)),""))</f>
        <v/>
      </c>
      <c r="AJ1222" s="49">
        <f>IF(B1222="","",N(C1222))</f>
        <v/>
      </c>
      <c r="AK1222" s="49">
        <f>IF(OR(B1222="",O1222="Cancelled",O1222="Rescheduled"),"",B1222&amp;"|"&amp;(COUNTIFS('JOBS'!$B$5:$B$1504,B1222,'JOBS'!$AJ$5:$AJ$1504,"&lt;"&amp;AJ1222,'JOBS'!$O$5:$O$1504,"&lt;&gt;Cancelled",'JOBS'!$O$5:$O$1504,"&lt;&gt;Rescheduled")+COUNTIFS($B$5:B1222,B1222,$AJ$5:AJ1222,AJ1222,$O$5:O1222,"&lt;&gt;Cancelled",$O$5:O1222,"&lt;&gt;Rescheduled")))</f>
        <v/>
      </c>
      <c r="AL1222" s="49">
        <f>IF(N(U1222)&lt;=0.005,"",COUNTIFS('JOBS'!$U$5:$U$1504,"&gt;0.005",'JOBS'!$B$5:$B$1504,"&lt;"&amp;B1222)+COUNTIFS($U$5:U1222,"&gt;0.005",$B$5:B1222,B1222))</f>
        <v/>
      </c>
    </row>
    <row r="1223">
      <c r="A1223" s="46" t="inlineStr">
        <is>
          <t>J-1219</t>
        </is>
      </c>
      <c r="B1223" s="47" t="n"/>
      <c r="C1223" s="94" t="n"/>
      <c r="D1223" s="38" t="n"/>
      <c r="E1223" s="38" t="n"/>
      <c r="F1223" s="38" t="n"/>
      <c r="G1223" s="38" t="n"/>
      <c r="H1223" s="38" t="n"/>
      <c r="I1223" s="57" t="n"/>
      <c r="J1223" s="95" t="n"/>
      <c r="K1223" s="95" t="n"/>
      <c r="L1223" s="48" t="n"/>
      <c r="M1223" s="96" t="n"/>
      <c r="N1223" s="48" t="n"/>
      <c r="O1223" s="38" t="n"/>
      <c r="P1223" s="38" t="n"/>
      <c r="Q1223" s="97">
        <f>IF(OR(F1223="",E1223=""),"",IFERROR(IF(INDEX('PROPERTIES'!$F$5:$F$404,MATCH(E1223,'PROPERTIES'!$B$5:$B$404,0))=0,"",ROUND((INDEX('PROPERTIES'!$F$5:$F$404,MATCH(E1223,'PROPERTIES'!$B$5:$B$404,0))/INDEX('PRICING'!$C$7:$C$16,MATCH(F1223,'PRICING'!$A$7:$A$16,0))+INDEX('PROPERTIES'!$G$5:$G$404,MATCH(E1223,'PROPERTIES'!$B$5:$B$404,0))*INDEX('PRICING'!$D$7:$D$16,MATCH(F1223,'PRICING'!$A$7:$A$16,0))/60+INDEX('PROPERTIES'!$H$5:$H$404,MATCH(E1223,'PROPERTIES'!$B$5:$B$404,0))*INDEX('PRICING'!$E$7:$E$16,MATCH(F1223,'PRICING'!$A$7:$A$16,0))/60+INDEX('PRICING'!$F$7:$F$16,MATCH(F1223,'PRICING'!$A$7:$A$16,0))/60),2)),""))</f>
        <v/>
      </c>
      <c r="R1223" s="97">
        <f>IF(B1223="","",IF(N(K1223)&gt;0,K1223,IF(N(J1223)&gt;0,J1223,N(Q1223))))</f>
        <v/>
      </c>
      <c r="S1223" s="55">
        <f>IF(L1223="","",ROUND(L1223*(1+N(M1223)),2))</f>
        <v/>
      </c>
      <c r="T1223" s="55">
        <f>IF(B1223="","",SUMIFS('REVENUE'!$C$5:$C$1504,'REVENUE'!$B$5:$B$1504,A1223))</f>
        <v/>
      </c>
      <c r="U1223" s="55">
        <f>IF(B1223="","",IF(O1223="Completed",MAX(0,N(S1223)-T1223),""))</f>
        <v/>
      </c>
      <c r="V1223" s="49">
        <f>IF(B1223="","",IF(O1223&lt;&gt;"Completed",IF(T1223&gt;0,"Deposit","—"),IF(U1223&lt;=0.005,"Paid",IF(T1223&gt;0,"Partial","Unpaid"))))</f>
        <v/>
      </c>
      <c r="W1223" s="55">
        <f>IF(B1223="","",IFERROR(1/(1/INDEX('STAFF &amp; TASKS'!$C$5:$C$24,MATCH(H1223,'STAFF &amp; TASKS'!$A$5:$A$24,0))),PayRate))</f>
        <v/>
      </c>
      <c r="X1223" s="55">
        <f>IF(B1223="","",IF(OR(O1223="Cancelled",O1223="No-Show"),"",ROUND(R1223*W1223*(1+Burden),2)))</f>
        <v/>
      </c>
      <c r="Y1223" s="55">
        <f>IF(B1223="","",IF(OR(O1223="Cancelled",O1223="No-Show"),"",IF(N1223&lt;&gt;"",N1223,ROUND(R1223*SupHr*IFERROR(INDEX('PRICING'!$G$7:$G$16,MATCH(F1223,'PRICING'!$A$7:$A$16,0)),1),2))))</f>
        <v/>
      </c>
      <c r="Z1223" s="98">
        <f>IF(B1223="","",SUMIFS('MILEAGE'!$J$5:$J$1504,'MILEAGE'!$B$5:$B$1504,A1223))</f>
        <v/>
      </c>
      <c r="AA1223" s="55">
        <f>IF(B1223="","",ROUND(Z1223*MileRate,2))</f>
        <v/>
      </c>
      <c r="AB1223" s="55">
        <f>IF(B1223="","",SUMIFS('REVENUE'!$J$5:$J$1504,'REVENUE'!$B$5:$B$1504,A1223))</f>
        <v/>
      </c>
      <c r="AC1223" s="55">
        <f>IF(L1223="","",IF(OR(O1223="Cancelled",O1223="No-Show"),"",L1223-N(X1223)-N(Y1223)-AA1223-AB1223))</f>
        <v/>
      </c>
      <c r="AD1223" s="99">
        <f>IF(OR(AC1223="",N(L1223)=0),"",AC1223/L1223)</f>
        <v/>
      </c>
      <c r="AE1223" s="55">
        <f>IF(OR(AC1223="",N(R1223)=0),"",L1223/R1223)</f>
        <v/>
      </c>
      <c r="AF1223" s="100">
        <f>IF(OR(N(K1223)=0,N(J1223)+N(Q1223)=0),"",K1223-IF(N(J1223)&gt;0,J1223,Q1223))</f>
        <v/>
      </c>
      <c r="AG1223" s="99">
        <f>IF(B1223="","",IFERROR(AVERAGEIFS('QUALITY CONTROL'!$M$5:$M$304,'QUALITY CONTROL'!$B$5:$B$304,A1223),""))</f>
        <v/>
      </c>
      <c r="AH1223" s="51">
        <f>IF(B1223="","",DATE(YEAR(B1223),MONTH(B1223),1))</f>
        <v/>
      </c>
      <c r="AI1223" s="49">
        <f>IF(D1223="","",IFERROR(INDEX('CUSTOMERS'!$E$5:$E$404,MATCH(D1223,'CUSTOMERS'!$B$5:$B$404,0)),""))</f>
        <v/>
      </c>
      <c r="AJ1223" s="49">
        <f>IF(B1223="","",N(C1223))</f>
        <v/>
      </c>
      <c r="AK1223" s="49">
        <f>IF(OR(B1223="",O1223="Cancelled",O1223="Rescheduled"),"",B1223&amp;"|"&amp;(COUNTIFS('JOBS'!$B$5:$B$1504,B1223,'JOBS'!$AJ$5:$AJ$1504,"&lt;"&amp;AJ1223,'JOBS'!$O$5:$O$1504,"&lt;&gt;Cancelled",'JOBS'!$O$5:$O$1504,"&lt;&gt;Rescheduled")+COUNTIFS($B$5:B1223,B1223,$AJ$5:AJ1223,AJ1223,$O$5:O1223,"&lt;&gt;Cancelled",$O$5:O1223,"&lt;&gt;Rescheduled")))</f>
        <v/>
      </c>
      <c r="AL1223" s="49">
        <f>IF(N(U1223)&lt;=0.005,"",COUNTIFS('JOBS'!$U$5:$U$1504,"&gt;0.005",'JOBS'!$B$5:$B$1504,"&lt;"&amp;B1223)+COUNTIFS($U$5:U1223,"&gt;0.005",$B$5:B1223,B1223))</f>
        <v/>
      </c>
    </row>
    <row r="1224">
      <c r="A1224" s="46" t="inlineStr">
        <is>
          <t>J-1220</t>
        </is>
      </c>
      <c r="B1224" s="47" t="n"/>
      <c r="C1224" s="94" t="n"/>
      <c r="D1224" s="38" t="n"/>
      <c r="E1224" s="38" t="n"/>
      <c r="F1224" s="38" t="n"/>
      <c r="G1224" s="38" t="n"/>
      <c r="H1224" s="38" t="n"/>
      <c r="I1224" s="57" t="n"/>
      <c r="J1224" s="95" t="n"/>
      <c r="K1224" s="95" t="n"/>
      <c r="L1224" s="48" t="n"/>
      <c r="M1224" s="96" t="n"/>
      <c r="N1224" s="48" t="n"/>
      <c r="O1224" s="38" t="n"/>
      <c r="P1224" s="38" t="n"/>
      <c r="Q1224" s="97">
        <f>IF(OR(F1224="",E1224=""),"",IFERROR(IF(INDEX('PROPERTIES'!$F$5:$F$404,MATCH(E1224,'PROPERTIES'!$B$5:$B$404,0))=0,"",ROUND((INDEX('PROPERTIES'!$F$5:$F$404,MATCH(E1224,'PROPERTIES'!$B$5:$B$404,0))/INDEX('PRICING'!$C$7:$C$16,MATCH(F1224,'PRICING'!$A$7:$A$16,0))+INDEX('PROPERTIES'!$G$5:$G$404,MATCH(E1224,'PROPERTIES'!$B$5:$B$404,0))*INDEX('PRICING'!$D$7:$D$16,MATCH(F1224,'PRICING'!$A$7:$A$16,0))/60+INDEX('PROPERTIES'!$H$5:$H$404,MATCH(E1224,'PROPERTIES'!$B$5:$B$404,0))*INDEX('PRICING'!$E$7:$E$16,MATCH(F1224,'PRICING'!$A$7:$A$16,0))/60+INDEX('PRICING'!$F$7:$F$16,MATCH(F1224,'PRICING'!$A$7:$A$16,0))/60),2)),""))</f>
        <v/>
      </c>
      <c r="R1224" s="97">
        <f>IF(B1224="","",IF(N(K1224)&gt;0,K1224,IF(N(J1224)&gt;0,J1224,N(Q1224))))</f>
        <v/>
      </c>
      <c r="S1224" s="55">
        <f>IF(L1224="","",ROUND(L1224*(1+N(M1224)),2))</f>
        <v/>
      </c>
      <c r="T1224" s="55">
        <f>IF(B1224="","",SUMIFS('REVENUE'!$C$5:$C$1504,'REVENUE'!$B$5:$B$1504,A1224))</f>
        <v/>
      </c>
      <c r="U1224" s="55">
        <f>IF(B1224="","",IF(O1224="Completed",MAX(0,N(S1224)-T1224),""))</f>
        <v/>
      </c>
      <c r="V1224" s="49">
        <f>IF(B1224="","",IF(O1224&lt;&gt;"Completed",IF(T1224&gt;0,"Deposit","—"),IF(U1224&lt;=0.005,"Paid",IF(T1224&gt;0,"Partial","Unpaid"))))</f>
        <v/>
      </c>
      <c r="W1224" s="55">
        <f>IF(B1224="","",IFERROR(1/(1/INDEX('STAFF &amp; TASKS'!$C$5:$C$24,MATCH(H1224,'STAFF &amp; TASKS'!$A$5:$A$24,0))),PayRate))</f>
        <v/>
      </c>
      <c r="X1224" s="55">
        <f>IF(B1224="","",IF(OR(O1224="Cancelled",O1224="No-Show"),"",ROUND(R1224*W1224*(1+Burden),2)))</f>
        <v/>
      </c>
      <c r="Y1224" s="55">
        <f>IF(B1224="","",IF(OR(O1224="Cancelled",O1224="No-Show"),"",IF(N1224&lt;&gt;"",N1224,ROUND(R1224*SupHr*IFERROR(INDEX('PRICING'!$G$7:$G$16,MATCH(F1224,'PRICING'!$A$7:$A$16,0)),1),2))))</f>
        <v/>
      </c>
      <c r="Z1224" s="98">
        <f>IF(B1224="","",SUMIFS('MILEAGE'!$J$5:$J$1504,'MILEAGE'!$B$5:$B$1504,A1224))</f>
        <v/>
      </c>
      <c r="AA1224" s="55">
        <f>IF(B1224="","",ROUND(Z1224*MileRate,2))</f>
        <v/>
      </c>
      <c r="AB1224" s="55">
        <f>IF(B1224="","",SUMIFS('REVENUE'!$J$5:$J$1504,'REVENUE'!$B$5:$B$1504,A1224))</f>
        <v/>
      </c>
      <c r="AC1224" s="55">
        <f>IF(L1224="","",IF(OR(O1224="Cancelled",O1224="No-Show"),"",L1224-N(X1224)-N(Y1224)-AA1224-AB1224))</f>
        <v/>
      </c>
      <c r="AD1224" s="99">
        <f>IF(OR(AC1224="",N(L1224)=0),"",AC1224/L1224)</f>
        <v/>
      </c>
      <c r="AE1224" s="55">
        <f>IF(OR(AC1224="",N(R1224)=0),"",L1224/R1224)</f>
        <v/>
      </c>
      <c r="AF1224" s="100">
        <f>IF(OR(N(K1224)=0,N(J1224)+N(Q1224)=0),"",K1224-IF(N(J1224)&gt;0,J1224,Q1224))</f>
        <v/>
      </c>
      <c r="AG1224" s="99">
        <f>IF(B1224="","",IFERROR(AVERAGEIFS('QUALITY CONTROL'!$M$5:$M$304,'QUALITY CONTROL'!$B$5:$B$304,A1224),""))</f>
        <v/>
      </c>
      <c r="AH1224" s="51">
        <f>IF(B1224="","",DATE(YEAR(B1224),MONTH(B1224),1))</f>
        <v/>
      </c>
      <c r="AI1224" s="49">
        <f>IF(D1224="","",IFERROR(INDEX('CUSTOMERS'!$E$5:$E$404,MATCH(D1224,'CUSTOMERS'!$B$5:$B$404,0)),""))</f>
        <v/>
      </c>
      <c r="AJ1224" s="49">
        <f>IF(B1224="","",N(C1224))</f>
        <v/>
      </c>
      <c r="AK1224" s="49">
        <f>IF(OR(B1224="",O1224="Cancelled",O1224="Rescheduled"),"",B1224&amp;"|"&amp;(COUNTIFS('JOBS'!$B$5:$B$1504,B1224,'JOBS'!$AJ$5:$AJ$1504,"&lt;"&amp;AJ1224,'JOBS'!$O$5:$O$1504,"&lt;&gt;Cancelled",'JOBS'!$O$5:$O$1504,"&lt;&gt;Rescheduled")+COUNTIFS($B$5:B1224,B1224,$AJ$5:AJ1224,AJ1224,$O$5:O1224,"&lt;&gt;Cancelled",$O$5:O1224,"&lt;&gt;Rescheduled")))</f>
        <v/>
      </c>
      <c r="AL1224" s="49">
        <f>IF(N(U1224)&lt;=0.005,"",COUNTIFS('JOBS'!$U$5:$U$1504,"&gt;0.005",'JOBS'!$B$5:$B$1504,"&lt;"&amp;B1224)+COUNTIFS($U$5:U1224,"&gt;0.005",$B$5:B1224,B1224))</f>
        <v/>
      </c>
    </row>
    <row r="1225">
      <c r="A1225" s="46" t="inlineStr">
        <is>
          <t>J-1221</t>
        </is>
      </c>
      <c r="B1225" s="47" t="n"/>
      <c r="C1225" s="94" t="n"/>
      <c r="D1225" s="38" t="n"/>
      <c r="E1225" s="38" t="n"/>
      <c r="F1225" s="38" t="n"/>
      <c r="G1225" s="38" t="n"/>
      <c r="H1225" s="38" t="n"/>
      <c r="I1225" s="57" t="n"/>
      <c r="J1225" s="95" t="n"/>
      <c r="K1225" s="95" t="n"/>
      <c r="L1225" s="48" t="n"/>
      <c r="M1225" s="96" t="n"/>
      <c r="N1225" s="48" t="n"/>
      <c r="O1225" s="38" t="n"/>
      <c r="P1225" s="38" t="n"/>
      <c r="Q1225" s="97">
        <f>IF(OR(F1225="",E1225=""),"",IFERROR(IF(INDEX('PROPERTIES'!$F$5:$F$404,MATCH(E1225,'PROPERTIES'!$B$5:$B$404,0))=0,"",ROUND((INDEX('PROPERTIES'!$F$5:$F$404,MATCH(E1225,'PROPERTIES'!$B$5:$B$404,0))/INDEX('PRICING'!$C$7:$C$16,MATCH(F1225,'PRICING'!$A$7:$A$16,0))+INDEX('PROPERTIES'!$G$5:$G$404,MATCH(E1225,'PROPERTIES'!$B$5:$B$404,0))*INDEX('PRICING'!$D$7:$D$16,MATCH(F1225,'PRICING'!$A$7:$A$16,0))/60+INDEX('PROPERTIES'!$H$5:$H$404,MATCH(E1225,'PROPERTIES'!$B$5:$B$404,0))*INDEX('PRICING'!$E$7:$E$16,MATCH(F1225,'PRICING'!$A$7:$A$16,0))/60+INDEX('PRICING'!$F$7:$F$16,MATCH(F1225,'PRICING'!$A$7:$A$16,0))/60),2)),""))</f>
        <v/>
      </c>
      <c r="R1225" s="97">
        <f>IF(B1225="","",IF(N(K1225)&gt;0,K1225,IF(N(J1225)&gt;0,J1225,N(Q1225))))</f>
        <v/>
      </c>
      <c r="S1225" s="55">
        <f>IF(L1225="","",ROUND(L1225*(1+N(M1225)),2))</f>
        <v/>
      </c>
      <c r="T1225" s="55">
        <f>IF(B1225="","",SUMIFS('REVENUE'!$C$5:$C$1504,'REVENUE'!$B$5:$B$1504,A1225))</f>
        <v/>
      </c>
      <c r="U1225" s="55">
        <f>IF(B1225="","",IF(O1225="Completed",MAX(0,N(S1225)-T1225),""))</f>
        <v/>
      </c>
      <c r="V1225" s="49">
        <f>IF(B1225="","",IF(O1225&lt;&gt;"Completed",IF(T1225&gt;0,"Deposit","—"),IF(U1225&lt;=0.005,"Paid",IF(T1225&gt;0,"Partial","Unpaid"))))</f>
        <v/>
      </c>
      <c r="W1225" s="55">
        <f>IF(B1225="","",IFERROR(1/(1/INDEX('STAFF &amp; TASKS'!$C$5:$C$24,MATCH(H1225,'STAFF &amp; TASKS'!$A$5:$A$24,0))),PayRate))</f>
        <v/>
      </c>
      <c r="X1225" s="55">
        <f>IF(B1225="","",IF(OR(O1225="Cancelled",O1225="No-Show"),"",ROUND(R1225*W1225*(1+Burden),2)))</f>
        <v/>
      </c>
      <c r="Y1225" s="55">
        <f>IF(B1225="","",IF(OR(O1225="Cancelled",O1225="No-Show"),"",IF(N1225&lt;&gt;"",N1225,ROUND(R1225*SupHr*IFERROR(INDEX('PRICING'!$G$7:$G$16,MATCH(F1225,'PRICING'!$A$7:$A$16,0)),1),2))))</f>
        <v/>
      </c>
      <c r="Z1225" s="98">
        <f>IF(B1225="","",SUMIFS('MILEAGE'!$J$5:$J$1504,'MILEAGE'!$B$5:$B$1504,A1225))</f>
        <v/>
      </c>
      <c r="AA1225" s="55">
        <f>IF(B1225="","",ROUND(Z1225*MileRate,2))</f>
        <v/>
      </c>
      <c r="AB1225" s="55">
        <f>IF(B1225="","",SUMIFS('REVENUE'!$J$5:$J$1504,'REVENUE'!$B$5:$B$1504,A1225))</f>
        <v/>
      </c>
      <c r="AC1225" s="55">
        <f>IF(L1225="","",IF(OR(O1225="Cancelled",O1225="No-Show"),"",L1225-N(X1225)-N(Y1225)-AA1225-AB1225))</f>
        <v/>
      </c>
      <c r="AD1225" s="99">
        <f>IF(OR(AC1225="",N(L1225)=0),"",AC1225/L1225)</f>
        <v/>
      </c>
      <c r="AE1225" s="55">
        <f>IF(OR(AC1225="",N(R1225)=0),"",L1225/R1225)</f>
        <v/>
      </c>
      <c r="AF1225" s="100">
        <f>IF(OR(N(K1225)=0,N(J1225)+N(Q1225)=0),"",K1225-IF(N(J1225)&gt;0,J1225,Q1225))</f>
        <v/>
      </c>
      <c r="AG1225" s="99">
        <f>IF(B1225="","",IFERROR(AVERAGEIFS('QUALITY CONTROL'!$M$5:$M$304,'QUALITY CONTROL'!$B$5:$B$304,A1225),""))</f>
        <v/>
      </c>
      <c r="AH1225" s="51">
        <f>IF(B1225="","",DATE(YEAR(B1225),MONTH(B1225),1))</f>
        <v/>
      </c>
      <c r="AI1225" s="49">
        <f>IF(D1225="","",IFERROR(INDEX('CUSTOMERS'!$E$5:$E$404,MATCH(D1225,'CUSTOMERS'!$B$5:$B$404,0)),""))</f>
        <v/>
      </c>
      <c r="AJ1225" s="49">
        <f>IF(B1225="","",N(C1225))</f>
        <v/>
      </c>
      <c r="AK1225" s="49">
        <f>IF(OR(B1225="",O1225="Cancelled",O1225="Rescheduled"),"",B1225&amp;"|"&amp;(COUNTIFS('JOBS'!$B$5:$B$1504,B1225,'JOBS'!$AJ$5:$AJ$1504,"&lt;"&amp;AJ1225,'JOBS'!$O$5:$O$1504,"&lt;&gt;Cancelled",'JOBS'!$O$5:$O$1504,"&lt;&gt;Rescheduled")+COUNTIFS($B$5:B1225,B1225,$AJ$5:AJ1225,AJ1225,$O$5:O1225,"&lt;&gt;Cancelled",$O$5:O1225,"&lt;&gt;Rescheduled")))</f>
        <v/>
      </c>
      <c r="AL1225" s="49">
        <f>IF(N(U1225)&lt;=0.005,"",COUNTIFS('JOBS'!$U$5:$U$1504,"&gt;0.005",'JOBS'!$B$5:$B$1504,"&lt;"&amp;B1225)+COUNTIFS($U$5:U1225,"&gt;0.005",$B$5:B1225,B1225))</f>
        <v/>
      </c>
    </row>
    <row r="1226">
      <c r="A1226" s="46" t="inlineStr">
        <is>
          <t>J-1222</t>
        </is>
      </c>
      <c r="B1226" s="47" t="n"/>
      <c r="C1226" s="94" t="n"/>
      <c r="D1226" s="38" t="n"/>
      <c r="E1226" s="38" t="n"/>
      <c r="F1226" s="38" t="n"/>
      <c r="G1226" s="38" t="n"/>
      <c r="H1226" s="38" t="n"/>
      <c r="I1226" s="57" t="n"/>
      <c r="J1226" s="95" t="n"/>
      <c r="K1226" s="95" t="n"/>
      <c r="L1226" s="48" t="n"/>
      <c r="M1226" s="96" t="n"/>
      <c r="N1226" s="48" t="n"/>
      <c r="O1226" s="38" t="n"/>
      <c r="P1226" s="38" t="n"/>
      <c r="Q1226" s="97">
        <f>IF(OR(F1226="",E1226=""),"",IFERROR(IF(INDEX('PROPERTIES'!$F$5:$F$404,MATCH(E1226,'PROPERTIES'!$B$5:$B$404,0))=0,"",ROUND((INDEX('PROPERTIES'!$F$5:$F$404,MATCH(E1226,'PROPERTIES'!$B$5:$B$404,0))/INDEX('PRICING'!$C$7:$C$16,MATCH(F1226,'PRICING'!$A$7:$A$16,0))+INDEX('PROPERTIES'!$G$5:$G$404,MATCH(E1226,'PROPERTIES'!$B$5:$B$404,0))*INDEX('PRICING'!$D$7:$D$16,MATCH(F1226,'PRICING'!$A$7:$A$16,0))/60+INDEX('PROPERTIES'!$H$5:$H$404,MATCH(E1226,'PROPERTIES'!$B$5:$B$404,0))*INDEX('PRICING'!$E$7:$E$16,MATCH(F1226,'PRICING'!$A$7:$A$16,0))/60+INDEX('PRICING'!$F$7:$F$16,MATCH(F1226,'PRICING'!$A$7:$A$16,0))/60),2)),""))</f>
        <v/>
      </c>
      <c r="R1226" s="97">
        <f>IF(B1226="","",IF(N(K1226)&gt;0,K1226,IF(N(J1226)&gt;0,J1226,N(Q1226))))</f>
        <v/>
      </c>
      <c r="S1226" s="55">
        <f>IF(L1226="","",ROUND(L1226*(1+N(M1226)),2))</f>
        <v/>
      </c>
      <c r="T1226" s="55">
        <f>IF(B1226="","",SUMIFS('REVENUE'!$C$5:$C$1504,'REVENUE'!$B$5:$B$1504,A1226))</f>
        <v/>
      </c>
      <c r="U1226" s="55">
        <f>IF(B1226="","",IF(O1226="Completed",MAX(0,N(S1226)-T1226),""))</f>
        <v/>
      </c>
      <c r="V1226" s="49">
        <f>IF(B1226="","",IF(O1226&lt;&gt;"Completed",IF(T1226&gt;0,"Deposit","—"),IF(U1226&lt;=0.005,"Paid",IF(T1226&gt;0,"Partial","Unpaid"))))</f>
        <v/>
      </c>
      <c r="W1226" s="55">
        <f>IF(B1226="","",IFERROR(1/(1/INDEX('STAFF &amp; TASKS'!$C$5:$C$24,MATCH(H1226,'STAFF &amp; TASKS'!$A$5:$A$24,0))),PayRate))</f>
        <v/>
      </c>
      <c r="X1226" s="55">
        <f>IF(B1226="","",IF(OR(O1226="Cancelled",O1226="No-Show"),"",ROUND(R1226*W1226*(1+Burden),2)))</f>
        <v/>
      </c>
      <c r="Y1226" s="55">
        <f>IF(B1226="","",IF(OR(O1226="Cancelled",O1226="No-Show"),"",IF(N1226&lt;&gt;"",N1226,ROUND(R1226*SupHr*IFERROR(INDEX('PRICING'!$G$7:$G$16,MATCH(F1226,'PRICING'!$A$7:$A$16,0)),1),2))))</f>
        <v/>
      </c>
      <c r="Z1226" s="98">
        <f>IF(B1226="","",SUMIFS('MILEAGE'!$J$5:$J$1504,'MILEAGE'!$B$5:$B$1504,A1226))</f>
        <v/>
      </c>
      <c r="AA1226" s="55">
        <f>IF(B1226="","",ROUND(Z1226*MileRate,2))</f>
        <v/>
      </c>
      <c r="AB1226" s="55">
        <f>IF(B1226="","",SUMIFS('REVENUE'!$J$5:$J$1504,'REVENUE'!$B$5:$B$1504,A1226))</f>
        <v/>
      </c>
      <c r="AC1226" s="55">
        <f>IF(L1226="","",IF(OR(O1226="Cancelled",O1226="No-Show"),"",L1226-N(X1226)-N(Y1226)-AA1226-AB1226))</f>
        <v/>
      </c>
      <c r="AD1226" s="99">
        <f>IF(OR(AC1226="",N(L1226)=0),"",AC1226/L1226)</f>
        <v/>
      </c>
      <c r="AE1226" s="55">
        <f>IF(OR(AC1226="",N(R1226)=0),"",L1226/R1226)</f>
        <v/>
      </c>
      <c r="AF1226" s="100">
        <f>IF(OR(N(K1226)=0,N(J1226)+N(Q1226)=0),"",K1226-IF(N(J1226)&gt;0,J1226,Q1226))</f>
        <v/>
      </c>
      <c r="AG1226" s="99">
        <f>IF(B1226="","",IFERROR(AVERAGEIFS('QUALITY CONTROL'!$M$5:$M$304,'QUALITY CONTROL'!$B$5:$B$304,A1226),""))</f>
        <v/>
      </c>
      <c r="AH1226" s="51">
        <f>IF(B1226="","",DATE(YEAR(B1226),MONTH(B1226),1))</f>
        <v/>
      </c>
      <c r="AI1226" s="49">
        <f>IF(D1226="","",IFERROR(INDEX('CUSTOMERS'!$E$5:$E$404,MATCH(D1226,'CUSTOMERS'!$B$5:$B$404,0)),""))</f>
        <v/>
      </c>
      <c r="AJ1226" s="49">
        <f>IF(B1226="","",N(C1226))</f>
        <v/>
      </c>
      <c r="AK1226" s="49">
        <f>IF(OR(B1226="",O1226="Cancelled",O1226="Rescheduled"),"",B1226&amp;"|"&amp;(COUNTIFS('JOBS'!$B$5:$B$1504,B1226,'JOBS'!$AJ$5:$AJ$1504,"&lt;"&amp;AJ1226,'JOBS'!$O$5:$O$1504,"&lt;&gt;Cancelled",'JOBS'!$O$5:$O$1504,"&lt;&gt;Rescheduled")+COUNTIFS($B$5:B1226,B1226,$AJ$5:AJ1226,AJ1226,$O$5:O1226,"&lt;&gt;Cancelled",$O$5:O1226,"&lt;&gt;Rescheduled")))</f>
        <v/>
      </c>
      <c r="AL1226" s="49">
        <f>IF(N(U1226)&lt;=0.005,"",COUNTIFS('JOBS'!$U$5:$U$1504,"&gt;0.005",'JOBS'!$B$5:$B$1504,"&lt;"&amp;B1226)+COUNTIFS($U$5:U1226,"&gt;0.005",$B$5:B1226,B1226))</f>
        <v/>
      </c>
    </row>
    <row r="1227">
      <c r="A1227" s="46" t="inlineStr">
        <is>
          <t>J-1223</t>
        </is>
      </c>
      <c r="B1227" s="47" t="n"/>
      <c r="C1227" s="94" t="n"/>
      <c r="D1227" s="38" t="n"/>
      <c r="E1227" s="38" t="n"/>
      <c r="F1227" s="38" t="n"/>
      <c r="G1227" s="38" t="n"/>
      <c r="H1227" s="38" t="n"/>
      <c r="I1227" s="57" t="n"/>
      <c r="J1227" s="95" t="n"/>
      <c r="K1227" s="95" t="n"/>
      <c r="L1227" s="48" t="n"/>
      <c r="M1227" s="96" t="n"/>
      <c r="N1227" s="48" t="n"/>
      <c r="O1227" s="38" t="n"/>
      <c r="P1227" s="38" t="n"/>
      <c r="Q1227" s="97">
        <f>IF(OR(F1227="",E1227=""),"",IFERROR(IF(INDEX('PROPERTIES'!$F$5:$F$404,MATCH(E1227,'PROPERTIES'!$B$5:$B$404,0))=0,"",ROUND((INDEX('PROPERTIES'!$F$5:$F$404,MATCH(E1227,'PROPERTIES'!$B$5:$B$404,0))/INDEX('PRICING'!$C$7:$C$16,MATCH(F1227,'PRICING'!$A$7:$A$16,0))+INDEX('PROPERTIES'!$G$5:$G$404,MATCH(E1227,'PROPERTIES'!$B$5:$B$404,0))*INDEX('PRICING'!$D$7:$D$16,MATCH(F1227,'PRICING'!$A$7:$A$16,0))/60+INDEX('PROPERTIES'!$H$5:$H$404,MATCH(E1227,'PROPERTIES'!$B$5:$B$404,0))*INDEX('PRICING'!$E$7:$E$16,MATCH(F1227,'PRICING'!$A$7:$A$16,0))/60+INDEX('PRICING'!$F$7:$F$16,MATCH(F1227,'PRICING'!$A$7:$A$16,0))/60),2)),""))</f>
        <v/>
      </c>
      <c r="R1227" s="97">
        <f>IF(B1227="","",IF(N(K1227)&gt;0,K1227,IF(N(J1227)&gt;0,J1227,N(Q1227))))</f>
        <v/>
      </c>
      <c r="S1227" s="55">
        <f>IF(L1227="","",ROUND(L1227*(1+N(M1227)),2))</f>
        <v/>
      </c>
      <c r="T1227" s="55">
        <f>IF(B1227="","",SUMIFS('REVENUE'!$C$5:$C$1504,'REVENUE'!$B$5:$B$1504,A1227))</f>
        <v/>
      </c>
      <c r="U1227" s="55">
        <f>IF(B1227="","",IF(O1227="Completed",MAX(0,N(S1227)-T1227),""))</f>
        <v/>
      </c>
      <c r="V1227" s="49">
        <f>IF(B1227="","",IF(O1227&lt;&gt;"Completed",IF(T1227&gt;0,"Deposit","—"),IF(U1227&lt;=0.005,"Paid",IF(T1227&gt;0,"Partial","Unpaid"))))</f>
        <v/>
      </c>
      <c r="W1227" s="55">
        <f>IF(B1227="","",IFERROR(1/(1/INDEX('STAFF &amp; TASKS'!$C$5:$C$24,MATCH(H1227,'STAFF &amp; TASKS'!$A$5:$A$24,0))),PayRate))</f>
        <v/>
      </c>
      <c r="X1227" s="55">
        <f>IF(B1227="","",IF(OR(O1227="Cancelled",O1227="No-Show"),"",ROUND(R1227*W1227*(1+Burden),2)))</f>
        <v/>
      </c>
      <c r="Y1227" s="55">
        <f>IF(B1227="","",IF(OR(O1227="Cancelled",O1227="No-Show"),"",IF(N1227&lt;&gt;"",N1227,ROUND(R1227*SupHr*IFERROR(INDEX('PRICING'!$G$7:$G$16,MATCH(F1227,'PRICING'!$A$7:$A$16,0)),1),2))))</f>
        <v/>
      </c>
      <c r="Z1227" s="98">
        <f>IF(B1227="","",SUMIFS('MILEAGE'!$J$5:$J$1504,'MILEAGE'!$B$5:$B$1504,A1227))</f>
        <v/>
      </c>
      <c r="AA1227" s="55">
        <f>IF(B1227="","",ROUND(Z1227*MileRate,2))</f>
        <v/>
      </c>
      <c r="AB1227" s="55">
        <f>IF(B1227="","",SUMIFS('REVENUE'!$J$5:$J$1504,'REVENUE'!$B$5:$B$1504,A1227))</f>
        <v/>
      </c>
      <c r="AC1227" s="55">
        <f>IF(L1227="","",IF(OR(O1227="Cancelled",O1227="No-Show"),"",L1227-N(X1227)-N(Y1227)-AA1227-AB1227))</f>
        <v/>
      </c>
      <c r="AD1227" s="99">
        <f>IF(OR(AC1227="",N(L1227)=0),"",AC1227/L1227)</f>
        <v/>
      </c>
      <c r="AE1227" s="55">
        <f>IF(OR(AC1227="",N(R1227)=0),"",L1227/R1227)</f>
        <v/>
      </c>
      <c r="AF1227" s="100">
        <f>IF(OR(N(K1227)=0,N(J1227)+N(Q1227)=0),"",K1227-IF(N(J1227)&gt;0,J1227,Q1227))</f>
        <v/>
      </c>
      <c r="AG1227" s="99">
        <f>IF(B1227="","",IFERROR(AVERAGEIFS('QUALITY CONTROL'!$M$5:$M$304,'QUALITY CONTROL'!$B$5:$B$304,A1227),""))</f>
        <v/>
      </c>
      <c r="AH1227" s="51">
        <f>IF(B1227="","",DATE(YEAR(B1227),MONTH(B1227),1))</f>
        <v/>
      </c>
      <c r="AI1227" s="49">
        <f>IF(D1227="","",IFERROR(INDEX('CUSTOMERS'!$E$5:$E$404,MATCH(D1227,'CUSTOMERS'!$B$5:$B$404,0)),""))</f>
        <v/>
      </c>
      <c r="AJ1227" s="49">
        <f>IF(B1227="","",N(C1227))</f>
        <v/>
      </c>
      <c r="AK1227" s="49">
        <f>IF(OR(B1227="",O1227="Cancelled",O1227="Rescheduled"),"",B1227&amp;"|"&amp;(COUNTIFS('JOBS'!$B$5:$B$1504,B1227,'JOBS'!$AJ$5:$AJ$1504,"&lt;"&amp;AJ1227,'JOBS'!$O$5:$O$1504,"&lt;&gt;Cancelled",'JOBS'!$O$5:$O$1504,"&lt;&gt;Rescheduled")+COUNTIFS($B$5:B1227,B1227,$AJ$5:AJ1227,AJ1227,$O$5:O1227,"&lt;&gt;Cancelled",$O$5:O1227,"&lt;&gt;Rescheduled")))</f>
        <v/>
      </c>
      <c r="AL1227" s="49">
        <f>IF(N(U1227)&lt;=0.005,"",COUNTIFS('JOBS'!$U$5:$U$1504,"&gt;0.005",'JOBS'!$B$5:$B$1504,"&lt;"&amp;B1227)+COUNTIFS($U$5:U1227,"&gt;0.005",$B$5:B1227,B1227))</f>
        <v/>
      </c>
    </row>
    <row r="1228">
      <c r="A1228" s="46" t="inlineStr">
        <is>
          <t>J-1224</t>
        </is>
      </c>
      <c r="B1228" s="47" t="n"/>
      <c r="C1228" s="94" t="n"/>
      <c r="D1228" s="38" t="n"/>
      <c r="E1228" s="38" t="n"/>
      <c r="F1228" s="38" t="n"/>
      <c r="G1228" s="38" t="n"/>
      <c r="H1228" s="38" t="n"/>
      <c r="I1228" s="57" t="n"/>
      <c r="J1228" s="95" t="n"/>
      <c r="K1228" s="95" t="n"/>
      <c r="L1228" s="48" t="n"/>
      <c r="M1228" s="96" t="n"/>
      <c r="N1228" s="48" t="n"/>
      <c r="O1228" s="38" t="n"/>
      <c r="P1228" s="38" t="n"/>
      <c r="Q1228" s="97">
        <f>IF(OR(F1228="",E1228=""),"",IFERROR(IF(INDEX('PROPERTIES'!$F$5:$F$404,MATCH(E1228,'PROPERTIES'!$B$5:$B$404,0))=0,"",ROUND((INDEX('PROPERTIES'!$F$5:$F$404,MATCH(E1228,'PROPERTIES'!$B$5:$B$404,0))/INDEX('PRICING'!$C$7:$C$16,MATCH(F1228,'PRICING'!$A$7:$A$16,0))+INDEX('PROPERTIES'!$G$5:$G$404,MATCH(E1228,'PROPERTIES'!$B$5:$B$404,0))*INDEX('PRICING'!$D$7:$D$16,MATCH(F1228,'PRICING'!$A$7:$A$16,0))/60+INDEX('PROPERTIES'!$H$5:$H$404,MATCH(E1228,'PROPERTIES'!$B$5:$B$404,0))*INDEX('PRICING'!$E$7:$E$16,MATCH(F1228,'PRICING'!$A$7:$A$16,0))/60+INDEX('PRICING'!$F$7:$F$16,MATCH(F1228,'PRICING'!$A$7:$A$16,0))/60),2)),""))</f>
        <v/>
      </c>
      <c r="R1228" s="97">
        <f>IF(B1228="","",IF(N(K1228)&gt;0,K1228,IF(N(J1228)&gt;0,J1228,N(Q1228))))</f>
        <v/>
      </c>
      <c r="S1228" s="55">
        <f>IF(L1228="","",ROUND(L1228*(1+N(M1228)),2))</f>
        <v/>
      </c>
      <c r="T1228" s="55">
        <f>IF(B1228="","",SUMIFS('REVENUE'!$C$5:$C$1504,'REVENUE'!$B$5:$B$1504,A1228))</f>
        <v/>
      </c>
      <c r="U1228" s="55">
        <f>IF(B1228="","",IF(O1228="Completed",MAX(0,N(S1228)-T1228),""))</f>
        <v/>
      </c>
      <c r="V1228" s="49">
        <f>IF(B1228="","",IF(O1228&lt;&gt;"Completed",IF(T1228&gt;0,"Deposit","—"),IF(U1228&lt;=0.005,"Paid",IF(T1228&gt;0,"Partial","Unpaid"))))</f>
        <v/>
      </c>
      <c r="W1228" s="55">
        <f>IF(B1228="","",IFERROR(1/(1/INDEX('STAFF &amp; TASKS'!$C$5:$C$24,MATCH(H1228,'STAFF &amp; TASKS'!$A$5:$A$24,0))),PayRate))</f>
        <v/>
      </c>
      <c r="X1228" s="55">
        <f>IF(B1228="","",IF(OR(O1228="Cancelled",O1228="No-Show"),"",ROUND(R1228*W1228*(1+Burden),2)))</f>
        <v/>
      </c>
      <c r="Y1228" s="55">
        <f>IF(B1228="","",IF(OR(O1228="Cancelled",O1228="No-Show"),"",IF(N1228&lt;&gt;"",N1228,ROUND(R1228*SupHr*IFERROR(INDEX('PRICING'!$G$7:$G$16,MATCH(F1228,'PRICING'!$A$7:$A$16,0)),1),2))))</f>
        <v/>
      </c>
      <c r="Z1228" s="98">
        <f>IF(B1228="","",SUMIFS('MILEAGE'!$J$5:$J$1504,'MILEAGE'!$B$5:$B$1504,A1228))</f>
        <v/>
      </c>
      <c r="AA1228" s="55">
        <f>IF(B1228="","",ROUND(Z1228*MileRate,2))</f>
        <v/>
      </c>
      <c r="AB1228" s="55">
        <f>IF(B1228="","",SUMIFS('REVENUE'!$J$5:$J$1504,'REVENUE'!$B$5:$B$1504,A1228))</f>
        <v/>
      </c>
      <c r="AC1228" s="55">
        <f>IF(L1228="","",IF(OR(O1228="Cancelled",O1228="No-Show"),"",L1228-N(X1228)-N(Y1228)-AA1228-AB1228))</f>
        <v/>
      </c>
      <c r="AD1228" s="99">
        <f>IF(OR(AC1228="",N(L1228)=0),"",AC1228/L1228)</f>
        <v/>
      </c>
      <c r="AE1228" s="55">
        <f>IF(OR(AC1228="",N(R1228)=0),"",L1228/R1228)</f>
        <v/>
      </c>
      <c r="AF1228" s="100">
        <f>IF(OR(N(K1228)=0,N(J1228)+N(Q1228)=0),"",K1228-IF(N(J1228)&gt;0,J1228,Q1228))</f>
        <v/>
      </c>
      <c r="AG1228" s="99">
        <f>IF(B1228="","",IFERROR(AVERAGEIFS('QUALITY CONTROL'!$M$5:$M$304,'QUALITY CONTROL'!$B$5:$B$304,A1228),""))</f>
        <v/>
      </c>
      <c r="AH1228" s="51">
        <f>IF(B1228="","",DATE(YEAR(B1228),MONTH(B1228),1))</f>
        <v/>
      </c>
      <c r="AI1228" s="49">
        <f>IF(D1228="","",IFERROR(INDEX('CUSTOMERS'!$E$5:$E$404,MATCH(D1228,'CUSTOMERS'!$B$5:$B$404,0)),""))</f>
        <v/>
      </c>
      <c r="AJ1228" s="49">
        <f>IF(B1228="","",N(C1228))</f>
        <v/>
      </c>
      <c r="AK1228" s="49">
        <f>IF(OR(B1228="",O1228="Cancelled",O1228="Rescheduled"),"",B1228&amp;"|"&amp;(COUNTIFS('JOBS'!$B$5:$B$1504,B1228,'JOBS'!$AJ$5:$AJ$1504,"&lt;"&amp;AJ1228,'JOBS'!$O$5:$O$1504,"&lt;&gt;Cancelled",'JOBS'!$O$5:$O$1504,"&lt;&gt;Rescheduled")+COUNTIFS($B$5:B1228,B1228,$AJ$5:AJ1228,AJ1228,$O$5:O1228,"&lt;&gt;Cancelled",$O$5:O1228,"&lt;&gt;Rescheduled")))</f>
        <v/>
      </c>
      <c r="AL1228" s="49">
        <f>IF(N(U1228)&lt;=0.005,"",COUNTIFS('JOBS'!$U$5:$U$1504,"&gt;0.005",'JOBS'!$B$5:$B$1504,"&lt;"&amp;B1228)+COUNTIFS($U$5:U1228,"&gt;0.005",$B$5:B1228,B1228))</f>
        <v/>
      </c>
    </row>
    <row r="1229">
      <c r="A1229" s="46" t="inlineStr">
        <is>
          <t>J-1225</t>
        </is>
      </c>
      <c r="B1229" s="47" t="n"/>
      <c r="C1229" s="94" t="n"/>
      <c r="D1229" s="38" t="n"/>
      <c r="E1229" s="38" t="n"/>
      <c r="F1229" s="38" t="n"/>
      <c r="G1229" s="38" t="n"/>
      <c r="H1229" s="38" t="n"/>
      <c r="I1229" s="57" t="n"/>
      <c r="J1229" s="95" t="n"/>
      <c r="K1229" s="95" t="n"/>
      <c r="L1229" s="48" t="n"/>
      <c r="M1229" s="96" t="n"/>
      <c r="N1229" s="48" t="n"/>
      <c r="O1229" s="38" t="n"/>
      <c r="P1229" s="38" t="n"/>
      <c r="Q1229" s="97">
        <f>IF(OR(F1229="",E1229=""),"",IFERROR(IF(INDEX('PROPERTIES'!$F$5:$F$404,MATCH(E1229,'PROPERTIES'!$B$5:$B$404,0))=0,"",ROUND((INDEX('PROPERTIES'!$F$5:$F$404,MATCH(E1229,'PROPERTIES'!$B$5:$B$404,0))/INDEX('PRICING'!$C$7:$C$16,MATCH(F1229,'PRICING'!$A$7:$A$16,0))+INDEX('PROPERTIES'!$G$5:$G$404,MATCH(E1229,'PROPERTIES'!$B$5:$B$404,0))*INDEX('PRICING'!$D$7:$D$16,MATCH(F1229,'PRICING'!$A$7:$A$16,0))/60+INDEX('PROPERTIES'!$H$5:$H$404,MATCH(E1229,'PROPERTIES'!$B$5:$B$404,0))*INDEX('PRICING'!$E$7:$E$16,MATCH(F1229,'PRICING'!$A$7:$A$16,0))/60+INDEX('PRICING'!$F$7:$F$16,MATCH(F1229,'PRICING'!$A$7:$A$16,0))/60),2)),""))</f>
        <v/>
      </c>
      <c r="R1229" s="97">
        <f>IF(B1229="","",IF(N(K1229)&gt;0,K1229,IF(N(J1229)&gt;0,J1229,N(Q1229))))</f>
        <v/>
      </c>
      <c r="S1229" s="55">
        <f>IF(L1229="","",ROUND(L1229*(1+N(M1229)),2))</f>
        <v/>
      </c>
      <c r="T1229" s="55">
        <f>IF(B1229="","",SUMIFS('REVENUE'!$C$5:$C$1504,'REVENUE'!$B$5:$B$1504,A1229))</f>
        <v/>
      </c>
      <c r="U1229" s="55">
        <f>IF(B1229="","",IF(O1229="Completed",MAX(0,N(S1229)-T1229),""))</f>
        <v/>
      </c>
      <c r="V1229" s="49">
        <f>IF(B1229="","",IF(O1229&lt;&gt;"Completed",IF(T1229&gt;0,"Deposit","—"),IF(U1229&lt;=0.005,"Paid",IF(T1229&gt;0,"Partial","Unpaid"))))</f>
        <v/>
      </c>
      <c r="W1229" s="55">
        <f>IF(B1229="","",IFERROR(1/(1/INDEX('STAFF &amp; TASKS'!$C$5:$C$24,MATCH(H1229,'STAFF &amp; TASKS'!$A$5:$A$24,0))),PayRate))</f>
        <v/>
      </c>
      <c r="X1229" s="55">
        <f>IF(B1229="","",IF(OR(O1229="Cancelled",O1229="No-Show"),"",ROUND(R1229*W1229*(1+Burden),2)))</f>
        <v/>
      </c>
      <c r="Y1229" s="55">
        <f>IF(B1229="","",IF(OR(O1229="Cancelled",O1229="No-Show"),"",IF(N1229&lt;&gt;"",N1229,ROUND(R1229*SupHr*IFERROR(INDEX('PRICING'!$G$7:$G$16,MATCH(F1229,'PRICING'!$A$7:$A$16,0)),1),2))))</f>
        <v/>
      </c>
      <c r="Z1229" s="98">
        <f>IF(B1229="","",SUMIFS('MILEAGE'!$J$5:$J$1504,'MILEAGE'!$B$5:$B$1504,A1229))</f>
        <v/>
      </c>
      <c r="AA1229" s="55">
        <f>IF(B1229="","",ROUND(Z1229*MileRate,2))</f>
        <v/>
      </c>
      <c r="AB1229" s="55">
        <f>IF(B1229="","",SUMIFS('REVENUE'!$J$5:$J$1504,'REVENUE'!$B$5:$B$1504,A1229))</f>
        <v/>
      </c>
      <c r="AC1229" s="55">
        <f>IF(L1229="","",IF(OR(O1229="Cancelled",O1229="No-Show"),"",L1229-N(X1229)-N(Y1229)-AA1229-AB1229))</f>
        <v/>
      </c>
      <c r="AD1229" s="99">
        <f>IF(OR(AC1229="",N(L1229)=0),"",AC1229/L1229)</f>
        <v/>
      </c>
      <c r="AE1229" s="55">
        <f>IF(OR(AC1229="",N(R1229)=0),"",L1229/R1229)</f>
        <v/>
      </c>
      <c r="AF1229" s="100">
        <f>IF(OR(N(K1229)=0,N(J1229)+N(Q1229)=0),"",K1229-IF(N(J1229)&gt;0,J1229,Q1229))</f>
        <v/>
      </c>
      <c r="AG1229" s="99">
        <f>IF(B1229="","",IFERROR(AVERAGEIFS('QUALITY CONTROL'!$M$5:$M$304,'QUALITY CONTROL'!$B$5:$B$304,A1229),""))</f>
        <v/>
      </c>
      <c r="AH1229" s="51">
        <f>IF(B1229="","",DATE(YEAR(B1229),MONTH(B1229),1))</f>
        <v/>
      </c>
      <c r="AI1229" s="49">
        <f>IF(D1229="","",IFERROR(INDEX('CUSTOMERS'!$E$5:$E$404,MATCH(D1229,'CUSTOMERS'!$B$5:$B$404,0)),""))</f>
        <v/>
      </c>
      <c r="AJ1229" s="49">
        <f>IF(B1229="","",N(C1229))</f>
        <v/>
      </c>
      <c r="AK1229" s="49">
        <f>IF(OR(B1229="",O1229="Cancelled",O1229="Rescheduled"),"",B1229&amp;"|"&amp;(COUNTIFS('JOBS'!$B$5:$B$1504,B1229,'JOBS'!$AJ$5:$AJ$1504,"&lt;"&amp;AJ1229,'JOBS'!$O$5:$O$1504,"&lt;&gt;Cancelled",'JOBS'!$O$5:$O$1504,"&lt;&gt;Rescheduled")+COUNTIFS($B$5:B1229,B1229,$AJ$5:AJ1229,AJ1229,$O$5:O1229,"&lt;&gt;Cancelled",$O$5:O1229,"&lt;&gt;Rescheduled")))</f>
        <v/>
      </c>
      <c r="AL1229" s="49">
        <f>IF(N(U1229)&lt;=0.005,"",COUNTIFS('JOBS'!$U$5:$U$1504,"&gt;0.005",'JOBS'!$B$5:$B$1504,"&lt;"&amp;B1229)+COUNTIFS($U$5:U1229,"&gt;0.005",$B$5:B1229,B1229))</f>
        <v/>
      </c>
    </row>
    <row r="1230">
      <c r="A1230" s="46" t="inlineStr">
        <is>
          <t>J-1226</t>
        </is>
      </c>
      <c r="B1230" s="47" t="n"/>
      <c r="C1230" s="94" t="n"/>
      <c r="D1230" s="38" t="n"/>
      <c r="E1230" s="38" t="n"/>
      <c r="F1230" s="38" t="n"/>
      <c r="G1230" s="38" t="n"/>
      <c r="H1230" s="38" t="n"/>
      <c r="I1230" s="57" t="n"/>
      <c r="J1230" s="95" t="n"/>
      <c r="K1230" s="95" t="n"/>
      <c r="L1230" s="48" t="n"/>
      <c r="M1230" s="96" t="n"/>
      <c r="N1230" s="48" t="n"/>
      <c r="O1230" s="38" t="n"/>
      <c r="P1230" s="38" t="n"/>
      <c r="Q1230" s="97">
        <f>IF(OR(F1230="",E1230=""),"",IFERROR(IF(INDEX('PROPERTIES'!$F$5:$F$404,MATCH(E1230,'PROPERTIES'!$B$5:$B$404,0))=0,"",ROUND((INDEX('PROPERTIES'!$F$5:$F$404,MATCH(E1230,'PROPERTIES'!$B$5:$B$404,0))/INDEX('PRICING'!$C$7:$C$16,MATCH(F1230,'PRICING'!$A$7:$A$16,0))+INDEX('PROPERTIES'!$G$5:$G$404,MATCH(E1230,'PROPERTIES'!$B$5:$B$404,0))*INDEX('PRICING'!$D$7:$D$16,MATCH(F1230,'PRICING'!$A$7:$A$16,0))/60+INDEX('PROPERTIES'!$H$5:$H$404,MATCH(E1230,'PROPERTIES'!$B$5:$B$404,0))*INDEX('PRICING'!$E$7:$E$16,MATCH(F1230,'PRICING'!$A$7:$A$16,0))/60+INDEX('PRICING'!$F$7:$F$16,MATCH(F1230,'PRICING'!$A$7:$A$16,0))/60),2)),""))</f>
        <v/>
      </c>
      <c r="R1230" s="97">
        <f>IF(B1230="","",IF(N(K1230)&gt;0,K1230,IF(N(J1230)&gt;0,J1230,N(Q1230))))</f>
        <v/>
      </c>
      <c r="S1230" s="55">
        <f>IF(L1230="","",ROUND(L1230*(1+N(M1230)),2))</f>
        <v/>
      </c>
      <c r="T1230" s="55">
        <f>IF(B1230="","",SUMIFS('REVENUE'!$C$5:$C$1504,'REVENUE'!$B$5:$B$1504,A1230))</f>
        <v/>
      </c>
      <c r="U1230" s="55">
        <f>IF(B1230="","",IF(O1230="Completed",MAX(0,N(S1230)-T1230),""))</f>
        <v/>
      </c>
      <c r="V1230" s="49">
        <f>IF(B1230="","",IF(O1230&lt;&gt;"Completed",IF(T1230&gt;0,"Deposit","—"),IF(U1230&lt;=0.005,"Paid",IF(T1230&gt;0,"Partial","Unpaid"))))</f>
        <v/>
      </c>
      <c r="W1230" s="55">
        <f>IF(B1230="","",IFERROR(1/(1/INDEX('STAFF &amp; TASKS'!$C$5:$C$24,MATCH(H1230,'STAFF &amp; TASKS'!$A$5:$A$24,0))),PayRate))</f>
        <v/>
      </c>
      <c r="X1230" s="55">
        <f>IF(B1230="","",IF(OR(O1230="Cancelled",O1230="No-Show"),"",ROUND(R1230*W1230*(1+Burden),2)))</f>
        <v/>
      </c>
      <c r="Y1230" s="55">
        <f>IF(B1230="","",IF(OR(O1230="Cancelled",O1230="No-Show"),"",IF(N1230&lt;&gt;"",N1230,ROUND(R1230*SupHr*IFERROR(INDEX('PRICING'!$G$7:$G$16,MATCH(F1230,'PRICING'!$A$7:$A$16,0)),1),2))))</f>
        <v/>
      </c>
      <c r="Z1230" s="98">
        <f>IF(B1230="","",SUMIFS('MILEAGE'!$J$5:$J$1504,'MILEAGE'!$B$5:$B$1504,A1230))</f>
        <v/>
      </c>
      <c r="AA1230" s="55">
        <f>IF(B1230="","",ROUND(Z1230*MileRate,2))</f>
        <v/>
      </c>
      <c r="AB1230" s="55">
        <f>IF(B1230="","",SUMIFS('REVENUE'!$J$5:$J$1504,'REVENUE'!$B$5:$B$1504,A1230))</f>
        <v/>
      </c>
      <c r="AC1230" s="55">
        <f>IF(L1230="","",IF(OR(O1230="Cancelled",O1230="No-Show"),"",L1230-N(X1230)-N(Y1230)-AA1230-AB1230))</f>
        <v/>
      </c>
      <c r="AD1230" s="99">
        <f>IF(OR(AC1230="",N(L1230)=0),"",AC1230/L1230)</f>
        <v/>
      </c>
      <c r="AE1230" s="55">
        <f>IF(OR(AC1230="",N(R1230)=0),"",L1230/R1230)</f>
        <v/>
      </c>
      <c r="AF1230" s="100">
        <f>IF(OR(N(K1230)=0,N(J1230)+N(Q1230)=0),"",K1230-IF(N(J1230)&gt;0,J1230,Q1230))</f>
        <v/>
      </c>
      <c r="AG1230" s="99">
        <f>IF(B1230="","",IFERROR(AVERAGEIFS('QUALITY CONTROL'!$M$5:$M$304,'QUALITY CONTROL'!$B$5:$B$304,A1230),""))</f>
        <v/>
      </c>
      <c r="AH1230" s="51">
        <f>IF(B1230="","",DATE(YEAR(B1230),MONTH(B1230),1))</f>
        <v/>
      </c>
      <c r="AI1230" s="49">
        <f>IF(D1230="","",IFERROR(INDEX('CUSTOMERS'!$E$5:$E$404,MATCH(D1230,'CUSTOMERS'!$B$5:$B$404,0)),""))</f>
        <v/>
      </c>
      <c r="AJ1230" s="49">
        <f>IF(B1230="","",N(C1230))</f>
        <v/>
      </c>
      <c r="AK1230" s="49">
        <f>IF(OR(B1230="",O1230="Cancelled",O1230="Rescheduled"),"",B1230&amp;"|"&amp;(COUNTIFS('JOBS'!$B$5:$B$1504,B1230,'JOBS'!$AJ$5:$AJ$1504,"&lt;"&amp;AJ1230,'JOBS'!$O$5:$O$1504,"&lt;&gt;Cancelled",'JOBS'!$O$5:$O$1504,"&lt;&gt;Rescheduled")+COUNTIFS($B$5:B1230,B1230,$AJ$5:AJ1230,AJ1230,$O$5:O1230,"&lt;&gt;Cancelled",$O$5:O1230,"&lt;&gt;Rescheduled")))</f>
        <v/>
      </c>
      <c r="AL1230" s="49">
        <f>IF(N(U1230)&lt;=0.005,"",COUNTIFS('JOBS'!$U$5:$U$1504,"&gt;0.005",'JOBS'!$B$5:$B$1504,"&lt;"&amp;B1230)+COUNTIFS($U$5:U1230,"&gt;0.005",$B$5:B1230,B1230))</f>
        <v/>
      </c>
    </row>
    <row r="1231">
      <c r="A1231" s="46" t="inlineStr">
        <is>
          <t>J-1227</t>
        </is>
      </c>
      <c r="B1231" s="47" t="n"/>
      <c r="C1231" s="94" t="n"/>
      <c r="D1231" s="38" t="n"/>
      <c r="E1231" s="38" t="n"/>
      <c r="F1231" s="38" t="n"/>
      <c r="G1231" s="38" t="n"/>
      <c r="H1231" s="38" t="n"/>
      <c r="I1231" s="57" t="n"/>
      <c r="J1231" s="95" t="n"/>
      <c r="K1231" s="95" t="n"/>
      <c r="L1231" s="48" t="n"/>
      <c r="M1231" s="96" t="n"/>
      <c r="N1231" s="48" t="n"/>
      <c r="O1231" s="38" t="n"/>
      <c r="P1231" s="38" t="n"/>
      <c r="Q1231" s="97">
        <f>IF(OR(F1231="",E1231=""),"",IFERROR(IF(INDEX('PROPERTIES'!$F$5:$F$404,MATCH(E1231,'PROPERTIES'!$B$5:$B$404,0))=0,"",ROUND((INDEX('PROPERTIES'!$F$5:$F$404,MATCH(E1231,'PROPERTIES'!$B$5:$B$404,0))/INDEX('PRICING'!$C$7:$C$16,MATCH(F1231,'PRICING'!$A$7:$A$16,0))+INDEX('PROPERTIES'!$G$5:$G$404,MATCH(E1231,'PROPERTIES'!$B$5:$B$404,0))*INDEX('PRICING'!$D$7:$D$16,MATCH(F1231,'PRICING'!$A$7:$A$16,0))/60+INDEX('PROPERTIES'!$H$5:$H$404,MATCH(E1231,'PROPERTIES'!$B$5:$B$404,0))*INDEX('PRICING'!$E$7:$E$16,MATCH(F1231,'PRICING'!$A$7:$A$16,0))/60+INDEX('PRICING'!$F$7:$F$16,MATCH(F1231,'PRICING'!$A$7:$A$16,0))/60),2)),""))</f>
        <v/>
      </c>
      <c r="R1231" s="97">
        <f>IF(B1231="","",IF(N(K1231)&gt;0,K1231,IF(N(J1231)&gt;0,J1231,N(Q1231))))</f>
        <v/>
      </c>
      <c r="S1231" s="55">
        <f>IF(L1231="","",ROUND(L1231*(1+N(M1231)),2))</f>
        <v/>
      </c>
      <c r="T1231" s="55">
        <f>IF(B1231="","",SUMIFS('REVENUE'!$C$5:$C$1504,'REVENUE'!$B$5:$B$1504,A1231))</f>
        <v/>
      </c>
      <c r="U1231" s="55">
        <f>IF(B1231="","",IF(O1231="Completed",MAX(0,N(S1231)-T1231),""))</f>
        <v/>
      </c>
      <c r="V1231" s="49">
        <f>IF(B1231="","",IF(O1231&lt;&gt;"Completed",IF(T1231&gt;0,"Deposit","—"),IF(U1231&lt;=0.005,"Paid",IF(T1231&gt;0,"Partial","Unpaid"))))</f>
        <v/>
      </c>
      <c r="W1231" s="55">
        <f>IF(B1231="","",IFERROR(1/(1/INDEX('STAFF &amp; TASKS'!$C$5:$C$24,MATCH(H1231,'STAFF &amp; TASKS'!$A$5:$A$24,0))),PayRate))</f>
        <v/>
      </c>
      <c r="X1231" s="55">
        <f>IF(B1231="","",IF(OR(O1231="Cancelled",O1231="No-Show"),"",ROUND(R1231*W1231*(1+Burden),2)))</f>
        <v/>
      </c>
      <c r="Y1231" s="55">
        <f>IF(B1231="","",IF(OR(O1231="Cancelled",O1231="No-Show"),"",IF(N1231&lt;&gt;"",N1231,ROUND(R1231*SupHr*IFERROR(INDEX('PRICING'!$G$7:$G$16,MATCH(F1231,'PRICING'!$A$7:$A$16,0)),1),2))))</f>
        <v/>
      </c>
      <c r="Z1231" s="98">
        <f>IF(B1231="","",SUMIFS('MILEAGE'!$J$5:$J$1504,'MILEAGE'!$B$5:$B$1504,A1231))</f>
        <v/>
      </c>
      <c r="AA1231" s="55">
        <f>IF(B1231="","",ROUND(Z1231*MileRate,2))</f>
        <v/>
      </c>
      <c r="AB1231" s="55">
        <f>IF(B1231="","",SUMIFS('REVENUE'!$J$5:$J$1504,'REVENUE'!$B$5:$B$1504,A1231))</f>
        <v/>
      </c>
      <c r="AC1231" s="55">
        <f>IF(L1231="","",IF(OR(O1231="Cancelled",O1231="No-Show"),"",L1231-N(X1231)-N(Y1231)-AA1231-AB1231))</f>
        <v/>
      </c>
      <c r="AD1231" s="99">
        <f>IF(OR(AC1231="",N(L1231)=0),"",AC1231/L1231)</f>
        <v/>
      </c>
      <c r="AE1231" s="55">
        <f>IF(OR(AC1231="",N(R1231)=0),"",L1231/R1231)</f>
        <v/>
      </c>
      <c r="AF1231" s="100">
        <f>IF(OR(N(K1231)=0,N(J1231)+N(Q1231)=0),"",K1231-IF(N(J1231)&gt;0,J1231,Q1231))</f>
        <v/>
      </c>
      <c r="AG1231" s="99">
        <f>IF(B1231="","",IFERROR(AVERAGEIFS('QUALITY CONTROL'!$M$5:$M$304,'QUALITY CONTROL'!$B$5:$B$304,A1231),""))</f>
        <v/>
      </c>
      <c r="AH1231" s="51">
        <f>IF(B1231="","",DATE(YEAR(B1231),MONTH(B1231),1))</f>
        <v/>
      </c>
      <c r="AI1231" s="49">
        <f>IF(D1231="","",IFERROR(INDEX('CUSTOMERS'!$E$5:$E$404,MATCH(D1231,'CUSTOMERS'!$B$5:$B$404,0)),""))</f>
        <v/>
      </c>
      <c r="AJ1231" s="49">
        <f>IF(B1231="","",N(C1231))</f>
        <v/>
      </c>
      <c r="AK1231" s="49">
        <f>IF(OR(B1231="",O1231="Cancelled",O1231="Rescheduled"),"",B1231&amp;"|"&amp;(COUNTIFS('JOBS'!$B$5:$B$1504,B1231,'JOBS'!$AJ$5:$AJ$1504,"&lt;"&amp;AJ1231,'JOBS'!$O$5:$O$1504,"&lt;&gt;Cancelled",'JOBS'!$O$5:$O$1504,"&lt;&gt;Rescheduled")+COUNTIFS($B$5:B1231,B1231,$AJ$5:AJ1231,AJ1231,$O$5:O1231,"&lt;&gt;Cancelled",$O$5:O1231,"&lt;&gt;Rescheduled")))</f>
        <v/>
      </c>
      <c r="AL1231" s="49">
        <f>IF(N(U1231)&lt;=0.005,"",COUNTIFS('JOBS'!$U$5:$U$1504,"&gt;0.005",'JOBS'!$B$5:$B$1504,"&lt;"&amp;B1231)+COUNTIFS($U$5:U1231,"&gt;0.005",$B$5:B1231,B1231))</f>
        <v/>
      </c>
    </row>
    <row r="1232">
      <c r="A1232" s="46" t="inlineStr">
        <is>
          <t>J-1228</t>
        </is>
      </c>
      <c r="B1232" s="47" t="n"/>
      <c r="C1232" s="94" t="n"/>
      <c r="D1232" s="38" t="n"/>
      <c r="E1232" s="38" t="n"/>
      <c r="F1232" s="38" t="n"/>
      <c r="G1232" s="38" t="n"/>
      <c r="H1232" s="38" t="n"/>
      <c r="I1232" s="57" t="n"/>
      <c r="J1232" s="95" t="n"/>
      <c r="K1232" s="95" t="n"/>
      <c r="L1232" s="48" t="n"/>
      <c r="M1232" s="96" t="n"/>
      <c r="N1232" s="48" t="n"/>
      <c r="O1232" s="38" t="n"/>
      <c r="P1232" s="38" t="n"/>
      <c r="Q1232" s="97">
        <f>IF(OR(F1232="",E1232=""),"",IFERROR(IF(INDEX('PROPERTIES'!$F$5:$F$404,MATCH(E1232,'PROPERTIES'!$B$5:$B$404,0))=0,"",ROUND((INDEX('PROPERTIES'!$F$5:$F$404,MATCH(E1232,'PROPERTIES'!$B$5:$B$404,0))/INDEX('PRICING'!$C$7:$C$16,MATCH(F1232,'PRICING'!$A$7:$A$16,0))+INDEX('PROPERTIES'!$G$5:$G$404,MATCH(E1232,'PROPERTIES'!$B$5:$B$404,0))*INDEX('PRICING'!$D$7:$D$16,MATCH(F1232,'PRICING'!$A$7:$A$16,0))/60+INDEX('PROPERTIES'!$H$5:$H$404,MATCH(E1232,'PROPERTIES'!$B$5:$B$404,0))*INDEX('PRICING'!$E$7:$E$16,MATCH(F1232,'PRICING'!$A$7:$A$16,0))/60+INDEX('PRICING'!$F$7:$F$16,MATCH(F1232,'PRICING'!$A$7:$A$16,0))/60),2)),""))</f>
        <v/>
      </c>
      <c r="R1232" s="97">
        <f>IF(B1232="","",IF(N(K1232)&gt;0,K1232,IF(N(J1232)&gt;0,J1232,N(Q1232))))</f>
        <v/>
      </c>
      <c r="S1232" s="55">
        <f>IF(L1232="","",ROUND(L1232*(1+N(M1232)),2))</f>
        <v/>
      </c>
      <c r="T1232" s="55">
        <f>IF(B1232="","",SUMIFS('REVENUE'!$C$5:$C$1504,'REVENUE'!$B$5:$B$1504,A1232))</f>
        <v/>
      </c>
      <c r="U1232" s="55">
        <f>IF(B1232="","",IF(O1232="Completed",MAX(0,N(S1232)-T1232),""))</f>
        <v/>
      </c>
      <c r="V1232" s="49">
        <f>IF(B1232="","",IF(O1232&lt;&gt;"Completed",IF(T1232&gt;0,"Deposit","—"),IF(U1232&lt;=0.005,"Paid",IF(T1232&gt;0,"Partial","Unpaid"))))</f>
        <v/>
      </c>
      <c r="W1232" s="55">
        <f>IF(B1232="","",IFERROR(1/(1/INDEX('STAFF &amp; TASKS'!$C$5:$C$24,MATCH(H1232,'STAFF &amp; TASKS'!$A$5:$A$24,0))),PayRate))</f>
        <v/>
      </c>
      <c r="X1232" s="55">
        <f>IF(B1232="","",IF(OR(O1232="Cancelled",O1232="No-Show"),"",ROUND(R1232*W1232*(1+Burden),2)))</f>
        <v/>
      </c>
      <c r="Y1232" s="55">
        <f>IF(B1232="","",IF(OR(O1232="Cancelled",O1232="No-Show"),"",IF(N1232&lt;&gt;"",N1232,ROUND(R1232*SupHr*IFERROR(INDEX('PRICING'!$G$7:$G$16,MATCH(F1232,'PRICING'!$A$7:$A$16,0)),1),2))))</f>
        <v/>
      </c>
      <c r="Z1232" s="98">
        <f>IF(B1232="","",SUMIFS('MILEAGE'!$J$5:$J$1504,'MILEAGE'!$B$5:$B$1504,A1232))</f>
        <v/>
      </c>
      <c r="AA1232" s="55">
        <f>IF(B1232="","",ROUND(Z1232*MileRate,2))</f>
        <v/>
      </c>
      <c r="AB1232" s="55">
        <f>IF(B1232="","",SUMIFS('REVENUE'!$J$5:$J$1504,'REVENUE'!$B$5:$B$1504,A1232))</f>
        <v/>
      </c>
      <c r="AC1232" s="55">
        <f>IF(L1232="","",IF(OR(O1232="Cancelled",O1232="No-Show"),"",L1232-N(X1232)-N(Y1232)-AA1232-AB1232))</f>
        <v/>
      </c>
      <c r="AD1232" s="99">
        <f>IF(OR(AC1232="",N(L1232)=0),"",AC1232/L1232)</f>
        <v/>
      </c>
      <c r="AE1232" s="55">
        <f>IF(OR(AC1232="",N(R1232)=0),"",L1232/R1232)</f>
        <v/>
      </c>
      <c r="AF1232" s="100">
        <f>IF(OR(N(K1232)=0,N(J1232)+N(Q1232)=0),"",K1232-IF(N(J1232)&gt;0,J1232,Q1232))</f>
        <v/>
      </c>
      <c r="AG1232" s="99">
        <f>IF(B1232="","",IFERROR(AVERAGEIFS('QUALITY CONTROL'!$M$5:$M$304,'QUALITY CONTROL'!$B$5:$B$304,A1232),""))</f>
        <v/>
      </c>
      <c r="AH1232" s="51">
        <f>IF(B1232="","",DATE(YEAR(B1232),MONTH(B1232),1))</f>
        <v/>
      </c>
      <c r="AI1232" s="49">
        <f>IF(D1232="","",IFERROR(INDEX('CUSTOMERS'!$E$5:$E$404,MATCH(D1232,'CUSTOMERS'!$B$5:$B$404,0)),""))</f>
        <v/>
      </c>
      <c r="AJ1232" s="49">
        <f>IF(B1232="","",N(C1232))</f>
        <v/>
      </c>
      <c r="AK1232" s="49">
        <f>IF(OR(B1232="",O1232="Cancelled",O1232="Rescheduled"),"",B1232&amp;"|"&amp;(COUNTIFS('JOBS'!$B$5:$B$1504,B1232,'JOBS'!$AJ$5:$AJ$1504,"&lt;"&amp;AJ1232,'JOBS'!$O$5:$O$1504,"&lt;&gt;Cancelled",'JOBS'!$O$5:$O$1504,"&lt;&gt;Rescheduled")+COUNTIFS($B$5:B1232,B1232,$AJ$5:AJ1232,AJ1232,$O$5:O1232,"&lt;&gt;Cancelled",$O$5:O1232,"&lt;&gt;Rescheduled")))</f>
        <v/>
      </c>
      <c r="AL1232" s="49">
        <f>IF(N(U1232)&lt;=0.005,"",COUNTIFS('JOBS'!$U$5:$U$1504,"&gt;0.005",'JOBS'!$B$5:$B$1504,"&lt;"&amp;B1232)+COUNTIFS($U$5:U1232,"&gt;0.005",$B$5:B1232,B1232))</f>
        <v/>
      </c>
    </row>
    <row r="1233">
      <c r="A1233" s="46" t="inlineStr">
        <is>
          <t>J-1229</t>
        </is>
      </c>
      <c r="B1233" s="47" t="n"/>
      <c r="C1233" s="94" t="n"/>
      <c r="D1233" s="38" t="n"/>
      <c r="E1233" s="38" t="n"/>
      <c r="F1233" s="38" t="n"/>
      <c r="G1233" s="38" t="n"/>
      <c r="H1233" s="38" t="n"/>
      <c r="I1233" s="57" t="n"/>
      <c r="J1233" s="95" t="n"/>
      <c r="K1233" s="95" t="n"/>
      <c r="L1233" s="48" t="n"/>
      <c r="M1233" s="96" t="n"/>
      <c r="N1233" s="48" t="n"/>
      <c r="O1233" s="38" t="n"/>
      <c r="P1233" s="38" t="n"/>
      <c r="Q1233" s="97">
        <f>IF(OR(F1233="",E1233=""),"",IFERROR(IF(INDEX('PROPERTIES'!$F$5:$F$404,MATCH(E1233,'PROPERTIES'!$B$5:$B$404,0))=0,"",ROUND((INDEX('PROPERTIES'!$F$5:$F$404,MATCH(E1233,'PROPERTIES'!$B$5:$B$404,0))/INDEX('PRICING'!$C$7:$C$16,MATCH(F1233,'PRICING'!$A$7:$A$16,0))+INDEX('PROPERTIES'!$G$5:$G$404,MATCH(E1233,'PROPERTIES'!$B$5:$B$404,0))*INDEX('PRICING'!$D$7:$D$16,MATCH(F1233,'PRICING'!$A$7:$A$16,0))/60+INDEX('PROPERTIES'!$H$5:$H$404,MATCH(E1233,'PROPERTIES'!$B$5:$B$404,0))*INDEX('PRICING'!$E$7:$E$16,MATCH(F1233,'PRICING'!$A$7:$A$16,0))/60+INDEX('PRICING'!$F$7:$F$16,MATCH(F1233,'PRICING'!$A$7:$A$16,0))/60),2)),""))</f>
        <v/>
      </c>
      <c r="R1233" s="97">
        <f>IF(B1233="","",IF(N(K1233)&gt;0,K1233,IF(N(J1233)&gt;0,J1233,N(Q1233))))</f>
        <v/>
      </c>
      <c r="S1233" s="55">
        <f>IF(L1233="","",ROUND(L1233*(1+N(M1233)),2))</f>
        <v/>
      </c>
      <c r="T1233" s="55">
        <f>IF(B1233="","",SUMIFS('REVENUE'!$C$5:$C$1504,'REVENUE'!$B$5:$B$1504,A1233))</f>
        <v/>
      </c>
      <c r="U1233" s="55">
        <f>IF(B1233="","",IF(O1233="Completed",MAX(0,N(S1233)-T1233),""))</f>
        <v/>
      </c>
      <c r="V1233" s="49">
        <f>IF(B1233="","",IF(O1233&lt;&gt;"Completed",IF(T1233&gt;0,"Deposit","—"),IF(U1233&lt;=0.005,"Paid",IF(T1233&gt;0,"Partial","Unpaid"))))</f>
        <v/>
      </c>
      <c r="W1233" s="55">
        <f>IF(B1233="","",IFERROR(1/(1/INDEX('STAFF &amp; TASKS'!$C$5:$C$24,MATCH(H1233,'STAFF &amp; TASKS'!$A$5:$A$24,0))),PayRate))</f>
        <v/>
      </c>
      <c r="X1233" s="55">
        <f>IF(B1233="","",IF(OR(O1233="Cancelled",O1233="No-Show"),"",ROUND(R1233*W1233*(1+Burden),2)))</f>
        <v/>
      </c>
      <c r="Y1233" s="55">
        <f>IF(B1233="","",IF(OR(O1233="Cancelled",O1233="No-Show"),"",IF(N1233&lt;&gt;"",N1233,ROUND(R1233*SupHr*IFERROR(INDEX('PRICING'!$G$7:$G$16,MATCH(F1233,'PRICING'!$A$7:$A$16,0)),1),2))))</f>
        <v/>
      </c>
      <c r="Z1233" s="98">
        <f>IF(B1233="","",SUMIFS('MILEAGE'!$J$5:$J$1504,'MILEAGE'!$B$5:$B$1504,A1233))</f>
        <v/>
      </c>
      <c r="AA1233" s="55">
        <f>IF(B1233="","",ROUND(Z1233*MileRate,2))</f>
        <v/>
      </c>
      <c r="AB1233" s="55">
        <f>IF(B1233="","",SUMIFS('REVENUE'!$J$5:$J$1504,'REVENUE'!$B$5:$B$1504,A1233))</f>
        <v/>
      </c>
      <c r="AC1233" s="55">
        <f>IF(L1233="","",IF(OR(O1233="Cancelled",O1233="No-Show"),"",L1233-N(X1233)-N(Y1233)-AA1233-AB1233))</f>
        <v/>
      </c>
      <c r="AD1233" s="99">
        <f>IF(OR(AC1233="",N(L1233)=0),"",AC1233/L1233)</f>
        <v/>
      </c>
      <c r="AE1233" s="55">
        <f>IF(OR(AC1233="",N(R1233)=0),"",L1233/R1233)</f>
        <v/>
      </c>
      <c r="AF1233" s="100">
        <f>IF(OR(N(K1233)=0,N(J1233)+N(Q1233)=0),"",K1233-IF(N(J1233)&gt;0,J1233,Q1233))</f>
        <v/>
      </c>
      <c r="AG1233" s="99">
        <f>IF(B1233="","",IFERROR(AVERAGEIFS('QUALITY CONTROL'!$M$5:$M$304,'QUALITY CONTROL'!$B$5:$B$304,A1233),""))</f>
        <v/>
      </c>
      <c r="AH1233" s="51">
        <f>IF(B1233="","",DATE(YEAR(B1233),MONTH(B1233),1))</f>
        <v/>
      </c>
      <c r="AI1233" s="49">
        <f>IF(D1233="","",IFERROR(INDEX('CUSTOMERS'!$E$5:$E$404,MATCH(D1233,'CUSTOMERS'!$B$5:$B$404,0)),""))</f>
        <v/>
      </c>
      <c r="AJ1233" s="49">
        <f>IF(B1233="","",N(C1233))</f>
        <v/>
      </c>
      <c r="AK1233" s="49">
        <f>IF(OR(B1233="",O1233="Cancelled",O1233="Rescheduled"),"",B1233&amp;"|"&amp;(COUNTIFS('JOBS'!$B$5:$B$1504,B1233,'JOBS'!$AJ$5:$AJ$1504,"&lt;"&amp;AJ1233,'JOBS'!$O$5:$O$1504,"&lt;&gt;Cancelled",'JOBS'!$O$5:$O$1504,"&lt;&gt;Rescheduled")+COUNTIFS($B$5:B1233,B1233,$AJ$5:AJ1233,AJ1233,$O$5:O1233,"&lt;&gt;Cancelled",$O$5:O1233,"&lt;&gt;Rescheduled")))</f>
        <v/>
      </c>
      <c r="AL1233" s="49">
        <f>IF(N(U1233)&lt;=0.005,"",COUNTIFS('JOBS'!$U$5:$U$1504,"&gt;0.005",'JOBS'!$B$5:$B$1504,"&lt;"&amp;B1233)+COUNTIFS($U$5:U1233,"&gt;0.005",$B$5:B1233,B1233))</f>
        <v/>
      </c>
    </row>
    <row r="1234">
      <c r="A1234" s="46" t="inlineStr">
        <is>
          <t>J-1230</t>
        </is>
      </c>
      <c r="B1234" s="47" t="n"/>
      <c r="C1234" s="94" t="n"/>
      <c r="D1234" s="38" t="n"/>
      <c r="E1234" s="38" t="n"/>
      <c r="F1234" s="38" t="n"/>
      <c r="G1234" s="38" t="n"/>
      <c r="H1234" s="38" t="n"/>
      <c r="I1234" s="57" t="n"/>
      <c r="J1234" s="95" t="n"/>
      <c r="K1234" s="95" t="n"/>
      <c r="L1234" s="48" t="n"/>
      <c r="M1234" s="96" t="n"/>
      <c r="N1234" s="48" t="n"/>
      <c r="O1234" s="38" t="n"/>
      <c r="P1234" s="38" t="n"/>
      <c r="Q1234" s="97">
        <f>IF(OR(F1234="",E1234=""),"",IFERROR(IF(INDEX('PROPERTIES'!$F$5:$F$404,MATCH(E1234,'PROPERTIES'!$B$5:$B$404,0))=0,"",ROUND((INDEX('PROPERTIES'!$F$5:$F$404,MATCH(E1234,'PROPERTIES'!$B$5:$B$404,0))/INDEX('PRICING'!$C$7:$C$16,MATCH(F1234,'PRICING'!$A$7:$A$16,0))+INDEX('PROPERTIES'!$G$5:$G$404,MATCH(E1234,'PROPERTIES'!$B$5:$B$404,0))*INDEX('PRICING'!$D$7:$D$16,MATCH(F1234,'PRICING'!$A$7:$A$16,0))/60+INDEX('PROPERTIES'!$H$5:$H$404,MATCH(E1234,'PROPERTIES'!$B$5:$B$404,0))*INDEX('PRICING'!$E$7:$E$16,MATCH(F1234,'PRICING'!$A$7:$A$16,0))/60+INDEX('PRICING'!$F$7:$F$16,MATCH(F1234,'PRICING'!$A$7:$A$16,0))/60),2)),""))</f>
        <v/>
      </c>
      <c r="R1234" s="97">
        <f>IF(B1234="","",IF(N(K1234)&gt;0,K1234,IF(N(J1234)&gt;0,J1234,N(Q1234))))</f>
        <v/>
      </c>
      <c r="S1234" s="55">
        <f>IF(L1234="","",ROUND(L1234*(1+N(M1234)),2))</f>
        <v/>
      </c>
      <c r="T1234" s="55">
        <f>IF(B1234="","",SUMIFS('REVENUE'!$C$5:$C$1504,'REVENUE'!$B$5:$B$1504,A1234))</f>
        <v/>
      </c>
      <c r="U1234" s="55">
        <f>IF(B1234="","",IF(O1234="Completed",MAX(0,N(S1234)-T1234),""))</f>
        <v/>
      </c>
      <c r="V1234" s="49">
        <f>IF(B1234="","",IF(O1234&lt;&gt;"Completed",IF(T1234&gt;0,"Deposit","—"),IF(U1234&lt;=0.005,"Paid",IF(T1234&gt;0,"Partial","Unpaid"))))</f>
        <v/>
      </c>
      <c r="W1234" s="55">
        <f>IF(B1234="","",IFERROR(1/(1/INDEX('STAFF &amp; TASKS'!$C$5:$C$24,MATCH(H1234,'STAFF &amp; TASKS'!$A$5:$A$24,0))),PayRate))</f>
        <v/>
      </c>
      <c r="X1234" s="55">
        <f>IF(B1234="","",IF(OR(O1234="Cancelled",O1234="No-Show"),"",ROUND(R1234*W1234*(1+Burden),2)))</f>
        <v/>
      </c>
      <c r="Y1234" s="55">
        <f>IF(B1234="","",IF(OR(O1234="Cancelled",O1234="No-Show"),"",IF(N1234&lt;&gt;"",N1234,ROUND(R1234*SupHr*IFERROR(INDEX('PRICING'!$G$7:$G$16,MATCH(F1234,'PRICING'!$A$7:$A$16,0)),1),2))))</f>
        <v/>
      </c>
      <c r="Z1234" s="98">
        <f>IF(B1234="","",SUMIFS('MILEAGE'!$J$5:$J$1504,'MILEAGE'!$B$5:$B$1504,A1234))</f>
        <v/>
      </c>
      <c r="AA1234" s="55">
        <f>IF(B1234="","",ROUND(Z1234*MileRate,2))</f>
        <v/>
      </c>
      <c r="AB1234" s="55">
        <f>IF(B1234="","",SUMIFS('REVENUE'!$J$5:$J$1504,'REVENUE'!$B$5:$B$1504,A1234))</f>
        <v/>
      </c>
      <c r="AC1234" s="55">
        <f>IF(L1234="","",IF(OR(O1234="Cancelled",O1234="No-Show"),"",L1234-N(X1234)-N(Y1234)-AA1234-AB1234))</f>
        <v/>
      </c>
      <c r="AD1234" s="99">
        <f>IF(OR(AC1234="",N(L1234)=0),"",AC1234/L1234)</f>
        <v/>
      </c>
      <c r="AE1234" s="55">
        <f>IF(OR(AC1234="",N(R1234)=0),"",L1234/R1234)</f>
        <v/>
      </c>
      <c r="AF1234" s="100">
        <f>IF(OR(N(K1234)=0,N(J1234)+N(Q1234)=0),"",K1234-IF(N(J1234)&gt;0,J1234,Q1234))</f>
        <v/>
      </c>
      <c r="AG1234" s="99">
        <f>IF(B1234="","",IFERROR(AVERAGEIFS('QUALITY CONTROL'!$M$5:$M$304,'QUALITY CONTROL'!$B$5:$B$304,A1234),""))</f>
        <v/>
      </c>
      <c r="AH1234" s="51">
        <f>IF(B1234="","",DATE(YEAR(B1234),MONTH(B1234),1))</f>
        <v/>
      </c>
      <c r="AI1234" s="49">
        <f>IF(D1234="","",IFERROR(INDEX('CUSTOMERS'!$E$5:$E$404,MATCH(D1234,'CUSTOMERS'!$B$5:$B$404,0)),""))</f>
        <v/>
      </c>
      <c r="AJ1234" s="49">
        <f>IF(B1234="","",N(C1234))</f>
        <v/>
      </c>
      <c r="AK1234" s="49">
        <f>IF(OR(B1234="",O1234="Cancelled",O1234="Rescheduled"),"",B1234&amp;"|"&amp;(COUNTIFS('JOBS'!$B$5:$B$1504,B1234,'JOBS'!$AJ$5:$AJ$1504,"&lt;"&amp;AJ1234,'JOBS'!$O$5:$O$1504,"&lt;&gt;Cancelled",'JOBS'!$O$5:$O$1504,"&lt;&gt;Rescheduled")+COUNTIFS($B$5:B1234,B1234,$AJ$5:AJ1234,AJ1234,$O$5:O1234,"&lt;&gt;Cancelled",$O$5:O1234,"&lt;&gt;Rescheduled")))</f>
        <v/>
      </c>
      <c r="AL1234" s="49">
        <f>IF(N(U1234)&lt;=0.005,"",COUNTIFS('JOBS'!$U$5:$U$1504,"&gt;0.005",'JOBS'!$B$5:$B$1504,"&lt;"&amp;B1234)+COUNTIFS($U$5:U1234,"&gt;0.005",$B$5:B1234,B1234))</f>
        <v/>
      </c>
    </row>
    <row r="1235">
      <c r="A1235" s="46" t="inlineStr">
        <is>
          <t>J-1231</t>
        </is>
      </c>
      <c r="B1235" s="47" t="n"/>
      <c r="C1235" s="94" t="n"/>
      <c r="D1235" s="38" t="n"/>
      <c r="E1235" s="38" t="n"/>
      <c r="F1235" s="38" t="n"/>
      <c r="G1235" s="38" t="n"/>
      <c r="H1235" s="38" t="n"/>
      <c r="I1235" s="57" t="n"/>
      <c r="J1235" s="95" t="n"/>
      <c r="K1235" s="95" t="n"/>
      <c r="L1235" s="48" t="n"/>
      <c r="M1235" s="96" t="n"/>
      <c r="N1235" s="48" t="n"/>
      <c r="O1235" s="38" t="n"/>
      <c r="P1235" s="38" t="n"/>
      <c r="Q1235" s="97">
        <f>IF(OR(F1235="",E1235=""),"",IFERROR(IF(INDEX('PROPERTIES'!$F$5:$F$404,MATCH(E1235,'PROPERTIES'!$B$5:$B$404,0))=0,"",ROUND((INDEX('PROPERTIES'!$F$5:$F$404,MATCH(E1235,'PROPERTIES'!$B$5:$B$404,0))/INDEX('PRICING'!$C$7:$C$16,MATCH(F1235,'PRICING'!$A$7:$A$16,0))+INDEX('PROPERTIES'!$G$5:$G$404,MATCH(E1235,'PROPERTIES'!$B$5:$B$404,0))*INDEX('PRICING'!$D$7:$D$16,MATCH(F1235,'PRICING'!$A$7:$A$16,0))/60+INDEX('PROPERTIES'!$H$5:$H$404,MATCH(E1235,'PROPERTIES'!$B$5:$B$404,0))*INDEX('PRICING'!$E$7:$E$16,MATCH(F1235,'PRICING'!$A$7:$A$16,0))/60+INDEX('PRICING'!$F$7:$F$16,MATCH(F1235,'PRICING'!$A$7:$A$16,0))/60),2)),""))</f>
        <v/>
      </c>
      <c r="R1235" s="97">
        <f>IF(B1235="","",IF(N(K1235)&gt;0,K1235,IF(N(J1235)&gt;0,J1235,N(Q1235))))</f>
        <v/>
      </c>
      <c r="S1235" s="55">
        <f>IF(L1235="","",ROUND(L1235*(1+N(M1235)),2))</f>
        <v/>
      </c>
      <c r="T1235" s="55">
        <f>IF(B1235="","",SUMIFS('REVENUE'!$C$5:$C$1504,'REVENUE'!$B$5:$B$1504,A1235))</f>
        <v/>
      </c>
      <c r="U1235" s="55">
        <f>IF(B1235="","",IF(O1235="Completed",MAX(0,N(S1235)-T1235),""))</f>
        <v/>
      </c>
      <c r="V1235" s="49">
        <f>IF(B1235="","",IF(O1235&lt;&gt;"Completed",IF(T1235&gt;0,"Deposit","—"),IF(U1235&lt;=0.005,"Paid",IF(T1235&gt;0,"Partial","Unpaid"))))</f>
        <v/>
      </c>
      <c r="W1235" s="55">
        <f>IF(B1235="","",IFERROR(1/(1/INDEX('STAFF &amp; TASKS'!$C$5:$C$24,MATCH(H1235,'STAFF &amp; TASKS'!$A$5:$A$24,0))),PayRate))</f>
        <v/>
      </c>
      <c r="X1235" s="55">
        <f>IF(B1235="","",IF(OR(O1235="Cancelled",O1235="No-Show"),"",ROUND(R1235*W1235*(1+Burden),2)))</f>
        <v/>
      </c>
      <c r="Y1235" s="55">
        <f>IF(B1235="","",IF(OR(O1235="Cancelled",O1235="No-Show"),"",IF(N1235&lt;&gt;"",N1235,ROUND(R1235*SupHr*IFERROR(INDEX('PRICING'!$G$7:$G$16,MATCH(F1235,'PRICING'!$A$7:$A$16,0)),1),2))))</f>
        <v/>
      </c>
      <c r="Z1235" s="98">
        <f>IF(B1235="","",SUMIFS('MILEAGE'!$J$5:$J$1504,'MILEAGE'!$B$5:$B$1504,A1235))</f>
        <v/>
      </c>
      <c r="AA1235" s="55">
        <f>IF(B1235="","",ROUND(Z1235*MileRate,2))</f>
        <v/>
      </c>
      <c r="AB1235" s="55">
        <f>IF(B1235="","",SUMIFS('REVENUE'!$J$5:$J$1504,'REVENUE'!$B$5:$B$1504,A1235))</f>
        <v/>
      </c>
      <c r="AC1235" s="55">
        <f>IF(L1235="","",IF(OR(O1235="Cancelled",O1235="No-Show"),"",L1235-N(X1235)-N(Y1235)-AA1235-AB1235))</f>
        <v/>
      </c>
      <c r="AD1235" s="99">
        <f>IF(OR(AC1235="",N(L1235)=0),"",AC1235/L1235)</f>
        <v/>
      </c>
      <c r="AE1235" s="55">
        <f>IF(OR(AC1235="",N(R1235)=0),"",L1235/R1235)</f>
        <v/>
      </c>
      <c r="AF1235" s="100">
        <f>IF(OR(N(K1235)=0,N(J1235)+N(Q1235)=0),"",K1235-IF(N(J1235)&gt;0,J1235,Q1235))</f>
        <v/>
      </c>
      <c r="AG1235" s="99">
        <f>IF(B1235="","",IFERROR(AVERAGEIFS('QUALITY CONTROL'!$M$5:$M$304,'QUALITY CONTROL'!$B$5:$B$304,A1235),""))</f>
        <v/>
      </c>
      <c r="AH1235" s="51">
        <f>IF(B1235="","",DATE(YEAR(B1235),MONTH(B1235),1))</f>
        <v/>
      </c>
      <c r="AI1235" s="49">
        <f>IF(D1235="","",IFERROR(INDEX('CUSTOMERS'!$E$5:$E$404,MATCH(D1235,'CUSTOMERS'!$B$5:$B$404,0)),""))</f>
        <v/>
      </c>
      <c r="AJ1235" s="49">
        <f>IF(B1235="","",N(C1235))</f>
        <v/>
      </c>
      <c r="AK1235" s="49">
        <f>IF(OR(B1235="",O1235="Cancelled",O1235="Rescheduled"),"",B1235&amp;"|"&amp;(COUNTIFS('JOBS'!$B$5:$B$1504,B1235,'JOBS'!$AJ$5:$AJ$1504,"&lt;"&amp;AJ1235,'JOBS'!$O$5:$O$1504,"&lt;&gt;Cancelled",'JOBS'!$O$5:$O$1504,"&lt;&gt;Rescheduled")+COUNTIFS($B$5:B1235,B1235,$AJ$5:AJ1235,AJ1235,$O$5:O1235,"&lt;&gt;Cancelled",$O$5:O1235,"&lt;&gt;Rescheduled")))</f>
        <v/>
      </c>
      <c r="AL1235" s="49">
        <f>IF(N(U1235)&lt;=0.005,"",COUNTIFS('JOBS'!$U$5:$U$1504,"&gt;0.005",'JOBS'!$B$5:$B$1504,"&lt;"&amp;B1235)+COUNTIFS($U$5:U1235,"&gt;0.005",$B$5:B1235,B1235))</f>
        <v/>
      </c>
    </row>
    <row r="1236">
      <c r="A1236" s="46" t="inlineStr">
        <is>
          <t>J-1232</t>
        </is>
      </c>
      <c r="B1236" s="47" t="n"/>
      <c r="C1236" s="94" t="n"/>
      <c r="D1236" s="38" t="n"/>
      <c r="E1236" s="38" t="n"/>
      <c r="F1236" s="38" t="n"/>
      <c r="G1236" s="38" t="n"/>
      <c r="H1236" s="38" t="n"/>
      <c r="I1236" s="57" t="n"/>
      <c r="J1236" s="95" t="n"/>
      <c r="K1236" s="95" t="n"/>
      <c r="L1236" s="48" t="n"/>
      <c r="M1236" s="96" t="n"/>
      <c r="N1236" s="48" t="n"/>
      <c r="O1236" s="38" t="n"/>
      <c r="P1236" s="38" t="n"/>
      <c r="Q1236" s="97">
        <f>IF(OR(F1236="",E1236=""),"",IFERROR(IF(INDEX('PROPERTIES'!$F$5:$F$404,MATCH(E1236,'PROPERTIES'!$B$5:$B$404,0))=0,"",ROUND((INDEX('PROPERTIES'!$F$5:$F$404,MATCH(E1236,'PROPERTIES'!$B$5:$B$404,0))/INDEX('PRICING'!$C$7:$C$16,MATCH(F1236,'PRICING'!$A$7:$A$16,0))+INDEX('PROPERTIES'!$G$5:$G$404,MATCH(E1236,'PROPERTIES'!$B$5:$B$404,0))*INDEX('PRICING'!$D$7:$D$16,MATCH(F1236,'PRICING'!$A$7:$A$16,0))/60+INDEX('PROPERTIES'!$H$5:$H$404,MATCH(E1236,'PROPERTIES'!$B$5:$B$404,0))*INDEX('PRICING'!$E$7:$E$16,MATCH(F1236,'PRICING'!$A$7:$A$16,0))/60+INDEX('PRICING'!$F$7:$F$16,MATCH(F1236,'PRICING'!$A$7:$A$16,0))/60),2)),""))</f>
        <v/>
      </c>
      <c r="R1236" s="97">
        <f>IF(B1236="","",IF(N(K1236)&gt;0,K1236,IF(N(J1236)&gt;0,J1236,N(Q1236))))</f>
        <v/>
      </c>
      <c r="S1236" s="55">
        <f>IF(L1236="","",ROUND(L1236*(1+N(M1236)),2))</f>
        <v/>
      </c>
      <c r="T1236" s="55">
        <f>IF(B1236="","",SUMIFS('REVENUE'!$C$5:$C$1504,'REVENUE'!$B$5:$B$1504,A1236))</f>
        <v/>
      </c>
      <c r="U1236" s="55">
        <f>IF(B1236="","",IF(O1236="Completed",MAX(0,N(S1236)-T1236),""))</f>
        <v/>
      </c>
      <c r="V1236" s="49">
        <f>IF(B1236="","",IF(O1236&lt;&gt;"Completed",IF(T1236&gt;0,"Deposit","—"),IF(U1236&lt;=0.005,"Paid",IF(T1236&gt;0,"Partial","Unpaid"))))</f>
        <v/>
      </c>
      <c r="W1236" s="55">
        <f>IF(B1236="","",IFERROR(1/(1/INDEX('STAFF &amp; TASKS'!$C$5:$C$24,MATCH(H1236,'STAFF &amp; TASKS'!$A$5:$A$24,0))),PayRate))</f>
        <v/>
      </c>
      <c r="X1236" s="55">
        <f>IF(B1236="","",IF(OR(O1236="Cancelled",O1236="No-Show"),"",ROUND(R1236*W1236*(1+Burden),2)))</f>
        <v/>
      </c>
      <c r="Y1236" s="55">
        <f>IF(B1236="","",IF(OR(O1236="Cancelled",O1236="No-Show"),"",IF(N1236&lt;&gt;"",N1236,ROUND(R1236*SupHr*IFERROR(INDEX('PRICING'!$G$7:$G$16,MATCH(F1236,'PRICING'!$A$7:$A$16,0)),1),2))))</f>
        <v/>
      </c>
      <c r="Z1236" s="98">
        <f>IF(B1236="","",SUMIFS('MILEAGE'!$J$5:$J$1504,'MILEAGE'!$B$5:$B$1504,A1236))</f>
        <v/>
      </c>
      <c r="AA1236" s="55">
        <f>IF(B1236="","",ROUND(Z1236*MileRate,2))</f>
        <v/>
      </c>
      <c r="AB1236" s="55">
        <f>IF(B1236="","",SUMIFS('REVENUE'!$J$5:$J$1504,'REVENUE'!$B$5:$B$1504,A1236))</f>
        <v/>
      </c>
      <c r="AC1236" s="55">
        <f>IF(L1236="","",IF(OR(O1236="Cancelled",O1236="No-Show"),"",L1236-N(X1236)-N(Y1236)-AA1236-AB1236))</f>
        <v/>
      </c>
      <c r="AD1236" s="99">
        <f>IF(OR(AC1236="",N(L1236)=0),"",AC1236/L1236)</f>
        <v/>
      </c>
      <c r="AE1236" s="55">
        <f>IF(OR(AC1236="",N(R1236)=0),"",L1236/R1236)</f>
        <v/>
      </c>
      <c r="AF1236" s="100">
        <f>IF(OR(N(K1236)=0,N(J1236)+N(Q1236)=0),"",K1236-IF(N(J1236)&gt;0,J1236,Q1236))</f>
        <v/>
      </c>
      <c r="AG1236" s="99">
        <f>IF(B1236="","",IFERROR(AVERAGEIFS('QUALITY CONTROL'!$M$5:$M$304,'QUALITY CONTROL'!$B$5:$B$304,A1236),""))</f>
        <v/>
      </c>
      <c r="AH1236" s="51">
        <f>IF(B1236="","",DATE(YEAR(B1236),MONTH(B1236),1))</f>
        <v/>
      </c>
      <c r="AI1236" s="49">
        <f>IF(D1236="","",IFERROR(INDEX('CUSTOMERS'!$E$5:$E$404,MATCH(D1236,'CUSTOMERS'!$B$5:$B$404,0)),""))</f>
        <v/>
      </c>
      <c r="AJ1236" s="49">
        <f>IF(B1236="","",N(C1236))</f>
        <v/>
      </c>
      <c r="AK1236" s="49">
        <f>IF(OR(B1236="",O1236="Cancelled",O1236="Rescheduled"),"",B1236&amp;"|"&amp;(COUNTIFS('JOBS'!$B$5:$B$1504,B1236,'JOBS'!$AJ$5:$AJ$1504,"&lt;"&amp;AJ1236,'JOBS'!$O$5:$O$1504,"&lt;&gt;Cancelled",'JOBS'!$O$5:$O$1504,"&lt;&gt;Rescheduled")+COUNTIFS($B$5:B1236,B1236,$AJ$5:AJ1236,AJ1236,$O$5:O1236,"&lt;&gt;Cancelled",$O$5:O1236,"&lt;&gt;Rescheduled")))</f>
        <v/>
      </c>
      <c r="AL1236" s="49">
        <f>IF(N(U1236)&lt;=0.005,"",COUNTIFS('JOBS'!$U$5:$U$1504,"&gt;0.005",'JOBS'!$B$5:$B$1504,"&lt;"&amp;B1236)+COUNTIFS($U$5:U1236,"&gt;0.005",$B$5:B1236,B1236))</f>
        <v/>
      </c>
    </row>
    <row r="1237">
      <c r="A1237" s="46" t="inlineStr">
        <is>
          <t>J-1233</t>
        </is>
      </c>
      <c r="B1237" s="47" t="n"/>
      <c r="C1237" s="94" t="n"/>
      <c r="D1237" s="38" t="n"/>
      <c r="E1237" s="38" t="n"/>
      <c r="F1237" s="38" t="n"/>
      <c r="G1237" s="38" t="n"/>
      <c r="H1237" s="38" t="n"/>
      <c r="I1237" s="57" t="n"/>
      <c r="J1237" s="95" t="n"/>
      <c r="K1237" s="95" t="n"/>
      <c r="L1237" s="48" t="n"/>
      <c r="M1237" s="96" t="n"/>
      <c r="N1237" s="48" t="n"/>
      <c r="O1237" s="38" t="n"/>
      <c r="P1237" s="38" t="n"/>
      <c r="Q1237" s="97">
        <f>IF(OR(F1237="",E1237=""),"",IFERROR(IF(INDEX('PROPERTIES'!$F$5:$F$404,MATCH(E1237,'PROPERTIES'!$B$5:$B$404,0))=0,"",ROUND((INDEX('PROPERTIES'!$F$5:$F$404,MATCH(E1237,'PROPERTIES'!$B$5:$B$404,0))/INDEX('PRICING'!$C$7:$C$16,MATCH(F1237,'PRICING'!$A$7:$A$16,0))+INDEX('PROPERTIES'!$G$5:$G$404,MATCH(E1237,'PROPERTIES'!$B$5:$B$404,0))*INDEX('PRICING'!$D$7:$D$16,MATCH(F1237,'PRICING'!$A$7:$A$16,0))/60+INDEX('PROPERTIES'!$H$5:$H$404,MATCH(E1237,'PROPERTIES'!$B$5:$B$404,0))*INDEX('PRICING'!$E$7:$E$16,MATCH(F1237,'PRICING'!$A$7:$A$16,0))/60+INDEX('PRICING'!$F$7:$F$16,MATCH(F1237,'PRICING'!$A$7:$A$16,0))/60),2)),""))</f>
        <v/>
      </c>
      <c r="R1237" s="97">
        <f>IF(B1237="","",IF(N(K1237)&gt;0,K1237,IF(N(J1237)&gt;0,J1237,N(Q1237))))</f>
        <v/>
      </c>
      <c r="S1237" s="55">
        <f>IF(L1237="","",ROUND(L1237*(1+N(M1237)),2))</f>
        <v/>
      </c>
      <c r="T1237" s="55">
        <f>IF(B1237="","",SUMIFS('REVENUE'!$C$5:$C$1504,'REVENUE'!$B$5:$B$1504,A1237))</f>
        <v/>
      </c>
      <c r="U1237" s="55">
        <f>IF(B1237="","",IF(O1237="Completed",MAX(0,N(S1237)-T1237),""))</f>
        <v/>
      </c>
      <c r="V1237" s="49">
        <f>IF(B1237="","",IF(O1237&lt;&gt;"Completed",IF(T1237&gt;0,"Deposit","—"),IF(U1237&lt;=0.005,"Paid",IF(T1237&gt;0,"Partial","Unpaid"))))</f>
        <v/>
      </c>
      <c r="W1237" s="55">
        <f>IF(B1237="","",IFERROR(1/(1/INDEX('STAFF &amp; TASKS'!$C$5:$C$24,MATCH(H1237,'STAFF &amp; TASKS'!$A$5:$A$24,0))),PayRate))</f>
        <v/>
      </c>
      <c r="X1237" s="55">
        <f>IF(B1237="","",IF(OR(O1237="Cancelled",O1237="No-Show"),"",ROUND(R1237*W1237*(1+Burden),2)))</f>
        <v/>
      </c>
      <c r="Y1237" s="55">
        <f>IF(B1237="","",IF(OR(O1237="Cancelled",O1237="No-Show"),"",IF(N1237&lt;&gt;"",N1237,ROUND(R1237*SupHr*IFERROR(INDEX('PRICING'!$G$7:$G$16,MATCH(F1237,'PRICING'!$A$7:$A$16,0)),1),2))))</f>
        <v/>
      </c>
      <c r="Z1237" s="98">
        <f>IF(B1237="","",SUMIFS('MILEAGE'!$J$5:$J$1504,'MILEAGE'!$B$5:$B$1504,A1237))</f>
        <v/>
      </c>
      <c r="AA1237" s="55">
        <f>IF(B1237="","",ROUND(Z1237*MileRate,2))</f>
        <v/>
      </c>
      <c r="AB1237" s="55">
        <f>IF(B1237="","",SUMIFS('REVENUE'!$J$5:$J$1504,'REVENUE'!$B$5:$B$1504,A1237))</f>
        <v/>
      </c>
      <c r="AC1237" s="55">
        <f>IF(L1237="","",IF(OR(O1237="Cancelled",O1237="No-Show"),"",L1237-N(X1237)-N(Y1237)-AA1237-AB1237))</f>
        <v/>
      </c>
      <c r="AD1237" s="99">
        <f>IF(OR(AC1237="",N(L1237)=0),"",AC1237/L1237)</f>
        <v/>
      </c>
      <c r="AE1237" s="55">
        <f>IF(OR(AC1237="",N(R1237)=0),"",L1237/R1237)</f>
        <v/>
      </c>
      <c r="AF1237" s="100">
        <f>IF(OR(N(K1237)=0,N(J1237)+N(Q1237)=0),"",K1237-IF(N(J1237)&gt;0,J1237,Q1237))</f>
        <v/>
      </c>
      <c r="AG1237" s="99">
        <f>IF(B1237="","",IFERROR(AVERAGEIFS('QUALITY CONTROL'!$M$5:$M$304,'QUALITY CONTROL'!$B$5:$B$304,A1237),""))</f>
        <v/>
      </c>
      <c r="AH1237" s="51">
        <f>IF(B1237="","",DATE(YEAR(B1237),MONTH(B1237),1))</f>
        <v/>
      </c>
      <c r="AI1237" s="49">
        <f>IF(D1237="","",IFERROR(INDEX('CUSTOMERS'!$E$5:$E$404,MATCH(D1237,'CUSTOMERS'!$B$5:$B$404,0)),""))</f>
        <v/>
      </c>
      <c r="AJ1237" s="49">
        <f>IF(B1237="","",N(C1237))</f>
        <v/>
      </c>
      <c r="AK1237" s="49">
        <f>IF(OR(B1237="",O1237="Cancelled",O1237="Rescheduled"),"",B1237&amp;"|"&amp;(COUNTIFS('JOBS'!$B$5:$B$1504,B1237,'JOBS'!$AJ$5:$AJ$1504,"&lt;"&amp;AJ1237,'JOBS'!$O$5:$O$1504,"&lt;&gt;Cancelled",'JOBS'!$O$5:$O$1504,"&lt;&gt;Rescheduled")+COUNTIFS($B$5:B1237,B1237,$AJ$5:AJ1237,AJ1237,$O$5:O1237,"&lt;&gt;Cancelled",$O$5:O1237,"&lt;&gt;Rescheduled")))</f>
        <v/>
      </c>
      <c r="AL1237" s="49">
        <f>IF(N(U1237)&lt;=0.005,"",COUNTIFS('JOBS'!$U$5:$U$1504,"&gt;0.005",'JOBS'!$B$5:$B$1504,"&lt;"&amp;B1237)+COUNTIFS($U$5:U1237,"&gt;0.005",$B$5:B1237,B1237))</f>
        <v/>
      </c>
    </row>
    <row r="1238">
      <c r="A1238" s="46" t="inlineStr">
        <is>
          <t>J-1234</t>
        </is>
      </c>
      <c r="B1238" s="47" t="n"/>
      <c r="C1238" s="94" t="n"/>
      <c r="D1238" s="38" t="n"/>
      <c r="E1238" s="38" t="n"/>
      <c r="F1238" s="38" t="n"/>
      <c r="G1238" s="38" t="n"/>
      <c r="H1238" s="38" t="n"/>
      <c r="I1238" s="57" t="n"/>
      <c r="J1238" s="95" t="n"/>
      <c r="K1238" s="95" t="n"/>
      <c r="L1238" s="48" t="n"/>
      <c r="M1238" s="96" t="n"/>
      <c r="N1238" s="48" t="n"/>
      <c r="O1238" s="38" t="n"/>
      <c r="P1238" s="38" t="n"/>
      <c r="Q1238" s="97">
        <f>IF(OR(F1238="",E1238=""),"",IFERROR(IF(INDEX('PROPERTIES'!$F$5:$F$404,MATCH(E1238,'PROPERTIES'!$B$5:$B$404,0))=0,"",ROUND((INDEX('PROPERTIES'!$F$5:$F$404,MATCH(E1238,'PROPERTIES'!$B$5:$B$404,0))/INDEX('PRICING'!$C$7:$C$16,MATCH(F1238,'PRICING'!$A$7:$A$16,0))+INDEX('PROPERTIES'!$G$5:$G$404,MATCH(E1238,'PROPERTIES'!$B$5:$B$404,0))*INDEX('PRICING'!$D$7:$D$16,MATCH(F1238,'PRICING'!$A$7:$A$16,0))/60+INDEX('PROPERTIES'!$H$5:$H$404,MATCH(E1238,'PROPERTIES'!$B$5:$B$404,0))*INDEX('PRICING'!$E$7:$E$16,MATCH(F1238,'PRICING'!$A$7:$A$16,0))/60+INDEX('PRICING'!$F$7:$F$16,MATCH(F1238,'PRICING'!$A$7:$A$16,0))/60),2)),""))</f>
        <v/>
      </c>
      <c r="R1238" s="97">
        <f>IF(B1238="","",IF(N(K1238)&gt;0,K1238,IF(N(J1238)&gt;0,J1238,N(Q1238))))</f>
        <v/>
      </c>
      <c r="S1238" s="55">
        <f>IF(L1238="","",ROUND(L1238*(1+N(M1238)),2))</f>
        <v/>
      </c>
      <c r="T1238" s="55">
        <f>IF(B1238="","",SUMIFS('REVENUE'!$C$5:$C$1504,'REVENUE'!$B$5:$B$1504,A1238))</f>
        <v/>
      </c>
      <c r="U1238" s="55">
        <f>IF(B1238="","",IF(O1238="Completed",MAX(0,N(S1238)-T1238),""))</f>
        <v/>
      </c>
      <c r="V1238" s="49">
        <f>IF(B1238="","",IF(O1238&lt;&gt;"Completed",IF(T1238&gt;0,"Deposit","—"),IF(U1238&lt;=0.005,"Paid",IF(T1238&gt;0,"Partial","Unpaid"))))</f>
        <v/>
      </c>
      <c r="W1238" s="55">
        <f>IF(B1238="","",IFERROR(1/(1/INDEX('STAFF &amp; TASKS'!$C$5:$C$24,MATCH(H1238,'STAFF &amp; TASKS'!$A$5:$A$24,0))),PayRate))</f>
        <v/>
      </c>
      <c r="X1238" s="55">
        <f>IF(B1238="","",IF(OR(O1238="Cancelled",O1238="No-Show"),"",ROUND(R1238*W1238*(1+Burden),2)))</f>
        <v/>
      </c>
      <c r="Y1238" s="55">
        <f>IF(B1238="","",IF(OR(O1238="Cancelled",O1238="No-Show"),"",IF(N1238&lt;&gt;"",N1238,ROUND(R1238*SupHr*IFERROR(INDEX('PRICING'!$G$7:$G$16,MATCH(F1238,'PRICING'!$A$7:$A$16,0)),1),2))))</f>
        <v/>
      </c>
      <c r="Z1238" s="98">
        <f>IF(B1238="","",SUMIFS('MILEAGE'!$J$5:$J$1504,'MILEAGE'!$B$5:$B$1504,A1238))</f>
        <v/>
      </c>
      <c r="AA1238" s="55">
        <f>IF(B1238="","",ROUND(Z1238*MileRate,2))</f>
        <v/>
      </c>
      <c r="AB1238" s="55">
        <f>IF(B1238="","",SUMIFS('REVENUE'!$J$5:$J$1504,'REVENUE'!$B$5:$B$1504,A1238))</f>
        <v/>
      </c>
      <c r="AC1238" s="55">
        <f>IF(L1238="","",IF(OR(O1238="Cancelled",O1238="No-Show"),"",L1238-N(X1238)-N(Y1238)-AA1238-AB1238))</f>
        <v/>
      </c>
      <c r="AD1238" s="99">
        <f>IF(OR(AC1238="",N(L1238)=0),"",AC1238/L1238)</f>
        <v/>
      </c>
      <c r="AE1238" s="55">
        <f>IF(OR(AC1238="",N(R1238)=0),"",L1238/R1238)</f>
        <v/>
      </c>
      <c r="AF1238" s="100">
        <f>IF(OR(N(K1238)=0,N(J1238)+N(Q1238)=0),"",K1238-IF(N(J1238)&gt;0,J1238,Q1238))</f>
        <v/>
      </c>
      <c r="AG1238" s="99">
        <f>IF(B1238="","",IFERROR(AVERAGEIFS('QUALITY CONTROL'!$M$5:$M$304,'QUALITY CONTROL'!$B$5:$B$304,A1238),""))</f>
        <v/>
      </c>
      <c r="AH1238" s="51">
        <f>IF(B1238="","",DATE(YEAR(B1238),MONTH(B1238),1))</f>
        <v/>
      </c>
      <c r="AI1238" s="49">
        <f>IF(D1238="","",IFERROR(INDEX('CUSTOMERS'!$E$5:$E$404,MATCH(D1238,'CUSTOMERS'!$B$5:$B$404,0)),""))</f>
        <v/>
      </c>
      <c r="AJ1238" s="49">
        <f>IF(B1238="","",N(C1238))</f>
        <v/>
      </c>
      <c r="AK1238" s="49">
        <f>IF(OR(B1238="",O1238="Cancelled",O1238="Rescheduled"),"",B1238&amp;"|"&amp;(COUNTIFS('JOBS'!$B$5:$B$1504,B1238,'JOBS'!$AJ$5:$AJ$1504,"&lt;"&amp;AJ1238,'JOBS'!$O$5:$O$1504,"&lt;&gt;Cancelled",'JOBS'!$O$5:$O$1504,"&lt;&gt;Rescheduled")+COUNTIFS($B$5:B1238,B1238,$AJ$5:AJ1238,AJ1238,$O$5:O1238,"&lt;&gt;Cancelled",$O$5:O1238,"&lt;&gt;Rescheduled")))</f>
        <v/>
      </c>
      <c r="AL1238" s="49">
        <f>IF(N(U1238)&lt;=0.005,"",COUNTIFS('JOBS'!$U$5:$U$1504,"&gt;0.005",'JOBS'!$B$5:$B$1504,"&lt;"&amp;B1238)+COUNTIFS($U$5:U1238,"&gt;0.005",$B$5:B1238,B1238))</f>
        <v/>
      </c>
    </row>
    <row r="1239">
      <c r="A1239" s="46" t="inlineStr">
        <is>
          <t>J-1235</t>
        </is>
      </c>
      <c r="B1239" s="47" t="n"/>
      <c r="C1239" s="94" t="n"/>
      <c r="D1239" s="38" t="n"/>
      <c r="E1239" s="38" t="n"/>
      <c r="F1239" s="38" t="n"/>
      <c r="G1239" s="38" t="n"/>
      <c r="H1239" s="38" t="n"/>
      <c r="I1239" s="57" t="n"/>
      <c r="J1239" s="95" t="n"/>
      <c r="K1239" s="95" t="n"/>
      <c r="L1239" s="48" t="n"/>
      <c r="M1239" s="96" t="n"/>
      <c r="N1239" s="48" t="n"/>
      <c r="O1239" s="38" t="n"/>
      <c r="P1239" s="38" t="n"/>
      <c r="Q1239" s="97">
        <f>IF(OR(F1239="",E1239=""),"",IFERROR(IF(INDEX('PROPERTIES'!$F$5:$F$404,MATCH(E1239,'PROPERTIES'!$B$5:$B$404,0))=0,"",ROUND((INDEX('PROPERTIES'!$F$5:$F$404,MATCH(E1239,'PROPERTIES'!$B$5:$B$404,0))/INDEX('PRICING'!$C$7:$C$16,MATCH(F1239,'PRICING'!$A$7:$A$16,0))+INDEX('PROPERTIES'!$G$5:$G$404,MATCH(E1239,'PROPERTIES'!$B$5:$B$404,0))*INDEX('PRICING'!$D$7:$D$16,MATCH(F1239,'PRICING'!$A$7:$A$16,0))/60+INDEX('PROPERTIES'!$H$5:$H$404,MATCH(E1239,'PROPERTIES'!$B$5:$B$404,0))*INDEX('PRICING'!$E$7:$E$16,MATCH(F1239,'PRICING'!$A$7:$A$16,0))/60+INDEX('PRICING'!$F$7:$F$16,MATCH(F1239,'PRICING'!$A$7:$A$16,0))/60),2)),""))</f>
        <v/>
      </c>
      <c r="R1239" s="97">
        <f>IF(B1239="","",IF(N(K1239)&gt;0,K1239,IF(N(J1239)&gt;0,J1239,N(Q1239))))</f>
        <v/>
      </c>
      <c r="S1239" s="55">
        <f>IF(L1239="","",ROUND(L1239*(1+N(M1239)),2))</f>
        <v/>
      </c>
      <c r="T1239" s="55">
        <f>IF(B1239="","",SUMIFS('REVENUE'!$C$5:$C$1504,'REVENUE'!$B$5:$B$1504,A1239))</f>
        <v/>
      </c>
      <c r="U1239" s="55">
        <f>IF(B1239="","",IF(O1239="Completed",MAX(0,N(S1239)-T1239),""))</f>
        <v/>
      </c>
      <c r="V1239" s="49">
        <f>IF(B1239="","",IF(O1239&lt;&gt;"Completed",IF(T1239&gt;0,"Deposit","—"),IF(U1239&lt;=0.005,"Paid",IF(T1239&gt;0,"Partial","Unpaid"))))</f>
        <v/>
      </c>
      <c r="W1239" s="55">
        <f>IF(B1239="","",IFERROR(1/(1/INDEX('STAFF &amp; TASKS'!$C$5:$C$24,MATCH(H1239,'STAFF &amp; TASKS'!$A$5:$A$24,0))),PayRate))</f>
        <v/>
      </c>
      <c r="X1239" s="55">
        <f>IF(B1239="","",IF(OR(O1239="Cancelled",O1239="No-Show"),"",ROUND(R1239*W1239*(1+Burden),2)))</f>
        <v/>
      </c>
      <c r="Y1239" s="55">
        <f>IF(B1239="","",IF(OR(O1239="Cancelled",O1239="No-Show"),"",IF(N1239&lt;&gt;"",N1239,ROUND(R1239*SupHr*IFERROR(INDEX('PRICING'!$G$7:$G$16,MATCH(F1239,'PRICING'!$A$7:$A$16,0)),1),2))))</f>
        <v/>
      </c>
      <c r="Z1239" s="98">
        <f>IF(B1239="","",SUMIFS('MILEAGE'!$J$5:$J$1504,'MILEAGE'!$B$5:$B$1504,A1239))</f>
        <v/>
      </c>
      <c r="AA1239" s="55">
        <f>IF(B1239="","",ROUND(Z1239*MileRate,2))</f>
        <v/>
      </c>
      <c r="AB1239" s="55">
        <f>IF(B1239="","",SUMIFS('REVENUE'!$J$5:$J$1504,'REVENUE'!$B$5:$B$1504,A1239))</f>
        <v/>
      </c>
      <c r="AC1239" s="55">
        <f>IF(L1239="","",IF(OR(O1239="Cancelled",O1239="No-Show"),"",L1239-N(X1239)-N(Y1239)-AA1239-AB1239))</f>
        <v/>
      </c>
      <c r="AD1239" s="99">
        <f>IF(OR(AC1239="",N(L1239)=0),"",AC1239/L1239)</f>
        <v/>
      </c>
      <c r="AE1239" s="55">
        <f>IF(OR(AC1239="",N(R1239)=0),"",L1239/R1239)</f>
        <v/>
      </c>
      <c r="AF1239" s="100">
        <f>IF(OR(N(K1239)=0,N(J1239)+N(Q1239)=0),"",K1239-IF(N(J1239)&gt;0,J1239,Q1239))</f>
        <v/>
      </c>
      <c r="AG1239" s="99">
        <f>IF(B1239="","",IFERROR(AVERAGEIFS('QUALITY CONTROL'!$M$5:$M$304,'QUALITY CONTROL'!$B$5:$B$304,A1239),""))</f>
        <v/>
      </c>
      <c r="AH1239" s="51">
        <f>IF(B1239="","",DATE(YEAR(B1239),MONTH(B1239),1))</f>
        <v/>
      </c>
      <c r="AI1239" s="49">
        <f>IF(D1239="","",IFERROR(INDEX('CUSTOMERS'!$E$5:$E$404,MATCH(D1239,'CUSTOMERS'!$B$5:$B$404,0)),""))</f>
        <v/>
      </c>
      <c r="AJ1239" s="49">
        <f>IF(B1239="","",N(C1239))</f>
        <v/>
      </c>
      <c r="AK1239" s="49">
        <f>IF(OR(B1239="",O1239="Cancelled",O1239="Rescheduled"),"",B1239&amp;"|"&amp;(COUNTIFS('JOBS'!$B$5:$B$1504,B1239,'JOBS'!$AJ$5:$AJ$1504,"&lt;"&amp;AJ1239,'JOBS'!$O$5:$O$1504,"&lt;&gt;Cancelled",'JOBS'!$O$5:$O$1504,"&lt;&gt;Rescheduled")+COUNTIFS($B$5:B1239,B1239,$AJ$5:AJ1239,AJ1239,$O$5:O1239,"&lt;&gt;Cancelled",$O$5:O1239,"&lt;&gt;Rescheduled")))</f>
        <v/>
      </c>
      <c r="AL1239" s="49">
        <f>IF(N(U1239)&lt;=0.005,"",COUNTIFS('JOBS'!$U$5:$U$1504,"&gt;0.005",'JOBS'!$B$5:$B$1504,"&lt;"&amp;B1239)+COUNTIFS($U$5:U1239,"&gt;0.005",$B$5:B1239,B1239))</f>
        <v/>
      </c>
    </row>
    <row r="1240">
      <c r="A1240" s="46" t="inlineStr">
        <is>
          <t>J-1236</t>
        </is>
      </c>
      <c r="B1240" s="47" t="n"/>
      <c r="C1240" s="94" t="n"/>
      <c r="D1240" s="38" t="n"/>
      <c r="E1240" s="38" t="n"/>
      <c r="F1240" s="38" t="n"/>
      <c r="G1240" s="38" t="n"/>
      <c r="H1240" s="38" t="n"/>
      <c r="I1240" s="57" t="n"/>
      <c r="J1240" s="95" t="n"/>
      <c r="K1240" s="95" t="n"/>
      <c r="L1240" s="48" t="n"/>
      <c r="M1240" s="96" t="n"/>
      <c r="N1240" s="48" t="n"/>
      <c r="O1240" s="38" t="n"/>
      <c r="P1240" s="38" t="n"/>
      <c r="Q1240" s="97">
        <f>IF(OR(F1240="",E1240=""),"",IFERROR(IF(INDEX('PROPERTIES'!$F$5:$F$404,MATCH(E1240,'PROPERTIES'!$B$5:$B$404,0))=0,"",ROUND((INDEX('PROPERTIES'!$F$5:$F$404,MATCH(E1240,'PROPERTIES'!$B$5:$B$404,0))/INDEX('PRICING'!$C$7:$C$16,MATCH(F1240,'PRICING'!$A$7:$A$16,0))+INDEX('PROPERTIES'!$G$5:$G$404,MATCH(E1240,'PROPERTIES'!$B$5:$B$404,0))*INDEX('PRICING'!$D$7:$D$16,MATCH(F1240,'PRICING'!$A$7:$A$16,0))/60+INDEX('PROPERTIES'!$H$5:$H$404,MATCH(E1240,'PROPERTIES'!$B$5:$B$404,0))*INDEX('PRICING'!$E$7:$E$16,MATCH(F1240,'PRICING'!$A$7:$A$16,0))/60+INDEX('PRICING'!$F$7:$F$16,MATCH(F1240,'PRICING'!$A$7:$A$16,0))/60),2)),""))</f>
        <v/>
      </c>
      <c r="R1240" s="97">
        <f>IF(B1240="","",IF(N(K1240)&gt;0,K1240,IF(N(J1240)&gt;0,J1240,N(Q1240))))</f>
        <v/>
      </c>
      <c r="S1240" s="55">
        <f>IF(L1240="","",ROUND(L1240*(1+N(M1240)),2))</f>
        <v/>
      </c>
      <c r="T1240" s="55">
        <f>IF(B1240="","",SUMIFS('REVENUE'!$C$5:$C$1504,'REVENUE'!$B$5:$B$1504,A1240))</f>
        <v/>
      </c>
      <c r="U1240" s="55">
        <f>IF(B1240="","",IF(O1240="Completed",MAX(0,N(S1240)-T1240),""))</f>
        <v/>
      </c>
      <c r="V1240" s="49">
        <f>IF(B1240="","",IF(O1240&lt;&gt;"Completed",IF(T1240&gt;0,"Deposit","—"),IF(U1240&lt;=0.005,"Paid",IF(T1240&gt;0,"Partial","Unpaid"))))</f>
        <v/>
      </c>
      <c r="W1240" s="55">
        <f>IF(B1240="","",IFERROR(1/(1/INDEX('STAFF &amp; TASKS'!$C$5:$C$24,MATCH(H1240,'STAFF &amp; TASKS'!$A$5:$A$24,0))),PayRate))</f>
        <v/>
      </c>
      <c r="X1240" s="55">
        <f>IF(B1240="","",IF(OR(O1240="Cancelled",O1240="No-Show"),"",ROUND(R1240*W1240*(1+Burden),2)))</f>
        <v/>
      </c>
      <c r="Y1240" s="55">
        <f>IF(B1240="","",IF(OR(O1240="Cancelled",O1240="No-Show"),"",IF(N1240&lt;&gt;"",N1240,ROUND(R1240*SupHr*IFERROR(INDEX('PRICING'!$G$7:$G$16,MATCH(F1240,'PRICING'!$A$7:$A$16,0)),1),2))))</f>
        <v/>
      </c>
      <c r="Z1240" s="98">
        <f>IF(B1240="","",SUMIFS('MILEAGE'!$J$5:$J$1504,'MILEAGE'!$B$5:$B$1504,A1240))</f>
        <v/>
      </c>
      <c r="AA1240" s="55">
        <f>IF(B1240="","",ROUND(Z1240*MileRate,2))</f>
        <v/>
      </c>
      <c r="AB1240" s="55">
        <f>IF(B1240="","",SUMIFS('REVENUE'!$J$5:$J$1504,'REVENUE'!$B$5:$B$1504,A1240))</f>
        <v/>
      </c>
      <c r="AC1240" s="55">
        <f>IF(L1240="","",IF(OR(O1240="Cancelled",O1240="No-Show"),"",L1240-N(X1240)-N(Y1240)-AA1240-AB1240))</f>
        <v/>
      </c>
      <c r="AD1240" s="99">
        <f>IF(OR(AC1240="",N(L1240)=0),"",AC1240/L1240)</f>
        <v/>
      </c>
      <c r="AE1240" s="55">
        <f>IF(OR(AC1240="",N(R1240)=0),"",L1240/R1240)</f>
        <v/>
      </c>
      <c r="AF1240" s="100">
        <f>IF(OR(N(K1240)=0,N(J1240)+N(Q1240)=0),"",K1240-IF(N(J1240)&gt;0,J1240,Q1240))</f>
        <v/>
      </c>
      <c r="AG1240" s="99">
        <f>IF(B1240="","",IFERROR(AVERAGEIFS('QUALITY CONTROL'!$M$5:$M$304,'QUALITY CONTROL'!$B$5:$B$304,A1240),""))</f>
        <v/>
      </c>
      <c r="AH1240" s="51">
        <f>IF(B1240="","",DATE(YEAR(B1240),MONTH(B1240),1))</f>
        <v/>
      </c>
      <c r="AI1240" s="49">
        <f>IF(D1240="","",IFERROR(INDEX('CUSTOMERS'!$E$5:$E$404,MATCH(D1240,'CUSTOMERS'!$B$5:$B$404,0)),""))</f>
        <v/>
      </c>
      <c r="AJ1240" s="49">
        <f>IF(B1240="","",N(C1240))</f>
        <v/>
      </c>
      <c r="AK1240" s="49">
        <f>IF(OR(B1240="",O1240="Cancelled",O1240="Rescheduled"),"",B1240&amp;"|"&amp;(COUNTIFS('JOBS'!$B$5:$B$1504,B1240,'JOBS'!$AJ$5:$AJ$1504,"&lt;"&amp;AJ1240,'JOBS'!$O$5:$O$1504,"&lt;&gt;Cancelled",'JOBS'!$O$5:$O$1504,"&lt;&gt;Rescheduled")+COUNTIFS($B$5:B1240,B1240,$AJ$5:AJ1240,AJ1240,$O$5:O1240,"&lt;&gt;Cancelled",$O$5:O1240,"&lt;&gt;Rescheduled")))</f>
        <v/>
      </c>
      <c r="AL1240" s="49">
        <f>IF(N(U1240)&lt;=0.005,"",COUNTIFS('JOBS'!$U$5:$U$1504,"&gt;0.005",'JOBS'!$B$5:$B$1504,"&lt;"&amp;B1240)+COUNTIFS($U$5:U1240,"&gt;0.005",$B$5:B1240,B1240))</f>
        <v/>
      </c>
    </row>
    <row r="1241">
      <c r="A1241" s="46" t="inlineStr">
        <is>
          <t>J-1237</t>
        </is>
      </c>
      <c r="B1241" s="47" t="n"/>
      <c r="C1241" s="94" t="n"/>
      <c r="D1241" s="38" t="n"/>
      <c r="E1241" s="38" t="n"/>
      <c r="F1241" s="38" t="n"/>
      <c r="G1241" s="38" t="n"/>
      <c r="H1241" s="38" t="n"/>
      <c r="I1241" s="57" t="n"/>
      <c r="J1241" s="95" t="n"/>
      <c r="K1241" s="95" t="n"/>
      <c r="L1241" s="48" t="n"/>
      <c r="M1241" s="96" t="n"/>
      <c r="N1241" s="48" t="n"/>
      <c r="O1241" s="38" t="n"/>
      <c r="P1241" s="38" t="n"/>
      <c r="Q1241" s="97">
        <f>IF(OR(F1241="",E1241=""),"",IFERROR(IF(INDEX('PROPERTIES'!$F$5:$F$404,MATCH(E1241,'PROPERTIES'!$B$5:$B$404,0))=0,"",ROUND((INDEX('PROPERTIES'!$F$5:$F$404,MATCH(E1241,'PROPERTIES'!$B$5:$B$404,0))/INDEX('PRICING'!$C$7:$C$16,MATCH(F1241,'PRICING'!$A$7:$A$16,0))+INDEX('PROPERTIES'!$G$5:$G$404,MATCH(E1241,'PROPERTIES'!$B$5:$B$404,0))*INDEX('PRICING'!$D$7:$D$16,MATCH(F1241,'PRICING'!$A$7:$A$16,0))/60+INDEX('PROPERTIES'!$H$5:$H$404,MATCH(E1241,'PROPERTIES'!$B$5:$B$404,0))*INDEX('PRICING'!$E$7:$E$16,MATCH(F1241,'PRICING'!$A$7:$A$16,0))/60+INDEX('PRICING'!$F$7:$F$16,MATCH(F1241,'PRICING'!$A$7:$A$16,0))/60),2)),""))</f>
        <v/>
      </c>
      <c r="R1241" s="97">
        <f>IF(B1241="","",IF(N(K1241)&gt;0,K1241,IF(N(J1241)&gt;0,J1241,N(Q1241))))</f>
        <v/>
      </c>
      <c r="S1241" s="55">
        <f>IF(L1241="","",ROUND(L1241*(1+N(M1241)),2))</f>
        <v/>
      </c>
      <c r="T1241" s="55">
        <f>IF(B1241="","",SUMIFS('REVENUE'!$C$5:$C$1504,'REVENUE'!$B$5:$B$1504,A1241))</f>
        <v/>
      </c>
      <c r="U1241" s="55">
        <f>IF(B1241="","",IF(O1241="Completed",MAX(0,N(S1241)-T1241),""))</f>
        <v/>
      </c>
      <c r="V1241" s="49">
        <f>IF(B1241="","",IF(O1241&lt;&gt;"Completed",IF(T1241&gt;0,"Deposit","—"),IF(U1241&lt;=0.005,"Paid",IF(T1241&gt;0,"Partial","Unpaid"))))</f>
        <v/>
      </c>
      <c r="W1241" s="55">
        <f>IF(B1241="","",IFERROR(1/(1/INDEX('STAFF &amp; TASKS'!$C$5:$C$24,MATCH(H1241,'STAFF &amp; TASKS'!$A$5:$A$24,0))),PayRate))</f>
        <v/>
      </c>
      <c r="X1241" s="55">
        <f>IF(B1241="","",IF(OR(O1241="Cancelled",O1241="No-Show"),"",ROUND(R1241*W1241*(1+Burden),2)))</f>
        <v/>
      </c>
      <c r="Y1241" s="55">
        <f>IF(B1241="","",IF(OR(O1241="Cancelled",O1241="No-Show"),"",IF(N1241&lt;&gt;"",N1241,ROUND(R1241*SupHr*IFERROR(INDEX('PRICING'!$G$7:$G$16,MATCH(F1241,'PRICING'!$A$7:$A$16,0)),1),2))))</f>
        <v/>
      </c>
      <c r="Z1241" s="98">
        <f>IF(B1241="","",SUMIFS('MILEAGE'!$J$5:$J$1504,'MILEAGE'!$B$5:$B$1504,A1241))</f>
        <v/>
      </c>
      <c r="AA1241" s="55">
        <f>IF(B1241="","",ROUND(Z1241*MileRate,2))</f>
        <v/>
      </c>
      <c r="AB1241" s="55">
        <f>IF(B1241="","",SUMIFS('REVENUE'!$J$5:$J$1504,'REVENUE'!$B$5:$B$1504,A1241))</f>
        <v/>
      </c>
      <c r="AC1241" s="55">
        <f>IF(L1241="","",IF(OR(O1241="Cancelled",O1241="No-Show"),"",L1241-N(X1241)-N(Y1241)-AA1241-AB1241))</f>
        <v/>
      </c>
      <c r="AD1241" s="99">
        <f>IF(OR(AC1241="",N(L1241)=0),"",AC1241/L1241)</f>
        <v/>
      </c>
      <c r="AE1241" s="55">
        <f>IF(OR(AC1241="",N(R1241)=0),"",L1241/R1241)</f>
        <v/>
      </c>
      <c r="AF1241" s="100">
        <f>IF(OR(N(K1241)=0,N(J1241)+N(Q1241)=0),"",K1241-IF(N(J1241)&gt;0,J1241,Q1241))</f>
        <v/>
      </c>
      <c r="AG1241" s="99">
        <f>IF(B1241="","",IFERROR(AVERAGEIFS('QUALITY CONTROL'!$M$5:$M$304,'QUALITY CONTROL'!$B$5:$B$304,A1241),""))</f>
        <v/>
      </c>
      <c r="AH1241" s="51">
        <f>IF(B1241="","",DATE(YEAR(B1241),MONTH(B1241),1))</f>
        <v/>
      </c>
      <c r="AI1241" s="49">
        <f>IF(D1241="","",IFERROR(INDEX('CUSTOMERS'!$E$5:$E$404,MATCH(D1241,'CUSTOMERS'!$B$5:$B$404,0)),""))</f>
        <v/>
      </c>
      <c r="AJ1241" s="49">
        <f>IF(B1241="","",N(C1241))</f>
        <v/>
      </c>
      <c r="AK1241" s="49">
        <f>IF(OR(B1241="",O1241="Cancelled",O1241="Rescheduled"),"",B1241&amp;"|"&amp;(COUNTIFS('JOBS'!$B$5:$B$1504,B1241,'JOBS'!$AJ$5:$AJ$1504,"&lt;"&amp;AJ1241,'JOBS'!$O$5:$O$1504,"&lt;&gt;Cancelled",'JOBS'!$O$5:$O$1504,"&lt;&gt;Rescheduled")+COUNTIFS($B$5:B1241,B1241,$AJ$5:AJ1241,AJ1241,$O$5:O1241,"&lt;&gt;Cancelled",$O$5:O1241,"&lt;&gt;Rescheduled")))</f>
        <v/>
      </c>
      <c r="AL1241" s="49">
        <f>IF(N(U1241)&lt;=0.005,"",COUNTIFS('JOBS'!$U$5:$U$1504,"&gt;0.005",'JOBS'!$B$5:$B$1504,"&lt;"&amp;B1241)+COUNTIFS($U$5:U1241,"&gt;0.005",$B$5:B1241,B1241))</f>
        <v/>
      </c>
    </row>
    <row r="1242">
      <c r="A1242" s="46" t="inlineStr">
        <is>
          <t>J-1238</t>
        </is>
      </c>
      <c r="B1242" s="47" t="n"/>
      <c r="C1242" s="94" t="n"/>
      <c r="D1242" s="38" t="n"/>
      <c r="E1242" s="38" t="n"/>
      <c r="F1242" s="38" t="n"/>
      <c r="G1242" s="38" t="n"/>
      <c r="H1242" s="38" t="n"/>
      <c r="I1242" s="57" t="n"/>
      <c r="J1242" s="95" t="n"/>
      <c r="K1242" s="95" t="n"/>
      <c r="L1242" s="48" t="n"/>
      <c r="M1242" s="96" t="n"/>
      <c r="N1242" s="48" t="n"/>
      <c r="O1242" s="38" t="n"/>
      <c r="P1242" s="38" t="n"/>
      <c r="Q1242" s="97">
        <f>IF(OR(F1242="",E1242=""),"",IFERROR(IF(INDEX('PROPERTIES'!$F$5:$F$404,MATCH(E1242,'PROPERTIES'!$B$5:$B$404,0))=0,"",ROUND((INDEX('PROPERTIES'!$F$5:$F$404,MATCH(E1242,'PROPERTIES'!$B$5:$B$404,0))/INDEX('PRICING'!$C$7:$C$16,MATCH(F1242,'PRICING'!$A$7:$A$16,0))+INDEX('PROPERTIES'!$G$5:$G$404,MATCH(E1242,'PROPERTIES'!$B$5:$B$404,0))*INDEX('PRICING'!$D$7:$D$16,MATCH(F1242,'PRICING'!$A$7:$A$16,0))/60+INDEX('PROPERTIES'!$H$5:$H$404,MATCH(E1242,'PROPERTIES'!$B$5:$B$404,0))*INDEX('PRICING'!$E$7:$E$16,MATCH(F1242,'PRICING'!$A$7:$A$16,0))/60+INDEX('PRICING'!$F$7:$F$16,MATCH(F1242,'PRICING'!$A$7:$A$16,0))/60),2)),""))</f>
        <v/>
      </c>
      <c r="R1242" s="97">
        <f>IF(B1242="","",IF(N(K1242)&gt;0,K1242,IF(N(J1242)&gt;0,J1242,N(Q1242))))</f>
        <v/>
      </c>
      <c r="S1242" s="55">
        <f>IF(L1242="","",ROUND(L1242*(1+N(M1242)),2))</f>
        <v/>
      </c>
      <c r="T1242" s="55">
        <f>IF(B1242="","",SUMIFS('REVENUE'!$C$5:$C$1504,'REVENUE'!$B$5:$B$1504,A1242))</f>
        <v/>
      </c>
      <c r="U1242" s="55">
        <f>IF(B1242="","",IF(O1242="Completed",MAX(0,N(S1242)-T1242),""))</f>
        <v/>
      </c>
      <c r="V1242" s="49">
        <f>IF(B1242="","",IF(O1242&lt;&gt;"Completed",IF(T1242&gt;0,"Deposit","—"),IF(U1242&lt;=0.005,"Paid",IF(T1242&gt;0,"Partial","Unpaid"))))</f>
        <v/>
      </c>
      <c r="W1242" s="55">
        <f>IF(B1242="","",IFERROR(1/(1/INDEX('STAFF &amp; TASKS'!$C$5:$C$24,MATCH(H1242,'STAFF &amp; TASKS'!$A$5:$A$24,0))),PayRate))</f>
        <v/>
      </c>
      <c r="X1242" s="55">
        <f>IF(B1242="","",IF(OR(O1242="Cancelled",O1242="No-Show"),"",ROUND(R1242*W1242*(1+Burden),2)))</f>
        <v/>
      </c>
      <c r="Y1242" s="55">
        <f>IF(B1242="","",IF(OR(O1242="Cancelled",O1242="No-Show"),"",IF(N1242&lt;&gt;"",N1242,ROUND(R1242*SupHr*IFERROR(INDEX('PRICING'!$G$7:$G$16,MATCH(F1242,'PRICING'!$A$7:$A$16,0)),1),2))))</f>
        <v/>
      </c>
      <c r="Z1242" s="98">
        <f>IF(B1242="","",SUMIFS('MILEAGE'!$J$5:$J$1504,'MILEAGE'!$B$5:$B$1504,A1242))</f>
        <v/>
      </c>
      <c r="AA1242" s="55">
        <f>IF(B1242="","",ROUND(Z1242*MileRate,2))</f>
        <v/>
      </c>
      <c r="AB1242" s="55">
        <f>IF(B1242="","",SUMIFS('REVENUE'!$J$5:$J$1504,'REVENUE'!$B$5:$B$1504,A1242))</f>
        <v/>
      </c>
      <c r="AC1242" s="55">
        <f>IF(L1242="","",IF(OR(O1242="Cancelled",O1242="No-Show"),"",L1242-N(X1242)-N(Y1242)-AA1242-AB1242))</f>
        <v/>
      </c>
      <c r="AD1242" s="99">
        <f>IF(OR(AC1242="",N(L1242)=0),"",AC1242/L1242)</f>
        <v/>
      </c>
      <c r="AE1242" s="55">
        <f>IF(OR(AC1242="",N(R1242)=0),"",L1242/R1242)</f>
        <v/>
      </c>
      <c r="AF1242" s="100">
        <f>IF(OR(N(K1242)=0,N(J1242)+N(Q1242)=0),"",K1242-IF(N(J1242)&gt;0,J1242,Q1242))</f>
        <v/>
      </c>
      <c r="AG1242" s="99">
        <f>IF(B1242="","",IFERROR(AVERAGEIFS('QUALITY CONTROL'!$M$5:$M$304,'QUALITY CONTROL'!$B$5:$B$304,A1242),""))</f>
        <v/>
      </c>
      <c r="AH1242" s="51">
        <f>IF(B1242="","",DATE(YEAR(B1242),MONTH(B1242),1))</f>
        <v/>
      </c>
      <c r="AI1242" s="49">
        <f>IF(D1242="","",IFERROR(INDEX('CUSTOMERS'!$E$5:$E$404,MATCH(D1242,'CUSTOMERS'!$B$5:$B$404,0)),""))</f>
        <v/>
      </c>
      <c r="AJ1242" s="49">
        <f>IF(B1242="","",N(C1242))</f>
        <v/>
      </c>
      <c r="AK1242" s="49">
        <f>IF(OR(B1242="",O1242="Cancelled",O1242="Rescheduled"),"",B1242&amp;"|"&amp;(COUNTIFS('JOBS'!$B$5:$B$1504,B1242,'JOBS'!$AJ$5:$AJ$1504,"&lt;"&amp;AJ1242,'JOBS'!$O$5:$O$1504,"&lt;&gt;Cancelled",'JOBS'!$O$5:$O$1504,"&lt;&gt;Rescheduled")+COUNTIFS($B$5:B1242,B1242,$AJ$5:AJ1242,AJ1242,$O$5:O1242,"&lt;&gt;Cancelled",$O$5:O1242,"&lt;&gt;Rescheduled")))</f>
        <v/>
      </c>
      <c r="AL1242" s="49">
        <f>IF(N(U1242)&lt;=0.005,"",COUNTIFS('JOBS'!$U$5:$U$1504,"&gt;0.005",'JOBS'!$B$5:$B$1504,"&lt;"&amp;B1242)+COUNTIFS($U$5:U1242,"&gt;0.005",$B$5:B1242,B1242))</f>
        <v/>
      </c>
    </row>
    <row r="1243">
      <c r="A1243" s="46" t="inlineStr">
        <is>
          <t>J-1239</t>
        </is>
      </c>
      <c r="B1243" s="47" t="n"/>
      <c r="C1243" s="94" t="n"/>
      <c r="D1243" s="38" t="n"/>
      <c r="E1243" s="38" t="n"/>
      <c r="F1243" s="38" t="n"/>
      <c r="G1243" s="38" t="n"/>
      <c r="H1243" s="38" t="n"/>
      <c r="I1243" s="57" t="n"/>
      <c r="J1243" s="95" t="n"/>
      <c r="K1243" s="95" t="n"/>
      <c r="L1243" s="48" t="n"/>
      <c r="M1243" s="96" t="n"/>
      <c r="N1243" s="48" t="n"/>
      <c r="O1243" s="38" t="n"/>
      <c r="P1243" s="38" t="n"/>
      <c r="Q1243" s="97">
        <f>IF(OR(F1243="",E1243=""),"",IFERROR(IF(INDEX('PROPERTIES'!$F$5:$F$404,MATCH(E1243,'PROPERTIES'!$B$5:$B$404,0))=0,"",ROUND((INDEX('PROPERTIES'!$F$5:$F$404,MATCH(E1243,'PROPERTIES'!$B$5:$B$404,0))/INDEX('PRICING'!$C$7:$C$16,MATCH(F1243,'PRICING'!$A$7:$A$16,0))+INDEX('PROPERTIES'!$G$5:$G$404,MATCH(E1243,'PROPERTIES'!$B$5:$B$404,0))*INDEX('PRICING'!$D$7:$D$16,MATCH(F1243,'PRICING'!$A$7:$A$16,0))/60+INDEX('PROPERTIES'!$H$5:$H$404,MATCH(E1243,'PROPERTIES'!$B$5:$B$404,0))*INDEX('PRICING'!$E$7:$E$16,MATCH(F1243,'PRICING'!$A$7:$A$16,0))/60+INDEX('PRICING'!$F$7:$F$16,MATCH(F1243,'PRICING'!$A$7:$A$16,0))/60),2)),""))</f>
        <v/>
      </c>
      <c r="R1243" s="97">
        <f>IF(B1243="","",IF(N(K1243)&gt;0,K1243,IF(N(J1243)&gt;0,J1243,N(Q1243))))</f>
        <v/>
      </c>
      <c r="S1243" s="55">
        <f>IF(L1243="","",ROUND(L1243*(1+N(M1243)),2))</f>
        <v/>
      </c>
      <c r="T1243" s="55">
        <f>IF(B1243="","",SUMIFS('REVENUE'!$C$5:$C$1504,'REVENUE'!$B$5:$B$1504,A1243))</f>
        <v/>
      </c>
      <c r="U1243" s="55">
        <f>IF(B1243="","",IF(O1243="Completed",MAX(0,N(S1243)-T1243),""))</f>
        <v/>
      </c>
      <c r="V1243" s="49">
        <f>IF(B1243="","",IF(O1243&lt;&gt;"Completed",IF(T1243&gt;0,"Deposit","—"),IF(U1243&lt;=0.005,"Paid",IF(T1243&gt;0,"Partial","Unpaid"))))</f>
        <v/>
      </c>
      <c r="W1243" s="55">
        <f>IF(B1243="","",IFERROR(1/(1/INDEX('STAFF &amp; TASKS'!$C$5:$C$24,MATCH(H1243,'STAFF &amp; TASKS'!$A$5:$A$24,0))),PayRate))</f>
        <v/>
      </c>
      <c r="X1243" s="55">
        <f>IF(B1243="","",IF(OR(O1243="Cancelled",O1243="No-Show"),"",ROUND(R1243*W1243*(1+Burden),2)))</f>
        <v/>
      </c>
      <c r="Y1243" s="55">
        <f>IF(B1243="","",IF(OR(O1243="Cancelled",O1243="No-Show"),"",IF(N1243&lt;&gt;"",N1243,ROUND(R1243*SupHr*IFERROR(INDEX('PRICING'!$G$7:$G$16,MATCH(F1243,'PRICING'!$A$7:$A$16,0)),1),2))))</f>
        <v/>
      </c>
      <c r="Z1243" s="98">
        <f>IF(B1243="","",SUMIFS('MILEAGE'!$J$5:$J$1504,'MILEAGE'!$B$5:$B$1504,A1243))</f>
        <v/>
      </c>
      <c r="AA1243" s="55">
        <f>IF(B1243="","",ROUND(Z1243*MileRate,2))</f>
        <v/>
      </c>
      <c r="AB1243" s="55">
        <f>IF(B1243="","",SUMIFS('REVENUE'!$J$5:$J$1504,'REVENUE'!$B$5:$B$1504,A1243))</f>
        <v/>
      </c>
      <c r="AC1243" s="55">
        <f>IF(L1243="","",IF(OR(O1243="Cancelled",O1243="No-Show"),"",L1243-N(X1243)-N(Y1243)-AA1243-AB1243))</f>
        <v/>
      </c>
      <c r="AD1243" s="99">
        <f>IF(OR(AC1243="",N(L1243)=0),"",AC1243/L1243)</f>
        <v/>
      </c>
      <c r="AE1243" s="55">
        <f>IF(OR(AC1243="",N(R1243)=0),"",L1243/R1243)</f>
        <v/>
      </c>
      <c r="AF1243" s="100">
        <f>IF(OR(N(K1243)=0,N(J1243)+N(Q1243)=0),"",K1243-IF(N(J1243)&gt;0,J1243,Q1243))</f>
        <v/>
      </c>
      <c r="AG1243" s="99">
        <f>IF(B1243="","",IFERROR(AVERAGEIFS('QUALITY CONTROL'!$M$5:$M$304,'QUALITY CONTROL'!$B$5:$B$304,A1243),""))</f>
        <v/>
      </c>
      <c r="AH1243" s="51">
        <f>IF(B1243="","",DATE(YEAR(B1243),MONTH(B1243),1))</f>
        <v/>
      </c>
      <c r="AI1243" s="49">
        <f>IF(D1243="","",IFERROR(INDEX('CUSTOMERS'!$E$5:$E$404,MATCH(D1243,'CUSTOMERS'!$B$5:$B$404,0)),""))</f>
        <v/>
      </c>
      <c r="AJ1243" s="49">
        <f>IF(B1243="","",N(C1243))</f>
        <v/>
      </c>
      <c r="AK1243" s="49">
        <f>IF(OR(B1243="",O1243="Cancelled",O1243="Rescheduled"),"",B1243&amp;"|"&amp;(COUNTIFS('JOBS'!$B$5:$B$1504,B1243,'JOBS'!$AJ$5:$AJ$1504,"&lt;"&amp;AJ1243,'JOBS'!$O$5:$O$1504,"&lt;&gt;Cancelled",'JOBS'!$O$5:$O$1504,"&lt;&gt;Rescheduled")+COUNTIFS($B$5:B1243,B1243,$AJ$5:AJ1243,AJ1243,$O$5:O1243,"&lt;&gt;Cancelled",$O$5:O1243,"&lt;&gt;Rescheduled")))</f>
        <v/>
      </c>
      <c r="AL1243" s="49">
        <f>IF(N(U1243)&lt;=0.005,"",COUNTIFS('JOBS'!$U$5:$U$1504,"&gt;0.005",'JOBS'!$B$5:$B$1504,"&lt;"&amp;B1243)+COUNTIFS($U$5:U1243,"&gt;0.005",$B$5:B1243,B1243))</f>
        <v/>
      </c>
    </row>
    <row r="1244">
      <c r="A1244" s="46" t="inlineStr">
        <is>
          <t>J-1240</t>
        </is>
      </c>
      <c r="B1244" s="47" t="n"/>
      <c r="C1244" s="94" t="n"/>
      <c r="D1244" s="38" t="n"/>
      <c r="E1244" s="38" t="n"/>
      <c r="F1244" s="38" t="n"/>
      <c r="G1244" s="38" t="n"/>
      <c r="H1244" s="38" t="n"/>
      <c r="I1244" s="57" t="n"/>
      <c r="J1244" s="95" t="n"/>
      <c r="K1244" s="95" t="n"/>
      <c r="L1244" s="48" t="n"/>
      <c r="M1244" s="96" t="n"/>
      <c r="N1244" s="48" t="n"/>
      <c r="O1244" s="38" t="n"/>
      <c r="P1244" s="38" t="n"/>
      <c r="Q1244" s="97">
        <f>IF(OR(F1244="",E1244=""),"",IFERROR(IF(INDEX('PROPERTIES'!$F$5:$F$404,MATCH(E1244,'PROPERTIES'!$B$5:$B$404,0))=0,"",ROUND((INDEX('PROPERTIES'!$F$5:$F$404,MATCH(E1244,'PROPERTIES'!$B$5:$B$404,0))/INDEX('PRICING'!$C$7:$C$16,MATCH(F1244,'PRICING'!$A$7:$A$16,0))+INDEX('PROPERTIES'!$G$5:$G$404,MATCH(E1244,'PROPERTIES'!$B$5:$B$404,0))*INDEX('PRICING'!$D$7:$D$16,MATCH(F1244,'PRICING'!$A$7:$A$16,0))/60+INDEX('PROPERTIES'!$H$5:$H$404,MATCH(E1244,'PROPERTIES'!$B$5:$B$404,0))*INDEX('PRICING'!$E$7:$E$16,MATCH(F1244,'PRICING'!$A$7:$A$16,0))/60+INDEX('PRICING'!$F$7:$F$16,MATCH(F1244,'PRICING'!$A$7:$A$16,0))/60),2)),""))</f>
        <v/>
      </c>
      <c r="R1244" s="97">
        <f>IF(B1244="","",IF(N(K1244)&gt;0,K1244,IF(N(J1244)&gt;0,J1244,N(Q1244))))</f>
        <v/>
      </c>
      <c r="S1244" s="55">
        <f>IF(L1244="","",ROUND(L1244*(1+N(M1244)),2))</f>
        <v/>
      </c>
      <c r="T1244" s="55">
        <f>IF(B1244="","",SUMIFS('REVENUE'!$C$5:$C$1504,'REVENUE'!$B$5:$B$1504,A1244))</f>
        <v/>
      </c>
      <c r="U1244" s="55">
        <f>IF(B1244="","",IF(O1244="Completed",MAX(0,N(S1244)-T1244),""))</f>
        <v/>
      </c>
      <c r="V1244" s="49">
        <f>IF(B1244="","",IF(O1244&lt;&gt;"Completed",IF(T1244&gt;0,"Deposit","—"),IF(U1244&lt;=0.005,"Paid",IF(T1244&gt;0,"Partial","Unpaid"))))</f>
        <v/>
      </c>
      <c r="W1244" s="55">
        <f>IF(B1244="","",IFERROR(1/(1/INDEX('STAFF &amp; TASKS'!$C$5:$C$24,MATCH(H1244,'STAFF &amp; TASKS'!$A$5:$A$24,0))),PayRate))</f>
        <v/>
      </c>
      <c r="X1244" s="55">
        <f>IF(B1244="","",IF(OR(O1244="Cancelled",O1244="No-Show"),"",ROUND(R1244*W1244*(1+Burden),2)))</f>
        <v/>
      </c>
      <c r="Y1244" s="55">
        <f>IF(B1244="","",IF(OR(O1244="Cancelled",O1244="No-Show"),"",IF(N1244&lt;&gt;"",N1244,ROUND(R1244*SupHr*IFERROR(INDEX('PRICING'!$G$7:$G$16,MATCH(F1244,'PRICING'!$A$7:$A$16,0)),1),2))))</f>
        <v/>
      </c>
      <c r="Z1244" s="98">
        <f>IF(B1244="","",SUMIFS('MILEAGE'!$J$5:$J$1504,'MILEAGE'!$B$5:$B$1504,A1244))</f>
        <v/>
      </c>
      <c r="AA1244" s="55">
        <f>IF(B1244="","",ROUND(Z1244*MileRate,2))</f>
        <v/>
      </c>
      <c r="AB1244" s="55">
        <f>IF(B1244="","",SUMIFS('REVENUE'!$J$5:$J$1504,'REVENUE'!$B$5:$B$1504,A1244))</f>
        <v/>
      </c>
      <c r="AC1244" s="55">
        <f>IF(L1244="","",IF(OR(O1244="Cancelled",O1244="No-Show"),"",L1244-N(X1244)-N(Y1244)-AA1244-AB1244))</f>
        <v/>
      </c>
      <c r="AD1244" s="99">
        <f>IF(OR(AC1244="",N(L1244)=0),"",AC1244/L1244)</f>
        <v/>
      </c>
      <c r="AE1244" s="55">
        <f>IF(OR(AC1244="",N(R1244)=0),"",L1244/R1244)</f>
        <v/>
      </c>
      <c r="AF1244" s="100">
        <f>IF(OR(N(K1244)=0,N(J1244)+N(Q1244)=0),"",K1244-IF(N(J1244)&gt;0,J1244,Q1244))</f>
        <v/>
      </c>
      <c r="AG1244" s="99">
        <f>IF(B1244="","",IFERROR(AVERAGEIFS('QUALITY CONTROL'!$M$5:$M$304,'QUALITY CONTROL'!$B$5:$B$304,A1244),""))</f>
        <v/>
      </c>
      <c r="AH1244" s="51">
        <f>IF(B1244="","",DATE(YEAR(B1244),MONTH(B1244),1))</f>
        <v/>
      </c>
      <c r="AI1244" s="49">
        <f>IF(D1244="","",IFERROR(INDEX('CUSTOMERS'!$E$5:$E$404,MATCH(D1244,'CUSTOMERS'!$B$5:$B$404,0)),""))</f>
        <v/>
      </c>
      <c r="AJ1244" s="49">
        <f>IF(B1244="","",N(C1244))</f>
        <v/>
      </c>
      <c r="AK1244" s="49">
        <f>IF(OR(B1244="",O1244="Cancelled",O1244="Rescheduled"),"",B1244&amp;"|"&amp;(COUNTIFS('JOBS'!$B$5:$B$1504,B1244,'JOBS'!$AJ$5:$AJ$1504,"&lt;"&amp;AJ1244,'JOBS'!$O$5:$O$1504,"&lt;&gt;Cancelled",'JOBS'!$O$5:$O$1504,"&lt;&gt;Rescheduled")+COUNTIFS($B$5:B1244,B1244,$AJ$5:AJ1244,AJ1244,$O$5:O1244,"&lt;&gt;Cancelled",$O$5:O1244,"&lt;&gt;Rescheduled")))</f>
        <v/>
      </c>
      <c r="AL1244" s="49">
        <f>IF(N(U1244)&lt;=0.005,"",COUNTIFS('JOBS'!$U$5:$U$1504,"&gt;0.005",'JOBS'!$B$5:$B$1504,"&lt;"&amp;B1244)+COUNTIFS($U$5:U1244,"&gt;0.005",$B$5:B1244,B1244))</f>
        <v/>
      </c>
    </row>
    <row r="1245">
      <c r="A1245" s="46" t="inlineStr">
        <is>
          <t>J-1241</t>
        </is>
      </c>
      <c r="B1245" s="47" t="n"/>
      <c r="C1245" s="94" t="n"/>
      <c r="D1245" s="38" t="n"/>
      <c r="E1245" s="38" t="n"/>
      <c r="F1245" s="38" t="n"/>
      <c r="G1245" s="38" t="n"/>
      <c r="H1245" s="38" t="n"/>
      <c r="I1245" s="57" t="n"/>
      <c r="J1245" s="95" t="n"/>
      <c r="K1245" s="95" t="n"/>
      <c r="L1245" s="48" t="n"/>
      <c r="M1245" s="96" t="n"/>
      <c r="N1245" s="48" t="n"/>
      <c r="O1245" s="38" t="n"/>
      <c r="P1245" s="38" t="n"/>
      <c r="Q1245" s="97">
        <f>IF(OR(F1245="",E1245=""),"",IFERROR(IF(INDEX('PROPERTIES'!$F$5:$F$404,MATCH(E1245,'PROPERTIES'!$B$5:$B$404,0))=0,"",ROUND((INDEX('PROPERTIES'!$F$5:$F$404,MATCH(E1245,'PROPERTIES'!$B$5:$B$404,0))/INDEX('PRICING'!$C$7:$C$16,MATCH(F1245,'PRICING'!$A$7:$A$16,0))+INDEX('PROPERTIES'!$G$5:$G$404,MATCH(E1245,'PROPERTIES'!$B$5:$B$404,0))*INDEX('PRICING'!$D$7:$D$16,MATCH(F1245,'PRICING'!$A$7:$A$16,0))/60+INDEX('PROPERTIES'!$H$5:$H$404,MATCH(E1245,'PROPERTIES'!$B$5:$B$404,0))*INDEX('PRICING'!$E$7:$E$16,MATCH(F1245,'PRICING'!$A$7:$A$16,0))/60+INDEX('PRICING'!$F$7:$F$16,MATCH(F1245,'PRICING'!$A$7:$A$16,0))/60),2)),""))</f>
        <v/>
      </c>
      <c r="R1245" s="97">
        <f>IF(B1245="","",IF(N(K1245)&gt;0,K1245,IF(N(J1245)&gt;0,J1245,N(Q1245))))</f>
        <v/>
      </c>
      <c r="S1245" s="55">
        <f>IF(L1245="","",ROUND(L1245*(1+N(M1245)),2))</f>
        <v/>
      </c>
      <c r="T1245" s="55">
        <f>IF(B1245="","",SUMIFS('REVENUE'!$C$5:$C$1504,'REVENUE'!$B$5:$B$1504,A1245))</f>
        <v/>
      </c>
      <c r="U1245" s="55">
        <f>IF(B1245="","",IF(O1245="Completed",MAX(0,N(S1245)-T1245),""))</f>
        <v/>
      </c>
      <c r="V1245" s="49">
        <f>IF(B1245="","",IF(O1245&lt;&gt;"Completed",IF(T1245&gt;0,"Deposit","—"),IF(U1245&lt;=0.005,"Paid",IF(T1245&gt;0,"Partial","Unpaid"))))</f>
        <v/>
      </c>
      <c r="W1245" s="55">
        <f>IF(B1245="","",IFERROR(1/(1/INDEX('STAFF &amp; TASKS'!$C$5:$C$24,MATCH(H1245,'STAFF &amp; TASKS'!$A$5:$A$24,0))),PayRate))</f>
        <v/>
      </c>
      <c r="X1245" s="55">
        <f>IF(B1245="","",IF(OR(O1245="Cancelled",O1245="No-Show"),"",ROUND(R1245*W1245*(1+Burden),2)))</f>
        <v/>
      </c>
      <c r="Y1245" s="55">
        <f>IF(B1245="","",IF(OR(O1245="Cancelled",O1245="No-Show"),"",IF(N1245&lt;&gt;"",N1245,ROUND(R1245*SupHr*IFERROR(INDEX('PRICING'!$G$7:$G$16,MATCH(F1245,'PRICING'!$A$7:$A$16,0)),1),2))))</f>
        <v/>
      </c>
      <c r="Z1245" s="98">
        <f>IF(B1245="","",SUMIFS('MILEAGE'!$J$5:$J$1504,'MILEAGE'!$B$5:$B$1504,A1245))</f>
        <v/>
      </c>
      <c r="AA1245" s="55">
        <f>IF(B1245="","",ROUND(Z1245*MileRate,2))</f>
        <v/>
      </c>
      <c r="AB1245" s="55">
        <f>IF(B1245="","",SUMIFS('REVENUE'!$J$5:$J$1504,'REVENUE'!$B$5:$B$1504,A1245))</f>
        <v/>
      </c>
      <c r="AC1245" s="55">
        <f>IF(L1245="","",IF(OR(O1245="Cancelled",O1245="No-Show"),"",L1245-N(X1245)-N(Y1245)-AA1245-AB1245))</f>
        <v/>
      </c>
      <c r="AD1245" s="99">
        <f>IF(OR(AC1245="",N(L1245)=0),"",AC1245/L1245)</f>
        <v/>
      </c>
      <c r="AE1245" s="55">
        <f>IF(OR(AC1245="",N(R1245)=0),"",L1245/R1245)</f>
        <v/>
      </c>
      <c r="AF1245" s="100">
        <f>IF(OR(N(K1245)=0,N(J1245)+N(Q1245)=0),"",K1245-IF(N(J1245)&gt;0,J1245,Q1245))</f>
        <v/>
      </c>
      <c r="AG1245" s="99">
        <f>IF(B1245="","",IFERROR(AVERAGEIFS('QUALITY CONTROL'!$M$5:$M$304,'QUALITY CONTROL'!$B$5:$B$304,A1245),""))</f>
        <v/>
      </c>
      <c r="AH1245" s="51">
        <f>IF(B1245="","",DATE(YEAR(B1245),MONTH(B1245),1))</f>
        <v/>
      </c>
      <c r="AI1245" s="49">
        <f>IF(D1245="","",IFERROR(INDEX('CUSTOMERS'!$E$5:$E$404,MATCH(D1245,'CUSTOMERS'!$B$5:$B$404,0)),""))</f>
        <v/>
      </c>
      <c r="AJ1245" s="49">
        <f>IF(B1245="","",N(C1245))</f>
        <v/>
      </c>
      <c r="AK1245" s="49">
        <f>IF(OR(B1245="",O1245="Cancelled",O1245="Rescheduled"),"",B1245&amp;"|"&amp;(COUNTIFS('JOBS'!$B$5:$B$1504,B1245,'JOBS'!$AJ$5:$AJ$1504,"&lt;"&amp;AJ1245,'JOBS'!$O$5:$O$1504,"&lt;&gt;Cancelled",'JOBS'!$O$5:$O$1504,"&lt;&gt;Rescheduled")+COUNTIFS($B$5:B1245,B1245,$AJ$5:AJ1245,AJ1245,$O$5:O1245,"&lt;&gt;Cancelled",$O$5:O1245,"&lt;&gt;Rescheduled")))</f>
        <v/>
      </c>
      <c r="AL1245" s="49">
        <f>IF(N(U1245)&lt;=0.005,"",COUNTIFS('JOBS'!$U$5:$U$1504,"&gt;0.005",'JOBS'!$B$5:$B$1504,"&lt;"&amp;B1245)+COUNTIFS($U$5:U1245,"&gt;0.005",$B$5:B1245,B1245))</f>
        <v/>
      </c>
    </row>
    <row r="1246">
      <c r="A1246" s="46" t="inlineStr">
        <is>
          <t>J-1242</t>
        </is>
      </c>
      <c r="B1246" s="47" t="n"/>
      <c r="C1246" s="94" t="n"/>
      <c r="D1246" s="38" t="n"/>
      <c r="E1246" s="38" t="n"/>
      <c r="F1246" s="38" t="n"/>
      <c r="G1246" s="38" t="n"/>
      <c r="H1246" s="38" t="n"/>
      <c r="I1246" s="57" t="n"/>
      <c r="J1246" s="95" t="n"/>
      <c r="K1246" s="95" t="n"/>
      <c r="L1246" s="48" t="n"/>
      <c r="M1246" s="96" t="n"/>
      <c r="N1246" s="48" t="n"/>
      <c r="O1246" s="38" t="n"/>
      <c r="P1246" s="38" t="n"/>
      <c r="Q1246" s="97">
        <f>IF(OR(F1246="",E1246=""),"",IFERROR(IF(INDEX('PROPERTIES'!$F$5:$F$404,MATCH(E1246,'PROPERTIES'!$B$5:$B$404,0))=0,"",ROUND((INDEX('PROPERTIES'!$F$5:$F$404,MATCH(E1246,'PROPERTIES'!$B$5:$B$404,0))/INDEX('PRICING'!$C$7:$C$16,MATCH(F1246,'PRICING'!$A$7:$A$16,0))+INDEX('PROPERTIES'!$G$5:$G$404,MATCH(E1246,'PROPERTIES'!$B$5:$B$404,0))*INDEX('PRICING'!$D$7:$D$16,MATCH(F1246,'PRICING'!$A$7:$A$16,0))/60+INDEX('PROPERTIES'!$H$5:$H$404,MATCH(E1246,'PROPERTIES'!$B$5:$B$404,0))*INDEX('PRICING'!$E$7:$E$16,MATCH(F1246,'PRICING'!$A$7:$A$16,0))/60+INDEX('PRICING'!$F$7:$F$16,MATCH(F1246,'PRICING'!$A$7:$A$16,0))/60),2)),""))</f>
        <v/>
      </c>
      <c r="R1246" s="97">
        <f>IF(B1246="","",IF(N(K1246)&gt;0,K1246,IF(N(J1246)&gt;0,J1246,N(Q1246))))</f>
        <v/>
      </c>
      <c r="S1246" s="55">
        <f>IF(L1246="","",ROUND(L1246*(1+N(M1246)),2))</f>
        <v/>
      </c>
      <c r="T1246" s="55">
        <f>IF(B1246="","",SUMIFS('REVENUE'!$C$5:$C$1504,'REVENUE'!$B$5:$B$1504,A1246))</f>
        <v/>
      </c>
      <c r="U1246" s="55">
        <f>IF(B1246="","",IF(O1246="Completed",MAX(0,N(S1246)-T1246),""))</f>
        <v/>
      </c>
      <c r="V1246" s="49">
        <f>IF(B1246="","",IF(O1246&lt;&gt;"Completed",IF(T1246&gt;0,"Deposit","—"),IF(U1246&lt;=0.005,"Paid",IF(T1246&gt;0,"Partial","Unpaid"))))</f>
        <v/>
      </c>
      <c r="W1246" s="55">
        <f>IF(B1246="","",IFERROR(1/(1/INDEX('STAFF &amp; TASKS'!$C$5:$C$24,MATCH(H1246,'STAFF &amp; TASKS'!$A$5:$A$24,0))),PayRate))</f>
        <v/>
      </c>
      <c r="X1246" s="55">
        <f>IF(B1246="","",IF(OR(O1246="Cancelled",O1246="No-Show"),"",ROUND(R1246*W1246*(1+Burden),2)))</f>
        <v/>
      </c>
      <c r="Y1246" s="55">
        <f>IF(B1246="","",IF(OR(O1246="Cancelled",O1246="No-Show"),"",IF(N1246&lt;&gt;"",N1246,ROUND(R1246*SupHr*IFERROR(INDEX('PRICING'!$G$7:$G$16,MATCH(F1246,'PRICING'!$A$7:$A$16,0)),1),2))))</f>
        <v/>
      </c>
      <c r="Z1246" s="98">
        <f>IF(B1246="","",SUMIFS('MILEAGE'!$J$5:$J$1504,'MILEAGE'!$B$5:$B$1504,A1246))</f>
        <v/>
      </c>
      <c r="AA1246" s="55">
        <f>IF(B1246="","",ROUND(Z1246*MileRate,2))</f>
        <v/>
      </c>
      <c r="AB1246" s="55">
        <f>IF(B1246="","",SUMIFS('REVENUE'!$J$5:$J$1504,'REVENUE'!$B$5:$B$1504,A1246))</f>
        <v/>
      </c>
      <c r="AC1246" s="55">
        <f>IF(L1246="","",IF(OR(O1246="Cancelled",O1246="No-Show"),"",L1246-N(X1246)-N(Y1246)-AA1246-AB1246))</f>
        <v/>
      </c>
      <c r="AD1246" s="99">
        <f>IF(OR(AC1246="",N(L1246)=0),"",AC1246/L1246)</f>
        <v/>
      </c>
      <c r="AE1246" s="55">
        <f>IF(OR(AC1246="",N(R1246)=0),"",L1246/R1246)</f>
        <v/>
      </c>
      <c r="AF1246" s="100">
        <f>IF(OR(N(K1246)=0,N(J1246)+N(Q1246)=0),"",K1246-IF(N(J1246)&gt;0,J1246,Q1246))</f>
        <v/>
      </c>
      <c r="AG1246" s="99">
        <f>IF(B1246="","",IFERROR(AVERAGEIFS('QUALITY CONTROL'!$M$5:$M$304,'QUALITY CONTROL'!$B$5:$B$304,A1246),""))</f>
        <v/>
      </c>
      <c r="AH1246" s="51">
        <f>IF(B1246="","",DATE(YEAR(B1246),MONTH(B1246),1))</f>
        <v/>
      </c>
      <c r="AI1246" s="49">
        <f>IF(D1246="","",IFERROR(INDEX('CUSTOMERS'!$E$5:$E$404,MATCH(D1246,'CUSTOMERS'!$B$5:$B$404,0)),""))</f>
        <v/>
      </c>
      <c r="AJ1246" s="49">
        <f>IF(B1246="","",N(C1246))</f>
        <v/>
      </c>
      <c r="AK1246" s="49">
        <f>IF(OR(B1246="",O1246="Cancelled",O1246="Rescheduled"),"",B1246&amp;"|"&amp;(COUNTIFS('JOBS'!$B$5:$B$1504,B1246,'JOBS'!$AJ$5:$AJ$1504,"&lt;"&amp;AJ1246,'JOBS'!$O$5:$O$1504,"&lt;&gt;Cancelled",'JOBS'!$O$5:$O$1504,"&lt;&gt;Rescheduled")+COUNTIFS($B$5:B1246,B1246,$AJ$5:AJ1246,AJ1246,$O$5:O1246,"&lt;&gt;Cancelled",$O$5:O1246,"&lt;&gt;Rescheduled")))</f>
        <v/>
      </c>
      <c r="AL1246" s="49">
        <f>IF(N(U1246)&lt;=0.005,"",COUNTIFS('JOBS'!$U$5:$U$1504,"&gt;0.005",'JOBS'!$B$5:$B$1504,"&lt;"&amp;B1246)+COUNTIFS($U$5:U1246,"&gt;0.005",$B$5:B1246,B1246))</f>
        <v/>
      </c>
    </row>
    <row r="1247">
      <c r="A1247" s="46" t="inlineStr">
        <is>
          <t>J-1243</t>
        </is>
      </c>
      <c r="B1247" s="47" t="n"/>
      <c r="C1247" s="94" t="n"/>
      <c r="D1247" s="38" t="n"/>
      <c r="E1247" s="38" t="n"/>
      <c r="F1247" s="38" t="n"/>
      <c r="G1247" s="38" t="n"/>
      <c r="H1247" s="38" t="n"/>
      <c r="I1247" s="57" t="n"/>
      <c r="J1247" s="95" t="n"/>
      <c r="K1247" s="95" t="n"/>
      <c r="L1247" s="48" t="n"/>
      <c r="M1247" s="96" t="n"/>
      <c r="N1247" s="48" t="n"/>
      <c r="O1247" s="38" t="n"/>
      <c r="P1247" s="38" t="n"/>
      <c r="Q1247" s="97">
        <f>IF(OR(F1247="",E1247=""),"",IFERROR(IF(INDEX('PROPERTIES'!$F$5:$F$404,MATCH(E1247,'PROPERTIES'!$B$5:$B$404,0))=0,"",ROUND((INDEX('PROPERTIES'!$F$5:$F$404,MATCH(E1247,'PROPERTIES'!$B$5:$B$404,0))/INDEX('PRICING'!$C$7:$C$16,MATCH(F1247,'PRICING'!$A$7:$A$16,0))+INDEX('PROPERTIES'!$G$5:$G$404,MATCH(E1247,'PROPERTIES'!$B$5:$B$404,0))*INDEX('PRICING'!$D$7:$D$16,MATCH(F1247,'PRICING'!$A$7:$A$16,0))/60+INDEX('PROPERTIES'!$H$5:$H$404,MATCH(E1247,'PROPERTIES'!$B$5:$B$404,0))*INDEX('PRICING'!$E$7:$E$16,MATCH(F1247,'PRICING'!$A$7:$A$16,0))/60+INDEX('PRICING'!$F$7:$F$16,MATCH(F1247,'PRICING'!$A$7:$A$16,0))/60),2)),""))</f>
        <v/>
      </c>
      <c r="R1247" s="97">
        <f>IF(B1247="","",IF(N(K1247)&gt;0,K1247,IF(N(J1247)&gt;0,J1247,N(Q1247))))</f>
        <v/>
      </c>
      <c r="S1247" s="55">
        <f>IF(L1247="","",ROUND(L1247*(1+N(M1247)),2))</f>
        <v/>
      </c>
      <c r="T1247" s="55">
        <f>IF(B1247="","",SUMIFS('REVENUE'!$C$5:$C$1504,'REVENUE'!$B$5:$B$1504,A1247))</f>
        <v/>
      </c>
      <c r="U1247" s="55">
        <f>IF(B1247="","",IF(O1247="Completed",MAX(0,N(S1247)-T1247),""))</f>
        <v/>
      </c>
      <c r="V1247" s="49">
        <f>IF(B1247="","",IF(O1247&lt;&gt;"Completed",IF(T1247&gt;0,"Deposit","—"),IF(U1247&lt;=0.005,"Paid",IF(T1247&gt;0,"Partial","Unpaid"))))</f>
        <v/>
      </c>
      <c r="W1247" s="55">
        <f>IF(B1247="","",IFERROR(1/(1/INDEX('STAFF &amp; TASKS'!$C$5:$C$24,MATCH(H1247,'STAFF &amp; TASKS'!$A$5:$A$24,0))),PayRate))</f>
        <v/>
      </c>
      <c r="X1247" s="55">
        <f>IF(B1247="","",IF(OR(O1247="Cancelled",O1247="No-Show"),"",ROUND(R1247*W1247*(1+Burden),2)))</f>
        <v/>
      </c>
      <c r="Y1247" s="55">
        <f>IF(B1247="","",IF(OR(O1247="Cancelled",O1247="No-Show"),"",IF(N1247&lt;&gt;"",N1247,ROUND(R1247*SupHr*IFERROR(INDEX('PRICING'!$G$7:$G$16,MATCH(F1247,'PRICING'!$A$7:$A$16,0)),1),2))))</f>
        <v/>
      </c>
      <c r="Z1247" s="98">
        <f>IF(B1247="","",SUMIFS('MILEAGE'!$J$5:$J$1504,'MILEAGE'!$B$5:$B$1504,A1247))</f>
        <v/>
      </c>
      <c r="AA1247" s="55">
        <f>IF(B1247="","",ROUND(Z1247*MileRate,2))</f>
        <v/>
      </c>
      <c r="AB1247" s="55">
        <f>IF(B1247="","",SUMIFS('REVENUE'!$J$5:$J$1504,'REVENUE'!$B$5:$B$1504,A1247))</f>
        <v/>
      </c>
      <c r="AC1247" s="55">
        <f>IF(L1247="","",IF(OR(O1247="Cancelled",O1247="No-Show"),"",L1247-N(X1247)-N(Y1247)-AA1247-AB1247))</f>
        <v/>
      </c>
      <c r="AD1247" s="99">
        <f>IF(OR(AC1247="",N(L1247)=0),"",AC1247/L1247)</f>
        <v/>
      </c>
      <c r="AE1247" s="55">
        <f>IF(OR(AC1247="",N(R1247)=0),"",L1247/R1247)</f>
        <v/>
      </c>
      <c r="AF1247" s="100">
        <f>IF(OR(N(K1247)=0,N(J1247)+N(Q1247)=0),"",K1247-IF(N(J1247)&gt;0,J1247,Q1247))</f>
        <v/>
      </c>
      <c r="AG1247" s="99">
        <f>IF(B1247="","",IFERROR(AVERAGEIFS('QUALITY CONTROL'!$M$5:$M$304,'QUALITY CONTROL'!$B$5:$B$304,A1247),""))</f>
        <v/>
      </c>
      <c r="AH1247" s="51">
        <f>IF(B1247="","",DATE(YEAR(B1247),MONTH(B1247),1))</f>
        <v/>
      </c>
      <c r="AI1247" s="49">
        <f>IF(D1247="","",IFERROR(INDEX('CUSTOMERS'!$E$5:$E$404,MATCH(D1247,'CUSTOMERS'!$B$5:$B$404,0)),""))</f>
        <v/>
      </c>
      <c r="AJ1247" s="49">
        <f>IF(B1247="","",N(C1247))</f>
        <v/>
      </c>
      <c r="AK1247" s="49">
        <f>IF(OR(B1247="",O1247="Cancelled",O1247="Rescheduled"),"",B1247&amp;"|"&amp;(COUNTIFS('JOBS'!$B$5:$B$1504,B1247,'JOBS'!$AJ$5:$AJ$1504,"&lt;"&amp;AJ1247,'JOBS'!$O$5:$O$1504,"&lt;&gt;Cancelled",'JOBS'!$O$5:$O$1504,"&lt;&gt;Rescheduled")+COUNTIFS($B$5:B1247,B1247,$AJ$5:AJ1247,AJ1247,$O$5:O1247,"&lt;&gt;Cancelled",$O$5:O1247,"&lt;&gt;Rescheduled")))</f>
        <v/>
      </c>
      <c r="AL1247" s="49">
        <f>IF(N(U1247)&lt;=0.005,"",COUNTIFS('JOBS'!$U$5:$U$1504,"&gt;0.005",'JOBS'!$B$5:$B$1504,"&lt;"&amp;B1247)+COUNTIFS($U$5:U1247,"&gt;0.005",$B$5:B1247,B1247))</f>
        <v/>
      </c>
    </row>
    <row r="1248">
      <c r="A1248" s="46" t="inlineStr">
        <is>
          <t>J-1244</t>
        </is>
      </c>
      <c r="B1248" s="47" t="n"/>
      <c r="C1248" s="94" t="n"/>
      <c r="D1248" s="38" t="n"/>
      <c r="E1248" s="38" t="n"/>
      <c r="F1248" s="38" t="n"/>
      <c r="G1248" s="38" t="n"/>
      <c r="H1248" s="38" t="n"/>
      <c r="I1248" s="57" t="n"/>
      <c r="J1248" s="95" t="n"/>
      <c r="K1248" s="95" t="n"/>
      <c r="L1248" s="48" t="n"/>
      <c r="M1248" s="96" t="n"/>
      <c r="N1248" s="48" t="n"/>
      <c r="O1248" s="38" t="n"/>
      <c r="P1248" s="38" t="n"/>
      <c r="Q1248" s="97">
        <f>IF(OR(F1248="",E1248=""),"",IFERROR(IF(INDEX('PROPERTIES'!$F$5:$F$404,MATCH(E1248,'PROPERTIES'!$B$5:$B$404,0))=0,"",ROUND((INDEX('PROPERTIES'!$F$5:$F$404,MATCH(E1248,'PROPERTIES'!$B$5:$B$404,0))/INDEX('PRICING'!$C$7:$C$16,MATCH(F1248,'PRICING'!$A$7:$A$16,0))+INDEX('PROPERTIES'!$G$5:$G$404,MATCH(E1248,'PROPERTIES'!$B$5:$B$404,0))*INDEX('PRICING'!$D$7:$D$16,MATCH(F1248,'PRICING'!$A$7:$A$16,0))/60+INDEX('PROPERTIES'!$H$5:$H$404,MATCH(E1248,'PROPERTIES'!$B$5:$B$404,0))*INDEX('PRICING'!$E$7:$E$16,MATCH(F1248,'PRICING'!$A$7:$A$16,0))/60+INDEX('PRICING'!$F$7:$F$16,MATCH(F1248,'PRICING'!$A$7:$A$16,0))/60),2)),""))</f>
        <v/>
      </c>
      <c r="R1248" s="97">
        <f>IF(B1248="","",IF(N(K1248)&gt;0,K1248,IF(N(J1248)&gt;0,J1248,N(Q1248))))</f>
        <v/>
      </c>
      <c r="S1248" s="55">
        <f>IF(L1248="","",ROUND(L1248*(1+N(M1248)),2))</f>
        <v/>
      </c>
      <c r="T1248" s="55">
        <f>IF(B1248="","",SUMIFS('REVENUE'!$C$5:$C$1504,'REVENUE'!$B$5:$B$1504,A1248))</f>
        <v/>
      </c>
      <c r="U1248" s="55">
        <f>IF(B1248="","",IF(O1248="Completed",MAX(0,N(S1248)-T1248),""))</f>
        <v/>
      </c>
      <c r="V1248" s="49">
        <f>IF(B1248="","",IF(O1248&lt;&gt;"Completed",IF(T1248&gt;0,"Deposit","—"),IF(U1248&lt;=0.005,"Paid",IF(T1248&gt;0,"Partial","Unpaid"))))</f>
        <v/>
      </c>
      <c r="W1248" s="55">
        <f>IF(B1248="","",IFERROR(1/(1/INDEX('STAFF &amp; TASKS'!$C$5:$C$24,MATCH(H1248,'STAFF &amp; TASKS'!$A$5:$A$24,0))),PayRate))</f>
        <v/>
      </c>
      <c r="X1248" s="55">
        <f>IF(B1248="","",IF(OR(O1248="Cancelled",O1248="No-Show"),"",ROUND(R1248*W1248*(1+Burden),2)))</f>
        <v/>
      </c>
      <c r="Y1248" s="55">
        <f>IF(B1248="","",IF(OR(O1248="Cancelled",O1248="No-Show"),"",IF(N1248&lt;&gt;"",N1248,ROUND(R1248*SupHr*IFERROR(INDEX('PRICING'!$G$7:$G$16,MATCH(F1248,'PRICING'!$A$7:$A$16,0)),1),2))))</f>
        <v/>
      </c>
      <c r="Z1248" s="98">
        <f>IF(B1248="","",SUMIFS('MILEAGE'!$J$5:$J$1504,'MILEAGE'!$B$5:$B$1504,A1248))</f>
        <v/>
      </c>
      <c r="AA1248" s="55">
        <f>IF(B1248="","",ROUND(Z1248*MileRate,2))</f>
        <v/>
      </c>
      <c r="AB1248" s="55">
        <f>IF(B1248="","",SUMIFS('REVENUE'!$J$5:$J$1504,'REVENUE'!$B$5:$B$1504,A1248))</f>
        <v/>
      </c>
      <c r="AC1248" s="55">
        <f>IF(L1248="","",IF(OR(O1248="Cancelled",O1248="No-Show"),"",L1248-N(X1248)-N(Y1248)-AA1248-AB1248))</f>
        <v/>
      </c>
      <c r="AD1248" s="99">
        <f>IF(OR(AC1248="",N(L1248)=0),"",AC1248/L1248)</f>
        <v/>
      </c>
      <c r="AE1248" s="55">
        <f>IF(OR(AC1248="",N(R1248)=0),"",L1248/R1248)</f>
        <v/>
      </c>
      <c r="AF1248" s="100">
        <f>IF(OR(N(K1248)=0,N(J1248)+N(Q1248)=0),"",K1248-IF(N(J1248)&gt;0,J1248,Q1248))</f>
        <v/>
      </c>
      <c r="AG1248" s="99">
        <f>IF(B1248="","",IFERROR(AVERAGEIFS('QUALITY CONTROL'!$M$5:$M$304,'QUALITY CONTROL'!$B$5:$B$304,A1248),""))</f>
        <v/>
      </c>
      <c r="AH1248" s="51">
        <f>IF(B1248="","",DATE(YEAR(B1248),MONTH(B1248),1))</f>
        <v/>
      </c>
      <c r="AI1248" s="49">
        <f>IF(D1248="","",IFERROR(INDEX('CUSTOMERS'!$E$5:$E$404,MATCH(D1248,'CUSTOMERS'!$B$5:$B$404,0)),""))</f>
        <v/>
      </c>
      <c r="AJ1248" s="49">
        <f>IF(B1248="","",N(C1248))</f>
        <v/>
      </c>
      <c r="AK1248" s="49">
        <f>IF(OR(B1248="",O1248="Cancelled",O1248="Rescheduled"),"",B1248&amp;"|"&amp;(COUNTIFS('JOBS'!$B$5:$B$1504,B1248,'JOBS'!$AJ$5:$AJ$1504,"&lt;"&amp;AJ1248,'JOBS'!$O$5:$O$1504,"&lt;&gt;Cancelled",'JOBS'!$O$5:$O$1504,"&lt;&gt;Rescheduled")+COUNTIFS($B$5:B1248,B1248,$AJ$5:AJ1248,AJ1248,$O$5:O1248,"&lt;&gt;Cancelled",$O$5:O1248,"&lt;&gt;Rescheduled")))</f>
        <v/>
      </c>
      <c r="AL1248" s="49">
        <f>IF(N(U1248)&lt;=0.005,"",COUNTIFS('JOBS'!$U$5:$U$1504,"&gt;0.005",'JOBS'!$B$5:$B$1504,"&lt;"&amp;B1248)+COUNTIFS($U$5:U1248,"&gt;0.005",$B$5:B1248,B1248))</f>
        <v/>
      </c>
    </row>
    <row r="1249">
      <c r="A1249" s="46" t="inlineStr">
        <is>
          <t>J-1245</t>
        </is>
      </c>
      <c r="B1249" s="47" t="n"/>
      <c r="C1249" s="94" t="n"/>
      <c r="D1249" s="38" t="n"/>
      <c r="E1249" s="38" t="n"/>
      <c r="F1249" s="38" t="n"/>
      <c r="G1249" s="38" t="n"/>
      <c r="H1249" s="38" t="n"/>
      <c r="I1249" s="57" t="n"/>
      <c r="J1249" s="95" t="n"/>
      <c r="K1249" s="95" t="n"/>
      <c r="L1249" s="48" t="n"/>
      <c r="M1249" s="96" t="n"/>
      <c r="N1249" s="48" t="n"/>
      <c r="O1249" s="38" t="n"/>
      <c r="P1249" s="38" t="n"/>
      <c r="Q1249" s="97">
        <f>IF(OR(F1249="",E1249=""),"",IFERROR(IF(INDEX('PROPERTIES'!$F$5:$F$404,MATCH(E1249,'PROPERTIES'!$B$5:$B$404,0))=0,"",ROUND((INDEX('PROPERTIES'!$F$5:$F$404,MATCH(E1249,'PROPERTIES'!$B$5:$B$404,0))/INDEX('PRICING'!$C$7:$C$16,MATCH(F1249,'PRICING'!$A$7:$A$16,0))+INDEX('PROPERTIES'!$G$5:$G$404,MATCH(E1249,'PROPERTIES'!$B$5:$B$404,0))*INDEX('PRICING'!$D$7:$D$16,MATCH(F1249,'PRICING'!$A$7:$A$16,0))/60+INDEX('PROPERTIES'!$H$5:$H$404,MATCH(E1249,'PROPERTIES'!$B$5:$B$404,0))*INDEX('PRICING'!$E$7:$E$16,MATCH(F1249,'PRICING'!$A$7:$A$16,0))/60+INDEX('PRICING'!$F$7:$F$16,MATCH(F1249,'PRICING'!$A$7:$A$16,0))/60),2)),""))</f>
        <v/>
      </c>
      <c r="R1249" s="97">
        <f>IF(B1249="","",IF(N(K1249)&gt;0,K1249,IF(N(J1249)&gt;0,J1249,N(Q1249))))</f>
        <v/>
      </c>
      <c r="S1249" s="55">
        <f>IF(L1249="","",ROUND(L1249*(1+N(M1249)),2))</f>
        <v/>
      </c>
      <c r="T1249" s="55">
        <f>IF(B1249="","",SUMIFS('REVENUE'!$C$5:$C$1504,'REVENUE'!$B$5:$B$1504,A1249))</f>
        <v/>
      </c>
      <c r="U1249" s="55">
        <f>IF(B1249="","",IF(O1249="Completed",MAX(0,N(S1249)-T1249),""))</f>
        <v/>
      </c>
      <c r="V1249" s="49">
        <f>IF(B1249="","",IF(O1249&lt;&gt;"Completed",IF(T1249&gt;0,"Deposit","—"),IF(U1249&lt;=0.005,"Paid",IF(T1249&gt;0,"Partial","Unpaid"))))</f>
        <v/>
      </c>
      <c r="W1249" s="55">
        <f>IF(B1249="","",IFERROR(1/(1/INDEX('STAFF &amp; TASKS'!$C$5:$C$24,MATCH(H1249,'STAFF &amp; TASKS'!$A$5:$A$24,0))),PayRate))</f>
        <v/>
      </c>
      <c r="X1249" s="55">
        <f>IF(B1249="","",IF(OR(O1249="Cancelled",O1249="No-Show"),"",ROUND(R1249*W1249*(1+Burden),2)))</f>
        <v/>
      </c>
      <c r="Y1249" s="55">
        <f>IF(B1249="","",IF(OR(O1249="Cancelled",O1249="No-Show"),"",IF(N1249&lt;&gt;"",N1249,ROUND(R1249*SupHr*IFERROR(INDEX('PRICING'!$G$7:$G$16,MATCH(F1249,'PRICING'!$A$7:$A$16,0)),1),2))))</f>
        <v/>
      </c>
      <c r="Z1249" s="98">
        <f>IF(B1249="","",SUMIFS('MILEAGE'!$J$5:$J$1504,'MILEAGE'!$B$5:$B$1504,A1249))</f>
        <v/>
      </c>
      <c r="AA1249" s="55">
        <f>IF(B1249="","",ROUND(Z1249*MileRate,2))</f>
        <v/>
      </c>
      <c r="AB1249" s="55">
        <f>IF(B1249="","",SUMIFS('REVENUE'!$J$5:$J$1504,'REVENUE'!$B$5:$B$1504,A1249))</f>
        <v/>
      </c>
      <c r="AC1249" s="55">
        <f>IF(L1249="","",IF(OR(O1249="Cancelled",O1249="No-Show"),"",L1249-N(X1249)-N(Y1249)-AA1249-AB1249))</f>
        <v/>
      </c>
      <c r="AD1249" s="99">
        <f>IF(OR(AC1249="",N(L1249)=0),"",AC1249/L1249)</f>
        <v/>
      </c>
      <c r="AE1249" s="55">
        <f>IF(OR(AC1249="",N(R1249)=0),"",L1249/R1249)</f>
        <v/>
      </c>
      <c r="AF1249" s="100">
        <f>IF(OR(N(K1249)=0,N(J1249)+N(Q1249)=0),"",K1249-IF(N(J1249)&gt;0,J1249,Q1249))</f>
        <v/>
      </c>
      <c r="AG1249" s="99">
        <f>IF(B1249="","",IFERROR(AVERAGEIFS('QUALITY CONTROL'!$M$5:$M$304,'QUALITY CONTROL'!$B$5:$B$304,A1249),""))</f>
        <v/>
      </c>
      <c r="AH1249" s="51">
        <f>IF(B1249="","",DATE(YEAR(B1249),MONTH(B1249),1))</f>
        <v/>
      </c>
      <c r="AI1249" s="49">
        <f>IF(D1249="","",IFERROR(INDEX('CUSTOMERS'!$E$5:$E$404,MATCH(D1249,'CUSTOMERS'!$B$5:$B$404,0)),""))</f>
        <v/>
      </c>
      <c r="AJ1249" s="49">
        <f>IF(B1249="","",N(C1249))</f>
        <v/>
      </c>
      <c r="AK1249" s="49">
        <f>IF(OR(B1249="",O1249="Cancelled",O1249="Rescheduled"),"",B1249&amp;"|"&amp;(COUNTIFS('JOBS'!$B$5:$B$1504,B1249,'JOBS'!$AJ$5:$AJ$1504,"&lt;"&amp;AJ1249,'JOBS'!$O$5:$O$1504,"&lt;&gt;Cancelled",'JOBS'!$O$5:$O$1504,"&lt;&gt;Rescheduled")+COUNTIFS($B$5:B1249,B1249,$AJ$5:AJ1249,AJ1249,$O$5:O1249,"&lt;&gt;Cancelled",$O$5:O1249,"&lt;&gt;Rescheduled")))</f>
        <v/>
      </c>
      <c r="AL1249" s="49">
        <f>IF(N(U1249)&lt;=0.005,"",COUNTIFS('JOBS'!$U$5:$U$1504,"&gt;0.005",'JOBS'!$B$5:$B$1504,"&lt;"&amp;B1249)+COUNTIFS($U$5:U1249,"&gt;0.005",$B$5:B1249,B1249))</f>
        <v/>
      </c>
    </row>
    <row r="1250">
      <c r="A1250" s="46" t="inlineStr">
        <is>
          <t>J-1246</t>
        </is>
      </c>
      <c r="B1250" s="47" t="n"/>
      <c r="C1250" s="94" t="n"/>
      <c r="D1250" s="38" t="n"/>
      <c r="E1250" s="38" t="n"/>
      <c r="F1250" s="38" t="n"/>
      <c r="G1250" s="38" t="n"/>
      <c r="H1250" s="38" t="n"/>
      <c r="I1250" s="57" t="n"/>
      <c r="J1250" s="95" t="n"/>
      <c r="K1250" s="95" t="n"/>
      <c r="L1250" s="48" t="n"/>
      <c r="M1250" s="96" t="n"/>
      <c r="N1250" s="48" t="n"/>
      <c r="O1250" s="38" t="n"/>
      <c r="P1250" s="38" t="n"/>
      <c r="Q1250" s="97">
        <f>IF(OR(F1250="",E1250=""),"",IFERROR(IF(INDEX('PROPERTIES'!$F$5:$F$404,MATCH(E1250,'PROPERTIES'!$B$5:$B$404,0))=0,"",ROUND((INDEX('PROPERTIES'!$F$5:$F$404,MATCH(E1250,'PROPERTIES'!$B$5:$B$404,0))/INDEX('PRICING'!$C$7:$C$16,MATCH(F1250,'PRICING'!$A$7:$A$16,0))+INDEX('PROPERTIES'!$G$5:$G$404,MATCH(E1250,'PROPERTIES'!$B$5:$B$404,0))*INDEX('PRICING'!$D$7:$D$16,MATCH(F1250,'PRICING'!$A$7:$A$16,0))/60+INDEX('PROPERTIES'!$H$5:$H$404,MATCH(E1250,'PROPERTIES'!$B$5:$B$404,0))*INDEX('PRICING'!$E$7:$E$16,MATCH(F1250,'PRICING'!$A$7:$A$16,0))/60+INDEX('PRICING'!$F$7:$F$16,MATCH(F1250,'PRICING'!$A$7:$A$16,0))/60),2)),""))</f>
        <v/>
      </c>
      <c r="R1250" s="97">
        <f>IF(B1250="","",IF(N(K1250)&gt;0,K1250,IF(N(J1250)&gt;0,J1250,N(Q1250))))</f>
        <v/>
      </c>
      <c r="S1250" s="55">
        <f>IF(L1250="","",ROUND(L1250*(1+N(M1250)),2))</f>
        <v/>
      </c>
      <c r="T1250" s="55">
        <f>IF(B1250="","",SUMIFS('REVENUE'!$C$5:$C$1504,'REVENUE'!$B$5:$B$1504,A1250))</f>
        <v/>
      </c>
      <c r="U1250" s="55">
        <f>IF(B1250="","",IF(O1250="Completed",MAX(0,N(S1250)-T1250),""))</f>
        <v/>
      </c>
      <c r="V1250" s="49">
        <f>IF(B1250="","",IF(O1250&lt;&gt;"Completed",IF(T1250&gt;0,"Deposit","—"),IF(U1250&lt;=0.005,"Paid",IF(T1250&gt;0,"Partial","Unpaid"))))</f>
        <v/>
      </c>
      <c r="W1250" s="55">
        <f>IF(B1250="","",IFERROR(1/(1/INDEX('STAFF &amp; TASKS'!$C$5:$C$24,MATCH(H1250,'STAFF &amp; TASKS'!$A$5:$A$24,0))),PayRate))</f>
        <v/>
      </c>
      <c r="X1250" s="55">
        <f>IF(B1250="","",IF(OR(O1250="Cancelled",O1250="No-Show"),"",ROUND(R1250*W1250*(1+Burden),2)))</f>
        <v/>
      </c>
      <c r="Y1250" s="55">
        <f>IF(B1250="","",IF(OR(O1250="Cancelled",O1250="No-Show"),"",IF(N1250&lt;&gt;"",N1250,ROUND(R1250*SupHr*IFERROR(INDEX('PRICING'!$G$7:$G$16,MATCH(F1250,'PRICING'!$A$7:$A$16,0)),1),2))))</f>
        <v/>
      </c>
      <c r="Z1250" s="98">
        <f>IF(B1250="","",SUMIFS('MILEAGE'!$J$5:$J$1504,'MILEAGE'!$B$5:$B$1504,A1250))</f>
        <v/>
      </c>
      <c r="AA1250" s="55">
        <f>IF(B1250="","",ROUND(Z1250*MileRate,2))</f>
        <v/>
      </c>
      <c r="AB1250" s="55">
        <f>IF(B1250="","",SUMIFS('REVENUE'!$J$5:$J$1504,'REVENUE'!$B$5:$B$1504,A1250))</f>
        <v/>
      </c>
      <c r="AC1250" s="55">
        <f>IF(L1250="","",IF(OR(O1250="Cancelled",O1250="No-Show"),"",L1250-N(X1250)-N(Y1250)-AA1250-AB1250))</f>
        <v/>
      </c>
      <c r="AD1250" s="99">
        <f>IF(OR(AC1250="",N(L1250)=0),"",AC1250/L1250)</f>
        <v/>
      </c>
      <c r="AE1250" s="55">
        <f>IF(OR(AC1250="",N(R1250)=0),"",L1250/R1250)</f>
        <v/>
      </c>
      <c r="AF1250" s="100">
        <f>IF(OR(N(K1250)=0,N(J1250)+N(Q1250)=0),"",K1250-IF(N(J1250)&gt;0,J1250,Q1250))</f>
        <v/>
      </c>
      <c r="AG1250" s="99">
        <f>IF(B1250="","",IFERROR(AVERAGEIFS('QUALITY CONTROL'!$M$5:$M$304,'QUALITY CONTROL'!$B$5:$B$304,A1250),""))</f>
        <v/>
      </c>
      <c r="AH1250" s="51">
        <f>IF(B1250="","",DATE(YEAR(B1250),MONTH(B1250),1))</f>
        <v/>
      </c>
      <c r="AI1250" s="49">
        <f>IF(D1250="","",IFERROR(INDEX('CUSTOMERS'!$E$5:$E$404,MATCH(D1250,'CUSTOMERS'!$B$5:$B$404,0)),""))</f>
        <v/>
      </c>
      <c r="AJ1250" s="49">
        <f>IF(B1250="","",N(C1250))</f>
        <v/>
      </c>
      <c r="AK1250" s="49">
        <f>IF(OR(B1250="",O1250="Cancelled",O1250="Rescheduled"),"",B1250&amp;"|"&amp;(COUNTIFS('JOBS'!$B$5:$B$1504,B1250,'JOBS'!$AJ$5:$AJ$1504,"&lt;"&amp;AJ1250,'JOBS'!$O$5:$O$1504,"&lt;&gt;Cancelled",'JOBS'!$O$5:$O$1504,"&lt;&gt;Rescheduled")+COUNTIFS($B$5:B1250,B1250,$AJ$5:AJ1250,AJ1250,$O$5:O1250,"&lt;&gt;Cancelled",$O$5:O1250,"&lt;&gt;Rescheduled")))</f>
        <v/>
      </c>
      <c r="AL1250" s="49">
        <f>IF(N(U1250)&lt;=0.005,"",COUNTIFS('JOBS'!$U$5:$U$1504,"&gt;0.005",'JOBS'!$B$5:$B$1504,"&lt;"&amp;B1250)+COUNTIFS($U$5:U1250,"&gt;0.005",$B$5:B1250,B1250))</f>
        <v/>
      </c>
    </row>
    <row r="1251">
      <c r="A1251" s="46" t="inlineStr">
        <is>
          <t>J-1247</t>
        </is>
      </c>
      <c r="B1251" s="47" t="n"/>
      <c r="C1251" s="94" t="n"/>
      <c r="D1251" s="38" t="n"/>
      <c r="E1251" s="38" t="n"/>
      <c r="F1251" s="38" t="n"/>
      <c r="G1251" s="38" t="n"/>
      <c r="H1251" s="38" t="n"/>
      <c r="I1251" s="57" t="n"/>
      <c r="J1251" s="95" t="n"/>
      <c r="K1251" s="95" t="n"/>
      <c r="L1251" s="48" t="n"/>
      <c r="M1251" s="96" t="n"/>
      <c r="N1251" s="48" t="n"/>
      <c r="O1251" s="38" t="n"/>
      <c r="P1251" s="38" t="n"/>
      <c r="Q1251" s="97">
        <f>IF(OR(F1251="",E1251=""),"",IFERROR(IF(INDEX('PROPERTIES'!$F$5:$F$404,MATCH(E1251,'PROPERTIES'!$B$5:$B$404,0))=0,"",ROUND((INDEX('PROPERTIES'!$F$5:$F$404,MATCH(E1251,'PROPERTIES'!$B$5:$B$404,0))/INDEX('PRICING'!$C$7:$C$16,MATCH(F1251,'PRICING'!$A$7:$A$16,0))+INDEX('PROPERTIES'!$G$5:$G$404,MATCH(E1251,'PROPERTIES'!$B$5:$B$404,0))*INDEX('PRICING'!$D$7:$D$16,MATCH(F1251,'PRICING'!$A$7:$A$16,0))/60+INDEX('PROPERTIES'!$H$5:$H$404,MATCH(E1251,'PROPERTIES'!$B$5:$B$404,0))*INDEX('PRICING'!$E$7:$E$16,MATCH(F1251,'PRICING'!$A$7:$A$16,0))/60+INDEX('PRICING'!$F$7:$F$16,MATCH(F1251,'PRICING'!$A$7:$A$16,0))/60),2)),""))</f>
        <v/>
      </c>
      <c r="R1251" s="97">
        <f>IF(B1251="","",IF(N(K1251)&gt;0,K1251,IF(N(J1251)&gt;0,J1251,N(Q1251))))</f>
        <v/>
      </c>
      <c r="S1251" s="55">
        <f>IF(L1251="","",ROUND(L1251*(1+N(M1251)),2))</f>
        <v/>
      </c>
      <c r="T1251" s="55">
        <f>IF(B1251="","",SUMIFS('REVENUE'!$C$5:$C$1504,'REVENUE'!$B$5:$B$1504,A1251))</f>
        <v/>
      </c>
      <c r="U1251" s="55">
        <f>IF(B1251="","",IF(O1251="Completed",MAX(0,N(S1251)-T1251),""))</f>
        <v/>
      </c>
      <c r="V1251" s="49">
        <f>IF(B1251="","",IF(O1251&lt;&gt;"Completed",IF(T1251&gt;0,"Deposit","—"),IF(U1251&lt;=0.005,"Paid",IF(T1251&gt;0,"Partial","Unpaid"))))</f>
        <v/>
      </c>
      <c r="W1251" s="55">
        <f>IF(B1251="","",IFERROR(1/(1/INDEX('STAFF &amp; TASKS'!$C$5:$C$24,MATCH(H1251,'STAFF &amp; TASKS'!$A$5:$A$24,0))),PayRate))</f>
        <v/>
      </c>
      <c r="X1251" s="55">
        <f>IF(B1251="","",IF(OR(O1251="Cancelled",O1251="No-Show"),"",ROUND(R1251*W1251*(1+Burden),2)))</f>
        <v/>
      </c>
      <c r="Y1251" s="55">
        <f>IF(B1251="","",IF(OR(O1251="Cancelled",O1251="No-Show"),"",IF(N1251&lt;&gt;"",N1251,ROUND(R1251*SupHr*IFERROR(INDEX('PRICING'!$G$7:$G$16,MATCH(F1251,'PRICING'!$A$7:$A$16,0)),1),2))))</f>
        <v/>
      </c>
      <c r="Z1251" s="98">
        <f>IF(B1251="","",SUMIFS('MILEAGE'!$J$5:$J$1504,'MILEAGE'!$B$5:$B$1504,A1251))</f>
        <v/>
      </c>
      <c r="AA1251" s="55">
        <f>IF(B1251="","",ROUND(Z1251*MileRate,2))</f>
        <v/>
      </c>
      <c r="AB1251" s="55">
        <f>IF(B1251="","",SUMIFS('REVENUE'!$J$5:$J$1504,'REVENUE'!$B$5:$B$1504,A1251))</f>
        <v/>
      </c>
      <c r="AC1251" s="55">
        <f>IF(L1251="","",IF(OR(O1251="Cancelled",O1251="No-Show"),"",L1251-N(X1251)-N(Y1251)-AA1251-AB1251))</f>
        <v/>
      </c>
      <c r="AD1251" s="99">
        <f>IF(OR(AC1251="",N(L1251)=0),"",AC1251/L1251)</f>
        <v/>
      </c>
      <c r="AE1251" s="55">
        <f>IF(OR(AC1251="",N(R1251)=0),"",L1251/R1251)</f>
        <v/>
      </c>
      <c r="AF1251" s="100">
        <f>IF(OR(N(K1251)=0,N(J1251)+N(Q1251)=0),"",K1251-IF(N(J1251)&gt;0,J1251,Q1251))</f>
        <v/>
      </c>
      <c r="AG1251" s="99">
        <f>IF(B1251="","",IFERROR(AVERAGEIFS('QUALITY CONTROL'!$M$5:$M$304,'QUALITY CONTROL'!$B$5:$B$304,A1251),""))</f>
        <v/>
      </c>
      <c r="AH1251" s="51">
        <f>IF(B1251="","",DATE(YEAR(B1251),MONTH(B1251),1))</f>
        <v/>
      </c>
      <c r="AI1251" s="49">
        <f>IF(D1251="","",IFERROR(INDEX('CUSTOMERS'!$E$5:$E$404,MATCH(D1251,'CUSTOMERS'!$B$5:$B$404,0)),""))</f>
        <v/>
      </c>
      <c r="AJ1251" s="49">
        <f>IF(B1251="","",N(C1251))</f>
        <v/>
      </c>
      <c r="AK1251" s="49">
        <f>IF(OR(B1251="",O1251="Cancelled",O1251="Rescheduled"),"",B1251&amp;"|"&amp;(COUNTIFS('JOBS'!$B$5:$B$1504,B1251,'JOBS'!$AJ$5:$AJ$1504,"&lt;"&amp;AJ1251,'JOBS'!$O$5:$O$1504,"&lt;&gt;Cancelled",'JOBS'!$O$5:$O$1504,"&lt;&gt;Rescheduled")+COUNTIFS($B$5:B1251,B1251,$AJ$5:AJ1251,AJ1251,$O$5:O1251,"&lt;&gt;Cancelled",$O$5:O1251,"&lt;&gt;Rescheduled")))</f>
        <v/>
      </c>
      <c r="AL1251" s="49">
        <f>IF(N(U1251)&lt;=0.005,"",COUNTIFS('JOBS'!$U$5:$U$1504,"&gt;0.005",'JOBS'!$B$5:$B$1504,"&lt;"&amp;B1251)+COUNTIFS($U$5:U1251,"&gt;0.005",$B$5:B1251,B1251))</f>
        <v/>
      </c>
    </row>
    <row r="1252">
      <c r="A1252" s="46" t="inlineStr">
        <is>
          <t>J-1248</t>
        </is>
      </c>
      <c r="B1252" s="47" t="n"/>
      <c r="C1252" s="94" t="n"/>
      <c r="D1252" s="38" t="n"/>
      <c r="E1252" s="38" t="n"/>
      <c r="F1252" s="38" t="n"/>
      <c r="G1252" s="38" t="n"/>
      <c r="H1252" s="38" t="n"/>
      <c r="I1252" s="57" t="n"/>
      <c r="J1252" s="95" t="n"/>
      <c r="K1252" s="95" t="n"/>
      <c r="L1252" s="48" t="n"/>
      <c r="M1252" s="96" t="n"/>
      <c r="N1252" s="48" t="n"/>
      <c r="O1252" s="38" t="n"/>
      <c r="P1252" s="38" t="n"/>
      <c r="Q1252" s="97">
        <f>IF(OR(F1252="",E1252=""),"",IFERROR(IF(INDEX('PROPERTIES'!$F$5:$F$404,MATCH(E1252,'PROPERTIES'!$B$5:$B$404,0))=0,"",ROUND((INDEX('PROPERTIES'!$F$5:$F$404,MATCH(E1252,'PROPERTIES'!$B$5:$B$404,0))/INDEX('PRICING'!$C$7:$C$16,MATCH(F1252,'PRICING'!$A$7:$A$16,0))+INDEX('PROPERTIES'!$G$5:$G$404,MATCH(E1252,'PROPERTIES'!$B$5:$B$404,0))*INDEX('PRICING'!$D$7:$D$16,MATCH(F1252,'PRICING'!$A$7:$A$16,0))/60+INDEX('PROPERTIES'!$H$5:$H$404,MATCH(E1252,'PROPERTIES'!$B$5:$B$404,0))*INDEX('PRICING'!$E$7:$E$16,MATCH(F1252,'PRICING'!$A$7:$A$16,0))/60+INDEX('PRICING'!$F$7:$F$16,MATCH(F1252,'PRICING'!$A$7:$A$16,0))/60),2)),""))</f>
        <v/>
      </c>
      <c r="R1252" s="97">
        <f>IF(B1252="","",IF(N(K1252)&gt;0,K1252,IF(N(J1252)&gt;0,J1252,N(Q1252))))</f>
        <v/>
      </c>
      <c r="S1252" s="55">
        <f>IF(L1252="","",ROUND(L1252*(1+N(M1252)),2))</f>
        <v/>
      </c>
      <c r="T1252" s="55">
        <f>IF(B1252="","",SUMIFS('REVENUE'!$C$5:$C$1504,'REVENUE'!$B$5:$B$1504,A1252))</f>
        <v/>
      </c>
      <c r="U1252" s="55">
        <f>IF(B1252="","",IF(O1252="Completed",MAX(0,N(S1252)-T1252),""))</f>
        <v/>
      </c>
      <c r="V1252" s="49">
        <f>IF(B1252="","",IF(O1252&lt;&gt;"Completed",IF(T1252&gt;0,"Deposit","—"),IF(U1252&lt;=0.005,"Paid",IF(T1252&gt;0,"Partial","Unpaid"))))</f>
        <v/>
      </c>
      <c r="W1252" s="55">
        <f>IF(B1252="","",IFERROR(1/(1/INDEX('STAFF &amp; TASKS'!$C$5:$C$24,MATCH(H1252,'STAFF &amp; TASKS'!$A$5:$A$24,0))),PayRate))</f>
        <v/>
      </c>
      <c r="X1252" s="55">
        <f>IF(B1252="","",IF(OR(O1252="Cancelled",O1252="No-Show"),"",ROUND(R1252*W1252*(1+Burden),2)))</f>
        <v/>
      </c>
      <c r="Y1252" s="55">
        <f>IF(B1252="","",IF(OR(O1252="Cancelled",O1252="No-Show"),"",IF(N1252&lt;&gt;"",N1252,ROUND(R1252*SupHr*IFERROR(INDEX('PRICING'!$G$7:$G$16,MATCH(F1252,'PRICING'!$A$7:$A$16,0)),1),2))))</f>
        <v/>
      </c>
      <c r="Z1252" s="98">
        <f>IF(B1252="","",SUMIFS('MILEAGE'!$J$5:$J$1504,'MILEAGE'!$B$5:$B$1504,A1252))</f>
        <v/>
      </c>
      <c r="AA1252" s="55">
        <f>IF(B1252="","",ROUND(Z1252*MileRate,2))</f>
        <v/>
      </c>
      <c r="AB1252" s="55">
        <f>IF(B1252="","",SUMIFS('REVENUE'!$J$5:$J$1504,'REVENUE'!$B$5:$B$1504,A1252))</f>
        <v/>
      </c>
      <c r="AC1252" s="55">
        <f>IF(L1252="","",IF(OR(O1252="Cancelled",O1252="No-Show"),"",L1252-N(X1252)-N(Y1252)-AA1252-AB1252))</f>
        <v/>
      </c>
      <c r="AD1252" s="99">
        <f>IF(OR(AC1252="",N(L1252)=0),"",AC1252/L1252)</f>
        <v/>
      </c>
      <c r="AE1252" s="55">
        <f>IF(OR(AC1252="",N(R1252)=0),"",L1252/R1252)</f>
        <v/>
      </c>
      <c r="AF1252" s="100">
        <f>IF(OR(N(K1252)=0,N(J1252)+N(Q1252)=0),"",K1252-IF(N(J1252)&gt;0,J1252,Q1252))</f>
        <v/>
      </c>
      <c r="AG1252" s="99">
        <f>IF(B1252="","",IFERROR(AVERAGEIFS('QUALITY CONTROL'!$M$5:$M$304,'QUALITY CONTROL'!$B$5:$B$304,A1252),""))</f>
        <v/>
      </c>
      <c r="AH1252" s="51">
        <f>IF(B1252="","",DATE(YEAR(B1252),MONTH(B1252),1))</f>
        <v/>
      </c>
      <c r="AI1252" s="49">
        <f>IF(D1252="","",IFERROR(INDEX('CUSTOMERS'!$E$5:$E$404,MATCH(D1252,'CUSTOMERS'!$B$5:$B$404,0)),""))</f>
        <v/>
      </c>
      <c r="AJ1252" s="49">
        <f>IF(B1252="","",N(C1252))</f>
        <v/>
      </c>
      <c r="AK1252" s="49">
        <f>IF(OR(B1252="",O1252="Cancelled",O1252="Rescheduled"),"",B1252&amp;"|"&amp;(COUNTIFS('JOBS'!$B$5:$B$1504,B1252,'JOBS'!$AJ$5:$AJ$1504,"&lt;"&amp;AJ1252,'JOBS'!$O$5:$O$1504,"&lt;&gt;Cancelled",'JOBS'!$O$5:$O$1504,"&lt;&gt;Rescheduled")+COUNTIFS($B$5:B1252,B1252,$AJ$5:AJ1252,AJ1252,$O$5:O1252,"&lt;&gt;Cancelled",$O$5:O1252,"&lt;&gt;Rescheduled")))</f>
        <v/>
      </c>
      <c r="AL1252" s="49">
        <f>IF(N(U1252)&lt;=0.005,"",COUNTIFS('JOBS'!$U$5:$U$1504,"&gt;0.005",'JOBS'!$B$5:$B$1504,"&lt;"&amp;B1252)+COUNTIFS($U$5:U1252,"&gt;0.005",$B$5:B1252,B1252))</f>
        <v/>
      </c>
    </row>
    <row r="1253">
      <c r="A1253" s="46" t="inlineStr">
        <is>
          <t>J-1249</t>
        </is>
      </c>
      <c r="B1253" s="47" t="n"/>
      <c r="C1253" s="94" t="n"/>
      <c r="D1253" s="38" t="n"/>
      <c r="E1253" s="38" t="n"/>
      <c r="F1253" s="38" t="n"/>
      <c r="G1253" s="38" t="n"/>
      <c r="H1253" s="38" t="n"/>
      <c r="I1253" s="57" t="n"/>
      <c r="J1253" s="95" t="n"/>
      <c r="K1253" s="95" t="n"/>
      <c r="L1253" s="48" t="n"/>
      <c r="M1253" s="96" t="n"/>
      <c r="N1253" s="48" t="n"/>
      <c r="O1253" s="38" t="n"/>
      <c r="P1253" s="38" t="n"/>
      <c r="Q1253" s="97">
        <f>IF(OR(F1253="",E1253=""),"",IFERROR(IF(INDEX('PROPERTIES'!$F$5:$F$404,MATCH(E1253,'PROPERTIES'!$B$5:$B$404,0))=0,"",ROUND((INDEX('PROPERTIES'!$F$5:$F$404,MATCH(E1253,'PROPERTIES'!$B$5:$B$404,0))/INDEX('PRICING'!$C$7:$C$16,MATCH(F1253,'PRICING'!$A$7:$A$16,0))+INDEX('PROPERTIES'!$G$5:$G$404,MATCH(E1253,'PROPERTIES'!$B$5:$B$404,0))*INDEX('PRICING'!$D$7:$D$16,MATCH(F1253,'PRICING'!$A$7:$A$16,0))/60+INDEX('PROPERTIES'!$H$5:$H$404,MATCH(E1253,'PROPERTIES'!$B$5:$B$404,0))*INDEX('PRICING'!$E$7:$E$16,MATCH(F1253,'PRICING'!$A$7:$A$16,0))/60+INDEX('PRICING'!$F$7:$F$16,MATCH(F1253,'PRICING'!$A$7:$A$16,0))/60),2)),""))</f>
        <v/>
      </c>
      <c r="R1253" s="97">
        <f>IF(B1253="","",IF(N(K1253)&gt;0,K1253,IF(N(J1253)&gt;0,J1253,N(Q1253))))</f>
        <v/>
      </c>
      <c r="S1253" s="55">
        <f>IF(L1253="","",ROUND(L1253*(1+N(M1253)),2))</f>
        <v/>
      </c>
      <c r="T1253" s="55">
        <f>IF(B1253="","",SUMIFS('REVENUE'!$C$5:$C$1504,'REVENUE'!$B$5:$B$1504,A1253))</f>
        <v/>
      </c>
      <c r="U1253" s="55">
        <f>IF(B1253="","",IF(O1253="Completed",MAX(0,N(S1253)-T1253),""))</f>
        <v/>
      </c>
      <c r="V1253" s="49">
        <f>IF(B1253="","",IF(O1253&lt;&gt;"Completed",IF(T1253&gt;0,"Deposit","—"),IF(U1253&lt;=0.005,"Paid",IF(T1253&gt;0,"Partial","Unpaid"))))</f>
        <v/>
      </c>
      <c r="W1253" s="55">
        <f>IF(B1253="","",IFERROR(1/(1/INDEX('STAFF &amp; TASKS'!$C$5:$C$24,MATCH(H1253,'STAFF &amp; TASKS'!$A$5:$A$24,0))),PayRate))</f>
        <v/>
      </c>
      <c r="X1253" s="55">
        <f>IF(B1253="","",IF(OR(O1253="Cancelled",O1253="No-Show"),"",ROUND(R1253*W1253*(1+Burden),2)))</f>
        <v/>
      </c>
      <c r="Y1253" s="55">
        <f>IF(B1253="","",IF(OR(O1253="Cancelled",O1253="No-Show"),"",IF(N1253&lt;&gt;"",N1253,ROUND(R1253*SupHr*IFERROR(INDEX('PRICING'!$G$7:$G$16,MATCH(F1253,'PRICING'!$A$7:$A$16,0)),1),2))))</f>
        <v/>
      </c>
      <c r="Z1253" s="98">
        <f>IF(B1253="","",SUMIFS('MILEAGE'!$J$5:$J$1504,'MILEAGE'!$B$5:$B$1504,A1253))</f>
        <v/>
      </c>
      <c r="AA1253" s="55">
        <f>IF(B1253="","",ROUND(Z1253*MileRate,2))</f>
        <v/>
      </c>
      <c r="AB1253" s="55">
        <f>IF(B1253="","",SUMIFS('REVENUE'!$J$5:$J$1504,'REVENUE'!$B$5:$B$1504,A1253))</f>
        <v/>
      </c>
      <c r="AC1253" s="55">
        <f>IF(L1253="","",IF(OR(O1253="Cancelled",O1253="No-Show"),"",L1253-N(X1253)-N(Y1253)-AA1253-AB1253))</f>
        <v/>
      </c>
      <c r="AD1253" s="99">
        <f>IF(OR(AC1253="",N(L1253)=0),"",AC1253/L1253)</f>
        <v/>
      </c>
      <c r="AE1253" s="55">
        <f>IF(OR(AC1253="",N(R1253)=0),"",L1253/R1253)</f>
        <v/>
      </c>
      <c r="AF1253" s="100">
        <f>IF(OR(N(K1253)=0,N(J1253)+N(Q1253)=0),"",K1253-IF(N(J1253)&gt;0,J1253,Q1253))</f>
        <v/>
      </c>
      <c r="AG1253" s="99">
        <f>IF(B1253="","",IFERROR(AVERAGEIFS('QUALITY CONTROL'!$M$5:$M$304,'QUALITY CONTROL'!$B$5:$B$304,A1253),""))</f>
        <v/>
      </c>
      <c r="AH1253" s="51">
        <f>IF(B1253="","",DATE(YEAR(B1253),MONTH(B1253),1))</f>
        <v/>
      </c>
      <c r="AI1253" s="49">
        <f>IF(D1253="","",IFERROR(INDEX('CUSTOMERS'!$E$5:$E$404,MATCH(D1253,'CUSTOMERS'!$B$5:$B$404,0)),""))</f>
        <v/>
      </c>
      <c r="AJ1253" s="49">
        <f>IF(B1253="","",N(C1253))</f>
        <v/>
      </c>
      <c r="AK1253" s="49">
        <f>IF(OR(B1253="",O1253="Cancelled",O1253="Rescheduled"),"",B1253&amp;"|"&amp;(COUNTIFS('JOBS'!$B$5:$B$1504,B1253,'JOBS'!$AJ$5:$AJ$1504,"&lt;"&amp;AJ1253,'JOBS'!$O$5:$O$1504,"&lt;&gt;Cancelled",'JOBS'!$O$5:$O$1504,"&lt;&gt;Rescheduled")+COUNTIFS($B$5:B1253,B1253,$AJ$5:AJ1253,AJ1253,$O$5:O1253,"&lt;&gt;Cancelled",$O$5:O1253,"&lt;&gt;Rescheduled")))</f>
        <v/>
      </c>
      <c r="AL1253" s="49">
        <f>IF(N(U1253)&lt;=0.005,"",COUNTIFS('JOBS'!$U$5:$U$1504,"&gt;0.005",'JOBS'!$B$5:$B$1504,"&lt;"&amp;B1253)+COUNTIFS($U$5:U1253,"&gt;0.005",$B$5:B1253,B1253))</f>
        <v/>
      </c>
    </row>
    <row r="1254">
      <c r="A1254" s="46" t="inlineStr">
        <is>
          <t>J-1250</t>
        </is>
      </c>
      <c r="B1254" s="47" t="n"/>
      <c r="C1254" s="94" t="n"/>
      <c r="D1254" s="38" t="n"/>
      <c r="E1254" s="38" t="n"/>
      <c r="F1254" s="38" t="n"/>
      <c r="G1254" s="38" t="n"/>
      <c r="H1254" s="38" t="n"/>
      <c r="I1254" s="57" t="n"/>
      <c r="J1254" s="95" t="n"/>
      <c r="K1254" s="95" t="n"/>
      <c r="L1254" s="48" t="n"/>
      <c r="M1254" s="96" t="n"/>
      <c r="N1254" s="48" t="n"/>
      <c r="O1254" s="38" t="n"/>
      <c r="P1254" s="38" t="n"/>
      <c r="Q1254" s="97">
        <f>IF(OR(F1254="",E1254=""),"",IFERROR(IF(INDEX('PROPERTIES'!$F$5:$F$404,MATCH(E1254,'PROPERTIES'!$B$5:$B$404,0))=0,"",ROUND((INDEX('PROPERTIES'!$F$5:$F$404,MATCH(E1254,'PROPERTIES'!$B$5:$B$404,0))/INDEX('PRICING'!$C$7:$C$16,MATCH(F1254,'PRICING'!$A$7:$A$16,0))+INDEX('PROPERTIES'!$G$5:$G$404,MATCH(E1254,'PROPERTIES'!$B$5:$B$404,0))*INDEX('PRICING'!$D$7:$D$16,MATCH(F1254,'PRICING'!$A$7:$A$16,0))/60+INDEX('PROPERTIES'!$H$5:$H$404,MATCH(E1254,'PROPERTIES'!$B$5:$B$404,0))*INDEX('PRICING'!$E$7:$E$16,MATCH(F1254,'PRICING'!$A$7:$A$16,0))/60+INDEX('PRICING'!$F$7:$F$16,MATCH(F1254,'PRICING'!$A$7:$A$16,0))/60),2)),""))</f>
        <v/>
      </c>
      <c r="R1254" s="97">
        <f>IF(B1254="","",IF(N(K1254)&gt;0,K1254,IF(N(J1254)&gt;0,J1254,N(Q1254))))</f>
        <v/>
      </c>
      <c r="S1254" s="55">
        <f>IF(L1254="","",ROUND(L1254*(1+N(M1254)),2))</f>
        <v/>
      </c>
      <c r="T1254" s="55">
        <f>IF(B1254="","",SUMIFS('REVENUE'!$C$5:$C$1504,'REVENUE'!$B$5:$B$1504,A1254))</f>
        <v/>
      </c>
      <c r="U1254" s="55">
        <f>IF(B1254="","",IF(O1254="Completed",MAX(0,N(S1254)-T1254),""))</f>
        <v/>
      </c>
      <c r="V1254" s="49">
        <f>IF(B1254="","",IF(O1254&lt;&gt;"Completed",IF(T1254&gt;0,"Deposit","—"),IF(U1254&lt;=0.005,"Paid",IF(T1254&gt;0,"Partial","Unpaid"))))</f>
        <v/>
      </c>
      <c r="W1254" s="55">
        <f>IF(B1254="","",IFERROR(1/(1/INDEX('STAFF &amp; TASKS'!$C$5:$C$24,MATCH(H1254,'STAFF &amp; TASKS'!$A$5:$A$24,0))),PayRate))</f>
        <v/>
      </c>
      <c r="X1254" s="55">
        <f>IF(B1254="","",IF(OR(O1254="Cancelled",O1254="No-Show"),"",ROUND(R1254*W1254*(1+Burden),2)))</f>
        <v/>
      </c>
      <c r="Y1254" s="55">
        <f>IF(B1254="","",IF(OR(O1254="Cancelled",O1254="No-Show"),"",IF(N1254&lt;&gt;"",N1254,ROUND(R1254*SupHr*IFERROR(INDEX('PRICING'!$G$7:$G$16,MATCH(F1254,'PRICING'!$A$7:$A$16,0)),1),2))))</f>
        <v/>
      </c>
      <c r="Z1254" s="98">
        <f>IF(B1254="","",SUMIFS('MILEAGE'!$J$5:$J$1504,'MILEAGE'!$B$5:$B$1504,A1254))</f>
        <v/>
      </c>
      <c r="AA1254" s="55">
        <f>IF(B1254="","",ROUND(Z1254*MileRate,2))</f>
        <v/>
      </c>
      <c r="AB1254" s="55">
        <f>IF(B1254="","",SUMIFS('REVENUE'!$J$5:$J$1504,'REVENUE'!$B$5:$B$1504,A1254))</f>
        <v/>
      </c>
      <c r="AC1254" s="55">
        <f>IF(L1254="","",IF(OR(O1254="Cancelled",O1254="No-Show"),"",L1254-N(X1254)-N(Y1254)-AA1254-AB1254))</f>
        <v/>
      </c>
      <c r="AD1254" s="99">
        <f>IF(OR(AC1254="",N(L1254)=0),"",AC1254/L1254)</f>
        <v/>
      </c>
      <c r="AE1254" s="55">
        <f>IF(OR(AC1254="",N(R1254)=0),"",L1254/R1254)</f>
        <v/>
      </c>
      <c r="AF1254" s="100">
        <f>IF(OR(N(K1254)=0,N(J1254)+N(Q1254)=0),"",K1254-IF(N(J1254)&gt;0,J1254,Q1254))</f>
        <v/>
      </c>
      <c r="AG1254" s="99">
        <f>IF(B1254="","",IFERROR(AVERAGEIFS('QUALITY CONTROL'!$M$5:$M$304,'QUALITY CONTROL'!$B$5:$B$304,A1254),""))</f>
        <v/>
      </c>
      <c r="AH1254" s="51">
        <f>IF(B1254="","",DATE(YEAR(B1254),MONTH(B1254),1))</f>
        <v/>
      </c>
      <c r="AI1254" s="49">
        <f>IF(D1254="","",IFERROR(INDEX('CUSTOMERS'!$E$5:$E$404,MATCH(D1254,'CUSTOMERS'!$B$5:$B$404,0)),""))</f>
        <v/>
      </c>
      <c r="AJ1254" s="49">
        <f>IF(B1254="","",N(C1254))</f>
        <v/>
      </c>
      <c r="AK1254" s="49">
        <f>IF(OR(B1254="",O1254="Cancelled",O1254="Rescheduled"),"",B1254&amp;"|"&amp;(COUNTIFS('JOBS'!$B$5:$B$1504,B1254,'JOBS'!$AJ$5:$AJ$1504,"&lt;"&amp;AJ1254,'JOBS'!$O$5:$O$1504,"&lt;&gt;Cancelled",'JOBS'!$O$5:$O$1504,"&lt;&gt;Rescheduled")+COUNTIFS($B$5:B1254,B1254,$AJ$5:AJ1254,AJ1254,$O$5:O1254,"&lt;&gt;Cancelled",$O$5:O1254,"&lt;&gt;Rescheduled")))</f>
        <v/>
      </c>
      <c r="AL1254" s="49">
        <f>IF(N(U1254)&lt;=0.005,"",COUNTIFS('JOBS'!$U$5:$U$1504,"&gt;0.005",'JOBS'!$B$5:$B$1504,"&lt;"&amp;B1254)+COUNTIFS($U$5:U1254,"&gt;0.005",$B$5:B1254,B1254))</f>
        <v/>
      </c>
    </row>
    <row r="1255">
      <c r="A1255" s="46" t="inlineStr">
        <is>
          <t>J-1251</t>
        </is>
      </c>
      <c r="B1255" s="47" t="n"/>
      <c r="C1255" s="94" t="n"/>
      <c r="D1255" s="38" t="n"/>
      <c r="E1255" s="38" t="n"/>
      <c r="F1255" s="38" t="n"/>
      <c r="G1255" s="38" t="n"/>
      <c r="H1255" s="38" t="n"/>
      <c r="I1255" s="57" t="n"/>
      <c r="J1255" s="95" t="n"/>
      <c r="K1255" s="95" t="n"/>
      <c r="L1255" s="48" t="n"/>
      <c r="M1255" s="96" t="n"/>
      <c r="N1255" s="48" t="n"/>
      <c r="O1255" s="38" t="n"/>
      <c r="P1255" s="38" t="n"/>
      <c r="Q1255" s="97">
        <f>IF(OR(F1255="",E1255=""),"",IFERROR(IF(INDEX('PROPERTIES'!$F$5:$F$404,MATCH(E1255,'PROPERTIES'!$B$5:$B$404,0))=0,"",ROUND((INDEX('PROPERTIES'!$F$5:$F$404,MATCH(E1255,'PROPERTIES'!$B$5:$B$404,0))/INDEX('PRICING'!$C$7:$C$16,MATCH(F1255,'PRICING'!$A$7:$A$16,0))+INDEX('PROPERTIES'!$G$5:$G$404,MATCH(E1255,'PROPERTIES'!$B$5:$B$404,0))*INDEX('PRICING'!$D$7:$D$16,MATCH(F1255,'PRICING'!$A$7:$A$16,0))/60+INDEX('PROPERTIES'!$H$5:$H$404,MATCH(E1255,'PROPERTIES'!$B$5:$B$404,0))*INDEX('PRICING'!$E$7:$E$16,MATCH(F1255,'PRICING'!$A$7:$A$16,0))/60+INDEX('PRICING'!$F$7:$F$16,MATCH(F1255,'PRICING'!$A$7:$A$16,0))/60),2)),""))</f>
        <v/>
      </c>
      <c r="R1255" s="97">
        <f>IF(B1255="","",IF(N(K1255)&gt;0,K1255,IF(N(J1255)&gt;0,J1255,N(Q1255))))</f>
        <v/>
      </c>
      <c r="S1255" s="55">
        <f>IF(L1255="","",ROUND(L1255*(1+N(M1255)),2))</f>
        <v/>
      </c>
      <c r="T1255" s="55">
        <f>IF(B1255="","",SUMIFS('REVENUE'!$C$5:$C$1504,'REVENUE'!$B$5:$B$1504,A1255))</f>
        <v/>
      </c>
      <c r="U1255" s="55">
        <f>IF(B1255="","",IF(O1255="Completed",MAX(0,N(S1255)-T1255),""))</f>
        <v/>
      </c>
      <c r="V1255" s="49">
        <f>IF(B1255="","",IF(O1255&lt;&gt;"Completed",IF(T1255&gt;0,"Deposit","—"),IF(U1255&lt;=0.005,"Paid",IF(T1255&gt;0,"Partial","Unpaid"))))</f>
        <v/>
      </c>
      <c r="W1255" s="55">
        <f>IF(B1255="","",IFERROR(1/(1/INDEX('STAFF &amp; TASKS'!$C$5:$C$24,MATCH(H1255,'STAFF &amp; TASKS'!$A$5:$A$24,0))),PayRate))</f>
        <v/>
      </c>
      <c r="X1255" s="55">
        <f>IF(B1255="","",IF(OR(O1255="Cancelled",O1255="No-Show"),"",ROUND(R1255*W1255*(1+Burden),2)))</f>
        <v/>
      </c>
      <c r="Y1255" s="55">
        <f>IF(B1255="","",IF(OR(O1255="Cancelled",O1255="No-Show"),"",IF(N1255&lt;&gt;"",N1255,ROUND(R1255*SupHr*IFERROR(INDEX('PRICING'!$G$7:$G$16,MATCH(F1255,'PRICING'!$A$7:$A$16,0)),1),2))))</f>
        <v/>
      </c>
      <c r="Z1255" s="98">
        <f>IF(B1255="","",SUMIFS('MILEAGE'!$J$5:$J$1504,'MILEAGE'!$B$5:$B$1504,A1255))</f>
        <v/>
      </c>
      <c r="AA1255" s="55">
        <f>IF(B1255="","",ROUND(Z1255*MileRate,2))</f>
        <v/>
      </c>
      <c r="AB1255" s="55">
        <f>IF(B1255="","",SUMIFS('REVENUE'!$J$5:$J$1504,'REVENUE'!$B$5:$B$1504,A1255))</f>
        <v/>
      </c>
      <c r="AC1255" s="55">
        <f>IF(L1255="","",IF(OR(O1255="Cancelled",O1255="No-Show"),"",L1255-N(X1255)-N(Y1255)-AA1255-AB1255))</f>
        <v/>
      </c>
      <c r="AD1255" s="99">
        <f>IF(OR(AC1255="",N(L1255)=0),"",AC1255/L1255)</f>
        <v/>
      </c>
      <c r="AE1255" s="55">
        <f>IF(OR(AC1255="",N(R1255)=0),"",L1255/R1255)</f>
        <v/>
      </c>
      <c r="AF1255" s="100">
        <f>IF(OR(N(K1255)=0,N(J1255)+N(Q1255)=0),"",K1255-IF(N(J1255)&gt;0,J1255,Q1255))</f>
        <v/>
      </c>
      <c r="AG1255" s="99">
        <f>IF(B1255="","",IFERROR(AVERAGEIFS('QUALITY CONTROL'!$M$5:$M$304,'QUALITY CONTROL'!$B$5:$B$304,A1255),""))</f>
        <v/>
      </c>
      <c r="AH1255" s="51">
        <f>IF(B1255="","",DATE(YEAR(B1255),MONTH(B1255),1))</f>
        <v/>
      </c>
      <c r="AI1255" s="49">
        <f>IF(D1255="","",IFERROR(INDEX('CUSTOMERS'!$E$5:$E$404,MATCH(D1255,'CUSTOMERS'!$B$5:$B$404,0)),""))</f>
        <v/>
      </c>
      <c r="AJ1255" s="49">
        <f>IF(B1255="","",N(C1255))</f>
        <v/>
      </c>
      <c r="AK1255" s="49">
        <f>IF(OR(B1255="",O1255="Cancelled",O1255="Rescheduled"),"",B1255&amp;"|"&amp;(COUNTIFS('JOBS'!$B$5:$B$1504,B1255,'JOBS'!$AJ$5:$AJ$1504,"&lt;"&amp;AJ1255,'JOBS'!$O$5:$O$1504,"&lt;&gt;Cancelled",'JOBS'!$O$5:$O$1504,"&lt;&gt;Rescheduled")+COUNTIFS($B$5:B1255,B1255,$AJ$5:AJ1255,AJ1255,$O$5:O1255,"&lt;&gt;Cancelled",$O$5:O1255,"&lt;&gt;Rescheduled")))</f>
        <v/>
      </c>
      <c r="AL1255" s="49">
        <f>IF(N(U1255)&lt;=0.005,"",COUNTIFS('JOBS'!$U$5:$U$1504,"&gt;0.005",'JOBS'!$B$5:$B$1504,"&lt;"&amp;B1255)+COUNTIFS($U$5:U1255,"&gt;0.005",$B$5:B1255,B1255))</f>
        <v/>
      </c>
    </row>
    <row r="1256">
      <c r="A1256" s="46" t="inlineStr">
        <is>
          <t>J-1252</t>
        </is>
      </c>
      <c r="B1256" s="47" t="n"/>
      <c r="C1256" s="94" t="n"/>
      <c r="D1256" s="38" t="n"/>
      <c r="E1256" s="38" t="n"/>
      <c r="F1256" s="38" t="n"/>
      <c r="G1256" s="38" t="n"/>
      <c r="H1256" s="38" t="n"/>
      <c r="I1256" s="57" t="n"/>
      <c r="J1256" s="95" t="n"/>
      <c r="K1256" s="95" t="n"/>
      <c r="L1256" s="48" t="n"/>
      <c r="M1256" s="96" t="n"/>
      <c r="N1256" s="48" t="n"/>
      <c r="O1256" s="38" t="n"/>
      <c r="P1256" s="38" t="n"/>
      <c r="Q1256" s="97">
        <f>IF(OR(F1256="",E1256=""),"",IFERROR(IF(INDEX('PROPERTIES'!$F$5:$F$404,MATCH(E1256,'PROPERTIES'!$B$5:$B$404,0))=0,"",ROUND((INDEX('PROPERTIES'!$F$5:$F$404,MATCH(E1256,'PROPERTIES'!$B$5:$B$404,0))/INDEX('PRICING'!$C$7:$C$16,MATCH(F1256,'PRICING'!$A$7:$A$16,0))+INDEX('PROPERTIES'!$G$5:$G$404,MATCH(E1256,'PROPERTIES'!$B$5:$B$404,0))*INDEX('PRICING'!$D$7:$D$16,MATCH(F1256,'PRICING'!$A$7:$A$16,0))/60+INDEX('PROPERTIES'!$H$5:$H$404,MATCH(E1256,'PROPERTIES'!$B$5:$B$404,0))*INDEX('PRICING'!$E$7:$E$16,MATCH(F1256,'PRICING'!$A$7:$A$16,0))/60+INDEX('PRICING'!$F$7:$F$16,MATCH(F1256,'PRICING'!$A$7:$A$16,0))/60),2)),""))</f>
        <v/>
      </c>
      <c r="R1256" s="97">
        <f>IF(B1256="","",IF(N(K1256)&gt;0,K1256,IF(N(J1256)&gt;0,J1256,N(Q1256))))</f>
        <v/>
      </c>
      <c r="S1256" s="55">
        <f>IF(L1256="","",ROUND(L1256*(1+N(M1256)),2))</f>
        <v/>
      </c>
      <c r="T1256" s="55">
        <f>IF(B1256="","",SUMIFS('REVENUE'!$C$5:$C$1504,'REVENUE'!$B$5:$B$1504,A1256))</f>
        <v/>
      </c>
      <c r="U1256" s="55">
        <f>IF(B1256="","",IF(O1256="Completed",MAX(0,N(S1256)-T1256),""))</f>
        <v/>
      </c>
      <c r="V1256" s="49">
        <f>IF(B1256="","",IF(O1256&lt;&gt;"Completed",IF(T1256&gt;0,"Deposit","—"),IF(U1256&lt;=0.005,"Paid",IF(T1256&gt;0,"Partial","Unpaid"))))</f>
        <v/>
      </c>
      <c r="W1256" s="55">
        <f>IF(B1256="","",IFERROR(1/(1/INDEX('STAFF &amp; TASKS'!$C$5:$C$24,MATCH(H1256,'STAFF &amp; TASKS'!$A$5:$A$24,0))),PayRate))</f>
        <v/>
      </c>
      <c r="X1256" s="55">
        <f>IF(B1256="","",IF(OR(O1256="Cancelled",O1256="No-Show"),"",ROUND(R1256*W1256*(1+Burden),2)))</f>
        <v/>
      </c>
      <c r="Y1256" s="55">
        <f>IF(B1256="","",IF(OR(O1256="Cancelled",O1256="No-Show"),"",IF(N1256&lt;&gt;"",N1256,ROUND(R1256*SupHr*IFERROR(INDEX('PRICING'!$G$7:$G$16,MATCH(F1256,'PRICING'!$A$7:$A$16,0)),1),2))))</f>
        <v/>
      </c>
      <c r="Z1256" s="98">
        <f>IF(B1256="","",SUMIFS('MILEAGE'!$J$5:$J$1504,'MILEAGE'!$B$5:$B$1504,A1256))</f>
        <v/>
      </c>
      <c r="AA1256" s="55">
        <f>IF(B1256="","",ROUND(Z1256*MileRate,2))</f>
        <v/>
      </c>
      <c r="AB1256" s="55">
        <f>IF(B1256="","",SUMIFS('REVENUE'!$J$5:$J$1504,'REVENUE'!$B$5:$B$1504,A1256))</f>
        <v/>
      </c>
      <c r="AC1256" s="55">
        <f>IF(L1256="","",IF(OR(O1256="Cancelled",O1256="No-Show"),"",L1256-N(X1256)-N(Y1256)-AA1256-AB1256))</f>
        <v/>
      </c>
      <c r="AD1256" s="99">
        <f>IF(OR(AC1256="",N(L1256)=0),"",AC1256/L1256)</f>
        <v/>
      </c>
      <c r="AE1256" s="55">
        <f>IF(OR(AC1256="",N(R1256)=0),"",L1256/R1256)</f>
        <v/>
      </c>
      <c r="AF1256" s="100">
        <f>IF(OR(N(K1256)=0,N(J1256)+N(Q1256)=0),"",K1256-IF(N(J1256)&gt;0,J1256,Q1256))</f>
        <v/>
      </c>
      <c r="AG1256" s="99">
        <f>IF(B1256="","",IFERROR(AVERAGEIFS('QUALITY CONTROL'!$M$5:$M$304,'QUALITY CONTROL'!$B$5:$B$304,A1256),""))</f>
        <v/>
      </c>
      <c r="AH1256" s="51">
        <f>IF(B1256="","",DATE(YEAR(B1256),MONTH(B1256),1))</f>
        <v/>
      </c>
      <c r="AI1256" s="49">
        <f>IF(D1256="","",IFERROR(INDEX('CUSTOMERS'!$E$5:$E$404,MATCH(D1256,'CUSTOMERS'!$B$5:$B$404,0)),""))</f>
        <v/>
      </c>
      <c r="AJ1256" s="49">
        <f>IF(B1256="","",N(C1256))</f>
        <v/>
      </c>
      <c r="AK1256" s="49">
        <f>IF(OR(B1256="",O1256="Cancelled",O1256="Rescheduled"),"",B1256&amp;"|"&amp;(COUNTIFS('JOBS'!$B$5:$B$1504,B1256,'JOBS'!$AJ$5:$AJ$1504,"&lt;"&amp;AJ1256,'JOBS'!$O$5:$O$1504,"&lt;&gt;Cancelled",'JOBS'!$O$5:$O$1504,"&lt;&gt;Rescheduled")+COUNTIFS($B$5:B1256,B1256,$AJ$5:AJ1256,AJ1256,$O$5:O1256,"&lt;&gt;Cancelled",$O$5:O1256,"&lt;&gt;Rescheduled")))</f>
        <v/>
      </c>
      <c r="AL1256" s="49">
        <f>IF(N(U1256)&lt;=0.005,"",COUNTIFS('JOBS'!$U$5:$U$1504,"&gt;0.005",'JOBS'!$B$5:$B$1504,"&lt;"&amp;B1256)+COUNTIFS($U$5:U1256,"&gt;0.005",$B$5:B1256,B1256))</f>
        <v/>
      </c>
    </row>
    <row r="1257">
      <c r="A1257" s="46" t="inlineStr">
        <is>
          <t>J-1253</t>
        </is>
      </c>
      <c r="B1257" s="47" t="n"/>
      <c r="C1257" s="94" t="n"/>
      <c r="D1257" s="38" t="n"/>
      <c r="E1257" s="38" t="n"/>
      <c r="F1257" s="38" t="n"/>
      <c r="G1257" s="38" t="n"/>
      <c r="H1257" s="38" t="n"/>
      <c r="I1257" s="57" t="n"/>
      <c r="J1257" s="95" t="n"/>
      <c r="K1257" s="95" t="n"/>
      <c r="L1257" s="48" t="n"/>
      <c r="M1257" s="96" t="n"/>
      <c r="N1257" s="48" t="n"/>
      <c r="O1257" s="38" t="n"/>
      <c r="P1257" s="38" t="n"/>
      <c r="Q1257" s="97">
        <f>IF(OR(F1257="",E1257=""),"",IFERROR(IF(INDEX('PROPERTIES'!$F$5:$F$404,MATCH(E1257,'PROPERTIES'!$B$5:$B$404,0))=0,"",ROUND((INDEX('PROPERTIES'!$F$5:$F$404,MATCH(E1257,'PROPERTIES'!$B$5:$B$404,0))/INDEX('PRICING'!$C$7:$C$16,MATCH(F1257,'PRICING'!$A$7:$A$16,0))+INDEX('PROPERTIES'!$G$5:$G$404,MATCH(E1257,'PROPERTIES'!$B$5:$B$404,0))*INDEX('PRICING'!$D$7:$D$16,MATCH(F1257,'PRICING'!$A$7:$A$16,0))/60+INDEX('PROPERTIES'!$H$5:$H$404,MATCH(E1257,'PROPERTIES'!$B$5:$B$404,0))*INDEX('PRICING'!$E$7:$E$16,MATCH(F1257,'PRICING'!$A$7:$A$16,0))/60+INDEX('PRICING'!$F$7:$F$16,MATCH(F1257,'PRICING'!$A$7:$A$16,0))/60),2)),""))</f>
        <v/>
      </c>
      <c r="R1257" s="97">
        <f>IF(B1257="","",IF(N(K1257)&gt;0,K1257,IF(N(J1257)&gt;0,J1257,N(Q1257))))</f>
        <v/>
      </c>
      <c r="S1257" s="55">
        <f>IF(L1257="","",ROUND(L1257*(1+N(M1257)),2))</f>
        <v/>
      </c>
      <c r="T1257" s="55">
        <f>IF(B1257="","",SUMIFS('REVENUE'!$C$5:$C$1504,'REVENUE'!$B$5:$B$1504,A1257))</f>
        <v/>
      </c>
      <c r="U1257" s="55">
        <f>IF(B1257="","",IF(O1257="Completed",MAX(0,N(S1257)-T1257),""))</f>
        <v/>
      </c>
      <c r="V1257" s="49">
        <f>IF(B1257="","",IF(O1257&lt;&gt;"Completed",IF(T1257&gt;0,"Deposit","—"),IF(U1257&lt;=0.005,"Paid",IF(T1257&gt;0,"Partial","Unpaid"))))</f>
        <v/>
      </c>
      <c r="W1257" s="55">
        <f>IF(B1257="","",IFERROR(1/(1/INDEX('STAFF &amp; TASKS'!$C$5:$C$24,MATCH(H1257,'STAFF &amp; TASKS'!$A$5:$A$24,0))),PayRate))</f>
        <v/>
      </c>
      <c r="X1257" s="55">
        <f>IF(B1257="","",IF(OR(O1257="Cancelled",O1257="No-Show"),"",ROUND(R1257*W1257*(1+Burden),2)))</f>
        <v/>
      </c>
      <c r="Y1257" s="55">
        <f>IF(B1257="","",IF(OR(O1257="Cancelled",O1257="No-Show"),"",IF(N1257&lt;&gt;"",N1257,ROUND(R1257*SupHr*IFERROR(INDEX('PRICING'!$G$7:$G$16,MATCH(F1257,'PRICING'!$A$7:$A$16,0)),1),2))))</f>
        <v/>
      </c>
      <c r="Z1257" s="98">
        <f>IF(B1257="","",SUMIFS('MILEAGE'!$J$5:$J$1504,'MILEAGE'!$B$5:$B$1504,A1257))</f>
        <v/>
      </c>
      <c r="AA1257" s="55">
        <f>IF(B1257="","",ROUND(Z1257*MileRate,2))</f>
        <v/>
      </c>
      <c r="AB1257" s="55">
        <f>IF(B1257="","",SUMIFS('REVENUE'!$J$5:$J$1504,'REVENUE'!$B$5:$B$1504,A1257))</f>
        <v/>
      </c>
      <c r="AC1257" s="55">
        <f>IF(L1257="","",IF(OR(O1257="Cancelled",O1257="No-Show"),"",L1257-N(X1257)-N(Y1257)-AA1257-AB1257))</f>
        <v/>
      </c>
      <c r="AD1257" s="99">
        <f>IF(OR(AC1257="",N(L1257)=0),"",AC1257/L1257)</f>
        <v/>
      </c>
      <c r="AE1257" s="55">
        <f>IF(OR(AC1257="",N(R1257)=0),"",L1257/R1257)</f>
        <v/>
      </c>
      <c r="AF1257" s="100">
        <f>IF(OR(N(K1257)=0,N(J1257)+N(Q1257)=0),"",K1257-IF(N(J1257)&gt;0,J1257,Q1257))</f>
        <v/>
      </c>
      <c r="AG1257" s="99">
        <f>IF(B1257="","",IFERROR(AVERAGEIFS('QUALITY CONTROL'!$M$5:$M$304,'QUALITY CONTROL'!$B$5:$B$304,A1257),""))</f>
        <v/>
      </c>
      <c r="AH1257" s="51">
        <f>IF(B1257="","",DATE(YEAR(B1257),MONTH(B1257),1))</f>
        <v/>
      </c>
      <c r="AI1257" s="49">
        <f>IF(D1257="","",IFERROR(INDEX('CUSTOMERS'!$E$5:$E$404,MATCH(D1257,'CUSTOMERS'!$B$5:$B$404,0)),""))</f>
        <v/>
      </c>
      <c r="AJ1257" s="49">
        <f>IF(B1257="","",N(C1257))</f>
        <v/>
      </c>
      <c r="AK1257" s="49">
        <f>IF(OR(B1257="",O1257="Cancelled",O1257="Rescheduled"),"",B1257&amp;"|"&amp;(COUNTIFS('JOBS'!$B$5:$B$1504,B1257,'JOBS'!$AJ$5:$AJ$1504,"&lt;"&amp;AJ1257,'JOBS'!$O$5:$O$1504,"&lt;&gt;Cancelled",'JOBS'!$O$5:$O$1504,"&lt;&gt;Rescheduled")+COUNTIFS($B$5:B1257,B1257,$AJ$5:AJ1257,AJ1257,$O$5:O1257,"&lt;&gt;Cancelled",$O$5:O1257,"&lt;&gt;Rescheduled")))</f>
        <v/>
      </c>
      <c r="AL1257" s="49">
        <f>IF(N(U1257)&lt;=0.005,"",COUNTIFS('JOBS'!$U$5:$U$1504,"&gt;0.005",'JOBS'!$B$5:$B$1504,"&lt;"&amp;B1257)+COUNTIFS($U$5:U1257,"&gt;0.005",$B$5:B1257,B1257))</f>
        <v/>
      </c>
    </row>
    <row r="1258">
      <c r="A1258" s="46" t="inlineStr">
        <is>
          <t>J-1254</t>
        </is>
      </c>
      <c r="B1258" s="47" t="n"/>
      <c r="C1258" s="94" t="n"/>
      <c r="D1258" s="38" t="n"/>
      <c r="E1258" s="38" t="n"/>
      <c r="F1258" s="38" t="n"/>
      <c r="G1258" s="38" t="n"/>
      <c r="H1258" s="38" t="n"/>
      <c r="I1258" s="57" t="n"/>
      <c r="J1258" s="95" t="n"/>
      <c r="K1258" s="95" t="n"/>
      <c r="L1258" s="48" t="n"/>
      <c r="M1258" s="96" t="n"/>
      <c r="N1258" s="48" t="n"/>
      <c r="O1258" s="38" t="n"/>
      <c r="P1258" s="38" t="n"/>
      <c r="Q1258" s="97">
        <f>IF(OR(F1258="",E1258=""),"",IFERROR(IF(INDEX('PROPERTIES'!$F$5:$F$404,MATCH(E1258,'PROPERTIES'!$B$5:$B$404,0))=0,"",ROUND((INDEX('PROPERTIES'!$F$5:$F$404,MATCH(E1258,'PROPERTIES'!$B$5:$B$404,0))/INDEX('PRICING'!$C$7:$C$16,MATCH(F1258,'PRICING'!$A$7:$A$16,0))+INDEX('PROPERTIES'!$G$5:$G$404,MATCH(E1258,'PROPERTIES'!$B$5:$B$404,0))*INDEX('PRICING'!$D$7:$D$16,MATCH(F1258,'PRICING'!$A$7:$A$16,0))/60+INDEX('PROPERTIES'!$H$5:$H$404,MATCH(E1258,'PROPERTIES'!$B$5:$B$404,0))*INDEX('PRICING'!$E$7:$E$16,MATCH(F1258,'PRICING'!$A$7:$A$16,0))/60+INDEX('PRICING'!$F$7:$F$16,MATCH(F1258,'PRICING'!$A$7:$A$16,0))/60),2)),""))</f>
        <v/>
      </c>
      <c r="R1258" s="97">
        <f>IF(B1258="","",IF(N(K1258)&gt;0,K1258,IF(N(J1258)&gt;0,J1258,N(Q1258))))</f>
        <v/>
      </c>
      <c r="S1258" s="55">
        <f>IF(L1258="","",ROUND(L1258*(1+N(M1258)),2))</f>
        <v/>
      </c>
      <c r="T1258" s="55">
        <f>IF(B1258="","",SUMIFS('REVENUE'!$C$5:$C$1504,'REVENUE'!$B$5:$B$1504,A1258))</f>
        <v/>
      </c>
      <c r="U1258" s="55">
        <f>IF(B1258="","",IF(O1258="Completed",MAX(0,N(S1258)-T1258),""))</f>
        <v/>
      </c>
      <c r="V1258" s="49">
        <f>IF(B1258="","",IF(O1258&lt;&gt;"Completed",IF(T1258&gt;0,"Deposit","—"),IF(U1258&lt;=0.005,"Paid",IF(T1258&gt;0,"Partial","Unpaid"))))</f>
        <v/>
      </c>
      <c r="W1258" s="55">
        <f>IF(B1258="","",IFERROR(1/(1/INDEX('STAFF &amp; TASKS'!$C$5:$C$24,MATCH(H1258,'STAFF &amp; TASKS'!$A$5:$A$24,0))),PayRate))</f>
        <v/>
      </c>
      <c r="X1258" s="55">
        <f>IF(B1258="","",IF(OR(O1258="Cancelled",O1258="No-Show"),"",ROUND(R1258*W1258*(1+Burden),2)))</f>
        <v/>
      </c>
      <c r="Y1258" s="55">
        <f>IF(B1258="","",IF(OR(O1258="Cancelled",O1258="No-Show"),"",IF(N1258&lt;&gt;"",N1258,ROUND(R1258*SupHr*IFERROR(INDEX('PRICING'!$G$7:$G$16,MATCH(F1258,'PRICING'!$A$7:$A$16,0)),1),2))))</f>
        <v/>
      </c>
      <c r="Z1258" s="98">
        <f>IF(B1258="","",SUMIFS('MILEAGE'!$J$5:$J$1504,'MILEAGE'!$B$5:$B$1504,A1258))</f>
        <v/>
      </c>
      <c r="AA1258" s="55">
        <f>IF(B1258="","",ROUND(Z1258*MileRate,2))</f>
        <v/>
      </c>
      <c r="AB1258" s="55">
        <f>IF(B1258="","",SUMIFS('REVENUE'!$J$5:$J$1504,'REVENUE'!$B$5:$B$1504,A1258))</f>
        <v/>
      </c>
      <c r="AC1258" s="55">
        <f>IF(L1258="","",IF(OR(O1258="Cancelled",O1258="No-Show"),"",L1258-N(X1258)-N(Y1258)-AA1258-AB1258))</f>
        <v/>
      </c>
      <c r="AD1258" s="99">
        <f>IF(OR(AC1258="",N(L1258)=0),"",AC1258/L1258)</f>
        <v/>
      </c>
      <c r="AE1258" s="55">
        <f>IF(OR(AC1258="",N(R1258)=0),"",L1258/R1258)</f>
        <v/>
      </c>
      <c r="AF1258" s="100">
        <f>IF(OR(N(K1258)=0,N(J1258)+N(Q1258)=0),"",K1258-IF(N(J1258)&gt;0,J1258,Q1258))</f>
        <v/>
      </c>
      <c r="AG1258" s="99">
        <f>IF(B1258="","",IFERROR(AVERAGEIFS('QUALITY CONTROL'!$M$5:$M$304,'QUALITY CONTROL'!$B$5:$B$304,A1258),""))</f>
        <v/>
      </c>
      <c r="AH1258" s="51">
        <f>IF(B1258="","",DATE(YEAR(B1258),MONTH(B1258),1))</f>
        <v/>
      </c>
      <c r="AI1258" s="49">
        <f>IF(D1258="","",IFERROR(INDEX('CUSTOMERS'!$E$5:$E$404,MATCH(D1258,'CUSTOMERS'!$B$5:$B$404,0)),""))</f>
        <v/>
      </c>
      <c r="AJ1258" s="49">
        <f>IF(B1258="","",N(C1258))</f>
        <v/>
      </c>
      <c r="AK1258" s="49">
        <f>IF(OR(B1258="",O1258="Cancelled",O1258="Rescheduled"),"",B1258&amp;"|"&amp;(COUNTIFS('JOBS'!$B$5:$B$1504,B1258,'JOBS'!$AJ$5:$AJ$1504,"&lt;"&amp;AJ1258,'JOBS'!$O$5:$O$1504,"&lt;&gt;Cancelled",'JOBS'!$O$5:$O$1504,"&lt;&gt;Rescheduled")+COUNTIFS($B$5:B1258,B1258,$AJ$5:AJ1258,AJ1258,$O$5:O1258,"&lt;&gt;Cancelled",$O$5:O1258,"&lt;&gt;Rescheduled")))</f>
        <v/>
      </c>
      <c r="AL1258" s="49">
        <f>IF(N(U1258)&lt;=0.005,"",COUNTIFS('JOBS'!$U$5:$U$1504,"&gt;0.005",'JOBS'!$B$5:$B$1504,"&lt;"&amp;B1258)+COUNTIFS($U$5:U1258,"&gt;0.005",$B$5:B1258,B1258))</f>
        <v/>
      </c>
    </row>
    <row r="1259">
      <c r="A1259" s="46" t="inlineStr">
        <is>
          <t>J-1255</t>
        </is>
      </c>
      <c r="B1259" s="47" t="n"/>
      <c r="C1259" s="94" t="n"/>
      <c r="D1259" s="38" t="n"/>
      <c r="E1259" s="38" t="n"/>
      <c r="F1259" s="38" t="n"/>
      <c r="G1259" s="38" t="n"/>
      <c r="H1259" s="38" t="n"/>
      <c r="I1259" s="57" t="n"/>
      <c r="J1259" s="95" t="n"/>
      <c r="K1259" s="95" t="n"/>
      <c r="L1259" s="48" t="n"/>
      <c r="M1259" s="96" t="n"/>
      <c r="N1259" s="48" t="n"/>
      <c r="O1259" s="38" t="n"/>
      <c r="P1259" s="38" t="n"/>
      <c r="Q1259" s="97">
        <f>IF(OR(F1259="",E1259=""),"",IFERROR(IF(INDEX('PROPERTIES'!$F$5:$F$404,MATCH(E1259,'PROPERTIES'!$B$5:$B$404,0))=0,"",ROUND((INDEX('PROPERTIES'!$F$5:$F$404,MATCH(E1259,'PROPERTIES'!$B$5:$B$404,0))/INDEX('PRICING'!$C$7:$C$16,MATCH(F1259,'PRICING'!$A$7:$A$16,0))+INDEX('PROPERTIES'!$G$5:$G$404,MATCH(E1259,'PROPERTIES'!$B$5:$B$404,0))*INDEX('PRICING'!$D$7:$D$16,MATCH(F1259,'PRICING'!$A$7:$A$16,0))/60+INDEX('PROPERTIES'!$H$5:$H$404,MATCH(E1259,'PROPERTIES'!$B$5:$B$404,0))*INDEX('PRICING'!$E$7:$E$16,MATCH(F1259,'PRICING'!$A$7:$A$16,0))/60+INDEX('PRICING'!$F$7:$F$16,MATCH(F1259,'PRICING'!$A$7:$A$16,0))/60),2)),""))</f>
        <v/>
      </c>
      <c r="R1259" s="97">
        <f>IF(B1259="","",IF(N(K1259)&gt;0,K1259,IF(N(J1259)&gt;0,J1259,N(Q1259))))</f>
        <v/>
      </c>
      <c r="S1259" s="55">
        <f>IF(L1259="","",ROUND(L1259*(1+N(M1259)),2))</f>
        <v/>
      </c>
      <c r="T1259" s="55">
        <f>IF(B1259="","",SUMIFS('REVENUE'!$C$5:$C$1504,'REVENUE'!$B$5:$B$1504,A1259))</f>
        <v/>
      </c>
      <c r="U1259" s="55">
        <f>IF(B1259="","",IF(O1259="Completed",MAX(0,N(S1259)-T1259),""))</f>
        <v/>
      </c>
      <c r="V1259" s="49">
        <f>IF(B1259="","",IF(O1259&lt;&gt;"Completed",IF(T1259&gt;0,"Deposit","—"),IF(U1259&lt;=0.005,"Paid",IF(T1259&gt;0,"Partial","Unpaid"))))</f>
        <v/>
      </c>
      <c r="W1259" s="55">
        <f>IF(B1259="","",IFERROR(1/(1/INDEX('STAFF &amp; TASKS'!$C$5:$C$24,MATCH(H1259,'STAFF &amp; TASKS'!$A$5:$A$24,0))),PayRate))</f>
        <v/>
      </c>
      <c r="X1259" s="55">
        <f>IF(B1259="","",IF(OR(O1259="Cancelled",O1259="No-Show"),"",ROUND(R1259*W1259*(1+Burden),2)))</f>
        <v/>
      </c>
      <c r="Y1259" s="55">
        <f>IF(B1259="","",IF(OR(O1259="Cancelled",O1259="No-Show"),"",IF(N1259&lt;&gt;"",N1259,ROUND(R1259*SupHr*IFERROR(INDEX('PRICING'!$G$7:$G$16,MATCH(F1259,'PRICING'!$A$7:$A$16,0)),1),2))))</f>
        <v/>
      </c>
      <c r="Z1259" s="98">
        <f>IF(B1259="","",SUMIFS('MILEAGE'!$J$5:$J$1504,'MILEAGE'!$B$5:$B$1504,A1259))</f>
        <v/>
      </c>
      <c r="AA1259" s="55">
        <f>IF(B1259="","",ROUND(Z1259*MileRate,2))</f>
        <v/>
      </c>
      <c r="AB1259" s="55">
        <f>IF(B1259="","",SUMIFS('REVENUE'!$J$5:$J$1504,'REVENUE'!$B$5:$B$1504,A1259))</f>
        <v/>
      </c>
      <c r="AC1259" s="55">
        <f>IF(L1259="","",IF(OR(O1259="Cancelled",O1259="No-Show"),"",L1259-N(X1259)-N(Y1259)-AA1259-AB1259))</f>
        <v/>
      </c>
      <c r="AD1259" s="99">
        <f>IF(OR(AC1259="",N(L1259)=0),"",AC1259/L1259)</f>
        <v/>
      </c>
      <c r="AE1259" s="55">
        <f>IF(OR(AC1259="",N(R1259)=0),"",L1259/R1259)</f>
        <v/>
      </c>
      <c r="AF1259" s="100">
        <f>IF(OR(N(K1259)=0,N(J1259)+N(Q1259)=0),"",K1259-IF(N(J1259)&gt;0,J1259,Q1259))</f>
        <v/>
      </c>
      <c r="AG1259" s="99">
        <f>IF(B1259="","",IFERROR(AVERAGEIFS('QUALITY CONTROL'!$M$5:$M$304,'QUALITY CONTROL'!$B$5:$B$304,A1259),""))</f>
        <v/>
      </c>
      <c r="AH1259" s="51">
        <f>IF(B1259="","",DATE(YEAR(B1259),MONTH(B1259),1))</f>
        <v/>
      </c>
      <c r="AI1259" s="49">
        <f>IF(D1259="","",IFERROR(INDEX('CUSTOMERS'!$E$5:$E$404,MATCH(D1259,'CUSTOMERS'!$B$5:$B$404,0)),""))</f>
        <v/>
      </c>
      <c r="AJ1259" s="49">
        <f>IF(B1259="","",N(C1259))</f>
        <v/>
      </c>
      <c r="AK1259" s="49">
        <f>IF(OR(B1259="",O1259="Cancelled",O1259="Rescheduled"),"",B1259&amp;"|"&amp;(COUNTIFS('JOBS'!$B$5:$B$1504,B1259,'JOBS'!$AJ$5:$AJ$1504,"&lt;"&amp;AJ1259,'JOBS'!$O$5:$O$1504,"&lt;&gt;Cancelled",'JOBS'!$O$5:$O$1504,"&lt;&gt;Rescheduled")+COUNTIFS($B$5:B1259,B1259,$AJ$5:AJ1259,AJ1259,$O$5:O1259,"&lt;&gt;Cancelled",$O$5:O1259,"&lt;&gt;Rescheduled")))</f>
        <v/>
      </c>
      <c r="AL1259" s="49">
        <f>IF(N(U1259)&lt;=0.005,"",COUNTIFS('JOBS'!$U$5:$U$1504,"&gt;0.005",'JOBS'!$B$5:$B$1504,"&lt;"&amp;B1259)+COUNTIFS($U$5:U1259,"&gt;0.005",$B$5:B1259,B1259))</f>
        <v/>
      </c>
    </row>
    <row r="1260">
      <c r="A1260" s="46" t="inlineStr">
        <is>
          <t>J-1256</t>
        </is>
      </c>
      <c r="B1260" s="47" t="n"/>
      <c r="C1260" s="94" t="n"/>
      <c r="D1260" s="38" t="n"/>
      <c r="E1260" s="38" t="n"/>
      <c r="F1260" s="38" t="n"/>
      <c r="G1260" s="38" t="n"/>
      <c r="H1260" s="38" t="n"/>
      <c r="I1260" s="57" t="n"/>
      <c r="J1260" s="95" t="n"/>
      <c r="K1260" s="95" t="n"/>
      <c r="L1260" s="48" t="n"/>
      <c r="M1260" s="96" t="n"/>
      <c r="N1260" s="48" t="n"/>
      <c r="O1260" s="38" t="n"/>
      <c r="P1260" s="38" t="n"/>
      <c r="Q1260" s="97">
        <f>IF(OR(F1260="",E1260=""),"",IFERROR(IF(INDEX('PROPERTIES'!$F$5:$F$404,MATCH(E1260,'PROPERTIES'!$B$5:$B$404,0))=0,"",ROUND((INDEX('PROPERTIES'!$F$5:$F$404,MATCH(E1260,'PROPERTIES'!$B$5:$B$404,0))/INDEX('PRICING'!$C$7:$C$16,MATCH(F1260,'PRICING'!$A$7:$A$16,0))+INDEX('PROPERTIES'!$G$5:$G$404,MATCH(E1260,'PROPERTIES'!$B$5:$B$404,0))*INDEX('PRICING'!$D$7:$D$16,MATCH(F1260,'PRICING'!$A$7:$A$16,0))/60+INDEX('PROPERTIES'!$H$5:$H$404,MATCH(E1260,'PROPERTIES'!$B$5:$B$404,0))*INDEX('PRICING'!$E$7:$E$16,MATCH(F1260,'PRICING'!$A$7:$A$16,0))/60+INDEX('PRICING'!$F$7:$F$16,MATCH(F1260,'PRICING'!$A$7:$A$16,0))/60),2)),""))</f>
        <v/>
      </c>
      <c r="R1260" s="97">
        <f>IF(B1260="","",IF(N(K1260)&gt;0,K1260,IF(N(J1260)&gt;0,J1260,N(Q1260))))</f>
        <v/>
      </c>
      <c r="S1260" s="55">
        <f>IF(L1260="","",ROUND(L1260*(1+N(M1260)),2))</f>
        <v/>
      </c>
      <c r="T1260" s="55">
        <f>IF(B1260="","",SUMIFS('REVENUE'!$C$5:$C$1504,'REVENUE'!$B$5:$B$1504,A1260))</f>
        <v/>
      </c>
      <c r="U1260" s="55">
        <f>IF(B1260="","",IF(O1260="Completed",MAX(0,N(S1260)-T1260),""))</f>
        <v/>
      </c>
      <c r="V1260" s="49">
        <f>IF(B1260="","",IF(O1260&lt;&gt;"Completed",IF(T1260&gt;0,"Deposit","—"),IF(U1260&lt;=0.005,"Paid",IF(T1260&gt;0,"Partial","Unpaid"))))</f>
        <v/>
      </c>
      <c r="W1260" s="55">
        <f>IF(B1260="","",IFERROR(1/(1/INDEX('STAFF &amp; TASKS'!$C$5:$C$24,MATCH(H1260,'STAFF &amp; TASKS'!$A$5:$A$24,0))),PayRate))</f>
        <v/>
      </c>
      <c r="X1260" s="55">
        <f>IF(B1260="","",IF(OR(O1260="Cancelled",O1260="No-Show"),"",ROUND(R1260*W1260*(1+Burden),2)))</f>
        <v/>
      </c>
      <c r="Y1260" s="55">
        <f>IF(B1260="","",IF(OR(O1260="Cancelled",O1260="No-Show"),"",IF(N1260&lt;&gt;"",N1260,ROUND(R1260*SupHr*IFERROR(INDEX('PRICING'!$G$7:$G$16,MATCH(F1260,'PRICING'!$A$7:$A$16,0)),1),2))))</f>
        <v/>
      </c>
      <c r="Z1260" s="98">
        <f>IF(B1260="","",SUMIFS('MILEAGE'!$J$5:$J$1504,'MILEAGE'!$B$5:$B$1504,A1260))</f>
        <v/>
      </c>
      <c r="AA1260" s="55">
        <f>IF(B1260="","",ROUND(Z1260*MileRate,2))</f>
        <v/>
      </c>
      <c r="AB1260" s="55">
        <f>IF(B1260="","",SUMIFS('REVENUE'!$J$5:$J$1504,'REVENUE'!$B$5:$B$1504,A1260))</f>
        <v/>
      </c>
      <c r="AC1260" s="55">
        <f>IF(L1260="","",IF(OR(O1260="Cancelled",O1260="No-Show"),"",L1260-N(X1260)-N(Y1260)-AA1260-AB1260))</f>
        <v/>
      </c>
      <c r="AD1260" s="99">
        <f>IF(OR(AC1260="",N(L1260)=0),"",AC1260/L1260)</f>
        <v/>
      </c>
      <c r="AE1260" s="55">
        <f>IF(OR(AC1260="",N(R1260)=0),"",L1260/R1260)</f>
        <v/>
      </c>
      <c r="AF1260" s="100">
        <f>IF(OR(N(K1260)=0,N(J1260)+N(Q1260)=0),"",K1260-IF(N(J1260)&gt;0,J1260,Q1260))</f>
        <v/>
      </c>
      <c r="AG1260" s="99">
        <f>IF(B1260="","",IFERROR(AVERAGEIFS('QUALITY CONTROL'!$M$5:$M$304,'QUALITY CONTROL'!$B$5:$B$304,A1260),""))</f>
        <v/>
      </c>
      <c r="AH1260" s="51">
        <f>IF(B1260="","",DATE(YEAR(B1260),MONTH(B1260),1))</f>
        <v/>
      </c>
      <c r="AI1260" s="49">
        <f>IF(D1260="","",IFERROR(INDEX('CUSTOMERS'!$E$5:$E$404,MATCH(D1260,'CUSTOMERS'!$B$5:$B$404,0)),""))</f>
        <v/>
      </c>
      <c r="AJ1260" s="49">
        <f>IF(B1260="","",N(C1260))</f>
        <v/>
      </c>
      <c r="AK1260" s="49">
        <f>IF(OR(B1260="",O1260="Cancelled",O1260="Rescheduled"),"",B1260&amp;"|"&amp;(COUNTIFS('JOBS'!$B$5:$B$1504,B1260,'JOBS'!$AJ$5:$AJ$1504,"&lt;"&amp;AJ1260,'JOBS'!$O$5:$O$1504,"&lt;&gt;Cancelled",'JOBS'!$O$5:$O$1504,"&lt;&gt;Rescheduled")+COUNTIFS($B$5:B1260,B1260,$AJ$5:AJ1260,AJ1260,$O$5:O1260,"&lt;&gt;Cancelled",$O$5:O1260,"&lt;&gt;Rescheduled")))</f>
        <v/>
      </c>
      <c r="AL1260" s="49">
        <f>IF(N(U1260)&lt;=0.005,"",COUNTIFS('JOBS'!$U$5:$U$1504,"&gt;0.005",'JOBS'!$B$5:$B$1504,"&lt;"&amp;B1260)+COUNTIFS($U$5:U1260,"&gt;0.005",$B$5:B1260,B1260))</f>
        <v/>
      </c>
    </row>
    <row r="1261">
      <c r="A1261" s="46" t="inlineStr">
        <is>
          <t>J-1257</t>
        </is>
      </c>
      <c r="B1261" s="47" t="n"/>
      <c r="C1261" s="94" t="n"/>
      <c r="D1261" s="38" t="n"/>
      <c r="E1261" s="38" t="n"/>
      <c r="F1261" s="38" t="n"/>
      <c r="G1261" s="38" t="n"/>
      <c r="H1261" s="38" t="n"/>
      <c r="I1261" s="57" t="n"/>
      <c r="J1261" s="95" t="n"/>
      <c r="K1261" s="95" t="n"/>
      <c r="L1261" s="48" t="n"/>
      <c r="M1261" s="96" t="n"/>
      <c r="N1261" s="48" t="n"/>
      <c r="O1261" s="38" t="n"/>
      <c r="P1261" s="38" t="n"/>
      <c r="Q1261" s="97">
        <f>IF(OR(F1261="",E1261=""),"",IFERROR(IF(INDEX('PROPERTIES'!$F$5:$F$404,MATCH(E1261,'PROPERTIES'!$B$5:$B$404,0))=0,"",ROUND((INDEX('PROPERTIES'!$F$5:$F$404,MATCH(E1261,'PROPERTIES'!$B$5:$B$404,0))/INDEX('PRICING'!$C$7:$C$16,MATCH(F1261,'PRICING'!$A$7:$A$16,0))+INDEX('PROPERTIES'!$G$5:$G$404,MATCH(E1261,'PROPERTIES'!$B$5:$B$404,0))*INDEX('PRICING'!$D$7:$D$16,MATCH(F1261,'PRICING'!$A$7:$A$16,0))/60+INDEX('PROPERTIES'!$H$5:$H$404,MATCH(E1261,'PROPERTIES'!$B$5:$B$404,0))*INDEX('PRICING'!$E$7:$E$16,MATCH(F1261,'PRICING'!$A$7:$A$16,0))/60+INDEX('PRICING'!$F$7:$F$16,MATCH(F1261,'PRICING'!$A$7:$A$16,0))/60),2)),""))</f>
        <v/>
      </c>
      <c r="R1261" s="97">
        <f>IF(B1261="","",IF(N(K1261)&gt;0,K1261,IF(N(J1261)&gt;0,J1261,N(Q1261))))</f>
        <v/>
      </c>
      <c r="S1261" s="55">
        <f>IF(L1261="","",ROUND(L1261*(1+N(M1261)),2))</f>
        <v/>
      </c>
      <c r="T1261" s="55">
        <f>IF(B1261="","",SUMIFS('REVENUE'!$C$5:$C$1504,'REVENUE'!$B$5:$B$1504,A1261))</f>
        <v/>
      </c>
      <c r="U1261" s="55">
        <f>IF(B1261="","",IF(O1261="Completed",MAX(0,N(S1261)-T1261),""))</f>
        <v/>
      </c>
      <c r="V1261" s="49">
        <f>IF(B1261="","",IF(O1261&lt;&gt;"Completed",IF(T1261&gt;0,"Deposit","—"),IF(U1261&lt;=0.005,"Paid",IF(T1261&gt;0,"Partial","Unpaid"))))</f>
        <v/>
      </c>
      <c r="W1261" s="55">
        <f>IF(B1261="","",IFERROR(1/(1/INDEX('STAFF &amp; TASKS'!$C$5:$C$24,MATCH(H1261,'STAFF &amp; TASKS'!$A$5:$A$24,0))),PayRate))</f>
        <v/>
      </c>
      <c r="X1261" s="55">
        <f>IF(B1261="","",IF(OR(O1261="Cancelled",O1261="No-Show"),"",ROUND(R1261*W1261*(1+Burden),2)))</f>
        <v/>
      </c>
      <c r="Y1261" s="55">
        <f>IF(B1261="","",IF(OR(O1261="Cancelled",O1261="No-Show"),"",IF(N1261&lt;&gt;"",N1261,ROUND(R1261*SupHr*IFERROR(INDEX('PRICING'!$G$7:$G$16,MATCH(F1261,'PRICING'!$A$7:$A$16,0)),1),2))))</f>
        <v/>
      </c>
      <c r="Z1261" s="98">
        <f>IF(B1261="","",SUMIFS('MILEAGE'!$J$5:$J$1504,'MILEAGE'!$B$5:$B$1504,A1261))</f>
        <v/>
      </c>
      <c r="AA1261" s="55">
        <f>IF(B1261="","",ROUND(Z1261*MileRate,2))</f>
        <v/>
      </c>
      <c r="AB1261" s="55">
        <f>IF(B1261="","",SUMIFS('REVENUE'!$J$5:$J$1504,'REVENUE'!$B$5:$B$1504,A1261))</f>
        <v/>
      </c>
      <c r="AC1261" s="55">
        <f>IF(L1261="","",IF(OR(O1261="Cancelled",O1261="No-Show"),"",L1261-N(X1261)-N(Y1261)-AA1261-AB1261))</f>
        <v/>
      </c>
      <c r="AD1261" s="99">
        <f>IF(OR(AC1261="",N(L1261)=0),"",AC1261/L1261)</f>
        <v/>
      </c>
      <c r="AE1261" s="55">
        <f>IF(OR(AC1261="",N(R1261)=0),"",L1261/R1261)</f>
        <v/>
      </c>
      <c r="AF1261" s="100">
        <f>IF(OR(N(K1261)=0,N(J1261)+N(Q1261)=0),"",K1261-IF(N(J1261)&gt;0,J1261,Q1261))</f>
        <v/>
      </c>
      <c r="AG1261" s="99">
        <f>IF(B1261="","",IFERROR(AVERAGEIFS('QUALITY CONTROL'!$M$5:$M$304,'QUALITY CONTROL'!$B$5:$B$304,A1261),""))</f>
        <v/>
      </c>
      <c r="AH1261" s="51">
        <f>IF(B1261="","",DATE(YEAR(B1261),MONTH(B1261),1))</f>
        <v/>
      </c>
      <c r="AI1261" s="49">
        <f>IF(D1261="","",IFERROR(INDEX('CUSTOMERS'!$E$5:$E$404,MATCH(D1261,'CUSTOMERS'!$B$5:$B$404,0)),""))</f>
        <v/>
      </c>
      <c r="AJ1261" s="49">
        <f>IF(B1261="","",N(C1261))</f>
        <v/>
      </c>
      <c r="AK1261" s="49">
        <f>IF(OR(B1261="",O1261="Cancelled",O1261="Rescheduled"),"",B1261&amp;"|"&amp;(COUNTIFS('JOBS'!$B$5:$B$1504,B1261,'JOBS'!$AJ$5:$AJ$1504,"&lt;"&amp;AJ1261,'JOBS'!$O$5:$O$1504,"&lt;&gt;Cancelled",'JOBS'!$O$5:$O$1504,"&lt;&gt;Rescheduled")+COUNTIFS($B$5:B1261,B1261,$AJ$5:AJ1261,AJ1261,$O$5:O1261,"&lt;&gt;Cancelled",$O$5:O1261,"&lt;&gt;Rescheduled")))</f>
        <v/>
      </c>
      <c r="AL1261" s="49">
        <f>IF(N(U1261)&lt;=0.005,"",COUNTIFS('JOBS'!$U$5:$U$1504,"&gt;0.005",'JOBS'!$B$5:$B$1504,"&lt;"&amp;B1261)+COUNTIFS($U$5:U1261,"&gt;0.005",$B$5:B1261,B1261))</f>
        <v/>
      </c>
    </row>
    <row r="1262">
      <c r="A1262" s="46" t="inlineStr">
        <is>
          <t>J-1258</t>
        </is>
      </c>
      <c r="B1262" s="47" t="n"/>
      <c r="C1262" s="94" t="n"/>
      <c r="D1262" s="38" t="n"/>
      <c r="E1262" s="38" t="n"/>
      <c r="F1262" s="38" t="n"/>
      <c r="G1262" s="38" t="n"/>
      <c r="H1262" s="38" t="n"/>
      <c r="I1262" s="57" t="n"/>
      <c r="J1262" s="95" t="n"/>
      <c r="K1262" s="95" t="n"/>
      <c r="L1262" s="48" t="n"/>
      <c r="M1262" s="96" t="n"/>
      <c r="N1262" s="48" t="n"/>
      <c r="O1262" s="38" t="n"/>
      <c r="P1262" s="38" t="n"/>
      <c r="Q1262" s="97">
        <f>IF(OR(F1262="",E1262=""),"",IFERROR(IF(INDEX('PROPERTIES'!$F$5:$F$404,MATCH(E1262,'PROPERTIES'!$B$5:$B$404,0))=0,"",ROUND((INDEX('PROPERTIES'!$F$5:$F$404,MATCH(E1262,'PROPERTIES'!$B$5:$B$404,0))/INDEX('PRICING'!$C$7:$C$16,MATCH(F1262,'PRICING'!$A$7:$A$16,0))+INDEX('PROPERTIES'!$G$5:$G$404,MATCH(E1262,'PROPERTIES'!$B$5:$B$404,0))*INDEX('PRICING'!$D$7:$D$16,MATCH(F1262,'PRICING'!$A$7:$A$16,0))/60+INDEX('PROPERTIES'!$H$5:$H$404,MATCH(E1262,'PROPERTIES'!$B$5:$B$404,0))*INDEX('PRICING'!$E$7:$E$16,MATCH(F1262,'PRICING'!$A$7:$A$16,0))/60+INDEX('PRICING'!$F$7:$F$16,MATCH(F1262,'PRICING'!$A$7:$A$16,0))/60),2)),""))</f>
        <v/>
      </c>
      <c r="R1262" s="97">
        <f>IF(B1262="","",IF(N(K1262)&gt;0,K1262,IF(N(J1262)&gt;0,J1262,N(Q1262))))</f>
        <v/>
      </c>
      <c r="S1262" s="55">
        <f>IF(L1262="","",ROUND(L1262*(1+N(M1262)),2))</f>
        <v/>
      </c>
      <c r="T1262" s="55">
        <f>IF(B1262="","",SUMIFS('REVENUE'!$C$5:$C$1504,'REVENUE'!$B$5:$B$1504,A1262))</f>
        <v/>
      </c>
      <c r="U1262" s="55">
        <f>IF(B1262="","",IF(O1262="Completed",MAX(0,N(S1262)-T1262),""))</f>
        <v/>
      </c>
      <c r="V1262" s="49">
        <f>IF(B1262="","",IF(O1262&lt;&gt;"Completed",IF(T1262&gt;0,"Deposit","—"),IF(U1262&lt;=0.005,"Paid",IF(T1262&gt;0,"Partial","Unpaid"))))</f>
        <v/>
      </c>
      <c r="W1262" s="55">
        <f>IF(B1262="","",IFERROR(1/(1/INDEX('STAFF &amp; TASKS'!$C$5:$C$24,MATCH(H1262,'STAFF &amp; TASKS'!$A$5:$A$24,0))),PayRate))</f>
        <v/>
      </c>
      <c r="X1262" s="55">
        <f>IF(B1262="","",IF(OR(O1262="Cancelled",O1262="No-Show"),"",ROUND(R1262*W1262*(1+Burden),2)))</f>
        <v/>
      </c>
      <c r="Y1262" s="55">
        <f>IF(B1262="","",IF(OR(O1262="Cancelled",O1262="No-Show"),"",IF(N1262&lt;&gt;"",N1262,ROUND(R1262*SupHr*IFERROR(INDEX('PRICING'!$G$7:$G$16,MATCH(F1262,'PRICING'!$A$7:$A$16,0)),1),2))))</f>
        <v/>
      </c>
      <c r="Z1262" s="98">
        <f>IF(B1262="","",SUMIFS('MILEAGE'!$J$5:$J$1504,'MILEAGE'!$B$5:$B$1504,A1262))</f>
        <v/>
      </c>
      <c r="AA1262" s="55">
        <f>IF(B1262="","",ROUND(Z1262*MileRate,2))</f>
        <v/>
      </c>
      <c r="AB1262" s="55">
        <f>IF(B1262="","",SUMIFS('REVENUE'!$J$5:$J$1504,'REVENUE'!$B$5:$B$1504,A1262))</f>
        <v/>
      </c>
      <c r="AC1262" s="55">
        <f>IF(L1262="","",IF(OR(O1262="Cancelled",O1262="No-Show"),"",L1262-N(X1262)-N(Y1262)-AA1262-AB1262))</f>
        <v/>
      </c>
      <c r="AD1262" s="99">
        <f>IF(OR(AC1262="",N(L1262)=0),"",AC1262/L1262)</f>
        <v/>
      </c>
      <c r="AE1262" s="55">
        <f>IF(OR(AC1262="",N(R1262)=0),"",L1262/R1262)</f>
        <v/>
      </c>
      <c r="AF1262" s="100">
        <f>IF(OR(N(K1262)=0,N(J1262)+N(Q1262)=0),"",K1262-IF(N(J1262)&gt;0,J1262,Q1262))</f>
        <v/>
      </c>
      <c r="AG1262" s="99">
        <f>IF(B1262="","",IFERROR(AVERAGEIFS('QUALITY CONTROL'!$M$5:$M$304,'QUALITY CONTROL'!$B$5:$B$304,A1262),""))</f>
        <v/>
      </c>
      <c r="AH1262" s="51">
        <f>IF(B1262="","",DATE(YEAR(B1262),MONTH(B1262),1))</f>
        <v/>
      </c>
      <c r="AI1262" s="49">
        <f>IF(D1262="","",IFERROR(INDEX('CUSTOMERS'!$E$5:$E$404,MATCH(D1262,'CUSTOMERS'!$B$5:$B$404,0)),""))</f>
        <v/>
      </c>
      <c r="AJ1262" s="49">
        <f>IF(B1262="","",N(C1262))</f>
        <v/>
      </c>
      <c r="AK1262" s="49">
        <f>IF(OR(B1262="",O1262="Cancelled",O1262="Rescheduled"),"",B1262&amp;"|"&amp;(COUNTIFS('JOBS'!$B$5:$B$1504,B1262,'JOBS'!$AJ$5:$AJ$1504,"&lt;"&amp;AJ1262,'JOBS'!$O$5:$O$1504,"&lt;&gt;Cancelled",'JOBS'!$O$5:$O$1504,"&lt;&gt;Rescheduled")+COUNTIFS($B$5:B1262,B1262,$AJ$5:AJ1262,AJ1262,$O$5:O1262,"&lt;&gt;Cancelled",$O$5:O1262,"&lt;&gt;Rescheduled")))</f>
        <v/>
      </c>
      <c r="AL1262" s="49">
        <f>IF(N(U1262)&lt;=0.005,"",COUNTIFS('JOBS'!$U$5:$U$1504,"&gt;0.005",'JOBS'!$B$5:$B$1504,"&lt;"&amp;B1262)+COUNTIFS($U$5:U1262,"&gt;0.005",$B$5:B1262,B1262))</f>
        <v/>
      </c>
    </row>
    <row r="1263">
      <c r="A1263" s="46" t="inlineStr">
        <is>
          <t>J-1259</t>
        </is>
      </c>
      <c r="B1263" s="47" t="n"/>
      <c r="C1263" s="94" t="n"/>
      <c r="D1263" s="38" t="n"/>
      <c r="E1263" s="38" t="n"/>
      <c r="F1263" s="38" t="n"/>
      <c r="G1263" s="38" t="n"/>
      <c r="H1263" s="38" t="n"/>
      <c r="I1263" s="57" t="n"/>
      <c r="J1263" s="95" t="n"/>
      <c r="K1263" s="95" t="n"/>
      <c r="L1263" s="48" t="n"/>
      <c r="M1263" s="96" t="n"/>
      <c r="N1263" s="48" t="n"/>
      <c r="O1263" s="38" t="n"/>
      <c r="P1263" s="38" t="n"/>
      <c r="Q1263" s="97">
        <f>IF(OR(F1263="",E1263=""),"",IFERROR(IF(INDEX('PROPERTIES'!$F$5:$F$404,MATCH(E1263,'PROPERTIES'!$B$5:$B$404,0))=0,"",ROUND((INDEX('PROPERTIES'!$F$5:$F$404,MATCH(E1263,'PROPERTIES'!$B$5:$B$404,0))/INDEX('PRICING'!$C$7:$C$16,MATCH(F1263,'PRICING'!$A$7:$A$16,0))+INDEX('PROPERTIES'!$G$5:$G$404,MATCH(E1263,'PROPERTIES'!$B$5:$B$404,0))*INDEX('PRICING'!$D$7:$D$16,MATCH(F1263,'PRICING'!$A$7:$A$16,0))/60+INDEX('PROPERTIES'!$H$5:$H$404,MATCH(E1263,'PROPERTIES'!$B$5:$B$404,0))*INDEX('PRICING'!$E$7:$E$16,MATCH(F1263,'PRICING'!$A$7:$A$16,0))/60+INDEX('PRICING'!$F$7:$F$16,MATCH(F1263,'PRICING'!$A$7:$A$16,0))/60),2)),""))</f>
        <v/>
      </c>
      <c r="R1263" s="97">
        <f>IF(B1263="","",IF(N(K1263)&gt;0,K1263,IF(N(J1263)&gt;0,J1263,N(Q1263))))</f>
        <v/>
      </c>
      <c r="S1263" s="55">
        <f>IF(L1263="","",ROUND(L1263*(1+N(M1263)),2))</f>
        <v/>
      </c>
      <c r="T1263" s="55">
        <f>IF(B1263="","",SUMIFS('REVENUE'!$C$5:$C$1504,'REVENUE'!$B$5:$B$1504,A1263))</f>
        <v/>
      </c>
      <c r="U1263" s="55">
        <f>IF(B1263="","",IF(O1263="Completed",MAX(0,N(S1263)-T1263),""))</f>
        <v/>
      </c>
      <c r="V1263" s="49">
        <f>IF(B1263="","",IF(O1263&lt;&gt;"Completed",IF(T1263&gt;0,"Deposit","—"),IF(U1263&lt;=0.005,"Paid",IF(T1263&gt;0,"Partial","Unpaid"))))</f>
        <v/>
      </c>
      <c r="W1263" s="55">
        <f>IF(B1263="","",IFERROR(1/(1/INDEX('STAFF &amp; TASKS'!$C$5:$C$24,MATCH(H1263,'STAFF &amp; TASKS'!$A$5:$A$24,0))),PayRate))</f>
        <v/>
      </c>
      <c r="X1263" s="55">
        <f>IF(B1263="","",IF(OR(O1263="Cancelled",O1263="No-Show"),"",ROUND(R1263*W1263*(1+Burden),2)))</f>
        <v/>
      </c>
      <c r="Y1263" s="55">
        <f>IF(B1263="","",IF(OR(O1263="Cancelled",O1263="No-Show"),"",IF(N1263&lt;&gt;"",N1263,ROUND(R1263*SupHr*IFERROR(INDEX('PRICING'!$G$7:$G$16,MATCH(F1263,'PRICING'!$A$7:$A$16,0)),1),2))))</f>
        <v/>
      </c>
      <c r="Z1263" s="98">
        <f>IF(B1263="","",SUMIFS('MILEAGE'!$J$5:$J$1504,'MILEAGE'!$B$5:$B$1504,A1263))</f>
        <v/>
      </c>
      <c r="AA1263" s="55">
        <f>IF(B1263="","",ROUND(Z1263*MileRate,2))</f>
        <v/>
      </c>
      <c r="AB1263" s="55">
        <f>IF(B1263="","",SUMIFS('REVENUE'!$J$5:$J$1504,'REVENUE'!$B$5:$B$1504,A1263))</f>
        <v/>
      </c>
      <c r="AC1263" s="55">
        <f>IF(L1263="","",IF(OR(O1263="Cancelled",O1263="No-Show"),"",L1263-N(X1263)-N(Y1263)-AA1263-AB1263))</f>
        <v/>
      </c>
      <c r="AD1263" s="99">
        <f>IF(OR(AC1263="",N(L1263)=0),"",AC1263/L1263)</f>
        <v/>
      </c>
      <c r="AE1263" s="55">
        <f>IF(OR(AC1263="",N(R1263)=0),"",L1263/R1263)</f>
        <v/>
      </c>
      <c r="AF1263" s="100">
        <f>IF(OR(N(K1263)=0,N(J1263)+N(Q1263)=0),"",K1263-IF(N(J1263)&gt;0,J1263,Q1263))</f>
        <v/>
      </c>
      <c r="AG1263" s="99">
        <f>IF(B1263="","",IFERROR(AVERAGEIFS('QUALITY CONTROL'!$M$5:$M$304,'QUALITY CONTROL'!$B$5:$B$304,A1263),""))</f>
        <v/>
      </c>
      <c r="AH1263" s="51">
        <f>IF(B1263="","",DATE(YEAR(B1263),MONTH(B1263),1))</f>
        <v/>
      </c>
      <c r="AI1263" s="49">
        <f>IF(D1263="","",IFERROR(INDEX('CUSTOMERS'!$E$5:$E$404,MATCH(D1263,'CUSTOMERS'!$B$5:$B$404,0)),""))</f>
        <v/>
      </c>
      <c r="AJ1263" s="49">
        <f>IF(B1263="","",N(C1263))</f>
        <v/>
      </c>
      <c r="AK1263" s="49">
        <f>IF(OR(B1263="",O1263="Cancelled",O1263="Rescheduled"),"",B1263&amp;"|"&amp;(COUNTIFS('JOBS'!$B$5:$B$1504,B1263,'JOBS'!$AJ$5:$AJ$1504,"&lt;"&amp;AJ1263,'JOBS'!$O$5:$O$1504,"&lt;&gt;Cancelled",'JOBS'!$O$5:$O$1504,"&lt;&gt;Rescheduled")+COUNTIFS($B$5:B1263,B1263,$AJ$5:AJ1263,AJ1263,$O$5:O1263,"&lt;&gt;Cancelled",$O$5:O1263,"&lt;&gt;Rescheduled")))</f>
        <v/>
      </c>
      <c r="AL1263" s="49">
        <f>IF(N(U1263)&lt;=0.005,"",COUNTIFS('JOBS'!$U$5:$U$1504,"&gt;0.005",'JOBS'!$B$5:$B$1504,"&lt;"&amp;B1263)+COUNTIFS($U$5:U1263,"&gt;0.005",$B$5:B1263,B1263))</f>
        <v/>
      </c>
    </row>
    <row r="1264">
      <c r="A1264" s="46" t="inlineStr">
        <is>
          <t>J-1260</t>
        </is>
      </c>
      <c r="B1264" s="47" t="n"/>
      <c r="C1264" s="94" t="n"/>
      <c r="D1264" s="38" t="n"/>
      <c r="E1264" s="38" t="n"/>
      <c r="F1264" s="38" t="n"/>
      <c r="G1264" s="38" t="n"/>
      <c r="H1264" s="38" t="n"/>
      <c r="I1264" s="57" t="n"/>
      <c r="J1264" s="95" t="n"/>
      <c r="K1264" s="95" t="n"/>
      <c r="L1264" s="48" t="n"/>
      <c r="M1264" s="96" t="n"/>
      <c r="N1264" s="48" t="n"/>
      <c r="O1264" s="38" t="n"/>
      <c r="P1264" s="38" t="n"/>
      <c r="Q1264" s="97">
        <f>IF(OR(F1264="",E1264=""),"",IFERROR(IF(INDEX('PROPERTIES'!$F$5:$F$404,MATCH(E1264,'PROPERTIES'!$B$5:$B$404,0))=0,"",ROUND((INDEX('PROPERTIES'!$F$5:$F$404,MATCH(E1264,'PROPERTIES'!$B$5:$B$404,0))/INDEX('PRICING'!$C$7:$C$16,MATCH(F1264,'PRICING'!$A$7:$A$16,0))+INDEX('PROPERTIES'!$G$5:$G$404,MATCH(E1264,'PROPERTIES'!$B$5:$B$404,0))*INDEX('PRICING'!$D$7:$D$16,MATCH(F1264,'PRICING'!$A$7:$A$16,0))/60+INDEX('PROPERTIES'!$H$5:$H$404,MATCH(E1264,'PROPERTIES'!$B$5:$B$404,0))*INDEX('PRICING'!$E$7:$E$16,MATCH(F1264,'PRICING'!$A$7:$A$16,0))/60+INDEX('PRICING'!$F$7:$F$16,MATCH(F1264,'PRICING'!$A$7:$A$16,0))/60),2)),""))</f>
        <v/>
      </c>
      <c r="R1264" s="97">
        <f>IF(B1264="","",IF(N(K1264)&gt;0,K1264,IF(N(J1264)&gt;0,J1264,N(Q1264))))</f>
        <v/>
      </c>
      <c r="S1264" s="55">
        <f>IF(L1264="","",ROUND(L1264*(1+N(M1264)),2))</f>
        <v/>
      </c>
      <c r="T1264" s="55">
        <f>IF(B1264="","",SUMIFS('REVENUE'!$C$5:$C$1504,'REVENUE'!$B$5:$B$1504,A1264))</f>
        <v/>
      </c>
      <c r="U1264" s="55">
        <f>IF(B1264="","",IF(O1264="Completed",MAX(0,N(S1264)-T1264),""))</f>
        <v/>
      </c>
      <c r="V1264" s="49">
        <f>IF(B1264="","",IF(O1264&lt;&gt;"Completed",IF(T1264&gt;0,"Deposit","—"),IF(U1264&lt;=0.005,"Paid",IF(T1264&gt;0,"Partial","Unpaid"))))</f>
        <v/>
      </c>
      <c r="W1264" s="55">
        <f>IF(B1264="","",IFERROR(1/(1/INDEX('STAFF &amp; TASKS'!$C$5:$C$24,MATCH(H1264,'STAFF &amp; TASKS'!$A$5:$A$24,0))),PayRate))</f>
        <v/>
      </c>
      <c r="X1264" s="55">
        <f>IF(B1264="","",IF(OR(O1264="Cancelled",O1264="No-Show"),"",ROUND(R1264*W1264*(1+Burden),2)))</f>
        <v/>
      </c>
      <c r="Y1264" s="55">
        <f>IF(B1264="","",IF(OR(O1264="Cancelled",O1264="No-Show"),"",IF(N1264&lt;&gt;"",N1264,ROUND(R1264*SupHr*IFERROR(INDEX('PRICING'!$G$7:$G$16,MATCH(F1264,'PRICING'!$A$7:$A$16,0)),1),2))))</f>
        <v/>
      </c>
      <c r="Z1264" s="98">
        <f>IF(B1264="","",SUMIFS('MILEAGE'!$J$5:$J$1504,'MILEAGE'!$B$5:$B$1504,A1264))</f>
        <v/>
      </c>
      <c r="AA1264" s="55">
        <f>IF(B1264="","",ROUND(Z1264*MileRate,2))</f>
        <v/>
      </c>
      <c r="AB1264" s="55">
        <f>IF(B1264="","",SUMIFS('REVENUE'!$J$5:$J$1504,'REVENUE'!$B$5:$B$1504,A1264))</f>
        <v/>
      </c>
      <c r="AC1264" s="55">
        <f>IF(L1264="","",IF(OR(O1264="Cancelled",O1264="No-Show"),"",L1264-N(X1264)-N(Y1264)-AA1264-AB1264))</f>
        <v/>
      </c>
      <c r="AD1264" s="99">
        <f>IF(OR(AC1264="",N(L1264)=0),"",AC1264/L1264)</f>
        <v/>
      </c>
      <c r="AE1264" s="55">
        <f>IF(OR(AC1264="",N(R1264)=0),"",L1264/R1264)</f>
        <v/>
      </c>
      <c r="AF1264" s="100">
        <f>IF(OR(N(K1264)=0,N(J1264)+N(Q1264)=0),"",K1264-IF(N(J1264)&gt;0,J1264,Q1264))</f>
        <v/>
      </c>
      <c r="AG1264" s="99">
        <f>IF(B1264="","",IFERROR(AVERAGEIFS('QUALITY CONTROL'!$M$5:$M$304,'QUALITY CONTROL'!$B$5:$B$304,A1264),""))</f>
        <v/>
      </c>
      <c r="AH1264" s="51">
        <f>IF(B1264="","",DATE(YEAR(B1264),MONTH(B1264),1))</f>
        <v/>
      </c>
      <c r="AI1264" s="49">
        <f>IF(D1264="","",IFERROR(INDEX('CUSTOMERS'!$E$5:$E$404,MATCH(D1264,'CUSTOMERS'!$B$5:$B$404,0)),""))</f>
        <v/>
      </c>
      <c r="AJ1264" s="49">
        <f>IF(B1264="","",N(C1264))</f>
        <v/>
      </c>
      <c r="AK1264" s="49">
        <f>IF(OR(B1264="",O1264="Cancelled",O1264="Rescheduled"),"",B1264&amp;"|"&amp;(COUNTIFS('JOBS'!$B$5:$B$1504,B1264,'JOBS'!$AJ$5:$AJ$1504,"&lt;"&amp;AJ1264,'JOBS'!$O$5:$O$1504,"&lt;&gt;Cancelled",'JOBS'!$O$5:$O$1504,"&lt;&gt;Rescheduled")+COUNTIFS($B$5:B1264,B1264,$AJ$5:AJ1264,AJ1264,$O$5:O1264,"&lt;&gt;Cancelled",$O$5:O1264,"&lt;&gt;Rescheduled")))</f>
        <v/>
      </c>
      <c r="AL1264" s="49">
        <f>IF(N(U1264)&lt;=0.005,"",COUNTIFS('JOBS'!$U$5:$U$1504,"&gt;0.005",'JOBS'!$B$5:$B$1504,"&lt;"&amp;B1264)+COUNTIFS($U$5:U1264,"&gt;0.005",$B$5:B1264,B1264))</f>
        <v/>
      </c>
    </row>
    <row r="1265">
      <c r="A1265" s="46" t="inlineStr">
        <is>
          <t>J-1261</t>
        </is>
      </c>
      <c r="B1265" s="47" t="n"/>
      <c r="C1265" s="94" t="n"/>
      <c r="D1265" s="38" t="n"/>
      <c r="E1265" s="38" t="n"/>
      <c r="F1265" s="38" t="n"/>
      <c r="G1265" s="38" t="n"/>
      <c r="H1265" s="38" t="n"/>
      <c r="I1265" s="57" t="n"/>
      <c r="J1265" s="95" t="n"/>
      <c r="K1265" s="95" t="n"/>
      <c r="L1265" s="48" t="n"/>
      <c r="M1265" s="96" t="n"/>
      <c r="N1265" s="48" t="n"/>
      <c r="O1265" s="38" t="n"/>
      <c r="P1265" s="38" t="n"/>
      <c r="Q1265" s="97">
        <f>IF(OR(F1265="",E1265=""),"",IFERROR(IF(INDEX('PROPERTIES'!$F$5:$F$404,MATCH(E1265,'PROPERTIES'!$B$5:$B$404,0))=0,"",ROUND((INDEX('PROPERTIES'!$F$5:$F$404,MATCH(E1265,'PROPERTIES'!$B$5:$B$404,0))/INDEX('PRICING'!$C$7:$C$16,MATCH(F1265,'PRICING'!$A$7:$A$16,0))+INDEX('PROPERTIES'!$G$5:$G$404,MATCH(E1265,'PROPERTIES'!$B$5:$B$404,0))*INDEX('PRICING'!$D$7:$D$16,MATCH(F1265,'PRICING'!$A$7:$A$16,0))/60+INDEX('PROPERTIES'!$H$5:$H$404,MATCH(E1265,'PROPERTIES'!$B$5:$B$404,0))*INDEX('PRICING'!$E$7:$E$16,MATCH(F1265,'PRICING'!$A$7:$A$16,0))/60+INDEX('PRICING'!$F$7:$F$16,MATCH(F1265,'PRICING'!$A$7:$A$16,0))/60),2)),""))</f>
        <v/>
      </c>
      <c r="R1265" s="97">
        <f>IF(B1265="","",IF(N(K1265)&gt;0,K1265,IF(N(J1265)&gt;0,J1265,N(Q1265))))</f>
        <v/>
      </c>
      <c r="S1265" s="55">
        <f>IF(L1265="","",ROUND(L1265*(1+N(M1265)),2))</f>
        <v/>
      </c>
      <c r="T1265" s="55">
        <f>IF(B1265="","",SUMIFS('REVENUE'!$C$5:$C$1504,'REVENUE'!$B$5:$B$1504,A1265))</f>
        <v/>
      </c>
      <c r="U1265" s="55">
        <f>IF(B1265="","",IF(O1265="Completed",MAX(0,N(S1265)-T1265),""))</f>
        <v/>
      </c>
      <c r="V1265" s="49">
        <f>IF(B1265="","",IF(O1265&lt;&gt;"Completed",IF(T1265&gt;0,"Deposit","—"),IF(U1265&lt;=0.005,"Paid",IF(T1265&gt;0,"Partial","Unpaid"))))</f>
        <v/>
      </c>
      <c r="W1265" s="55">
        <f>IF(B1265="","",IFERROR(1/(1/INDEX('STAFF &amp; TASKS'!$C$5:$C$24,MATCH(H1265,'STAFF &amp; TASKS'!$A$5:$A$24,0))),PayRate))</f>
        <v/>
      </c>
      <c r="X1265" s="55">
        <f>IF(B1265="","",IF(OR(O1265="Cancelled",O1265="No-Show"),"",ROUND(R1265*W1265*(1+Burden),2)))</f>
        <v/>
      </c>
      <c r="Y1265" s="55">
        <f>IF(B1265="","",IF(OR(O1265="Cancelled",O1265="No-Show"),"",IF(N1265&lt;&gt;"",N1265,ROUND(R1265*SupHr*IFERROR(INDEX('PRICING'!$G$7:$G$16,MATCH(F1265,'PRICING'!$A$7:$A$16,0)),1),2))))</f>
        <v/>
      </c>
      <c r="Z1265" s="98">
        <f>IF(B1265="","",SUMIFS('MILEAGE'!$J$5:$J$1504,'MILEAGE'!$B$5:$B$1504,A1265))</f>
        <v/>
      </c>
      <c r="AA1265" s="55">
        <f>IF(B1265="","",ROUND(Z1265*MileRate,2))</f>
        <v/>
      </c>
      <c r="AB1265" s="55">
        <f>IF(B1265="","",SUMIFS('REVENUE'!$J$5:$J$1504,'REVENUE'!$B$5:$B$1504,A1265))</f>
        <v/>
      </c>
      <c r="AC1265" s="55">
        <f>IF(L1265="","",IF(OR(O1265="Cancelled",O1265="No-Show"),"",L1265-N(X1265)-N(Y1265)-AA1265-AB1265))</f>
        <v/>
      </c>
      <c r="AD1265" s="99">
        <f>IF(OR(AC1265="",N(L1265)=0),"",AC1265/L1265)</f>
        <v/>
      </c>
      <c r="AE1265" s="55">
        <f>IF(OR(AC1265="",N(R1265)=0),"",L1265/R1265)</f>
        <v/>
      </c>
      <c r="AF1265" s="100">
        <f>IF(OR(N(K1265)=0,N(J1265)+N(Q1265)=0),"",K1265-IF(N(J1265)&gt;0,J1265,Q1265))</f>
        <v/>
      </c>
      <c r="AG1265" s="99">
        <f>IF(B1265="","",IFERROR(AVERAGEIFS('QUALITY CONTROL'!$M$5:$M$304,'QUALITY CONTROL'!$B$5:$B$304,A1265),""))</f>
        <v/>
      </c>
      <c r="AH1265" s="51">
        <f>IF(B1265="","",DATE(YEAR(B1265),MONTH(B1265),1))</f>
        <v/>
      </c>
      <c r="AI1265" s="49">
        <f>IF(D1265="","",IFERROR(INDEX('CUSTOMERS'!$E$5:$E$404,MATCH(D1265,'CUSTOMERS'!$B$5:$B$404,0)),""))</f>
        <v/>
      </c>
      <c r="AJ1265" s="49">
        <f>IF(B1265="","",N(C1265))</f>
        <v/>
      </c>
      <c r="AK1265" s="49">
        <f>IF(OR(B1265="",O1265="Cancelled",O1265="Rescheduled"),"",B1265&amp;"|"&amp;(COUNTIFS('JOBS'!$B$5:$B$1504,B1265,'JOBS'!$AJ$5:$AJ$1504,"&lt;"&amp;AJ1265,'JOBS'!$O$5:$O$1504,"&lt;&gt;Cancelled",'JOBS'!$O$5:$O$1504,"&lt;&gt;Rescheduled")+COUNTIFS($B$5:B1265,B1265,$AJ$5:AJ1265,AJ1265,$O$5:O1265,"&lt;&gt;Cancelled",$O$5:O1265,"&lt;&gt;Rescheduled")))</f>
        <v/>
      </c>
      <c r="AL1265" s="49">
        <f>IF(N(U1265)&lt;=0.005,"",COUNTIFS('JOBS'!$U$5:$U$1504,"&gt;0.005",'JOBS'!$B$5:$B$1504,"&lt;"&amp;B1265)+COUNTIFS($U$5:U1265,"&gt;0.005",$B$5:B1265,B1265))</f>
        <v/>
      </c>
    </row>
    <row r="1266">
      <c r="A1266" s="46" t="inlineStr">
        <is>
          <t>J-1262</t>
        </is>
      </c>
      <c r="B1266" s="47" t="n"/>
      <c r="C1266" s="94" t="n"/>
      <c r="D1266" s="38" t="n"/>
      <c r="E1266" s="38" t="n"/>
      <c r="F1266" s="38" t="n"/>
      <c r="G1266" s="38" t="n"/>
      <c r="H1266" s="38" t="n"/>
      <c r="I1266" s="57" t="n"/>
      <c r="J1266" s="95" t="n"/>
      <c r="K1266" s="95" t="n"/>
      <c r="L1266" s="48" t="n"/>
      <c r="M1266" s="96" t="n"/>
      <c r="N1266" s="48" t="n"/>
      <c r="O1266" s="38" t="n"/>
      <c r="P1266" s="38" t="n"/>
      <c r="Q1266" s="97">
        <f>IF(OR(F1266="",E1266=""),"",IFERROR(IF(INDEX('PROPERTIES'!$F$5:$F$404,MATCH(E1266,'PROPERTIES'!$B$5:$B$404,0))=0,"",ROUND((INDEX('PROPERTIES'!$F$5:$F$404,MATCH(E1266,'PROPERTIES'!$B$5:$B$404,0))/INDEX('PRICING'!$C$7:$C$16,MATCH(F1266,'PRICING'!$A$7:$A$16,0))+INDEX('PROPERTIES'!$G$5:$G$404,MATCH(E1266,'PROPERTIES'!$B$5:$B$404,0))*INDEX('PRICING'!$D$7:$D$16,MATCH(F1266,'PRICING'!$A$7:$A$16,0))/60+INDEX('PROPERTIES'!$H$5:$H$404,MATCH(E1266,'PROPERTIES'!$B$5:$B$404,0))*INDEX('PRICING'!$E$7:$E$16,MATCH(F1266,'PRICING'!$A$7:$A$16,0))/60+INDEX('PRICING'!$F$7:$F$16,MATCH(F1266,'PRICING'!$A$7:$A$16,0))/60),2)),""))</f>
        <v/>
      </c>
      <c r="R1266" s="97">
        <f>IF(B1266="","",IF(N(K1266)&gt;0,K1266,IF(N(J1266)&gt;0,J1266,N(Q1266))))</f>
        <v/>
      </c>
      <c r="S1266" s="55">
        <f>IF(L1266="","",ROUND(L1266*(1+N(M1266)),2))</f>
        <v/>
      </c>
      <c r="T1266" s="55">
        <f>IF(B1266="","",SUMIFS('REVENUE'!$C$5:$C$1504,'REVENUE'!$B$5:$B$1504,A1266))</f>
        <v/>
      </c>
      <c r="U1266" s="55">
        <f>IF(B1266="","",IF(O1266="Completed",MAX(0,N(S1266)-T1266),""))</f>
        <v/>
      </c>
      <c r="V1266" s="49">
        <f>IF(B1266="","",IF(O1266&lt;&gt;"Completed",IF(T1266&gt;0,"Deposit","—"),IF(U1266&lt;=0.005,"Paid",IF(T1266&gt;0,"Partial","Unpaid"))))</f>
        <v/>
      </c>
      <c r="W1266" s="55">
        <f>IF(B1266="","",IFERROR(1/(1/INDEX('STAFF &amp; TASKS'!$C$5:$C$24,MATCH(H1266,'STAFF &amp; TASKS'!$A$5:$A$24,0))),PayRate))</f>
        <v/>
      </c>
      <c r="X1266" s="55">
        <f>IF(B1266="","",IF(OR(O1266="Cancelled",O1266="No-Show"),"",ROUND(R1266*W1266*(1+Burden),2)))</f>
        <v/>
      </c>
      <c r="Y1266" s="55">
        <f>IF(B1266="","",IF(OR(O1266="Cancelled",O1266="No-Show"),"",IF(N1266&lt;&gt;"",N1266,ROUND(R1266*SupHr*IFERROR(INDEX('PRICING'!$G$7:$G$16,MATCH(F1266,'PRICING'!$A$7:$A$16,0)),1),2))))</f>
        <v/>
      </c>
      <c r="Z1266" s="98">
        <f>IF(B1266="","",SUMIFS('MILEAGE'!$J$5:$J$1504,'MILEAGE'!$B$5:$B$1504,A1266))</f>
        <v/>
      </c>
      <c r="AA1266" s="55">
        <f>IF(B1266="","",ROUND(Z1266*MileRate,2))</f>
        <v/>
      </c>
      <c r="AB1266" s="55">
        <f>IF(B1266="","",SUMIFS('REVENUE'!$J$5:$J$1504,'REVENUE'!$B$5:$B$1504,A1266))</f>
        <v/>
      </c>
      <c r="AC1266" s="55">
        <f>IF(L1266="","",IF(OR(O1266="Cancelled",O1266="No-Show"),"",L1266-N(X1266)-N(Y1266)-AA1266-AB1266))</f>
        <v/>
      </c>
      <c r="AD1266" s="99">
        <f>IF(OR(AC1266="",N(L1266)=0),"",AC1266/L1266)</f>
        <v/>
      </c>
      <c r="AE1266" s="55">
        <f>IF(OR(AC1266="",N(R1266)=0),"",L1266/R1266)</f>
        <v/>
      </c>
      <c r="AF1266" s="100">
        <f>IF(OR(N(K1266)=0,N(J1266)+N(Q1266)=0),"",K1266-IF(N(J1266)&gt;0,J1266,Q1266))</f>
        <v/>
      </c>
      <c r="AG1266" s="99">
        <f>IF(B1266="","",IFERROR(AVERAGEIFS('QUALITY CONTROL'!$M$5:$M$304,'QUALITY CONTROL'!$B$5:$B$304,A1266),""))</f>
        <v/>
      </c>
      <c r="AH1266" s="51">
        <f>IF(B1266="","",DATE(YEAR(B1266),MONTH(B1266),1))</f>
        <v/>
      </c>
      <c r="AI1266" s="49">
        <f>IF(D1266="","",IFERROR(INDEX('CUSTOMERS'!$E$5:$E$404,MATCH(D1266,'CUSTOMERS'!$B$5:$B$404,0)),""))</f>
        <v/>
      </c>
      <c r="AJ1266" s="49">
        <f>IF(B1266="","",N(C1266))</f>
        <v/>
      </c>
      <c r="AK1266" s="49">
        <f>IF(OR(B1266="",O1266="Cancelled",O1266="Rescheduled"),"",B1266&amp;"|"&amp;(COUNTIFS('JOBS'!$B$5:$B$1504,B1266,'JOBS'!$AJ$5:$AJ$1504,"&lt;"&amp;AJ1266,'JOBS'!$O$5:$O$1504,"&lt;&gt;Cancelled",'JOBS'!$O$5:$O$1504,"&lt;&gt;Rescheduled")+COUNTIFS($B$5:B1266,B1266,$AJ$5:AJ1266,AJ1266,$O$5:O1266,"&lt;&gt;Cancelled",$O$5:O1266,"&lt;&gt;Rescheduled")))</f>
        <v/>
      </c>
      <c r="AL1266" s="49">
        <f>IF(N(U1266)&lt;=0.005,"",COUNTIFS('JOBS'!$U$5:$U$1504,"&gt;0.005",'JOBS'!$B$5:$B$1504,"&lt;"&amp;B1266)+COUNTIFS($U$5:U1266,"&gt;0.005",$B$5:B1266,B1266))</f>
        <v/>
      </c>
    </row>
    <row r="1267">
      <c r="A1267" s="46" t="inlineStr">
        <is>
          <t>J-1263</t>
        </is>
      </c>
      <c r="B1267" s="47" t="n"/>
      <c r="C1267" s="94" t="n"/>
      <c r="D1267" s="38" t="n"/>
      <c r="E1267" s="38" t="n"/>
      <c r="F1267" s="38" t="n"/>
      <c r="G1267" s="38" t="n"/>
      <c r="H1267" s="38" t="n"/>
      <c r="I1267" s="57" t="n"/>
      <c r="J1267" s="95" t="n"/>
      <c r="K1267" s="95" t="n"/>
      <c r="L1267" s="48" t="n"/>
      <c r="M1267" s="96" t="n"/>
      <c r="N1267" s="48" t="n"/>
      <c r="O1267" s="38" t="n"/>
      <c r="P1267" s="38" t="n"/>
      <c r="Q1267" s="97">
        <f>IF(OR(F1267="",E1267=""),"",IFERROR(IF(INDEX('PROPERTIES'!$F$5:$F$404,MATCH(E1267,'PROPERTIES'!$B$5:$B$404,0))=0,"",ROUND((INDEX('PROPERTIES'!$F$5:$F$404,MATCH(E1267,'PROPERTIES'!$B$5:$B$404,0))/INDEX('PRICING'!$C$7:$C$16,MATCH(F1267,'PRICING'!$A$7:$A$16,0))+INDEX('PROPERTIES'!$G$5:$G$404,MATCH(E1267,'PROPERTIES'!$B$5:$B$404,0))*INDEX('PRICING'!$D$7:$D$16,MATCH(F1267,'PRICING'!$A$7:$A$16,0))/60+INDEX('PROPERTIES'!$H$5:$H$404,MATCH(E1267,'PROPERTIES'!$B$5:$B$404,0))*INDEX('PRICING'!$E$7:$E$16,MATCH(F1267,'PRICING'!$A$7:$A$16,0))/60+INDEX('PRICING'!$F$7:$F$16,MATCH(F1267,'PRICING'!$A$7:$A$16,0))/60),2)),""))</f>
        <v/>
      </c>
      <c r="R1267" s="97">
        <f>IF(B1267="","",IF(N(K1267)&gt;0,K1267,IF(N(J1267)&gt;0,J1267,N(Q1267))))</f>
        <v/>
      </c>
      <c r="S1267" s="55">
        <f>IF(L1267="","",ROUND(L1267*(1+N(M1267)),2))</f>
        <v/>
      </c>
      <c r="T1267" s="55">
        <f>IF(B1267="","",SUMIFS('REVENUE'!$C$5:$C$1504,'REVENUE'!$B$5:$B$1504,A1267))</f>
        <v/>
      </c>
      <c r="U1267" s="55">
        <f>IF(B1267="","",IF(O1267="Completed",MAX(0,N(S1267)-T1267),""))</f>
        <v/>
      </c>
      <c r="V1267" s="49">
        <f>IF(B1267="","",IF(O1267&lt;&gt;"Completed",IF(T1267&gt;0,"Deposit","—"),IF(U1267&lt;=0.005,"Paid",IF(T1267&gt;0,"Partial","Unpaid"))))</f>
        <v/>
      </c>
      <c r="W1267" s="55">
        <f>IF(B1267="","",IFERROR(1/(1/INDEX('STAFF &amp; TASKS'!$C$5:$C$24,MATCH(H1267,'STAFF &amp; TASKS'!$A$5:$A$24,0))),PayRate))</f>
        <v/>
      </c>
      <c r="X1267" s="55">
        <f>IF(B1267="","",IF(OR(O1267="Cancelled",O1267="No-Show"),"",ROUND(R1267*W1267*(1+Burden),2)))</f>
        <v/>
      </c>
      <c r="Y1267" s="55">
        <f>IF(B1267="","",IF(OR(O1267="Cancelled",O1267="No-Show"),"",IF(N1267&lt;&gt;"",N1267,ROUND(R1267*SupHr*IFERROR(INDEX('PRICING'!$G$7:$G$16,MATCH(F1267,'PRICING'!$A$7:$A$16,0)),1),2))))</f>
        <v/>
      </c>
      <c r="Z1267" s="98">
        <f>IF(B1267="","",SUMIFS('MILEAGE'!$J$5:$J$1504,'MILEAGE'!$B$5:$B$1504,A1267))</f>
        <v/>
      </c>
      <c r="AA1267" s="55">
        <f>IF(B1267="","",ROUND(Z1267*MileRate,2))</f>
        <v/>
      </c>
      <c r="AB1267" s="55">
        <f>IF(B1267="","",SUMIFS('REVENUE'!$J$5:$J$1504,'REVENUE'!$B$5:$B$1504,A1267))</f>
        <v/>
      </c>
      <c r="AC1267" s="55">
        <f>IF(L1267="","",IF(OR(O1267="Cancelled",O1267="No-Show"),"",L1267-N(X1267)-N(Y1267)-AA1267-AB1267))</f>
        <v/>
      </c>
      <c r="AD1267" s="99">
        <f>IF(OR(AC1267="",N(L1267)=0),"",AC1267/L1267)</f>
        <v/>
      </c>
      <c r="AE1267" s="55">
        <f>IF(OR(AC1267="",N(R1267)=0),"",L1267/R1267)</f>
        <v/>
      </c>
      <c r="AF1267" s="100">
        <f>IF(OR(N(K1267)=0,N(J1267)+N(Q1267)=0),"",K1267-IF(N(J1267)&gt;0,J1267,Q1267))</f>
        <v/>
      </c>
      <c r="AG1267" s="99">
        <f>IF(B1267="","",IFERROR(AVERAGEIFS('QUALITY CONTROL'!$M$5:$M$304,'QUALITY CONTROL'!$B$5:$B$304,A1267),""))</f>
        <v/>
      </c>
      <c r="AH1267" s="51">
        <f>IF(B1267="","",DATE(YEAR(B1267),MONTH(B1267),1))</f>
        <v/>
      </c>
      <c r="AI1267" s="49">
        <f>IF(D1267="","",IFERROR(INDEX('CUSTOMERS'!$E$5:$E$404,MATCH(D1267,'CUSTOMERS'!$B$5:$B$404,0)),""))</f>
        <v/>
      </c>
      <c r="AJ1267" s="49">
        <f>IF(B1267="","",N(C1267))</f>
        <v/>
      </c>
      <c r="AK1267" s="49">
        <f>IF(OR(B1267="",O1267="Cancelled",O1267="Rescheduled"),"",B1267&amp;"|"&amp;(COUNTIFS('JOBS'!$B$5:$B$1504,B1267,'JOBS'!$AJ$5:$AJ$1504,"&lt;"&amp;AJ1267,'JOBS'!$O$5:$O$1504,"&lt;&gt;Cancelled",'JOBS'!$O$5:$O$1504,"&lt;&gt;Rescheduled")+COUNTIFS($B$5:B1267,B1267,$AJ$5:AJ1267,AJ1267,$O$5:O1267,"&lt;&gt;Cancelled",$O$5:O1267,"&lt;&gt;Rescheduled")))</f>
        <v/>
      </c>
      <c r="AL1267" s="49">
        <f>IF(N(U1267)&lt;=0.005,"",COUNTIFS('JOBS'!$U$5:$U$1504,"&gt;0.005",'JOBS'!$B$5:$B$1504,"&lt;"&amp;B1267)+COUNTIFS($U$5:U1267,"&gt;0.005",$B$5:B1267,B1267))</f>
        <v/>
      </c>
    </row>
    <row r="1268">
      <c r="A1268" s="46" t="inlineStr">
        <is>
          <t>J-1264</t>
        </is>
      </c>
      <c r="B1268" s="47" t="n"/>
      <c r="C1268" s="94" t="n"/>
      <c r="D1268" s="38" t="n"/>
      <c r="E1268" s="38" t="n"/>
      <c r="F1268" s="38" t="n"/>
      <c r="G1268" s="38" t="n"/>
      <c r="H1268" s="38" t="n"/>
      <c r="I1268" s="57" t="n"/>
      <c r="J1268" s="95" t="n"/>
      <c r="K1268" s="95" t="n"/>
      <c r="L1268" s="48" t="n"/>
      <c r="M1268" s="96" t="n"/>
      <c r="N1268" s="48" t="n"/>
      <c r="O1268" s="38" t="n"/>
      <c r="P1268" s="38" t="n"/>
      <c r="Q1268" s="97">
        <f>IF(OR(F1268="",E1268=""),"",IFERROR(IF(INDEX('PROPERTIES'!$F$5:$F$404,MATCH(E1268,'PROPERTIES'!$B$5:$B$404,0))=0,"",ROUND((INDEX('PROPERTIES'!$F$5:$F$404,MATCH(E1268,'PROPERTIES'!$B$5:$B$404,0))/INDEX('PRICING'!$C$7:$C$16,MATCH(F1268,'PRICING'!$A$7:$A$16,0))+INDEX('PROPERTIES'!$G$5:$G$404,MATCH(E1268,'PROPERTIES'!$B$5:$B$404,0))*INDEX('PRICING'!$D$7:$D$16,MATCH(F1268,'PRICING'!$A$7:$A$16,0))/60+INDEX('PROPERTIES'!$H$5:$H$404,MATCH(E1268,'PROPERTIES'!$B$5:$B$404,0))*INDEX('PRICING'!$E$7:$E$16,MATCH(F1268,'PRICING'!$A$7:$A$16,0))/60+INDEX('PRICING'!$F$7:$F$16,MATCH(F1268,'PRICING'!$A$7:$A$16,0))/60),2)),""))</f>
        <v/>
      </c>
      <c r="R1268" s="97">
        <f>IF(B1268="","",IF(N(K1268)&gt;0,K1268,IF(N(J1268)&gt;0,J1268,N(Q1268))))</f>
        <v/>
      </c>
      <c r="S1268" s="55">
        <f>IF(L1268="","",ROUND(L1268*(1+N(M1268)),2))</f>
        <v/>
      </c>
      <c r="T1268" s="55">
        <f>IF(B1268="","",SUMIFS('REVENUE'!$C$5:$C$1504,'REVENUE'!$B$5:$B$1504,A1268))</f>
        <v/>
      </c>
      <c r="U1268" s="55">
        <f>IF(B1268="","",IF(O1268="Completed",MAX(0,N(S1268)-T1268),""))</f>
        <v/>
      </c>
      <c r="V1268" s="49">
        <f>IF(B1268="","",IF(O1268&lt;&gt;"Completed",IF(T1268&gt;0,"Deposit","—"),IF(U1268&lt;=0.005,"Paid",IF(T1268&gt;0,"Partial","Unpaid"))))</f>
        <v/>
      </c>
      <c r="W1268" s="55">
        <f>IF(B1268="","",IFERROR(1/(1/INDEX('STAFF &amp; TASKS'!$C$5:$C$24,MATCH(H1268,'STAFF &amp; TASKS'!$A$5:$A$24,0))),PayRate))</f>
        <v/>
      </c>
      <c r="X1268" s="55">
        <f>IF(B1268="","",IF(OR(O1268="Cancelled",O1268="No-Show"),"",ROUND(R1268*W1268*(1+Burden),2)))</f>
        <v/>
      </c>
      <c r="Y1268" s="55">
        <f>IF(B1268="","",IF(OR(O1268="Cancelled",O1268="No-Show"),"",IF(N1268&lt;&gt;"",N1268,ROUND(R1268*SupHr*IFERROR(INDEX('PRICING'!$G$7:$G$16,MATCH(F1268,'PRICING'!$A$7:$A$16,0)),1),2))))</f>
        <v/>
      </c>
      <c r="Z1268" s="98">
        <f>IF(B1268="","",SUMIFS('MILEAGE'!$J$5:$J$1504,'MILEAGE'!$B$5:$B$1504,A1268))</f>
        <v/>
      </c>
      <c r="AA1268" s="55">
        <f>IF(B1268="","",ROUND(Z1268*MileRate,2))</f>
        <v/>
      </c>
      <c r="AB1268" s="55">
        <f>IF(B1268="","",SUMIFS('REVENUE'!$J$5:$J$1504,'REVENUE'!$B$5:$B$1504,A1268))</f>
        <v/>
      </c>
      <c r="AC1268" s="55">
        <f>IF(L1268="","",IF(OR(O1268="Cancelled",O1268="No-Show"),"",L1268-N(X1268)-N(Y1268)-AA1268-AB1268))</f>
        <v/>
      </c>
      <c r="AD1268" s="99">
        <f>IF(OR(AC1268="",N(L1268)=0),"",AC1268/L1268)</f>
        <v/>
      </c>
      <c r="AE1268" s="55">
        <f>IF(OR(AC1268="",N(R1268)=0),"",L1268/R1268)</f>
        <v/>
      </c>
      <c r="AF1268" s="100">
        <f>IF(OR(N(K1268)=0,N(J1268)+N(Q1268)=0),"",K1268-IF(N(J1268)&gt;0,J1268,Q1268))</f>
        <v/>
      </c>
      <c r="AG1268" s="99">
        <f>IF(B1268="","",IFERROR(AVERAGEIFS('QUALITY CONTROL'!$M$5:$M$304,'QUALITY CONTROL'!$B$5:$B$304,A1268),""))</f>
        <v/>
      </c>
      <c r="AH1268" s="51">
        <f>IF(B1268="","",DATE(YEAR(B1268),MONTH(B1268),1))</f>
        <v/>
      </c>
      <c r="AI1268" s="49">
        <f>IF(D1268="","",IFERROR(INDEX('CUSTOMERS'!$E$5:$E$404,MATCH(D1268,'CUSTOMERS'!$B$5:$B$404,0)),""))</f>
        <v/>
      </c>
      <c r="AJ1268" s="49">
        <f>IF(B1268="","",N(C1268))</f>
        <v/>
      </c>
      <c r="AK1268" s="49">
        <f>IF(OR(B1268="",O1268="Cancelled",O1268="Rescheduled"),"",B1268&amp;"|"&amp;(COUNTIFS('JOBS'!$B$5:$B$1504,B1268,'JOBS'!$AJ$5:$AJ$1504,"&lt;"&amp;AJ1268,'JOBS'!$O$5:$O$1504,"&lt;&gt;Cancelled",'JOBS'!$O$5:$O$1504,"&lt;&gt;Rescheduled")+COUNTIFS($B$5:B1268,B1268,$AJ$5:AJ1268,AJ1268,$O$5:O1268,"&lt;&gt;Cancelled",$O$5:O1268,"&lt;&gt;Rescheduled")))</f>
        <v/>
      </c>
      <c r="AL1268" s="49">
        <f>IF(N(U1268)&lt;=0.005,"",COUNTIFS('JOBS'!$U$5:$U$1504,"&gt;0.005",'JOBS'!$B$5:$B$1504,"&lt;"&amp;B1268)+COUNTIFS($U$5:U1268,"&gt;0.005",$B$5:B1268,B1268))</f>
        <v/>
      </c>
    </row>
    <row r="1269">
      <c r="A1269" s="46" t="inlineStr">
        <is>
          <t>J-1265</t>
        </is>
      </c>
      <c r="B1269" s="47" t="n"/>
      <c r="C1269" s="94" t="n"/>
      <c r="D1269" s="38" t="n"/>
      <c r="E1269" s="38" t="n"/>
      <c r="F1269" s="38" t="n"/>
      <c r="G1269" s="38" t="n"/>
      <c r="H1269" s="38" t="n"/>
      <c r="I1269" s="57" t="n"/>
      <c r="J1269" s="95" t="n"/>
      <c r="K1269" s="95" t="n"/>
      <c r="L1269" s="48" t="n"/>
      <c r="M1269" s="96" t="n"/>
      <c r="N1269" s="48" t="n"/>
      <c r="O1269" s="38" t="n"/>
      <c r="P1269" s="38" t="n"/>
      <c r="Q1269" s="97">
        <f>IF(OR(F1269="",E1269=""),"",IFERROR(IF(INDEX('PROPERTIES'!$F$5:$F$404,MATCH(E1269,'PROPERTIES'!$B$5:$B$404,0))=0,"",ROUND((INDEX('PROPERTIES'!$F$5:$F$404,MATCH(E1269,'PROPERTIES'!$B$5:$B$404,0))/INDEX('PRICING'!$C$7:$C$16,MATCH(F1269,'PRICING'!$A$7:$A$16,0))+INDEX('PROPERTIES'!$G$5:$G$404,MATCH(E1269,'PROPERTIES'!$B$5:$B$404,0))*INDEX('PRICING'!$D$7:$D$16,MATCH(F1269,'PRICING'!$A$7:$A$16,0))/60+INDEX('PROPERTIES'!$H$5:$H$404,MATCH(E1269,'PROPERTIES'!$B$5:$B$404,0))*INDEX('PRICING'!$E$7:$E$16,MATCH(F1269,'PRICING'!$A$7:$A$16,0))/60+INDEX('PRICING'!$F$7:$F$16,MATCH(F1269,'PRICING'!$A$7:$A$16,0))/60),2)),""))</f>
        <v/>
      </c>
      <c r="R1269" s="97">
        <f>IF(B1269="","",IF(N(K1269)&gt;0,K1269,IF(N(J1269)&gt;0,J1269,N(Q1269))))</f>
        <v/>
      </c>
      <c r="S1269" s="55">
        <f>IF(L1269="","",ROUND(L1269*(1+N(M1269)),2))</f>
        <v/>
      </c>
      <c r="T1269" s="55">
        <f>IF(B1269="","",SUMIFS('REVENUE'!$C$5:$C$1504,'REVENUE'!$B$5:$B$1504,A1269))</f>
        <v/>
      </c>
      <c r="U1269" s="55">
        <f>IF(B1269="","",IF(O1269="Completed",MAX(0,N(S1269)-T1269),""))</f>
        <v/>
      </c>
      <c r="V1269" s="49">
        <f>IF(B1269="","",IF(O1269&lt;&gt;"Completed",IF(T1269&gt;0,"Deposit","—"),IF(U1269&lt;=0.005,"Paid",IF(T1269&gt;0,"Partial","Unpaid"))))</f>
        <v/>
      </c>
      <c r="W1269" s="55">
        <f>IF(B1269="","",IFERROR(1/(1/INDEX('STAFF &amp; TASKS'!$C$5:$C$24,MATCH(H1269,'STAFF &amp; TASKS'!$A$5:$A$24,0))),PayRate))</f>
        <v/>
      </c>
      <c r="X1269" s="55">
        <f>IF(B1269="","",IF(OR(O1269="Cancelled",O1269="No-Show"),"",ROUND(R1269*W1269*(1+Burden),2)))</f>
        <v/>
      </c>
      <c r="Y1269" s="55">
        <f>IF(B1269="","",IF(OR(O1269="Cancelled",O1269="No-Show"),"",IF(N1269&lt;&gt;"",N1269,ROUND(R1269*SupHr*IFERROR(INDEX('PRICING'!$G$7:$G$16,MATCH(F1269,'PRICING'!$A$7:$A$16,0)),1),2))))</f>
        <v/>
      </c>
      <c r="Z1269" s="98">
        <f>IF(B1269="","",SUMIFS('MILEAGE'!$J$5:$J$1504,'MILEAGE'!$B$5:$B$1504,A1269))</f>
        <v/>
      </c>
      <c r="AA1269" s="55">
        <f>IF(B1269="","",ROUND(Z1269*MileRate,2))</f>
        <v/>
      </c>
      <c r="AB1269" s="55">
        <f>IF(B1269="","",SUMIFS('REVENUE'!$J$5:$J$1504,'REVENUE'!$B$5:$B$1504,A1269))</f>
        <v/>
      </c>
      <c r="AC1269" s="55">
        <f>IF(L1269="","",IF(OR(O1269="Cancelled",O1269="No-Show"),"",L1269-N(X1269)-N(Y1269)-AA1269-AB1269))</f>
        <v/>
      </c>
      <c r="AD1269" s="99">
        <f>IF(OR(AC1269="",N(L1269)=0),"",AC1269/L1269)</f>
        <v/>
      </c>
      <c r="AE1269" s="55">
        <f>IF(OR(AC1269="",N(R1269)=0),"",L1269/R1269)</f>
        <v/>
      </c>
      <c r="AF1269" s="100">
        <f>IF(OR(N(K1269)=0,N(J1269)+N(Q1269)=0),"",K1269-IF(N(J1269)&gt;0,J1269,Q1269))</f>
        <v/>
      </c>
      <c r="AG1269" s="99">
        <f>IF(B1269="","",IFERROR(AVERAGEIFS('QUALITY CONTROL'!$M$5:$M$304,'QUALITY CONTROL'!$B$5:$B$304,A1269),""))</f>
        <v/>
      </c>
      <c r="AH1269" s="51">
        <f>IF(B1269="","",DATE(YEAR(B1269),MONTH(B1269),1))</f>
        <v/>
      </c>
      <c r="AI1269" s="49">
        <f>IF(D1269="","",IFERROR(INDEX('CUSTOMERS'!$E$5:$E$404,MATCH(D1269,'CUSTOMERS'!$B$5:$B$404,0)),""))</f>
        <v/>
      </c>
      <c r="AJ1269" s="49">
        <f>IF(B1269="","",N(C1269))</f>
        <v/>
      </c>
      <c r="AK1269" s="49">
        <f>IF(OR(B1269="",O1269="Cancelled",O1269="Rescheduled"),"",B1269&amp;"|"&amp;(COUNTIFS('JOBS'!$B$5:$B$1504,B1269,'JOBS'!$AJ$5:$AJ$1504,"&lt;"&amp;AJ1269,'JOBS'!$O$5:$O$1504,"&lt;&gt;Cancelled",'JOBS'!$O$5:$O$1504,"&lt;&gt;Rescheduled")+COUNTIFS($B$5:B1269,B1269,$AJ$5:AJ1269,AJ1269,$O$5:O1269,"&lt;&gt;Cancelled",$O$5:O1269,"&lt;&gt;Rescheduled")))</f>
        <v/>
      </c>
      <c r="AL1269" s="49">
        <f>IF(N(U1269)&lt;=0.005,"",COUNTIFS('JOBS'!$U$5:$U$1504,"&gt;0.005",'JOBS'!$B$5:$B$1504,"&lt;"&amp;B1269)+COUNTIFS($U$5:U1269,"&gt;0.005",$B$5:B1269,B1269))</f>
        <v/>
      </c>
    </row>
    <row r="1270">
      <c r="A1270" s="46" t="inlineStr">
        <is>
          <t>J-1266</t>
        </is>
      </c>
      <c r="B1270" s="47" t="n"/>
      <c r="C1270" s="94" t="n"/>
      <c r="D1270" s="38" t="n"/>
      <c r="E1270" s="38" t="n"/>
      <c r="F1270" s="38" t="n"/>
      <c r="G1270" s="38" t="n"/>
      <c r="H1270" s="38" t="n"/>
      <c r="I1270" s="57" t="n"/>
      <c r="J1270" s="95" t="n"/>
      <c r="K1270" s="95" t="n"/>
      <c r="L1270" s="48" t="n"/>
      <c r="M1270" s="96" t="n"/>
      <c r="N1270" s="48" t="n"/>
      <c r="O1270" s="38" t="n"/>
      <c r="P1270" s="38" t="n"/>
      <c r="Q1270" s="97">
        <f>IF(OR(F1270="",E1270=""),"",IFERROR(IF(INDEX('PROPERTIES'!$F$5:$F$404,MATCH(E1270,'PROPERTIES'!$B$5:$B$404,0))=0,"",ROUND((INDEX('PROPERTIES'!$F$5:$F$404,MATCH(E1270,'PROPERTIES'!$B$5:$B$404,0))/INDEX('PRICING'!$C$7:$C$16,MATCH(F1270,'PRICING'!$A$7:$A$16,0))+INDEX('PROPERTIES'!$G$5:$G$404,MATCH(E1270,'PROPERTIES'!$B$5:$B$404,0))*INDEX('PRICING'!$D$7:$D$16,MATCH(F1270,'PRICING'!$A$7:$A$16,0))/60+INDEX('PROPERTIES'!$H$5:$H$404,MATCH(E1270,'PROPERTIES'!$B$5:$B$404,0))*INDEX('PRICING'!$E$7:$E$16,MATCH(F1270,'PRICING'!$A$7:$A$16,0))/60+INDEX('PRICING'!$F$7:$F$16,MATCH(F1270,'PRICING'!$A$7:$A$16,0))/60),2)),""))</f>
        <v/>
      </c>
      <c r="R1270" s="97">
        <f>IF(B1270="","",IF(N(K1270)&gt;0,K1270,IF(N(J1270)&gt;0,J1270,N(Q1270))))</f>
        <v/>
      </c>
      <c r="S1270" s="55">
        <f>IF(L1270="","",ROUND(L1270*(1+N(M1270)),2))</f>
        <v/>
      </c>
      <c r="T1270" s="55">
        <f>IF(B1270="","",SUMIFS('REVENUE'!$C$5:$C$1504,'REVENUE'!$B$5:$B$1504,A1270))</f>
        <v/>
      </c>
      <c r="U1270" s="55">
        <f>IF(B1270="","",IF(O1270="Completed",MAX(0,N(S1270)-T1270),""))</f>
        <v/>
      </c>
      <c r="V1270" s="49">
        <f>IF(B1270="","",IF(O1270&lt;&gt;"Completed",IF(T1270&gt;0,"Deposit","—"),IF(U1270&lt;=0.005,"Paid",IF(T1270&gt;0,"Partial","Unpaid"))))</f>
        <v/>
      </c>
      <c r="W1270" s="55">
        <f>IF(B1270="","",IFERROR(1/(1/INDEX('STAFF &amp; TASKS'!$C$5:$C$24,MATCH(H1270,'STAFF &amp; TASKS'!$A$5:$A$24,0))),PayRate))</f>
        <v/>
      </c>
      <c r="X1270" s="55">
        <f>IF(B1270="","",IF(OR(O1270="Cancelled",O1270="No-Show"),"",ROUND(R1270*W1270*(1+Burden),2)))</f>
        <v/>
      </c>
      <c r="Y1270" s="55">
        <f>IF(B1270="","",IF(OR(O1270="Cancelled",O1270="No-Show"),"",IF(N1270&lt;&gt;"",N1270,ROUND(R1270*SupHr*IFERROR(INDEX('PRICING'!$G$7:$G$16,MATCH(F1270,'PRICING'!$A$7:$A$16,0)),1),2))))</f>
        <v/>
      </c>
      <c r="Z1270" s="98">
        <f>IF(B1270="","",SUMIFS('MILEAGE'!$J$5:$J$1504,'MILEAGE'!$B$5:$B$1504,A1270))</f>
        <v/>
      </c>
      <c r="AA1270" s="55">
        <f>IF(B1270="","",ROUND(Z1270*MileRate,2))</f>
        <v/>
      </c>
      <c r="AB1270" s="55">
        <f>IF(B1270="","",SUMIFS('REVENUE'!$J$5:$J$1504,'REVENUE'!$B$5:$B$1504,A1270))</f>
        <v/>
      </c>
      <c r="AC1270" s="55">
        <f>IF(L1270="","",IF(OR(O1270="Cancelled",O1270="No-Show"),"",L1270-N(X1270)-N(Y1270)-AA1270-AB1270))</f>
        <v/>
      </c>
      <c r="AD1270" s="99">
        <f>IF(OR(AC1270="",N(L1270)=0),"",AC1270/L1270)</f>
        <v/>
      </c>
      <c r="AE1270" s="55">
        <f>IF(OR(AC1270="",N(R1270)=0),"",L1270/R1270)</f>
        <v/>
      </c>
      <c r="AF1270" s="100">
        <f>IF(OR(N(K1270)=0,N(J1270)+N(Q1270)=0),"",K1270-IF(N(J1270)&gt;0,J1270,Q1270))</f>
        <v/>
      </c>
      <c r="AG1270" s="99">
        <f>IF(B1270="","",IFERROR(AVERAGEIFS('QUALITY CONTROL'!$M$5:$M$304,'QUALITY CONTROL'!$B$5:$B$304,A1270),""))</f>
        <v/>
      </c>
      <c r="AH1270" s="51">
        <f>IF(B1270="","",DATE(YEAR(B1270),MONTH(B1270),1))</f>
        <v/>
      </c>
      <c r="AI1270" s="49">
        <f>IF(D1270="","",IFERROR(INDEX('CUSTOMERS'!$E$5:$E$404,MATCH(D1270,'CUSTOMERS'!$B$5:$B$404,0)),""))</f>
        <v/>
      </c>
      <c r="AJ1270" s="49">
        <f>IF(B1270="","",N(C1270))</f>
        <v/>
      </c>
      <c r="AK1270" s="49">
        <f>IF(OR(B1270="",O1270="Cancelled",O1270="Rescheduled"),"",B1270&amp;"|"&amp;(COUNTIFS('JOBS'!$B$5:$B$1504,B1270,'JOBS'!$AJ$5:$AJ$1504,"&lt;"&amp;AJ1270,'JOBS'!$O$5:$O$1504,"&lt;&gt;Cancelled",'JOBS'!$O$5:$O$1504,"&lt;&gt;Rescheduled")+COUNTIFS($B$5:B1270,B1270,$AJ$5:AJ1270,AJ1270,$O$5:O1270,"&lt;&gt;Cancelled",$O$5:O1270,"&lt;&gt;Rescheduled")))</f>
        <v/>
      </c>
      <c r="AL1270" s="49">
        <f>IF(N(U1270)&lt;=0.005,"",COUNTIFS('JOBS'!$U$5:$U$1504,"&gt;0.005",'JOBS'!$B$5:$B$1504,"&lt;"&amp;B1270)+COUNTIFS($U$5:U1270,"&gt;0.005",$B$5:B1270,B1270))</f>
        <v/>
      </c>
    </row>
    <row r="1271">
      <c r="A1271" s="46" t="inlineStr">
        <is>
          <t>J-1267</t>
        </is>
      </c>
      <c r="B1271" s="47" t="n"/>
      <c r="C1271" s="94" t="n"/>
      <c r="D1271" s="38" t="n"/>
      <c r="E1271" s="38" t="n"/>
      <c r="F1271" s="38" t="n"/>
      <c r="G1271" s="38" t="n"/>
      <c r="H1271" s="38" t="n"/>
      <c r="I1271" s="57" t="n"/>
      <c r="J1271" s="95" t="n"/>
      <c r="K1271" s="95" t="n"/>
      <c r="L1271" s="48" t="n"/>
      <c r="M1271" s="96" t="n"/>
      <c r="N1271" s="48" t="n"/>
      <c r="O1271" s="38" t="n"/>
      <c r="P1271" s="38" t="n"/>
      <c r="Q1271" s="97">
        <f>IF(OR(F1271="",E1271=""),"",IFERROR(IF(INDEX('PROPERTIES'!$F$5:$F$404,MATCH(E1271,'PROPERTIES'!$B$5:$B$404,0))=0,"",ROUND((INDEX('PROPERTIES'!$F$5:$F$404,MATCH(E1271,'PROPERTIES'!$B$5:$B$404,0))/INDEX('PRICING'!$C$7:$C$16,MATCH(F1271,'PRICING'!$A$7:$A$16,0))+INDEX('PROPERTIES'!$G$5:$G$404,MATCH(E1271,'PROPERTIES'!$B$5:$B$404,0))*INDEX('PRICING'!$D$7:$D$16,MATCH(F1271,'PRICING'!$A$7:$A$16,0))/60+INDEX('PROPERTIES'!$H$5:$H$404,MATCH(E1271,'PROPERTIES'!$B$5:$B$404,0))*INDEX('PRICING'!$E$7:$E$16,MATCH(F1271,'PRICING'!$A$7:$A$16,0))/60+INDEX('PRICING'!$F$7:$F$16,MATCH(F1271,'PRICING'!$A$7:$A$16,0))/60),2)),""))</f>
        <v/>
      </c>
      <c r="R1271" s="97">
        <f>IF(B1271="","",IF(N(K1271)&gt;0,K1271,IF(N(J1271)&gt;0,J1271,N(Q1271))))</f>
        <v/>
      </c>
      <c r="S1271" s="55">
        <f>IF(L1271="","",ROUND(L1271*(1+N(M1271)),2))</f>
        <v/>
      </c>
      <c r="T1271" s="55">
        <f>IF(B1271="","",SUMIFS('REVENUE'!$C$5:$C$1504,'REVENUE'!$B$5:$B$1504,A1271))</f>
        <v/>
      </c>
      <c r="U1271" s="55">
        <f>IF(B1271="","",IF(O1271="Completed",MAX(0,N(S1271)-T1271),""))</f>
        <v/>
      </c>
      <c r="V1271" s="49">
        <f>IF(B1271="","",IF(O1271&lt;&gt;"Completed",IF(T1271&gt;0,"Deposit","—"),IF(U1271&lt;=0.005,"Paid",IF(T1271&gt;0,"Partial","Unpaid"))))</f>
        <v/>
      </c>
      <c r="W1271" s="55">
        <f>IF(B1271="","",IFERROR(1/(1/INDEX('STAFF &amp; TASKS'!$C$5:$C$24,MATCH(H1271,'STAFF &amp; TASKS'!$A$5:$A$24,0))),PayRate))</f>
        <v/>
      </c>
      <c r="X1271" s="55">
        <f>IF(B1271="","",IF(OR(O1271="Cancelled",O1271="No-Show"),"",ROUND(R1271*W1271*(1+Burden),2)))</f>
        <v/>
      </c>
      <c r="Y1271" s="55">
        <f>IF(B1271="","",IF(OR(O1271="Cancelled",O1271="No-Show"),"",IF(N1271&lt;&gt;"",N1271,ROUND(R1271*SupHr*IFERROR(INDEX('PRICING'!$G$7:$G$16,MATCH(F1271,'PRICING'!$A$7:$A$16,0)),1),2))))</f>
        <v/>
      </c>
      <c r="Z1271" s="98">
        <f>IF(B1271="","",SUMIFS('MILEAGE'!$J$5:$J$1504,'MILEAGE'!$B$5:$B$1504,A1271))</f>
        <v/>
      </c>
      <c r="AA1271" s="55">
        <f>IF(B1271="","",ROUND(Z1271*MileRate,2))</f>
        <v/>
      </c>
      <c r="AB1271" s="55">
        <f>IF(B1271="","",SUMIFS('REVENUE'!$J$5:$J$1504,'REVENUE'!$B$5:$B$1504,A1271))</f>
        <v/>
      </c>
      <c r="AC1271" s="55">
        <f>IF(L1271="","",IF(OR(O1271="Cancelled",O1271="No-Show"),"",L1271-N(X1271)-N(Y1271)-AA1271-AB1271))</f>
        <v/>
      </c>
      <c r="AD1271" s="99">
        <f>IF(OR(AC1271="",N(L1271)=0),"",AC1271/L1271)</f>
        <v/>
      </c>
      <c r="AE1271" s="55">
        <f>IF(OR(AC1271="",N(R1271)=0),"",L1271/R1271)</f>
        <v/>
      </c>
      <c r="AF1271" s="100">
        <f>IF(OR(N(K1271)=0,N(J1271)+N(Q1271)=0),"",K1271-IF(N(J1271)&gt;0,J1271,Q1271))</f>
        <v/>
      </c>
      <c r="AG1271" s="99">
        <f>IF(B1271="","",IFERROR(AVERAGEIFS('QUALITY CONTROL'!$M$5:$M$304,'QUALITY CONTROL'!$B$5:$B$304,A1271),""))</f>
        <v/>
      </c>
      <c r="AH1271" s="51">
        <f>IF(B1271="","",DATE(YEAR(B1271),MONTH(B1271),1))</f>
        <v/>
      </c>
      <c r="AI1271" s="49">
        <f>IF(D1271="","",IFERROR(INDEX('CUSTOMERS'!$E$5:$E$404,MATCH(D1271,'CUSTOMERS'!$B$5:$B$404,0)),""))</f>
        <v/>
      </c>
      <c r="AJ1271" s="49">
        <f>IF(B1271="","",N(C1271))</f>
        <v/>
      </c>
      <c r="AK1271" s="49">
        <f>IF(OR(B1271="",O1271="Cancelled",O1271="Rescheduled"),"",B1271&amp;"|"&amp;(COUNTIFS('JOBS'!$B$5:$B$1504,B1271,'JOBS'!$AJ$5:$AJ$1504,"&lt;"&amp;AJ1271,'JOBS'!$O$5:$O$1504,"&lt;&gt;Cancelled",'JOBS'!$O$5:$O$1504,"&lt;&gt;Rescheduled")+COUNTIFS($B$5:B1271,B1271,$AJ$5:AJ1271,AJ1271,$O$5:O1271,"&lt;&gt;Cancelled",$O$5:O1271,"&lt;&gt;Rescheduled")))</f>
        <v/>
      </c>
      <c r="AL1271" s="49">
        <f>IF(N(U1271)&lt;=0.005,"",COUNTIFS('JOBS'!$U$5:$U$1504,"&gt;0.005",'JOBS'!$B$5:$B$1504,"&lt;"&amp;B1271)+COUNTIFS($U$5:U1271,"&gt;0.005",$B$5:B1271,B1271))</f>
        <v/>
      </c>
    </row>
    <row r="1272">
      <c r="A1272" s="46" t="inlineStr">
        <is>
          <t>J-1268</t>
        </is>
      </c>
      <c r="B1272" s="47" t="n"/>
      <c r="C1272" s="94" t="n"/>
      <c r="D1272" s="38" t="n"/>
      <c r="E1272" s="38" t="n"/>
      <c r="F1272" s="38" t="n"/>
      <c r="G1272" s="38" t="n"/>
      <c r="H1272" s="38" t="n"/>
      <c r="I1272" s="57" t="n"/>
      <c r="J1272" s="95" t="n"/>
      <c r="K1272" s="95" t="n"/>
      <c r="L1272" s="48" t="n"/>
      <c r="M1272" s="96" t="n"/>
      <c r="N1272" s="48" t="n"/>
      <c r="O1272" s="38" t="n"/>
      <c r="P1272" s="38" t="n"/>
      <c r="Q1272" s="97">
        <f>IF(OR(F1272="",E1272=""),"",IFERROR(IF(INDEX('PROPERTIES'!$F$5:$F$404,MATCH(E1272,'PROPERTIES'!$B$5:$B$404,0))=0,"",ROUND((INDEX('PROPERTIES'!$F$5:$F$404,MATCH(E1272,'PROPERTIES'!$B$5:$B$404,0))/INDEX('PRICING'!$C$7:$C$16,MATCH(F1272,'PRICING'!$A$7:$A$16,0))+INDEX('PROPERTIES'!$G$5:$G$404,MATCH(E1272,'PROPERTIES'!$B$5:$B$404,0))*INDEX('PRICING'!$D$7:$D$16,MATCH(F1272,'PRICING'!$A$7:$A$16,0))/60+INDEX('PROPERTIES'!$H$5:$H$404,MATCH(E1272,'PROPERTIES'!$B$5:$B$404,0))*INDEX('PRICING'!$E$7:$E$16,MATCH(F1272,'PRICING'!$A$7:$A$16,0))/60+INDEX('PRICING'!$F$7:$F$16,MATCH(F1272,'PRICING'!$A$7:$A$16,0))/60),2)),""))</f>
        <v/>
      </c>
      <c r="R1272" s="97">
        <f>IF(B1272="","",IF(N(K1272)&gt;0,K1272,IF(N(J1272)&gt;0,J1272,N(Q1272))))</f>
        <v/>
      </c>
      <c r="S1272" s="55">
        <f>IF(L1272="","",ROUND(L1272*(1+N(M1272)),2))</f>
        <v/>
      </c>
      <c r="T1272" s="55">
        <f>IF(B1272="","",SUMIFS('REVENUE'!$C$5:$C$1504,'REVENUE'!$B$5:$B$1504,A1272))</f>
        <v/>
      </c>
      <c r="U1272" s="55">
        <f>IF(B1272="","",IF(O1272="Completed",MAX(0,N(S1272)-T1272),""))</f>
        <v/>
      </c>
      <c r="V1272" s="49">
        <f>IF(B1272="","",IF(O1272&lt;&gt;"Completed",IF(T1272&gt;0,"Deposit","—"),IF(U1272&lt;=0.005,"Paid",IF(T1272&gt;0,"Partial","Unpaid"))))</f>
        <v/>
      </c>
      <c r="W1272" s="55">
        <f>IF(B1272="","",IFERROR(1/(1/INDEX('STAFF &amp; TASKS'!$C$5:$C$24,MATCH(H1272,'STAFF &amp; TASKS'!$A$5:$A$24,0))),PayRate))</f>
        <v/>
      </c>
      <c r="X1272" s="55">
        <f>IF(B1272="","",IF(OR(O1272="Cancelled",O1272="No-Show"),"",ROUND(R1272*W1272*(1+Burden),2)))</f>
        <v/>
      </c>
      <c r="Y1272" s="55">
        <f>IF(B1272="","",IF(OR(O1272="Cancelled",O1272="No-Show"),"",IF(N1272&lt;&gt;"",N1272,ROUND(R1272*SupHr*IFERROR(INDEX('PRICING'!$G$7:$G$16,MATCH(F1272,'PRICING'!$A$7:$A$16,0)),1),2))))</f>
        <v/>
      </c>
      <c r="Z1272" s="98">
        <f>IF(B1272="","",SUMIFS('MILEAGE'!$J$5:$J$1504,'MILEAGE'!$B$5:$B$1504,A1272))</f>
        <v/>
      </c>
      <c r="AA1272" s="55">
        <f>IF(B1272="","",ROUND(Z1272*MileRate,2))</f>
        <v/>
      </c>
      <c r="AB1272" s="55">
        <f>IF(B1272="","",SUMIFS('REVENUE'!$J$5:$J$1504,'REVENUE'!$B$5:$B$1504,A1272))</f>
        <v/>
      </c>
      <c r="AC1272" s="55">
        <f>IF(L1272="","",IF(OR(O1272="Cancelled",O1272="No-Show"),"",L1272-N(X1272)-N(Y1272)-AA1272-AB1272))</f>
        <v/>
      </c>
      <c r="AD1272" s="99">
        <f>IF(OR(AC1272="",N(L1272)=0),"",AC1272/L1272)</f>
        <v/>
      </c>
      <c r="AE1272" s="55">
        <f>IF(OR(AC1272="",N(R1272)=0),"",L1272/R1272)</f>
        <v/>
      </c>
      <c r="AF1272" s="100">
        <f>IF(OR(N(K1272)=0,N(J1272)+N(Q1272)=0),"",K1272-IF(N(J1272)&gt;0,J1272,Q1272))</f>
        <v/>
      </c>
      <c r="AG1272" s="99">
        <f>IF(B1272="","",IFERROR(AVERAGEIFS('QUALITY CONTROL'!$M$5:$M$304,'QUALITY CONTROL'!$B$5:$B$304,A1272),""))</f>
        <v/>
      </c>
      <c r="AH1272" s="51">
        <f>IF(B1272="","",DATE(YEAR(B1272),MONTH(B1272),1))</f>
        <v/>
      </c>
      <c r="AI1272" s="49">
        <f>IF(D1272="","",IFERROR(INDEX('CUSTOMERS'!$E$5:$E$404,MATCH(D1272,'CUSTOMERS'!$B$5:$B$404,0)),""))</f>
        <v/>
      </c>
      <c r="AJ1272" s="49">
        <f>IF(B1272="","",N(C1272))</f>
        <v/>
      </c>
      <c r="AK1272" s="49">
        <f>IF(OR(B1272="",O1272="Cancelled",O1272="Rescheduled"),"",B1272&amp;"|"&amp;(COUNTIFS('JOBS'!$B$5:$B$1504,B1272,'JOBS'!$AJ$5:$AJ$1504,"&lt;"&amp;AJ1272,'JOBS'!$O$5:$O$1504,"&lt;&gt;Cancelled",'JOBS'!$O$5:$O$1504,"&lt;&gt;Rescheduled")+COUNTIFS($B$5:B1272,B1272,$AJ$5:AJ1272,AJ1272,$O$5:O1272,"&lt;&gt;Cancelled",$O$5:O1272,"&lt;&gt;Rescheduled")))</f>
        <v/>
      </c>
      <c r="AL1272" s="49">
        <f>IF(N(U1272)&lt;=0.005,"",COUNTIFS('JOBS'!$U$5:$U$1504,"&gt;0.005",'JOBS'!$B$5:$B$1504,"&lt;"&amp;B1272)+COUNTIFS($U$5:U1272,"&gt;0.005",$B$5:B1272,B1272))</f>
        <v/>
      </c>
    </row>
    <row r="1273">
      <c r="A1273" s="46" t="inlineStr">
        <is>
          <t>J-1269</t>
        </is>
      </c>
      <c r="B1273" s="47" t="n"/>
      <c r="C1273" s="94" t="n"/>
      <c r="D1273" s="38" t="n"/>
      <c r="E1273" s="38" t="n"/>
      <c r="F1273" s="38" t="n"/>
      <c r="G1273" s="38" t="n"/>
      <c r="H1273" s="38" t="n"/>
      <c r="I1273" s="57" t="n"/>
      <c r="J1273" s="95" t="n"/>
      <c r="K1273" s="95" t="n"/>
      <c r="L1273" s="48" t="n"/>
      <c r="M1273" s="96" t="n"/>
      <c r="N1273" s="48" t="n"/>
      <c r="O1273" s="38" t="n"/>
      <c r="P1273" s="38" t="n"/>
      <c r="Q1273" s="97">
        <f>IF(OR(F1273="",E1273=""),"",IFERROR(IF(INDEX('PROPERTIES'!$F$5:$F$404,MATCH(E1273,'PROPERTIES'!$B$5:$B$404,0))=0,"",ROUND((INDEX('PROPERTIES'!$F$5:$F$404,MATCH(E1273,'PROPERTIES'!$B$5:$B$404,0))/INDEX('PRICING'!$C$7:$C$16,MATCH(F1273,'PRICING'!$A$7:$A$16,0))+INDEX('PROPERTIES'!$G$5:$G$404,MATCH(E1273,'PROPERTIES'!$B$5:$B$404,0))*INDEX('PRICING'!$D$7:$D$16,MATCH(F1273,'PRICING'!$A$7:$A$16,0))/60+INDEX('PROPERTIES'!$H$5:$H$404,MATCH(E1273,'PROPERTIES'!$B$5:$B$404,0))*INDEX('PRICING'!$E$7:$E$16,MATCH(F1273,'PRICING'!$A$7:$A$16,0))/60+INDEX('PRICING'!$F$7:$F$16,MATCH(F1273,'PRICING'!$A$7:$A$16,0))/60),2)),""))</f>
        <v/>
      </c>
      <c r="R1273" s="97">
        <f>IF(B1273="","",IF(N(K1273)&gt;0,K1273,IF(N(J1273)&gt;0,J1273,N(Q1273))))</f>
        <v/>
      </c>
      <c r="S1273" s="55">
        <f>IF(L1273="","",ROUND(L1273*(1+N(M1273)),2))</f>
        <v/>
      </c>
      <c r="T1273" s="55">
        <f>IF(B1273="","",SUMIFS('REVENUE'!$C$5:$C$1504,'REVENUE'!$B$5:$B$1504,A1273))</f>
        <v/>
      </c>
      <c r="U1273" s="55">
        <f>IF(B1273="","",IF(O1273="Completed",MAX(0,N(S1273)-T1273),""))</f>
        <v/>
      </c>
      <c r="V1273" s="49">
        <f>IF(B1273="","",IF(O1273&lt;&gt;"Completed",IF(T1273&gt;0,"Deposit","—"),IF(U1273&lt;=0.005,"Paid",IF(T1273&gt;0,"Partial","Unpaid"))))</f>
        <v/>
      </c>
      <c r="W1273" s="55">
        <f>IF(B1273="","",IFERROR(1/(1/INDEX('STAFF &amp; TASKS'!$C$5:$C$24,MATCH(H1273,'STAFF &amp; TASKS'!$A$5:$A$24,0))),PayRate))</f>
        <v/>
      </c>
      <c r="X1273" s="55">
        <f>IF(B1273="","",IF(OR(O1273="Cancelled",O1273="No-Show"),"",ROUND(R1273*W1273*(1+Burden),2)))</f>
        <v/>
      </c>
      <c r="Y1273" s="55">
        <f>IF(B1273="","",IF(OR(O1273="Cancelled",O1273="No-Show"),"",IF(N1273&lt;&gt;"",N1273,ROUND(R1273*SupHr*IFERROR(INDEX('PRICING'!$G$7:$G$16,MATCH(F1273,'PRICING'!$A$7:$A$16,0)),1),2))))</f>
        <v/>
      </c>
      <c r="Z1273" s="98">
        <f>IF(B1273="","",SUMIFS('MILEAGE'!$J$5:$J$1504,'MILEAGE'!$B$5:$B$1504,A1273))</f>
        <v/>
      </c>
      <c r="AA1273" s="55">
        <f>IF(B1273="","",ROUND(Z1273*MileRate,2))</f>
        <v/>
      </c>
      <c r="AB1273" s="55">
        <f>IF(B1273="","",SUMIFS('REVENUE'!$J$5:$J$1504,'REVENUE'!$B$5:$B$1504,A1273))</f>
        <v/>
      </c>
      <c r="AC1273" s="55">
        <f>IF(L1273="","",IF(OR(O1273="Cancelled",O1273="No-Show"),"",L1273-N(X1273)-N(Y1273)-AA1273-AB1273))</f>
        <v/>
      </c>
      <c r="AD1273" s="99">
        <f>IF(OR(AC1273="",N(L1273)=0),"",AC1273/L1273)</f>
        <v/>
      </c>
      <c r="AE1273" s="55">
        <f>IF(OR(AC1273="",N(R1273)=0),"",L1273/R1273)</f>
        <v/>
      </c>
      <c r="AF1273" s="100">
        <f>IF(OR(N(K1273)=0,N(J1273)+N(Q1273)=0),"",K1273-IF(N(J1273)&gt;0,J1273,Q1273))</f>
        <v/>
      </c>
      <c r="AG1273" s="99">
        <f>IF(B1273="","",IFERROR(AVERAGEIFS('QUALITY CONTROL'!$M$5:$M$304,'QUALITY CONTROL'!$B$5:$B$304,A1273),""))</f>
        <v/>
      </c>
      <c r="AH1273" s="51">
        <f>IF(B1273="","",DATE(YEAR(B1273),MONTH(B1273),1))</f>
        <v/>
      </c>
      <c r="AI1273" s="49">
        <f>IF(D1273="","",IFERROR(INDEX('CUSTOMERS'!$E$5:$E$404,MATCH(D1273,'CUSTOMERS'!$B$5:$B$404,0)),""))</f>
        <v/>
      </c>
      <c r="AJ1273" s="49">
        <f>IF(B1273="","",N(C1273))</f>
        <v/>
      </c>
      <c r="AK1273" s="49">
        <f>IF(OR(B1273="",O1273="Cancelled",O1273="Rescheduled"),"",B1273&amp;"|"&amp;(COUNTIFS('JOBS'!$B$5:$B$1504,B1273,'JOBS'!$AJ$5:$AJ$1504,"&lt;"&amp;AJ1273,'JOBS'!$O$5:$O$1504,"&lt;&gt;Cancelled",'JOBS'!$O$5:$O$1504,"&lt;&gt;Rescheduled")+COUNTIFS($B$5:B1273,B1273,$AJ$5:AJ1273,AJ1273,$O$5:O1273,"&lt;&gt;Cancelled",$O$5:O1273,"&lt;&gt;Rescheduled")))</f>
        <v/>
      </c>
      <c r="AL1273" s="49">
        <f>IF(N(U1273)&lt;=0.005,"",COUNTIFS('JOBS'!$U$5:$U$1504,"&gt;0.005",'JOBS'!$B$5:$B$1504,"&lt;"&amp;B1273)+COUNTIFS($U$5:U1273,"&gt;0.005",$B$5:B1273,B1273))</f>
        <v/>
      </c>
    </row>
    <row r="1274">
      <c r="A1274" s="46" t="inlineStr">
        <is>
          <t>J-1270</t>
        </is>
      </c>
      <c r="B1274" s="47" t="n"/>
      <c r="C1274" s="94" t="n"/>
      <c r="D1274" s="38" t="n"/>
      <c r="E1274" s="38" t="n"/>
      <c r="F1274" s="38" t="n"/>
      <c r="G1274" s="38" t="n"/>
      <c r="H1274" s="38" t="n"/>
      <c r="I1274" s="57" t="n"/>
      <c r="J1274" s="95" t="n"/>
      <c r="K1274" s="95" t="n"/>
      <c r="L1274" s="48" t="n"/>
      <c r="M1274" s="96" t="n"/>
      <c r="N1274" s="48" t="n"/>
      <c r="O1274" s="38" t="n"/>
      <c r="P1274" s="38" t="n"/>
      <c r="Q1274" s="97">
        <f>IF(OR(F1274="",E1274=""),"",IFERROR(IF(INDEX('PROPERTIES'!$F$5:$F$404,MATCH(E1274,'PROPERTIES'!$B$5:$B$404,0))=0,"",ROUND((INDEX('PROPERTIES'!$F$5:$F$404,MATCH(E1274,'PROPERTIES'!$B$5:$B$404,0))/INDEX('PRICING'!$C$7:$C$16,MATCH(F1274,'PRICING'!$A$7:$A$16,0))+INDEX('PROPERTIES'!$G$5:$G$404,MATCH(E1274,'PROPERTIES'!$B$5:$B$404,0))*INDEX('PRICING'!$D$7:$D$16,MATCH(F1274,'PRICING'!$A$7:$A$16,0))/60+INDEX('PROPERTIES'!$H$5:$H$404,MATCH(E1274,'PROPERTIES'!$B$5:$B$404,0))*INDEX('PRICING'!$E$7:$E$16,MATCH(F1274,'PRICING'!$A$7:$A$16,0))/60+INDEX('PRICING'!$F$7:$F$16,MATCH(F1274,'PRICING'!$A$7:$A$16,0))/60),2)),""))</f>
        <v/>
      </c>
      <c r="R1274" s="97">
        <f>IF(B1274="","",IF(N(K1274)&gt;0,K1274,IF(N(J1274)&gt;0,J1274,N(Q1274))))</f>
        <v/>
      </c>
      <c r="S1274" s="55">
        <f>IF(L1274="","",ROUND(L1274*(1+N(M1274)),2))</f>
        <v/>
      </c>
      <c r="T1274" s="55">
        <f>IF(B1274="","",SUMIFS('REVENUE'!$C$5:$C$1504,'REVENUE'!$B$5:$B$1504,A1274))</f>
        <v/>
      </c>
      <c r="U1274" s="55">
        <f>IF(B1274="","",IF(O1274="Completed",MAX(0,N(S1274)-T1274),""))</f>
        <v/>
      </c>
      <c r="V1274" s="49">
        <f>IF(B1274="","",IF(O1274&lt;&gt;"Completed",IF(T1274&gt;0,"Deposit","—"),IF(U1274&lt;=0.005,"Paid",IF(T1274&gt;0,"Partial","Unpaid"))))</f>
        <v/>
      </c>
      <c r="W1274" s="55">
        <f>IF(B1274="","",IFERROR(1/(1/INDEX('STAFF &amp; TASKS'!$C$5:$C$24,MATCH(H1274,'STAFF &amp; TASKS'!$A$5:$A$24,0))),PayRate))</f>
        <v/>
      </c>
      <c r="X1274" s="55">
        <f>IF(B1274="","",IF(OR(O1274="Cancelled",O1274="No-Show"),"",ROUND(R1274*W1274*(1+Burden),2)))</f>
        <v/>
      </c>
      <c r="Y1274" s="55">
        <f>IF(B1274="","",IF(OR(O1274="Cancelled",O1274="No-Show"),"",IF(N1274&lt;&gt;"",N1274,ROUND(R1274*SupHr*IFERROR(INDEX('PRICING'!$G$7:$G$16,MATCH(F1274,'PRICING'!$A$7:$A$16,0)),1),2))))</f>
        <v/>
      </c>
      <c r="Z1274" s="98">
        <f>IF(B1274="","",SUMIFS('MILEAGE'!$J$5:$J$1504,'MILEAGE'!$B$5:$B$1504,A1274))</f>
        <v/>
      </c>
      <c r="AA1274" s="55">
        <f>IF(B1274="","",ROUND(Z1274*MileRate,2))</f>
        <v/>
      </c>
      <c r="AB1274" s="55">
        <f>IF(B1274="","",SUMIFS('REVENUE'!$J$5:$J$1504,'REVENUE'!$B$5:$B$1504,A1274))</f>
        <v/>
      </c>
      <c r="AC1274" s="55">
        <f>IF(L1274="","",IF(OR(O1274="Cancelled",O1274="No-Show"),"",L1274-N(X1274)-N(Y1274)-AA1274-AB1274))</f>
        <v/>
      </c>
      <c r="AD1274" s="99">
        <f>IF(OR(AC1274="",N(L1274)=0),"",AC1274/L1274)</f>
        <v/>
      </c>
      <c r="AE1274" s="55">
        <f>IF(OR(AC1274="",N(R1274)=0),"",L1274/R1274)</f>
        <v/>
      </c>
      <c r="AF1274" s="100">
        <f>IF(OR(N(K1274)=0,N(J1274)+N(Q1274)=0),"",K1274-IF(N(J1274)&gt;0,J1274,Q1274))</f>
        <v/>
      </c>
      <c r="AG1274" s="99">
        <f>IF(B1274="","",IFERROR(AVERAGEIFS('QUALITY CONTROL'!$M$5:$M$304,'QUALITY CONTROL'!$B$5:$B$304,A1274),""))</f>
        <v/>
      </c>
      <c r="AH1274" s="51">
        <f>IF(B1274="","",DATE(YEAR(B1274),MONTH(B1274),1))</f>
        <v/>
      </c>
      <c r="AI1274" s="49">
        <f>IF(D1274="","",IFERROR(INDEX('CUSTOMERS'!$E$5:$E$404,MATCH(D1274,'CUSTOMERS'!$B$5:$B$404,0)),""))</f>
        <v/>
      </c>
      <c r="AJ1274" s="49">
        <f>IF(B1274="","",N(C1274))</f>
        <v/>
      </c>
      <c r="AK1274" s="49">
        <f>IF(OR(B1274="",O1274="Cancelled",O1274="Rescheduled"),"",B1274&amp;"|"&amp;(COUNTIFS('JOBS'!$B$5:$B$1504,B1274,'JOBS'!$AJ$5:$AJ$1504,"&lt;"&amp;AJ1274,'JOBS'!$O$5:$O$1504,"&lt;&gt;Cancelled",'JOBS'!$O$5:$O$1504,"&lt;&gt;Rescheduled")+COUNTIFS($B$5:B1274,B1274,$AJ$5:AJ1274,AJ1274,$O$5:O1274,"&lt;&gt;Cancelled",$O$5:O1274,"&lt;&gt;Rescheduled")))</f>
        <v/>
      </c>
      <c r="AL1274" s="49">
        <f>IF(N(U1274)&lt;=0.005,"",COUNTIFS('JOBS'!$U$5:$U$1504,"&gt;0.005",'JOBS'!$B$5:$B$1504,"&lt;"&amp;B1274)+COUNTIFS($U$5:U1274,"&gt;0.005",$B$5:B1274,B1274))</f>
        <v/>
      </c>
    </row>
    <row r="1275">
      <c r="A1275" s="46" t="inlineStr">
        <is>
          <t>J-1271</t>
        </is>
      </c>
      <c r="B1275" s="47" t="n"/>
      <c r="C1275" s="94" t="n"/>
      <c r="D1275" s="38" t="n"/>
      <c r="E1275" s="38" t="n"/>
      <c r="F1275" s="38" t="n"/>
      <c r="G1275" s="38" t="n"/>
      <c r="H1275" s="38" t="n"/>
      <c r="I1275" s="57" t="n"/>
      <c r="J1275" s="95" t="n"/>
      <c r="K1275" s="95" t="n"/>
      <c r="L1275" s="48" t="n"/>
      <c r="M1275" s="96" t="n"/>
      <c r="N1275" s="48" t="n"/>
      <c r="O1275" s="38" t="n"/>
      <c r="P1275" s="38" t="n"/>
      <c r="Q1275" s="97">
        <f>IF(OR(F1275="",E1275=""),"",IFERROR(IF(INDEX('PROPERTIES'!$F$5:$F$404,MATCH(E1275,'PROPERTIES'!$B$5:$B$404,0))=0,"",ROUND((INDEX('PROPERTIES'!$F$5:$F$404,MATCH(E1275,'PROPERTIES'!$B$5:$B$404,0))/INDEX('PRICING'!$C$7:$C$16,MATCH(F1275,'PRICING'!$A$7:$A$16,0))+INDEX('PROPERTIES'!$G$5:$G$404,MATCH(E1275,'PROPERTIES'!$B$5:$B$404,0))*INDEX('PRICING'!$D$7:$D$16,MATCH(F1275,'PRICING'!$A$7:$A$16,0))/60+INDEX('PROPERTIES'!$H$5:$H$404,MATCH(E1275,'PROPERTIES'!$B$5:$B$404,0))*INDEX('PRICING'!$E$7:$E$16,MATCH(F1275,'PRICING'!$A$7:$A$16,0))/60+INDEX('PRICING'!$F$7:$F$16,MATCH(F1275,'PRICING'!$A$7:$A$16,0))/60),2)),""))</f>
        <v/>
      </c>
      <c r="R1275" s="97">
        <f>IF(B1275="","",IF(N(K1275)&gt;0,K1275,IF(N(J1275)&gt;0,J1275,N(Q1275))))</f>
        <v/>
      </c>
      <c r="S1275" s="55">
        <f>IF(L1275="","",ROUND(L1275*(1+N(M1275)),2))</f>
        <v/>
      </c>
      <c r="T1275" s="55">
        <f>IF(B1275="","",SUMIFS('REVENUE'!$C$5:$C$1504,'REVENUE'!$B$5:$B$1504,A1275))</f>
        <v/>
      </c>
      <c r="U1275" s="55">
        <f>IF(B1275="","",IF(O1275="Completed",MAX(0,N(S1275)-T1275),""))</f>
        <v/>
      </c>
      <c r="V1275" s="49">
        <f>IF(B1275="","",IF(O1275&lt;&gt;"Completed",IF(T1275&gt;0,"Deposit","—"),IF(U1275&lt;=0.005,"Paid",IF(T1275&gt;0,"Partial","Unpaid"))))</f>
        <v/>
      </c>
      <c r="W1275" s="55">
        <f>IF(B1275="","",IFERROR(1/(1/INDEX('STAFF &amp; TASKS'!$C$5:$C$24,MATCH(H1275,'STAFF &amp; TASKS'!$A$5:$A$24,0))),PayRate))</f>
        <v/>
      </c>
      <c r="X1275" s="55">
        <f>IF(B1275="","",IF(OR(O1275="Cancelled",O1275="No-Show"),"",ROUND(R1275*W1275*(1+Burden),2)))</f>
        <v/>
      </c>
      <c r="Y1275" s="55">
        <f>IF(B1275="","",IF(OR(O1275="Cancelled",O1275="No-Show"),"",IF(N1275&lt;&gt;"",N1275,ROUND(R1275*SupHr*IFERROR(INDEX('PRICING'!$G$7:$G$16,MATCH(F1275,'PRICING'!$A$7:$A$16,0)),1),2))))</f>
        <v/>
      </c>
      <c r="Z1275" s="98">
        <f>IF(B1275="","",SUMIFS('MILEAGE'!$J$5:$J$1504,'MILEAGE'!$B$5:$B$1504,A1275))</f>
        <v/>
      </c>
      <c r="AA1275" s="55">
        <f>IF(B1275="","",ROUND(Z1275*MileRate,2))</f>
        <v/>
      </c>
      <c r="AB1275" s="55">
        <f>IF(B1275="","",SUMIFS('REVENUE'!$J$5:$J$1504,'REVENUE'!$B$5:$B$1504,A1275))</f>
        <v/>
      </c>
      <c r="AC1275" s="55">
        <f>IF(L1275="","",IF(OR(O1275="Cancelled",O1275="No-Show"),"",L1275-N(X1275)-N(Y1275)-AA1275-AB1275))</f>
        <v/>
      </c>
      <c r="AD1275" s="99">
        <f>IF(OR(AC1275="",N(L1275)=0),"",AC1275/L1275)</f>
        <v/>
      </c>
      <c r="AE1275" s="55">
        <f>IF(OR(AC1275="",N(R1275)=0),"",L1275/R1275)</f>
        <v/>
      </c>
      <c r="AF1275" s="100">
        <f>IF(OR(N(K1275)=0,N(J1275)+N(Q1275)=0),"",K1275-IF(N(J1275)&gt;0,J1275,Q1275))</f>
        <v/>
      </c>
      <c r="AG1275" s="99">
        <f>IF(B1275="","",IFERROR(AVERAGEIFS('QUALITY CONTROL'!$M$5:$M$304,'QUALITY CONTROL'!$B$5:$B$304,A1275),""))</f>
        <v/>
      </c>
      <c r="AH1275" s="51">
        <f>IF(B1275="","",DATE(YEAR(B1275),MONTH(B1275),1))</f>
        <v/>
      </c>
      <c r="AI1275" s="49">
        <f>IF(D1275="","",IFERROR(INDEX('CUSTOMERS'!$E$5:$E$404,MATCH(D1275,'CUSTOMERS'!$B$5:$B$404,0)),""))</f>
        <v/>
      </c>
      <c r="AJ1275" s="49">
        <f>IF(B1275="","",N(C1275))</f>
        <v/>
      </c>
      <c r="AK1275" s="49">
        <f>IF(OR(B1275="",O1275="Cancelled",O1275="Rescheduled"),"",B1275&amp;"|"&amp;(COUNTIFS('JOBS'!$B$5:$B$1504,B1275,'JOBS'!$AJ$5:$AJ$1504,"&lt;"&amp;AJ1275,'JOBS'!$O$5:$O$1504,"&lt;&gt;Cancelled",'JOBS'!$O$5:$O$1504,"&lt;&gt;Rescheduled")+COUNTIFS($B$5:B1275,B1275,$AJ$5:AJ1275,AJ1275,$O$5:O1275,"&lt;&gt;Cancelled",$O$5:O1275,"&lt;&gt;Rescheduled")))</f>
        <v/>
      </c>
      <c r="AL1275" s="49">
        <f>IF(N(U1275)&lt;=0.005,"",COUNTIFS('JOBS'!$U$5:$U$1504,"&gt;0.005",'JOBS'!$B$5:$B$1504,"&lt;"&amp;B1275)+COUNTIFS($U$5:U1275,"&gt;0.005",$B$5:B1275,B1275))</f>
        <v/>
      </c>
    </row>
    <row r="1276">
      <c r="A1276" s="46" t="inlineStr">
        <is>
          <t>J-1272</t>
        </is>
      </c>
      <c r="B1276" s="47" t="n"/>
      <c r="C1276" s="94" t="n"/>
      <c r="D1276" s="38" t="n"/>
      <c r="E1276" s="38" t="n"/>
      <c r="F1276" s="38" t="n"/>
      <c r="G1276" s="38" t="n"/>
      <c r="H1276" s="38" t="n"/>
      <c r="I1276" s="57" t="n"/>
      <c r="J1276" s="95" t="n"/>
      <c r="K1276" s="95" t="n"/>
      <c r="L1276" s="48" t="n"/>
      <c r="M1276" s="96" t="n"/>
      <c r="N1276" s="48" t="n"/>
      <c r="O1276" s="38" t="n"/>
      <c r="P1276" s="38" t="n"/>
      <c r="Q1276" s="97">
        <f>IF(OR(F1276="",E1276=""),"",IFERROR(IF(INDEX('PROPERTIES'!$F$5:$F$404,MATCH(E1276,'PROPERTIES'!$B$5:$B$404,0))=0,"",ROUND((INDEX('PROPERTIES'!$F$5:$F$404,MATCH(E1276,'PROPERTIES'!$B$5:$B$404,0))/INDEX('PRICING'!$C$7:$C$16,MATCH(F1276,'PRICING'!$A$7:$A$16,0))+INDEX('PROPERTIES'!$G$5:$G$404,MATCH(E1276,'PROPERTIES'!$B$5:$B$404,0))*INDEX('PRICING'!$D$7:$D$16,MATCH(F1276,'PRICING'!$A$7:$A$16,0))/60+INDEX('PROPERTIES'!$H$5:$H$404,MATCH(E1276,'PROPERTIES'!$B$5:$B$404,0))*INDEX('PRICING'!$E$7:$E$16,MATCH(F1276,'PRICING'!$A$7:$A$16,0))/60+INDEX('PRICING'!$F$7:$F$16,MATCH(F1276,'PRICING'!$A$7:$A$16,0))/60),2)),""))</f>
        <v/>
      </c>
      <c r="R1276" s="97">
        <f>IF(B1276="","",IF(N(K1276)&gt;0,K1276,IF(N(J1276)&gt;0,J1276,N(Q1276))))</f>
        <v/>
      </c>
      <c r="S1276" s="55">
        <f>IF(L1276="","",ROUND(L1276*(1+N(M1276)),2))</f>
        <v/>
      </c>
      <c r="T1276" s="55">
        <f>IF(B1276="","",SUMIFS('REVENUE'!$C$5:$C$1504,'REVENUE'!$B$5:$B$1504,A1276))</f>
        <v/>
      </c>
      <c r="U1276" s="55">
        <f>IF(B1276="","",IF(O1276="Completed",MAX(0,N(S1276)-T1276),""))</f>
        <v/>
      </c>
      <c r="V1276" s="49">
        <f>IF(B1276="","",IF(O1276&lt;&gt;"Completed",IF(T1276&gt;0,"Deposit","—"),IF(U1276&lt;=0.005,"Paid",IF(T1276&gt;0,"Partial","Unpaid"))))</f>
        <v/>
      </c>
      <c r="W1276" s="55">
        <f>IF(B1276="","",IFERROR(1/(1/INDEX('STAFF &amp; TASKS'!$C$5:$C$24,MATCH(H1276,'STAFF &amp; TASKS'!$A$5:$A$24,0))),PayRate))</f>
        <v/>
      </c>
      <c r="X1276" s="55">
        <f>IF(B1276="","",IF(OR(O1276="Cancelled",O1276="No-Show"),"",ROUND(R1276*W1276*(1+Burden),2)))</f>
        <v/>
      </c>
      <c r="Y1276" s="55">
        <f>IF(B1276="","",IF(OR(O1276="Cancelled",O1276="No-Show"),"",IF(N1276&lt;&gt;"",N1276,ROUND(R1276*SupHr*IFERROR(INDEX('PRICING'!$G$7:$G$16,MATCH(F1276,'PRICING'!$A$7:$A$16,0)),1),2))))</f>
        <v/>
      </c>
      <c r="Z1276" s="98">
        <f>IF(B1276="","",SUMIFS('MILEAGE'!$J$5:$J$1504,'MILEAGE'!$B$5:$B$1504,A1276))</f>
        <v/>
      </c>
      <c r="AA1276" s="55">
        <f>IF(B1276="","",ROUND(Z1276*MileRate,2))</f>
        <v/>
      </c>
      <c r="AB1276" s="55">
        <f>IF(B1276="","",SUMIFS('REVENUE'!$J$5:$J$1504,'REVENUE'!$B$5:$B$1504,A1276))</f>
        <v/>
      </c>
      <c r="AC1276" s="55">
        <f>IF(L1276="","",IF(OR(O1276="Cancelled",O1276="No-Show"),"",L1276-N(X1276)-N(Y1276)-AA1276-AB1276))</f>
        <v/>
      </c>
      <c r="AD1276" s="99">
        <f>IF(OR(AC1276="",N(L1276)=0),"",AC1276/L1276)</f>
        <v/>
      </c>
      <c r="AE1276" s="55">
        <f>IF(OR(AC1276="",N(R1276)=0),"",L1276/R1276)</f>
        <v/>
      </c>
      <c r="AF1276" s="100">
        <f>IF(OR(N(K1276)=0,N(J1276)+N(Q1276)=0),"",K1276-IF(N(J1276)&gt;0,J1276,Q1276))</f>
        <v/>
      </c>
      <c r="AG1276" s="99">
        <f>IF(B1276="","",IFERROR(AVERAGEIFS('QUALITY CONTROL'!$M$5:$M$304,'QUALITY CONTROL'!$B$5:$B$304,A1276),""))</f>
        <v/>
      </c>
      <c r="AH1276" s="51">
        <f>IF(B1276="","",DATE(YEAR(B1276),MONTH(B1276),1))</f>
        <v/>
      </c>
      <c r="AI1276" s="49">
        <f>IF(D1276="","",IFERROR(INDEX('CUSTOMERS'!$E$5:$E$404,MATCH(D1276,'CUSTOMERS'!$B$5:$B$404,0)),""))</f>
        <v/>
      </c>
      <c r="AJ1276" s="49">
        <f>IF(B1276="","",N(C1276))</f>
        <v/>
      </c>
      <c r="AK1276" s="49">
        <f>IF(OR(B1276="",O1276="Cancelled",O1276="Rescheduled"),"",B1276&amp;"|"&amp;(COUNTIFS('JOBS'!$B$5:$B$1504,B1276,'JOBS'!$AJ$5:$AJ$1504,"&lt;"&amp;AJ1276,'JOBS'!$O$5:$O$1504,"&lt;&gt;Cancelled",'JOBS'!$O$5:$O$1504,"&lt;&gt;Rescheduled")+COUNTIFS($B$5:B1276,B1276,$AJ$5:AJ1276,AJ1276,$O$5:O1276,"&lt;&gt;Cancelled",$O$5:O1276,"&lt;&gt;Rescheduled")))</f>
        <v/>
      </c>
      <c r="AL1276" s="49">
        <f>IF(N(U1276)&lt;=0.005,"",COUNTIFS('JOBS'!$U$5:$U$1504,"&gt;0.005",'JOBS'!$B$5:$B$1504,"&lt;"&amp;B1276)+COUNTIFS($U$5:U1276,"&gt;0.005",$B$5:B1276,B1276))</f>
        <v/>
      </c>
    </row>
    <row r="1277">
      <c r="A1277" s="46" t="inlineStr">
        <is>
          <t>J-1273</t>
        </is>
      </c>
      <c r="B1277" s="47" t="n"/>
      <c r="C1277" s="94" t="n"/>
      <c r="D1277" s="38" t="n"/>
      <c r="E1277" s="38" t="n"/>
      <c r="F1277" s="38" t="n"/>
      <c r="G1277" s="38" t="n"/>
      <c r="H1277" s="38" t="n"/>
      <c r="I1277" s="57" t="n"/>
      <c r="J1277" s="95" t="n"/>
      <c r="K1277" s="95" t="n"/>
      <c r="L1277" s="48" t="n"/>
      <c r="M1277" s="96" t="n"/>
      <c r="N1277" s="48" t="n"/>
      <c r="O1277" s="38" t="n"/>
      <c r="P1277" s="38" t="n"/>
      <c r="Q1277" s="97">
        <f>IF(OR(F1277="",E1277=""),"",IFERROR(IF(INDEX('PROPERTIES'!$F$5:$F$404,MATCH(E1277,'PROPERTIES'!$B$5:$B$404,0))=0,"",ROUND((INDEX('PROPERTIES'!$F$5:$F$404,MATCH(E1277,'PROPERTIES'!$B$5:$B$404,0))/INDEX('PRICING'!$C$7:$C$16,MATCH(F1277,'PRICING'!$A$7:$A$16,0))+INDEX('PROPERTIES'!$G$5:$G$404,MATCH(E1277,'PROPERTIES'!$B$5:$B$404,0))*INDEX('PRICING'!$D$7:$D$16,MATCH(F1277,'PRICING'!$A$7:$A$16,0))/60+INDEX('PROPERTIES'!$H$5:$H$404,MATCH(E1277,'PROPERTIES'!$B$5:$B$404,0))*INDEX('PRICING'!$E$7:$E$16,MATCH(F1277,'PRICING'!$A$7:$A$16,0))/60+INDEX('PRICING'!$F$7:$F$16,MATCH(F1277,'PRICING'!$A$7:$A$16,0))/60),2)),""))</f>
        <v/>
      </c>
      <c r="R1277" s="97">
        <f>IF(B1277="","",IF(N(K1277)&gt;0,K1277,IF(N(J1277)&gt;0,J1277,N(Q1277))))</f>
        <v/>
      </c>
      <c r="S1277" s="55">
        <f>IF(L1277="","",ROUND(L1277*(1+N(M1277)),2))</f>
        <v/>
      </c>
      <c r="T1277" s="55">
        <f>IF(B1277="","",SUMIFS('REVENUE'!$C$5:$C$1504,'REVENUE'!$B$5:$B$1504,A1277))</f>
        <v/>
      </c>
      <c r="U1277" s="55">
        <f>IF(B1277="","",IF(O1277="Completed",MAX(0,N(S1277)-T1277),""))</f>
        <v/>
      </c>
      <c r="V1277" s="49">
        <f>IF(B1277="","",IF(O1277&lt;&gt;"Completed",IF(T1277&gt;0,"Deposit","—"),IF(U1277&lt;=0.005,"Paid",IF(T1277&gt;0,"Partial","Unpaid"))))</f>
        <v/>
      </c>
      <c r="W1277" s="55">
        <f>IF(B1277="","",IFERROR(1/(1/INDEX('STAFF &amp; TASKS'!$C$5:$C$24,MATCH(H1277,'STAFF &amp; TASKS'!$A$5:$A$24,0))),PayRate))</f>
        <v/>
      </c>
      <c r="X1277" s="55">
        <f>IF(B1277="","",IF(OR(O1277="Cancelled",O1277="No-Show"),"",ROUND(R1277*W1277*(1+Burden),2)))</f>
        <v/>
      </c>
      <c r="Y1277" s="55">
        <f>IF(B1277="","",IF(OR(O1277="Cancelled",O1277="No-Show"),"",IF(N1277&lt;&gt;"",N1277,ROUND(R1277*SupHr*IFERROR(INDEX('PRICING'!$G$7:$G$16,MATCH(F1277,'PRICING'!$A$7:$A$16,0)),1),2))))</f>
        <v/>
      </c>
      <c r="Z1277" s="98">
        <f>IF(B1277="","",SUMIFS('MILEAGE'!$J$5:$J$1504,'MILEAGE'!$B$5:$B$1504,A1277))</f>
        <v/>
      </c>
      <c r="AA1277" s="55">
        <f>IF(B1277="","",ROUND(Z1277*MileRate,2))</f>
        <v/>
      </c>
      <c r="AB1277" s="55">
        <f>IF(B1277="","",SUMIFS('REVENUE'!$J$5:$J$1504,'REVENUE'!$B$5:$B$1504,A1277))</f>
        <v/>
      </c>
      <c r="AC1277" s="55">
        <f>IF(L1277="","",IF(OR(O1277="Cancelled",O1277="No-Show"),"",L1277-N(X1277)-N(Y1277)-AA1277-AB1277))</f>
        <v/>
      </c>
      <c r="AD1277" s="99">
        <f>IF(OR(AC1277="",N(L1277)=0),"",AC1277/L1277)</f>
        <v/>
      </c>
      <c r="AE1277" s="55">
        <f>IF(OR(AC1277="",N(R1277)=0),"",L1277/R1277)</f>
        <v/>
      </c>
      <c r="AF1277" s="100">
        <f>IF(OR(N(K1277)=0,N(J1277)+N(Q1277)=0),"",K1277-IF(N(J1277)&gt;0,J1277,Q1277))</f>
        <v/>
      </c>
      <c r="AG1277" s="99">
        <f>IF(B1277="","",IFERROR(AVERAGEIFS('QUALITY CONTROL'!$M$5:$M$304,'QUALITY CONTROL'!$B$5:$B$304,A1277),""))</f>
        <v/>
      </c>
      <c r="AH1277" s="51">
        <f>IF(B1277="","",DATE(YEAR(B1277),MONTH(B1277),1))</f>
        <v/>
      </c>
      <c r="AI1277" s="49">
        <f>IF(D1277="","",IFERROR(INDEX('CUSTOMERS'!$E$5:$E$404,MATCH(D1277,'CUSTOMERS'!$B$5:$B$404,0)),""))</f>
        <v/>
      </c>
      <c r="AJ1277" s="49">
        <f>IF(B1277="","",N(C1277))</f>
        <v/>
      </c>
      <c r="AK1277" s="49">
        <f>IF(OR(B1277="",O1277="Cancelled",O1277="Rescheduled"),"",B1277&amp;"|"&amp;(COUNTIFS('JOBS'!$B$5:$B$1504,B1277,'JOBS'!$AJ$5:$AJ$1504,"&lt;"&amp;AJ1277,'JOBS'!$O$5:$O$1504,"&lt;&gt;Cancelled",'JOBS'!$O$5:$O$1504,"&lt;&gt;Rescheduled")+COUNTIFS($B$5:B1277,B1277,$AJ$5:AJ1277,AJ1277,$O$5:O1277,"&lt;&gt;Cancelled",$O$5:O1277,"&lt;&gt;Rescheduled")))</f>
        <v/>
      </c>
      <c r="AL1277" s="49">
        <f>IF(N(U1277)&lt;=0.005,"",COUNTIFS('JOBS'!$U$5:$U$1504,"&gt;0.005",'JOBS'!$B$5:$B$1504,"&lt;"&amp;B1277)+COUNTIFS($U$5:U1277,"&gt;0.005",$B$5:B1277,B1277))</f>
        <v/>
      </c>
    </row>
    <row r="1278">
      <c r="A1278" s="46" t="inlineStr">
        <is>
          <t>J-1274</t>
        </is>
      </c>
      <c r="B1278" s="47" t="n"/>
      <c r="C1278" s="94" t="n"/>
      <c r="D1278" s="38" t="n"/>
      <c r="E1278" s="38" t="n"/>
      <c r="F1278" s="38" t="n"/>
      <c r="G1278" s="38" t="n"/>
      <c r="H1278" s="38" t="n"/>
      <c r="I1278" s="57" t="n"/>
      <c r="J1278" s="95" t="n"/>
      <c r="K1278" s="95" t="n"/>
      <c r="L1278" s="48" t="n"/>
      <c r="M1278" s="96" t="n"/>
      <c r="N1278" s="48" t="n"/>
      <c r="O1278" s="38" t="n"/>
      <c r="P1278" s="38" t="n"/>
      <c r="Q1278" s="97">
        <f>IF(OR(F1278="",E1278=""),"",IFERROR(IF(INDEX('PROPERTIES'!$F$5:$F$404,MATCH(E1278,'PROPERTIES'!$B$5:$B$404,0))=0,"",ROUND((INDEX('PROPERTIES'!$F$5:$F$404,MATCH(E1278,'PROPERTIES'!$B$5:$B$404,0))/INDEX('PRICING'!$C$7:$C$16,MATCH(F1278,'PRICING'!$A$7:$A$16,0))+INDEX('PROPERTIES'!$G$5:$G$404,MATCH(E1278,'PROPERTIES'!$B$5:$B$404,0))*INDEX('PRICING'!$D$7:$D$16,MATCH(F1278,'PRICING'!$A$7:$A$16,0))/60+INDEX('PROPERTIES'!$H$5:$H$404,MATCH(E1278,'PROPERTIES'!$B$5:$B$404,0))*INDEX('PRICING'!$E$7:$E$16,MATCH(F1278,'PRICING'!$A$7:$A$16,0))/60+INDEX('PRICING'!$F$7:$F$16,MATCH(F1278,'PRICING'!$A$7:$A$16,0))/60),2)),""))</f>
        <v/>
      </c>
      <c r="R1278" s="97">
        <f>IF(B1278="","",IF(N(K1278)&gt;0,K1278,IF(N(J1278)&gt;0,J1278,N(Q1278))))</f>
        <v/>
      </c>
      <c r="S1278" s="55">
        <f>IF(L1278="","",ROUND(L1278*(1+N(M1278)),2))</f>
        <v/>
      </c>
      <c r="T1278" s="55">
        <f>IF(B1278="","",SUMIFS('REVENUE'!$C$5:$C$1504,'REVENUE'!$B$5:$B$1504,A1278))</f>
        <v/>
      </c>
      <c r="U1278" s="55">
        <f>IF(B1278="","",IF(O1278="Completed",MAX(0,N(S1278)-T1278),""))</f>
        <v/>
      </c>
      <c r="V1278" s="49">
        <f>IF(B1278="","",IF(O1278&lt;&gt;"Completed",IF(T1278&gt;0,"Deposit","—"),IF(U1278&lt;=0.005,"Paid",IF(T1278&gt;0,"Partial","Unpaid"))))</f>
        <v/>
      </c>
      <c r="W1278" s="55">
        <f>IF(B1278="","",IFERROR(1/(1/INDEX('STAFF &amp; TASKS'!$C$5:$C$24,MATCH(H1278,'STAFF &amp; TASKS'!$A$5:$A$24,0))),PayRate))</f>
        <v/>
      </c>
      <c r="X1278" s="55">
        <f>IF(B1278="","",IF(OR(O1278="Cancelled",O1278="No-Show"),"",ROUND(R1278*W1278*(1+Burden),2)))</f>
        <v/>
      </c>
      <c r="Y1278" s="55">
        <f>IF(B1278="","",IF(OR(O1278="Cancelled",O1278="No-Show"),"",IF(N1278&lt;&gt;"",N1278,ROUND(R1278*SupHr*IFERROR(INDEX('PRICING'!$G$7:$G$16,MATCH(F1278,'PRICING'!$A$7:$A$16,0)),1),2))))</f>
        <v/>
      </c>
      <c r="Z1278" s="98">
        <f>IF(B1278="","",SUMIFS('MILEAGE'!$J$5:$J$1504,'MILEAGE'!$B$5:$B$1504,A1278))</f>
        <v/>
      </c>
      <c r="AA1278" s="55">
        <f>IF(B1278="","",ROUND(Z1278*MileRate,2))</f>
        <v/>
      </c>
      <c r="AB1278" s="55">
        <f>IF(B1278="","",SUMIFS('REVENUE'!$J$5:$J$1504,'REVENUE'!$B$5:$B$1504,A1278))</f>
        <v/>
      </c>
      <c r="AC1278" s="55">
        <f>IF(L1278="","",IF(OR(O1278="Cancelled",O1278="No-Show"),"",L1278-N(X1278)-N(Y1278)-AA1278-AB1278))</f>
        <v/>
      </c>
      <c r="AD1278" s="99">
        <f>IF(OR(AC1278="",N(L1278)=0),"",AC1278/L1278)</f>
        <v/>
      </c>
      <c r="AE1278" s="55">
        <f>IF(OR(AC1278="",N(R1278)=0),"",L1278/R1278)</f>
        <v/>
      </c>
      <c r="AF1278" s="100">
        <f>IF(OR(N(K1278)=0,N(J1278)+N(Q1278)=0),"",K1278-IF(N(J1278)&gt;0,J1278,Q1278))</f>
        <v/>
      </c>
      <c r="AG1278" s="99">
        <f>IF(B1278="","",IFERROR(AVERAGEIFS('QUALITY CONTROL'!$M$5:$M$304,'QUALITY CONTROL'!$B$5:$B$304,A1278),""))</f>
        <v/>
      </c>
      <c r="AH1278" s="51">
        <f>IF(B1278="","",DATE(YEAR(B1278),MONTH(B1278),1))</f>
        <v/>
      </c>
      <c r="AI1278" s="49">
        <f>IF(D1278="","",IFERROR(INDEX('CUSTOMERS'!$E$5:$E$404,MATCH(D1278,'CUSTOMERS'!$B$5:$B$404,0)),""))</f>
        <v/>
      </c>
      <c r="AJ1278" s="49">
        <f>IF(B1278="","",N(C1278))</f>
        <v/>
      </c>
      <c r="AK1278" s="49">
        <f>IF(OR(B1278="",O1278="Cancelled",O1278="Rescheduled"),"",B1278&amp;"|"&amp;(COUNTIFS('JOBS'!$B$5:$B$1504,B1278,'JOBS'!$AJ$5:$AJ$1504,"&lt;"&amp;AJ1278,'JOBS'!$O$5:$O$1504,"&lt;&gt;Cancelled",'JOBS'!$O$5:$O$1504,"&lt;&gt;Rescheduled")+COUNTIFS($B$5:B1278,B1278,$AJ$5:AJ1278,AJ1278,$O$5:O1278,"&lt;&gt;Cancelled",$O$5:O1278,"&lt;&gt;Rescheduled")))</f>
        <v/>
      </c>
      <c r="AL1278" s="49">
        <f>IF(N(U1278)&lt;=0.005,"",COUNTIFS('JOBS'!$U$5:$U$1504,"&gt;0.005",'JOBS'!$B$5:$B$1504,"&lt;"&amp;B1278)+COUNTIFS($U$5:U1278,"&gt;0.005",$B$5:B1278,B1278))</f>
        <v/>
      </c>
    </row>
    <row r="1279">
      <c r="A1279" s="46" t="inlineStr">
        <is>
          <t>J-1275</t>
        </is>
      </c>
      <c r="B1279" s="47" t="n"/>
      <c r="C1279" s="94" t="n"/>
      <c r="D1279" s="38" t="n"/>
      <c r="E1279" s="38" t="n"/>
      <c r="F1279" s="38" t="n"/>
      <c r="G1279" s="38" t="n"/>
      <c r="H1279" s="38" t="n"/>
      <c r="I1279" s="57" t="n"/>
      <c r="J1279" s="95" t="n"/>
      <c r="K1279" s="95" t="n"/>
      <c r="L1279" s="48" t="n"/>
      <c r="M1279" s="96" t="n"/>
      <c r="N1279" s="48" t="n"/>
      <c r="O1279" s="38" t="n"/>
      <c r="P1279" s="38" t="n"/>
      <c r="Q1279" s="97">
        <f>IF(OR(F1279="",E1279=""),"",IFERROR(IF(INDEX('PROPERTIES'!$F$5:$F$404,MATCH(E1279,'PROPERTIES'!$B$5:$B$404,0))=0,"",ROUND((INDEX('PROPERTIES'!$F$5:$F$404,MATCH(E1279,'PROPERTIES'!$B$5:$B$404,0))/INDEX('PRICING'!$C$7:$C$16,MATCH(F1279,'PRICING'!$A$7:$A$16,0))+INDEX('PROPERTIES'!$G$5:$G$404,MATCH(E1279,'PROPERTIES'!$B$5:$B$404,0))*INDEX('PRICING'!$D$7:$D$16,MATCH(F1279,'PRICING'!$A$7:$A$16,0))/60+INDEX('PROPERTIES'!$H$5:$H$404,MATCH(E1279,'PROPERTIES'!$B$5:$B$404,0))*INDEX('PRICING'!$E$7:$E$16,MATCH(F1279,'PRICING'!$A$7:$A$16,0))/60+INDEX('PRICING'!$F$7:$F$16,MATCH(F1279,'PRICING'!$A$7:$A$16,0))/60),2)),""))</f>
        <v/>
      </c>
      <c r="R1279" s="97">
        <f>IF(B1279="","",IF(N(K1279)&gt;0,K1279,IF(N(J1279)&gt;0,J1279,N(Q1279))))</f>
        <v/>
      </c>
      <c r="S1279" s="55">
        <f>IF(L1279="","",ROUND(L1279*(1+N(M1279)),2))</f>
        <v/>
      </c>
      <c r="T1279" s="55">
        <f>IF(B1279="","",SUMIFS('REVENUE'!$C$5:$C$1504,'REVENUE'!$B$5:$B$1504,A1279))</f>
        <v/>
      </c>
      <c r="U1279" s="55">
        <f>IF(B1279="","",IF(O1279="Completed",MAX(0,N(S1279)-T1279),""))</f>
        <v/>
      </c>
      <c r="V1279" s="49">
        <f>IF(B1279="","",IF(O1279&lt;&gt;"Completed",IF(T1279&gt;0,"Deposit","—"),IF(U1279&lt;=0.005,"Paid",IF(T1279&gt;0,"Partial","Unpaid"))))</f>
        <v/>
      </c>
      <c r="W1279" s="55">
        <f>IF(B1279="","",IFERROR(1/(1/INDEX('STAFF &amp; TASKS'!$C$5:$C$24,MATCH(H1279,'STAFF &amp; TASKS'!$A$5:$A$24,0))),PayRate))</f>
        <v/>
      </c>
      <c r="X1279" s="55">
        <f>IF(B1279="","",IF(OR(O1279="Cancelled",O1279="No-Show"),"",ROUND(R1279*W1279*(1+Burden),2)))</f>
        <v/>
      </c>
      <c r="Y1279" s="55">
        <f>IF(B1279="","",IF(OR(O1279="Cancelled",O1279="No-Show"),"",IF(N1279&lt;&gt;"",N1279,ROUND(R1279*SupHr*IFERROR(INDEX('PRICING'!$G$7:$G$16,MATCH(F1279,'PRICING'!$A$7:$A$16,0)),1),2))))</f>
        <v/>
      </c>
      <c r="Z1279" s="98">
        <f>IF(B1279="","",SUMIFS('MILEAGE'!$J$5:$J$1504,'MILEAGE'!$B$5:$B$1504,A1279))</f>
        <v/>
      </c>
      <c r="AA1279" s="55">
        <f>IF(B1279="","",ROUND(Z1279*MileRate,2))</f>
        <v/>
      </c>
      <c r="AB1279" s="55">
        <f>IF(B1279="","",SUMIFS('REVENUE'!$J$5:$J$1504,'REVENUE'!$B$5:$B$1504,A1279))</f>
        <v/>
      </c>
      <c r="AC1279" s="55">
        <f>IF(L1279="","",IF(OR(O1279="Cancelled",O1279="No-Show"),"",L1279-N(X1279)-N(Y1279)-AA1279-AB1279))</f>
        <v/>
      </c>
      <c r="AD1279" s="99">
        <f>IF(OR(AC1279="",N(L1279)=0),"",AC1279/L1279)</f>
        <v/>
      </c>
      <c r="AE1279" s="55">
        <f>IF(OR(AC1279="",N(R1279)=0),"",L1279/R1279)</f>
        <v/>
      </c>
      <c r="AF1279" s="100">
        <f>IF(OR(N(K1279)=0,N(J1279)+N(Q1279)=0),"",K1279-IF(N(J1279)&gt;0,J1279,Q1279))</f>
        <v/>
      </c>
      <c r="AG1279" s="99">
        <f>IF(B1279="","",IFERROR(AVERAGEIFS('QUALITY CONTROL'!$M$5:$M$304,'QUALITY CONTROL'!$B$5:$B$304,A1279),""))</f>
        <v/>
      </c>
      <c r="AH1279" s="51">
        <f>IF(B1279="","",DATE(YEAR(B1279),MONTH(B1279),1))</f>
        <v/>
      </c>
      <c r="AI1279" s="49">
        <f>IF(D1279="","",IFERROR(INDEX('CUSTOMERS'!$E$5:$E$404,MATCH(D1279,'CUSTOMERS'!$B$5:$B$404,0)),""))</f>
        <v/>
      </c>
      <c r="AJ1279" s="49">
        <f>IF(B1279="","",N(C1279))</f>
        <v/>
      </c>
      <c r="AK1279" s="49">
        <f>IF(OR(B1279="",O1279="Cancelled",O1279="Rescheduled"),"",B1279&amp;"|"&amp;(COUNTIFS('JOBS'!$B$5:$B$1504,B1279,'JOBS'!$AJ$5:$AJ$1504,"&lt;"&amp;AJ1279,'JOBS'!$O$5:$O$1504,"&lt;&gt;Cancelled",'JOBS'!$O$5:$O$1504,"&lt;&gt;Rescheduled")+COUNTIFS($B$5:B1279,B1279,$AJ$5:AJ1279,AJ1279,$O$5:O1279,"&lt;&gt;Cancelled",$O$5:O1279,"&lt;&gt;Rescheduled")))</f>
        <v/>
      </c>
      <c r="AL1279" s="49">
        <f>IF(N(U1279)&lt;=0.005,"",COUNTIFS('JOBS'!$U$5:$U$1504,"&gt;0.005",'JOBS'!$B$5:$B$1504,"&lt;"&amp;B1279)+COUNTIFS($U$5:U1279,"&gt;0.005",$B$5:B1279,B1279))</f>
        <v/>
      </c>
    </row>
    <row r="1280">
      <c r="A1280" s="46" t="inlineStr">
        <is>
          <t>J-1276</t>
        </is>
      </c>
      <c r="B1280" s="47" t="n"/>
      <c r="C1280" s="94" t="n"/>
      <c r="D1280" s="38" t="n"/>
      <c r="E1280" s="38" t="n"/>
      <c r="F1280" s="38" t="n"/>
      <c r="G1280" s="38" t="n"/>
      <c r="H1280" s="38" t="n"/>
      <c r="I1280" s="57" t="n"/>
      <c r="J1280" s="95" t="n"/>
      <c r="K1280" s="95" t="n"/>
      <c r="L1280" s="48" t="n"/>
      <c r="M1280" s="96" t="n"/>
      <c r="N1280" s="48" t="n"/>
      <c r="O1280" s="38" t="n"/>
      <c r="P1280" s="38" t="n"/>
      <c r="Q1280" s="97">
        <f>IF(OR(F1280="",E1280=""),"",IFERROR(IF(INDEX('PROPERTIES'!$F$5:$F$404,MATCH(E1280,'PROPERTIES'!$B$5:$B$404,0))=0,"",ROUND((INDEX('PROPERTIES'!$F$5:$F$404,MATCH(E1280,'PROPERTIES'!$B$5:$B$404,0))/INDEX('PRICING'!$C$7:$C$16,MATCH(F1280,'PRICING'!$A$7:$A$16,0))+INDEX('PROPERTIES'!$G$5:$G$404,MATCH(E1280,'PROPERTIES'!$B$5:$B$404,0))*INDEX('PRICING'!$D$7:$D$16,MATCH(F1280,'PRICING'!$A$7:$A$16,0))/60+INDEX('PROPERTIES'!$H$5:$H$404,MATCH(E1280,'PROPERTIES'!$B$5:$B$404,0))*INDEX('PRICING'!$E$7:$E$16,MATCH(F1280,'PRICING'!$A$7:$A$16,0))/60+INDEX('PRICING'!$F$7:$F$16,MATCH(F1280,'PRICING'!$A$7:$A$16,0))/60),2)),""))</f>
        <v/>
      </c>
      <c r="R1280" s="97">
        <f>IF(B1280="","",IF(N(K1280)&gt;0,K1280,IF(N(J1280)&gt;0,J1280,N(Q1280))))</f>
        <v/>
      </c>
      <c r="S1280" s="55">
        <f>IF(L1280="","",ROUND(L1280*(1+N(M1280)),2))</f>
        <v/>
      </c>
      <c r="T1280" s="55">
        <f>IF(B1280="","",SUMIFS('REVENUE'!$C$5:$C$1504,'REVENUE'!$B$5:$B$1504,A1280))</f>
        <v/>
      </c>
      <c r="U1280" s="55">
        <f>IF(B1280="","",IF(O1280="Completed",MAX(0,N(S1280)-T1280),""))</f>
        <v/>
      </c>
      <c r="V1280" s="49">
        <f>IF(B1280="","",IF(O1280&lt;&gt;"Completed",IF(T1280&gt;0,"Deposit","—"),IF(U1280&lt;=0.005,"Paid",IF(T1280&gt;0,"Partial","Unpaid"))))</f>
        <v/>
      </c>
      <c r="W1280" s="55">
        <f>IF(B1280="","",IFERROR(1/(1/INDEX('STAFF &amp; TASKS'!$C$5:$C$24,MATCH(H1280,'STAFF &amp; TASKS'!$A$5:$A$24,0))),PayRate))</f>
        <v/>
      </c>
      <c r="X1280" s="55">
        <f>IF(B1280="","",IF(OR(O1280="Cancelled",O1280="No-Show"),"",ROUND(R1280*W1280*(1+Burden),2)))</f>
        <v/>
      </c>
      <c r="Y1280" s="55">
        <f>IF(B1280="","",IF(OR(O1280="Cancelled",O1280="No-Show"),"",IF(N1280&lt;&gt;"",N1280,ROUND(R1280*SupHr*IFERROR(INDEX('PRICING'!$G$7:$G$16,MATCH(F1280,'PRICING'!$A$7:$A$16,0)),1),2))))</f>
        <v/>
      </c>
      <c r="Z1280" s="98">
        <f>IF(B1280="","",SUMIFS('MILEAGE'!$J$5:$J$1504,'MILEAGE'!$B$5:$B$1504,A1280))</f>
        <v/>
      </c>
      <c r="AA1280" s="55">
        <f>IF(B1280="","",ROUND(Z1280*MileRate,2))</f>
        <v/>
      </c>
      <c r="AB1280" s="55">
        <f>IF(B1280="","",SUMIFS('REVENUE'!$J$5:$J$1504,'REVENUE'!$B$5:$B$1504,A1280))</f>
        <v/>
      </c>
      <c r="AC1280" s="55">
        <f>IF(L1280="","",IF(OR(O1280="Cancelled",O1280="No-Show"),"",L1280-N(X1280)-N(Y1280)-AA1280-AB1280))</f>
        <v/>
      </c>
      <c r="AD1280" s="99">
        <f>IF(OR(AC1280="",N(L1280)=0),"",AC1280/L1280)</f>
        <v/>
      </c>
      <c r="AE1280" s="55">
        <f>IF(OR(AC1280="",N(R1280)=0),"",L1280/R1280)</f>
        <v/>
      </c>
      <c r="AF1280" s="100">
        <f>IF(OR(N(K1280)=0,N(J1280)+N(Q1280)=0),"",K1280-IF(N(J1280)&gt;0,J1280,Q1280))</f>
        <v/>
      </c>
      <c r="AG1280" s="99">
        <f>IF(B1280="","",IFERROR(AVERAGEIFS('QUALITY CONTROL'!$M$5:$M$304,'QUALITY CONTROL'!$B$5:$B$304,A1280),""))</f>
        <v/>
      </c>
      <c r="AH1280" s="51">
        <f>IF(B1280="","",DATE(YEAR(B1280),MONTH(B1280),1))</f>
        <v/>
      </c>
      <c r="AI1280" s="49">
        <f>IF(D1280="","",IFERROR(INDEX('CUSTOMERS'!$E$5:$E$404,MATCH(D1280,'CUSTOMERS'!$B$5:$B$404,0)),""))</f>
        <v/>
      </c>
      <c r="AJ1280" s="49">
        <f>IF(B1280="","",N(C1280))</f>
        <v/>
      </c>
      <c r="AK1280" s="49">
        <f>IF(OR(B1280="",O1280="Cancelled",O1280="Rescheduled"),"",B1280&amp;"|"&amp;(COUNTIFS('JOBS'!$B$5:$B$1504,B1280,'JOBS'!$AJ$5:$AJ$1504,"&lt;"&amp;AJ1280,'JOBS'!$O$5:$O$1504,"&lt;&gt;Cancelled",'JOBS'!$O$5:$O$1504,"&lt;&gt;Rescheduled")+COUNTIFS($B$5:B1280,B1280,$AJ$5:AJ1280,AJ1280,$O$5:O1280,"&lt;&gt;Cancelled",$O$5:O1280,"&lt;&gt;Rescheduled")))</f>
        <v/>
      </c>
      <c r="AL1280" s="49">
        <f>IF(N(U1280)&lt;=0.005,"",COUNTIFS('JOBS'!$U$5:$U$1504,"&gt;0.005",'JOBS'!$B$5:$B$1504,"&lt;"&amp;B1280)+COUNTIFS($U$5:U1280,"&gt;0.005",$B$5:B1280,B1280))</f>
        <v/>
      </c>
    </row>
    <row r="1281">
      <c r="A1281" s="46" t="inlineStr">
        <is>
          <t>J-1277</t>
        </is>
      </c>
      <c r="B1281" s="47" t="n"/>
      <c r="C1281" s="94" t="n"/>
      <c r="D1281" s="38" t="n"/>
      <c r="E1281" s="38" t="n"/>
      <c r="F1281" s="38" t="n"/>
      <c r="G1281" s="38" t="n"/>
      <c r="H1281" s="38" t="n"/>
      <c r="I1281" s="57" t="n"/>
      <c r="J1281" s="95" t="n"/>
      <c r="K1281" s="95" t="n"/>
      <c r="L1281" s="48" t="n"/>
      <c r="M1281" s="96" t="n"/>
      <c r="N1281" s="48" t="n"/>
      <c r="O1281" s="38" t="n"/>
      <c r="P1281" s="38" t="n"/>
      <c r="Q1281" s="97">
        <f>IF(OR(F1281="",E1281=""),"",IFERROR(IF(INDEX('PROPERTIES'!$F$5:$F$404,MATCH(E1281,'PROPERTIES'!$B$5:$B$404,0))=0,"",ROUND((INDEX('PROPERTIES'!$F$5:$F$404,MATCH(E1281,'PROPERTIES'!$B$5:$B$404,0))/INDEX('PRICING'!$C$7:$C$16,MATCH(F1281,'PRICING'!$A$7:$A$16,0))+INDEX('PROPERTIES'!$G$5:$G$404,MATCH(E1281,'PROPERTIES'!$B$5:$B$404,0))*INDEX('PRICING'!$D$7:$D$16,MATCH(F1281,'PRICING'!$A$7:$A$16,0))/60+INDEX('PROPERTIES'!$H$5:$H$404,MATCH(E1281,'PROPERTIES'!$B$5:$B$404,0))*INDEX('PRICING'!$E$7:$E$16,MATCH(F1281,'PRICING'!$A$7:$A$16,0))/60+INDEX('PRICING'!$F$7:$F$16,MATCH(F1281,'PRICING'!$A$7:$A$16,0))/60),2)),""))</f>
        <v/>
      </c>
      <c r="R1281" s="97">
        <f>IF(B1281="","",IF(N(K1281)&gt;0,K1281,IF(N(J1281)&gt;0,J1281,N(Q1281))))</f>
        <v/>
      </c>
      <c r="S1281" s="55">
        <f>IF(L1281="","",ROUND(L1281*(1+N(M1281)),2))</f>
        <v/>
      </c>
      <c r="T1281" s="55">
        <f>IF(B1281="","",SUMIFS('REVENUE'!$C$5:$C$1504,'REVENUE'!$B$5:$B$1504,A1281))</f>
        <v/>
      </c>
      <c r="U1281" s="55">
        <f>IF(B1281="","",IF(O1281="Completed",MAX(0,N(S1281)-T1281),""))</f>
        <v/>
      </c>
      <c r="V1281" s="49">
        <f>IF(B1281="","",IF(O1281&lt;&gt;"Completed",IF(T1281&gt;0,"Deposit","—"),IF(U1281&lt;=0.005,"Paid",IF(T1281&gt;0,"Partial","Unpaid"))))</f>
        <v/>
      </c>
      <c r="W1281" s="55">
        <f>IF(B1281="","",IFERROR(1/(1/INDEX('STAFF &amp; TASKS'!$C$5:$C$24,MATCH(H1281,'STAFF &amp; TASKS'!$A$5:$A$24,0))),PayRate))</f>
        <v/>
      </c>
      <c r="X1281" s="55">
        <f>IF(B1281="","",IF(OR(O1281="Cancelled",O1281="No-Show"),"",ROUND(R1281*W1281*(1+Burden),2)))</f>
        <v/>
      </c>
      <c r="Y1281" s="55">
        <f>IF(B1281="","",IF(OR(O1281="Cancelled",O1281="No-Show"),"",IF(N1281&lt;&gt;"",N1281,ROUND(R1281*SupHr*IFERROR(INDEX('PRICING'!$G$7:$G$16,MATCH(F1281,'PRICING'!$A$7:$A$16,0)),1),2))))</f>
        <v/>
      </c>
      <c r="Z1281" s="98">
        <f>IF(B1281="","",SUMIFS('MILEAGE'!$J$5:$J$1504,'MILEAGE'!$B$5:$B$1504,A1281))</f>
        <v/>
      </c>
      <c r="AA1281" s="55">
        <f>IF(B1281="","",ROUND(Z1281*MileRate,2))</f>
        <v/>
      </c>
      <c r="AB1281" s="55">
        <f>IF(B1281="","",SUMIFS('REVENUE'!$J$5:$J$1504,'REVENUE'!$B$5:$B$1504,A1281))</f>
        <v/>
      </c>
      <c r="AC1281" s="55">
        <f>IF(L1281="","",IF(OR(O1281="Cancelled",O1281="No-Show"),"",L1281-N(X1281)-N(Y1281)-AA1281-AB1281))</f>
        <v/>
      </c>
      <c r="AD1281" s="99">
        <f>IF(OR(AC1281="",N(L1281)=0),"",AC1281/L1281)</f>
        <v/>
      </c>
      <c r="AE1281" s="55">
        <f>IF(OR(AC1281="",N(R1281)=0),"",L1281/R1281)</f>
        <v/>
      </c>
      <c r="AF1281" s="100">
        <f>IF(OR(N(K1281)=0,N(J1281)+N(Q1281)=0),"",K1281-IF(N(J1281)&gt;0,J1281,Q1281))</f>
        <v/>
      </c>
      <c r="AG1281" s="99">
        <f>IF(B1281="","",IFERROR(AVERAGEIFS('QUALITY CONTROL'!$M$5:$M$304,'QUALITY CONTROL'!$B$5:$B$304,A1281),""))</f>
        <v/>
      </c>
      <c r="AH1281" s="51">
        <f>IF(B1281="","",DATE(YEAR(B1281),MONTH(B1281),1))</f>
        <v/>
      </c>
      <c r="AI1281" s="49">
        <f>IF(D1281="","",IFERROR(INDEX('CUSTOMERS'!$E$5:$E$404,MATCH(D1281,'CUSTOMERS'!$B$5:$B$404,0)),""))</f>
        <v/>
      </c>
      <c r="AJ1281" s="49">
        <f>IF(B1281="","",N(C1281))</f>
        <v/>
      </c>
      <c r="AK1281" s="49">
        <f>IF(OR(B1281="",O1281="Cancelled",O1281="Rescheduled"),"",B1281&amp;"|"&amp;(COUNTIFS('JOBS'!$B$5:$B$1504,B1281,'JOBS'!$AJ$5:$AJ$1504,"&lt;"&amp;AJ1281,'JOBS'!$O$5:$O$1504,"&lt;&gt;Cancelled",'JOBS'!$O$5:$O$1504,"&lt;&gt;Rescheduled")+COUNTIFS($B$5:B1281,B1281,$AJ$5:AJ1281,AJ1281,$O$5:O1281,"&lt;&gt;Cancelled",$O$5:O1281,"&lt;&gt;Rescheduled")))</f>
        <v/>
      </c>
      <c r="AL1281" s="49">
        <f>IF(N(U1281)&lt;=0.005,"",COUNTIFS('JOBS'!$U$5:$U$1504,"&gt;0.005",'JOBS'!$B$5:$B$1504,"&lt;"&amp;B1281)+COUNTIFS($U$5:U1281,"&gt;0.005",$B$5:B1281,B1281))</f>
        <v/>
      </c>
    </row>
    <row r="1282">
      <c r="A1282" s="46" t="inlineStr">
        <is>
          <t>J-1278</t>
        </is>
      </c>
      <c r="B1282" s="47" t="n"/>
      <c r="C1282" s="94" t="n"/>
      <c r="D1282" s="38" t="n"/>
      <c r="E1282" s="38" t="n"/>
      <c r="F1282" s="38" t="n"/>
      <c r="G1282" s="38" t="n"/>
      <c r="H1282" s="38" t="n"/>
      <c r="I1282" s="57" t="n"/>
      <c r="J1282" s="95" t="n"/>
      <c r="K1282" s="95" t="n"/>
      <c r="L1282" s="48" t="n"/>
      <c r="M1282" s="96" t="n"/>
      <c r="N1282" s="48" t="n"/>
      <c r="O1282" s="38" t="n"/>
      <c r="P1282" s="38" t="n"/>
      <c r="Q1282" s="97">
        <f>IF(OR(F1282="",E1282=""),"",IFERROR(IF(INDEX('PROPERTIES'!$F$5:$F$404,MATCH(E1282,'PROPERTIES'!$B$5:$B$404,0))=0,"",ROUND((INDEX('PROPERTIES'!$F$5:$F$404,MATCH(E1282,'PROPERTIES'!$B$5:$B$404,0))/INDEX('PRICING'!$C$7:$C$16,MATCH(F1282,'PRICING'!$A$7:$A$16,0))+INDEX('PROPERTIES'!$G$5:$G$404,MATCH(E1282,'PROPERTIES'!$B$5:$B$404,0))*INDEX('PRICING'!$D$7:$D$16,MATCH(F1282,'PRICING'!$A$7:$A$16,0))/60+INDEX('PROPERTIES'!$H$5:$H$404,MATCH(E1282,'PROPERTIES'!$B$5:$B$404,0))*INDEX('PRICING'!$E$7:$E$16,MATCH(F1282,'PRICING'!$A$7:$A$16,0))/60+INDEX('PRICING'!$F$7:$F$16,MATCH(F1282,'PRICING'!$A$7:$A$16,0))/60),2)),""))</f>
        <v/>
      </c>
      <c r="R1282" s="97">
        <f>IF(B1282="","",IF(N(K1282)&gt;0,K1282,IF(N(J1282)&gt;0,J1282,N(Q1282))))</f>
        <v/>
      </c>
      <c r="S1282" s="55">
        <f>IF(L1282="","",ROUND(L1282*(1+N(M1282)),2))</f>
        <v/>
      </c>
      <c r="T1282" s="55">
        <f>IF(B1282="","",SUMIFS('REVENUE'!$C$5:$C$1504,'REVENUE'!$B$5:$B$1504,A1282))</f>
        <v/>
      </c>
      <c r="U1282" s="55">
        <f>IF(B1282="","",IF(O1282="Completed",MAX(0,N(S1282)-T1282),""))</f>
        <v/>
      </c>
      <c r="V1282" s="49">
        <f>IF(B1282="","",IF(O1282&lt;&gt;"Completed",IF(T1282&gt;0,"Deposit","—"),IF(U1282&lt;=0.005,"Paid",IF(T1282&gt;0,"Partial","Unpaid"))))</f>
        <v/>
      </c>
      <c r="W1282" s="55">
        <f>IF(B1282="","",IFERROR(1/(1/INDEX('STAFF &amp; TASKS'!$C$5:$C$24,MATCH(H1282,'STAFF &amp; TASKS'!$A$5:$A$24,0))),PayRate))</f>
        <v/>
      </c>
      <c r="X1282" s="55">
        <f>IF(B1282="","",IF(OR(O1282="Cancelled",O1282="No-Show"),"",ROUND(R1282*W1282*(1+Burden),2)))</f>
        <v/>
      </c>
      <c r="Y1282" s="55">
        <f>IF(B1282="","",IF(OR(O1282="Cancelled",O1282="No-Show"),"",IF(N1282&lt;&gt;"",N1282,ROUND(R1282*SupHr*IFERROR(INDEX('PRICING'!$G$7:$G$16,MATCH(F1282,'PRICING'!$A$7:$A$16,0)),1),2))))</f>
        <v/>
      </c>
      <c r="Z1282" s="98">
        <f>IF(B1282="","",SUMIFS('MILEAGE'!$J$5:$J$1504,'MILEAGE'!$B$5:$B$1504,A1282))</f>
        <v/>
      </c>
      <c r="AA1282" s="55">
        <f>IF(B1282="","",ROUND(Z1282*MileRate,2))</f>
        <v/>
      </c>
      <c r="AB1282" s="55">
        <f>IF(B1282="","",SUMIFS('REVENUE'!$J$5:$J$1504,'REVENUE'!$B$5:$B$1504,A1282))</f>
        <v/>
      </c>
      <c r="AC1282" s="55">
        <f>IF(L1282="","",IF(OR(O1282="Cancelled",O1282="No-Show"),"",L1282-N(X1282)-N(Y1282)-AA1282-AB1282))</f>
        <v/>
      </c>
      <c r="AD1282" s="99">
        <f>IF(OR(AC1282="",N(L1282)=0),"",AC1282/L1282)</f>
        <v/>
      </c>
      <c r="AE1282" s="55">
        <f>IF(OR(AC1282="",N(R1282)=0),"",L1282/R1282)</f>
        <v/>
      </c>
      <c r="AF1282" s="100">
        <f>IF(OR(N(K1282)=0,N(J1282)+N(Q1282)=0),"",K1282-IF(N(J1282)&gt;0,J1282,Q1282))</f>
        <v/>
      </c>
      <c r="AG1282" s="99">
        <f>IF(B1282="","",IFERROR(AVERAGEIFS('QUALITY CONTROL'!$M$5:$M$304,'QUALITY CONTROL'!$B$5:$B$304,A1282),""))</f>
        <v/>
      </c>
      <c r="AH1282" s="51">
        <f>IF(B1282="","",DATE(YEAR(B1282),MONTH(B1282),1))</f>
        <v/>
      </c>
      <c r="AI1282" s="49">
        <f>IF(D1282="","",IFERROR(INDEX('CUSTOMERS'!$E$5:$E$404,MATCH(D1282,'CUSTOMERS'!$B$5:$B$404,0)),""))</f>
        <v/>
      </c>
      <c r="AJ1282" s="49">
        <f>IF(B1282="","",N(C1282))</f>
        <v/>
      </c>
      <c r="AK1282" s="49">
        <f>IF(OR(B1282="",O1282="Cancelled",O1282="Rescheduled"),"",B1282&amp;"|"&amp;(COUNTIFS('JOBS'!$B$5:$B$1504,B1282,'JOBS'!$AJ$5:$AJ$1504,"&lt;"&amp;AJ1282,'JOBS'!$O$5:$O$1504,"&lt;&gt;Cancelled",'JOBS'!$O$5:$O$1504,"&lt;&gt;Rescheduled")+COUNTIFS($B$5:B1282,B1282,$AJ$5:AJ1282,AJ1282,$O$5:O1282,"&lt;&gt;Cancelled",$O$5:O1282,"&lt;&gt;Rescheduled")))</f>
        <v/>
      </c>
      <c r="AL1282" s="49">
        <f>IF(N(U1282)&lt;=0.005,"",COUNTIFS('JOBS'!$U$5:$U$1504,"&gt;0.005",'JOBS'!$B$5:$B$1504,"&lt;"&amp;B1282)+COUNTIFS($U$5:U1282,"&gt;0.005",$B$5:B1282,B1282))</f>
        <v/>
      </c>
    </row>
    <row r="1283">
      <c r="A1283" s="46" t="inlineStr">
        <is>
          <t>J-1279</t>
        </is>
      </c>
      <c r="B1283" s="47" t="n"/>
      <c r="C1283" s="94" t="n"/>
      <c r="D1283" s="38" t="n"/>
      <c r="E1283" s="38" t="n"/>
      <c r="F1283" s="38" t="n"/>
      <c r="G1283" s="38" t="n"/>
      <c r="H1283" s="38" t="n"/>
      <c r="I1283" s="57" t="n"/>
      <c r="J1283" s="95" t="n"/>
      <c r="K1283" s="95" t="n"/>
      <c r="L1283" s="48" t="n"/>
      <c r="M1283" s="96" t="n"/>
      <c r="N1283" s="48" t="n"/>
      <c r="O1283" s="38" t="n"/>
      <c r="P1283" s="38" t="n"/>
      <c r="Q1283" s="97">
        <f>IF(OR(F1283="",E1283=""),"",IFERROR(IF(INDEX('PROPERTIES'!$F$5:$F$404,MATCH(E1283,'PROPERTIES'!$B$5:$B$404,0))=0,"",ROUND((INDEX('PROPERTIES'!$F$5:$F$404,MATCH(E1283,'PROPERTIES'!$B$5:$B$404,0))/INDEX('PRICING'!$C$7:$C$16,MATCH(F1283,'PRICING'!$A$7:$A$16,0))+INDEX('PROPERTIES'!$G$5:$G$404,MATCH(E1283,'PROPERTIES'!$B$5:$B$404,0))*INDEX('PRICING'!$D$7:$D$16,MATCH(F1283,'PRICING'!$A$7:$A$16,0))/60+INDEX('PROPERTIES'!$H$5:$H$404,MATCH(E1283,'PROPERTIES'!$B$5:$B$404,0))*INDEX('PRICING'!$E$7:$E$16,MATCH(F1283,'PRICING'!$A$7:$A$16,0))/60+INDEX('PRICING'!$F$7:$F$16,MATCH(F1283,'PRICING'!$A$7:$A$16,0))/60),2)),""))</f>
        <v/>
      </c>
      <c r="R1283" s="97">
        <f>IF(B1283="","",IF(N(K1283)&gt;0,K1283,IF(N(J1283)&gt;0,J1283,N(Q1283))))</f>
        <v/>
      </c>
      <c r="S1283" s="55">
        <f>IF(L1283="","",ROUND(L1283*(1+N(M1283)),2))</f>
        <v/>
      </c>
      <c r="T1283" s="55">
        <f>IF(B1283="","",SUMIFS('REVENUE'!$C$5:$C$1504,'REVENUE'!$B$5:$B$1504,A1283))</f>
        <v/>
      </c>
      <c r="U1283" s="55">
        <f>IF(B1283="","",IF(O1283="Completed",MAX(0,N(S1283)-T1283),""))</f>
        <v/>
      </c>
      <c r="V1283" s="49">
        <f>IF(B1283="","",IF(O1283&lt;&gt;"Completed",IF(T1283&gt;0,"Deposit","—"),IF(U1283&lt;=0.005,"Paid",IF(T1283&gt;0,"Partial","Unpaid"))))</f>
        <v/>
      </c>
      <c r="W1283" s="55">
        <f>IF(B1283="","",IFERROR(1/(1/INDEX('STAFF &amp; TASKS'!$C$5:$C$24,MATCH(H1283,'STAFF &amp; TASKS'!$A$5:$A$24,0))),PayRate))</f>
        <v/>
      </c>
      <c r="X1283" s="55">
        <f>IF(B1283="","",IF(OR(O1283="Cancelled",O1283="No-Show"),"",ROUND(R1283*W1283*(1+Burden),2)))</f>
        <v/>
      </c>
      <c r="Y1283" s="55">
        <f>IF(B1283="","",IF(OR(O1283="Cancelled",O1283="No-Show"),"",IF(N1283&lt;&gt;"",N1283,ROUND(R1283*SupHr*IFERROR(INDEX('PRICING'!$G$7:$G$16,MATCH(F1283,'PRICING'!$A$7:$A$16,0)),1),2))))</f>
        <v/>
      </c>
      <c r="Z1283" s="98">
        <f>IF(B1283="","",SUMIFS('MILEAGE'!$J$5:$J$1504,'MILEAGE'!$B$5:$B$1504,A1283))</f>
        <v/>
      </c>
      <c r="AA1283" s="55">
        <f>IF(B1283="","",ROUND(Z1283*MileRate,2))</f>
        <v/>
      </c>
      <c r="AB1283" s="55">
        <f>IF(B1283="","",SUMIFS('REVENUE'!$J$5:$J$1504,'REVENUE'!$B$5:$B$1504,A1283))</f>
        <v/>
      </c>
      <c r="AC1283" s="55">
        <f>IF(L1283="","",IF(OR(O1283="Cancelled",O1283="No-Show"),"",L1283-N(X1283)-N(Y1283)-AA1283-AB1283))</f>
        <v/>
      </c>
      <c r="AD1283" s="99">
        <f>IF(OR(AC1283="",N(L1283)=0),"",AC1283/L1283)</f>
        <v/>
      </c>
      <c r="AE1283" s="55">
        <f>IF(OR(AC1283="",N(R1283)=0),"",L1283/R1283)</f>
        <v/>
      </c>
      <c r="AF1283" s="100">
        <f>IF(OR(N(K1283)=0,N(J1283)+N(Q1283)=0),"",K1283-IF(N(J1283)&gt;0,J1283,Q1283))</f>
        <v/>
      </c>
      <c r="AG1283" s="99">
        <f>IF(B1283="","",IFERROR(AVERAGEIFS('QUALITY CONTROL'!$M$5:$M$304,'QUALITY CONTROL'!$B$5:$B$304,A1283),""))</f>
        <v/>
      </c>
      <c r="AH1283" s="51">
        <f>IF(B1283="","",DATE(YEAR(B1283),MONTH(B1283),1))</f>
        <v/>
      </c>
      <c r="AI1283" s="49">
        <f>IF(D1283="","",IFERROR(INDEX('CUSTOMERS'!$E$5:$E$404,MATCH(D1283,'CUSTOMERS'!$B$5:$B$404,0)),""))</f>
        <v/>
      </c>
      <c r="AJ1283" s="49">
        <f>IF(B1283="","",N(C1283))</f>
        <v/>
      </c>
      <c r="AK1283" s="49">
        <f>IF(OR(B1283="",O1283="Cancelled",O1283="Rescheduled"),"",B1283&amp;"|"&amp;(COUNTIFS('JOBS'!$B$5:$B$1504,B1283,'JOBS'!$AJ$5:$AJ$1504,"&lt;"&amp;AJ1283,'JOBS'!$O$5:$O$1504,"&lt;&gt;Cancelled",'JOBS'!$O$5:$O$1504,"&lt;&gt;Rescheduled")+COUNTIFS($B$5:B1283,B1283,$AJ$5:AJ1283,AJ1283,$O$5:O1283,"&lt;&gt;Cancelled",$O$5:O1283,"&lt;&gt;Rescheduled")))</f>
        <v/>
      </c>
      <c r="AL1283" s="49">
        <f>IF(N(U1283)&lt;=0.005,"",COUNTIFS('JOBS'!$U$5:$U$1504,"&gt;0.005",'JOBS'!$B$5:$B$1504,"&lt;"&amp;B1283)+COUNTIFS($U$5:U1283,"&gt;0.005",$B$5:B1283,B1283))</f>
        <v/>
      </c>
    </row>
    <row r="1284">
      <c r="A1284" s="46" t="inlineStr">
        <is>
          <t>J-1280</t>
        </is>
      </c>
      <c r="B1284" s="47" t="n"/>
      <c r="C1284" s="94" t="n"/>
      <c r="D1284" s="38" t="n"/>
      <c r="E1284" s="38" t="n"/>
      <c r="F1284" s="38" t="n"/>
      <c r="G1284" s="38" t="n"/>
      <c r="H1284" s="38" t="n"/>
      <c r="I1284" s="57" t="n"/>
      <c r="J1284" s="95" t="n"/>
      <c r="K1284" s="95" t="n"/>
      <c r="L1284" s="48" t="n"/>
      <c r="M1284" s="96" t="n"/>
      <c r="N1284" s="48" t="n"/>
      <c r="O1284" s="38" t="n"/>
      <c r="P1284" s="38" t="n"/>
      <c r="Q1284" s="97">
        <f>IF(OR(F1284="",E1284=""),"",IFERROR(IF(INDEX('PROPERTIES'!$F$5:$F$404,MATCH(E1284,'PROPERTIES'!$B$5:$B$404,0))=0,"",ROUND((INDEX('PROPERTIES'!$F$5:$F$404,MATCH(E1284,'PROPERTIES'!$B$5:$B$404,0))/INDEX('PRICING'!$C$7:$C$16,MATCH(F1284,'PRICING'!$A$7:$A$16,0))+INDEX('PROPERTIES'!$G$5:$G$404,MATCH(E1284,'PROPERTIES'!$B$5:$B$404,0))*INDEX('PRICING'!$D$7:$D$16,MATCH(F1284,'PRICING'!$A$7:$A$16,0))/60+INDEX('PROPERTIES'!$H$5:$H$404,MATCH(E1284,'PROPERTIES'!$B$5:$B$404,0))*INDEX('PRICING'!$E$7:$E$16,MATCH(F1284,'PRICING'!$A$7:$A$16,0))/60+INDEX('PRICING'!$F$7:$F$16,MATCH(F1284,'PRICING'!$A$7:$A$16,0))/60),2)),""))</f>
        <v/>
      </c>
      <c r="R1284" s="97">
        <f>IF(B1284="","",IF(N(K1284)&gt;0,K1284,IF(N(J1284)&gt;0,J1284,N(Q1284))))</f>
        <v/>
      </c>
      <c r="S1284" s="55">
        <f>IF(L1284="","",ROUND(L1284*(1+N(M1284)),2))</f>
        <v/>
      </c>
      <c r="T1284" s="55">
        <f>IF(B1284="","",SUMIFS('REVENUE'!$C$5:$C$1504,'REVENUE'!$B$5:$B$1504,A1284))</f>
        <v/>
      </c>
      <c r="U1284" s="55">
        <f>IF(B1284="","",IF(O1284="Completed",MAX(0,N(S1284)-T1284),""))</f>
        <v/>
      </c>
      <c r="V1284" s="49">
        <f>IF(B1284="","",IF(O1284&lt;&gt;"Completed",IF(T1284&gt;0,"Deposit","—"),IF(U1284&lt;=0.005,"Paid",IF(T1284&gt;0,"Partial","Unpaid"))))</f>
        <v/>
      </c>
      <c r="W1284" s="55">
        <f>IF(B1284="","",IFERROR(1/(1/INDEX('STAFF &amp; TASKS'!$C$5:$C$24,MATCH(H1284,'STAFF &amp; TASKS'!$A$5:$A$24,0))),PayRate))</f>
        <v/>
      </c>
      <c r="X1284" s="55">
        <f>IF(B1284="","",IF(OR(O1284="Cancelled",O1284="No-Show"),"",ROUND(R1284*W1284*(1+Burden),2)))</f>
        <v/>
      </c>
      <c r="Y1284" s="55">
        <f>IF(B1284="","",IF(OR(O1284="Cancelled",O1284="No-Show"),"",IF(N1284&lt;&gt;"",N1284,ROUND(R1284*SupHr*IFERROR(INDEX('PRICING'!$G$7:$G$16,MATCH(F1284,'PRICING'!$A$7:$A$16,0)),1),2))))</f>
        <v/>
      </c>
      <c r="Z1284" s="98">
        <f>IF(B1284="","",SUMIFS('MILEAGE'!$J$5:$J$1504,'MILEAGE'!$B$5:$B$1504,A1284))</f>
        <v/>
      </c>
      <c r="AA1284" s="55">
        <f>IF(B1284="","",ROUND(Z1284*MileRate,2))</f>
        <v/>
      </c>
      <c r="AB1284" s="55">
        <f>IF(B1284="","",SUMIFS('REVENUE'!$J$5:$J$1504,'REVENUE'!$B$5:$B$1504,A1284))</f>
        <v/>
      </c>
      <c r="AC1284" s="55">
        <f>IF(L1284="","",IF(OR(O1284="Cancelled",O1284="No-Show"),"",L1284-N(X1284)-N(Y1284)-AA1284-AB1284))</f>
        <v/>
      </c>
      <c r="AD1284" s="99">
        <f>IF(OR(AC1284="",N(L1284)=0),"",AC1284/L1284)</f>
        <v/>
      </c>
      <c r="AE1284" s="55">
        <f>IF(OR(AC1284="",N(R1284)=0),"",L1284/R1284)</f>
        <v/>
      </c>
      <c r="AF1284" s="100">
        <f>IF(OR(N(K1284)=0,N(J1284)+N(Q1284)=0),"",K1284-IF(N(J1284)&gt;0,J1284,Q1284))</f>
        <v/>
      </c>
      <c r="AG1284" s="99">
        <f>IF(B1284="","",IFERROR(AVERAGEIFS('QUALITY CONTROL'!$M$5:$M$304,'QUALITY CONTROL'!$B$5:$B$304,A1284),""))</f>
        <v/>
      </c>
      <c r="AH1284" s="51">
        <f>IF(B1284="","",DATE(YEAR(B1284),MONTH(B1284),1))</f>
        <v/>
      </c>
      <c r="AI1284" s="49">
        <f>IF(D1284="","",IFERROR(INDEX('CUSTOMERS'!$E$5:$E$404,MATCH(D1284,'CUSTOMERS'!$B$5:$B$404,0)),""))</f>
        <v/>
      </c>
      <c r="AJ1284" s="49">
        <f>IF(B1284="","",N(C1284))</f>
        <v/>
      </c>
      <c r="AK1284" s="49">
        <f>IF(OR(B1284="",O1284="Cancelled",O1284="Rescheduled"),"",B1284&amp;"|"&amp;(COUNTIFS('JOBS'!$B$5:$B$1504,B1284,'JOBS'!$AJ$5:$AJ$1504,"&lt;"&amp;AJ1284,'JOBS'!$O$5:$O$1504,"&lt;&gt;Cancelled",'JOBS'!$O$5:$O$1504,"&lt;&gt;Rescheduled")+COUNTIFS($B$5:B1284,B1284,$AJ$5:AJ1284,AJ1284,$O$5:O1284,"&lt;&gt;Cancelled",$O$5:O1284,"&lt;&gt;Rescheduled")))</f>
        <v/>
      </c>
      <c r="AL1284" s="49">
        <f>IF(N(U1284)&lt;=0.005,"",COUNTIFS('JOBS'!$U$5:$U$1504,"&gt;0.005",'JOBS'!$B$5:$B$1504,"&lt;"&amp;B1284)+COUNTIFS($U$5:U1284,"&gt;0.005",$B$5:B1284,B1284))</f>
        <v/>
      </c>
    </row>
    <row r="1285">
      <c r="A1285" s="46" t="inlineStr">
        <is>
          <t>J-1281</t>
        </is>
      </c>
      <c r="B1285" s="47" t="n"/>
      <c r="C1285" s="94" t="n"/>
      <c r="D1285" s="38" t="n"/>
      <c r="E1285" s="38" t="n"/>
      <c r="F1285" s="38" t="n"/>
      <c r="G1285" s="38" t="n"/>
      <c r="H1285" s="38" t="n"/>
      <c r="I1285" s="57" t="n"/>
      <c r="J1285" s="95" t="n"/>
      <c r="K1285" s="95" t="n"/>
      <c r="L1285" s="48" t="n"/>
      <c r="M1285" s="96" t="n"/>
      <c r="N1285" s="48" t="n"/>
      <c r="O1285" s="38" t="n"/>
      <c r="P1285" s="38" t="n"/>
      <c r="Q1285" s="97">
        <f>IF(OR(F1285="",E1285=""),"",IFERROR(IF(INDEX('PROPERTIES'!$F$5:$F$404,MATCH(E1285,'PROPERTIES'!$B$5:$B$404,0))=0,"",ROUND((INDEX('PROPERTIES'!$F$5:$F$404,MATCH(E1285,'PROPERTIES'!$B$5:$B$404,0))/INDEX('PRICING'!$C$7:$C$16,MATCH(F1285,'PRICING'!$A$7:$A$16,0))+INDEX('PROPERTIES'!$G$5:$G$404,MATCH(E1285,'PROPERTIES'!$B$5:$B$404,0))*INDEX('PRICING'!$D$7:$D$16,MATCH(F1285,'PRICING'!$A$7:$A$16,0))/60+INDEX('PROPERTIES'!$H$5:$H$404,MATCH(E1285,'PROPERTIES'!$B$5:$B$404,0))*INDEX('PRICING'!$E$7:$E$16,MATCH(F1285,'PRICING'!$A$7:$A$16,0))/60+INDEX('PRICING'!$F$7:$F$16,MATCH(F1285,'PRICING'!$A$7:$A$16,0))/60),2)),""))</f>
        <v/>
      </c>
      <c r="R1285" s="97">
        <f>IF(B1285="","",IF(N(K1285)&gt;0,K1285,IF(N(J1285)&gt;0,J1285,N(Q1285))))</f>
        <v/>
      </c>
      <c r="S1285" s="55">
        <f>IF(L1285="","",ROUND(L1285*(1+N(M1285)),2))</f>
        <v/>
      </c>
      <c r="T1285" s="55">
        <f>IF(B1285="","",SUMIFS('REVENUE'!$C$5:$C$1504,'REVENUE'!$B$5:$B$1504,A1285))</f>
        <v/>
      </c>
      <c r="U1285" s="55">
        <f>IF(B1285="","",IF(O1285="Completed",MAX(0,N(S1285)-T1285),""))</f>
        <v/>
      </c>
      <c r="V1285" s="49">
        <f>IF(B1285="","",IF(O1285&lt;&gt;"Completed",IF(T1285&gt;0,"Deposit","—"),IF(U1285&lt;=0.005,"Paid",IF(T1285&gt;0,"Partial","Unpaid"))))</f>
        <v/>
      </c>
      <c r="W1285" s="55">
        <f>IF(B1285="","",IFERROR(1/(1/INDEX('STAFF &amp; TASKS'!$C$5:$C$24,MATCH(H1285,'STAFF &amp; TASKS'!$A$5:$A$24,0))),PayRate))</f>
        <v/>
      </c>
      <c r="X1285" s="55">
        <f>IF(B1285="","",IF(OR(O1285="Cancelled",O1285="No-Show"),"",ROUND(R1285*W1285*(1+Burden),2)))</f>
        <v/>
      </c>
      <c r="Y1285" s="55">
        <f>IF(B1285="","",IF(OR(O1285="Cancelled",O1285="No-Show"),"",IF(N1285&lt;&gt;"",N1285,ROUND(R1285*SupHr*IFERROR(INDEX('PRICING'!$G$7:$G$16,MATCH(F1285,'PRICING'!$A$7:$A$16,0)),1),2))))</f>
        <v/>
      </c>
      <c r="Z1285" s="98">
        <f>IF(B1285="","",SUMIFS('MILEAGE'!$J$5:$J$1504,'MILEAGE'!$B$5:$B$1504,A1285))</f>
        <v/>
      </c>
      <c r="AA1285" s="55">
        <f>IF(B1285="","",ROUND(Z1285*MileRate,2))</f>
        <v/>
      </c>
      <c r="AB1285" s="55">
        <f>IF(B1285="","",SUMIFS('REVENUE'!$J$5:$J$1504,'REVENUE'!$B$5:$B$1504,A1285))</f>
        <v/>
      </c>
      <c r="AC1285" s="55">
        <f>IF(L1285="","",IF(OR(O1285="Cancelled",O1285="No-Show"),"",L1285-N(X1285)-N(Y1285)-AA1285-AB1285))</f>
        <v/>
      </c>
      <c r="AD1285" s="99">
        <f>IF(OR(AC1285="",N(L1285)=0),"",AC1285/L1285)</f>
        <v/>
      </c>
      <c r="AE1285" s="55">
        <f>IF(OR(AC1285="",N(R1285)=0),"",L1285/R1285)</f>
        <v/>
      </c>
      <c r="AF1285" s="100">
        <f>IF(OR(N(K1285)=0,N(J1285)+N(Q1285)=0),"",K1285-IF(N(J1285)&gt;0,J1285,Q1285))</f>
        <v/>
      </c>
      <c r="AG1285" s="99">
        <f>IF(B1285="","",IFERROR(AVERAGEIFS('QUALITY CONTROL'!$M$5:$M$304,'QUALITY CONTROL'!$B$5:$B$304,A1285),""))</f>
        <v/>
      </c>
      <c r="AH1285" s="51">
        <f>IF(B1285="","",DATE(YEAR(B1285),MONTH(B1285),1))</f>
        <v/>
      </c>
      <c r="AI1285" s="49">
        <f>IF(D1285="","",IFERROR(INDEX('CUSTOMERS'!$E$5:$E$404,MATCH(D1285,'CUSTOMERS'!$B$5:$B$404,0)),""))</f>
        <v/>
      </c>
      <c r="AJ1285" s="49">
        <f>IF(B1285="","",N(C1285))</f>
        <v/>
      </c>
      <c r="AK1285" s="49">
        <f>IF(OR(B1285="",O1285="Cancelled",O1285="Rescheduled"),"",B1285&amp;"|"&amp;(COUNTIFS('JOBS'!$B$5:$B$1504,B1285,'JOBS'!$AJ$5:$AJ$1504,"&lt;"&amp;AJ1285,'JOBS'!$O$5:$O$1504,"&lt;&gt;Cancelled",'JOBS'!$O$5:$O$1504,"&lt;&gt;Rescheduled")+COUNTIFS($B$5:B1285,B1285,$AJ$5:AJ1285,AJ1285,$O$5:O1285,"&lt;&gt;Cancelled",$O$5:O1285,"&lt;&gt;Rescheduled")))</f>
        <v/>
      </c>
      <c r="AL1285" s="49">
        <f>IF(N(U1285)&lt;=0.005,"",COUNTIFS('JOBS'!$U$5:$U$1504,"&gt;0.005",'JOBS'!$B$5:$B$1504,"&lt;"&amp;B1285)+COUNTIFS($U$5:U1285,"&gt;0.005",$B$5:B1285,B1285))</f>
        <v/>
      </c>
    </row>
    <row r="1286">
      <c r="A1286" s="46" t="inlineStr">
        <is>
          <t>J-1282</t>
        </is>
      </c>
      <c r="B1286" s="47" t="n"/>
      <c r="C1286" s="94" t="n"/>
      <c r="D1286" s="38" t="n"/>
      <c r="E1286" s="38" t="n"/>
      <c r="F1286" s="38" t="n"/>
      <c r="G1286" s="38" t="n"/>
      <c r="H1286" s="38" t="n"/>
      <c r="I1286" s="57" t="n"/>
      <c r="J1286" s="95" t="n"/>
      <c r="K1286" s="95" t="n"/>
      <c r="L1286" s="48" t="n"/>
      <c r="M1286" s="96" t="n"/>
      <c r="N1286" s="48" t="n"/>
      <c r="O1286" s="38" t="n"/>
      <c r="P1286" s="38" t="n"/>
      <c r="Q1286" s="97">
        <f>IF(OR(F1286="",E1286=""),"",IFERROR(IF(INDEX('PROPERTIES'!$F$5:$F$404,MATCH(E1286,'PROPERTIES'!$B$5:$B$404,0))=0,"",ROUND((INDEX('PROPERTIES'!$F$5:$F$404,MATCH(E1286,'PROPERTIES'!$B$5:$B$404,0))/INDEX('PRICING'!$C$7:$C$16,MATCH(F1286,'PRICING'!$A$7:$A$16,0))+INDEX('PROPERTIES'!$G$5:$G$404,MATCH(E1286,'PROPERTIES'!$B$5:$B$404,0))*INDEX('PRICING'!$D$7:$D$16,MATCH(F1286,'PRICING'!$A$7:$A$16,0))/60+INDEX('PROPERTIES'!$H$5:$H$404,MATCH(E1286,'PROPERTIES'!$B$5:$B$404,0))*INDEX('PRICING'!$E$7:$E$16,MATCH(F1286,'PRICING'!$A$7:$A$16,0))/60+INDEX('PRICING'!$F$7:$F$16,MATCH(F1286,'PRICING'!$A$7:$A$16,0))/60),2)),""))</f>
        <v/>
      </c>
      <c r="R1286" s="97">
        <f>IF(B1286="","",IF(N(K1286)&gt;0,K1286,IF(N(J1286)&gt;0,J1286,N(Q1286))))</f>
        <v/>
      </c>
      <c r="S1286" s="55">
        <f>IF(L1286="","",ROUND(L1286*(1+N(M1286)),2))</f>
        <v/>
      </c>
      <c r="T1286" s="55">
        <f>IF(B1286="","",SUMIFS('REVENUE'!$C$5:$C$1504,'REVENUE'!$B$5:$B$1504,A1286))</f>
        <v/>
      </c>
      <c r="U1286" s="55">
        <f>IF(B1286="","",IF(O1286="Completed",MAX(0,N(S1286)-T1286),""))</f>
        <v/>
      </c>
      <c r="V1286" s="49">
        <f>IF(B1286="","",IF(O1286&lt;&gt;"Completed",IF(T1286&gt;0,"Deposit","—"),IF(U1286&lt;=0.005,"Paid",IF(T1286&gt;0,"Partial","Unpaid"))))</f>
        <v/>
      </c>
      <c r="W1286" s="55">
        <f>IF(B1286="","",IFERROR(1/(1/INDEX('STAFF &amp; TASKS'!$C$5:$C$24,MATCH(H1286,'STAFF &amp; TASKS'!$A$5:$A$24,0))),PayRate))</f>
        <v/>
      </c>
      <c r="X1286" s="55">
        <f>IF(B1286="","",IF(OR(O1286="Cancelled",O1286="No-Show"),"",ROUND(R1286*W1286*(1+Burden),2)))</f>
        <v/>
      </c>
      <c r="Y1286" s="55">
        <f>IF(B1286="","",IF(OR(O1286="Cancelled",O1286="No-Show"),"",IF(N1286&lt;&gt;"",N1286,ROUND(R1286*SupHr*IFERROR(INDEX('PRICING'!$G$7:$G$16,MATCH(F1286,'PRICING'!$A$7:$A$16,0)),1),2))))</f>
        <v/>
      </c>
      <c r="Z1286" s="98">
        <f>IF(B1286="","",SUMIFS('MILEAGE'!$J$5:$J$1504,'MILEAGE'!$B$5:$B$1504,A1286))</f>
        <v/>
      </c>
      <c r="AA1286" s="55">
        <f>IF(B1286="","",ROUND(Z1286*MileRate,2))</f>
        <v/>
      </c>
      <c r="AB1286" s="55">
        <f>IF(B1286="","",SUMIFS('REVENUE'!$J$5:$J$1504,'REVENUE'!$B$5:$B$1504,A1286))</f>
        <v/>
      </c>
      <c r="AC1286" s="55">
        <f>IF(L1286="","",IF(OR(O1286="Cancelled",O1286="No-Show"),"",L1286-N(X1286)-N(Y1286)-AA1286-AB1286))</f>
        <v/>
      </c>
      <c r="AD1286" s="99">
        <f>IF(OR(AC1286="",N(L1286)=0),"",AC1286/L1286)</f>
        <v/>
      </c>
      <c r="AE1286" s="55">
        <f>IF(OR(AC1286="",N(R1286)=0),"",L1286/R1286)</f>
        <v/>
      </c>
      <c r="AF1286" s="100">
        <f>IF(OR(N(K1286)=0,N(J1286)+N(Q1286)=0),"",K1286-IF(N(J1286)&gt;0,J1286,Q1286))</f>
        <v/>
      </c>
      <c r="AG1286" s="99">
        <f>IF(B1286="","",IFERROR(AVERAGEIFS('QUALITY CONTROL'!$M$5:$M$304,'QUALITY CONTROL'!$B$5:$B$304,A1286),""))</f>
        <v/>
      </c>
      <c r="AH1286" s="51">
        <f>IF(B1286="","",DATE(YEAR(B1286),MONTH(B1286),1))</f>
        <v/>
      </c>
      <c r="AI1286" s="49">
        <f>IF(D1286="","",IFERROR(INDEX('CUSTOMERS'!$E$5:$E$404,MATCH(D1286,'CUSTOMERS'!$B$5:$B$404,0)),""))</f>
        <v/>
      </c>
      <c r="AJ1286" s="49">
        <f>IF(B1286="","",N(C1286))</f>
        <v/>
      </c>
      <c r="AK1286" s="49">
        <f>IF(OR(B1286="",O1286="Cancelled",O1286="Rescheduled"),"",B1286&amp;"|"&amp;(COUNTIFS('JOBS'!$B$5:$B$1504,B1286,'JOBS'!$AJ$5:$AJ$1504,"&lt;"&amp;AJ1286,'JOBS'!$O$5:$O$1504,"&lt;&gt;Cancelled",'JOBS'!$O$5:$O$1504,"&lt;&gt;Rescheduled")+COUNTIFS($B$5:B1286,B1286,$AJ$5:AJ1286,AJ1286,$O$5:O1286,"&lt;&gt;Cancelled",$O$5:O1286,"&lt;&gt;Rescheduled")))</f>
        <v/>
      </c>
      <c r="AL1286" s="49">
        <f>IF(N(U1286)&lt;=0.005,"",COUNTIFS('JOBS'!$U$5:$U$1504,"&gt;0.005",'JOBS'!$B$5:$B$1504,"&lt;"&amp;B1286)+COUNTIFS($U$5:U1286,"&gt;0.005",$B$5:B1286,B1286))</f>
        <v/>
      </c>
    </row>
    <row r="1287">
      <c r="A1287" s="46" t="inlineStr">
        <is>
          <t>J-1283</t>
        </is>
      </c>
      <c r="B1287" s="47" t="n"/>
      <c r="C1287" s="94" t="n"/>
      <c r="D1287" s="38" t="n"/>
      <c r="E1287" s="38" t="n"/>
      <c r="F1287" s="38" t="n"/>
      <c r="G1287" s="38" t="n"/>
      <c r="H1287" s="38" t="n"/>
      <c r="I1287" s="57" t="n"/>
      <c r="J1287" s="95" t="n"/>
      <c r="K1287" s="95" t="n"/>
      <c r="L1287" s="48" t="n"/>
      <c r="M1287" s="96" t="n"/>
      <c r="N1287" s="48" t="n"/>
      <c r="O1287" s="38" t="n"/>
      <c r="P1287" s="38" t="n"/>
      <c r="Q1287" s="97">
        <f>IF(OR(F1287="",E1287=""),"",IFERROR(IF(INDEX('PROPERTIES'!$F$5:$F$404,MATCH(E1287,'PROPERTIES'!$B$5:$B$404,0))=0,"",ROUND((INDEX('PROPERTIES'!$F$5:$F$404,MATCH(E1287,'PROPERTIES'!$B$5:$B$404,0))/INDEX('PRICING'!$C$7:$C$16,MATCH(F1287,'PRICING'!$A$7:$A$16,0))+INDEX('PROPERTIES'!$G$5:$G$404,MATCH(E1287,'PROPERTIES'!$B$5:$B$404,0))*INDEX('PRICING'!$D$7:$D$16,MATCH(F1287,'PRICING'!$A$7:$A$16,0))/60+INDEX('PROPERTIES'!$H$5:$H$404,MATCH(E1287,'PROPERTIES'!$B$5:$B$404,0))*INDEX('PRICING'!$E$7:$E$16,MATCH(F1287,'PRICING'!$A$7:$A$16,0))/60+INDEX('PRICING'!$F$7:$F$16,MATCH(F1287,'PRICING'!$A$7:$A$16,0))/60),2)),""))</f>
        <v/>
      </c>
      <c r="R1287" s="97">
        <f>IF(B1287="","",IF(N(K1287)&gt;0,K1287,IF(N(J1287)&gt;0,J1287,N(Q1287))))</f>
        <v/>
      </c>
      <c r="S1287" s="55">
        <f>IF(L1287="","",ROUND(L1287*(1+N(M1287)),2))</f>
        <v/>
      </c>
      <c r="T1287" s="55">
        <f>IF(B1287="","",SUMIFS('REVENUE'!$C$5:$C$1504,'REVENUE'!$B$5:$B$1504,A1287))</f>
        <v/>
      </c>
      <c r="U1287" s="55">
        <f>IF(B1287="","",IF(O1287="Completed",MAX(0,N(S1287)-T1287),""))</f>
        <v/>
      </c>
      <c r="V1287" s="49">
        <f>IF(B1287="","",IF(O1287&lt;&gt;"Completed",IF(T1287&gt;0,"Deposit","—"),IF(U1287&lt;=0.005,"Paid",IF(T1287&gt;0,"Partial","Unpaid"))))</f>
        <v/>
      </c>
      <c r="W1287" s="55">
        <f>IF(B1287="","",IFERROR(1/(1/INDEX('STAFF &amp; TASKS'!$C$5:$C$24,MATCH(H1287,'STAFF &amp; TASKS'!$A$5:$A$24,0))),PayRate))</f>
        <v/>
      </c>
      <c r="X1287" s="55">
        <f>IF(B1287="","",IF(OR(O1287="Cancelled",O1287="No-Show"),"",ROUND(R1287*W1287*(1+Burden),2)))</f>
        <v/>
      </c>
      <c r="Y1287" s="55">
        <f>IF(B1287="","",IF(OR(O1287="Cancelled",O1287="No-Show"),"",IF(N1287&lt;&gt;"",N1287,ROUND(R1287*SupHr*IFERROR(INDEX('PRICING'!$G$7:$G$16,MATCH(F1287,'PRICING'!$A$7:$A$16,0)),1),2))))</f>
        <v/>
      </c>
      <c r="Z1287" s="98">
        <f>IF(B1287="","",SUMIFS('MILEAGE'!$J$5:$J$1504,'MILEAGE'!$B$5:$B$1504,A1287))</f>
        <v/>
      </c>
      <c r="AA1287" s="55">
        <f>IF(B1287="","",ROUND(Z1287*MileRate,2))</f>
        <v/>
      </c>
      <c r="AB1287" s="55">
        <f>IF(B1287="","",SUMIFS('REVENUE'!$J$5:$J$1504,'REVENUE'!$B$5:$B$1504,A1287))</f>
        <v/>
      </c>
      <c r="AC1287" s="55">
        <f>IF(L1287="","",IF(OR(O1287="Cancelled",O1287="No-Show"),"",L1287-N(X1287)-N(Y1287)-AA1287-AB1287))</f>
        <v/>
      </c>
      <c r="AD1287" s="99">
        <f>IF(OR(AC1287="",N(L1287)=0),"",AC1287/L1287)</f>
        <v/>
      </c>
      <c r="AE1287" s="55">
        <f>IF(OR(AC1287="",N(R1287)=0),"",L1287/R1287)</f>
        <v/>
      </c>
      <c r="AF1287" s="100">
        <f>IF(OR(N(K1287)=0,N(J1287)+N(Q1287)=0),"",K1287-IF(N(J1287)&gt;0,J1287,Q1287))</f>
        <v/>
      </c>
      <c r="AG1287" s="99">
        <f>IF(B1287="","",IFERROR(AVERAGEIFS('QUALITY CONTROL'!$M$5:$M$304,'QUALITY CONTROL'!$B$5:$B$304,A1287),""))</f>
        <v/>
      </c>
      <c r="AH1287" s="51">
        <f>IF(B1287="","",DATE(YEAR(B1287),MONTH(B1287),1))</f>
        <v/>
      </c>
      <c r="AI1287" s="49">
        <f>IF(D1287="","",IFERROR(INDEX('CUSTOMERS'!$E$5:$E$404,MATCH(D1287,'CUSTOMERS'!$B$5:$B$404,0)),""))</f>
        <v/>
      </c>
      <c r="AJ1287" s="49">
        <f>IF(B1287="","",N(C1287))</f>
        <v/>
      </c>
      <c r="AK1287" s="49">
        <f>IF(OR(B1287="",O1287="Cancelled",O1287="Rescheduled"),"",B1287&amp;"|"&amp;(COUNTIFS('JOBS'!$B$5:$B$1504,B1287,'JOBS'!$AJ$5:$AJ$1504,"&lt;"&amp;AJ1287,'JOBS'!$O$5:$O$1504,"&lt;&gt;Cancelled",'JOBS'!$O$5:$O$1504,"&lt;&gt;Rescheduled")+COUNTIFS($B$5:B1287,B1287,$AJ$5:AJ1287,AJ1287,$O$5:O1287,"&lt;&gt;Cancelled",$O$5:O1287,"&lt;&gt;Rescheduled")))</f>
        <v/>
      </c>
      <c r="AL1287" s="49">
        <f>IF(N(U1287)&lt;=0.005,"",COUNTIFS('JOBS'!$U$5:$U$1504,"&gt;0.005",'JOBS'!$B$5:$B$1504,"&lt;"&amp;B1287)+COUNTIFS($U$5:U1287,"&gt;0.005",$B$5:B1287,B1287))</f>
        <v/>
      </c>
    </row>
    <row r="1288">
      <c r="A1288" s="46" t="inlineStr">
        <is>
          <t>J-1284</t>
        </is>
      </c>
      <c r="B1288" s="47" t="n"/>
      <c r="C1288" s="94" t="n"/>
      <c r="D1288" s="38" t="n"/>
      <c r="E1288" s="38" t="n"/>
      <c r="F1288" s="38" t="n"/>
      <c r="G1288" s="38" t="n"/>
      <c r="H1288" s="38" t="n"/>
      <c r="I1288" s="57" t="n"/>
      <c r="J1288" s="95" t="n"/>
      <c r="K1288" s="95" t="n"/>
      <c r="L1288" s="48" t="n"/>
      <c r="M1288" s="96" t="n"/>
      <c r="N1288" s="48" t="n"/>
      <c r="O1288" s="38" t="n"/>
      <c r="P1288" s="38" t="n"/>
      <c r="Q1288" s="97">
        <f>IF(OR(F1288="",E1288=""),"",IFERROR(IF(INDEX('PROPERTIES'!$F$5:$F$404,MATCH(E1288,'PROPERTIES'!$B$5:$B$404,0))=0,"",ROUND((INDEX('PROPERTIES'!$F$5:$F$404,MATCH(E1288,'PROPERTIES'!$B$5:$B$404,0))/INDEX('PRICING'!$C$7:$C$16,MATCH(F1288,'PRICING'!$A$7:$A$16,0))+INDEX('PROPERTIES'!$G$5:$G$404,MATCH(E1288,'PROPERTIES'!$B$5:$B$404,0))*INDEX('PRICING'!$D$7:$D$16,MATCH(F1288,'PRICING'!$A$7:$A$16,0))/60+INDEX('PROPERTIES'!$H$5:$H$404,MATCH(E1288,'PROPERTIES'!$B$5:$B$404,0))*INDEX('PRICING'!$E$7:$E$16,MATCH(F1288,'PRICING'!$A$7:$A$16,0))/60+INDEX('PRICING'!$F$7:$F$16,MATCH(F1288,'PRICING'!$A$7:$A$16,0))/60),2)),""))</f>
        <v/>
      </c>
      <c r="R1288" s="97">
        <f>IF(B1288="","",IF(N(K1288)&gt;0,K1288,IF(N(J1288)&gt;0,J1288,N(Q1288))))</f>
        <v/>
      </c>
      <c r="S1288" s="55">
        <f>IF(L1288="","",ROUND(L1288*(1+N(M1288)),2))</f>
        <v/>
      </c>
      <c r="T1288" s="55">
        <f>IF(B1288="","",SUMIFS('REVENUE'!$C$5:$C$1504,'REVENUE'!$B$5:$B$1504,A1288))</f>
        <v/>
      </c>
      <c r="U1288" s="55">
        <f>IF(B1288="","",IF(O1288="Completed",MAX(0,N(S1288)-T1288),""))</f>
        <v/>
      </c>
      <c r="V1288" s="49">
        <f>IF(B1288="","",IF(O1288&lt;&gt;"Completed",IF(T1288&gt;0,"Deposit","—"),IF(U1288&lt;=0.005,"Paid",IF(T1288&gt;0,"Partial","Unpaid"))))</f>
        <v/>
      </c>
      <c r="W1288" s="55">
        <f>IF(B1288="","",IFERROR(1/(1/INDEX('STAFF &amp; TASKS'!$C$5:$C$24,MATCH(H1288,'STAFF &amp; TASKS'!$A$5:$A$24,0))),PayRate))</f>
        <v/>
      </c>
      <c r="X1288" s="55">
        <f>IF(B1288="","",IF(OR(O1288="Cancelled",O1288="No-Show"),"",ROUND(R1288*W1288*(1+Burden),2)))</f>
        <v/>
      </c>
      <c r="Y1288" s="55">
        <f>IF(B1288="","",IF(OR(O1288="Cancelled",O1288="No-Show"),"",IF(N1288&lt;&gt;"",N1288,ROUND(R1288*SupHr*IFERROR(INDEX('PRICING'!$G$7:$G$16,MATCH(F1288,'PRICING'!$A$7:$A$16,0)),1),2))))</f>
        <v/>
      </c>
      <c r="Z1288" s="98">
        <f>IF(B1288="","",SUMIFS('MILEAGE'!$J$5:$J$1504,'MILEAGE'!$B$5:$B$1504,A1288))</f>
        <v/>
      </c>
      <c r="AA1288" s="55">
        <f>IF(B1288="","",ROUND(Z1288*MileRate,2))</f>
        <v/>
      </c>
      <c r="AB1288" s="55">
        <f>IF(B1288="","",SUMIFS('REVENUE'!$J$5:$J$1504,'REVENUE'!$B$5:$B$1504,A1288))</f>
        <v/>
      </c>
      <c r="AC1288" s="55">
        <f>IF(L1288="","",IF(OR(O1288="Cancelled",O1288="No-Show"),"",L1288-N(X1288)-N(Y1288)-AA1288-AB1288))</f>
        <v/>
      </c>
      <c r="AD1288" s="99">
        <f>IF(OR(AC1288="",N(L1288)=0),"",AC1288/L1288)</f>
        <v/>
      </c>
      <c r="AE1288" s="55">
        <f>IF(OR(AC1288="",N(R1288)=0),"",L1288/R1288)</f>
        <v/>
      </c>
      <c r="AF1288" s="100">
        <f>IF(OR(N(K1288)=0,N(J1288)+N(Q1288)=0),"",K1288-IF(N(J1288)&gt;0,J1288,Q1288))</f>
        <v/>
      </c>
      <c r="AG1288" s="99">
        <f>IF(B1288="","",IFERROR(AVERAGEIFS('QUALITY CONTROL'!$M$5:$M$304,'QUALITY CONTROL'!$B$5:$B$304,A1288),""))</f>
        <v/>
      </c>
      <c r="AH1288" s="51">
        <f>IF(B1288="","",DATE(YEAR(B1288),MONTH(B1288),1))</f>
        <v/>
      </c>
      <c r="AI1288" s="49">
        <f>IF(D1288="","",IFERROR(INDEX('CUSTOMERS'!$E$5:$E$404,MATCH(D1288,'CUSTOMERS'!$B$5:$B$404,0)),""))</f>
        <v/>
      </c>
      <c r="AJ1288" s="49">
        <f>IF(B1288="","",N(C1288))</f>
        <v/>
      </c>
      <c r="AK1288" s="49">
        <f>IF(OR(B1288="",O1288="Cancelled",O1288="Rescheduled"),"",B1288&amp;"|"&amp;(COUNTIFS('JOBS'!$B$5:$B$1504,B1288,'JOBS'!$AJ$5:$AJ$1504,"&lt;"&amp;AJ1288,'JOBS'!$O$5:$O$1504,"&lt;&gt;Cancelled",'JOBS'!$O$5:$O$1504,"&lt;&gt;Rescheduled")+COUNTIFS($B$5:B1288,B1288,$AJ$5:AJ1288,AJ1288,$O$5:O1288,"&lt;&gt;Cancelled",$O$5:O1288,"&lt;&gt;Rescheduled")))</f>
        <v/>
      </c>
      <c r="AL1288" s="49">
        <f>IF(N(U1288)&lt;=0.005,"",COUNTIFS('JOBS'!$U$5:$U$1504,"&gt;0.005",'JOBS'!$B$5:$B$1504,"&lt;"&amp;B1288)+COUNTIFS($U$5:U1288,"&gt;0.005",$B$5:B1288,B1288))</f>
        <v/>
      </c>
    </row>
    <row r="1289">
      <c r="A1289" s="46" t="inlineStr">
        <is>
          <t>J-1285</t>
        </is>
      </c>
      <c r="B1289" s="47" t="n"/>
      <c r="C1289" s="94" t="n"/>
      <c r="D1289" s="38" t="n"/>
      <c r="E1289" s="38" t="n"/>
      <c r="F1289" s="38" t="n"/>
      <c r="G1289" s="38" t="n"/>
      <c r="H1289" s="38" t="n"/>
      <c r="I1289" s="57" t="n"/>
      <c r="J1289" s="95" t="n"/>
      <c r="K1289" s="95" t="n"/>
      <c r="L1289" s="48" t="n"/>
      <c r="M1289" s="96" t="n"/>
      <c r="N1289" s="48" t="n"/>
      <c r="O1289" s="38" t="n"/>
      <c r="P1289" s="38" t="n"/>
      <c r="Q1289" s="97">
        <f>IF(OR(F1289="",E1289=""),"",IFERROR(IF(INDEX('PROPERTIES'!$F$5:$F$404,MATCH(E1289,'PROPERTIES'!$B$5:$B$404,0))=0,"",ROUND((INDEX('PROPERTIES'!$F$5:$F$404,MATCH(E1289,'PROPERTIES'!$B$5:$B$404,0))/INDEX('PRICING'!$C$7:$C$16,MATCH(F1289,'PRICING'!$A$7:$A$16,0))+INDEX('PROPERTIES'!$G$5:$G$404,MATCH(E1289,'PROPERTIES'!$B$5:$B$404,0))*INDEX('PRICING'!$D$7:$D$16,MATCH(F1289,'PRICING'!$A$7:$A$16,0))/60+INDEX('PROPERTIES'!$H$5:$H$404,MATCH(E1289,'PROPERTIES'!$B$5:$B$404,0))*INDEX('PRICING'!$E$7:$E$16,MATCH(F1289,'PRICING'!$A$7:$A$16,0))/60+INDEX('PRICING'!$F$7:$F$16,MATCH(F1289,'PRICING'!$A$7:$A$16,0))/60),2)),""))</f>
        <v/>
      </c>
      <c r="R1289" s="97">
        <f>IF(B1289="","",IF(N(K1289)&gt;0,K1289,IF(N(J1289)&gt;0,J1289,N(Q1289))))</f>
        <v/>
      </c>
      <c r="S1289" s="55">
        <f>IF(L1289="","",ROUND(L1289*(1+N(M1289)),2))</f>
        <v/>
      </c>
      <c r="T1289" s="55">
        <f>IF(B1289="","",SUMIFS('REVENUE'!$C$5:$C$1504,'REVENUE'!$B$5:$B$1504,A1289))</f>
        <v/>
      </c>
      <c r="U1289" s="55">
        <f>IF(B1289="","",IF(O1289="Completed",MAX(0,N(S1289)-T1289),""))</f>
        <v/>
      </c>
      <c r="V1289" s="49">
        <f>IF(B1289="","",IF(O1289&lt;&gt;"Completed",IF(T1289&gt;0,"Deposit","—"),IF(U1289&lt;=0.005,"Paid",IF(T1289&gt;0,"Partial","Unpaid"))))</f>
        <v/>
      </c>
      <c r="W1289" s="55">
        <f>IF(B1289="","",IFERROR(1/(1/INDEX('STAFF &amp; TASKS'!$C$5:$C$24,MATCH(H1289,'STAFF &amp; TASKS'!$A$5:$A$24,0))),PayRate))</f>
        <v/>
      </c>
      <c r="X1289" s="55">
        <f>IF(B1289="","",IF(OR(O1289="Cancelled",O1289="No-Show"),"",ROUND(R1289*W1289*(1+Burden),2)))</f>
        <v/>
      </c>
      <c r="Y1289" s="55">
        <f>IF(B1289="","",IF(OR(O1289="Cancelled",O1289="No-Show"),"",IF(N1289&lt;&gt;"",N1289,ROUND(R1289*SupHr*IFERROR(INDEX('PRICING'!$G$7:$G$16,MATCH(F1289,'PRICING'!$A$7:$A$16,0)),1),2))))</f>
        <v/>
      </c>
      <c r="Z1289" s="98">
        <f>IF(B1289="","",SUMIFS('MILEAGE'!$J$5:$J$1504,'MILEAGE'!$B$5:$B$1504,A1289))</f>
        <v/>
      </c>
      <c r="AA1289" s="55">
        <f>IF(B1289="","",ROUND(Z1289*MileRate,2))</f>
        <v/>
      </c>
      <c r="AB1289" s="55">
        <f>IF(B1289="","",SUMIFS('REVENUE'!$J$5:$J$1504,'REVENUE'!$B$5:$B$1504,A1289))</f>
        <v/>
      </c>
      <c r="AC1289" s="55">
        <f>IF(L1289="","",IF(OR(O1289="Cancelled",O1289="No-Show"),"",L1289-N(X1289)-N(Y1289)-AA1289-AB1289))</f>
        <v/>
      </c>
      <c r="AD1289" s="99">
        <f>IF(OR(AC1289="",N(L1289)=0),"",AC1289/L1289)</f>
        <v/>
      </c>
      <c r="AE1289" s="55">
        <f>IF(OR(AC1289="",N(R1289)=0),"",L1289/R1289)</f>
        <v/>
      </c>
      <c r="AF1289" s="100">
        <f>IF(OR(N(K1289)=0,N(J1289)+N(Q1289)=0),"",K1289-IF(N(J1289)&gt;0,J1289,Q1289))</f>
        <v/>
      </c>
      <c r="AG1289" s="99">
        <f>IF(B1289="","",IFERROR(AVERAGEIFS('QUALITY CONTROL'!$M$5:$M$304,'QUALITY CONTROL'!$B$5:$B$304,A1289),""))</f>
        <v/>
      </c>
      <c r="AH1289" s="51">
        <f>IF(B1289="","",DATE(YEAR(B1289),MONTH(B1289),1))</f>
        <v/>
      </c>
      <c r="AI1289" s="49">
        <f>IF(D1289="","",IFERROR(INDEX('CUSTOMERS'!$E$5:$E$404,MATCH(D1289,'CUSTOMERS'!$B$5:$B$404,0)),""))</f>
        <v/>
      </c>
      <c r="AJ1289" s="49">
        <f>IF(B1289="","",N(C1289))</f>
        <v/>
      </c>
      <c r="AK1289" s="49">
        <f>IF(OR(B1289="",O1289="Cancelled",O1289="Rescheduled"),"",B1289&amp;"|"&amp;(COUNTIFS('JOBS'!$B$5:$B$1504,B1289,'JOBS'!$AJ$5:$AJ$1504,"&lt;"&amp;AJ1289,'JOBS'!$O$5:$O$1504,"&lt;&gt;Cancelled",'JOBS'!$O$5:$O$1504,"&lt;&gt;Rescheduled")+COUNTIFS($B$5:B1289,B1289,$AJ$5:AJ1289,AJ1289,$O$5:O1289,"&lt;&gt;Cancelled",$O$5:O1289,"&lt;&gt;Rescheduled")))</f>
        <v/>
      </c>
      <c r="AL1289" s="49">
        <f>IF(N(U1289)&lt;=0.005,"",COUNTIFS('JOBS'!$U$5:$U$1504,"&gt;0.005",'JOBS'!$B$5:$B$1504,"&lt;"&amp;B1289)+COUNTIFS($U$5:U1289,"&gt;0.005",$B$5:B1289,B1289))</f>
        <v/>
      </c>
    </row>
    <row r="1290">
      <c r="A1290" s="46" t="inlineStr">
        <is>
          <t>J-1286</t>
        </is>
      </c>
      <c r="B1290" s="47" t="n"/>
      <c r="C1290" s="94" t="n"/>
      <c r="D1290" s="38" t="n"/>
      <c r="E1290" s="38" t="n"/>
      <c r="F1290" s="38" t="n"/>
      <c r="G1290" s="38" t="n"/>
      <c r="H1290" s="38" t="n"/>
      <c r="I1290" s="57" t="n"/>
      <c r="J1290" s="95" t="n"/>
      <c r="K1290" s="95" t="n"/>
      <c r="L1290" s="48" t="n"/>
      <c r="M1290" s="96" t="n"/>
      <c r="N1290" s="48" t="n"/>
      <c r="O1290" s="38" t="n"/>
      <c r="P1290" s="38" t="n"/>
      <c r="Q1290" s="97">
        <f>IF(OR(F1290="",E1290=""),"",IFERROR(IF(INDEX('PROPERTIES'!$F$5:$F$404,MATCH(E1290,'PROPERTIES'!$B$5:$B$404,0))=0,"",ROUND((INDEX('PROPERTIES'!$F$5:$F$404,MATCH(E1290,'PROPERTIES'!$B$5:$B$404,0))/INDEX('PRICING'!$C$7:$C$16,MATCH(F1290,'PRICING'!$A$7:$A$16,0))+INDEX('PROPERTIES'!$G$5:$G$404,MATCH(E1290,'PROPERTIES'!$B$5:$B$404,0))*INDEX('PRICING'!$D$7:$D$16,MATCH(F1290,'PRICING'!$A$7:$A$16,0))/60+INDEX('PROPERTIES'!$H$5:$H$404,MATCH(E1290,'PROPERTIES'!$B$5:$B$404,0))*INDEX('PRICING'!$E$7:$E$16,MATCH(F1290,'PRICING'!$A$7:$A$16,0))/60+INDEX('PRICING'!$F$7:$F$16,MATCH(F1290,'PRICING'!$A$7:$A$16,0))/60),2)),""))</f>
        <v/>
      </c>
      <c r="R1290" s="97">
        <f>IF(B1290="","",IF(N(K1290)&gt;0,K1290,IF(N(J1290)&gt;0,J1290,N(Q1290))))</f>
        <v/>
      </c>
      <c r="S1290" s="55">
        <f>IF(L1290="","",ROUND(L1290*(1+N(M1290)),2))</f>
        <v/>
      </c>
      <c r="T1290" s="55">
        <f>IF(B1290="","",SUMIFS('REVENUE'!$C$5:$C$1504,'REVENUE'!$B$5:$B$1504,A1290))</f>
        <v/>
      </c>
      <c r="U1290" s="55">
        <f>IF(B1290="","",IF(O1290="Completed",MAX(0,N(S1290)-T1290),""))</f>
        <v/>
      </c>
      <c r="V1290" s="49">
        <f>IF(B1290="","",IF(O1290&lt;&gt;"Completed",IF(T1290&gt;0,"Deposit","—"),IF(U1290&lt;=0.005,"Paid",IF(T1290&gt;0,"Partial","Unpaid"))))</f>
        <v/>
      </c>
      <c r="W1290" s="55">
        <f>IF(B1290="","",IFERROR(1/(1/INDEX('STAFF &amp; TASKS'!$C$5:$C$24,MATCH(H1290,'STAFF &amp; TASKS'!$A$5:$A$24,0))),PayRate))</f>
        <v/>
      </c>
      <c r="X1290" s="55">
        <f>IF(B1290="","",IF(OR(O1290="Cancelled",O1290="No-Show"),"",ROUND(R1290*W1290*(1+Burden),2)))</f>
        <v/>
      </c>
      <c r="Y1290" s="55">
        <f>IF(B1290="","",IF(OR(O1290="Cancelled",O1290="No-Show"),"",IF(N1290&lt;&gt;"",N1290,ROUND(R1290*SupHr*IFERROR(INDEX('PRICING'!$G$7:$G$16,MATCH(F1290,'PRICING'!$A$7:$A$16,0)),1),2))))</f>
        <v/>
      </c>
      <c r="Z1290" s="98">
        <f>IF(B1290="","",SUMIFS('MILEAGE'!$J$5:$J$1504,'MILEAGE'!$B$5:$B$1504,A1290))</f>
        <v/>
      </c>
      <c r="AA1290" s="55">
        <f>IF(B1290="","",ROUND(Z1290*MileRate,2))</f>
        <v/>
      </c>
      <c r="AB1290" s="55">
        <f>IF(B1290="","",SUMIFS('REVENUE'!$J$5:$J$1504,'REVENUE'!$B$5:$B$1504,A1290))</f>
        <v/>
      </c>
      <c r="AC1290" s="55">
        <f>IF(L1290="","",IF(OR(O1290="Cancelled",O1290="No-Show"),"",L1290-N(X1290)-N(Y1290)-AA1290-AB1290))</f>
        <v/>
      </c>
      <c r="AD1290" s="99">
        <f>IF(OR(AC1290="",N(L1290)=0),"",AC1290/L1290)</f>
        <v/>
      </c>
      <c r="AE1290" s="55">
        <f>IF(OR(AC1290="",N(R1290)=0),"",L1290/R1290)</f>
        <v/>
      </c>
      <c r="AF1290" s="100">
        <f>IF(OR(N(K1290)=0,N(J1290)+N(Q1290)=0),"",K1290-IF(N(J1290)&gt;0,J1290,Q1290))</f>
        <v/>
      </c>
      <c r="AG1290" s="99">
        <f>IF(B1290="","",IFERROR(AVERAGEIFS('QUALITY CONTROL'!$M$5:$M$304,'QUALITY CONTROL'!$B$5:$B$304,A1290),""))</f>
        <v/>
      </c>
      <c r="AH1290" s="51">
        <f>IF(B1290="","",DATE(YEAR(B1290),MONTH(B1290),1))</f>
        <v/>
      </c>
      <c r="AI1290" s="49">
        <f>IF(D1290="","",IFERROR(INDEX('CUSTOMERS'!$E$5:$E$404,MATCH(D1290,'CUSTOMERS'!$B$5:$B$404,0)),""))</f>
        <v/>
      </c>
      <c r="AJ1290" s="49">
        <f>IF(B1290="","",N(C1290))</f>
        <v/>
      </c>
      <c r="AK1290" s="49">
        <f>IF(OR(B1290="",O1290="Cancelled",O1290="Rescheduled"),"",B1290&amp;"|"&amp;(COUNTIFS('JOBS'!$B$5:$B$1504,B1290,'JOBS'!$AJ$5:$AJ$1504,"&lt;"&amp;AJ1290,'JOBS'!$O$5:$O$1504,"&lt;&gt;Cancelled",'JOBS'!$O$5:$O$1504,"&lt;&gt;Rescheduled")+COUNTIFS($B$5:B1290,B1290,$AJ$5:AJ1290,AJ1290,$O$5:O1290,"&lt;&gt;Cancelled",$O$5:O1290,"&lt;&gt;Rescheduled")))</f>
        <v/>
      </c>
      <c r="AL1290" s="49">
        <f>IF(N(U1290)&lt;=0.005,"",COUNTIFS('JOBS'!$U$5:$U$1504,"&gt;0.005",'JOBS'!$B$5:$B$1504,"&lt;"&amp;B1290)+COUNTIFS($U$5:U1290,"&gt;0.005",$B$5:B1290,B1290))</f>
        <v/>
      </c>
    </row>
    <row r="1291">
      <c r="A1291" s="46" t="inlineStr">
        <is>
          <t>J-1287</t>
        </is>
      </c>
      <c r="B1291" s="47" t="n"/>
      <c r="C1291" s="94" t="n"/>
      <c r="D1291" s="38" t="n"/>
      <c r="E1291" s="38" t="n"/>
      <c r="F1291" s="38" t="n"/>
      <c r="G1291" s="38" t="n"/>
      <c r="H1291" s="38" t="n"/>
      <c r="I1291" s="57" t="n"/>
      <c r="J1291" s="95" t="n"/>
      <c r="K1291" s="95" t="n"/>
      <c r="L1291" s="48" t="n"/>
      <c r="M1291" s="96" t="n"/>
      <c r="N1291" s="48" t="n"/>
      <c r="O1291" s="38" t="n"/>
      <c r="P1291" s="38" t="n"/>
      <c r="Q1291" s="97">
        <f>IF(OR(F1291="",E1291=""),"",IFERROR(IF(INDEX('PROPERTIES'!$F$5:$F$404,MATCH(E1291,'PROPERTIES'!$B$5:$B$404,0))=0,"",ROUND((INDEX('PROPERTIES'!$F$5:$F$404,MATCH(E1291,'PROPERTIES'!$B$5:$B$404,0))/INDEX('PRICING'!$C$7:$C$16,MATCH(F1291,'PRICING'!$A$7:$A$16,0))+INDEX('PROPERTIES'!$G$5:$G$404,MATCH(E1291,'PROPERTIES'!$B$5:$B$404,0))*INDEX('PRICING'!$D$7:$D$16,MATCH(F1291,'PRICING'!$A$7:$A$16,0))/60+INDEX('PROPERTIES'!$H$5:$H$404,MATCH(E1291,'PROPERTIES'!$B$5:$B$404,0))*INDEX('PRICING'!$E$7:$E$16,MATCH(F1291,'PRICING'!$A$7:$A$16,0))/60+INDEX('PRICING'!$F$7:$F$16,MATCH(F1291,'PRICING'!$A$7:$A$16,0))/60),2)),""))</f>
        <v/>
      </c>
      <c r="R1291" s="97">
        <f>IF(B1291="","",IF(N(K1291)&gt;0,K1291,IF(N(J1291)&gt;0,J1291,N(Q1291))))</f>
        <v/>
      </c>
      <c r="S1291" s="55">
        <f>IF(L1291="","",ROUND(L1291*(1+N(M1291)),2))</f>
        <v/>
      </c>
      <c r="T1291" s="55">
        <f>IF(B1291="","",SUMIFS('REVENUE'!$C$5:$C$1504,'REVENUE'!$B$5:$B$1504,A1291))</f>
        <v/>
      </c>
      <c r="U1291" s="55">
        <f>IF(B1291="","",IF(O1291="Completed",MAX(0,N(S1291)-T1291),""))</f>
        <v/>
      </c>
      <c r="V1291" s="49">
        <f>IF(B1291="","",IF(O1291&lt;&gt;"Completed",IF(T1291&gt;0,"Deposit","—"),IF(U1291&lt;=0.005,"Paid",IF(T1291&gt;0,"Partial","Unpaid"))))</f>
        <v/>
      </c>
      <c r="W1291" s="55">
        <f>IF(B1291="","",IFERROR(1/(1/INDEX('STAFF &amp; TASKS'!$C$5:$C$24,MATCH(H1291,'STAFF &amp; TASKS'!$A$5:$A$24,0))),PayRate))</f>
        <v/>
      </c>
      <c r="X1291" s="55">
        <f>IF(B1291="","",IF(OR(O1291="Cancelled",O1291="No-Show"),"",ROUND(R1291*W1291*(1+Burden),2)))</f>
        <v/>
      </c>
      <c r="Y1291" s="55">
        <f>IF(B1291="","",IF(OR(O1291="Cancelled",O1291="No-Show"),"",IF(N1291&lt;&gt;"",N1291,ROUND(R1291*SupHr*IFERROR(INDEX('PRICING'!$G$7:$G$16,MATCH(F1291,'PRICING'!$A$7:$A$16,0)),1),2))))</f>
        <v/>
      </c>
      <c r="Z1291" s="98">
        <f>IF(B1291="","",SUMIFS('MILEAGE'!$J$5:$J$1504,'MILEAGE'!$B$5:$B$1504,A1291))</f>
        <v/>
      </c>
      <c r="AA1291" s="55">
        <f>IF(B1291="","",ROUND(Z1291*MileRate,2))</f>
        <v/>
      </c>
      <c r="AB1291" s="55">
        <f>IF(B1291="","",SUMIFS('REVENUE'!$J$5:$J$1504,'REVENUE'!$B$5:$B$1504,A1291))</f>
        <v/>
      </c>
      <c r="AC1291" s="55">
        <f>IF(L1291="","",IF(OR(O1291="Cancelled",O1291="No-Show"),"",L1291-N(X1291)-N(Y1291)-AA1291-AB1291))</f>
        <v/>
      </c>
      <c r="AD1291" s="99">
        <f>IF(OR(AC1291="",N(L1291)=0),"",AC1291/L1291)</f>
        <v/>
      </c>
      <c r="AE1291" s="55">
        <f>IF(OR(AC1291="",N(R1291)=0),"",L1291/R1291)</f>
        <v/>
      </c>
      <c r="AF1291" s="100">
        <f>IF(OR(N(K1291)=0,N(J1291)+N(Q1291)=0),"",K1291-IF(N(J1291)&gt;0,J1291,Q1291))</f>
        <v/>
      </c>
      <c r="AG1291" s="99">
        <f>IF(B1291="","",IFERROR(AVERAGEIFS('QUALITY CONTROL'!$M$5:$M$304,'QUALITY CONTROL'!$B$5:$B$304,A1291),""))</f>
        <v/>
      </c>
      <c r="AH1291" s="51">
        <f>IF(B1291="","",DATE(YEAR(B1291),MONTH(B1291),1))</f>
        <v/>
      </c>
      <c r="AI1291" s="49">
        <f>IF(D1291="","",IFERROR(INDEX('CUSTOMERS'!$E$5:$E$404,MATCH(D1291,'CUSTOMERS'!$B$5:$B$404,0)),""))</f>
        <v/>
      </c>
      <c r="AJ1291" s="49">
        <f>IF(B1291="","",N(C1291))</f>
        <v/>
      </c>
      <c r="AK1291" s="49">
        <f>IF(OR(B1291="",O1291="Cancelled",O1291="Rescheduled"),"",B1291&amp;"|"&amp;(COUNTIFS('JOBS'!$B$5:$B$1504,B1291,'JOBS'!$AJ$5:$AJ$1504,"&lt;"&amp;AJ1291,'JOBS'!$O$5:$O$1504,"&lt;&gt;Cancelled",'JOBS'!$O$5:$O$1504,"&lt;&gt;Rescheduled")+COUNTIFS($B$5:B1291,B1291,$AJ$5:AJ1291,AJ1291,$O$5:O1291,"&lt;&gt;Cancelled",$O$5:O1291,"&lt;&gt;Rescheduled")))</f>
        <v/>
      </c>
      <c r="AL1291" s="49">
        <f>IF(N(U1291)&lt;=0.005,"",COUNTIFS('JOBS'!$U$5:$U$1504,"&gt;0.005",'JOBS'!$B$5:$B$1504,"&lt;"&amp;B1291)+COUNTIFS($U$5:U1291,"&gt;0.005",$B$5:B1291,B1291))</f>
        <v/>
      </c>
    </row>
    <row r="1292">
      <c r="A1292" s="46" t="inlineStr">
        <is>
          <t>J-1288</t>
        </is>
      </c>
      <c r="B1292" s="47" t="n"/>
      <c r="C1292" s="94" t="n"/>
      <c r="D1292" s="38" t="n"/>
      <c r="E1292" s="38" t="n"/>
      <c r="F1292" s="38" t="n"/>
      <c r="G1292" s="38" t="n"/>
      <c r="H1292" s="38" t="n"/>
      <c r="I1292" s="57" t="n"/>
      <c r="J1292" s="95" t="n"/>
      <c r="K1292" s="95" t="n"/>
      <c r="L1292" s="48" t="n"/>
      <c r="M1292" s="96" t="n"/>
      <c r="N1292" s="48" t="n"/>
      <c r="O1292" s="38" t="n"/>
      <c r="P1292" s="38" t="n"/>
      <c r="Q1292" s="97">
        <f>IF(OR(F1292="",E1292=""),"",IFERROR(IF(INDEX('PROPERTIES'!$F$5:$F$404,MATCH(E1292,'PROPERTIES'!$B$5:$B$404,0))=0,"",ROUND((INDEX('PROPERTIES'!$F$5:$F$404,MATCH(E1292,'PROPERTIES'!$B$5:$B$404,0))/INDEX('PRICING'!$C$7:$C$16,MATCH(F1292,'PRICING'!$A$7:$A$16,0))+INDEX('PROPERTIES'!$G$5:$G$404,MATCH(E1292,'PROPERTIES'!$B$5:$B$404,0))*INDEX('PRICING'!$D$7:$D$16,MATCH(F1292,'PRICING'!$A$7:$A$16,0))/60+INDEX('PROPERTIES'!$H$5:$H$404,MATCH(E1292,'PROPERTIES'!$B$5:$B$404,0))*INDEX('PRICING'!$E$7:$E$16,MATCH(F1292,'PRICING'!$A$7:$A$16,0))/60+INDEX('PRICING'!$F$7:$F$16,MATCH(F1292,'PRICING'!$A$7:$A$16,0))/60),2)),""))</f>
        <v/>
      </c>
      <c r="R1292" s="97">
        <f>IF(B1292="","",IF(N(K1292)&gt;0,K1292,IF(N(J1292)&gt;0,J1292,N(Q1292))))</f>
        <v/>
      </c>
      <c r="S1292" s="55">
        <f>IF(L1292="","",ROUND(L1292*(1+N(M1292)),2))</f>
        <v/>
      </c>
      <c r="T1292" s="55">
        <f>IF(B1292="","",SUMIFS('REVENUE'!$C$5:$C$1504,'REVENUE'!$B$5:$B$1504,A1292))</f>
        <v/>
      </c>
      <c r="U1292" s="55">
        <f>IF(B1292="","",IF(O1292="Completed",MAX(0,N(S1292)-T1292),""))</f>
        <v/>
      </c>
      <c r="V1292" s="49">
        <f>IF(B1292="","",IF(O1292&lt;&gt;"Completed",IF(T1292&gt;0,"Deposit","—"),IF(U1292&lt;=0.005,"Paid",IF(T1292&gt;0,"Partial","Unpaid"))))</f>
        <v/>
      </c>
      <c r="W1292" s="55">
        <f>IF(B1292="","",IFERROR(1/(1/INDEX('STAFF &amp; TASKS'!$C$5:$C$24,MATCH(H1292,'STAFF &amp; TASKS'!$A$5:$A$24,0))),PayRate))</f>
        <v/>
      </c>
      <c r="X1292" s="55">
        <f>IF(B1292="","",IF(OR(O1292="Cancelled",O1292="No-Show"),"",ROUND(R1292*W1292*(1+Burden),2)))</f>
        <v/>
      </c>
      <c r="Y1292" s="55">
        <f>IF(B1292="","",IF(OR(O1292="Cancelled",O1292="No-Show"),"",IF(N1292&lt;&gt;"",N1292,ROUND(R1292*SupHr*IFERROR(INDEX('PRICING'!$G$7:$G$16,MATCH(F1292,'PRICING'!$A$7:$A$16,0)),1),2))))</f>
        <v/>
      </c>
      <c r="Z1292" s="98">
        <f>IF(B1292="","",SUMIFS('MILEAGE'!$J$5:$J$1504,'MILEAGE'!$B$5:$B$1504,A1292))</f>
        <v/>
      </c>
      <c r="AA1292" s="55">
        <f>IF(B1292="","",ROUND(Z1292*MileRate,2))</f>
        <v/>
      </c>
      <c r="AB1292" s="55">
        <f>IF(B1292="","",SUMIFS('REVENUE'!$J$5:$J$1504,'REVENUE'!$B$5:$B$1504,A1292))</f>
        <v/>
      </c>
      <c r="AC1292" s="55">
        <f>IF(L1292="","",IF(OR(O1292="Cancelled",O1292="No-Show"),"",L1292-N(X1292)-N(Y1292)-AA1292-AB1292))</f>
        <v/>
      </c>
      <c r="AD1292" s="99">
        <f>IF(OR(AC1292="",N(L1292)=0),"",AC1292/L1292)</f>
        <v/>
      </c>
      <c r="AE1292" s="55">
        <f>IF(OR(AC1292="",N(R1292)=0),"",L1292/R1292)</f>
        <v/>
      </c>
      <c r="AF1292" s="100">
        <f>IF(OR(N(K1292)=0,N(J1292)+N(Q1292)=0),"",K1292-IF(N(J1292)&gt;0,J1292,Q1292))</f>
        <v/>
      </c>
      <c r="AG1292" s="99">
        <f>IF(B1292="","",IFERROR(AVERAGEIFS('QUALITY CONTROL'!$M$5:$M$304,'QUALITY CONTROL'!$B$5:$B$304,A1292),""))</f>
        <v/>
      </c>
      <c r="AH1292" s="51">
        <f>IF(B1292="","",DATE(YEAR(B1292),MONTH(B1292),1))</f>
        <v/>
      </c>
      <c r="AI1292" s="49">
        <f>IF(D1292="","",IFERROR(INDEX('CUSTOMERS'!$E$5:$E$404,MATCH(D1292,'CUSTOMERS'!$B$5:$B$404,0)),""))</f>
        <v/>
      </c>
      <c r="AJ1292" s="49">
        <f>IF(B1292="","",N(C1292))</f>
        <v/>
      </c>
      <c r="AK1292" s="49">
        <f>IF(OR(B1292="",O1292="Cancelled",O1292="Rescheduled"),"",B1292&amp;"|"&amp;(COUNTIFS('JOBS'!$B$5:$B$1504,B1292,'JOBS'!$AJ$5:$AJ$1504,"&lt;"&amp;AJ1292,'JOBS'!$O$5:$O$1504,"&lt;&gt;Cancelled",'JOBS'!$O$5:$O$1504,"&lt;&gt;Rescheduled")+COUNTIFS($B$5:B1292,B1292,$AJ$5:AJ1292,AJ1292,$O$5:O1292,"&lt;&gt;Cancelled",$O$5:O1292,"&lt;&gt;Rescheduled")))</f>
        <v/>
      </c>
      <c r="AL1292" s="49">
        <f>IF(N(U1292)&lt;=0.005,"",COUNTIFS('JOBS'!$U$5:$U$1504,"&gt;0.005",'JOBS'!$B$5:$B$1504,"&lt;"&amp;B1292)+COUNTIFS($U$5:U1292,"&gt;0.005",$B$5:B1292,B1292))</f>
        <v/>
      </c>
    </row>
    <row r="1293">
      <c r="A1293" s="46" t="inlineStr">
        <is>
          <t>J-1289</t>
        </is>
      </c>
      <c r="B1293" s="47" t="n"/>
      <c r="C1293" s="94" t="n"/>
      <c r="D1293" s="38" t="n"/>
      <c r="E1293" s="38" t="n"/>
      <c r="F1293" s="38" t="n"/>
      <c r="G1293" s="38" t="n"/>
      <c r="H1293" s="38" t="n"/>
      <c r="I1293" s="57" t="n"/>
      <c r="J1293" s="95" t="n"/>
      <c r="K1293" s="95" t="n"/>
      <c r="L1293" s="48" t="n"/>
      <c r="M1293" s="96" t="n"/>
      <c r="N1293" s="48" t="n"/>
      <c r="O1293" s="38" t="n"/>
      <c r="P1293" s="38" t="n"/>
      <c r="Q1293" s="97">
        <f>IF(OR(F1293="",E1293=""),"",IFERROR(IF(INDEX('PROPERTIES'!$F$5:$F$404,MATCH(E1293,'PROPERTIES'!$B$5:$B$404,0))=0,"",ROUND((INDEX('PROPERTIES'!$F$5:$F$404,MATCH(E1293,'PROPERTIES'!$B$5:$B$404,0))/INDEX('PRICING'!$C$7:$C$16,MATCH(F1293,'PRICING'!$A$7:$A$16,0))+INDEX('PROPERTIES'!$G$5:$G$404,MATCH(E1293,'PROPERTIES'!$B$5:$B$404,0))*INDEX('PRICING'!$D$7:$D$16,MATCH(F1293,'PRICING'!$A$7:$A$16,0))/60+INDEX('PROPERTIES'!$H$5:$H$404,MATCH(E1293,'PROPERTIES'!$B$5:$B$404,0))*INDEX('PRICING'!$E$7:$E$16,MATCH(F1293,'PRICING'!$A$7:$A$16,0))/60+INDEX('PRICING'!$F$7:$F$16,MATCH(F1293,'PRICING'!$A$7:$A$16,0))/60),2)),""))</f>
        <v/>
      </c>
      <c r="R1293" s="97">
        <f>IF(B1293="","",IF(N(K1293)&gt;0,K1293,IF(N(J1293)&gt;0,J1293,N(Q1293))))</f>
        <v/>
      </c>
      <c r="S1293" s="55">
        <f>IF(L1293="","",ROUND(L1293*(1+N(M1293)),2))</f>
        <v/>
      </c>
      <c r="T1293" s="55">
        <f>IF(B1293="","",SUMIFS('REVENUE'!$C$5:$C$1504,'REVENUE'!$B$5:$B$1504,A1293))</f>
        <v/>
      </c>
      <c r="U1293" s="55">
        <f>IF(B1293="","",IF(O1293="Completed",MAX(0,N(S1293)-T1293),""))</f>
        <v/>
      </c>
      <c r="V1293" s="49">
        <f>IF(B1293="","",IF(O1293&lt;&gt;"Completed",IF(T1293&gt;0,"Deposit","—"),IF(U1293&lt;=0.005,"Paid",IF(T1293&gt;0,"Partial","Unpaid"))))</f>
        <v/>
      </c>
      <c r="W1293" s="55">
        <f>IF(B1293="","",IFERROR(1/(1/INDEX('STAFF &amp; TASKS'!$C$5:$C$24,MATCH(H1293,'STAFF &amp; TASKS'!$A$5:$A$24,0))),PayRate))</f>
        <v/>
      </c>
      <c r="X1293" s="55">
        <f>IF(B1293="","",IF(OR(O1293="Cancelled",O1293="No-Show"),"",ROUND(R1293*W1293*(1+Burden),2)))</f>
        <v/>
      </c>
      <c r="Y1293" s="55">
        <f>IF(B1293="","",IF(OR(O1293="Cancelled",O1293="No-Show"),"",IF(N1293&lt;&gt;"",N1293,ROUND(R1293*SupHr*IFERROR(INDEX('PRICING'!$G$7:$G$16,MATCH(F1293,'PRICING'!$A$7:$A$16,0)),1),2))))</f>
        <v/>
      </c>
      <c r="Z1293" s="98">
        <f>IF(B1293="","",SUMIFS('MILEAGE'!$J$5:$J$1504,'MILEAGE'!$B$5:$B$1504,A1293))</f>
        <v/>
      </c>
      <c r="AA1293" s="55">
        <f>IF(B1293="","",ROUND(Z1293*MileRate,2))</f>
        <v/>
      </c>
      <c r="AB1293" s="55">
        <f>IF(B1293="","",SUMIFS('REVENUE'!$J$5:$J$1504,'REVENUE'!$B$5:$B$1504,A1293))</f>
        <v/>
      </c>
      <c r="AC1293" s="55">
        <f>IF(L1293="","",IF(OR(O1293="Cancelled",O1293="No-Show"),"",L1293-N(X1293)-N(Y1293)-AA1293-AB1293))</f>
        <v/>
      </c>
      <c r="AD1293" s="99">
        <f>IF(OR(AC1293="",N(L1293)=0),"",AC1293/L1293)</f>
        <v/>
      </c>
      <c r="AE1293" s="55">
        <f>IF(OR(AC1293="",N(R1293)=0),"",L1293/R1293)</f>
        <v/>
      </c>
      <c r="AF1293" s="100">
        <f>IF(OR(N(K1293)=0,N(J1293)+N(Q1293)=0),"",K1293-IF(N(J1293)&gt;0,J1293,Q1293))</f>
        <v/>
      </c>
      <c r="AG1293" s="99">
        <f>IF(B1293="","",IFERROR(AVERAGEIFS('QUALITY CONTROL'!$M$5:$M$304,'QUALITY CONTROL'!$B$5:$B$304,A1293),""))</f>
        <v/>
      </c>
      <c r="AH1293" s="51">
        <f>IF(B1293="","",DATE(YEAR(B1293),MONTH(B1293),1))</f>
        <v/>
      </c>
      <c r="AI1293" s="49">
        <f>IF(D1293="","",IFERROR(INDEX('CUSTOMERS'!$E$5:$E$404,MATCH(D1293,'CUSTOMERS'!$B$5:$B$404,0)),""))</f>
        <v/>
      </c>
      <c r="AJ1293" s="49">
        <f>IF(B1293="","",N(C1293))</f>
        <v/>
      </c>
      <c r="AK1293" s="49">
        <f>IF(OR(B1293="",O1293="Cancelled",O1293="Rescheduled"),"",B1293&amp;"|"&amp;(COUNTIFS('JOBS'!$B$5:$B$1504,B1293,'JOBS'!$AJ$5:$AJ$1504,"&lt;"&amp;AJ1293,'JOBS'!$O$5:$O$1504,"&lt;&gt;Cancelled",'JOBS'!$O$5:$O$1504,"&lt;&gt;Rescheduled")+COUNTIFS($B$5:B1293,B1293,$AJ$5:AJ1293,AJ1293,$O$5:O1293,"&lt;&gt;Cancelled",$O$5:O1293,"&lt;&gt;Rescheduled")))</f>
        <v/>
      </c>
      <c r="AL1293" s="49">
        <f>IF(N(U1293)&lt;=0.005,"",COUNTIFS('JOBS'!$U$5:$U$1504,"&gt;0.005",'JOBS'!$B$5:$B$1504,"&lt;"&amp;B1293)+COUNTIFS($U$5:U1293,"&gt;0.005",$B$5:B1293,B1293))</f>
        <v/>
      </c>
    </row>
    <row r="1294">
      <c r="A1294" s="46" t="inlineStr">
        <is>
          <t>J-1290</t>
        </is>
      </c>
      <c r="B1294" s="47" t="n"/>
      <c r="C1294" s="94" t="n"/>
      <c r="D1294" s="38" t="n"/>
      <c r="E1294" s="38" t="n"/>
      <c r="F1294" s="38" t="n"/>
      <c r="G1294" s="38" t="n"/>
      <c r="H1294" s="38" t="n"/>
      <c r="I1294" s="57" t="n"/>
      <c r="J1294" s="95" t="n"/>
      <c r="K1294" s="95" t="n"/>
      <c r="L1294" s="48" t="n"/>
      <c r="M1294" s="96" t="n"/>
      <c r="N1294" s="48" t="n"/>
      <c r="O1294" s="38" t="n"/>
      <c r="P1294" s="38" t="n"/>
      <c r="Q1294" s="97">
        <f>IF(OR(F1294="",E1294=""),"",IFERROR(IF(INDEX('PROPERTIES'!$F$5:$F$404,MATCH(E1294,'PROPERTIES'!$B$5:$B$404,0))=0,"",ROUND((INDEX('PROPERTIES'!$F$5:$F$404,MATCH(E1294,'PROPERTIES'!$B$5:$B$404,0))/INDEX('PRICING'!$C$7:$C$16,MATCH(F1294,'PRICING'!$A$7:$A$16,0))+INDEX('PROPERTIES'!$G$5:$G$404,MATCH(E1294,'PROPERTIES'!$B$5:$B$404,0))*INDEX('PRICING'!$D$7:$D$16,MATCH(F1294,'PRICING'!$A$7:$A$16,0))/60+INDEX('PROPERTIES'!$H$5:$H$404,MATCH(E1294,'PROPERTIES'!$B$5:$B$404,0))*INDEX('PRICING'!$E$7:$E$16,MATCH(F1294,'PRICING'!$A$7:$A$16,0))/60+INDEX('PRICING'!$F$7:$F$16,MATCH(F1294,'PRICING'!$A$7:$A$16,0))/60),2)),""))</f>
        <v/>
      </c>
      <c r="R1294" s="97">
        <f>IF(B1294="","",IF(N(K1294)&gt;0,K1294,IF(N(J1294)&gt;0,J1294,N(Q1294))))</f>
        <v/>
      </c>
      <c r="S1294" s="55">
        <f>IF(L1294="","",ROUND(L1294*(1+N(M1294)),2))</f>
        <v/>
      </c>
      <c r="T1294" s="55">
        <f>IF(B1294="","",SUMIFS('REVENUE'!$C$5:$C$1504,'REVENUE'!$B$5:$B$1504,A1294))</f>
        <v/>
      </c>
      <c r="U1294" s="55">
        <f>IF(B1294="","",IF(O1294="Completed",MAX(0,N(S1294)-T1294),""))</f>
        <v/>
      </c>
      <c r="V1294" s="49">
        <f>IF(B1294="","",IF(O1294&lt;&gt;"Completed",IF(T1294&gt;0,"Deposit","—"),IF(U1294&lt;=0.005,"Paid",IF(T1294&gt;0,"Partial","Unpaid"))))</f>
        <v/>
      </c>
      <c r="W1294" s="55">
        <f>IF(B1294="","",IFERROR(1/(1/INDEX('STAFF &amp; TASKS'!$C$5:$C$24,MATCH(H1294,'STAFF &amp; TASKS'!$A$5:$A$24,0))),PayRate))</f>
        <v/>
      </c>
      <c r="X1294" s="55">
        <f>IF(B1294="","",IF(OR(O1294="Cancelled",O1294="No-Show"),"",ROUND(R1294*W1294*(1+Burden),2)))</f>
        <v/>
      </c>
      <c r="Y1294" s="55">
        <f>IF(B1294="","",IF(OR(O1294="Cancelled",O1294="No-Show"),"",IF(N1294&lt;&gt;"",N1294,ROUND(R1294*SupHr*IFERROR(INDEX('PRICING'!$G$7:$G$16,MATCH(F1294,'PRICING'!$A$7:$A$16,0)),1),2))))</f>
        <v/>
      </c>
      <c r="Z1294" s="98">
        <f>IF(B1294="","",SUMIFS('MILEAGE'!$J$5:$J$1504,'MILEAGE'!$B$5:$B$1504,A1294))</f>
        <v/>
      </c>
      <c r="AA1294" s="55">
        <f>IF(B1294="","",ROUND(Z1294*MileRate,2))</f>
        <v/>
      </c>
      <c r="AB1294" s="55">
        <f>IF(B1294="","",SUMIFS('REVENUE'!$J$5:$J$1504,'REVENUE'!$B$5:$B$1504,A1294))</f>
        <v/>
      </c>
      <c r="AC1294" s="55">
        <f>IF(L1294="","",IF(OR(O1294="Cancelled",O1294="No-Show"),"",L1294-N(X1294)-N(Y1294)-AA1294-AB1294))</f>
        <v/>
      </c>
      <c r="AD1294" s="99">
        <f>IF(OR(AC1294="",N(L1294)=0),"",AC1294/L1294)</f>
        <v/>
      </c>
      <c r="AE1294" s="55">
        <f>IF(OR(AC1294="",N(R1294)=0),"",L1294/R1294)</f>
        <v/>
      </c>
      <c r="AF1294" s="100">
        <f>IF(OR(N(K1294)=0,N(J1294)+N(Q1294)=0),"",K1294-IF(N(J1294)&gt;0,J1294,Q1294))</f>
        <v/>
      </c>
      <c r="AG1294" s="99">
        <f>IF(B1294="","",IFERROR(AVERAGEIFS('QUALITY CONTROL'!$M$5:$M$304,'QUALITY CONTROL'!$B$5:$B$304,A1294),""))</f>
        <v/>
      </c>
      <c r="AH1294" s="51">
        <f>IF(B1294="","",DATE(YEAR(B1294),MONTH(B1294),1))</f>
        <v/>
      </c>
      <c r="AI1294" s="49">
        <f>IF(D1294="","",IFERROR(INDEX('CUSTOMERS'!$E$5:$E$404,MATCH(D1294,'CUSTOMERS'!$B$5:$B$404,0)),""))</f>
        <v/>
      </c>
      <c r="AJ1294" s="49">
        <f>IF(B1294="","",N(C1294))</f>
        <v/>
      </c>
      <c r="AK1294" s="49">
        <f>IF(OR(B1294="",O1294="Cancelled",O1294="Rescheduled"),"",B1294&amp;"|"&amp;(COUNTIFS('JOBS'!$B$5:$B$1504,B1294,'JOBS'!$AJ$5:$AJ$1504,"&lt;"&amp;AJ1294,'JOBS'!$O$5:$O$1504,"&lt;&gt;Cancelled",'JOBS'!$O$5:$O$1504,"&lt;&gt;Rescheduled")+COUNTIFS($B$5:B1294,B1294,$AJ$5:AJ1294,AJ1294,$O$5:O1294,"&lt;&gt;Cancelled",$O$5:O1294,"&lt;&gt;Rescheduled")))</f>
        <v/>
      </c>
      <c r="AL1294" s="49">
        <f>IF(N(U1294)&lt;=0.005,"",COUNTIFS('JOBS'!$U$5:$U$1504,"&gt;0.005",'JOBS'!$B$5:$B$1504,"&lt;"&amp;B1294)+COUNTIFS($U$5:U1294,"&gt;0.005",$B$5:B1294,B1294))</f>
        <v/>
      </c>
    </row>
    <row r="1295">
      <c r="A1295" s="46" t="inlineStr">
        <is>
          <t>J-1291</t>
        </is>
      </c>
      <c r="B1295" s="47" t="n"/>
      <c r="C1295" s="94" t="n"/>
      <c r="D1295" s="38" t="n"/>
      <c r="E1295" s="38" t="n"/>
      <c r="F1295" s="38" t="n"/>
      <c r="G1295" s="38" t="n"/>
      <c r="H1295" s="38" t="n"/>
      <c r="I1295" s="57" t="n"/>
      <c r="J1295" s="95" t="n"/>
      <c r="K1295" s="95" t="n"/>
      <c r="L1295" s="48" t="n"/>
      <c r="M1295" s="96" t="n"/>
      <c r="N1295" s="48" t="n"/>
      <c r="O1295" s="38" t="n"/>
      <c r="P1295" s="38" t="n"/>
      <c r="Q1295" s="97">
        <f>IF(OR(F1295="",E1295=""),"",IFERROR(IF(INDEX('PROPERTIES'!$F$5:$F$404,MATCH(E1295,'PROPERTIES'!$B$5:$B$404,0))=0,"",ROUND((INDEX('PROPERTIES'!$F$5:$F$404,MATCH(E1295,'PROPERTIES'!$B$5:$B$404,0))/INDEX('PRICING'!$C$7:$C$16,MATCH(F1295,'PRICING'!$A$7:$A$16,0))+INDEX('PROPERTIES'!$G$5:$G$404,MATCH(E1295,'PROPERTIES'!$B$5:$B$404,0))*INDEX('PRICING'!$D$7:$D$16,MATCH(F1295,'PRICING'!$A$7:$A$16,0))/60+INDEX('PROPERTIES'!$H$5:$H$404,MATCH(E1295,'PROPERTIES'!$B$5:$B$404,0))*INDEX('PRICING'!$E$7:$E$16,MATCH(F1295,'PRICING'!$A$7:$A$16,0))/60+INDEX('PRICING'!$F$7:$F$16,MATCH(F1295,'PRICING'!$A$7:$A$16,0))/60),2)),""))</f>
        <v/>
      </c>
      <c r="R1295" s="97">
        <f>IF(B1295="","",IF(N(K1295)&gt;0,K1295,IF(N(J1295)&gt;0,J1295,N(Q1295))))</f>
        <v/>
      </c>
      <c r="S1295" s="55">
        <f>IF(L1295="","",ROUND(L1295*(1+N(M1295)),2))</f>
        <v/>
      </c>
      <c r="T1295" s="55">
        <f>IF(B1295="","",SUMIFS('REVENUE'!$C$5:$C$1504,'REVENUE'!$B$5:$B$1504,A1295))</f>
        <v/>
      </c>
      <c r="U1295" s="55">
        <f>IF(B1295="","",IF(O1295="Completed",MAX(0,N(S1295)-T1295),""))</f>
        <v/>
      </c>
      <c r="V1295" s="49">
        <f>IF(B1295="","",IF(O1295&lt;&gt;"Completed",IF(T1295&gt;0,"Deposit","—"),IF(U1295&lt;=0.005,"Paid",IF(T1295&gt;0,"Partial","Unpaid"))))</f>
        <v/>
      </c>
      <c r="W1295" s="55">
        <f>IF(B1295="","",IFERROR(1/(1/INDEX('STAFF &amp; TASKS'!$C$5:$C$24,MATCH(H1295,'STAFF &amp; TASKS'!$A$5:$A$24,0))),PayRate))</f>
        <v/>
      </c>
      <c r="X1295" s="55">
        <f>IF(B1295="","",IF(OR(O1295="Cancelled",O1295="No-Show"),"",ROUND(R1295*W1295*(1+Burden),2)))</f>
        <v/>
      </c>
      <c r="Y1295" s="55">
        <f>IF(B1295="","",IF(OR(O1295="Cancelled",O1295="No-Show"),"",IF(N1295&lt;&gt;"",N1295,ROUND(R1295*SupHr*IFERROR(INDEX('PRICING'!$G$7:$G$16,MATCH(F1295,'PRICING'!$A$7:$A$16,0)),1),2))))</f>
        <v/>
      </c>
      <c r="Z1295" s="98">
        <f>IF(B1295="","",SUMIFS('MILEAGE'!$J$5:$J$1504,'MILEAGE'!$B$5:$B$1504,A1295))</f>
        <v/>
      </c>
      <c r="AA1295" s="55">
        <f>IF(B1295="","",ROUND(Z1295*MileRate,2))</f>
        <v/>
      </c>
      <c r="AB1295" s="55">
        <f>IF(B1295="","",SUMIFS('REVENUE'!$J$5:$J$1504,'REVENUE'!$B$5:$B$1504,A1295))</f>
        <v/>
      </c>
      <c r="AC1295" s="55">
        <f>IF(L1295="","",IF(OR(O1295="Cancelled",O1295="No-Show"),"",L1295-N(X1295)-N(Y1295)-AA1295-AB1295))</f>
        <v/>
      </c>
      <c r="AD1295" s="99">
        <f>IF(OR(AC1295="",N(L1295)=0),"",AC1295/L1295)</f>
        <v/>
      </c>
      <c r="AE1295" s="55">
        <f>IF(OR(AC1295="",N(R1295)=0),"",L1295/R1295)</f>
        <v/>
      </c>
      <c r="AF1295" s="100">
        <f>IF(OR(N(K1295)=0,N(J1295)+N(Q1295)=0),"",K1295-IF(N(J1295)&gt;0,J1295,Q1295))</f>
        <v/>
      </c>
      <c r="AG1295" s="99">
        <f>IF(B1295="","",IFERROR(AVERAGEIFS('QUALITY CONTROL'!$M$5:$M$304,'QUALITY CONTROL'!$B$5:$B$304,A1295),""))</f>
        <v/>
      </c>
      <c r="AH1295" s="51">
        <f>IF(B1295="","",DATE(YEAR(B1295),MONTH(B1295),1))</f>
        <v/>
      </c>
      <c r="AI1295" s="49">
        <f>IF(D1295="","",IFERROR(INDEX('CUSTOMERS'!$E$5:$E$404,MATCH(D1295,'CUSTOMERS'!$B$5:$B$404,0)),""))</f>
        <v/>
      </c>
      <c r="AJ1295" s="49">
        <f>IF(B1295="","",N(C1295))</f>
        <v/>
      </c>
      <c r="AK1295" s="49">
        <f>IF(OR(B1295="",O1295="Cancelled",O1295="Rescheduled"),"",B1295&amp;"|"&amp;(COUNTIFS('JOBS'!$B$5:$B$1504,B1295,'JOBS'!$AJ$5:$AJ$1504,"&lt;"&amp;AJ1295,'JOBS'!$O$5:$O$1504,"&lt;&gt;Cancelled",'JOBS'!$O$5:$O$1504,"&lt;&gt;Rescheduled")+COUNTIFS($B$5:B1295,B1295,$AJ$5:AJ1295,AJ1295,$O$5:O1295,"&lt;&gt;Cancelled",$O$5:O1295,"&lt;&gt;Rescheduled")))</f>
        <v/>
      </c>
      <c r="AL1295" s="49">
        <f>IF(N(U1295)&lt;=0.005,"",COUNTIFS('JOBS'!$U$5:$U$1504,"&gt;0.005",'JOBS'!$B$5:$B$1504,"&lt;"&amp;B1295)+COUNTIFS($U$5:U1295,"&gt;0.005",$B$5:B1295,B1295))</f>
        <v/>
      </c>
    </row>
    <row r="1296">
      <c r="A1296" s="46" t="inlineStr">
        <is>
          <t>J-1292</t>
        </is>
      </c>
      <c r="B1296" s="47" t="n"/>
      <c r="C1296" s="94" t="n"/>
      <c r="D1296" s="38" t="n"/>
      <c r="E1296" s="38" t="n"/>
      <c r="F1296" s="38" t="n"/>
      <c r="G1296" s="38" t="n"/>
      <c r="H1296" s="38" t="n"/>
      <c r="I1296" s="57" t="n"/>
      <c r="J1296" s="95" t="n"/>
      <c r="K1296" s="95" t="n"/>
      <c r="L1296" s="48" t="n"/>
      <c r="M1296" s="96" t="n"/>
      <c r="N1296" s="48" t="n"/>
      <c r="O1296" s="38" t="n"/>
      <c r="P1296" s="38" t="n"/>
      <c r="Q1296" s="97">
        <f>IF(OR(F1296="",E1296=""),"",IFERROR(IF(INDEX('PROPERTIES'!$F$5:$F$404,MATCH(E1296,'PROPERTIES'!$B$5:$B$404,0))=0,"",ROUND((INDEX('PROPERTIES'!$F$5:$F$404,MATCH(E1296,'PROPERTIES'!$B$5:$B$404,0))/INDEX('PRICING'!$C$7:$C$16,MATCH(F1296,'PRICING'!$A$7:$A$16,0))+INDEX('PROPERTIES'!$G$5:$G$404,MATCH(E1296,'PROPERTIES'!$B$5:$B$404,0))*INDEX('PRICING'!$D$7:$D$16,MATCH(F1296,'PRICING'!$A$7:$A$16,0))/60+INDEX('PROPERTIES'!$H$5:$H$404,MATCH(E1296,'PROPERTIES'!$B$5:$B$404,0))*INDEX('PRICING'!$E$7:$E$16,MATCH(F1296,'PRICING'!$A$7:$A$16,0))/60+INDEX('PRICING'!$F$7:$F$16,MATCH(F1296,'PRICING'!$A$7:$A$16,0))/60),2)),""))</f>
        <v/>
      </c>
      <c r="R1296" s="97">
        <f>IF(B1296="","",IF(N(K1296)&gt;0,K1296,IF(N(J1296)&gt;0,J1296,N(Q1296))))</f>
        <v/>
      </c>
      <c r="S1296" s="55">
        <f>IF(L1296="","",ROUND(L1296*(1+N(M1296)),2))</f>
        <v/>
      </c>
      <c r="T1296" s="55">
        <f>IF(B1296="","",SUMIFS('REVENUE'!$C$5:$C$1504,'REVENUE'!$B$5:$B$1504,A1296))</f>
        <v/>
      </c>
      <c r="U1296" s="55">
        <f>IF(B1296="","",IF(O1296="Completed",MAX(0,N(S1296)-T1296),""))</f>
        <v/>
      </c>
      <c r="V1296" s="49">
        <f>IF(B1296="","",IF(O1296&lt;&gt;"Completed",IF(T1296&gt;0,"Deposit","—"),IF(U1296&lt;=0.005,"Paid",IF(T1296&gt;0,"Partial","Unpaid"))))</f>
        <v/>
      </c>
      <c r="W1296" s="55">
        <f>IF(B1296="","",IFERROR(1/(1/INDEX('STAFF &amp; TASKS'!$C$5:$C$24,MATCH(H1296,'STAFF &amp; TASKS'!$A$5:$A$24,0))),PayRate))</f>
        <v/>
      </c>
      <c r="X1296" s="55">
        <f>IF(B1296="","",IF(OR(O1296="Cancelled",O1296="No-Show"),"",ROUND(R1296*W1296*(1+Burden),2)))</f>
        <v/>
      </c>
      <c r="Y1296" s="55">
        <f>IF(B1296="","",IF(OR(O1296="Cancelled",O1296="No-Show"),"",IF(N1296&lt;&gt;"",N1296,ROUND(R1296*SupHr*IFERROR(INDEX('PRICING'!$G$7:$G$16,MATCH(F1296,'PRICING'!$A$7:$A$16,0)),1),2))))</f>
        <v/>
      </c>
      <c r="Z1296" s="98">
        <f>IF(B1296="","",SUMIFS('MILEAGE'!$J$5:$J$1504,'MILEAGE'!$B$5:$B$1504,A1296))</f>
        <v/>
      </c>
      <c r="AA1296" s="55">
        <f>IF(B1296="","",ROUND(Z1296*MileRate,2))</f>
        <v/>
      </c>
      <c r="AB1296" s="55">
        <f>IF(B1296="","",SUMIFS('REVENUE'!$J$5:$J$1504,'REVENUE'!$B$5:$B$1504,A1296))</f>
        <v/>
      </c>
      <c r="AC1296" s="55">
        <f>IF(L1296="","",IF(OR(O1296="Cancelled",O1296="No-Show"),"",L1296-N(X1296)-N(Y1296)-AA1296-AB1296))</f>
        <v/>
      </c>
      <c r="AD1296" s="99">
        <f>IF(OR(AC1296="",N(L1296)=0),"",AC1296/L1296)</f>
        <v/>
      </c>
      <c r="AE1296" s="55">
        <f>IF(OR(AC1296="",N(R1296)=0),"",L1296/R1296)</f>
        <v/>
      </c>
      <c r="AF1296" s="100">
        <f>IF(OR(N(K1296)=0,N(J1296)+N(Q1296)=0),"",K1296-IF(N(J1296)&gt;0,J1296,Q1296))</f>
        <v/>
      </c>
      <c r="AG1296" s="99">
        <f>IF(B1296="","",IFERROR(AVERAGEIFS('QUALITY CONTROL'!$M$5:$M$304,'QUALITY CONTROL'!$B$5:$B$304,A1296),""))</f>
        <v/>
      </c>
      <c r="AH1296" s="51">
        <f>IF(B1296="","",DATE(YEAR(B1296),MONTH(B1296),1))</f>
        <v/>
      </c>
      <c r="AI1296" s="49">
        <f>IF(D1296="","",IFERROR(INDEX('CUSTOMERS'!$E$5:$E$404,MATCH(D1296,'CUSTOMERS'!$B$5:$B$404,0)),""))</f>
        <v/>
      </c>
      <c r="AJ1296" s="49">
        <f>IF(B1296="","",N(C1296))</f>
        <v/>
      </c>
      <c r="AK1296" s="49">
        <f>IF(OR(B1296="",O1296="Cancelled",O1296="Rescheduled"),"",B1296&amp;"|"&amp;(COUNTIFS('JOBS'!$B$5:$B$1504,B1296,'JOBS'!$AJ$5:$AJ$1504,"&lt;"&amp;AJ1296,'JOBS'!$O$5:$O$1504,"&lt;&gt;Cancelled",'JOBS'!$O$5:$O$1504,"&lt;&gt;Rescheduled")+COUNTIFS($B$5:B1296,B1296,$AJ$5:AJ1296,AJ1296,$O$5:O1296,"&lt;&gt;Cancelled",$O$5:O1296,"&lt;&gt;Rescheduled")))</f>
        <v/>
      </c>
      <c r="AL1296" s="49">
        <f>IF(N(U1296)&lt;=0.005,"",COUNTIFS('JOBS'!$U$5:$U$1504,"&gt;0.005",'JOBS'!$B$5:$B$1504,"&lt;"&amp;B1296)+COUNTIFS($U$5:U1296,"&gt;0.005",$B$5:B1296,B1296))</f>
        <v/>
      </c>
    </row>
    <row r="1297">
      <c r="A1297" s="46" t="inlineStr">
        <is>
          <t>J-1293</t>
        </is>
      </c>
      <c r="B1297" s="47" t="n"/>
      <c r="C1297" s="94" t="n"/>
      <c r="D1297" s="38" t="n"/>
      <c r="E1297" s="38" t="n"/>
      <c r="F1297" s="38" t="n"/>
      <c r="G1297" s="38" t="n"/>
      <c r="H1297" s="38" t="n"/>
      <c r="I1297" s="57" t="n"/>
      <c r="J1297" s="95" t="n"/>
      <c r="K1297" s="95" t="n"/>
      <c r="L1297" s="48" t="n"/>
      <c r="M1297" s="96" t="n"/>
      <c r="N1297" s="48" t="n"/>
      <c r="O1297" s="38" t="n"/>
      <c r="P1297" s="38" t="n"/>
      <c r="Q1297" s="97">
        <f>IF(OR(F1297="",E1297=""),"",IFERROR(IF(INDEX('PROPERTIES'!$F$5:$F$404,MATCH(E1297,'PROPERTIES'!$B$5:$B$404,0))=0,"",ROUND((INDEX('PROPERTIES'!$F$5:$F$404,MATCH(E1297,'PROPERTIES'!$B$5:$B$404,0))/INDEX('PRICING'!$C$7:$C$16,MATCH(F1297,'PRICING'!$A$7:$A$16,0))+INDEX('PROPERTIES'!$G$5:$G$404,MATCH(E1297,'PROPERTIES'!$B$5:$B$404,0))*INDEX('PRICING'!$D$7:$D$16,MATCH(F1297,'PRICING'!$A$7:$A$16,0))/60+INDEX('PROPERTIES'!$H$5:$H$404,MATCH(E1297,'PROPERTIES'!$B$5:$B$404,0))*INDEX('PRICING'!$E$7:$E$16,MATCH(F1297,'PRICING'!$A$7:$A$16,0))/60+INDEX('PRICING'!$F$7:$F$16,MATCH(F1297,'PRICING'!$A$7:$A$16,0))/60),2)),""))</f>
        <v/>
      </c>
      <c r="R1297" s="97">
        <f>IF(B1297="","",IF(N(K1297)&gt;0,K1297,IF(N(J1297)&gt;0,J1297,N(Q1297))))</f>
        <v/>
      </c>
      <c r="S1297" s="55">
        <f>IF(L1297="","",ROUND(L1297*(1+N(M1297)),2))</f>
        <v/>
      </c>
      <c r="T1297" s="55">
        <f>IF(B1297="","",SUMIFS('REVENUE'!$C$5:$C$1504,'REVENUE'!$B$5:$B$1504,A1297))</f>
        <v/>
      </c>
      <c r="U1297" s="55">
        <f>IF(B1297="","",IF(O1297="Completed",MAX(0,N(S1297)-T1297),""))</f>
        <v/>
      </c>
      <c r="V1297" s="49">
        <f>IF(B1297="","",IF(O1297&lt;&gt;"Completed",IF(T1297&gt;0,"Deposit","—"),IF(U1297&lt;=0.005,"Paid",IF(T1297&gt;0,"Partial","Unpaid"))))</f>
        <v/>
      </c>
      <c r="W1297" s="55">
        <f>IF(B1297="","",IFERROR(1/(1/INDEX('STAFF &amp; TASKS'!$C$5:$C$24,MATCH(H1297,'STAFF &amp; TASKS'!$A$5:$A$24,0))),PayRate))</f>
        <v/>
      </c>
      <c r="X1297" s="55">
        <f>IF(B1297="","",IF(OR(O1297="Cancelled",O1297="No-Show"),"",ROUND(R1297*W1297*(1+Burden),2)))</f>
        <v/>
      </c>
      <c r="Y1297" s="55">
        <f>IF(B1297="","",IF(OR(O1297="Cancelled",O1297="No-Show"),"",IF(N1297&lt;&gt;"",N1297,ROUND(R1297*SupHr*IFERROR(INDEX('PRICING'!$G$7:$G$16,MATCH(F1297,'PRICING'!$A$7:$A$16,0)),1),2))))</f>
        <v/>
      </c>
      <c r="Z1297" s="98">
        <f>IF(B1297="","",SUMIFS('MILEAGE'!$J$5:$J$1504,'MILEAGE'!$B$5:$B$1504,A1297))</f>
        <v/>
      </c>
      <c r="AA1297" s="55">
        <f>IF(B1297="","",ROUND(Z1297*MileRate,2))</f>
        <v/>
      </c>
      <c r="AB1297" s="55">
        <f>IF(B1297="","",SUMIFS('REVENUE'!$J$5:$J$1504,'REVENUE'!$B$5:$B$1504,A1297))</f>
        <v/>
      </c>
      <c r="AC1297" s="55">
        <f>IF(L1297="","",IF(OR(O1297="Cancelled",O1297="No-Show"),"",L1297-N(X1297)-N(Y1297)-AA1297-AB1297))</f>
        <v/>
      </c>
      <c r="AD1297" s="99">
        <f>IF(OR(AC1297="",N(L1297)=0),"",AC1297/L1297)</f>
        <v/>
      </c>
      <c r="AE1297" s="55">
        <f>IF(OR(AC1297="",N(R1297)=0),"",L1297/R1297)</f>
        <v/>
      </c>
      <c r="AF1297" s="100">
        <f>IF(OR(N(K1297)=0,N(J1297)+N(Q1297)=0),"",K1297-IF(N(J1297)&gt;0,J1297,Q1297))</f>
        <v/>
      </c>
      <c r="AG1297" s="99">
        <f>IF(B1297="","",IFERROR(AVERAGEIFS('QUALITY CONTROL'!$M$5:$M$304,'QUALITY CONTROL'!$B$5:$B$304,A1297),""))</f>
        <v/>
      </c>
      <c r="AH1297" s="51">
        <f>IF(B1297="","",DATE(YEAR(B1297),MONTH(B1297),1))</f>
        <v/>
      </c>
      <c r="AI1297" s="49">
        <f>IF(D1297="","",IFERROR(INDEX('CUSTOMERS'!$E$5:$E$404,MATCH(D1297,'CUSTOMERS'!$B$5:$B$404,0)),""))</f>
        <v/>
      </c>
      <c r="AJ1297" s="49">
        <f>IF(B1297="","",N(C1297))</f>
        <v/>
      </c>
      <c r="AK1297" s="49">
        <f>IF(OR(B1297="",O1297="Cancelled",O1297="Rescheduled"),"",B1297&amp;"|"&amp;(COUNTIFS('JOBS'!$B$5:$B$1504,B1297,'JOBS'!$AJ$5:$AJ$1504,"&lt;"&amp;AJ1297,'JOBS'!$O$5:$O$1504,"&lt;&gt;Cancelled",'JOBS'!$O$5:$O$1504,"&lt;&gt;Rescheduled")+COUNTIFS($B$5:B1297,B1297,$AJ$5:AJ1297,AJ1297,$O$5:O1297,"&lt;&gt;Cancelled",$O$5:O1297,"&lt;&gt;Rescheduled")))</f>
        <v/>
      </c>
      <c r="AL1297" s="49">
        <f>IF(N(U1297)&lt;=0.005,"",COUNTIFS('JOBS'!$U$5:$U$1504,"&gt;0.005",'JOBS'!$B$5:$B$1504,"&lt;"&amp;B1297)+COUNTIFS($U$5:U1297,"&gt;0.005",$B$5:B1297,B1297))</f>
        <v/>
      </c>
    </row>
    <row r="1298">
      <c r="A1298" s="46" t="inlineStr">
        <is>
          <t>J-1294</t>
        </is>
      </c>
      <c r="B1298" s="47" t="n"/>
      <c r="C1298" s="94" t="n"/>
      <c r="D1298" s="38" t="n"/>
      <c r="E1298" s="38" t="n"/>
      <c r="F1298" s="38" t="n"/>
      <c r="G1298" s="38" t="n"/>
      <c r="H1298" s="38" t="n"/>
      <c r="I1298" s="57" t="n"/>
      <c r="J1298" s="95" t="n"/>
      <c r="K1298" s="95" t="n"/>
      <c r="L1298" s="48" t="n"/>
      <c r="M1298" s="96" t="n"/>
      <c r="N1298" s="48" t="n"/>
      <c r="O1298" s="38" t="n"/>
      <c r="P1298" s="38" t="n"/>
      <c r="Q1298" s="97">
        <f>IF(OR(F1298="",E1298=""),"",IFERROR(IF(INDEX('PROPERTIES'!$F$5:$F$404,MATCH(E1298,'PROPERTIES'!$B$5:$B$404,0))=0,"",ROUND((INDEX('PROPERTIES'!$F$5:$F$404,MATCH(E1298,'PROPERTIES'!$B$5:$B$404,0))/INDEX('PRICING'!$C$7:$C$16,MATCH(F1298,'PRICING'!$A$7:$A$16,0))+INDEX('PROPERTIES'!$G$5:$G$404,MATCH(E1298,'PROPERTIES'!$B$5:$B$404,0))*INDEX('PRICING'!$D$7:$D$16,MATCH(F1298,'PRICING'!$A$7:$A$16,0))/60+INDEX('PROPERTIES'!$H$5:$H$404,MATCH(E1298,'PROPERTIES'!$B$5:$B$404,0))*INDEX('PRICING'!$E$7:$E$16,MATCH(F1298,'PRICING'!$A$7:$A$16,0))/60+INDEX('PRICING'!$F$7:$F$16,MATCH(F1298,'PRICING'!$A$7:$A$16,0))/60),2)),""))</f>
        <v/>
      </c>
      <c r="R1298" s="97">
        <f>IF(B1298="","",IF(N(K1298)&gt;0,K1298,IF(N(J1298)&gt;0,J1298,N(Q1298))))</f>
        <v/>
      </c>
      <c r="S1298" s="55">
        <f>IF(L1298="","",ROUND(L1298*(1+N(M1298)),2))</f>
        <v/>
      </c>
      <c r="T1298" s="55">
        <f>IF(B1298="","",SUMIFS('REVENUE'!$C$5:$C$1504,'REVENUE'!$B$5:$B$1504,A1298))</f>
        <v/>
      </c>
      <c r="U1298" s="55">
        <f>IF(B1298="","",IF(O1298="Completed",MAX(0,N(S1298)-T1298),""))</f>
        <v/>
      </c>
      <c r="V1298" s="49">
        <f>IF(B1298="","",IF(O1298&lt;&gt;"Completed",IF(T1298&gt;0,"Deposit","—"),IF(U1298&lt;=0.005,"Paid",IF(T1298&gt;0,"Partial","Unpaid"))))</f>
        <v/>
      </c>
      <c r="W1298" s="55">
        <f>IF(B1298="","",IFERROR(1/(1/INDEX('STAFF &amp; TASKS'!$C$5:$C$24,MATCH(H1298,'STAFF &amp; TASKS'!$A$5:$A$24,0))),PayRate))</f>
        <v/>
      </c>
      <c r="X1298" s="55">
        <f>IF(B1298="","",IF(OR(O1298="Cancelled",O1298="No-Show"),"",ROUND(R1298*W1298*(1+Burden),2)))</f>
        <v/>
      </c>
      <c r="Y1298" s="55">
        <f>IF(B1298="","",IF(OR(O1298="Cancelled",O1298="No-Show"),"",IF(N1298&lt;&gt;"",N1298,ROUND(R1298*SupHr*IFERROR(INDEX('PRICING'!$G$7:$G$16,MATCH(F1298,'PRICING'!$A$7:$A$16,0)),1),2))))</f>
        <v/>
      </c>
      <c r="Z1298" s="98">
        <f>IF(B1298="","",SUMIFS('MILEAGE'!$J$5:$J$1504,'MILEAGE'!$B$5:$B$1504,A1298))</f>
        <v/>
      </c>
      <c r="AA1298" s="55">
        <f>IF(B1298="","",ROUND(Z1298*MileRate,2))</f>
        <v/>
      </c>
      <c r="AB1298" s="55">
        <f>IF(B1298="","",SUMIFS('REVENUE'!$J$5:$J$1504,'REVENUE'!$B$5:$B$1504,A1298))</f>
        <v/>
      </c>
      <c r="AC1298" s="55">
        <f>IF(L1298="","",IF(OR(O1298="Cancelled",O1298="No-Show"),"",L1298-N(X1298)-N(Y1298)-AA1298-AB1298))</f>
        <v/>
      </c>
      <c r="AD1298" s="99">
        <f>IF(OR(AC1298="",N(L1298)=0),"",AC1298/L1298)</f>
        <v/>
      </c>
      <c r="AE1298" s="55">
        <f>IF(OR(AC1298="",N(R1298)=0),"",L1298/R1298)</f>
        <v/>
      </c>
      <c r="AF1298" s="100">
        <f>IF(OR(N(K1298)=0,N(J1298)+N(Q1298)=0),"",K1298-IF(N(J1298)&gt;0,J1298,Q1298))</f>
        <v/>
      </c>
      <c r="AG1298" s="99">
        <f>IF(B1298="","",IFERROR(AVERAGEIFS('QUALITY CONTROL'!$M$5:$M$304,'QUALITY CONTROL'!$B$5:$B$304,A1298),""))</f>
        <v/>
      </c>
      <c r="AH1298" s="51">
        <f>IF(B1298="","",DATE(YEAR(B1298),MONTH(B1298),1))</f>
        <v/>
      </c>
      <c r="AI1298" s="49">
        <f>IF(D1298="","",IFERROR(INDEX('CUSTOMERS'!$E$5:$E$404,MATCH(D1298,'CUSTOMERS'!$B$5:$B$404,0)),""))</f>
        <v/>
      </c>
      <c r="AJ1298" s="49">
        <f>IF(B1298="","",N(C1298))</f>
        <v/>
      </c>
      <c r="AK1298" s="49">
        <f>IF(OR(B1298="",O1298="Cancelled",O1298="Rescheduled"),"",B1298&amp;"|"&amp;(COUNTIFS('JOBS'!$B$5:$B$1504,B1298,'JOBS'!$AJ$5:$AJ$1504,"&lt;"&amp;AJ1298,'JOBS'!$O$5:$O$1504,"&lt;&gt;Cancelled",'JOBS'!$O$5:$O$1504,"&lt;&gt;Rescheduled")+COUNTIFS($B$5:B1298,B1298,$AJ$5:AJ1298,AJ1298,$O$5:O1298,"&lt;&gt;Cancelled",$O$5:O1298,"&lt;&gt;Rescheduled")))</f>
        <v/>
      </c>
      <c r="AL1298" s="49">
        <f>IF(N(U1298)&lt;=0.005,"",COUNTIFS('JOBS'!$U$5:$U$1504,"&gt;0.005",'JOBS'!$B$5:$B$1504,"&lt;"&amp;B1298)+COUNTIFS($U$5:U1298,"&gt;0.005",$B$5:B1298,B1298))</f>
        <v/>
      </c>
    </row>
    <row r="1299">
      <c r="A1299" s="46" t="inlineStr">
        <is>
          <t>J-1295</t>
        </is>
      </c>
      <c r="B1299" s="47" t="n"/>
      <c r="C1299" s="94" t="n"/>
      <c r="D1299" s="38" t="n"/>
      <c r="E1299" s="38" t="n"/>
      <c r="F1299" s="38" t="n"/>
      <c r="G1299" s="38" t="n"/>
      <c r="H1299" s="38" t="n"/>
      <c r="I1299" s="57" t="n"/>
      <c r="J1299" s="95" t="n"/>
      <c r="K1299" s="95" t="n"/>
      <c r="L1299" s="48" t="n"/>
      <c r="M1299" s="96" t="n"/>
      <c r="N1299" s="48" t="n"/>
      <c r="O1299" s="38" t="n"/>
      <c r="P1299" s="38" t="n"/>
      <c r="Q1299" s="97">
        <f>IF(OR(F1299="",E1299=""),"",IFERROR(IF(INDEX('PROPERTIES'!$F$5:$F$404,MATCH(E1299,'PROPERTIES'!$B$5:$B$404,0))=0,"",ROUND((INDEX('PROPERTIES'!$F$5:$F$404,MATCH(E1299,'PROPERTIES'!$B$5:$B$404,0))/INDEX('PRICING'!$C$7:$C$16,MATCH(F1299,'PRICING'!$A$7:$A$16,0))+INDEX('PROPERTIES'!$G$5:$G$404,MATCH(E1299,'PROPERTIES'!$B$5:$B$404,0))*INDEX('PRICING'!$D$7:$D$16,MATCH(F1299,'PRICING'!$A$7:$A$16,0))/60+INDEX('PROPERTIES'!$H$5:$H$404,MATCH(E1299,'PROPERTIES'!$B$5:$B$404,0))*INDEX('PRICING'!$E$7:$E$16,MATCH(F1299,'PRICING'!$A$7:$A$16,0))/60+INDEX('PRICING'!$F$7:$F$16,MATCH(F1299,'PRICING'!$A$7:$A$16,0))/60),2)),""))</f>
        <v/>
      </c>
      <c r="R1299" s="97">
        <f>IF(B1299="","",IF(N(K1299)&gt;0,K1299,IF(N(J1299)&gt;0,J1299,N(Q1299))))</f>
        <v/>
      </c>
      <c r="S1299" s="55">
        <f>IF(L1299="","",ROUND(L1299*(1+N(M1299)),2))</f>
        <v/>
      </c>
      <c r="T1299" s="55">
        <f>IF(B1299="","",SUMIFS('REVENUE'!$C$5:$C$1504,'REVENUE'!$B$5:$B$1504,A1299))</f>
        <v/>
      </c>
      <c r="U1299" s="55">
        <f>IF(B1299="","",IF(O1299="Completed",MAX(0,N(S1299)-T1299),""))</f>
        <v/>
      </c>
      <c r="V1299" s="49">
        <f>IF(B1299="","",IF(O1299&lt;&gt;"Completed",IF(T1299&gt;0,"Deposit","—"),IF(U1299&lt;=0.005,"Paid",IF(T1299&gt;0,"Partial","Unpaid"))))</f>
        <v/>
      </c>
      <c r="W1299" s="55">
        <f>IF(B1299="","",IFERROR(1/(1/INDEX('STAFF &amp; TASKS'!$C$5:$C$24,MATCH(H1299,'STAFF &amp; TASKS'!$A$5:$A$24,0))),PayRate))</f>
        <v/>
      </c>
      <c r="X1299" s="55">
        <f>IF(B1299="","",IF(OR(O1299="Cancelled",O1299="No-Show"),"",ROUND(R1299*W1299*(1+Burden),2)))</f>
        <v/>
      </c>
      <c r="Y1299" s="55">
        <f>IF(B1299="","",IF(OR(O1299="Cancelled",O1299="No-Show"),"",IF(N1299&lt;&gt;"",N1299,ROUND(R1299*SupHr*IFERROR(INDEX('PRICING'!$G$7:$G$16,MATCH(F1299,'PRICING'!$A$7:$A$16,0)),1),2))))</f>
        <v/>
      </c>
      <c r="Z1299" s="98">
        <f>IF(B1299="","",SUMIFS('MILEAGE'!$J$5:$J$1504,'MILEAGE'!$B$5:$B$1504,A1299))</f>
        <v/>
      </c>
      <c r="AA1299" s="55">
        <f>IF(B1299="","",ROUND(Z1299*MileRate,2))</f>
        <v/>
      </c>
      <c r="AB1299" s="55">
        <f>IF(B1299="","",SUMIFS('REVENUE'!$J$5:$J$1504,'REVENUE'!$B$5:$B$1504,A1299))</f>
        <v/>
      </c>
      <c r="AC1299" s="55">
        <f>IF(L1299="","",IF(OR(O1299="Cancelled",O1299="No-Show"),"",L1299-N(X1299)-N(Y1299)-AA1299-AB1299))</f>
        <v/>
      </c>
      <c r="AD1299" s="99">
        <f>IF(OR(AC1299="",N(L1299)=0),"",AC1299/L1299)</f>
        <v/>
      </c>
      <c r="AE1299" s="55">
        <f>IF(OR(AC1299="",N(R1299)=0),"",L1299/R1299)</f>
        <v/>
      </c>
      <c r="AF1299" s="100">
        <f>IF(OR(N(K1299)=0,N(J1299)+N(Q1299)=0),"",K1299-IF(N(J1299)&gt;0,J1299,Q1299))</f>
        <v/>
      </c>
      <c r="AG1299" s="99">
        <f>IF(B1299="","",IFERROR(AVERAGEIFS('QUALITY CONTROL'!$M$5:$M$304,'QUALITY CONTROL'!$B$5:$B$304,A1299),""))</f>
        <v/>
      </c>
      <c r="AH1299" s="51">
        <f>IF(B1299="","",DATE(YEAR(B1299),MONTH(B1299),1))</f>
        <v/>
      </c>
      <c r="AI1299" s="49">
        <f>IF(D1299="","",IFERROR(INDEX('CUSTOMERS'!$E$5:$E$404,MATCH(D1299,'CUSTOMERS'!$B$5:$B$404,0)),""))</f>
        <v/>
      </c>
      <c r="AJ1299" s="49">
        <f>IF(B1299="","",N(C1299))</f>
        <v/>
      </c>
      <c r="AK1299" s="49">
        <f>IF(OR(B1299="",O1299="Cancelled",O1299="Rescheduled"),"",B1299&amp;"|"&amp;(COUNTIFS('JOBS'!$B$5:$B$1504,B1299,'JOBS'!$AJ$5:$AJ$1504,"&lt;"&amp;AJ1299,'JOBS'!$O$5:$O$1504,"&lt;&gt;Cancelled",'JOBS'!$O$5:$O$1504,"&lt;&gt;Rescheduled")+COUNTIFS($B$5:B1299,B1299,$AJ$5:AJ1299,AJ1299,$O$5:O1299,"&lt;&gt;Cancelled",$O$5:O1299,"&lt;&gt;Rescheduled")))</f>
        <v/>
      </c>
      <c r="AL1299" s="49">
        <f>IF(N(U1299)&lt;=0.005,"",COUNTIFS('JOBS'!$U$5:$U$1504,"&gt;0.005",'JOBS'!$B$5:$B$1504,"&lt;"&amp;B1299)+COUNTIFS($U$5:U1299,"&gt;0.005",$B$5:B1299,B1299))</f>
        <v/>
      </c>
    </row>
    <row r="1300">
      <c r="A1300" s="46" t="inlineStr">
        <is>
          <t>J-1296</t>
        </is>
      </c>
      <c r="B1300" s="47" t="n"/>
      <c r="C1300" s="94" t="n"/>
      <c r="D1300" s="38" t="n"/>
      <c r="E1300" s="38" t="n"/>
      <c r="F1300" s="38" t="n"/>
      <c r="G1300" s="38" t="n"/>
      <c r="H1300" s="38" t="n"/>
      <c r="I1300" s="57" t="n"/>
      <c r="J1300" s="95" t="n"/>
      <c r="K1300" s="95" t="n"/>
      <c r="L1300" s="48" t="n"/>
      <c r="M1300" s="96" t="n"/>
      <c r="N1300" s="48" t="n"/>
      <c r="O1300" s="38" t="n"/>
      <c r="P1300" s="38" t="n"/>
      <c r="Q1300" s="97">
        <f>IF(OR(F1300="",E1300=""),"",IFERROR(IF(INDEX('PROPERTIES'!$F$5:$F$404,MATCH(E1300,'PROPERTIES'!$B$5:$B$404,0))=0,"",ROUND((INDEX('PROPERTIES'!$F$5:$F$404,MATCH(E1300,'PROPERTIES'!$B$5:$B$404,0))/INDEX('PRICING'!$C$7:$C$16,MATCH(F1300,'PRICING'!$A$7:$A$16,0))+INDEX('PROPERTIES'!$G$5:$G$404,MATCH(E1300,'PROPERTIES'!$B$5:$B$404,0))*INDEX('PRICING'!$D$7:$D$16,MATCH(F1300,'PRICING'!$A$7:$A$16,0))/60+INDEX('PROPERTIES'!$H$5:$H$404,MATCH(E1300,'PROPERTIES'!$B$5:$B$404,0))*INDEX('PRICING'!$E$7:$E$16,MATCH(F1300,'PRICING'!$A$7:$A$16,0))/60+INDEX('PRICING'!$F$7:$F$16,MATCH(F1300,'PRICING'!$A$7:$A$16,0))/60),2)),""))</f>
        <v/>
      </c>
      <c r="R1300" s="97">
        <f>IF(B1300="","",IF(N(K1300)&gt;0,K1300,IF(N(J1300)&gt;0,J1300,N(Q1300))))</f>
        <v/>
      </c>
      <c r="S1300" s="55">
        <f>IF(L1300="","",ROUND(L1300*(1+N(M1300)),2))</f>
        <v/>
      </c>
      <c r="T1300" s="55">
        <f>IF(B1300="","",SUMIFS('REVENUE'!$C$5:$C$1504,'REVENUE'!$B$5:$B$1504,A1300))</f>
        <v/>
      </c>
      <c r="U1300" s="55">
        <f>IF(B1300="","",IF(O1300="Completed",MAX(0,N(S1300)-T1300),""))</f>
        <v/>
      </c>
      <c r="V1300" s="49">
        <f>IF(B1300="","",IF(O1300&lt;&gt;"Completed",IF(T1300&gt;0,"Deposit","—"),IF(U1300&lt;=0.005,"Paid",IF(T1300&gt;0,"Partial","Unpaid"))))</f>
        <v/>
      </c>
      <c r="W1300" s="55">
        <f>IF(B1300="","",IFERROR(1/(1/INDEX('STAFF &amp; TASKS'!$C$5:$C$24,MATCH(H1300,'STAFF &amp; TASKS'!$A$5:$A$24,0))),PayRate))</f>
        <v/>
      </c>
      <c r="X1300" s="55">
        <f>IF(B1300="","",IF(OR(O1300="Cancelled",O1300="No-Show"),"",ROUND(R1300*W1300*(1+Burden),2)))</f>
        <v/>
      </c>
      <c r="Y1300" s="55">
        <f>IF(B1300="","",IF(OR(O1300="Cancelled",O1300="No-Show"),"",IF(N1300&lt;&gt;"",N1300,ROUND(R1300*SupHr*IFERROR(INDEX('PRICING'!$G$7:$G$16,MATCH(F1300,'PRICING'!$A$7:$A$16,0)),1),2))))</f>
        <v/>
      </c>
      <c r="Z1300" s="98">
        <f>IF(B1300="","",SUMIFS('MILEAGE'!$J$5:$J$1504,'MILEAGE'!$B$5:$B$1504,A1300))</f>
        <v/>
      </c>
      <c r="AA1300" s="55">
        <f>IF(B1300="","",ROUND(Z1300*MileRate,2))</f>
        <v/>
      </c>
      <c r="AB1300" s="55">
        <f>IF(B1300="","",SUMIFS('REVENUE'!$J$5:$J$1504,'REVENUE'!$B$5:$B$1504,A1300))</f>
        <v/>
      </c>
      <c r="AC1300" s="55">
        <f>IF(L1300="","",IF(OR(O1300="Cancelled",O1300="No-Show"),"",L1300-N(X1300)-N(Y1300)-AA1300-AB1300))</f>
        <v/>
      </c>
      <c r="AD1300" s="99">
        <f>IF(OR(AC1300="",N(L1300)=0),"",AC1300/L1300)</f>
        <v/>
      </c>
      <c r="AE1300" s="55">
        <f>IF(OR(AC1300="",N(R1300)=0),"",L1300/R1300)</f>
        <v/>
      </c>
      <c r="AF1300" s="100">
        <f>IF(OR(N(K1300)=0,N(J1300)+N(Q1300)=0),"",K1300-IF(N(J1300)&gt;0,J1300,Q1300))</f>
        <v/>
      </c>
      <c r="AG1300" s="99">
        <f>IF(B1300="","",IFERROR(AVERAGEIFS('QUALITY CONTROL'!$M$5:$M$304,'QUALITY CONTROL'!$B$5:$B$304,A1300),""))</f>
        <v/>
      </c>
      <c r="AH1300" s="51">
        <f>IF(B1300="","",DATE(YEAR(B1300),MONTH(B1300),1))</f>
        <v/>
      </c>
      <c r="AI1300" s="49">
        <f>IF(D1300="","",IFERROR(INDEX('CUSTOMERS'!$E$5:$E$404,MATCH(D1300,'CUSTOMERS'!$B$5:$B$404,0)),""))</f>
        <v/>
      </c>
      <c r="AJ1300" s="49">
        <f>IF(B1300="","",N(C1300))</f>
        <v/>
      </c>
      <c r="AK1300" s="49">
        <f>IF(OR(B1300="",O1300="Cancelled",O1300="Rescheduled"),"",B1300&amp;"|"&amp;(COUNTIFS('JOBS'!$B$5:$B$1504,B1300,'JOBS'!$AJ$5:$AJ$1504,"&lt;"&amp;AJ1300,'JOBS'!$O$5:$O$1504,"&lt;&gt;Cancelled",'JOBS'!$O$5:$O$1504,"&lt;&gt;Rescheduled")+COUNTIFS($B$5:B1300,B1300,$AJ$5:AJ1300,AJ1300,$O$5:O1300,"&lt;&gt;Cancelled",$O$5:O1300,"&lt;&gt;Rescheduled")))</f>
        <v/>
      </c>
      <c r="AL1300" s="49">
        <f>IF(N(U1300)&lt;=0.005,"",COUNTIFS('JOBS'!$U$5:$U$1504,"&gt;0.005",'JOBS'!$B$5:$B$1504,"&lt;"&amp;B1300)+COUNTIFS($U$5:U1300,"&gt;0.005",$B$5:B1300,B1300))</f>
        <v/>
      </c>
    </row>
    <row r="1301">
      <c r="A1301" s="46" t="inlineStr">
        <is>
          <t>J-1297</t>
        </is>
      </c>
      <c r="B1301" s="47" t="n"/>
      <c r="C1301" s="94" t="n"/>
      <c r="D1301" s="38" t="n"/>
      <c r="E1301" s="38" t="n"/>
      <c r="F1301" s="38" t="n"/>
      <c r="G1301" s="38" t="n"/>
      <c r="H1301" s="38" t="n"/>
      <c r="I1301" s="57" t="n"/>
      <c r="J1301" s="95" t="n"/>
      <c r="K1301" s="95" t="n"/>
      <c r="L1301" s="48" t="n"/>
      <c r="M1301" s="96" t="n"/>
      <c r="N1301" s="48" t="n"/>
      <c r="O1301" s="38" t="n"/>
      <c r="P1301" s="38" t="n"/>
      <c r="Q1301" s="97">
        <f>IF(OR(F1301="",E1301=""),"",IFERROR(IF(INDEX('PROPERTIES'!$F$5:$F$404,MATCH(E1301,'PROPERTIES'!$B$5:$B$404,0))=0,"",ROUND((INDEX('PROPERTIES'!$F$5:$F$404,MATCH(E1301,'PROPERTIES'!$B$5:$B$404,0))/INDEX('PRICING'!$C$7:$C$16,MATCH(F1301,'PRICING'!$A$7:$A$16,0))+INDEX('PROPERTIES'!$G$5:$G$404,MATCH(E1301,'PROPERTIES'!$B$5:$B$404,0))*INDEX('PRICING'!$D$7:$D$16,MATCH(F1301,'PRICING'!$A$7:$A$16,0))/60+INDEX('PROPERTIES'!$H$5:$H$404,MATCH(E1301,'PROPERTIES'!$B$5:$B$404,0))*INDEX('PRICING'!$E$7:$E$16,MATCH(F1301,'PRICING'!$A$7:$A$16,0))/60+INDEX('PRICING'!$F$7:$F$16,MATCH(F1301,'PRICING'!$A$7:$A$16,0))/60),2)),""))</f>
        <v/>
      </c>
      <c r="R1301" s="97">
        <f>IF(B1301="","",IF(N(K1301)&gt;0,K1301,IF(N(J1301)&gt;0,J1301,N(Q1301))))</f>
        <v/>
      </c>
      <c r="S1301" s="55">
        <f>IF(L1301="","",ROUND(L1301*(1+N(M1301)),2))</f>
        <v/>
      </c>
      <c r="T1301" s="55">
        <f>IF(B1301="","",SUMIFS('REVENUE'!$C$5:$C$1504,'REVENUE'!$B$5:$B$1504,A1301))</f>
        <v/>
      </c>
      <c r="U1301" s="55">
        <f>IF(B1301="","",IF(O1301="Completed",MAX(0,N(S1301)-T1301),""))</f>
        <v/>
      </c>
      <c r="V1301" s="49">
        <f>IF(B1301="","",IF(O1301&lt;&gt;"Completed",IF(T1301&gt;0,"Deposit","—"),IF(U1301&lt;=0.005,"Paid",IF(T1301&gt;0,"Partial","Unpaid"))))</f>
        <v/>
      </c>
      <c r="W1301" s="55">
        <f>IF(B1301="","",IFERROR(1/(1/INDEX('STAFF &amp; TASKS'!$C$5:$C$24,MATCH(H1301,'STAFF &amp; TASKS'!$A$5:$A$24,0))),PayRate))</f>
        <v/>
      </c>
      <c r="X1301" s="55">
        <f>IF(B1301="","",IF(OR(O1301="Cancelled",O1301="No-Show"),"",ROUND(R1301*W1301*(1+Burden),2)))</f>
        <v/>
      </c>
      <c r="Y1301" s="55">
        <f>IF(B1301="","",IF(OR(O1301="Cancelled",O1301="No-Show"),"",IF(N1301&lt;&gt;"",N1301,ROUND(R1301*SupHr*IFERROR(INDEX('PRICING'!$G$7:$G$16,MATCH(F1301,'PRICING'!$A$7:$A$16,0)),1),2))))</f>
        <v/>
      </c>
      <c r="Z1301" s="98">
        <f>IF(B1301="","",SUMIFS('MILEAGE'!$J$5:$J$1504,'MILEAGE'!$B$5:$B$1504,A1301))</f>
        <v/>
      </c>
      <c r="AA1301" s="55">
        <f>IF(B1301="","",ROUND(Z1301*MileRate,2))</f>
        <v/>
      </c>
      <c r="AB1301" s="55">
        <f>IF(B1301="","",SUMIFS('REVENUE'!$J$5:$J$1504,'REVENUE'!$B$5:$B$1504,A1301))</f>
        <v/>
      </c>
      <c r="AC1301" s="55">
        <f>IF(L1301="","",IF(OR(O1301="Cancelled",O1301="No-Show"),"",L1301-N(X1301)-N(Y1301)-AA1301-AB1301))</f>
        <v/>
      </c>
      <c r="AD1301" s="99">
        <f>IF(OR(AC1301="",N(L1301)=0),"",AC1301/L1301)</f>
        <v/>
      </c>
      <c r="AE1301" s="55">
        <f>IF(OR(AC1301="",N(R1301)=0),"",L1301/R1301)</f>
        <v/>
      </c>
      <c r="AF1301" s="100">
        <f>IF(OR(N(K1301)=0,N(J1301)+N(Q1301)=0),"",K1301-IF(N(J1301)&gt;0,J1301,Q1301))</f>
        <v/>
      </c>
      <c r="AG1301" s="99">
        <f>IF(B1301="","",IFERROR(AVERAGEIFS('QUALITY CONTROL'!$M$5:$M$304,'QUALITY CONTROL'!$B$5:$B$304,A1301),""))</f>
        <v/>
      </c>
      <c r="AH1301" s="51">
        <f>IF(B1301="","",DATE(YEAR(B1301),MONTH(B1301),1))</f>
        <v/>
      </c>
      <c r="AI1301" s="49">
        <f>IF(D1301="","",IFERROR(INDEX('CUSTOMERS'!$E$5:$E$404,MATCH(D1301,'CUSTOMERS'!$B$5:$B$404,0)),""))</f>
        <v/>
      </c>
      <c r="AJ1301" s="49">
        <f>IF(B1301="","",N(C1301))</f>
        <v/>
      </c>
      <c r="AK1301" s="49">
        <f>IF(OR(B1301="",O1301="Cancelled",O1301="Rescheduled"),"",B1301&amp;"|"&amp;(COUNTIFS('JOBS'!$B$5:$B$1504,B1301,'JOBS'!$AJ$5:$AJ$1504,"&lt;"&amp;AJ1301,'JOBS'!$O$5:$O$1504,"&lt;&gt;Cancelled",'JOBS'!$O$5:$O$1504,"&lt;&gt;Rescheduled")+COUNTIFS($B$5:B1301,B1301,$AJ$5:AJ1301,AJ1301,$O$5:O1301,"&lt;&gt;Cancelled",$O$5:O1301,"&lt;&gt;Rescheduled")))</f>
        <v/>
      </c>
      <c r="AL1301" s="49">
        <f>IF(N(U1301)&lt;=0.005,"",COUNTIFS('JOBS'!$U$5:$U$1504,"&gt;0.005",'JOBS'!$B$5:$B$1504,"&lt;"&amp;B1301)+COUNTIFS($U$5:U1301,"&gt;0.005",$B$5:B1301,B1301))</f>
        <v/>
      </c>
    </row>
    <row r="1302">
      <c r="A1302" s="46" t="inlineStr">
        <is>
          <t>J-1298</t>
        </is>
      </c>
      <c r="B1302" s="47" t="n"/>
      <c r="C1302" s="94" t="n"/>
      <c r="D1302" s="38" t="n"/>
      <c r="E1302" s="38" t="n"/>
      <c r="F1302" s="38" t="n"/>
      <c r="G1302" s="38" t="n"/>
      <c r="H1302" s="38" t="n"/>
      <c r="I1302" s="57" t="n"/>
      <c r="J1302" s="95" t="n"/>
      <c r="K1302" s="95" t="n"/>
      <c r="L1302" s="48" t="n"/>
      <c r="M1302" s="96" t="n"/>
      <c r="N1302" s="48" t="n"/>
      <c r="O1302" s="38" t="n"/>
      <c r="P1302" s="38" t="n"/>
      <c r="Q1302" s="97">
        <f>IF(OR(F1302="",E1302=""),"",IFERROR(IF(INDEX('PROPERTIES'!$F$5:$F$404,MATCH(E1302,'PROPERTIES'!$B$5:$B$404,0))=0,"",ROUND((INDEX('PROPERTIES'!$F$5:$F$404,MATCH(E1302,'PROPERTIES'!$B$5:$B$404,0))/INDEX('PRICING'!$C$7:$C$16,MATCH(F1302,'PRICING'!$A$7:$A$16,0))+INDEX('PROPERTIES'!$G$5:$G$404,MATCH(E1302,'PROPERTIES'!$B$5:$B$404,0))*INDEX('PRICING'!$D$7:$D$16,MATCH(F1302,'PRICING'!$A$7:$A$16,0))/60+INDEX('PROPERTIES'!$H$5:$H$404,MATCH(E1302,'PROPERTIES'!$B$5:$B$404,0))*INDEX('PRICING'!$E$7:$E$16,MATCH(F1302,'PRICING'!$A$7:$A$16,0))/60+INDEX('PRICING'!$F$7:$F$16,MATCH(F1302,'PRICING'!$A$7:$A$16,0))/60),2)),""))</f>
        <v/>
      </c>
      <c r="R1302" s="97">
        <f>IF(B1302="","",IF(N(K1302)&gt;0,K1302,IF(N(J1302)&gt;0,J1302,N(Q1302))))</f>
        <v/>
      </c>
      <c r="S1302" s="55">
        <f>IF(L1302="","",ROUND(L1302*(1+N(M1302)),2))</f>
        <v/>
      </c>
      <c r="T1302" s="55">
        <f>IF(B1302="","",SUMIFS('REVENUE'!$C$5:$C$1504,'REVENUE'!$B$5:$B$1504,A1302))</f>
        <v/>
      </c>
      <c r="U1302" s="55">
        <f>IF(B1302="","",IF(O1302="Completed",MAX(0,N(S1302)-T1302),""))</f>
        <v/>
      </c>
      <c r="V1302" s="49">
        <f>IF(B1302="","",IF(O1302&lt;&gt;"Completed",IF(T1302&gt;0,"Deposit","—"),IF(U1302&lt;=0.005,"Paid",IF(T1302&gt;0,"Partial","Unpaid"))))</f>
        <v/>
      </c>
      <c r="W1302" s="55">
        <f>IF(B1302="","",IFERROR(1/(1/INDEX('STAFF &amp; TASKS'!$C$5:$C$24,MATCH(H1302,'STAFF &amp; TASKS'!$A$5:$A$24,0))),PayRate))</f>
        <v/>
      </c>
      <c r="X1302" s="55">
        <f>IF(B1302="","",IF(OR(O1302="Cancelled",O1302="No-Show"),"",ROUND(R1302*W1302*(1+Burden),2)))</f>
        <v/>
      </c>
      <c r="Y1302" s="55">
        <f>IF(B1302="","",IF(OR(O1302="Cancelled",O1302="No-Show"),"",IF(N1302&lt;&gt;"",N1302,ROUND(R1302*SupHr*IFERROR(INDEX('PRICING'!$G$7:$G$16,MATCH(F1302,'PRICING'!$A$7:$A$16,0)),1),2))))</f>
        <v/>
      </c>
      <c r="Z1302" s="98">
        <f>IF(B1302="","",SUMIFS('MILEAGE'!$J$5:$J$1504,'MILEAGE'!$B$5:$B$1504,A1302))</f>
        <v/>
      </c>
      <c r="AA1302" s="55">
        <f>IF(B1302="","",ROUND(Z1302*MileRate,2))</f>
        <v/>
      </c>
      <c r="AB1302" s="55">
        <f>IF(B1302="","",SUMIFS('REVENUE'!$J$5:$J$1504,'REVENUE'!$B$5:$B$1504,A1302))</f>
        <v/>
      </c>
      <c r="AC1302" s="55">
        <f>IF(L1302="","",IF(OR(O1302="Cancelled",O1302="No-Show"),"",L1302-N(X1302)-N(Y1302)-AA1302-AB1302))</f>
        <v/>
      </c>
      <c r="AD1302" s="99">
        <f>IF(OR(AC1302="",N(L1302)=0),"",AC1302/L1302)</f>
        <v/>
      </c>
      <c r="AE1302" s="55">
        <f>IF(OR(AC1302="",N(R1302)=0),"",L1302/R1302)</f>
        <v/>
      </c>
      <c r="AF1302" s="100">
        <f>IF(OR(N(K1302)=0,N(J1302)+N(Q1302)=0),"",K1302-IF(N(J1302)&gt;0,J1302,Q1302))</f>
        <v/>
      </c>
      <c r="AG1302" s="99">
        <f>IF(B1302="","",IFERROR(AVERAGEIFS('QUALITY CONTROL'!$M$5:$M$304,'QUALITY CONTROL'!$B$5:$B$304,A1302),""))</f>
        <v/>
      </c>
      <c r="AH1302" s="51">
        <f>IF(B1302="","",DATE(YEAR(B1302),MONTH(B1302),1))</f>
        <v/>
      </c>
      <c r="AI1302" s="49">
        <f>IF(D1302="","",IFERROR(INDEX('CUSTOMERS'!$E$5:$E$404,MATCH(D1302,'CUSTOMERS'!$B$5:$B$404,0)),""))</f>
        <v/>
      </c>
      <c r="AJ1302" s="49">
        <f>IF(B1302="","",N(C1302))</f>
        <v/>
      </c>
      <c r="AK1302" s="49">
        <f>IF(OR(B1302="",O1302="Cancelled",O1302="Rescheduled"),"",B1302&amp;"|"&amp;(COUNTIFS('JOBS'!$B$5:$B$1504,B1302,'JOBS'!$AJ$5:$AJ$1504,"&lt;"&amp;AJ1302,'JOBS'!$O$5:$O$1504,"&lt;&gt;Cancelled",'JOBS'!$O$5:$O$1504,"&lt;&gt;Rescheduled")+COUNTIFS($B$5:B1302,B1302,$AJ$5:AJ1302,AJ1302,$O$5:O1302,"&lt;&gt;Cancelled",$O$5:O1302,"&lt;&gt;Rescheduled")))</f>
        <v/>
      </c>
      <c r="AL1302" s="49">
        <f>IF(N(U1302)&lt;=0.005,"",COUNTIFS('JOBS'!$U$5:$U$1504,"&gt;0.005",'JOBS'!$B$5:$B$1504,"&lt;"&amp;B1302)+COUNTIFS($U$5:U1302,"&gt;0.005",$B$5:B1302,B1302))</f>
        <v/>
      </c>
    </row>
    <row r="1303">
      <c r="A1303" s="46" t="inlineStr">
        <is>
          <t>J-1299</t>
        </is>
      </c>
      <c r="B1303" s="47" t="n"/>
      <c r="C1303" s="94" t="n"/>
      <c r="D1303" s="38" t="n"/>
      <c r="E1303" s="38" t="n"/>
      <c r="F1303" s="38" t="n"/>
      <c r="G1303" s="38" t="n"/>
      <c r="H1303" s="38" t="n"/>
      <c r="I1303" s="57" t="n"/>
      <c r="J1303" s="95" t="n"/>
      <c r="K1303" s="95" t="n"/>
      <c r="L1303" s="48" t="n"/>
      <c r="M1303" s="96" t="n"/>
      <c r="N1303" s="48" t="n"/>
      <c r="O1303" s="38" t="n"/>
      <c r="P1303" s="38" t="n"/>
      <c r="Q1303" s="97">
        <f>IF(OR(F1303="",E1303=""),"",IFERROR(IF(INDEX('PROPERTIES'!$F$5:$F$404,MATCH(E1303,'PROPERTIES'!$B$5:$B$404,0))=0,"",ROUND((INDEX('PROPERTIES'!$F$5:$F$404,MATCH(E1303,'PROPERTIES'!$B$5:$B$404,0))/INDEX('PRICING'!$C$7:$C$16,MATCH(F1303,'PRICING'!$A$7:$A$16,0))+INDEX('PROPERTIES'!$G$5:$G$404,MATCH(E1303,'PROPERTIES'!$B$5:$B$404,0))*INDEX('PRICING'!$D$7:$D$16,MATCH(F1303,'PRICING'!$A$7:$A$16,0))/60+INDEX('PROPERTIES'!$H$5:$H$404,MATCH(E1303,'PROPERTIES'!$B$5:$B$404,0))*INDEX('PRICING'!$E$7:$E$16,MATCH(F1303,'PRICING'!$A$7:$A$16,0))/60+INDEX('PRICING'!$F$7:$F$16,MATCH(F1303,'PRICING'!$A$7:$A$16,0))/60),2)),""))</f>
        <v/>
      </c>
      <c r="R1303" s="97">
        <f>IF(B1303="","",IF(N(K1303)&gt;0,K1303,IF(N(J1303)&gt;0,J1303,N(Q1303))))</f>
        <v/>
      </c>
      <c r="S1303" s="55">
        <f>IF(L1303="","",ROUND(L1303*(1+N(M1303)),2))</f>
        <v/>
      </c>
      <c r="T1303" s="55">
        <f>IF(B1303="","",SUMIFS('REVENUE'!$C$5:$C$1504,'REVENUE'!$B$5:$B$1504,A1303))</f>
        <v/>
      </c>
      <c r="U1303" s="55">
        <f>IF(B1303="","",IF(O1303="Completed",MAX(0,N(S1303)-T1303),""))</f>
        <v/>
      </c>
      <c r="V1303" s="49">
        <f>IF(B1303="","",IF(O1303&lt;&gt;"Completed",IF(T1303&gt;0,"Deposit","—"),IF(U1303&lt;=0.005,"Paid",IF(T1303&gt;0,"Partial","Unpaid"))))</f>
        <v/>
      </c>
      <c r="W1303" s="55">
        <f>IF(B1303="","",IFERROR(1/(1/INDEX('STAFF &amp; TASKS'!$C$5:$C$24,MATCH(H1303,'STAFF &amp; TASKS'!$A$5:$A$24,0))),PayRate))</f>
        <v/>
      </c>
      <c r="X1303" s="55">
        <f>IF(B1303="","",IF(OR(O1303="Cancelled",O1303="No-Show"),"",ROUND(R1303*W1303*(1+Burden),2)))</f>
        <v/>
      </c>
      <c r="Y1303" s="55">
        <f>IF(B1303="","",IF(OR(O1303="Cancelled",O1303="No-Show"),"",IF(N1303&lt;&gt;"",N1303,ROUND(R1303*SupHr*IFERROR(INDEX('PRICING'!$G$7:$G$16,MATCH(F1303,'PRICING'!$A$7:$A$16,0)),1),2))))</f>
        <v/>
      </c>
      <c r="Z1303" s="98">
        <f>IF(B1303="","",SUMIFS('MILEAGE'!$J$5:$J$1504,'MILEAGE'!$B$5:$B$1504,A1303))</f>
        <v/>
      </c>
      <c r="AA1303" s="55">
        <f>IF(B1303="","",ROUND(Z1303*MileRate,2))</f>
        <v/>
      </c>
      <c r="AB1303" s="55">
        <f>IF(B1303="","",SUMIFS('REVENUE'!$J$5:$J$1504,'REVENUE'!$B$5:$B$1504,A1303))</f>
        <v/>
      </c>
      <c r="AC1303" s="55">
        <f>IF(L1303="","",IF(OR(O1303="Cancelled",O1303="No-Show"),"",L1303-N(X1303)-N(Y1303)-AA1303-AB1303))</f>
        <v/>
      </c>
      <c r="AD1303" s="99">
        <f>IF(OR(AC1303="",N(L1303)=0),"",AC1303/L1303)</f>
        <v/>
      </c>
      <c r="AE1303" s="55">
        <f>IF(OR(AC1303="",N(R1303)=0),"",L1303/R1303)</f>
        <v/>
      </c>
      <c r="AF1303" s="100">
        <f>IF(OR(N(K1303)=0,N(J1303)+N(Q1303)=0),"",K1303-IF(N(J1303)&gt;0,J1303,Q1303))</f>
        <v/>
      </c>
      <c r="AG1303" s="99">
        <f>IF(B1303="","",IFERROR(AVERAGEIFS('QUALITY CONTROL'!$M$5:$M$304,'QUALITY CONTROL'!$B$5:$B$304,A1303),""))</f>
        <v/>
      </c>
      <c r="AH1303" s="51">
        <f>IF(B1303="","",DATE(YEAR(B1303),MONTH(B1303),1))</f>
        <v/>
      </c>
      <c r="AI1303" s="49">
        <f>IF(D1303="","",IFERROR(INDEX('CUSTOMERS'!$E$5:$E$404,MATCH(D1303,'CUSTOMERS'!$B$5:$B$404,0)),""))</f>
        <v/>
      </c>
      <c r="AJ1303" s="49">
        <f>IF(B1303="","",N(C1303))</f>
        <v/>
      </c>
      <c r="AK1303" s="49">
        <f>IF(OR(B1303="",O1303="Cancelled",O1303="Rescheduled"),"",B1303&amp;"|"&amp;(COUNTIFS('JOBS'!$B$5:$B$1504,B1303,'JOBS'!$AJ$5:$AJ$1504,"&lt;"&amp;AJ1303,'JOBS'!$O$5:$O$1504,"&lt;&gt;Cancelled",'JOBS'!$O$5:$O$1504,"&lt;&gt;Rescheduled")+COUNTIFS($B$5:B1303,B1303,$AJ$5:AJ1303,AJ1303,$O$5:O1303,"&lt;&gt;Cancelled",$O$5:O1303,"&lt;&gt;Rescheduled")))</f>
        <v/>
      </c>
      <c r="AL1303" s="49">
        <f>IF(N(U1303)&lt;=0.005,"",COUNTIFS('JOBS'!$U$5:$U$1504,"&gt;0.005",'JOBS'!$B$5:$B$1504,"&lt;"&amp;B1303)+COUNTIFS($U$5:U1303,"&gt;0.005",$B$5:B1303,B1303))</f>
        <v/>
      </c>
    </row>
    <row r="1304">
      <c r="A1304" s="46" t="inlineStr">
        <is>
          <t>J-1300</t>
        </is>
      </c>
      <c r="B1304" s="47" t="n"/>
      <c r="C1304" s="94" t="n"/>
      <c r="D1304" s="38" t="n"/>
      <c r="E1304" s="38" t="n"/>
      <c r="F1304" s="38" t="n"/>
      <c r="G1304" s="38" t="n"/>
      <c r="H1304" s="38" t="n"/>
      <c r="I1304" s="57" t="n"/>
      <c r="J1304" s="95" t="n"/>
      <c r="K1304" s="95" t="n"/>
      <c r="L1304" s="48" t="n"/>
      <c r="M1304" s="96" t="n"/>
      <c r="N1304" s="48" t="n"/>
      <c r="O1304" s="38" t="n"/>
      <c r="P1304" s="38" t="n"/>
      <c r="Q1304" s="97">
        <f>IF(OR(F1304="",E1304=""),"",IFERROR(IF(INDEX('PROPERTIES'!$F$5:$F$404,MATCH(E1304,'PROPERTIES'!$B$5:$B$404,0))=0,"",ROUND((INDEX('PROPERTIES'!$F$5:$F$404,MATCH(E1304,'PROPERTIES'!$B$5:$B$404,0))/INDEX('PRICING'!$C$7:$C$16,MATCH(F1304,'PRICING'!$A$7:$A$16,0))+INDEX('PROPERTIES'!$G$5:$G$404,MATCH(E1304,'PROPERTIES'!$B$5:$B$404,0))*INDEX('PRICING'!$D$7:$D$16,MATCH(F1304,'PRICING'!$A$7:$A$16,0))/60+INDEX('PROPERTIES'!$H$5:$H$404,MATCH(E1304,'PROPERTIES'!$B$5:$B$404,0))*INDEX('PRICING'!$E$7:$E$16,MATCH(F1304,'PRICING'!$A$7:$A$16,0))/60+INDEX('PRICING'!$F$7:$F$16,MATCH(F1304,'PRICING'!$A$7:$A$16,0))/60),2)),""))</f>
        <v/>
      </c>
      <c r="R1304" s="97">
        <f>IF(B1304="","",IF(N(K1304)&gt;0,K1304,IF(N(J1304)&gt;0,J1304,N(Q1304))))</f>
        <v/>
      </c>
      <c r="S1304" s="55">
        <f>IF(L1304="","",ROUND(L1304*(1+N(M1304)),2))</f>
        <v/>
      </c>
      <c r="T1304" s="55">
        <f>IF(B1304="","",SUMIFS('REVENUE'!$C$5:$C$1504,'REVENUE'!$B$5:$B$1504,A1304))</f>
        <v/>
      </c>
      <c r="U1304" s="55">
        <f>IF(B1304="","",IF(O1304="Completed",MAX(0,N(S1304)-T1304),""))</f>
        <v/>
      </c>
      <c r="V1304" s="49">
        <f>IF(B1304="","",IF(O1304&lt;&gt;"Completed",IF(T1304&gt;0,"Deposit","—"),IF(U1304&lt;=0.005,"Paid",IF(T1304&gt;0,"Partial","Unpaid"))))</f>
        <v/>
      </c>
      <c r="W1304" s="55">
        <f>IF(B1304="","",IFERROR(1/(1/INDEX('STAFF &amp; TASKS'!$C$5:$C$24,MATCH(H1304,'STAFF &amp; TASKS'!$A$5:$A$24,0))),PayRate))</f>
        <v/>
      </c>
      <c r="X1304" s="55">
        <f>IF(B1304="","",IF(OR(O1304="Cancelled",O1304="No-Show"),"",ROUND(R1304*W1304*(1+Burden),2)))</f>
        <v/>
      </c>
      <c r="Y1304" s="55">
        <f>IF(B1304="","",IF(OR(O1304="Cancelled",O1304="No-Show"),"",IF(N1304&lt;&gt;"",N1304,ROUND(R1304*SupHr*IFERROR(INDEX('PRICING'!$G$7:$G$16,MATCH(F1304,'PRICING'!$A$7:$A$16,0)),1),2))))</f>
        <v/>
      </c>
      <c r="Z1304" s="98">
        <f>IF(B1304="","",SUMIFS('MILEAGE'!$J$5:$J$1504,'MILEAGE'!$B$5:$B$1504,A1304))</f>
        <v/>
      </c>
      <c r="AA1304" s="55">
        <f>IF(B1304="","",ROUND(Z1304*MileRate,2))</f>
        <v/>
      </c>
      <c r="AB1304" s="55">
        <f>IF(B1304="","",SUMIFS('REVENUE'!$J$5:$J$1504,'REVENUE'!$B$5:$B$1504,A1304))</f>
        <v/>
      </c>
      <c r="AC1304" s="55">
        <f>IF(L1304="","",IF(OR(O1304="Cancelled",O1304="No-Show"),"",L1304-N(X1304)-N(Y1304)-AA1304-AB1304))</f>
        <v/>
      </c>
      <c r="AD1304" s="99">
        <f>IF(OR(AC1304="",N(L1304)=0),"",AC1304/L1304)</f>
        <v/>
      </c>
      <c r="AE1304" s="55">
        <f>IF(OR(AC1304="",N(R1304)=0),"",L1304/R1304)</f>
        <v/>
      </c>
      <c r="AF1304" s="100">
        <f>IF(OR(N(K1304)=0,N(J1304)+N(Q1304)=0),"",K1304-IF(N(J1304)&gt;0,J1304,Q1304))</f>
        <v/>
      </c>
      <c r="AG1304" s="99">
        <f>IF(B1304="","",IFERROR(AVERAGEIFS('QUALITY CONTROL'!$M$5:$M$304,'QUALITY CONTROL'!$B$5:$B$304,A1304),""))</f>
        <v/>
      </c>
      <c r="AH1304" s="51">
        <f>IF(B1304="","",DATE(YEAR(B1304),MONTH(B1304),1))</f>
        <v/>
      </c>
      <c r="AI1304" s="49">
        <f>IF(D1304="","",IFERROR(INDEX('CUSTOMERS'!$E$5:$E$404,MATCH(D1304,'CUSTOMERS'!$B$5:$B$404,0)),""))</f>
        <v/>
      </c>
      <c r="AJ1304" s="49">
        <f>IF(B1304="","",N(C1304))</f>
        <v/>
      </c>
      <c r="AK1304" s="49">
        <f>IF(OR(B1304="",O1304="Cancelled",O1304="Rescheduled"),"",B1304&amp;"|"&amp;(COUNTIFS('JOBS'!$B$5:$B$1504,B1304,'JOBS'!$AJ$5:$AJ$1504,"&lt;"&amp;AJ1304,'JOBS'!$O$5:$O$1504,"&lt;&gt;Cancelled",'JOBS'!$O$5:$O$1504,"&lt;&gt;Rescheduled")+COUNTIFS($B$5:B1304,B1304,$AJ$5:AJ1304,AJ1304,$O$5:O1304,"&lt;&gt;Cancelled",$O$5:O1304,"&lt;&gt;Rescheduled")))</f>
        <v/>
      </c>
      <c r="AL1304" s="49">
        <f>IF(N(U1304)&lt;=0.005,"",COUNTIFS('JOBS'!$U$5:$U$1504,"&gt;0.005",'JOBS'!$B$5:$B$1504,"&lt;"&amp;B1304)+COUNTIFS($U$5:U1304,"&gt;0.005",$B$5:B1304,B1304))</f>
        <v/>
      </c>
    </row>
    <row r="1305">
      <c r="A1305" s="46" t="inlineStr">
        <is>
          <t>J-1301</t>
        </is>
      </c>
      <c r="B1305" s="47" t="n"/>
      <c r="C1305" s="94" t="n"/>
      <c r="D1305" s="38" t="n"/>
      <c r="E1305" s="38" t="n"/>
      <c r="F1305" s="38" t="n"/>
      <c r="G1305" s="38" t="n"/>
      <c r="H1305" s="38" t="n"/>
      <c r="I1305" s="57" t="n"/>
      <c r="J1305" s="95" t="n"/>
      <c r="K1305" s="95" t="n"/>
      <c r="L1305" s="48" t="n"/>
      <c r="M1305" s="96" t="n"/>
      <c r="N1305" s="48" t="n"/>
      <c r="O1305" s="38" t="n"/>
      <c r="P1305" s="38" t="n"/>
      <c r="Q1305" s="97">
        <f>IF(OR(F1305="",E1305=""),"",IFERROR(IF(INDEX('PROPERTIES'!$F$5:$F$404,MATCH(E1305,'PROPERTIES'!$B$5:$B$404,0))=0,"",ROUND((INDEX('PROPERTIES'!$F$5:$F$404,MATCH(E1305,'PROPERTIES'!$B$5:$B$404,0))/INDEX('PRICING'!$C$7:$C$16,MATCH(F1305,'PRICING'!$A$7:$A$16,0))+INDEX('PROPERTIES'!$G$5:$G$404,MATCH(E1305,'PROPERTIES'!$B$5:$B$404,0))*INDEX('PRICING'!$D$7:$D$16,MATCH(F1305,'PRICING'!$A$7:$A$16,0))/60+INDEX('PROPERTIES'!$H$5:$H$404,MATCH(E1305,'PROPERTIES'!$B$5:$B$404,0))*INDEX('PRICING'!$E$7:$E$16,MATCH(F1305,'PRICING'!$A$7:$A$16,0))/60+INDEX('PRICING'!$F$7:$F$16,MATCH(F1305,'PRICING'!$A$7:$A$16,0))/60),2)),""))</f>
        <v/>
      </c>
      <c r="R1305" s="97">
        <f>IF(B1305="","",IF(N(K1305)&gt;0,K1305,IF(N(J1305)&gt;0,J1305,N(Q1305))))</f>
        <v/>
      </c>
      <c r="S1305" s="55">
        <f>IF(L1305="","",ROUND(L1305*(1+N(M1305)),2))</f>
        <v/>
      </c>
      <c r="T1305" s="55">
        <f>IF(B1305="","",SUMIFS('REVENUE'!$C$5:$C$1504,'REVENUE'!$B$5:$B$1504,A1305))</f>
        <v/>
      </c>
      <c r="U1305" s="55">
        <f>IF(B1305="","",IF(O1305="Completed",MAX(0,N(S1305)-T1305),""))</f>
        <v/>
      </c>
      <c r="V1305" s="49">
        <f>IF(B1305="","",IF(O1305&lt;&gt;"Completed",IF(T1305&gt;0,"Deposit","—"),IF(U1305&lt;=0.005,"Paid",IF(T1305&gt;0,"Partial","Unpaid"))))</f>
        <v/>
      </c>
      <c r="W1305" s="55">
        <f>IF(B1305="","",IFERROR(1/(1/INDEX('STAFF &amp; TASKS'!$C$5:$C$24,MATCH(H1305,'STAFF &amp; TASKS'!$A$5:$A$24,0))),PayRate))</f>
        <v/>
      </c>
      <c r="X1305" s="55">
        <f>IF(B1305="","",IF(OR(O1305="Cancelled",O1305="No-Show"),"",ROUND(R1305*W1305*(1+Burden),2)))</f>
        <v/>
      </c>
      <c r="Y1305" s="55">
        <f>IF(B1305="","",IF(OR(O1305="Cancelled",O1305="No-Show"),"",IF(N1305&lt;&gt;"",N1305,ROUND(R1305*SupHr*IFERROR(INDEX('PRICING'!$G$7:$G$16,MATCH(F1305,'PRICING'!$A$7:$A$16,0)),1),2))))</f>
        <v/>
      </c>
      <c r="Z1305" s="98">
        <f>IF(B1305="","",SUMIFS('MILEAGE'!$J$5:$J$1504,'MILEAGE'!$B$5:$B$1504,A1305))</f>
        <v/>
      </c>
      <c r="AA1305" s="55">
        <f>IF(B1305="","",ROUND(Z1305*MileRate,2))</f>
        <v/>
      </c>
      <c r="AB1305" s="55">
        <f>IF(B1305="","",SUMIFS('REVENUE'!$J$5:$J$1504,'REVENUE'!$B$5:$B$1504,A1305))</f>
        <v/>
      </c>
      <c r="AC1305" s="55">
        <f>IF(L1305="","",IF(OR(O1305="Cancelled",O1305="No-Show"),"",L1305-N(X1305)-N(Y1305)-AA1305-AB1305))</f>
        <v/>
      </c>
      <c r="AD1305" s="99">
        <f>IF(OR(AC1305="",N(L1305)=0),"",AC1305/L1305)</f>
        <v/>
      </c>
      <c r="AE1305" s="55">
        <f>IF(OR(AC1305="",N(R1305)=0),"",L1305/R1305)</f>
        <v/>
      </c>
      <c r="AF1305" s="100">
        <f>IF(OR(N(K1305)=0,N(J1305)+N(Q1305)=0),"",K1305-IF(N(J1305)&gt;0,J1305,Q1305))</f>
        <v/>
      </c>
      <c r="AG1305" s="99">
        <f>IF(B1305="","",IFERROR(AVERAGEIFS('QUALITY CONTROL'!$M$5:$M$304,'QUALITY CONTROL'!$B$5:$B$304,A1305),""))</f>
        <v/>
      </c>
      <c r="AH1305" s="51">
        <f>IF(B1305="","",DATE(YEAR(B1305),MONTH(B1305),1))</f>
        <v/>
      </c>
      <c r="AI1305" s="49">
        <f>IF(D1305="","",IFERROR(INDEX('CUSTOMERS'!$E$5:$E$404,MATCH(D1305,'CUSTOMERS'!$B$5:$B$404,0)),""))</f>
        <v/>
      </c>
      <c r="AJ1305" s="49">
        <f>IF(B1305="","",N(C1305))</f>
        <v/>
      </c>
      <c r="AK1305" s="49">
        <f>IF(OR(B1305="",O1305="Cancelled",O1305="Rescheduled"),"",B1305&amp;"|"&amp;(COUNTIFS('JOBS'!$B$5:$B$1504,B1305,'JOBS'!$AJ$5:$AJ$1504,"&lt;"&amp;AJ1305,'JOBS'!$O$5:$O$1504,"&lt;&gt;Cancelled",'JOBS'!$O$5:$O$1504,"&lt;&gt;Rescheduled")+COUNTIFS($B$5:B1305,B1305,$AJ$5:AJ1305,AJ1305,$O$5:O1305,"&lt;&gt;Cancelled",$O$5:O1305,"&lt;&gt;Rescheduled")))</f>
        <v/>
      </c>
      <c r="AL1305" s="49">
        <f>IF(N(U1305)&lt;=0.005,"",COUNTIFS('JOBS'!$U$5:$U$1504,"&gt;0.005",'JOBS'!$B$5:$B$1504,"&lt;"&amp;B1305)+COUNTIFS($U$5:U1305,"&gt;0.005",$B$5:B1305,B1305))</f>
        <v/>
      </c>
    </row>
    <row r="1306">
      <c r="A1306" s="46" t="inlineStr">
        <is>
          <t>J-1302</t>
        </is>
      </c>
      <c r="B1306" s="47" t="n"/>
      <c r="C1306" s="94" t="n"/>
      <c r="D1306" s="38" t="n"/>
      <c r="E1306" s="38" t="n"/>
      <c r="F1306" s="38" t="n"/>
      <c r="G1306" s="38" t="n"/>
      <c r="H1306" s="38" t="n"/>
      <c r="I1306" s="57" t="n"/>
      <c r="J1306" s="95" t="n"/>
      <c r="K1306" s="95" t="n"/>
      <c r="L1306" s="48" t="n"/>
      <c r="M1306" s="96" t="n"/>
      <c r="N1306" s="48" t="n"/>
      <c r="O1306" s="38" t="n"/>
      <c r="P1306" s="38" t="n"/>
      <c r="Q1306" s="97">
        <f>IF(OR(F1306="",E1306=""),"",IFERROR(IF(INDEX('PROPERTIES'!$F$5:$F$404,MATCH(E1306,'PROPERTIES'!$B$5:$B$404,0))=0,"",ROUND((INDEX('PROPERTIES'!$F$5:$F$404,MATCH(E1306,'PROPERTIES'!$B$5:$B$404,0))/INDEX('PRICING'!$C$7:$C$16,MATCH(F1306,'PRICING'!$A$7:$A$16,0))+INDEX('PROPERTIES'!$G$5:$G$404,MATCH(E1306,'PROPERTIES'!$B$5:$B$404,0))*INDEX('PRICING'!$D$7:$D$16,MATCH(F1306,'PRICING'!$A$7:$A$16,0))/60+INDEX('PROPERTIES'!$H$5:$H$404,MATCH(E1306,'PROPERTIES'!$B$5:$B$404,0))*INDEX('PRICING'!$E$7:$E$16,MATCH(F1306,'PRICING'!$A$7:$A$16,0))/60+INDEX('PRICING'!$F$7:$F$16,MATCH(F1306,'PRICING'!$A$7:$A$16,0))/60),2)),""))</f>
        <v/>
      </c>
      <c r="R1306" s="97">
        <f>IF(B1306="","",IF(N(K1306)&gt;0,K1306,IF(N(J1306)&gt;0,J1306,N(Q1306))))</f>
        <v/>
      </c>
      <c r="S1306" s="55">
        <f>IF(L1306="","",ROUND(L1306*(1+N(M1306)),2))</f>
        <v/>
      </c>
      <c r="T1306" s="55">
        <f>IF(B1306="","",SUMIFS('REVENUE'!$C$5:$C$1504,'REVENUE'!$B$5:$B$1504,A1306))</f>
        <v/>
      </c>
      <c r="U1306" s="55">
        <f>IF(B1306="","",IF(O1306="Completed",MAX(0,N(S1306)-T1306),""))</f>
        <v/>
      </c>
      <c r="V1306" s="49">
        <f>IF(B1306="","",IF(O1306&lt;&gt;"Completed",IF(T1306&gt;0,"Deposit","—"),IF(U1306&lt;=0.005,"Paid",IF(T1306&gt;0,"Partial","Unpaid"))))</f>
        <v/>
      </c>
      <c r="W1306" s="55">
        <f>IF(B1306="","",IFERROR(1/(1/INDEX('STAFF &amp; TASKS'!$C$5:$C$24,MATCH(H1306,'STAFF &amp; TASKS'!$A$5:$A$24,0))),PayRate))</f>
        <v/>
      </c>
      <c r="X1306" s="55">
        <f>IF(B1306="","",IF(OR(O1306="Cancelled",O1306="No-Show"),"",ROUND(R1306*W1306*(1+Burden),2)))</f>
        <v/>
      </c>
      <c r="Y1306" s="55">
        <f>IF(B1306="","",IF(OR(O1306="Cancelled",O1306="No-Show"),"",IF(N1306&lt;&gt;"",N1306,ROUND(R1306*SupHr*IFERROR(INDEX('PRICING'!$G$7:$G$16,MATCH(F1306,'PRICING'!$A$7:$A$16,0)),1),2))))</f>
        <v/>
      </c>
      <c r="Z1306" s="98">
        <f>IF(B1306="","",SUMIFS('MILEAGE'!$J$5:$J$1504,'MILEAGE'!$B$5:$B$1504,A1306))</f>
        <v/>
      </c>
      <c r="AA1306" s="55">
        <f>IF(B1306="","",ROUND(Z1306*MileRate,2))</f>
        <v/>
      </c>
      <c r="AB1306" s="55">
        <f>IF(B1306="","",SUMIFS('REVENUE'!$J$5:$J$1504,'REVENUE'!$B$5:$B$1504,A1306))</f>
        <v/>
      </c>
      <c r="AC1306" s="55">
        <f>IF(L1306="","",IF(OR(O1306="Cancelled",O1306="No-Show"),"",L1306-N(X1306)-N(Y1306)-AA1306-AB1306))</f>
        <v/>
      </c>
      <c r="AD1306" s="99">
        <f>IF(OR(AC1306="",N(L1306)=0),"",AC1306/L1306)</f>
        <v/>
      </c>
      <c r="AE1306" s="55">
        <f>IF(OR(AC1306="",N(R1306)=0),"",L1306/R1306)</f>
        <v/>
      </c>
      <c r="AF1306" s="100">
        <f>IF(OR(N(K1306)=0,N(J1306)+N(Q1306)=0),"",K1306-IF(N(J1306)&gt;0,J1306,Q1306))</f>
        <v/>
      </c>
      <c r="AG1306" s="99">
        <f>IF(B1306="","",IFERROR(AVERAGEIFS('QUALITY CONTROL'!$M$5:$M$304,'QUALITY CONTROL'!$B$5:$B$304,A1306),""))</f>
        <v/>
      </c>
      <c r="AH1306" s="51">
        <f>IF(B1306="","",DATE(YEAR(B1306),MONTH(B1306),1))</f>
        <v/>
      </c>
      <c r="AI1306" s="49">
        <f>IF(D1306="","",IFERROR(INDEX('CUSTOMERS'!$E$5:$E$404,MATCH(D1306,'CUSTOMERS'!$B$5:$B$404,0)),""))</f>
        <v/>
      </c>
      <c r="AJ1306" s="49">
        <f>IF(B1306="","",N(C1306))</f>
        <v/>
      </c>
      <c r="AK1306" s="49">
        <f>IF(OR(B1306="",O1306="Cancelled",O1306="Rescheduled"),"",B1306&amp;"|"&amp;(COUNTIFS('JOBS'!$B$5:$B$1504,B1306,'JOBS'!$AJ$5:$AJ$1504,"&lt;"&amp;AJ1306,'JOBS'!$O$5:$O$1504,"&lt;&gt;Cancelled",'JOBS'!$O$5:$O$1504,"&lt;&gt;Rescheduled")+COUNTIFS($B$5:B1306,B1306,$AJ$5:AJ1306,AJ1306,$O$5:O1306,"&lt;&gt;Cancelled",$O$5:O1306,"&lt;&gt;Rescheduled")))</f>
        <v/>
      </c>
      <c r="AL1306" s="49">
        <f>IF(N(U1306)&lt;=0.005,"",COUNTIFS('JOBS'!$U$5:$U$1504,"&gt;0.005",'JOBS'!$B$5:$B$1504,"&lt;"&amp;B1306)+COUNTIFS($U$5:U1306,"&gt;0.005",$B$5:B1306,B1306))</f>
        <v/>
      </c>
    </row>
    <row r="1307">
      <c r="A1307" s="46" t="inlineStr">
        <is>
          <t>J-1303</t>
        </is>
      </c>
      <c r="B1307" s="47" t="n"/>
      <c r="C1307" s="94" t="n"/>
      <c r="D1307" s="38" t="n"/>
      <c r="E1307" s="38" t="n"/>
      <c r="F1307" s="38" t="n"/>
      <c r="G1307" s="38" t="n"/>
      <c r="H1307" s="38" t="n"/>
      <c r="I1307" s="57" t="n"/>
      <c r="J1307" s="95" t="n"/>
      <c r="K1307" s="95" t="n"/>
      <c r="L1307" s="48" t="n"/>
      <c r="M1307" s="96" t="n"/>
      <c r="N1307" s="48" t="n"/>
      <c r="O1307" s="38" t="n"/>
      <c r="P1307" s="38" t="n"/>
      <c r="Q1307" s="97">
        <f>IF(OR(F1307="",E1307=""),"",IFERROR(IF(INDEX('PROPERTIES'!$F$5:$F$404,MATCH(E1307,'PROPERTIES'!$B$5:$B$404,0))=0,"",ROUND((INDEX('PROPERTIES'!$F$5:$F$404,MATCH(E1307,'PROPERTIES'!$B$5:$B$404,0))/INDEX('PRICING'!$C$7:$C$16,MATCH(F1307,'PRICING'!$A$7:$A$16,0))+INDEX('PROPERTIES'!$G$5:$G$404,MATCH(E1307,'PROPERTIES'!$B$5:$B$404,0))*INDEX('PRICING'!$D$7:$D$16,MATCH(F1307,'PRICING'!$A$7:$A$16,0))/60+INDEX('PROPERTIES'!$H$5:$H$404,MATCH(E1307,'PROPERTIES'!$B$5:$B$404,0))*INDEX('PRICING'!$E$7:$E$16,MATCH(F1307,'PRICING'!$A$7:$A$16,0))/60+INDEX('PRICING'!$F$7:$F$16,MATCH(F1307,'PRICING'!$A$7:$A$16,0))/60),2)),""))</f>
        <v/>
      </c>
      <c r="R1307" s="97">
        <f>IF(B1307="","",IF(N(K1307)&gt;0,K1307,IF(N(J1307)&gt;0,J1307,N(Q1307))))</f>
        <v/>
      </c>
      <c r="S1307" s="55">
        <f>IF(L1307="","",ROUND(L1307*(1+N(M1307)),2))</f>
        <v/>
      </c>
      <c r="T1307" s="55">
        <f>IF(B1307="","",SUMIFS('REVENUE'!$C$5:$C$1504,'REVENUE'!$B$5:$B$1504,A1307))</f>
        <v/>
      </c>
      <c r="U1307" s="55">
        <f>IF(B1307="","",IF(O1307="Completed",MAX(0,N(S1307)-T1307),""))</f>
        <v/>
      </c>
      <c r="V1307" s="49">
        <f>IF(B1307="","",IF(O1307&lt;&gt;"Completed",IF(T1307&gt;0,"Deposit","—"),IF(U1307&lt;=0.005,"Paid",IF(T1307&gt;0,"Partial","Unpaid"))))</f>
        <v/>
      </c>
      <c r="W1307" s="55">
        <f>IF(B1307="","",IFERROR(1/(1/INDEX('STAFF &amp; TASKS'!$C$5:$C$24,MATCH(H1307,'STAFF &amp; TASKS'!$A$5:$A$24,0))),PayRate))</f>
        <v/>
      </c>
      <c r="X1307" s="55">
        <f>IF(B1307="","",IF(OR(O1307="Cancelled",O1307="No-Show"),"",ROUND(R1307*W1307*(1+Burden),2)))</f>
        <v/>
      </c>
      <c r="Y1307" s="55">
        <f>IF(B1307="","",IF(OR(O1307="Cancelled",O1307="No-Show"),"",IF(N1307&lt;&gt;"",N1307,ROUND(R1307*SupHr*IFERROR(INDEX('PRICING'!$G$7:$G$16,MATCH(F1307,'PRICING'!$A$7:$A$16,0)),1),2))))</f>
        <v/>
      </c>
      <c r="Z1307" s="98">
        <f>IF(B1307="","",SUMIFS('MILEAGE'!$J$5:$J$1504,'MILEAGE'!$B$5:$B$1504,A1307))</f>
        <v/>
      </c>
      <c r="AA1307" s="55">
        <f>IF(B1307="","",ROUND(Z1307*MileRate,2))</f>
        <v/>
      </c>
      <c r="AB1307" s="55">
        <f>IF(B1307="","",SUMIFS('REVENUE'!$J$5:$J$1504,'REVENUE'!$B$5:$B$1504,A1307))</f>
        <v/>
      </c>
      <c r="AC1307" s="55">
        <f>IF(L1307="","",IF(OR(O1307="Cancelled",O1307="No-Show"),"",L1307-N(X1307)-N(Y1307)-AA1307-AB1307))</f>
        <v/>
      </c>
      <c r="AD1307" s="99">
        <f>IF(OR(AC1307="",N(L1307)=0),"",AC1307/L1307)</f>
        <v/>
      </c>
      <c r="AE1307" s="55">
        <f>IF(OR(AC1307="",N(R1307)=0),"",L1307/R1307)</f>
        <v/>
      </c>
      <c r="AF1307" s="100">
        <f>IF(OR(N(K1307)=0,N(J1307)+N(Q1307)=0),"",K1307-IF(N(J1307)&gt;0,J1307,Q1307))</f>
        <v/>
      </c>
      <c r="AG1307" s="99">
        <f>IF(B1307="","",IFERROR(AVERAGEIFS('QUALITY CONTROL'!$M$5:$M$304,'QUALITY CONTROL'!$B$5:$B$304,A1307),""))</f>
        <v/>
      </c>
      <c r="AH1307" s="51">
        <f>IF(B1307="","",DATE(YEAR(B1307),MONTH(B1307),1))</f>
        <v/>
      </c>
      <c r="AI1307" s="49">
        <f>IF(D1307="","",IFERROR(INDEX('CUSTOMERS'!$E$5:$E$404,MATCH(D1307,'CUSTOMERS'!$B$5:$B$404,0)),""))</f>
        <v/>
      </c>
      <c r="AJ1307" s="49">
        <f>IF(B1307="","",N(C1307))</f>
        <v/>
      </c>
      <c r="AK1307" s="49">
        <f>IF(OR(B1307="",O1307="Cancelled",O1307="Rescheduled"),"",B1307&amp;"|"&amp;(COUNTIFS('JOBS'!$B$5:$B$1504,B1307,'JOBS'!$AJ$5:$AJ$1504,"&lt;"&amp;AJ1307,'JOBS'!$O$5:$O$1504,"&lt;&gt;Cancelled",'JOBS'!$O$5:$O$1504,"&lt;&gt;Rescheduled")+COUNTIFS($B$5:B1307,B1307,$AJ$5:AJ1307,AJ1307,$O$5:O1307,"&lt;&gt;Cancelled",$O$5:O1307,"&lt;&gt;Rescheduled")))</f>
        <v/>
      </c>
      <c r="AL1307" s="49">
        <f>IF(N(U1307)&lt;=0.005,"",COUNTIFS('JOBS'!$U$5:$U$1504,"&gt;0.005",'JOBS'!$B$5:$B$1504,"&lt;"&amp;B1307)+COUNTIFS($U$5:U1307,"&gt;0.005",$B$5:B1307,B1307))</f>
        <v/>
      </c>
    </row>
    <row r="1308">
      <c r="A1308" s="46" t="inlineStr">
        <is>
          <t>J-1304</t>
        </is>
      </c>
      <c r="B1308" s="47" t="n"/>
      <c r="C1308" s="94" t="n"/>
      <c r="D1308" s="38" t="n"/>
      <c r="E1308" s="38" t="n"/>
      <c r="F1308" s="38" t="n"/>
      <c r="G1308" s="38" t="n"/>
      <c r="H1308" s="38" t="n"/>
      <c r="I1308" s="57" t="n"/>
      <c r="J1308" s="95" t="n"/>
      <c r="K1308" s="95" t="n"/>
      <c r="L1308" s="48" t="n"/>
      <c r="M1308" s="96" t="n"/>
      <c r="N1308" s="48" t="n"/>
      <c r="O1308" s="38" t="n"/>
      <c r="P1308" s="38" t="n"/>
      <c r="Q1308" s="97">
        <f>IF(OR(F1308="",E1308=""),"",IFERROR(IF(INDEX('PROPERTIES'!$F$5:$F$404,MATCH(E1308,'PROPERTIES'!$B$5:$B$404,0))=0,"",ROUND((INDEX('PROPERTIES'!$F$5:$F$404,MATCH(E1308,'PROPERTIES'!$B$5:$B$404,0))/INDEX('PRICING'!$C$7:$C$16,MATCH(F1308,'PRICING'!$A$7:$A$16,0))+INDEX('PROPERTIES'!$G$5:$G$404,MATCH(E1308,'PROPERTIES'!$B$5:$B$404,0))*INDEX('PRICING'!$D$7:$D$16,MATCH(F1308,'PRICING'!$A$7:$A$16,0))/60+INDEX('PROPERTIES'!$H$5:$H$404,MATCH(E1308,'PROPERTIES'!$B$5:$B$404,0))*INDEX('PRICING'!$E$7:$E$16,MATCH(F1308,'PRICING'!$A$7:$A$16,0))/60+INDEX('PRICING'!$F$7:$F$16,MATCH(F1308,'PRICING'!$A$7:$A$16,0))/60),2)),""))</f>
        <v/>
      </c>
      <c r="R1308" s="97">
        <f>IF(B1308="","",IF(N(K1308)&gt;0,K1308,IF(N(J1308)&gt;0,J1308,N(Q1308))))</f>
        <v/>
      </c>
      <c r="S1308" s="55">
        <f>IF(L1308="","",ROUND(L1308*(1+N(M1308)),2))</f>
        <v/>
      </c>
      <c r="T1308" s="55">
        <f>IF(B1308="","",SUMIFS('REVENUE'!$C$5:$C$1504,'REVENUE'!$B$5:$B$1504,A1308))</f>
        <v/>
      </c>
      <c r="U1308" s="55">
        <f>IF(B1308="","",IF(O1308="Completed",MAX(0,N(S1308)-T1308),""))</f>
        <v/>
      </c>
      <c r="V1308" s="49">
        <f>IF(B1308="","",IF(O1308&lt;&gt;"Completed",IF(T1308&gt;0,"Deposit","—"),IF(U1308&lt;=0.005,"Paid",IF(T1308&gt;0,"Partial","Unpaid"))))</f>
        <v/>
      </c>
      <c r="W1308" s="55">
        <f>IF(B1308="","",IFERROR(1/(1/INDEX('STAFF &amp; TASKS'!$C$5:$C$24,MATCH(H1308,'STAFF &amp; TASKS'!$A$5:$A$24,0))),PayRate))</f>
        <v/>
      </c>
      <c r="X1308" s="55">
        <f>IF(B1308="","",IF(OR(O1308="Cancelled",O1308="No-Show"),"",ROUND(R1308*W1308*(1+Burden),2)))</f>
        <v/>
      </c>
      <c r="Y1308" s="55">
        <f>IF(B1308="","",IF(OR(O1308="Cancelled",O1308="No-Show"),"",IF(N1308&lt;&gt;"",N1308,ROUND(R1308*SupHr*IFERROR(INDEX('PRICING'!$G$7:$G$16,MATCH(F1308,'PRICING'!$A$7:$A$16,0)),1),2))))</f>
        <v/>
      </c>
      <c r="Z1308" s="98">
        <f>IF(B1308="","",SUMIFS('MILEAGE'!$J$5:$J$1504,'MILEAGE'!$B$5:$B$1504,A1308))</f>
        <v/>
      </c>
      <c r="AA1308" s="55">
        <f>IF(B1308="","",ROUND(Z1308*MileRate,2))</f>
        <v/>
      </c>
      <c r="AB1308" s="55">
        <f>IF(B1308="","",SUMIFS('REVENUE'!$J$5:$J$1504,'REVENUE'!$B$5:$B$1504,A1308))</f>
        <v/>
      </c>
      <c r="AC1308" s="55">
        <f>IF(L1308="","",IF(OR(O1308="Cancelled",O1308="No-Show"),"",L1308-N(X1308)-N(Y1308)-AA1308-AB1308))</f>
        <v/>
      </c>
      <c r="AD1308" s="99">
        <f>IF(OR(AC1308="",N(L1308)=0),"",AC1308/L1308)</f>
        <v/>
      </c>
      <c r="AE1308" s="55">
        <f>IF(OR(AC1308="",N(R1308)=0),"",L1308/R1308)</f>
        <v/>
      </c>
      <c r="AF1308" s="100">
        <f>IF(OR(N(K1308)=0,N(J1308)+N(Q1308)=0),"",K1308-IF(N(J1308)&gt;0,J1308,Q1308))</f>
        <v/>
      </c>
      <c r="AG1308" s="99">
        <f>IF(B1308="","",IFERROR(AVERAGEIFS('QUALITY CONTROL'!$M$5:$M$304,'QUALITY CONTROL'!$B$5:$B$304,A1308),""))</f>
        <v/>
      </c>
      <c r="AH1308" s="51">
        <f>IF(B1308="","",DATE(YEAR(B1308),MONTH(B1308),1))</f>
        <v/>
      </c>
      <c r="AI1308" s="49">
        <f>IF(D1308="","",IFERROR(INDEX('CUSTOMERS'!$E$5:$E$404,MATCH(D1308,'CUSTOMERS'!$B$5:$B$404,0)),""))</f>
        <v/>
      </c>
      <c r="AJ1308" s="49">
        <f>IF(B1308="","",N(C1308))</f>
        <v/>
      </c>
      <c r="AK1308" s="49">
        <f>IF(OR(B1308="",O1308="Cancelled",O1308="Rescheduled"),"",B1308&amp;"|"&amp;(COUNTIFS('JOBS'!$B$5:$B$1504,B1308,'JOBS'!$AJ$5:$AJ$1504,"&lt;"&amp;AJ1308,'JOBS'!$O$5:$O$1504,"&lt;&gt;Cancelled",'JOBS'!$O$5:$O$1504,"&lt;&gt;Rescheduled")+COUNTIFS($B$5:B1308,B1308,$AJ$5:AJ1308,AJ1308,$O$5:O1308,"&lt;&gt;Cancelled",$O$5:O1308,"&lt;&gt;Rescheduled")))</f>
        <v/>
      </c>
      <c r="AL1308" s="49">
        <f>IF(N(U1308)&lt;=0.005,"",COUNTIFS('JOBS'!$U$5:$U$1504,"&gt;0.005",'JOBS'!$B$5:$B$1504,"&lt;"&amp;B1308)+COUNTIFS($U$5:U1308,"&gt;0.005",$B$5:B1308,B1308))</f>
        <v/>
      </c>
    </row>
    <row r="1309">
      <c r="A1309" s="46" t="inlineStr">
        <is>
          <t>J-1305</t>
        </is>
      </c>
      <c r="B1309" s="47" t="n"/>
      <c r="C1309" s="94" t="n"/>
      <c r="D1309" s="38" t="n"/>
      <c r="E1309" s="38" t="n"/>
      <c r="F1309" s="38" t="n"/>
      <c r="G1309" s="38" t="n"/>
      <c r="H1309" s="38" t="n"/>
      <c r="I1309" s="57" t="n"/>
      <c r="J1309" s="95" t="n"/>
      <c r="K1309" s="95" t="n"/>
      <c r="L1309" s="48" t="n"/>
      <c r="M1309" s="96" t="n"/>
      <c r="N1309" s="48" t="n"/>
      <c r="O1309" s="38" t="n"/>
      <c r="P1309" s="38" t="n"/>
      <c r="Q1309" s="97">
        <f>IF(OR(F1309="",E1309=""),"",IFERROR(IF(INDEX('PROPERTIES'!$F$5:$F$404,MATCH(E1309,'PROPERTIES'!$B$5:$B$404,0))=0,"",ROUND((INDEX('PROPERTIES'!$F$5:$F$404,MATCH(E1309,'PROPERTIES'!$B$5:$B$404,0))/INDEX('PRICING'!$C$7:$C$16,MATCH(F1309,'PRICING'!$A$7:$A$16,0))+INDEX('PROPERTIES'!$G$5:$G$404,MATCH(E1309,'PROPERTIES'!$B$5:$B$404,0))*INDEX('PRICING'!$D$7:$D$16,MATCH(F1309,'PRICING'!$A$7:$A$16,0))/60+INDEX('PROPERTIES'!$H$5:$H$404,MATCH(E1309,'PROPERTIES'!$B$5:$B$404,0))*INDEX('PRICING'!$E$7:$E$16,MATCH(F1309,'PRICING'!$A$7:$A$16,0))/60+INDEX('PRICING'!$F$7:$F$16,MATCH(F1309,'PRICING'!$A$7:$A$16,0))/60),2)),""))</f>
        <v/>
      </c>
      <c r="R1309" s="97">
        <f>IF(B1309="","",IF(N(K1309)&gt;0,K1309,IF(N(J1309)&gt;0,J1309,N(Q1309))))</f>
        <v/>
      </c>
      <c r="S1309" s="55">
        <f>IF(L1309="","",ROUND(L1309*(1+N(M1309)),2))</f>
        <v/>
      </c>
      <c r="T1309" s="55">
        <f>IF(B1309="","",SUMIFS('REVENUE'!$C$5:$C$1504,'REVENUE'!$B$5:$B$1504,A1309))</f>
        <v/>
      </c>
      <c r="U1309" s="55">
        <f>IF(B1309="","",IF(O1309="Completed",MAX(0,N(S1309)-T1309),""))</f>
        <v/>
      </c>
      <c r="V1309" s="49">
        <f>IF(B1309="","",IF(O1309&lt;&gt;"Completed",IF(T1309&gt;0,"Deposit","—"),IF(U1309&lt;=0.005,"Paid",IF(T1309&gt;0,"Partial","Unpaid"))))</f>
        <v/>
      </c>
      <c r="W1309" s="55">
        <f>IF(B1309="","",IFERROR(1/(1/INDEX('STAFF &amp; TASKS'!$C$5:$C$24,MATCH(H1309,'STAFF &amp; TASKS'!$A$5:$A$24,0))),PayRate))</f>
        <v/>
      </c>
      <c r="X1309" s="55">
        <f>IF(B1309="","",IF(OR(O1309="Cancelled",O1309="No-Show"),"",ROUND(R1309*W1309*(1+Burden),2)))</f>
        <v/>
      </c>
      <c r="Y1309" s="55">
        <f>IF(B1309="","",IF(OR(O1309="Cancelled",O1309="No-Show"),"",IF(N1309&lt;&gt;"",N1309,ROUND(R1309*SupHr*IFERROR(INDEX('PRICING'!$G$7:$G$16,MATCH(F1309,'PRICING'!$A$7:$A$16,0)),1),2))))</f>
        <v/>
      </c>
      <c r="Z1309" s="98">
        <f>IF(B1309="","",SUMIFS('MILEAGE'!$J$5:$J$1504,'MILEAGE'!$B$5:$B$1504,A1309))</f>
        <v/>
      </c>
      <c r="AA1309" s="55">
        <f>IF(B1309="","",ROUND(Z1309*MileRate,2))</f>
        <v/>
      </c>
      <c r="AB1309" s="55">
        <f>IF(B1309="","",SUMIFS('REVENUE'!$J$5:$J$1504,'REVENUE'!$B$5:$B$1504,A1309))</f>
        <v/>
      </c>
      <c r="AC1309" s="55">
        <f>IF(L1309="","",IF(OR(O1309="Cancelled",O1309="No-Show"),"",L1309-N(X1309)-N(Y1309)-AA1309-AB1309))</f>
        <v/>
      </c>
      <c r="AD1309" s="99">
        <f>IF(OR(AC1309="",N(L1309)=0),"",AC1309/L1309)</f>
        <v/>
      </c>
      <c r="AE1309" s="55">
        <f>IF(OR(AC1309="",N(R1309)=0),"",L1309/R1309)</f>
        <v/>
      </c>
      <c r="AF1309" s="100">
        <f>IF(OR(N(K1309)=0,N(J1309)+N(Q1309)=0),"",K1309-IF(N(J1309)&gt;0,J1309,Q1309))</f>
        <v/>
      </c>
      <c r="AG1309" s="99">
        <f>IF(B1309="","",IFERROR(AVERAGEIFS('QUALITY CONTROL'!$M$5:$M$304,'QUALITY CONTROL'!$B$5:$B$304,A1309),""))</f>
        <v/>
      </c>
      <c r="AH1309" s="51">
        <f>IF(B1309="","",DATE(YEAR(B1309),MONTH(B1309),1))</f>
        <v/>
      </c>
      <c r="AI1309" s="49">
        <f>IF(D1309="","",IFERROR(INDEX('CUSTOMERS'!$E$5:$E$404,MATCH(D1309,'CUSTOMERS'!$B$5:$B$404,0)),""))</f>
        <v/>
      </c>
      <c r="AJ1309" s="49">
        <f>IF(B1309="","",N(C1309))</f>
        <v/>
      </c>
      <c r="AK1309" s="49">
        <f>IF(OR(B1309="",O1309="Cancelled",O1309="Rescheduled"),"",B1309&amp;"|"&amp;(COUNTIFS('JOBS'!$B$5:$B$1504,B1309,'JOBS'!$AJ$5:$AJ$1504,"&lt;"&amp;AJ1309,'JOBS'!$O$5:$O$1504,"&lt;&gt;Cancelled",'JOBS'!$O$5:$O$1504,"&lt;&gt;Rescheduled")+COUNTIFS($B$5:B1309,B1309,$AJ$5:AJ1309,AJ1309,$O$5:O1309,"&lt;&gt;Cancelled",$O$5:O1309,"&lt;&gt;Rescheduled")))</f>
        <v/>
      </c>
      <c r="AL1309" s="49">
        <f>IF(N(U1309)&lt;=0.005,"",COUNTIFS('JOBS'!$U$5:$U$1504,"&gt;0.005",'JOBS'!$B$5:$B$1504,"&lt;"&amp;B1309)+COUNTIFS($U$5:U1309,"&gt;0.005",$B$5:B1309,B1309))</f>
        <v/>
      </c>
    </row>
    <row r="1310">
      <c r="A1310" s="46" t="inlineStr">
        <is>
          <t>J-1306</t>
        </is>
      </c>
      <c r="B1310" s="47" t="n"/>
      <c r="C1310" s="94" t="n"/>
      <c r="D1310" s="38" t="n"/>
      <c r="E1310" s="38" t="n"/>
      <c r="F1310" s="38" t="n"/>
      <c r="G1310" s="38" t="n"/>
      <c r="H1310" s="38" t="n"/>
      <c r="I1310" s="57" t="n"/>
      <c r="J1310" s="95" t="n"/>
      <c r="K1310" s="95" t="n"/>
      <c r="L1310" s="48" t="n"/>
      <c r="M1310" s="96" t="n"/>
      <c r="N1310" s="48" t="n"/>
      <c r="O1310" s="38" t="n"/>
      <c r="P1310" s="38" t="n"/>
      <c r="Q1310" s="97">
        <f>IF(OR(F1310="",E1310=""),"",IFERROR(IF(INDEX('PROPERTIES'!$F$5:$F$404,MATCH(E1310,'PROPERTIES'!$B$5:$B$404,0))=0,"",ROUND((INDEX('PROPERTIES'!$F$5:$F$404,MATCH(E1310,'PROPERTIES'!$B$5:$B$404,0))/INDEX('PRICING'!$C$7:$C$16,MATCH(F1310,'PRICING'!$A$7:$A$16,0))+INDEX('PROPERTIES'!$G$5:$G$404,MATCH(E1310,'PROPERTIES'!$B$5:$B$404,0))*INDEX('PRICING'!$D$7:$D$16,MATCH(F1310,'PRICING'!$A$7:$A$16,0))/60+INDEX('PROPERTIES'!$H$5:$H$404,MATCH(E1310,'PROPERTIES'!$B$5:$B$404,0))*INDEX('PRICING'!$E$7:$E$16,MATCH(F1310,'PRICING'!$A$7:$A$16,0))/60+INDEX('PRICING'!$F$7:$F$16,MATCH(F1310,'PRICING'!$A$7:$A$16,0))/60),2)),""))</f>
        <v/>
      </c>
      <c r="R1310" s="97">
        <f>IF(B1310="","",IF(N(K1310)&gt;0,K1310,IF(N(J1310)&gt;0,J1310,N(Q1310))))</f>
        <v/>
      </c>
      <c r="S1310" s="55">
        <f>IF(L1310="","",ROUND(L1310*(1+N(M1310)),2))</f>
        <v/>
      </c>
      <c r="T1310" s="55">
        <f>IF(B1310="","",SUMIFS('REVENUE'!$C$5:$C$1504,'REVENUE'!$B$5:$B$1504,A1310))</f>
        <v/>
      </c>
      <c r="U1310" s="55">
        <f>IF(B1310="","",IF(O1310="Completed",MAX(0,N(S1310)-T1310),""))</f>
        <v/>
      </c>
      <c r="V1310" s="49">
        <f>IF(B1310="","",IF(O1310&lt;&gt;"Completed",IF(T1310&gt;0,"Deposit","—"),IF(U1310&lt;=0.005,"Paid",IF(T1310&gt;0,"Partial","Unpaid"))))</f>
        <v/>
      </c>
      <c r="W1310" s="55">
        <f>IF(B1310="","",IFERROR(1/(1/INDEX('STAFF &amp; TASKS'!$C$5:$C$24,MATCH(H1310,'STAFF &amp; TASKS'!$A$5:$A$24,0))),PayRate))</f>
        <v/>
      </c>
      <c r="X1310" s="55">
        <f>IF(B1310="","",IF(OR(O1310="Cancelled",O1310="No-Show"),"",ROUND(R1310*W1310*(1+Burden),2)))</f>
        <v/>
      </c>
      <c r="Y1310" s="55">
        <f>IF(B1310="","",IF(OR(O1310="Cancelled",O1310="No-Show"),"",IF(N1310&lt;&gt;"",N1310,ROUND(R1310*SupHr*IFERROR(INDEX('PRICING'!$G$7:$G$16,MATCH(F1310,'PRICING'!$A$7:$A$16,0)),1),2))))</f>
        <v/>
      </c>
      <c r="Z1310" s="98">
        <f>IF(B1310="","",SUMIFS('MILEAGE'!$J$5:$J$1504,'MILEAGE'!$B$5:$B$1504,A1310))</f>
        <v/>
      </c>
      <c r="AA1310" s="55">
        <f>IF(B1310="","",ROUND(Z1310*MileRate,2))</f>
        <v/>
      </c>
      <c r="AB1310" s="55">
        <f>IF(B1310="","",SUMIFS('REVENUE'!$J$5:$J$1504,'REVENUE'!$B$5:$B$1504,A1310))</f>
        <v/>
      </c>
      <c r="AC1310" s="55">
        <f>IF(L1310="","",IF(OR(O1310="Cancelled",O1310="No-Show"),"",L1310-N(X1310)-N(Y1310)-AA1310-AB1310))</f>
        <v/>
      </c>
      <c r="AD1310" s="99">
        <f>IF(OR(AC1310="",N(L1310)=0),"",AC1310/L1310)</f>
        <v/>
      </c>
      <c r="AE1310" s="55">
        <f>IF(OR(AC1310="",N(R1310)=0),"",L1310/R1310)</f>
        <v/>
      </c>
      <c r="AF1310" s="100">
        <f>IF(OR(N(K1310)=0,N(J1310)+N(Q1310)=0),"",K1310-IF(N(J1310)&gt;0,J1310,Q1310))</f>
        <v/>
      </c>
      <c r="AG1310" s="99">
        <f>IF(B1310="","",IFERROR(AVERAGEIFS('QUALITY CONTROL'!$M$5:$M$304,'QUALITY CONTROL'!$B$5:$B$304,A1310),""))</f>
        <v/>
      </c>
      <c r="AH1310" s="51">
        <f>IF(B1310="","",DATE(YEAR(B1310),MONTH(B1310),1))</f>
        <v/>
      </c>
      <c r="AI1310" s="49">
        <f>IF(D1310="","",IFERROR(INDEX('CUSTOMERS'!$E$5:$E$404,MATCH(D1310,'CUSTOMERS'!$B$5:$B$404,0)),""))</f>
        <v/>
      </c>
      <c r="AJ1310" s="49">
        <f>IF(B1310="","",N(C1310))</f>
        <v/>
      </c>
      <c r="AK1310" s="49">
        <f>IF(OR(B1310="",O1310="Cancelled",O1310="Rescheduled"),"",B1310&amp;"|"&amp;(COUNTIFS('JOBS'!$B$5:$B$1504,B1310,'JOBS'!$AJ$5:$AJ$1504,"&lt;"&amp;AJ1310,'JOBS'!$O$5:$O$1504,"&lt;&gt;Cancelled",'JOBS'!$O$5:$O$1504,"&lt;&gt;Rescheduled")+COUNTIFS($B$5:B1310,B1310,$AJ$5:AJ1310,AJ1310,$O$5:O1310,"&lt;&gt;Cancelled",$O$5:O1310,"&lt;&gt;Rescheduled")))</f>
        <v/>
      </c>
      <c r="AL1310" s="49">
        <f>IF(N(U1310)&lt;=0.005,"",COUNTIFS('JOBS'!$U$5:$U$1504,"&gt;0.005",'JOBS'!$B$5:$B$1504,"&lt;"&amp;B1310)+COUNTIFS($U$5:U1310,"&gt;0.005",$B$5:B1310,B1310))</f>
        <v/>
      </c>
    </row>
    <row r="1311">
      <c r="A1311" s="46" t="inlineStr">
        <is>
          <t>J-1307</t>
        </is>
      </c>
      <c r="B1311" s="47" t="n"/>
      <c r="C1311" s="94" t="n"/>
      <c r="D1311" s="38" t="n"/>
      <c r="E1311" s="38" t="n"/>
      <c r="F1311" s="38" t="n"/>
      <c r="G1311" s="38" t="n"/>
      <c r="H1311" s="38" t="n"/>
      <c r="I1311" s="57" t="n"/>
      <c r="J1311" s="95" t="n"/>
      <c r="K1311" s="95" t="n"/>
      <c r="L1311" s="48" t="n"/>
      <c r="M1311" s="96" t="n"/>
      <c r="N1311" s="48" t="n"/>
      <c r="O1311" s="38" t="n"/>
      <c r="P1311" s="38" t="n"/>
      <c r="Q1311" s="97">
        <f>IF(OR(F1311="",E1311=""),"",IFERROR(IF(INDEX('PROPERTIES'!$F$5:$F$404,MATCH(E1311,'PROPERTIES'!$B$5:$B$404,0))=0,"",ROUND((INDEX('PROPERTIES'!$F$5:$F$404,MATCH(E1311,'PROPERTIES'!$B$5:$B$404,0))/INDEX('PRICING'!$C$7:$C$16,MATCH(F1311,'PRICING'!$A$7:$A$16,0))+INDEX('PROPERTIES'!$G$5:$G$404,MATCH(E1311,'PROPERTIES'!$B$5:$B$404,0))*INDEX('PRICING'!$D$7:$D$16,MATCH(F1311,'PRICING'!$A$7:$A$16,0))/60+INDEX('PROPERTIES'!$H$5:$H$404,MATCH(E1311,'PROPERTIES'!$B$5:$B$404,0))*INDEX('PRICING'!$E$7:$E$16,MATCH(F1311,'PRICING'!$A$7:$A$16,0))/60+INDEX('PRICING'!$F$7:$F$16,MATCH(F1311,'PRICING'!$A$7:$A$16,0))/60),2)),""))</f>
        <v/>
      </c>
      <c r="R1311" s="97">
        <f>IF(B1311="","",IF(N(K1311)&gt;0,K1311,IF(N(J1311)&gt;0,J1311,N(Q1311))))</f>
        <v/>
      </c>
      <c r="S1311" s="55">
        <f>IF(L1311="","",ROUND(L1311*(1+N(M1311)),2))</f>
        <v/>
      </c>
      <c r="T1311" s="55">
        <f>IF(B1311="","",SUMIFS('REVENUE'!$C$5:$C$1504,'REVENUE'!$B$5:$B$1504,A1311))</f>
        <v/>
      </c>
      <c r="U1311" s="55">
        <f>IF(B1311="","",IF(O1311="Completed",MAX(0,N(S1311)-T1311),""))</f>
        <v/>
      </c>
      <c r="V1311" s="49">
        <f>IF(B1311="","",IF(O1311&lt;&gt;"Completed",IF(T1311&gt;0,"Deposit","—"),IF(U1311&lt;=0.005,"Paid",IF(T1311&gt;0,"Partial","Unpaid"))))</f>
        <v/>
      </c>
      <c r="W1311" s="55">
        <f>IF(B1311="","",IFERROR(1/(1/INDEX('STAFF &amp; TASKS'!$C$5:$C$24,MATCH(H1311,'STAFF &amp; TASKS'!$A$5:$A$24,0))),PayRate))</f>
        <v/>
      </c>
      <c r="X1311" s="55">
        <f>IF(B1311="","",IF(OR(O1311="Cancelled",O1311="No-Show"),"",ROUND(R1311*W1311*(1+Burden),2)))</f>
        <v/>
      </c>
      <c r="Y1311" s="55">
        <f>IF(B1311="","",IF(OR(O1311="Cancelled",O1311="No-Show"),"",IF(N1311&lt;&gt;"",N1311,ROUND(R1311*SupHr*IFERROR(INDEX('PRICING'!$G$7:$G$16,MATCH(F1311,'PRICING'!$A$7:$A$16,0)),1),2))))</f>
        <v/>
      </c>
      <c r="Z1311" s="98">
        <f>IF(B1311="","",SUMIFS('MILEAGE'!$J$5:$J$1504,'MILEAGE'!$B$5:$B$1504,A1311))</f>
        <v/>
      </c>
      <c r="AA1311" s="55">
        <f>IF(B1311="","",ROUND(Z1311*MileRate,2))</f>
        <v/>
      </c>
      <c r="AB1311" s="55">
        <f>IF(B1311="","",SUMIFS('REVENUE'!$J$5:$J$1504,'REVENUE'!$B$5:$B$1504,A1311))</f>
        <v/>
      </c>
      <c r="AC1311" s="55">
        <f>IF(L1311="","",IF(OR(O1311="Cancelled",O1311="No-Show"),"",L1311-N(X1311)-N(Y1311)-AA1311-AB1311))</f>
        <v/>
      </c>
      <c r="AD1311" s="99">
        <f>IF(OR(AC1311="",N(L1311)=0),"",AC1311/L1311)</f>
        <v/>
      </c>
      <c r="AE1311" s="55">
        <f>IF(OR(AC1311="",N(R1311)=0),"",L1311/R1311)</f>
        <v/>
      </c>
      <c r="AF1311" s="100">
        <f>IF(OR(N(K1311)=0,N(J1311)+N(Q1311)=0),"",K1311-IF(N(J1311)&gt;0,J1311,Q1311))</f>
        <v/>
      </c>
      <c r="AG1311" s="99">
        <f>IF(B1311="","",IFERROR(AVERAGEIFS('QUALITY CONTROL'!$M$5:$M$304,'QUALITY CONTROL'!$B$5:$B$304,A1311),""))</f>
        <v/>
      </c>
      <c r="AH1311" s="51">
        <f>IF(B1311="","",DATE(YEAR(B1311),MONTH(B1311),1))</f>
        <v/>
      </c>
      <c r="AI1311" s="49">
        <f>IF(D1311="","",IFERROR(INDEX('CUSTOMERS'!$E$5:$E$404,MATCH(D1311,'CUSTOMERS'!$B$5:$B$404,0)),""))</f>
        <v/>
      </c>
      <c r="AJ1311" s="49">
        <f>IF(B1311="","",N(C1311))</f>
        <v/>
      </c>
      <c r="AK1311" s="49">
        <f>IF(OR(B1311="",O1311="Cancelled",O1311="Rescheduled"),"",B1311&amp;"|"&amp;(COUNTIFS('JOBS'!$B$5:$B$1504,B1311,'JOBS'!$AJ$5:$AJ$1504,"&lt;"&amp;AJ1311,'JOBS'!$O$5:$O$1504,"&lt;&gt;Cancelled",'JOBS'!$O$5:$O$1504,"&lt;&gt;Rescheduled")+COUNTIFS($B$5:B1311,B1311,$AJ$5:AJ1311,AJ1311,$O$5:O1311,"&lt;&gt;Cancelled",$O$5:O1311,"&lt;&gt;Rescheduled")))</f>
        <v/>
      </c>
      <c r="AL1311" s="49">
        <f>IF(N(U1311)&lt;=0.005,"",COUNTIFS('JOBS'!$U$5:$U$1504,"&gt;0.005",'JOBS'!$B$5:$B$1504,"&lt;"&amp;B1311)+COUNTIFS($U$5:U1311,"&gt;0.005",$B$5:B1311,B1311))</f>
        <v/>
      </c>
    </row>
    <row r="1312">
      <c r="A1312" s="46" t="inlineStr">
        <is>
          <t>J-1308</t>
        </is>
      </c>
      <c r="B1312" s="47" t="n"/>
      <c r="C1312" s="94" t="n"/>
      <c r="D1312" s="38" t="n"/>
      <c r="E1312" s="38" t="n"/>
      <c r="F1312" s="38" t="n"/>
      <c r="G1312" s="38" t="n"/>
      <c r="H1312" s="38" t="n"/>
      <c r="I1312" s="57" t="n"/>
      <c r="J1312" s="95" t="n"/>
      <c r="K1312" s="95" t="n"/>
      <c r="L1312" s="48" t="n"/>
      <c r="M1312" s="96" t="n"/>
      <c r="N1312" s="48" t="n"/>
      <c r="O1312" s="38" t="n"/>
      <c r="P1312" s="38" t="n"/>
      <c r="Q1312" s="97">
        <f>IF(OR(F1312="",E1312=""),"",IFERROR(IF(INDEX('PROPERTIES'!$F$5:$F$404,MATCH(E1312,'PROPERTIES'!$B$5:$B$404,0))=0,"",ROUND((INDEX('PROPERTIES'!$F$5:$F$404,MATCH(E1312,'PROPERTIES'!$B$5:$B$404,0))/INDEX('PRICING'!$C$7:$C$16,MATCH(F1312,'PRICING'!$A$7:$A$16,0))+INDEX('PROPERTIES'!$G$5:$G$404,MATCH(E1312,'PROPERTIES'!$B$5:$B$404,0))*INDEX('PRICING'!$D$7:$D$16,MATCH(F1312,'PRICING'!$A$7:$A$16,0))/60+INDEX('PROPERTIES'!$H$5:$H$404,MATCH(E1312,'PROPERTIES'!$B$5:$B$404,0))*INDEX('PRICING'!$E$7:$E$16,MATCH(F1312,'PRICING'!$A$7:$A$16,0))/60+INDEX('PRICING'!$F$7:$F$16,MATCH(F1312,'PRICING'!$A$7:$A$16,0))/60),2)),""))</f>
        <v/>
      </c>
      <c r="R1312" s="97">
        <f>IF(B1312="","",IF(N(K1312)&gt;0,K1312,IF(N(J1312)&gt;0,J1312,N(Q1312))))</f>
        <v/>
      </c>
      <c r="S1312" s="55">
        <f>IF(L1312="","",ROUND(L1312*(1+N(M1312)),2))</f>
        <v/>
      </c>
      <c r="T1312" s="55">
        <f>IF(B1312="","",SUMIFS('REVENUE'!$C$5:$C$1504,'REVENUE'!$B$5:$B$1504,A1312))</f>
        <v/>
      </c>
      <c r="U1312" s="55">
        <f>IF(B1312="","",IF(O1312="Completed",MAX(0,N(S1312)-T1312),""))</f>
        <v/>
      </c>
      <c r="V1312" s="49">
        <f>IF(B1312="","",IF(O1312&lt;&gt;"Completed",IF(T1312&gt;0,"Deposit","—"),IF(U1312&lt;=0.005,"Paid",IF(T1312&gt;0,"Partial","Unpaid"))))</f>
        <v/>
      </c>
      <c r="W1312" s="55">
        <f>IF(B1312="","",IFERROR(1/(1/INDEX('STAFF &amp; TASKS'!$C$5:$C$24,MATCH(H1312,'STAFF &amp; TASKS'!$A$5:$A$24,0))),PayRate))</f>
        <v/>
      </c>
      <c r="X1312" s="55">
        <f>IF(B1312="","",IF(OR(O1312="Cancelled",O1312="No-Show"),"",ROUND(R1312*W1312*(1+Burden),2)))</f>
        <v/>
      </c>
      <c r="Y1312" s="55">
        <f>IF(B1312="","",IF(OR(O1312="Cancelled",O1312="No-Show"),"",IF(N1312&lt;&gt;"",N1312,ROUND(R1312*SupHr*IFERROR(INDEX('PRICING'!$G$7:$G$16,MATCH(F1312,'PRICING'!$A$7:$A$16,0)),1),2))))</f>
        <v/>
      </c>
      <c r="Z1312" s="98">
        <f>IF(B1312="","",SUMIFS('MILEAGE'!$J$5:$J$1504,'MILEAGE'!$B$5:$B$1504,A1312))</f>
        <v/>
      </c>
      <c r="AA1312" s="55">
        <f>IF(B1312="","",ROUND(Z1312*MileRate,2))</f>
        <v/>
      </c>
      <c r="AB1312" s="55">
        <f>IF(B1312="","",SUMIFS('REVENUE'!$J$5:$J$1504,'REVENUE'!$B$5:$B$1504,A1312))</f>
        <v/>
      </c>
      <c r="AC1312" s="55">
        <f>IF(L1312="","",IF(OR(O1312="Cancelled",O1312="No-Show"),"",L1312-N(X1312)-N(Y1312)-AA1312-AB1312))</f>
        <v/>
      </c>
      <c r="AD1312" s="99">
        <f>IF(OR(AC1312="",N(L1312)=0),"",AC1312/L1312)</f>
        <v/>
      </c>
      <c r="AE1312" s="55">
        <f>IF(OR(AC1312="",N(R1312)=0),"",L1312/R1312)</f>
        <v/>
      </c>
      <c r="AF1312" s="100">
        <f>IF(OR(N(K1312)=0,N(J1312)+N(Q1312)=0),"",K1312-IF(N(J1312)&gt;0,J1312,Q1312))</f>
        <v/>
      </c>
      <c r="AG1312" s="99">
        <f>IF(B1312="","",IFERROR(AVERAGEIFS('QUALITY CONTROL'!$M$5:$M$304,'QUALITY CONTROL'!$B$5:$B$304,A1312),""))</f>
        <v/>
      </c>
      <c r="AH1312" s="51">
        <f>IF(B1312="","",DATE(YEAR(B1312),MONTH(B1312),1))</f>
        <v/>
      </c>
      <c r="AI1312" s="49">
        <f>IF(D1312="","",IFERROR(INDEX('CUSTOMERS'!$E$5:$E$404,MATCH(D1312,'CUSTOMERS'!$B$5:$B$404,0)),""))</f>
        <v/>
      </c>
      <c r="AJ1312" s="49">
        <f>IF(B1312="","",N(C1312))</f>
        <v/>
      </c>
      <c r="AK1312" s="49">
        <f>IF(OR(B1312="",O1312="Cancelled",O1312="Rescheduled"),"",B1312&amp;"|"&amp;(COUNTIFS('JOBS'!$B$5:$B$1504,B1312,'JOBS'!$AJ$5:$AJ$1504,"&lt;"&amp;AJ1312,'JOBS'!$O$5:$O$1504,"&lt;&gt;Cancelled",'JOBS'!$O$5:$O$1504,"&lt;&gt;Rescheduled")+COUNTIFS($B$5:B1312,B1312,$AJ$5:AJ1312,AJ1312,$O$5:O1312,"&lt;&gt;Cancelled",$O$5:O1312,"&lt;&gt;Rescheduled")))</f>
        <v/>
      </c>
      <c r="AL1312" s="49">
        <f>IF(N(U1312)&lt;=0.005,"",COUNTIFS('JOBS'!$U$5:$U$1504,"&gt;0.005",'JOBS'!$B$5:$B$1504,"&lt;"&amp;B1312)+COUNTIFS($U$5:U1312,"&gt;0.005",$B$5:B1312,B1312))</f>
        <v/>
      </c>
    </row>
    <row r="1313">
      <c r="A1313" s="46" t="inlineStr">
        <is>
          <t>J-1309</t>
        </is>
      </c>
      <c r="B1313" s="47" t="n"/>
      <c r="C1313" s="94" t="n"/>
      <c r="D1313" s="38" t="n"/>
      <c r="E1313" s="38" t="n"/>
      <c r="F1313" s="38" t="n"/>
      <c r="G1313" s="38" t="n"/>
      <c r="H1313" s="38" t="n"/>
      <c r="I1313" s="57" t="n"/>
      <c r="J1313" s="95" t="n"/>
      <c r="K1313" s="95" t="n"/>
      <c r="L1313" s="48" t="n"/>
      <c r="M1313" s="96" t="n"/>
      <c r="N1313" s="48" t="n"/>
      <c r="O1313" s="38" t="n"/>
      <c r="P1313" s="38" t="n"/>
      <c r="Q1313" s="97">
        <f>IF(OR(F1313="",E1313=""),"",IFERROR(IF(INDEX('PROPERTIES'!$F$5:$F$404,MATCH(E1313,'PROPERTIES'!$B$5:$B$404,0))=0,"",ROUND((INDEX('PROPERTIES'!$F$5:$F$404,MATCH(E1313,'PROPERTIES'!$B$5:$B$404,0))/INDEX('PRICING'!$C$7:$C$16,MATCH(F1313,'PRICING'!$A$7:$A$16,0))+INDEX('PROPERTIES'!$G$5:$G$404,MATCH(E1313,'PROPERTIES'!$B$5:$B$404,0))*INDEX('PRICING'!$D$7:$D$16,MATCH(F1313,'PRICING'!$A$7:$A$16,0))/60+INDEX('PROPERTIES'!$H$5:$H$404,MATCH(E1313,'PROPERTIES'!$B$5:$B$404,0))*INDEX('PRICING'!$E$7:$E$16,MATCH(F1313,'PRICING'!$A$7:$A$16,0))/60+INDEX('PRICING'!$F$7:$F$16,MATCH(F1313,'PRICING'!$A$7:$A$16,0))/60),2)),""))</f>
        <v/>
      </c>
      <c r="R1313" s="97">
        <f>IF(B1313="","",IF(N(K1313)&gt;0,K1313,IF(N(J1313)&gt;0,J1313,N(Q1313))))</f>
        <v/>
      </c>
      <c r="S1313" s="55">
        <f>IF(L1313="","",ROUND(L1313*(1+N(M1313)),2))</f>
        <v/>
      </c>
      <c r="T1313" s="55">
        <f>IF(B1313="","",SUMIFS('REVENUE'!$C$5:$C$1504,'REVENUE'!$B$5:$B$1504,A1313))</f>
        <v/>
      </c>
      <c r="U1313" s="55">
        <f>IF(B1313="","",IF(O1313="Completed",MAX(0,N(S1313)-T1313),""))</f>
        <v/>
      </c>
      <c r="V1313" s="49">
        <f>IF(B1313="","",IF(O1313&lt;&gt;"Completed",IF(T1313&gt;0,"Deposit","—"),IF(U1313&lt;=0.005,"Paid",IF(T1313&gt;0,"Partial","Unpaid"))))</f>
        <v/>
      </c>
      <c r="W1313" s="55">
        <f>IF(B1313="","",IFERROR(1/(1/INDEX('STAFF &amp; TASKS'!$C$5:$C$24,MATCH(H1313,'STAFF &amp; TASKS'!$A$5:$A$24,0))),PayRate))</f>
        <v/>
      </c>
      <c r="X1313" s="55">
        <f>IF(B1313="","",IF(OR(O1313="Cancelled",O1313="No-Show"),"",ROUND(R1313*W1313*(1+Burden),2)))</f>
        <v/>
      </c>
      <c r="Y1313" s="55">
        <f>IF(B1313="","",IF(OR(O1313="Cancelled",O1313="No-Show"),"",IF(N1313&lt;&gt;"",N1313,ROUND(R1313*SupHr*IFERROR(INDEX('PRICING'!$G$7:$G$16,MATCH(F1313,'PRICING'!$A$7:$A$16,0)),1),2))))</f>
        <v/>
      </c>
      <c r="Z1313" s="98">
        <f>IF(B1313="","",SUMIFS('MILEAGE'!$J$5:$J$1504,'MILEAGE'!$B$5:$B$1504,A1313))</f>
        <v/>
      </c>
      <c r="AA1313" s="55">
        <f>IF(B1313="","",ROUND(Z1313*MileRate,2))</f>
        <v/>
      </c>
      <c r="AB1313" s="55">
        <f>IF(B1313="","",SUMIFS('REVENUE'!$J$5:$J$1504,'REVENUE'!$B$5:$B$1504,A1313))</f>
        <v/>
      </c>
      <c r="AC1313" s="55">
        <f>IF(L1313="","",IF(OR(O1313="Cancelled",O1313="No-Show"),"",L1313-N(X1313)-N(Y1313)-AA1313-AB1313))</f>
        <v/>
      </c>
      <c r="AD1313" s="99">
        <f>IF(OR(AC1313="",N(L1313)=0),"",AC1313/L1313)</f>
        <v/>
      </c>
      <c r="AE1313" s="55">
        <f>IF(OR(AC1313="",N(R1313)=0),"",L1313/R1313)</f>
        <v/>
      </c>
      <c r="AF1313" s="100">
        <f>IF(OR(N(K1313)=0,N(J1313)+N(Q1313)=0),"",K1313-IF(N(J1313)&gt;0,J1313,Q1313))</f>
        <v/>
      </c>
      <c r="AG1313" s="99">
        <f>IF(B1313="","",IFERROR(AVERAGEIFS('QUALITY CONTROL'!$M$5:$M$304,'QUALITY CONTROL'!$B$5:$B$304,A1313),""))</f>
        <v/>
      </c>
      <c r="AH1313" s="51">
        <f>IF(B1313="","",DATE(YEAR(B1313),MONTH(B1313),1))</f>
        <v/>
      </c>
      <c r="AI1313" s="49">
        <f>IF(D1313="","",IFERROR(INDEX('CUSTOMERS'!$E$5:$E$404,MATCH(D1313,'CUSTOMERS'!$B$5:$B$404,0)),""))</f>
        <v/>
      </c>
      <c r="AJ1313" s="49">
        <f>IF(B1313="","",N(C1313))</f>
        <v/>
      </c>
      <c r="AK1313" s="49">
        <f>IF(OR(B1313="",O1313="Cancelled",O1313="Rescheduled"),"",B1313&amp;"|"&amp;(COUNTIFS('JOBS'!$B$5:$B$1504,B1313,'JOBS'!$AJ$5:$AJ$1504,"&lt;"&amp;AJ1313,'JOBS'!$O$5:$O$1504,"&lt;&gt;Cancelled",'JOBS'!$O$5:$O$1504,"&lt;&gt;Rescheduled")+COUNTIFS($B$5:B1313,B1313,$AJ$5:AJ1313,AJ1313,$O$5:O1313,"&lt;&gt;Cancelled",$O$5:O1313,"&lt;&gt;Rescheduled")))</f>
        <v/>
      </c>
      <c r="AL1313" s="49">
        <f>IF(N(U1313)&lt;=0.005,"",COUNTIFS('JOBS'!$U$5:$U$1504,"&gt;0.005",'JOBS'!$B$5:$B$1504,"&lt;"&amp;B1313)+COUNTIFS($U$5:U1313,"&gt;0.005",$B$5:B1313,B1313))</f>
        <v/>
      </c>
    </row>
    <row r="1314">
      <c r="A1314" s="46" t="inlineStr">
        <is>
          <t>J-1310</t>
        </is>
      </c>
      <c r="B1314" s="47" t="n"/>
      <c r="C1314" s="94" t="n"/>
      <c r="D1314" s="38" t="n"/>
      <c r="E1314" s="38" t="n"/>
      <c r="F1314" s="38" t="n"/>
      <c r="G1314" s="38" t="n"/>
      <c r="H1314" s="38" t="n"/>
      <c r="I1314" s="57" t="n"/>
      <c r="J1314" s="95" t="n"/>
      <c r="K1314" s="95" t="n"/>
      <c r="L1314" s="48" t="n"/>
      <c r="M1314" s="96" t="n"/>
      <c r="N1314" s="48" t="n"/>
      <c r="O1314" s="38" t="n"/>
      <c r="P1314" s="38" t="n"/>
      <c r="Q1314" s="97">
        <f>IF(OR(F1314="",E1314=""),"",IFERROR(IF(INDEX('PROPERTIES'!$F$5:$F$404,MATCH(E1314,'PROPERTIES'!$B$5:$B$404,0))=0,"",ROUND((INDEX('PROPERTIES'!$F$5:$F$404,MATCH(E1314,'PROPERTIES'!$B$5:$B$404,0))/INDEX('PRICING'!$C$7:$C$16,MATCH(F1314,'PRICING'!$A$7:$A$16,0))+INDEX('PROPERTIES'!$G$5:$G$404,MATCH(E1314,'PROPERTIES'!$B$5:$B$404,0))*INDEX('PRICING'!$D$7:$D$16,MATCH(F1314,'PRICING'!$A$7:$A$16,0))/60+INDEX('PROPERTIES'!$H$5:$H$404,MATCH(E1314,'PROPERTIES'!$B$5:$B$404,0))*INDEX('PRICING'!$E$7:$E$16,MATCH(F1314,'PRICING'!$A$7:$A$16,0))/60+INDEX('PRICING'!$F$7:$F$16,MATCH(F1314,'PRICING'!$A$7:$A$16,0))/60),2)),""))</f>
        <v/>
      </c>
      <c r="R1314" s="97">
        <f>IF(B1314="","",IF(N(K1314)&gt;0,K1314,IF(N(J1314)&gt;0,J1314,N(Q1314))))</f>
        <v/>
      </c>
      <c r="S1314" s="55">
        <f>IF(L1314="","",ROUND(L1314*(1+N(M1314)),2))</f>
        <v/>
      </c>
      <c r="T1314" s="55">
        <f>IF(B1314="","",SUMIFS('REVENUE'!$C$5:$C$1504,'REVENUE'!$B$5:$B$1504,A1314))</f>
        <v/>
      </c>
      <c r="U1314" s="55">
        <f>IF(B1314="","",IF(O1314="Completed",MAX(0,N(S1314)-T1314),""))</f>
        <v/>
      </c>
      <c r="V1314" s="49">
        <f>IF(B1314="","",IF(O1314&lt;&gt;"Completed",IF(T1314&gt;0,"Deposit","—"),IF(U1314&lt;=0.005,"Paid",IF(T1314&gt;0,"Partial","Unpaid"))))</f>
        <v/>
      </c>
      <c r="W1314" s="55">
        <f>IF(B1314="","",IFERROR(1/(1/INDEX('STAFF &amp; TASKS'!$C$5:$C$24,MATCH(H1314,'STAFF &amp; TASKS'!$A$5:$A$24,0))),PayRate))</f>
        <v/>
      </c>
      <c r="X1314" s="55">
        <f>IF(B1314="","",IF(OR(O1314="Cancelled",O1314="No-Show"),"",ROUND(R1314*W1314*(1+Burden),2)))</f>
        <v/>
      </c>
      <c r="Y1314" s="55">
        <f>IF(B1314="","",IF(OR(O1314="Cancelled",O1314="No-Show"),"",IF(N1314&lt;&gt;"",N1314,ROUND(R1314*SupHr*IFERROR(INDEX('PRICING'!$G$7:$G$16,MATCH(F1314,'PRICING'!$A$7:$A$16,0)),1),2))))</f>
        <v/>
      </c>
      <c r="Z1314" s="98">
        <f>IF(B1314="","",SUMIFS('MILEAGE'!$J$5:$J$1504,'MILEAGE'!$B$5:$B$1504,A1314))</f>
        <v/>
      </c>
      <c r="AA1314" s="55">
        <f>IF(B1314="","",ROUND(Z1314*MileRate,2))</f>
        <v/>
      </c>
      <c r="AB1314" s="55">
        <f>IF(B1314="","",SUMIFS('REVENUE'!$J$5:$J$1504,'REVENUE'!$B$5:$B$1504,A1314))</f>
        <v/>
      </c>
      <c r="AC1314" s="55">
        <f>IF(L1314="","",IF(OR(O1314="Cancelled",O1314="No-Show"),"",L1314-N(X1314)-N(Y1314)-AA1314-AB1314))</f>
        <v/>
      </c>
      <c r="AD1314" s="99">
        <f>IF(OR(AC1314="",N(L1314)=0),"",AC1314/L1314)</f>
        <v/>
      </c>
      <c r="AE1314" s="55">
        <f>IF(OR(AC1314="",N(R1314)=0),"",L1314/R1314)</f>
        <v/>
      </c>
      <c r="AF1314" s="100">
        <f>IF(OR(N(K1314)=0,N(J1314)+N(Q1314)=0),"",K1314-IF(N(J1314)&gt;0,J1314,Q1314))</f>
        <v/>
      </c>
      <c r="AG1314" s="99">
        <f>IF(B1314="","",IFERROR(AVERAGEIFS('QUALITY CONTROL'!$M$5:$M$304,'QUALITY CONTROL'!$B$5:$B$304,A1314),""))</f>
        <v/>
      </c>
      <c r="AH1314" s="51">
        <f>IF(B1314="","",DATE(YEAR(B1314),MONTH(B1314),1))</f>
        <v/>
      </c>
      <c r="AI1314" s="49">
        <f>IF(D1314="","",IFERROR(INDEX('CUSTOMERS'!$E$5:$E$404,MATCH(D1314,'CUSTOMERS'!$B$5:$B$404,0)),""))</f>
        <v/>
      </c>
      <c r="AJ1314" s="49">
        <f>IF(B1314="","",N(C1314))</f>
        <v/>
      </c>
      <c r="AK1314" s="49">
        <f>IF(OR(B1314="",O1314="Cancelled",O1314="Rescheduled"),"",B1314&amp;"|"&amp;(COUNTIFS('JOBS'!$B$5:$B$1504,B1314,'JOBS'!$AJ$5:$AJ$1504,"&lt;"&amp;AJ1314,'JOBS'!$O$5:$O$1504,"&lt;&gt;Cancelled",'JOBS'!$O$5:$O$1504,"&lt;&gt;Rescheduled")+COUNTIFS($B$5:B1314,B1314,$AJ$5:AJ1314,AJ1314,$O$5:O1314,"&lt;&gt;Cancelled",$O$5:O1314,"&lt;&gt;Rescheduled")))</f>
        <v/>
      </c>
      <c r="AL1314" s="49">
        <f>IF(N(U1314)&lt;=0.005,"",COUNTIFS('JOBS'!$U$5:$U$1504,"&gt;0.005",'JOBS'!$B$5:$B$1504,"&lt;"&amp;B1314)+COUNTIFS($U$5:U1314,"&gt;0.005",$B$5:B1314,B1314))</f>
        <v/>
      </c>
    </row>
    <row r="1315">
      <c r="A1315" s="46" t="inlineStr">
        <is>
          <t>J-1311</t>
        </is>
      </c>
      <c r="B1315" s="47" t="n"/>
      <c r="C1315" s="94" t="n"/>
      <c r="D1315" s="38" t="n"/>
      <c r="E1315" s="38" t="n"/>
      <c r="F1315" s="38" t="n"/>
      <c r="G1315" s="38" t="n"/>
      <c r="H1315" s="38" t="n"/>
      <c r="I1315" s="57" t="n"/>
      <c r="J1315" s="95" t="n"/>
      <c r="K1315" s="95" t="n"/>
      <c r="L1315" s="48" t="n"/>
      <c r="M1315" s="96" t="n"/>
      <c r="N1315" s="48" t="n"/>
      <c r="O1315" s="38" t="n"/>
      <c r="P1315" s="38" t="n"/>
      <c r="Q1315" s="97">
        <f>IF(OR(F1315="",E1315=""),"",IFERROR(IF(INDEX('PROPERTIES'!$F$5:$F$404,MATCH(E1315,'PROPERTIES'!$B$5:$B$404,0))=0,"",ROUND((INDEX('PROPERTIES'!$F$5:$F$404,MATCH(E1315,'PROPERTIES'!$B$5:$B$404,0))/INDEX('PRICING'!$C$7:$C$16,MATCH(F1315,'PRICING'!$A$7:$A$16,0))+INDEX('PROPERTIES'!$G$5:$G$404,MATCH(E1315,'PROPERTIES'!$B$5:$B$404,0))*INDEX('PRICING'!$D$7:$D$16,MATCH(F1315,'PRICING'!$A$7:$A$16,0))/60+INDEX('PROPERTIES'!$H$5:$H$404,MATCH(E1315,'PROPERTIES'!$B$5:$B$404,0))*INDEX('PRICING'!$E$7:$E$16,MATCH(F1315,'PRICING'!$A$7:$A$16,0))/60+INDEX('PRICING'!$F$7:$F$16,MATCH(F1315,'PRICING'!$A$7:$A$16,0))/60),2)),""))</f>
        <v/>
      </c>
      <c r="R1315" s="97">
        <f>IF(B1315="","",IF(N(K1315)&gt;0,K1315,IF(N(J1315)&gt;0,J1315,N(Q1315))))</f>
        <v/>
      </c>
      <c r="S1315" s="55">
        <f>IF(L1315="","",ROUND(L1315*(1+N(M1315)),2))</f>
        <v/>
      </c>
      <c r="T1315" s="55">
        <f>IF(B1315="","",SUMIFS('REVENUE'!$C$5:$C$1504,'REVENUE'!$B$5:$B$1504,A1315))</f>
        <v/>
      </c>
      <c r="U1315" s="55">
        <f>IF(B1315="","",IF(O1315="Completed",MAX(0,N(S1315)-T1315),""))</f>
        <v/>
      </c>
      <c r="V1315" s="49">
        <f>IF(B1315="","",IF(O1315&lt;&gt;"Completed",IF(T1315&gt;0,"Deposit","—"),IF(U1315&lt;=0.005,"Paid",IF(T1315&gt;0,"Partial","Unpaid"))))</f>
        <v/>
      </c>
      <c r="W1315" s="55">
        <f>IF(B1315="","",IFERROR(1/(1/INDEX('STAFF &amp; TASKS'!$C$5:$C$24,MATCH(H1315,'STAFF &amp; TASKS'!$A$5:$A$24,0))),PayRate))</f>
        <v/>
      </c>
      <c r="X1315" s="55">
        <f>IF(B1315="","",IF(OR(O1315="Cancelled",O1315="No-Show"),"",ROUND(R1315*W1315*(1+Burden),2)))</f>
        <v/>
      </c>
      <c r="Y1315" s="55">
        <f>IF(B1315="","",IF(OR(O1315="Cancelled",O1315="No-Show"),"",IF(N1315&lt;&gt;"",N1315,ROUND(R1315*SupHr*IFERROR(INDEX('PRICING'!$G$7:$G$16,MATCH(F1315,'PRICING'!$A$7:$A$16,0)),1),2))))</f>
        <v/>
      </c>
      <c r="Z1315" s="98">
        <f>IF(B1315="","",SUMIFS('MILEAGE'!$J$5:$J$1504,'MILEAGE'!$B$5:$B$1504,A1315))</f>
        <v/>
      </c>
      <c r="AA1315" s="55">
        <f>IF(B1315="","",ROUND(Z1315*MileRate,2))</f>
        <v/>
      </c>
      <c r="AB1315" s="55">
        <f>IF(B1315="","",SUMIFS('REVENUE'!$J$5:$J$1504,'REVENUE'!$B$5:$B$1504,A1315))</f>
        <v/>
      </c>
      <c r="AC1315" s="55">
        <f>IF(L1315="","",IF(OR(O1315="Cancelled",O1315="No-Show"),"",L1315-N(X1315)-N(Y1315)-AA1315-AB1315))</f>
        <v/>
      </c>
      <c r="AD1315" s="99">
        <f>IF(OR(AC1315="",N(L1315)=0),"",AC1315/L1315)</f>
        <v/>
      </c>
      <c r="AE1315" s="55">
        <f>IF(OR(AC1315="",N(R1315)=0),"",L1315/R1315)</f>
        <v/>
      </c>
      <c r="AF1315" s="100">
        <f>IF(OR(N(K1315)=0,N(J1315)+N(Q1315)=0),"",K1315-IF(N(J1315)&gt;0,J1315,Q1315))</f>
        <v/>
      </c>
      <c r="AG1315" s="99">
        <f>IF(B1315="","",IFERROR(AVERAGEIFS('QUALITY CONTROL'!$M$5:$M$304,'QUALITY CONTROL'!$B$5:$B$304,A1315),""))</f>
        <v/>
      </c>
      <c r="AH1315" s="51">
        <f>IF(B1315="","",DATE(YEAR(B1315),MONTH(B1315),1))</f>
        <v/>
      </c>
      <c r="AI1315" s="49">
        <f>IF(D1315="","",IFERROR(INDEX('CUSTOMERS'!$E$5:$E$404,MATCH(D1315,'CUSTOMERS'!$B$5:$B$404,0)),""))</f>
        <v/>
      </c>
      <c r="AJ1315" s="49">
        <f>IF(B1315="","",N(C1315))</f>
        <v/>
      </c>
      <c r="AK1315" s="49">
        <f>IF(OR(B1315="",O1315="Cancelled",O1315="Rescheduled"),"",B1315&amp;"|"&amp;(COUNTIFS('JOBS'!$B$5:$B$1504,B1315,'JOBS'!$AJ$5:$AJ$1504,"&lt;"&amp;AJ1315,'JOBS'!$O$5:$O$1504,"&lt;&gt;Cancelled",'JOBS'!$O$5:$O$1504,"&lt;&gt;Rescheduled")+COUNTIFS($B$5:B1315,B1315,$AJ$5:AJ1315,AJ1315,$O$5:O1315,"&lt;&gt;Cancelled",$O$5:O1315,"&lt;&gt;Rescheduled")))</f>
        <v/>
      </c>
      <c r="AL1315" s="49">
        <f>IF(N(U1315)&lt;=0.005,"",COUNTIFS('JOBS'!$U$5:$U$1504,"&gt;0.005",'JOBS'!$B$5:$B$1504,"&lt;"&amp;B1315)+COUNTIFS($U$5:U1315,"&gt;0.005",$B$5:B1315,B1315))</f>
        <v/>
      </c>
    </row>
    <row r="1316">
      <c r="A1316" s="46" t="inlineStr">
        <is>
          <t>J-1312</t>
        </is>
      </c>
      <c r="B1316" s="47" t="n"/>
      <c r="C1316" s="94" t="n"/>
      <c r="D1316" s="38" t="n"/>
      <c r="E1316" s="38" t="n"/>
      <c r="F1316" s="38" t="n"/>
      <c r="G1316" s="38" t="n"/>
      <c r="H1316" s="38" t="n"/>
      <c r="I1316" s="57" t="n"/>
      <c r="J1316" s="95" t="n"/>
      <c r="K1316" s="95" t="n"/>
      <c r="L1316" s="48" t="n"/>
      <c r="M1316" s="96" t="n"/>
      <c r="N1316" s="48" t="n"/>
      <c r="O1316" s="38" t="n"/>
      <c r="P1316" s="38" t="n"/>
      <c r="Q1316" s="97">
        <f>IF(OR(F1316="",E1316=""),"",IFERROR(IF(INDEX('PROPERTIES'!$F$5:$F$404,MATCH(E1316,'PROPERTIES'!$B$5:$B$404,0))=0,"",ROUND((INDEX('PROPERTIES'!$F$5:$F$404,MATCH(E1316,'PROPERTIES'!$B$5:$B$404,0))/INDEX('PRICING'!$C$7:$C$16,MATCH(F1316,'PRICING'!$A$7:$A$16,0))+INDEX('PROPERTIES'!$G$5:$G$404,MATCH(E1316,'PROPERTIES'!$B$5:$B$404,0))*INDEX('PRICING'!$D$7:$D$16,MATCH(F1316,'PRICING'!$A$7:$A$16,0))/60+INDEX('PROPERTIES'!$H$5:$H$404,MATCH(E1316,'PROPERTIES'!$B$5:$B$404,0))*INDEX('PRICING'!$E$7:$E$16,MATCH(F1316,'PRICING'!$A$7:$A$16,0))/60+INDEX('PRICING'!$F$7:$F$16,MATCH(F1316,'PRICING'!$A$7:$A$16,0))/60),2)),""))</f>
        <v/>
      </c>
      <c r="R1316" s="97">
        <f>IF(B1316="","",IF(N(K1316)&gt;0,K1316,IF(N(J1316)&gt;0,J1316,N(Q1316))))</f>
        <v/>
      </c>
      <c r="S1316" s="55">
        <f>IF(L1316="","",ROUND(L1316*(1+N(M1316)),2))</f>
        <v/>
      </c>
      <c r="T1316" s="55">
        <f>IF(B1316="","",SUMIFS('REVENUE'!$C$5:$C$1504,'REVENUE'!$B$5:$B$1504,A1316))</f>
        <v/>
      </c>
      <c r="U1316" s="55">
        <f>IF(B1316="","",IF(O1316="Completed",MAX(0,N(S1316)-T1316),""))</f>
        <v/>
      </c>
      <c r="V1316" s="49">
        <f>IF(B1316="","",IF(O1316&lt;&gt;"Completed",IF(T1316&gt;0,"Deposit","—"),IF(U1316&lt;=0.005,"Paid",IF(T1316&gt;0,"Partial","Unpaid"))))</f>
        <v/>
      </c>
      <c r="W1316" s="55">
        <f>IF(B1316="","",IFERROR(1/(1/INDEX('STAFF &amp; TASKS'!$C$5:$C$24,MATCH(H1316,'STAFF &amp; TASKS'!$A$5:$A$24,0))),PayRate))</f>
        <v/>
      </c>
      <c r="X1316" s="55">
        <f>IF(B1316="","",IF(OR(O1316="Cancelled",O1316="No-Show"),"",ROUND(R1316*W1316*(1+Burden),2)))</f>
        <v/>
      </c>
      <c r="Y1316" s="55">
        <f>IF(B1316="","",IF(OR(O1316="Cancelled",O1316="No-Show"),"",IF(N1316&lt;&gt;"",N1316,ROUND(R1316*SupHr*IFERROR(INDEX('PRICING'!$G$7:$G$16,MATCH(F1316,'PRICING'!$A$7:$A$16,0)),1),2))))</f>
        <v/>
      </c>
      <c r="Z1316" s="98">
        <f>IF(B1316="","",SUMIFS('MILEAGE'!$J$5:$J$1504,'MILEAGE'!$B$5:$B$1504,A1316))</f>
        <v/>
      </c>
      <c r="AA1316" s="55">
        <f>IF(B1316="","",ROUND(Z1316*MileRate,2))</f>
        <v/>
      </c>
      <c r="AB1316" s="55">
        <f>IF(B1316="","",SUMIFS('REVENUE'!$J$5:$J$1504,'REVENUE'!$B$5:$B$1504,A1316))</f>
        <v/>
      </c>
      <c r="AC1316" s="55">
        <f>IF(L1316="","",IF(OR(O1316="Cancelled",O1316="No-Show"),"",L1316-N(X1316)-N(Y1316)-AA1316-AB1316))</f>
        <v/>
      </c>
      <c r="AD1316" s="99">
        <f>IF(OR(AC1316="",N(L1316)=0),"",AC1316/L1316)</f>
        <v/>
      </c>
      <c r="AE1316" s="55">
        <f>IF(OR(AC1316="",N(R1316)=0),"",L1316/R1316)</f>
        <v/>
      </c>
      <c r="AF1316" s="100">
        <f>IF(OR(N(K1316)=0,N(J1316)+N(Q1316)=0),"",K1316-IF(N(J1316)&gt;0,J1316,Q1316))</f>
        <v/>
      </c>
      <c r="AG1316" s="99">
        <f>IF(B1316="","",IFERROR(AVERAGEIFS('QUALITY CONTROL'!$M$5:$M$304,'QUALITY CONTROL'!$B$5:$B$304,A1316),""))</f>
        <v/>
      </c>
      <c r="AH1316" s="51">
        <f>IF(B1316="","",DATE(YEAR(B1316),MONTH(B1316),1))</f>
        <v/>
      </c>
      <c r="AI1316" s="49">
        <f>IF(D1316="","",IFERROR(INDEX('CUSTOMERS'!$E$5:$E$404,MATCH(D1316,'CUSTOMERS'!$B$5:$B$404,0)),""))</f>
        <v/>
      </c>
      <c r="AJ1316" s="49">
        <f>IF(B1316="","",N(C1316))</f>
        <v/>
      </c>
      <c r="AK1316" s="49">
        <f>IF(OR(B1316="",O1316="Cancelled",O1316="Rescheduled"),"",B1316&amp;"|"&amp;(COUNTIFS('JOBS'!$B$5:$B$1504,B1316,'JOBS'!$AJ$5:$AJ$1504,"&lt;"&amp;AJ1316,'JOBS'!$O$5:$O$1504,"&lt;&gt;Cancelled",'JOBS'!$O$5:$O$1504,"&lt;&gt;Rescheduled")+COUNTIFS($B$5:B1316,B1316,$AJ$5:AJ1316,AJ1316,$O$5:O1316,"&lt;&gt;Cancelled",$O$5:O1316,"&lt;&gt;Rescheduled")))</f>
        <v/>
      </c>
      <c r="AL1316" s="49">
        <f>IF(N(U1316)&lt;=0.005,"",COUNTIFS('JOBS'!$U$5:$U$1504,"&gt;0.005",'JOBS'!$B$5:$B$1504,"&lt;"&amp;B1316)+COUNTIFS($U$5:U1316,"&gt;0.005",$B$5:B1316,B1316))</f>
        <v/>
      </c>
    </row>
    <row r="1317">
      <c r="A1317" s="46" t="inlineStr">
        <is>
          <t>J-1313</t>
        </is>
      </c>
      <c r="B1317" s="47" t="n"/>
      <c r="C1317" s="94" t="n"/>
      <c r="D1317" s="38" t="n"/>
      <c r="E1317" s="38" t="n"/>
      <c r="F1317" s="38" t="n"/>
      <c r="G1317" s="38" t="n"/>
      <c r="H1317" s="38" t="n"/>
      <c r="I1317" s="57" t="n"/>
      <c r="J1317" s="95" t="n"/>
      <c r="K1317" s="95" t="n"/>
      <c r="L1317" s="48" t="n"/>
      <c r="M1317" s="96" t="n"/>
      <c r="N1317" s="48" t="n"/>
      <c r="O1317" s="38" t="n"/>
      <c r="P1317" s="38" t="n"/>
      <c r="Q1317" s="97">
        <f>IF(OR(F1317="",E1317=""),"",IFERROR(IF(INDEX('PROPERTIES'!$F$5:$F$404,MATCH(E1317,'PROPERTIES'!$B$5:$B$404,0))=0,"",ROUND((INDEX('PROPERTIES'!$F$5:$F$404,MATCH(E1317,'PROPERTIES'!$B$5:$B$404,0))/INDEX('PRICING'!$C$7:$C$16,MATCH(F1317,'PRICING'!$A$7:$A$16,0))+INDEX('PROPERTIES'!$G$5:$G$404,MATCH(E1317,'PROPERTIES'!$B$5:$B$404,0))*INDEX('PRICING'!$D$7:$D$16,MATCH(F1317,'PRICING'!$A$7:$A$16,0))/60+INDEX('PROPERTIES'!$H$5:$H$404,MATCH(E1317,'PROPERTIES'!$B$5:$B$404,0))*INDEX('PRICING'!$E$7:$E$16,MATCH(F1317,'PRICING'!$A$7:$A$16,0))/60+INDEX('PRICING'!$F$7:$F$16,MATCH(F1317,'PRICING'!$A$7:$A$16,0))/60),2)),""))</f>
        <v/>
      </c>
      <c r="R1317" s="97">
        <f>IF(B1317="","",IF(N(K1317)&gt;0,K1317,IF(N(J1317)&gt;0,J1317,N(Q1317))))</f>
        <v/>
      </c>
      <c r="S1317" s="55">
        <f>IF(L1317="","",ROUND(L1317*(1+N(M1317)),2))</f>
        <v/>
      </c>
      <c r="T1317" s="55">
        <f>IF(B1317="","",SUMIFS('REVENUE'!$C$5:$C$1504,'REVENUE'!$B$5:$B$1504,A1317))</f>
        <v/>
      </c>
      <c r="U1317" s="55">
        <f>IF(B1317="","",IF(O1317="Completed",MAX(0,N(S1317)-T1317),""))</f>
        <v/>
      </c>
      <c r="V1317" s="49">
        <f>IF(B1317="","",IF(O1317&lt;&gt;"Completed",IF(T1317&gt;0,"Deposit","—"),IF(U1317&lt;=0.005,"Paid",IF(T1317&gt;0,"Partial","Unpaid"))))</f>
        <v/>
      </c>
      <c r="W1317" s="55">
        <f>IF(B1317="","",IFERROR(1/(1/INDEX('STAFF &amp; TASKS'!$C$5:$C$24,MATCH(H1317,'STAFF &amp; TASKS'!$A$5:$A$24,0))),PayRate))</f>
        <v/>
      </c>
      <c r="X1317" s="55">
        <f>IF(B1317="","",IF(OR(O1317="Cancelled",O1317="No-Show"),"",ROUND(R1317*W1317*(1+Burden),2)))</f>
        <v/>
      </c>
      <c r="Y1317" s="55">
        <f>IF(B1317="","",IF(OR(O1317="Cancelled",O1317="No-Show"),"",IF(N1317&lt;&gt;"",N1317,ROUND(R1317*SupHr*IFERROR(INDEX('PRICING'!$G$7:$G$16,MATCH(F1317,'PRICING'!$A$7:$A$16,0)),1),2))))</f>
        <v/>
      </c>
      <c r="Z1317" s="98">
        <f>IF(B1317="","",SUMIFS('MILEAGE'!$J$5:$J$1504,'MILEAGE'!$B$5:$B$1504,A1317))</f>
        <v/>
      </c>
      <c r="AA1317" s="55">
        <f>IF(B1317="","",ROUND(Z1317*MileRate,2))</f>
        <v/>
      </c>
      <c r="AB1317" s="55">
        <f>IF(B1317="","",SUMIFS('REVENUE'!$J$5:$J$1504,'REVENUE'!$B$5:$B$1504,A1317))</f>
        <v/>
      </c>
      <c r="AC1317" s="55">
        <f>IF(L1317="","",IF(OR(O1317="Cancelled",O1317="No-Show"),"",L1317-N(X1317)-N(Y1317)-AA1317-AB1317))</f>
        <v/>
      </c>
      <c r="AD1317" s="99">
        <f>IF(OR(AC1317="",N(L1317)=0),"",AC1317/L1317)</f>
        <v/>
      </c>
      <c r="AE1317" s="55">
        <f>IF(OR(AC1317="",N(R1317)=0),"",L1317/R1317)</f>
        <v/>
      </c>
      <c r="AF1317" s="100">
        <f>IF(OR(N(K1317)=0,N(J1317)+N(Q1317)=0),"",K1317-IF(N(J1317)&gt;0,J1317,Q1317))</f>
        <v/>
      </c>
      <c r="AG1317" s="99">
        <f>IF(B1317="","",IFERROR(AVERAGEIFS('QUALITY CONTROL'!$M$5:$M$304,'QUALITY CONTROL'!$B$5:$B$304,A1317),""))</f>
        <v/>
      </c>
      <c r="AH1317" s="51">
        <f>IF(B1317="","",DATE(YEAR(B1317),MONTH(B1317),1))</f>
        <v/>
      </c>
      <c r="AI1317" s="49">
        <f>IF(D1317="","",IFERROR(INDEX('CUSTOMERS'!$E$5:$E$404,MATCH(D1317,'CUSTOMERS'!$B$5:$B$404,0)),""))</f>
        <v/>
      </c>
      <c r="AJ1317" s="49">
        <f>IF(B1317="","",N(C1317))</f>
        <v/>
      </c>
      <c r="AK1317" s="49">
        <f>IF(OR(B1317="",O1317="Cancelled",O1317="Rescheduled"),"",B1317&amp;"|"&amp;(COUNTIFS('JOBS'!$B$5:$B$1504,B1317,'JOBS'!$AJ$5:$AJ$1504,"&lt;"&amp;AJ1317,'JOBS'!$O$5:$O$1504,"&lt;&gt;Cancelled",'JOBS'!$O$5:$O$1504,"&lt;&gt;Rescheduled")+COUNTIFS($B$5:B1317,B1317,$AJ$5:AJ1317,AJ1317,$O$5:O1317,"&lt;&gt;Cancelled",$O$5:O1317,"&lt;&gt;Rescheduled")))</f>
        <v/>
      </c>
      <c r="AL1317" s="49">
        <f>IF(N(U1317)&lt;=0.005,"",COUNTIFS('JOBS'!$U$5:$U$1504,"&gt;0.005",'JOBS'!$B$5:$B$1504,"&lt;"&amp;B1317)+COUNTIFS($U$5:U1317,"&gt;0.005",$B$5:B1317,B1317))</f>
        <v/>
      </c>
    </row>
    <row r="1318">
      <c r="A1318" s="46" t="inlineStr">
        <is>
          <t>J-1314</t>
        </is>
      </c>
      <c r="B1318" s="47" t="n"/>
      <c r="C1318" s="94" t="n"/>
      <c r="D1318" s="38" t="n"/>
      <c r="E1318" s="38" t="n"/>
      <c r="F1318" s="38" t="n"/>
      <c r="G1318" s="38" t="n"/>
      <c r="H1318" s="38" t="n"/>
      <c r="I1318" s="57" t="n"/>
      <c r="J1318" s="95" t="n"/>
      <c r="K1318" s="95" t="n"/>
      <c r="L1318" s="48" t="n"/>
      <c r="M1318" s="96" t="n"/>
      <c r="N1318" s="48" t="n"/>
      <c r="O1318" s="38" t="n"/>
      <c r="P1318" s="38" t="n"/>
      <c r="Q1318" s="97">
        <f>IF(OR(F1318="",E1318=""),"",IFERROR(IF(INDEX('PROPERTIES'!$F$5:$F$404,MATCH(E1318,'PROPERTIES'!$B$5:$B$404,0))=0,"",ROUND((INDEX('PROPERTIES'!$F$5:$F$404,MATCH(E1318,'PROPERTIES'!$B$5:$B$404,0))/INDEX('PRICING'!$C$7:$C$16,MATCH(F1318,'PRICING'!$A$7:$A$16,0))+INDEX('PROPERTIES'!$G$5:$G$404,MATCH(E1318,'PROPERTIES'!$B$5:$B$404,0))*INDEX('PRICING'!$D$7:$D$16,MATCH(F1318,'PRICING'!$A$7:$A$16,0))/60+INDEX('PROPERTIES'!$H$5:$H$404,MATCH(E1318,'PROPERTIES'!$B$5:$B$404,0))*INDEX('PRICING'!$E$7:$E$16,MATCH(F1318,'PRICING'!$A$7:$A$16,0))/60+INDEX('PRICING'!$F$7:$F$16,MATCH(F1318,'PRICING'!$A$7:$A$16,0))/60),2)),""))</f>
        <v/>
      </c>
      <c r="R1318" s="97">
        <f>IF(B1318="","",IF(N(K1318)&gt;0,K1318,IF(N(J1318)&gt;0,J1318,N(Q1318))))</f>
        <v/>
      </c>
      <c r="S1318" s="55">
        <f>IF(L1318="","",ROUND(L1318*(1+N(M1318)),2))</f>
        <v/>
      </c>
      <c r="T1318" s="55">
        <f>IF(B1318="","",SUMIFS('REVENUE'!$C$5:$C$1504,'REVENUE'!$B$5:$B$1504,A1318))</f>
        <v/>
      </c>
      <c r="U1318" s="55">
        <f>IF(B1318="","",IF(O1318="Completed",MAX(0,N(S1318)-T1318),""))</f>
        <v/>
      </c>
      <c r="V1318" s="49">
        <f>IF(B1318="","",IF(O1318&lt;&gt;"Completed",IF(T1318&gt;0,"Deposit","—"),IF(U1318&lt;=0.005,"Paid",IF(T1318&gt;0,"Partial","Unpaid"))))</f>
        <v/>
      </c>
      <c r="W1318" s="55">
        <f>IF(B1318="","",IFERROR(1/(1/INDEX('STAFF &amp; TASKS'!$C$5:$C$24,MATCH(H1318,'STAFF &amp; TASKS'!$A$5:$A$24,0))),PayRate))</f>
        <v/>
      </c>
      <c r="X1318" s="55">
        <f>IF(B1318="","",IF(OR(O1318="Cancelled",O1318="No-Show"),"",ROUND(R1318*W1318*(1+Burden),2)))</f>
        <v/>
      </c>
      <c r="Y1318" s="55">
        <f>IF(B1318="","",IF(OR(O1318="Cancelled",O1318="No-Show"),"",IF(N1318&lt;&gt;"",N1318,ROUND(R1318*SupHr*IFERROR(INDEX('PRICING'!$G$7:$G$16,MATCH(F1318,'PRICING'!$A$7:$A$16,0)),1),2))))</f>
        <v/>
      </c>
      <c r="Z1318" s="98">
        <f>IF(B1318="","",SUMIFS('MILEAGE'!$J$5:$J$1504,'MILEAGE'!$B$5:$B$1504,A1318))</f>
        <v/>
      </c>
      <c r="AA1318" s="55">
        <f>IF(B1318="","",ROUND(Z1318*MileRate,2))</f>
        <v/>
      </c>
      <c r="AB1318" s="55">
        <f>IF(B1318="","",SUMIFS('REVENUE'!$J$5:$J$1504,'REVENUE'!$B$5:$B$1504,A1318))</f>
        <v/>
      </c>
      <c r="AC1318" s="55">
        <f>IF(L1318="","",IF(OR(O1318="Cancelled",O1318="No-Show"),"",L1318-N(X1318)-N(Y1318)-AA1318-AB1318))</f>
        <v/>
      </c>
      <c r="AD1318" s="99">
        <f>IF(OR(AC1318="",N(L1318)=0),"",AC1318/L1318)</f>
        <v/>
      </c>
      <c r="AE1318" s="55">
        <f>IF(OR(AC1318="",N(R1318)=0),"",L1318/R1318)</f>
        <v/>
      </c>
      <c r="AF1318" s="100">
        <f>IF(OR(N(K1318)=0,N(J1318)+N(Q1318)=0),"",K1318-IF(N(J1318)&gt;0,J1318,Q1318))</f>
        <v/>
      </c>
      <c r="AG1318" s="99">
        <f>IF(B1318="","",IFERROR(AVERAGEIFS('QUALITY CONTROL'!$M$5:$M$304,'QUALITY CONTROL'!$B$5:$B$304,A1318),""))</f>
        <v/>
      </c>
      <c r="AH1318" s="51">
        <f>IF(B1318="","",DATE(YEAR(B1318),MONTH(B1318),1))</f>
        <v/>
      </c>
      <c r="AI1318" s="49">
        <f>IF(D1318="","",IFERROR(INDEX('CUSTOMERS'!$E$5:$E$404,MATCH(D1318,'CUSTOMERS'!$B$5:$B$404,0)),""))</f>
        <v/>
      </c>
      <c r="AJ1318" s="49">
        <f>IF(B1318="","",N(C1318))</f>
        <v/>
      </c>
      <c r="AK1318" s="49">
        <f>IF(OR(B1318="",O1318="Cancelled",O1318="Rescheduled"),"",B1318&amp;"|"&amp;(COUNTIFS('JOBS'!$B$5:$B$1504,B1318,'JOBS'!$AJ$5:$AJ$1504,"&lt;"&amp;AJ1318,'JOBS'!$O$5:$O$1504,"&lt;&gt;Cancelled",'JOBS'!$O$5:$O$1504,"&lt;&gt;Rescheduled")+COUNTIFS($B$5:B1318,B1318,$AJ$5:AJ1318,AJ1318,$O$5:O1318,"&lt;&gt;Cancelled",$O$5:O1318,"&lt;&gt;Rescheduled")))</f>
        <v/>
      </c>
      <c r="AL1318" s="49">
        <f>IF(N(U1318)&lt;=0.005,"",COUNTIFS('JOBS'!$U$5:$U$1504,"&gt;0.005",'JOBS'!$B$5:$B$1504,"&lt;"&amp;B1318)+COUNTIFS($U$5:U1318,"&gt;0.005",$B$5:B1318,B1318))</f>
        <v/>
      </c>
    </row>
    <row r="1319">
      <c r="A1319" s="46" t="inlineStr">
        <is>
          <t>J-1315</t>
        </is>
      </c>
      <c r="B1319" s="47" t="n"/>
      <c r="C1319" s="94" t="n"/>
      <c r="D1319" s="38" t="n"/>
      <c r="E1319" s="38" t="n"/>
      <c r="F1319" s="38" t="n"/>
      <c r="G1319" s="38" t="n"/>
      <c r="H1319" s="38" t="n"/>
      <c r="I1319" s="57" t="n"/>
      <c r="J1319" s="95" t="n"/>
      <c r="K1319" s="95" t="n"/>
      <c r="L1319" s="48" t="n"/>
      <c r="M1319" s="96" t="n"/>
      <c r="N1319" s="48" t="n"/>
      <c r="O1319" s="38" t="n"/>
      <c r="P1319" s="38" t="n"/>
      <c r="Q1319" s="97">
        <f>IF(OR(F1319="",E1319=""),"",IFERROR(IF(INDEX('PROPERTIES'!$F$5:$F$404,MATCH(E1319,'PROPERTIES'!$B$5:$B$404,0))=0,"",ROUND((INDEX('PROPERTIES'!$F$5:$F$404,MATCH(E1319,'PROPERTIES'!$B$5:$B$404,0))/INDEX('PRICING'!$C$7:$C$16,MATCH(F1319,'PRICING'!$A$7:$A$16,0))+INDEX('PROPERTIES'!$G$5:$G$404,MATCH(E1319,'PROPERTIES'!$B$5:$B$404,0))*INDEX('PRICING'!$D$7:$D$16,MATCH(F1319,'PRICING'!$A$7:$A$16,0))/60+INDEX('PROPERTIES'!$H$5:$H$404,MATCH(E1319,'PROPERTIES'!$B$5:$B$404,0))*INDEX('PRICING'!$E$7:$E$16,MATCH(F1319,'PRICING'!$A$7:$A$16,0))/60+INDEX('PRICING'!$F$7:$F$16,MATCH(F1319,'PRICING'!$A$7:$A$16,0))/60),2)),""))</f>
        <v/>
      </c>
      <c r="R1319" s="97">
        <f>IF(B1319="","",IF(N(K1319)&gt;0,K1319,IF(N(J1319)&gt;0,J1319,N(Q1319))))</f>
        <v/>
      </c>
      <c r="S1319" s="55">
        <f>IF(L1319="","",ROUND(L1319*(1+N(M1319)),2))</f>
        <v/>
      </c>
      <c r="T1319" s="55">
        <f>IF(B1319="","",SUMIFS('REVENUE'!$C$5:$C$1504,'REVENUE'!$B$5:$B$1504,A1319))</f>
        <v/>
      </c>
      <c r="U1319" s="55">
        <f>IF(B1319="","",IF(O1319="Completed",MAX(0,N(S1319)-T1319),""))</f>
        <v/>
      </c>
      <c r="V1319" s="49">
        <f>IF(B1319="","",IF(O1319&lt;&gt;"Completed",IF(T1319&gt;0,"Deposit","—"),IF(U1319&lt;=0.005,"Paid",IF(T1319&gt;0,"Partial","Unpaid"))))</f>
        <v/>
      </c>
      <c r="W1319" s="55">
        <f>IF(B1319="","",IFERROR(1/(1/INDEX('STAFF &amp; TASKS'!$C$5:$C$24,MATCH(H1319,'STAFF &amp; TASKS'!$A$5:$A$24,0))),PayRate))</f>
        <v/>
      </c>
      <c r="X1319" s="55">
        <f>IF(B1319="","",IF(OR(O1319="Cancelled",O1319="No-Show"),"",ROUND(R1319*W1319*(1+Burden),2)))</f>
        <v/>
      </c>
      <c r="Y1319" s="55">
        <f>IF(B1319="","",IF(OR(O1319="Cancelled",O1319="No-Show"),"",IF(N1319&lt;&gt;"",N1319,ROUND(R1319*SupHr*IFERROR(INDEX('PRICING'!$G$7:$G$16,MATCH(F1319,'PRICING'!$A$7:$A$16,0)),1),2))))</f>
        <v/>
      </c>
      <c r="Z1319" s="98">
        <f>IF(B1319="","",SUMIFS('MILEAGE'!$J$5:$J$1504,'MILEAGE'!$B$5:$B$1504,A1319))</f>
        <v/>
      </c>
      <c r="AA1319" s="55">
        <f>IF(B1319="","",ROUND(Z1319*MileRate,2))</f>
        <v/>
      </c>
      <c r="AB1319" s="55">
        <f>IF(B1319="","",SUMIFS('REVENUE'!$J$5:$J$1504,'REVENUE'!$B$5:$B$1504,A1319))</f>
        <v/>
      </c>
      <c r="AC1319" s="55">
        <f>IF(L1319="","",IF(OR(O1319="Cancelled",O1319="No-Show"),"",L1319-N(X1319)-N(Y1319)-AA1319-AB1319))</f>
        <v/>
      </c>
      <c r="AD1319" s="99">
        <f>IF(OR(AC1319="",N(L1319)=0),"",AC1319/L1319)</f>
        <v/>
      </c>
      <c r="AE1319" s="55">
        <f>IF(OR(AC1319="",N(R1319)=0),"",L1319/R1319)</f>
        <v/>
      </c>
      <c r="AF1319" s="100">
        <f>IF(OR(N(K1319)=0,N(J1319)+N(Q1319)=0),"",K1319-IF(N(J1319)&gt;0,J1319,Q1319))</f>
        <v/>
      </c>
      <c r="AG1319" s="99">
        <f>IF(B1319="","",IFERROR(AVERAGEIFS('QUALITY CONTROL'!$M$5:$M$304,'QUALITY CONTROL'!$B$5:$B$304,A1319),""))</f>
        <v/>
      </c>
      <c r="AH1319" s="51">
        <f>IF(B1319="","",DATE(YEAR(B1319),MONTH(B1319),1))</f>
        <v/>
      </c>
      <c r="AI1319" s="49">
        <f>IF(D1319="","",IFERROR(INDEX('CUSTOMERS'!$E$5:$E$404,MATCH(D1319,'CUSTOMERS'!$B$5:$B$404,0)),""))</f>
        <v/>
      </c>
      <c r="AJ1319" s="49">
        <f>IF(B1319="","",N(C1319))</f>
        <v/>
      </c>
      <c r="AK1319" s="49">
        <f>IF(OR(B1319="",O1319="Cancelled",O1319="Rescheduled"),"",B1319&amp;"|"&amp;(COUNTIFS('JOBS'!$B$5:$B$1504,B1319,'JOBS'!$AJ$5:$AJ$1504,"&lt;"&amp;AJ1319,'JOBS'!$O$5:$O$1504,"&lt;&gt;Cancelled",'JOBS'!$O$5:$O$1504,"&lt;&gt;Rescheduled")+COUNTIFS($B$5:B1319,B1319,$AJ$5:AJ1319,AJ1319,$O$5:O1319,"&lt;&gt;Cancelled",$O$5:O1319,"&lt;&gt;Rescheduled")))</f>
        <v/>
      </c>
      <c r="AL1319" s="49">
        <f>IF(N(U1319)&lt;=0.005,"",COUNTIFS('JOBS'!$U$5:$U$1504,"&gt;0.005",'JOBS'!$B$5:$B$1504,"&lt;"&amp;B1319)+COUNTIFS($U$5:U1319,"&gt;0.005",$B$5:B1319,B1319))</f>
        <v/>
      </c>
    </row>
    <row r="1320">
      <c r="A1320" s="46" t="inlineStr">
        <is>
          <t>J-1316</t>
        </is>
      </c>
      <c r="B1320" s="47" t="n"/>
      <c r="C1320" s="94" t="n"/>
      <c r="D1320" s="38" t="n"/>
      <c r="E1320" s="38" t="n"/>
      <c r="F1320" s="38" t="n"/>
      <c r="G1320" s="38" t="n"/>
      <c r="H1320" s="38" t="n"/>
      <c r="I1320" s="57" t="n"/>
      <c r="J1320" s="95" t="n"/>
      <c r="K1320" s="95" t="n"/>
      <c r="L1320" s="48" t="n"/>
      <c r="M1320" s="96" t="n"/>
      <c r="N1320" s="48" t="n"/>
      <c r="O1320" s="38" t="n"/>
      <c r="P1320" s="38" t="n"/>
      <c r="Q1320" s="97">
        <f>IF(OR(F1320="",E1320=""),"",IFERROR(IF(INDEX('PROPERTIES'!$F$5:$F$404,MATCH(E1320,'PROPERTIES'!$B$5:$B$404,0))=0,"",ROUND((INDEX('PROPERTIES'!$F$5:$F$404,MATCH(E1320,'PROPERTIES'!$B$5:$B$404,0))/INDEX('PRICING'!$C$7:$C$16,MATCH(F1320,'PRICING'!$A$7:$A$16,0))+INDEX('PROPERTIES'!$G$5:$G$404,MATCH(E1320,'PROPERTIES'!$B$5:$B$404,0))*INDEX('PRICING'!$D$7:$D$16,MATCH(F1320,'PRICING'!$A$7:$A$16,0))/60+INDEX('PROPERTIES'!$H$5:$H$404,MATCH(E1320,'PROPERTIES'!$B$5:$B$404,0))*INDEX('PRICING'!$E$7:$E$16,MATCH(F1320,'PRICING'!$A$7:$A$16,0))/60+INDEX('PRICING'!$F$7:$F$16,MATCH(F1320,'PRICING'!$A$7:$A$16,0))/60),2)),""))</f>
        <v/>
      </c>
      <c r="R1320" s="97">
        <f>IF(B1320="","",IF(N(K1320)&gt;0,K1320,IF(N(J1320)&gt;0,J1320,N(Q1320))))</f>
        <v/>
      </c>
      <c r="S1320" s="55">
        <f>IF(L1320="","",ROUND(L1320*(1+N(M1320)),2))</f>
        <v/>
      </c>
      <c r="T1320" s="55">
        <f>IF(B1320="","",SUMIFS('REVENUE'!$C$5:$C$1504,'REVENUE'!$B$5:$B$1504,A1320))</f>
        <v/>
      </c>
      <c r="U1320" s="55">
        <f>IF(B1320="","",IF(O1320="Completed",MAX(0,N(S1320)-T1320),""))</f>
        <v/>
      </c>
      <c r="V1320" s="49">
        <f>IF(B1320="","",IF(O1320&lt;&gt;"Completed",IF(T1320&gt;0,"Deposit","—"),IF(U1320&lt;=0.005,"Paid",IF(T1320&gt;0,"Partial","Unpaid"))))</f>
        <v/>
      </c>
      <c r="W1320" s="55">
        <f>IF(B1320="","",IFERROR(1/(1/INDEX('STAFF &amp; TASKS'!$C$5:$C$24,MATCH(H1320,'STAFF &amp; TASKS'!$A$5:$A$24,0))),PayRate))</f>
        <v/>
      </c>
      <c r="X1320" s="55">
        <f>IF(B1320="","",IF(OR(O1320="Cancelled",O1320="No-Show"),"",ROUND(R1320*W1320*(1+Burden),2)))</f>
        <v/>
      </c>
      <c r="Y1320" s="55">
        <f>IF(B1320="","",IF(OR(O1320="Cancelled",O1320="No-Show"),"",IF(N1320&lt;&gt;"",N1320,ROUND(R1320*SupHr*IFERROR(INDEX('PRICING'!$G$7:$G$16,MATCH(F1320,'PRICING'!$A$7:$A$16,0)),1),2))))</f>
        <v/>
      </c>
      <c r="Z1320" s="98">
        <f>IF(B1320="","",SUMIFS('MILEAGE'!$J$5:$J$1504,'MILEAGE'!$B$5:$B$1504,A1320))</f>
        <v/>
      </c>
      <c r="AA1320" s="55">
        <f>IF(B1320="","",ROUND(Z1320*MileRate,2))</f>
        <v/>
      </c>
      <c r="AB1320" s="55">
        <f>IF(B1320="","",SUMIFS('REVENUE'!$J$5:$J$1504,'REVENUE'!$B$5:$B$1504,A1320))</f>
        <v/>
      </c>
      <c r="AC1320" s="55">
        <f>IF(L1320="","",IF(OR(O1320="Cancelled",O1320="No-Show"),"",L1320-N(X1320)-N(Y1320)-AA1320-AB1320))</f>
        <v/>
      </c>
      <c r="AD1320" s="99">
        <f>IF(OR(AC1320="",N(L1320)=0),"",AC1320/L1320)</f>
        <v/>
      </c>
      <c r="AE1320" s="55">
        <f>IF(OR(AC1320="",N(R1320)=0),"",L1320/R1320)</f>
        <v/>
      </c>
      <c r="AF1320" s="100">
        <f>IF(OR(N(K1320)=0,N(J1320)+N(Q1320)=0),"",K1320-IF(N(J1320)&gt;0,J1320,Q1320))</f>
        <v/>
      </c>
      <c r="AG1320" s="99">
        <f>IF(B1320="","",IFERROR(AVERAGEIFS('QUALITY CONTROL'!$M$5:$M$304,'QUALITY CONTROL'!$B$5:$B$304,A1320),""))</f>
        <v/>
      </c>
      <c r="AH1320" s="51">
        <f>IF(B1320="","",DATE(YEAR(B1320),MONTH(B1320),1))</f>
        <v/>
      </c>
      <c r="AI1320" s="49">
        <f>IF(D1320="","",IFERROR(INDEX('CUSTOMERS'!$E$5:$E$404,MATCH(D1320,'CUSTOMERS'!$B$5:$B$404,0)),""))</f>
        <v/>
      </c>
      <c r="AJ1320" s="49">
        <f>IF(B1320="","",N(C1320))</f>
        <v/>
      </c>
      <c r="AK1320" s="49">
        <f>IF(OR(B1320="",O1320="Cancelled",O1320="Rescheduled"),"",B1320&amp;"|"&amp;(COUNTIFS('JOBS'!$B$5:$B$1504,B1320,'JOBS'!$AJ$5:$AJ$1504,"&lt;"&amp;AJ1320,'JOBS'!$O$5:$O$1504,"&lt;&gt;Cancelled",'JOBS'!$O$5:$O$1504,"&lt;&gt;Rescheduled")+COUNTIFS($B$5:B1320,B1320,$AJ$5:AJ1320,AJ1320,$O$5:O1320,"&lt;&gt;Cancelled",$O$5:O1320,"&lt;&gt;Rescheduled")))</f>
        <v/>
      </c>
      <c r="AL1320" s="49">
        <f>IF(N(U1320)&lt;=0.005,"",COUNTIFS('JOBS'!$U$5:$U$1504,"&gt;0.005",'JOBS'!$B$5:$B$1504,"&lt;"&amp;B1320)+COUNTIFS($U$5:U1320,"&gt;0.005",$B$5:B1320,B1320))</f>
        <v/>
      </c>
    </row>
    <row r="1321">
      <c r="A1321" s="46" t="inlineStr">
        <is>
          <t>J-1317</t>
        </is>
      </c>
      <c r="B1321" s="47" t="n"/>
      <c r="C1321" s="94" t="n"/>
      <c r="D1321" s="38" t="n"/>
      <c r="E1321" s="38" t="n"/>
      <c r="F1321" s="38" t="n"/>
      <c r="G1321" s="38" t="n"/>
      <c r="H1321" s="38" t="n"/>
      <c r="I1321" s="57" t="n"/>
      <c r="J1321" s="95" t="n"/>
      <c r="K1321" s="95" t="n"/>
      <c r="L1321" s="48" t="n"/>
      <c r="M1321" s="96" t="n"/>
      <c r="N1321" s="48" t="n"/>
      <c r="O1321" s="38" t="n"/>
      <c r="P1321" s="38" t="n"/>
      <c r="Q1321" s="97">
        <f>IF(OR(F1321="",E1321=""),"",IFERROR(IF(INDEX('PROPERTIES'!$F$5:$F$404,MATCH(E1321,'PROPERTIES'!$B$5:$B$404,0))=0,"",ROUND((INDEX('PROPERTIES'!$F$5:$F$404,MATCH(E1321,'PROPERTIES'!$B$5:$B$404,0))/INDEX('PRICING'!$C$7:$C$16,MATCH(F1321,'PRICING'!$A$7:$A$16,0))+INDEX('PROPERTIES'!$G$5:$G$404,MATCH(E1321,'PROPERTIES'!$B$5:$B$404,0))*INDEX('PRICING'!$D$7:$D$16,MATCH(F1321,'PRICING'!$A$7:$A$16,0))/60+INDEX('PROPERTIES'!$H$5:$H$404,MATCH(E1321,'PROPERTIES'!$B$5:$B$404,0))*INDEX('PRICING'!$E$7:$E$16,MATCH(F1321,'PRICING'!$A$7:$A$16,0))/60+INDEX('PRICING'!$F$7:$F$16,MATCH(F1321,'PRICING'!$A$7:$A$16,0))/60),2)),""))</f>
        <v/>
      </c>
      <c r="R1321" s="97">
        <f>IF(B1321="","",IF(N(K1321)&gt;0,K1321,IF(N(J1321)&gt;0,J1321,N(Q1321))))</f>
        <v/>
      </c>
      <c r="S1321" s="55">
        <f>IF(L1321="","",ROUND(L1321*(1+N(M1321)),2))</f>
        <v/>
      </c>
      <c r="T1321" s="55">
        <f>IF(B1321="","",SUMIFS('REVENUE'!$C$5:$C$1504,'REVENUE'!$B$5:$B$1504,A1321))</f>
        <v/>
      </c>
      <c r="U1321" s="55">
        <f>IF(B1321="","",IF(O1321="Completed",MAX(0,N(S1321)-T1321),""))</f>
        <v/>
      </c>
      <c r="V1321" s="49">
        <f>IF(B1321="","",IF(O1321&lt;&gt;"Completed",IF(T1321&gt;0,"Deposit","—"),IF(U1321&lt;=0.005,"Paid",IF(T1321&gt;0,"Partial","Unpaid"))))</f>
        <v/>
      </c>
      <c r="W1321" s="55">
        <f>IF(B1321="","",IFERROR(1/(1/INDEX('STAFF &amp; TASKS'!$C$5:$C$24,MATCH(H1321,'STAFF &amp; TASKS'!$A$5:$A$24,0))),PayRate))</f>
        <v/>
      </c>
      <c r="X1321" s="55">
        <f>IF(B1321="","",IF(OR(O1321="Cancelled",O1321="No-Show"),"",ROUND(R1321*W1321*(1+Burden),2)))</f>
        <v/>
      </c>
      <c r="Y1321" s="55">
        <f>IF(B1321="","",IF(OR(O1321="Cancelled",O1321="No-Show"),"",IF(N1321&lt;&gt;"",N1321,ROUND(R1321*SupHr*IFERROR(INDEX('PRICING'!$G$7:$G$16,MATCH(F1321,'PRICING'!$A$7:$A$16,0)),1),2))))</f>
        <v/>
      </c>
      <c r="Z1321" s="98">
        <f>IF(B1321="","",SUMIFS('MILEAGE'!$J$5:$J$1504,'MILEAGE'!$B$5:$B$1504,A1321))</f>
        <v/>
      </c>
      <c r="AA1321" s="55">
        <f>IF(B1321="","",ROUND(Z1321*MileRate,2))</f>
        <v/>
      </c>
      <c r="AB1321" s="55">
        <f>IF(B1321="","",SUMIFS('REVENUE'!$J$5:$J$1504,'REVENUE'!$B$5:$B$1504,A1321))</f>
        <v/>
      </c>
      <c r="AC1321" s="55">
        <f>IF(L1321="","",IF(OR(O1321="Cancelled",O1321="No-Show"),"",L1321-N(X1321)-N(Y1321)-AA1321-AB1321))</f>
        <v/>
      </c>
      <c r="AD1321" s="99">
        <f>IF(OR(AC1321="",N(L1321)=0),"",AC1321/L1321)</f>
        <v/>
      </c>
      <c r="AE1321" s="55">
        <f>IF(OR(AC1321="",N(R1321)=0),"",L1321/R1321)</f>
        <v/>
      </c>
      <c r="AF1321" s="100">
        <f>IF(OR(N(K1321)=0,N(J1321)+N(Q1321)=0),"",K1321-IF(N(J1321)&gt;0,J1321,Q1321))</f>
        <v/>
      </c>
      <c r="AG1321" s="99">
        <f>IF(B1321="","",IFERROR(AVERAGEIFS('QUALITY CONTROL'!$M$5:$M$304,'QUALITY CONTROL'!$B$5:$B$304,A1321),""))</f>
        <v/>
      </c>
      <c r="AH1321" s="51">
        <f>IF(B1321="","",DATE(YEAR(B1321),MONTH(B1321),1))</f>
        <v/>
      </c>
      <c r="AI1321" s="49">
        <f>IF(D1321="","",IFERROR(INDEX('CUSTOMERS'!$E$5:$E$404,MATCH(D1321,'CUSTOMERS'!$B$5:$B$404,0)),""))</f>
        <v/>
      </c>
      <c r="AJ1321" s="49">
        <f>IF(B1321="","",N(C1321))</f>
        <v/>
      </c>
      <c r="AK1321" s="49">
        <f>IF(OR(B1321="",O1321="Cancelled",O1321="Rescheduled"),"",B1321&amp;"|"&amp;(COUNTIFS('JOBS'!$B$5:$B$1504,B1321,'JOBS'!$AJ$5:$AJ$1504,"&lt;"&amp;AJ1321,'JOBS'!$O$5:$O$1504,"&lt;&gt;Cancelled",'JOBS'!$O$5:$O$1504,"&lt;&gt;Rescheduled")+COUNTIFS($B$5:B1321,B1321,$AJ$5:AJ1321,AJ1321,$O$5:O1321,"&lt;&gt;Cancelled",$O$5:O1321,"&lt;&gt;Rescheduled")))</f>
        <v/>
      </c>
      <c r="AL1321" s="49">
        <f>IF(N(U1321)&lt;=0.005,"",COUNTIFS('JOBS'!$U$5:$U$1504,"&gt;0.005",'JOBS'!$B$5:$B$1504,"&lt;"&amp;B1321)+COUNTIFS($U$5:U1321,"&gt;0.005",$B$5:B1321,B1321))</f>
        <v/>
      </c>
    </row>
    <row r="1322">
      <c r="A1322" s="46" t="inlineStr">
        <is>
          <t>J-1318</t>
        </is>
      </c>
      <c r="B1322" s="47" t="n"/>
      <c r="C1322" s="94" t="n"/>
      <c r="D1322" s="38" t="n"/>
      <c r="E1322" s="38" t="n"/>
      <c r="F1322" s="38" t="n"/>
      <c r="G1322" s="38" t="n"/>
      <c r="H1322" s="38" t="n"/>
      <c r="I1322" s="57" t="n"/>
      <c r="J1322" s="95" t="n"/>
      <c r="K1322" s="95" t="n"/>
      <c r="L1322" s="48" t="n"/>
      <c r="M1322" s="96" t="n"/>
      <c r="N1322" s="48" t="n"/>
      <c r="O1322" s="38" t="n"/>
      <c r="P1322" s="38" t="n"/>
      <c r="Q1322" s="97">
        <f>IF(OR(F1322="",E1322=""),"",IFERROR(IF(INDEX('PROPERTIES'!$F$5:$F$404,MATCH(E1322,'PROPERTIES'!$B$5:$B$404,0))=0,"",ROUND((INDEX('PROPERTIES'!$F$5:$F$404,MATCH(E1322,'PROPERTIES'!$B$5:$B$404,0))/INDEX('PRICING'!$C$7:$C$16,MATCH(F1322,'PRICING'!$A$7:$A$16,0))+INDEX('PROPERTIES'!$G$5:$G$404,MATCH(E1322,'PROPERTIES'!$B$5:$B$404,0))*INDEX('PRICING'!$D$7:$D$16,MATCH(F1322,'PRICING'!$A$7:$A$16,0))/60+INDEX('PROPERTIES'!$H$5:$H$404,MATCH(E1322,'PROPERTIES'!$B$5:$B$404,0))*INDEX('PRICING'!$E$7:$E$16,MATCH(F1322,'PRICING'!$A$7:$A$16,0))/60+INDEX('PRICING'!$F$7:$F$16,MATCH(F1322,'PRICING'!$A$7:$A$16,0))/60),2)),""))</f>
        <v/>
      </c>
      <c r="R1322" s="97">
        <f>IF(B1322="","",IF(N(K1322)&gt;0,K1322,IF(N(J1322)&gt;0,J1322,N(Q1322))))</f>
        <v/>
      </c>
      <c r="S1322" s="55">
        <f>IF(L1322="","",ROUND(L1322*(1+N(M1322)),2))</f>
        <v/>
      </c>
      <c r="T1322" s="55">
        <f>IF(B1322="","",SUMIFS('REVENUE'!$C$5:$C$1504,'REVENUE'!$B$5:$B$1504,A1322))</f>
        <v/>
      </c>
      <c r="U1322" s="55">
        <f>IF(B1322="","",IF(O1322="Completed",MAX(0,N(S1322)-T1322),""))</f>
        <v/>
      </c>
      <c r="V1322" s="49">
        <f>IF(B1322="","",IF(O1322&lt;&gt;"Completed",IF(T1322&gt;0,"Deposit","—"),IF(U1322&lt;=0.005,"Paid",IF(T1322&gt;0,"Partial","Unpaid"))))</f>
        <v/>
      </c>
      <c r="W1322" s="55">
        <f>IF(B1322="","",IFERROR(1/(1/INDEX('STAFF &amp; TASKS'!$C$5:$C$24,MATCH(H1322,'STAFF &amp; TASKS'!$A$5:$A$24,0))),PayRate))</f>
        <v/>
      </c>
      <c r="X1322" s="55">
        <f>IF(B1322="","",IF(OR(O1322="Cancelled",O1322="No-Show"),"",ROUND(R1322*W1322*(1+Burden),2)))</f>
        <v/>
      </c>
      <c r="Y1322" s="55">
        <f>IF(B1322="","",IF(OR(O1322="Cancelled",O1322="No-Show"),"",IF(N1322&lt;&gt;"",N1322,ROUND(R1322*SupHr*IFERROR(INDEX('PRICING'!$G$7:$G$16,MATCH(F1322,'PRICING'!$A$7:$A$16,0)),1),2))))</f>
        <v/>
      </c>
      <c r="Z1322" s="98">
        <f>IF(B1322="","",SUMIFS('MILEAGE'!$J$5:$J$1504,'MILEAGE'!$B$5:$B$1504,A1322))</f>
        <v/>
      </c>
      <c r="AA1322" s="55">
        <f>IF(B1322="","",ROUND(Z1322*MileRate,2))</f>
        <v/>
      </c>
      <c r="AB1322" s="55">
        <f>IF(B1322="","",SUMIFS('REVENUE'!$J$5:$J$1504,'REVENUE'!$B$5:$B$1504,A1322))</f>
        <v/>
      </c>
      <c r="AC1322" s="55">
        <f>IF(L1322="","",IF(OR(O1322="Cancelled",O1322="No-Show"),"",L1322-N(X1322)-N(Y1322)-AA1322-AB1322))</f>
        <v/>
      </c>
      <c r="AD1322" s="99">
        <f>IF(OR(AC1322="",N(L1322)=0),"",AC1322/L1322)</f>
        <v/>
      </c>
      <c r="AE1322" s="55">
        <f>IF(OR(AC1322="",N(R1322)=0),"",L1322/R1322)</f>
        <v/>
      </c>
      <c r="AF1322" s="100">
        <f>IF(OR(N(K1322)=0,N(J1322)+N(Q1322)=0),"",K1322-IF(N(J1322)&gt;0,J1322,Q1322))</f>
        <v/>
      </c>
      <c r="AG1322" s="99">
        <f>IF(B1322="","",IFERROR(AVERAGEIFS('QUALITY CONTROL'!$M$5:$M$304,'QUALITY CONTROL'!$B$5:$B$304,A1322),""))</f>
        <v/>
      </c>
      <c r="AH1322" s="51">
        <f>IF(B1322="","",DATE(YEAR(B1322),MONTH(B1322),1))</f>
        <v/>
      </c>
      <c r="AI1322" s="49">
        <f>IF(D1322="","",IFERROR(INDEX('CUSTOMERS'!$E$5:$E$404,MATCH(D1322,'CUSTOMERS'!$B$5:$B$404,0)),""))</f>
        <v/>
      </c>
      <c r="AJ1322" s="49">
        <f>IF(B1322="","",N(C1322))</f>
        <v/>
      </c>
      <c r="AK1322" s="49">
        <f>IF(OR(B1322="",O1322="Cancelled",O1322="Rescheduled"),"",B1322&amp;"|"&amp;(COUNTIFS('JOBS'!$B$5:$B$1504,B1322,'JOBS'!$AJ$5:$AJ$1504,"&lt;"&amp;AJ1322,'JOBS'!$O$5:$O$1504,"&lt;&gt;Cancelled",'JOBS'!$O$5:$O$1504,"&lt;&gt;Rescheduled")+COUNTIFS($B$5:B1322,B1322,$AJ$5:AJ1322,AJ1322,$O$5:O1322,"&lt;&gt;Cancelled",$O$5:O1322,"&lt;&gt;Rescheduled")))</f>
        <v/>
      </c>
      <c r="AL1322" s="49">
        <f>IF(N(U1322)&lt;=0.005,"",COUNTIFS('JOBS'!$U$5:$U$1504,"&gt;0.005",'JOBS'!$B$5:$B$1504,"&lt;"&amp;B1322)+COUNTIFS($U$5:U1322,"&gt;0.005",$B$5:B1322,B1322))</f>
        <v/>
      </c>
    </row>
    <row r="1323">
      <c r="A1323" s="46" t="inlineStr">
        <is>
          <t>J-1319</t>
        </is>
      </c>
      <c r="B1323" s="47" t="n"/>
      <c r="C1323" s="94" t="n"/>
      <c r="D1323" s="38" t="n"/>
      <c r="E1323" s="38" t="n"/>
      <c r="F1323" s="38" t="n"/>
      <c r="G1323" s="38" t="n"/>
      <c r="H1323" s="38" t="n"/>
      <c r="I1323" s="57" t="n"/>
      <c r="J1323" s="95" t="n"/>
      <c r="K1323" s="95" t="n"/>
      <c r="L1323" s="48" t="n"/>
      <c r="M1323" s="96" t="n"/>
      <c r="N1323" s="48" t="n"/>
      <c r="O1323" s="38" t="n"/>
      <c r="P1323" s="38" t="n"/>
      <c r="Q1323" s="97">
        <f>IF(OR(F1323="",E1323=""),"",IFERROR(IF(INDEX('PROPERTIES'!$F$5:$F$404,MATCH(E1323,'PROPERTIES'!$B$5:$B$404,0))=0,"",ROUND((INDEX('PROPERTIES'!$F$5:$F$404,MATCH(E1323,'PROPERTIES'!$B$5:$B$404,0))/INDEX('PRICING'!$C$7:$C$16,MATCH(F1323,'PRICING'!$A$7:$A$16,0))+INDEX('PROPERTIES'!$G$5:$G$404,MATCH(E1323,'PROPERTIES'!$B$5:$B$404,0))*INDEX('PRICING'!$D$7:$D$16,MATCH(F1323,'PRICING'!$A$7:$A$16,0))/60+INDEX('PROPERTIES'!$H$5:$H$404,MATCH(E1323,'PROPERTIES'!$B$5:$B$404,0))*INDEX('PRICING'!$E$7:$E$16,MATCH(F1323,'PRICING'!$A$7:$A$16,0))/60+INDEX('PRICING'!$F$7:$F$16,MATCH(F1323,'PRICING'!$A$7:$A$16,0))/60),2)),""))</f>
        <v/>
      </c>
      <c r="R1323" s="97">
        <f>IF(B1323="","",IF(N(K1323)&gt;0,K1323,IF(N(J1323)&gt;0,J1323,N(Q1323))))</f>
        <v/>
      </c>
      <c r="S1323" s="55">
        <f>IF(L1323="","",ROUND(L1323*(1+N(M1323)),2))</f>
        <v/>
      </c>
      <c r="T1323" s="55">
        <f>IF(B1323="","",SUMIFS('REVENUE'!$C$5:$C$1504,'REVENUE'!$B$5:$B$1504,A1323))</f>
        <v/>
      </c>
      <c r="U1323" s="55">
        <f>IF(B1323="","",IF(O1323="Completed",MAX(0,N(S1323)-T1323),""))</f>
        <v/>
      </c>
      <c r="V1323" s="49">
        <f>IF(B1323="","",IF(O1323&lt;&gt;"Completed",IF(T1323&gt;0,"Deposit","—"),IF(U1323&lt;=0.005,"Paid",IF(T1323&gt;0,"Partial","Unpaid"))))</f>
        <v/>
      </c>
      <c r="W1323" s="55">
        <f>IF(B1323="","",IFERROR(1/(1/INDEX('STAFF &amp; TASKS'!$C$5:$C$24,MATCH(H1323,'STAFF &amp; TASKS'!$A$5:$A$24,0))),PayRate))</f>
        <v/>
      </c>
      <c r="X1323" s="55">
        <f>IF(B1323="","",IF(OR(O1323="Cancelled",O1323="No-Show"),"",ROUND(R1323*W1323*(1+Burden),2)))</f>
        <v/>
      </c>
      <c r="Y1323" s="55">
        <f>IF(B1323="","",IF(OR(O1323="Cancelled",O1323="No-Show"),"",IF(N1323&lt;&gt;"",N1323,ROUND(R1323*SupHr*IFERROR(INDEX('PRICING'!$G$7:$G$16,MATCH(F1323,'PRICING'!$A$7:$A$16,0)),1),2))))</f>
        <v/>
      </c>
      <c r="Z1323" s="98">
        <f>IF(B1323="","",SUMIFS('MILEAGE'!$J$5:$J$1504,'MILEAGE'!$B$5:$B$1504,A1323))</f>
        <v/>
      </c>
      <c r="AA1323" s="55">
        <f>IF(B1323="","",ROUND(Z1323*MileRate,2))</f>
        <v/>
      </c>
      <c r="AB1323" s="55">
        <f>IF(B1323="","",SUMIFS('REVENUE'!$J$5:$J$1504,'REVENUE'!$B$5:$B$1504,A1323))</f>
        <v/>
      </c>
      <c r="AC1323" s="55">
        <f>IF(L1323="","",IF(OR(O1323="Cancelled",O1323="No-Show"),"",L1323-N(X1323)-N(Y1323)-AA1323-AB1323))</f>
        <v/>
      </c>
      <c r="AD1323" s="99">
        <f>IF(OR(AC1323="",N(L1323)=0),"",AC1323/L1323)</f>
        <v/>
      </c>
      <c r="AE1323" s="55">
        <f>IF(OR(AC1323="",N(R1323)=0),"",L1323/R1323)</f>
        <v/>
      </c>
      <c r="AF1323" s="100">
        <f>IF(OR(N(K1323)=0,N(J1323)+N(Q1323)=0),"",K1323-IF(N(J1323)&gt;0,J1323,Q1323))</f>
        <v/>
      </c>
      <c r="AG1323" s="99">
        <f>IF(B1323="","",IFERROR(AVERAGEIFS('QUALITY CONTROL'!$M$5:$M$304,'QUALITY CONTROL'!$B$5:$B$304,A1323),""))</f>
        <v/>
      </c>
      <c r="AH1323" s="51">
        <f>IF(B1323="","",DATE(YEAR(B1323),MONTH(B1323),1))</f>
        <v/>
      </c>
      <c r="AI1323" s="49">
        <f>IF(D1323="","",IFERROR(INDEX('CUSTOMERS'!$E$5:$E$404,MATCH(D1323,'CUSTOMERS'!$B$5:$B$404,0)),""))</f>
        <v/>
      </c>
      <c r="AJ1323" s="49">
        <f>IF(B1323="","",N(C1323))</f>
        <v/>
      </c>
      <c r="AK1323" s="49">
        <f>IF(OR(B1323="",O1323="Cancelled",O1323="Rescheduled"),"",B1323&amp;"|"&amp;(COUNTIFS('JOBS'!$B$5:$B$1504,B1323,'JOBS'!$AJ$5:$AJ$1504,"&lt;"&amp;AJ1323,'JOBS'!$O$5:$O$1504,"&lt;&gt;Cancelled",'JOBS'!$O$5:$O$1504,"&lt;&gt;Rescheduled")+COUNTIFS($B$5:B1323,B1323,$AJ$5:AJ1323,AJ1323,$O$5:O1323,"&lt;&gt;Cancelled",$O$5:O1323,"&lt;&gt;Rescheduled")))</f>
        <v/>
      </c>
      <c r="AL1323" s="49">
        <f>IF(N(U1323)&lt;=0.005,"",COUNTIFS('JOBS'!$U$5:$U$1504,"&gt;0.005",'JOBS'!$B$5:$B$1504,"&lt;"&amp;B1323)+COUNTIFS($U$5:U1323,"&gt;0.005",$B$5:B1323,B1323))</f>
        <v/>
      </c>
    </row>
    <row r="1324">
      <c r="A1324" s="46" t="inlineStr">
        <is>
          <t>J-1320</t>
        </is>
      </c>
      <c r="B1324" s="47" t="n"/>
      <c r="C1324" s="94" t="n"/>
      <c r="D1324" s="38" t="n"/>
      <c r="E1324" s="38" t="n"/>
      <c r="F1324" s="38" t="n"/>
      <c r="G1324" s="38" t="n"/>
      <c r="H1324" s="38" t="n"/>
      <c r="I1324" s="57" t="n"/>
      <c r="J1324" s="95" t="n"/>
      <c r="K1324" s="95" t="n"/>
      <c r="L1324" s="48" t="n"/>
      <c r="M1324" s="96" t="n"/>
      <c r="N1324" s="48" t="n"/>
      <c r="O1324" s="38" t="n"/>
      <c r="P1324" s="38" t="n"/>
      <c r="Q1324" s="97">
        <f>IF(OR(F1324="",E1324=""),"",IFERROR(IF(INDEX('PROPERTIES'!$F$5:$F$404,MATCH(E1324,'PROPERTIES'!$B$5:$B$404,0))=0,"",ROUND((INDEX('PROPERTIES'!$F$5:$F$404,MATCH(E1324,'PROPERTIES'!$B$5:$B$404,0))/INDEX('PRICING'!$C$7:$C$16,MATCH(F1324,'PRICING'!$A$7:$A$16,0))+INDEX('PROPERTIES'!$G$5:$G$404,MATCH(E1324,'PROPERTIES'!$B$5:$B$404,0))*INDEX('PRICING'!$D$7:$D$16,MATCH(F1324,'PRICING'!$A$7:$A$16,0))/60+INDEX('PROPERTIES'!$H$5:$H$404,MATCH(E1324,'PROPERTIES'!$B$5:$B$404,0))*INDEX('PRICING'!$E$7:$E$16,MATCH(F1324,'PRICING'!$A$7:$A$16,0))/60+INDEX('PRICING'!$F$7:$F$16,MATCH(F1324,'PRICING'!$A$7:$A$16,0))/60),2)),""))</f>
        <v/>
      </c>
      <c r="R1324" s="97">
        <f>IF(B1324="","",IF(N(K1324)&gt;0,K1324,IF(N(J1324)&gt;0,J1324,N(Q1324))))</f>
        <v/>
      </c>
      <c r="S1324" s="55">
        <f>IF(L1324="","",ROUND(L1324*(1+N(M1324)),2))</f>
        <v/>
      </c>
      <c r="T1324" s="55">
        <f>IF(B1324="","",SUMIFS('REVENUE'!$C$5:$C$1504,'REVENUE'!$B$5:$B$1504,A1324))</f>
        <v/>
      </c>
      <c r="U1324" s="55">
        <f>IF(B1324="","",IF(O1324="Completed",MAX(0,N(S1324)-T1324),""))</f>
        <v/>
      </c>
      <c r="V1324" s="49">
        <f>IF(B1324="","",IF(O1324&lt;&gt;"Completed",IF(T1324&gt;0,"Deposit","—"),IF(U1324&lt;=0.005,"Paid",IF(T1324&gt;0,"Partial","Unpaid"))))</f>
        <v/>
      </c>
      <c r="W1324" s="55">
        <f>IF(B1324="","",IFERROR(1/(1/INDEX('STAFF &amp; TASKS'!$C$5:$C$24,MATCH(H1324,'STAFF &amp; TASKS'!$A$5:$A$24,0))),PayRate))</f>
        <v/>
      </c>
      <c r="X1324" s="55">
        <f>IF(B1324="","",IF(OR(O1324="Cancelled",O1324="No-Show"),"",ROUND(R1324*W1324*(1+Burden),2)))</f>
        <v/>
      </c>
      <c r="Y1324" s="55">
        <f>IF(B1324="","",IF(OR(O1324="Cancelled",O1324="No-Show"),"",IF(N1324&lt;&gt;"",N1324,ROUND(R1324*SupHr*IFERROR(INDEX('PRICING'!$G$7:$G$16,MATCH(F1324,'PRICING'!$A$7:$A$16,0)),1),2))))</f>
        <v/>
      </c>
      <c r="Z1324" s="98">
        <f>IF(B1324="","",SUMIFS('MILEAGE'!$J$5:$J$1504,'MILEAGE'!$B$5:$B$1504,A1324))</f>
        <v/>
      </c>
      <c r="AA1324" s="55">
        <f>IF(B1324="","",ROUND(Z1324*MileRate,2))</f>
        <v/>
      </c>
      <c r="AB1324" s="55">
        <f>IF(B1324="","",SUMIFS('REVENUE'!$J$5:$J$1504,'REVENUE'!$B$5:$B$1504,A1324))</f>
        <v/>
      </c>
      <c r="AC1324" s="55">
        <f>IF(L1324="","",IF(OR(O1324="Cancelled",O1324="No-Show"),"",L1324-N(X1324)-N(Y1324)-AA1324-AB1324))</f>
        <v/>
      </c>
      <c r="AD1324" s="99">
        <f>IF(OR(AC1324="",N(L1324)=0),"",AC1324/L1324)</f>
        <v/>
      </c>
      <c r="AE1324" s="55">
        <f>IF(OR(AC1324="",N(R1324)=0),"",L1324/R1324)</f>
        <v/>
      </c>
      <c r="AF1324" s="100">
        <f>IF(OR(N(K1324)=0,N(J1324)+N(Q1324)=0),"",K1324-IF(N(J1324)&gt;0,J1324,Q1324))</f>
        <v/>
      </c>
      <c r="AG1324" s="99">
        <f>IF(B1324="","",IFERROR(AVERAGEIFS('QUALITY CONTROL'!$M$5:$M$304,'QUALITY CONTROL'!$B$5:$B$304,A1324),""))</f>
        <v/>
      </c>
      <c r="AH1324" s="51">
        <f>IF(B1324="","",DATE(YEAR(B1324),MONTH(B1324),1))</f>
        <v/>
      </c>
      <c r="AI1324" s="49">
        <f>IF(D1324="","",IFERROR(INDEX('CUSTOMERS'!$E$5:$E$404,MATCH(D1324,'CUSTOMERS'!$B$5:$B$404,0)),""))</f>
        <v/>
      </c>
      <c r="AJ1324" s="49">
        <f>IF(B1324="","",N(C1324))</f>
        <v/>
      </c>
      <c r="AK1324" s="49">
        <f>IF(OR(B1324="",O1324="Cancelled",O1324="Rescheduled"),"",B1324&amp;"|"&amp;(COUNTIFS('JOBS'!$B$5:$B$1504,B1324,'JOBS'!$AJ$5:$AJ$1504,"&lt;"&amp;AJ1324,'JOBS'!$O$5:$O$1504,"&lt;&gt;Cancelled",'JOBS'!$O$5:$O$1504,"&lt;&gt;Rescheduled")+COUNTIFS($B$5:B1324,B1324,$AJ$5:AJ1324,AJ1324,$O$5:O1324,"&lt;&gt;Cancelled",$O$5:O1324,"&lt;&gt;Rescheduled")))</f>
        <v/>
      </c>
      <c r="AL1324" s="49">
        <f>IF(N(U1324)&lt;=0.005,"",COUNTIFS('JOBS'!$U$5:$U$1504,"&gt;0.005",'JOBS'!$B$5:$B$1504,"&lt;"&amp;B1324)+COUNTIFS($U$5:U1324,"&gt;0.005",$B$5:B1324,B1324))</f>
        <v/>
      </c>
    </row>
    <row r="1325">
      <c r="A1325" s="46" t="inlineStr">
        <is>
          <t>J-1321</t>
        </is>
      </c>
      <c r="B1325" s="47" t="n"/>
      <c r="C1325" s="94" t="n"/>
      <c r="D1325" s="38" t="n"/>
      <c r="E1325" s="38" t="n"/>
      <c r="F1325" s="38" t="n"/>
      <c r="G1325" s="38" t="n"/>
      <c r="H1325" s="38" t="n"/>
      <c r="I1325" s="57" t="n"/>
      <c r="J1325" s="95" t="n"/>
      <c r="K1325" s="95" t="n"/>
      <c r="L1325" s="48" t="n"/>
      <c r="M1325" s="96" t="n"/>
      <c r="N1325" s="48" t="n"/>
      <c r="O1325" s="38" t="n"/>
      <c r="P1325" s="38" t="n"/>
      <c r="Q1325" s="97">
        <f>IF(OR(F1325="",E1325=""),"",IFERROR(IF(INDEX('PROPERTIES'!$F$5:$F$404,MATCH(E1325,'PROPERTIES'!$B$5:$B$404,0))=0,"",ROUND((INDEX('PROPERTIES'!$F$5:$F$404,MATCH(E1325,'PROPERTIES'!$B$5:$B$404,0))/INDEX('PRICING'!$C$7:$C$16,MATCH(F1325,'PRICING'!$A$7:$A$16,0))+INDEX('PROPERTIES'!$G$5:$G$404,MATCH(E1325,'PROPERTIES'!$B$5:$B$404,0))*INDEX('PRICING'!$D$7:$D$16,MATCH(F1325,'PRICING'!$A$7:$A$16,0))/60+INDEX('PROPERTIES'!$H$5:$H$404,MATCH(E1325,'PROPERTIES'!$B$5:$B$404,0))*INDEX('PRICING'!$E$7:$E$16,MATCH(F1325,'PRICING'!$A$7:$A$16,0))/60+INDEX('PRICING'!$F$7:$F$16,MATCH(F1325,'PRICING'!$A$7:$A$16,0))/60),2)),""))</f>
        <v/>
      </c>
      <c r="R1325" s="97">
        <f>IF(B1325="","",IF(N(K1325)&gt;0,K1325,IF(N(J1325)&gt;0,J1325,N(Q1325))))</f>
        <v/>
      </c>
      <c r="S1325" s="55">
        <f>IF(L1325="","",ROUND(L1325*(1+N(M1325)),2))</f>
        <v/>
      </c>
      <c r="T1325" s="55">
        <f>IF(B1325="","",SUMIFS('REVENUE'!$C$5:$C$1504,'REVENUE'!$B$5:$B$1504,A1325))</f>
        <v/>
      </c>
      <c r="U1325" s="55">
        <f>IF(B1325="","",IF(O1325="Completed",MAX(0,N(S1325)-T1325),""))</f>
        <v/>
      </c>
      <c r="V1325" s="49">
        <f>IF(B1325="","",IF(O1325&lt;&gt;"Completed",IF(T1325&gt;0,"Deposit","—"),IF(U1325&lt;=0.005,"Paid",IF(T1325&gt;0,"Partial","Unpaid"))))</f>
        <v/>
      </c>
      <c r="W1325" s="55">
        <f>IF(B1325="","",IFERROR(1/(1/INDEX('STAFF &amp; TASKS'!$C$5:$C$24,MATCH(H1325,'STAFF &amp; TASKS'!$A$5:$A$24,0))),PayRate))</f>
        <v/>
      </c>
      <c r="X1325" s="55">
        <f>IF(B1325="","",IF(OR(O1325="Cancelled",O1325="No-Show"),"",ROUND(R1325*W1325*(1+Burden),2)))</f>
        <v/>
      </c>
      <c r="Y1325" s="55">
        <f>IF(B1325="","",IF(OR(O1325="Cancelled",O1325="No-Show"),"",IF(N1325&lt;&gt;"",N1325,ROUND(R1325*SupHr*IFERROR(INDEX('PRICING'!$G$7:$G$16,MATCH(F1325,'PRICING'!$A$7:$A$16,0)),1),2))))</f>
        <v/>
      </c>
      <c r="Z1325" s="98">
        <f>IF(B1325="","",SUMIFS('MILEAGE'!$J$5:$J$1504,'MILEAGE'!$B$5:$B$1504,A1325))</f>
        <v/>
      </c>
      <c r="AA1325" s="55">
        <f>IF(B1325="","",ROUND(Z1325*MileRate,2))</f>
        <v/>
      </c>
      <c r="AB1325" s="55">
        <f>IF(B1325="","",SUMIFS('REVENUE'!$J$5:$J$1504,'REVENUE'!$B$5:$B$1504,A1325))</f>
        <v/>
      </c>
      <c r="AC1325" s="55">
        <f>IF(L1325="","",IF(OR(O1325="Cancelled",O1325="No-Show"),"",L1325-N(X1325)-N(Y1325)-AA1325-AB1325))</f>
        <v/>
      </c>
      <c r="AD1325" s="99">
        <f>IF(OR(AC1325="",N(L1325)=0),"",AC1325/L1325)</f>
        <v/>
      </c>
      <c r="AE1325" s="55">
        <f>IF(OR(AC1325="",N(R1325)=0),"",L1325/R1325)</f>
        <v/>
      </c>
      <c r="AF1325" s="100">
        <f>IF(OR(N(K1325)=0,N(J1325)+N(Q1325)=0),"",K1325-IF(N(J1325)&gt;0,J1325,Q1325))</f>
        <v/>
      </c>
      <c r="AG1325" s="99">
        <f>IF(B1325="","",IFERROR(AVERAGEIFS('QUALITY CONTROL'!$M$5:$M$304,'QUALITY CONTROL'!$B$5:$B$304,A1325),""))</f>
        <v/>
      </c>
      <c r="AH1325" s="51">
        <f>IF(B1325="","",DATE(YEAR(B1325),MONTH(B1325),1))</f>
        <v/>
      </c>
      <c r="AI1325" s="49">
        <f>IF(D1325="","",IFERROR(INDEX('CUSTOMERS'!$E$5:$E$404,MATCH(D1325,'CUSTOMERS'!$B$5:$B$404,0)),""))</f>
        <v/>
      </c>
      <c r="AJ1325" s="49">
        <f>IF(B1325="","",N(C1325))</f>
        <v/>
      </c>
      <c r="AK1325" s="49">
        <f>IF(OR(B1325="",O1325="Cancelled",O1325="Rescheduled"),"",B1325&amp;"|"&amp;(COUNTIFS('JOBS'!$B$5:$B$1504,B1325,'JOBS'!$AJ$5:$AJ$1504,"&lt;"&amp;AJ1325,'JOBS'!$O$5:$O$1504,"&lt;&gt;Cancelled",'JOBS'!$O$5:$O$1504,"&lt;&gt;Rescheduled")+COUNTIFS($B$5:B1325,B1325,$AJ$5:AJ1325,AJ1325,$O$5:O1325,"&lt;&gt;Cancelled",$O$5:O1325,"&lt;&gt;Rescheduled")))</f>
        <v/>
      </c>
      <c r="AL1325" s="49">
        <f>IF(N(U1325)&lt;=0.005,"",COUNTIFS('JOBS'!$U$5:$U$1504,"&gt;0.005",'JOBS'!$B$5:$B$1504,"&lt;"&amp;B1325)+COUNTIFS($U$5:U1325,"&gt;0.005",$B$5:B1325,B1325))</f>
        <v/>
      </c>
    </row>
    <row r="1326">
      <c r="A1326" s="46" t="inlineStr">
        <is>
          <t>J-1322</t>
        </is>
      </c>
      <c r="B1326" s="47" t="n"/>
      <c r="C1326" s="94" t="n"/>
      <c r="D1326" s="38" t="n"/>
      <c r="E1326" s="38" t="n"/>
      <c r="F1326" s="38" t="n"/>
      <c r="G1326" s="38" t="n"/>
      <c r="H1326" s="38" t="n"/>
      <c r="I1326" s="57" t="n"/>
      <c r="J1326" s="95" t="n"/>
      <c r="K1326" s="95" t="n"/>
      <c r="L1326" s="48" t="n"/>
      <c r="M1326" s="96" t="n"/>
      <c r="N1326" s="48" t="n"/>
      <c r="O1326" s="38" t="n"/>
      <c r="P1326" s="38" t="n"/>
      <c r="Q1326" s="97">
        <f>IF(OR(F1326="",E1326=""),"",IFERROR(IF(INDEX('PROPERTIES'!$F$5:$F$404,MATCH(E1326,'PROPERTIES'!$B$5:$B$404,0))=0,"",ROUND((INDEX('PROPERTIES'!$F$5:$F$404,MATCH(E1326,'PROPERTIES'!$B$5:$B$404,0))/INDEX('PRICING'!$C$7:$C$16,MATCH(F1326,'PRICING'!$A$7:$A$16,0))+INDEX('PROPERTIES'!$G$5:$G$404,MATCH(E1326,'PROPERTIES'!$B$5:$B$404,0))*INDEX('PRICING'!$D$7:$D$16,MATCH(F1326,'PRICING'!$A$7:$A$16,0))/60+INDEX('PROPERTIES'!$H$5:$H$404,MATCH(E1326,'PROPERTIES'!$B$5:$B$404,0))*INDEX('PRICING'!$E$7:$E$16,MATCH(F1326,'PRICING'!$A$7:$A$16,0))/60+INDEX('PRICING'!$F$7:$F$16,MATCH(F1326,'PRICING'!$A$7:$A$16,0))/60),2)),""))</f>
        <v/>
      </c>
      <c r="R1326" s="97">
        <f>IF(B1326="","",IF(N(K1326)&gt;0,K1326,IF(N(J1326)&gt;0,J1326,N(Q1326))))</f>
        <v/>
      </c>
      <c r="S1326" s="55">
        <f>IF(L1326="","",ROUND(L1326*(1+N(M1326)),2))</f>
        <v/>
      </c>
      <c r="T1326" s="55">
        <f>IF(B1326="","",SUMIFS('REVENUE'!$C$5:$C$1504,'REVENUE'!$B$5:$B$1504,A1326))</f>
        <v/>
      </c>
      <c r="U1326" s="55">
        <f>IF(B1326="","",IF(O1326="Completed",MAX(0,N(S1326)-T1326),""))</f>
        <v/>
      </c>
      <c r="V1326" s="49">
        <f>IF(B1326="","",IF(O1326&lt;&gt;"Completed",IF(T1326&gt;0,"Deposit","—"),IF(U1326&lt;=0.005,"Paid",IF(T1326&gt;0,"Partial","Unpaid"))))</f>
        <v/>
      </c>
      <c r="W1326" s="55">
        <f>IF(B1326="","",IFERROR(1/(1/INDEX('STAFF &amp; TASKS'!$C$5:$C$24,MATCH(H1326,'STAFF &amp; TASKS'!$A$5:$A$24,0))),PayRate))</f>
        <v/>
      </c>
      <c r="X1326" s="55">
        <f>IF(B1326="","",IF(OR(O1326="Cancelled",O1326="No-Show"),"",ROUND(R1326*W1326*(1+Burden),2)))</f>
        <v/>
      </c>
      <c r="Y1326" s="55">
        <f>IF(B1326="","",IF(OR(O1326="Cancelled",O1326="No-Show"),"",IF(N1326&lt;&gt;"",N1326,ROUND(R1326*SupHr*IFERROR(INDEX('PRICING'!$G$7:$G$16,MATCH(F1326,'PRICING'!$A$7:$A$16,0)),1),2))))</f>
        <v/>
      </c>
      <c r="Z1326" s="98">
        <f>IF(B1326="","",SUMIFS('MILEAGE'!$J$5:$J$1504,'MILEAGE'!$B$5:$B$1504,A1326))</f>
        <v/>
      </c>
      <c r="AA1326" s="55">
        <f>IF(B1326="","",ROUND(Z1326*MileRate,2))</f>
        <v/>
      </c>
      <c r="AB1326" s="55">
        <f>IF(B1326="","",SUMIFS('REVENUE'!$J$5:$J$1504,'REVENUE'!$B$5:$B$1504,A1326))</f>
        <v/>
      </c>
      <c r="AC1326" s="55">
        <f>IF(L1326="","",IF(OR(O1326="Cancelled",O1326="No-Show"),"",L1326-N(X1326)-N(Y1326)-AA1326-AB1326))</f>
        <v/>
      </c>
      <c r="AD1326" s="99">
        <f>IF(OR(AC1326="",N(L1326)=0),"",AC1326/L1326)</f>
        <v/>
      </c>
      <c r="AE1326" s="55">
        <f>IF(OR(AC1326="",N(R1326)=0),"",L1326/R1326)</f>
        <v/>
      </c>
      <c r="AF1326" s="100">
        <f>IF(OR(N(K1326)=0,N(J1326)+N(Q1326)=0),"",K1326-IF(N(J1326)&gt;0,J1326,Q1326))</f>
        <v/>
      </c>
      <c r="AG1326" s="99">
        <f>IF(B1326="","",IFERROR(AVERAGEIFS('QUALITY CONTROL'!$M$5:$M$304,'QUALITY CONTROL'!$B$5:$B$304,A1326),""))</f>
        <v/>
      </c>
      <c r="AH1326" s="51">
        <f>IF(B1326="","",DATE(YEAR(B1326),MONTH(B1326),1))</f>
        <v/>
      </c>
      <c r="AI1326" s="49">
        <f>IF(D1326="","",IFERROR(INDEX('CUSTOMERS'!$E$5:$E$404,MATCH(D1326,'CUSTOMERS'!$B$5:$B$404,0)),""))</f>
        <v/>
      </c>
      <c r="AJ1326" s="49">
        <f>IF(B1326="","",N(C1326))</f>
        <v/>
      </c>
      <c r="AK1326" s="49">
        <f>IF(OR(B1326="",O1326="Cancelled",O1326="Rescheduled"),"",B1326&amp;"|"&amp;(COUNTIFS('JOBS'!$B$5:$B$1504,B1326,'JOBS'!$AJ$5:$AJ$1504,"&lt;"&amp;AJ1326,'JOBS'!$O$5:$O$1504,"&lt;&gt;Cancelled",'JOBS'!$O$5:$O$1504,"&lt;&gt;Rescheduled")+COUNTIFS($B$5:B1326,B1326,$AJ$5:AJ1326,AJ1326,$O$5:O1326,"&lt;&gt;Cancelled",$O$5:O1326,"&lt;&gt;Rescheduled")))</f>
        <v/>
      </c>
      <c r="AL1326" s="49">
        <f>IF(N(U1326)&lt;=0.005,"",COUNTIFS('JOBS'!$U$5:$U$1504,"&gt;0.005",'JOBS'!$B$5:$B$1504,"&lt;"&amp;B1326)+COUNTIFS($U$5:U1326,"&gt;0.005",$B$5:B1326,B1326))</f>
        <v/>
      </c>
    </row>
    <row r="1327">
      <c r="A1327" s="46" t="inlineStr">
        <is>
          <t>J-1323</t>
        </is>
      </c>
      <c r="B1327" s="47" t="n"/>
      <c r="C1327" s="94" t="n"/>
      <c r="D1327" s="38" t="n"/>
      <c r="E1327" s="38" t="n"/>
      <c r="F1327" s="38" t="n"/>
      <c r="G1327" s="38" t="n"/>
      <c r="H1327" s="38" t="n"/>
      <c r="I1327" s="57" t="n"/>
      <c r="J1327" s="95" t="n"/>
      <c r="K1327" s="95" t="n"/>
      <c r="L1327" s="48" t="n"/>
      <c r="M1327" s="96" t="n"/>
      <c r="N1327" s="48" t="n"/>
      <c r="O1327" s="38" t="n"/>
      <c r="P1327" s="38" t="n"/>
      <c r="Q1327" s="97">
        <f>IF(OR(F1327="",E1327=""),"",IFERROR(IF(INDEX('PROPERTIES'!$F$5:$F$404,MATCH(E1327,'PROPERTIES'!$B$5:$B$404,0))=0,"",ROUND((INDEX('PROPERTIES'!$F$5:$F$404,MATCH(E1327,'PROPERTIES'!$B$5:$B$404,0))/INDEX('PRICING'!$C$7:$C$16,MATCH(F1327,'PRICING'!$A$7:$A$16,0))+INDEX('PROPERTIES'!$G$5:$G$404,MATCH(E1327,'PROPERTIES'!$B$5:$B$404,0))*INDEX('PRICING'!$D$7:$D$16,MATCH(F1327,'PRICING'!$A$7:$A$16,0))/60+INDEX('PROPERTIES'!$H$5:$H$404,MATCH(E1327,'PROPERTIES'!$B$5:$B$404,0))*INDEX('PRICING'!$E$7:$E$16,MATCH(F1327,'PRICING'!$A$7:$A$16,0))/60+INDEX('PRICING'!$F$7:$F$16,MATCH(F1327,'PRICING'!$A$7:$A$16,0))/60),2)),""))</f>
        <v/>
      </c>
      <c r="R1327" s="97">
        <f>IF(B1327="","",IF(N(K1327)&gt;0,K1327,IF(N(J1327)&gt;0,J1327,N(Q1327))))</f>
        <v/>
      </c>
      <c r="S1327" s="55">
        <f>IF(L1327="","",ROUND(L1327*(1+N(M1327)),2))</f>
        <v/>
      </c>
      <c r="T1327" s="55">
        <f>IF(B1327="","",SUMIFS('REVENUE'!$C$5:$C$1504,'REVENUE'!$B$5:$B$1504,A1327))</f>
        <v/>
      </c>
      <c r="U1327" s="55">
        <f>IF(B1327="","",IF(O1327="Completed",MAX(0,N(S1327)-T1327),""))</f>
        <v/>
      </c>
      <c r="V1327" s="49">
        <f>IF(B1327="","",IF(O1327&lt;&gt;"Completed",IF(T1327&gt;0,"Deposit","—"),IF(U1327&lt;=0.005,"Paid",IF(T1327&gt;0,"Partial","Unpaid"))))</f>
        <v/>
      </c>
      <c r="W1327" s="55">
        <f>IF(B1327="","",IFERROR(1/(1/INDEX('STAFF &amp; TASKS'!$C$5:$C$24,MATCH(H1327,'STAFF &amp; TASKS'!$A$5:$A$24,0))),PayRate))</f>
        <v/>
      </c>
      <c r="X1327" s="55">
        <f>IF(B1327="","",IF(OR(O1327="Cancelled",O1327="No-Show"),"",ROUND(R1327*W1327*(1+Burden),2)))</f>
        <v/>
      </c>
      <c r="Y1327" s="55">
        <f>IF(B1327="","",IF(OR(O1327="Cancelled",O1327="No-Show"),"",IF(N1327&lt;&gt;"",N1327,ROUND(R1327*SupHr*IFERROR(INDEX('PRICING'!$G$7:$G$16,MATCH(F1327,'PRICING'!$A$7:$A$16,0)),1),2))))</f>
        <v/>
      </c>
      <c r="Z1327" s="98">
        <f>IF(B1327="","",SUMIFS('MILEAGE'!$J$5:$J$1504,'MILEAGE'!$B$5:$B$1504,A1327))</f>
        <v/>
      </c>
      <c r="AA1327" s="55">
        <f>IF(B1327="","",ROUND(Z1327*MileRate,2))</f>
        <v/>
      </c>
      <c r="AB1327" s="55">
        <f>IF(B1327="","",SUMIFS('REVENUE'!$J$5:$J$1504,'REVENUE'!$B$5:$B$1504,A1327))</f>
        <v/>
      </c>
      <c r="AC1327" s="55">
        <f>IF(L1327="","",IF(OR(O1327="Cancelled",O1327="No-Show"),"",L1327-N(X1327)-N(Y1327)-AA1327-AB1327))</f>
        <v/>
      </c>
      <c r="AD1327" s="99">
        <f>IF(OR(AC1327="",N(L1327)=0),"",AC1327/L1327)</f>
        <v/>
      </c>
      <c r="AE1327" s="55">
        <f>IF(OR(AC1327="",N(R1327)=0),"",L1327/R1327)</f>
        <v/>
      </c>
      <c r="AF1327" s="100">
        <f>IF(OR(N(K1327)=0,N(J1327)+N(Q1327)=0),"",K1327-IF(N(J1327)&gt;0,J1327,Q1327))</f>
        <v/>
      </c>
      <c r="AG1327" s="99">
        <f>IF(B1327="","",IFERROR(AVERAGEIFS('QUALITY CONTROL'!$M$5:$M$304,'QUALITY CONTROL'!$B$5:$B$304,A1327),""))</f>
        <v/>
      </c>
      <c r="AH1327" s="51">
        <f>IF(B1327="","",DATE(YEAR(B1327),MONTH(B1327),1))</f>
        <v/>
      </c>
      <c r="AI1327" s="49">
        <f>IF(D1327="","",IFERROR(INDEX('CUSTOMERS'!$E$5:$E$404,MATCH(D1327,'CUSTOMERS'!$B$5:$B$404,0)),""))</f>
        <v/>
      </c>
      <c r="AJ1327" s="49">
        <f>IF(B1327="","",N(C1327))</f>
        <v/>
      </c>
      <c r="AK1327" s="49">
        <f>IF(OR(B1327="",O1327="Cancelled",O1327="Rescheduled"),"",B1327&amp;"|"&amp;(COUNTIFS('JOBS'!$B$5:$B$1504,B1327,'JOBS'!$AJ$5:$AJ$1504,"&lt;"&amp;AJ1327,'JOBS'!$O$5:$O$1504,"&lt;&gt;Cancelled",'JOBS'!$O$5:$O$1504,"&lt;&gt;Rescheduled")+COUNTIFS($B$5:B1327,B1327,$AJ$5:AJ1327,AJ1327,$O$5:O1327,"&lt;&gt;Cancelled",$O$5:O1327,"&lt;&gt;Rescheduled")))</f>
        <v/>
      </c>
      <c r="AL1327" s="49">
        <f>IF(N(U1327)&lt;=0.005,"",COUNTIFS('JOBS'!$U$5:$U$1504,"&gt;0.005",'JOBS'!$B$5:$B$1504,"&lt;"&amp;B1327)+COUNTIFS($U$5:U1327,"&gt;0.005",$B$5:B1327,B1327))</f>
        <v/>
      </c>
    </row>
    <row r="1328">
      <c r="A1328" s="46" t="inlineStr">
        <is>
          <t>J-1324</t>
        </is>
      </c>
      <c r="B1328" s="47" t="n"/>
      <c r="C1328" s="94" t="n"/>
      <c r="D1328" s="38" t="n"/>
      <c r="E1328" s="38" t="n"/>
      <c r="F1328" s="38" t="n"/>
      <c r="G1328" s="38" t="n"/>
      <c r="H1328" s="38" t="n"/>
      <c r="I1328" s="57" t="n"/>
      <c r="J1328" s="95" t="n"/>
      <c r="K1328" s="95" t="n"/>
      <c r="L1328" s="48" t="n"/>
      <c r="M1328" s="96" t="n"/>
      <c r="N1328" s="48" t="n"/>
      <c r="O1328" s="38" t="n"/>
      <c r="P1328" s="38" t="n"/>
      <c r="Q1328" s="97">
        <f>IF(OR(F1328="",E1328=""),"",IFERROR(IF(INDEX('PROPERTIES'!$F$5:$F$404,MATCH(E1328,'PROPERTIES'!$B$5:$B$404,0))=0,"",ROUND((INDEX('PROPERTIES'!$F$5:$F$404,MATCH(E1328,'PROPERTIES'!$B$5:$B$404,0))/INDEX('PRICING'!$C$7:$C$16,MATCH(F1328,'PRICING'!$A$7:$A$16,0))+INDEX('PROPERTIES'!$G$5:$G$404,MATCH(E1328,'PROPERTIES'!$B$5:$B$404,0))*INDEX('PRICING'!$D$7:$D$16,MATCH(F1328,'PRICING'!$A$7:$A$16,0))/60+INDEX('PROPERTIES'!$H$5:$H$404,MATCH(E1328,'PROPERTIES'!$B$5:$B$404,0))*INDEX('PRICING'!$E$7:$E$16,MATCH(F1328,'PRICING'!$A$7:$A$16,0))/60+INDEX('PRICING'!$F$7:$F$16,MATCH(F1328,'PRICING'!$A$7:$A$16,0))/60),2)),""))</f>
        <v/>
      </c>
      <c r="R1328" s="97">
        <f>IF(B1328="","",IF(N(K1328)&gt;0,K1328,IF(N(J1328)&gt;0,J1328,N(Q1328))))</f>
        <v/>
      </c>
      <c r="S1328" s="55">
        <f>IF(L1328="","",ROUND(L1328*(1+N(M1328)),2))</f>
        <v/>
      </c>
      <c r="T1328" s="55">
        <f>IF(B1328="","",SUMIFS('REVENUE'!$C$5:$C$1504,'REVENUE'!$B$5:$B$1504,A1328))</f>
        <v/>
      </c>
      <c r="U1328" s="55">
        <f>IF(B1328="","",IF(O1328="Completed",MAX(0,N(S1328)-T1328),""))</f>
        <v/>
      </c>
      <c r="V1328" s="49">
        <f>IF(B1328="","",IF(O1328&lt;&gt;"Completed",IF(T1328&gt;0,"Deposit","—"),IF(U1328&lt;=0.005,"Paid",IF(T1328&gt;0,"Partial","Unpaid"))))</f>
        <v/>
      </c>
      <c r="W1328" s="55">
        <f>IF(B1328="","",IFERROR(1/(1/INDEX('STAFF &amp; TASKS'!$C$5:$C$24,MATCH(H1328,'STAFF &amp; TASKS'!$A$5:$A$24,0))),PayRate))</f>
        <v/>
      </c>
      <c r="X1328" s="55">
        <f>IF(B1328="","",IF(OR(O1328="Cancelled",O1328="No-Show"),"",ROUND(R1328*W1328*(1+Burden),2)))</f>
        <v/>
      </c>
      <c r="Y1328" s="55">
        <f>IF(B1328="","",IF(OR(O1328="Cancelled",O1328="No-Show"),"",IF(N1328&lt;&gt;"",N1328,ROUND(R1328*SupHr*IFERROR(INDEX('PRICING'!$G$7:$G$16,MATCH(F1328,'PRICING'!$A$7:$A$16,0)),1),2))))</f>
        <v/>
      </c>
      <c r="Z1328" s="98">
        <f>IF(B1328="","",SUMIFS('MILEAGE'!$J$5:$J$1504,'MILEAGE'!$B$5:$B$1504,A1328))</f>
        <v/>
      </c>
      <c r="AA1328" s="55">
        <f>IF(B1328="","",ROUND(Z1328*MileRate,2))</f>
        <v/>
      </c>
      <c r="AB1328" s="55">
        <f>IF(B1328="","",SUMIFS('REVENUE'!$J$5:$J$1504,'REVENUE'!$B$5:$B$1504,A1328))</f>
        <v/>
      </c>
      <c r="AC1328" s="55">
        <f>IF(L1328="","",IF(OR(O1328="Cancelled",O1328="No-Show"),"",L1328-N(X1328)-N(Y1328)-AA1328-AB1328))</f>
        <v/>
      </c>
      <c r="AD1328" s="99">
        <f>IF(OR(AC1328="",N(L1328)=0),"",AC1328/L1328)</f>
        <v/>
      </c>
      <c r="AE1328" s="55">
        <f>IF(OR(AC1328="",N(R1328)=0),"",L1328/R1328)</f>
        <v/>
      </c>
      <c r="AF1328" s="100">
        <f>IF(OR(N(K1328)=0,N(J1328)+N(Q1328)=0),"",K1328-IF(N(J1328)&gt;0,J1328,Q1328))</f>
        <v/>
      </c>
      <c r="AG1328" s="99">
        <f>IF(B1328="","",IFERROR(AVERAGEIFS('QUALITY CONTROL'!$M$5:$M$304,'QUALITY CONTROL'!$B$5:$B$304,A1328),""))</f>
        <v/>
      </c>
      <c r="AH1328" s="51">
        <f>IF(B1328="","",DATE(YEAR(B1328),MONTH(B1328),1))</f>
        <v/>
      </c>
      <c r="AI1328" s="49">
        <f>IF(D1328="","",IFERROR(INDEX('CUSTOMERS'!$E$5:$E$404,MATCH(D1328,'CUSTOMERS'!$B$5:$B$404,0)),""))</f>
        <v/>
      </c>
      <c r="AJ1328" s="49">
        <f>IF(B1328="","",N(C1328))</f>
        <v/>
      </c>
      <c r="AK1328" s="49">
        <f>IF(OR(B1328="",O1328="Cancelled",O1328="Rescheduled"),"",B1328&amp;"|"&amp;(COUNTIFS('JOBS'!$B$5:$B$1504,B1328,'JOBS'!$AJ$5:$AJ$1504,"&lt;"&amp;AJ1328,'JOBS'!$O$5:$O$1504,"&lt;&gt;Cancelled",'JOBS'!$O$5:$O$1504,"&lt;&gt;Rescheduled")+COUNTIFS($B$5:B1328,B1328,$AJ$5:AJ1328,AJ1328,$O$5:O1328,"&lt;&gt;Cancelled",$O$5:O1328,"&lt;&gt;Rescheduled")))</f>
        <v/>
      </c>
      <c r="AL1328" s="49">
        <f>IF(N(U1328)&lt;=0.005,"",COUNTIFS('JOBS'!$U$5:$U$1504,"&gt;0.005",'JOBS'!$B$5:$B$1504,"&lt;"&amp;B1328)+COUNTIFS($U$5:U1328,"&gt;0.005",$B$5:B1328,B1328))</f>
        <v/>
      </c>
    </row>
    <row r="1329">
      <c r="A1329" s="46" t="inlineStr">
        <is>
          <t>J-1325</t>
        </is>
      </c>
      <c r="B1329" s="47" t="n"/>
      <c r="C1329" s="94" t="n"/>
      <c r="D1329" s="38" t="n"/>
      <c r="E1329" s="38" t="n"/>
      <c r="F1329" s="38" t="n"/>
      <c r="G1329" s="38" t="n"/>
      <c r="H1329" s="38" t="n"/>
      <c r="I1329" s="57" t="n"/>
      <c r="J1329" s="95" t="n"/>
      <c r="K1329" s="95" t="n"/>
      <c r="L1329" s="48" t="n"/>
      <c r="M1329" s="96" t="n"/>
      <c r="N1329" s="48" t="n"/>
      <c r="O1329" s="38" t="n"/>
      <c r="P1329" s="38" t="n"/>
      <c r="Q1329" s="97">
        <f>IF(OR(F1329="",E1329=""),"",IFERROR(IF(INDEX('PROPERTIES'!$F$5:$F$404,MATCH(E1329,'PROPERTIES'!$B$5:$B$404,0))=0,"",ROUND((INDEX('PROPERTIES'!$F$5:$F$404,MATCH(E1329,'PROPERTIES'!$B$5:$B$404,0))/INDEX('PRICING'!$C$7:$C$16,MATCH(F1329,'PRICING'!$A$7:$A$16,0))+INDEX('PROPERTIES'!$G$5:$G$404,MATCH(E1329,'PROPERTIES'!$B$5:$B$404,0))*INDEX('PRICING'!$D$7:$D$16,MATCH(F1329,'PRICING'!$A$7:$A$16,0))/60+INDEX('PROPERTIES'!$H$5:$H$404,MATCH(E1329,'PROPERTIES'!$B$5:$B$404,0))*INDEX('PRICING'!$E$7:$E$16,MATCH(F1329,'PRICING'!$A$7:$A$16,0))/60+INDEX('PRICING'!$F$7:$F$16,MATCH(F1329,'PRICING'!$A$7:$A$16,0))/60),2)),""))</f>
        <v/>
      </c>
      <c r="R1329" s="97">
        <f>IF(B1329="","",IF(N(K1329)&gt;0,K1329,IF(N(J1329)&gt;0,J1329,N(Q1329))))</f>
        <v/>
      </c>
      <c r="S1329" s="55">
        <f>IF(L1329="","",ROUND(L1329*(1+N(M1329)),2))</f>
        <v/>
      </c>
      <c r="T1329" s="55">
        <f>IF(B1329="","",SUMIFS('REVENUE'!$C$5:$C$1504,'REVENUE'!$B$5:$B$1504,A1329))</f>
        <v/>
      </c>
      <c r="U1329" s="55">
        <f>IF(B1329="","",IF(O1329="Completed",MAX(0,N(S1329)-T1329),""))</f>
        <v/>
      </c>
      <c r="V1329" s="49">
        <f>IF(B1329="","",IF(O1329&lt;&gt;"Completed",IF(T1329&gt;0,"Deposit","—"),IF(U1329&lt;=0.005,"Paid",IF(T1329&gt;0,"Partial","Unpaid"))))</f>
        <v/>
      </c>
      <c r="W1329" s="55">
        <f>IF(B1329="","",IFERROR(1/(1/INDEX('STAFF &amp; TASKS'!$C$5:$C$24,MATCH(H1329,'STAFF &amp; TASKS'!$A$5:$A$24,0))),PayRate))</f>
        <v/>
      </c>
      <c r="X1329" s="55">
        <f>IF(B1329="","",IF(OR(O1329="Cancelled",O1329="No-Show"),"",ROUND(R1329*W1329*(1+Burden),2)))</f>
        <v/>
      </c>
      <c r="Y1329" s="55">
        <f>IF(B1329="","",IF(OR(O1329="Cancelled",O1329="No-Show"),"",IF(N1329&lt;&gt;"",N1329,ROUND(R1329*SupHr*IFERROR(INDEX('PRICING'!$G$7:$G$16,MATCH(F1329,'PRICING'!$A$7:$A$16,0)),1),2))))</f>
        <v/>
      </c>
      <c r="Z1329" s="98">
        <f>IF(B1329="","",SUMIFS('MILEAGE'!$J$5:$J$1504,'MILEAGE'!$B$5:$B$1504,A1329))</f>
        <v/>
      </c>
      <c r="AA1329" s="55">
        <f>IF(B1329="","",ROUND(Z1329*MileRate,2))</f>
        <v/>
      </c>
      <c r="AB1329" s="55">
        <f>IF(B1329="","",SUMIFS('REVENUE'!$J$5:$J$1504,'REVENUE'!$B$5:$B$1504,A1329))</f>
        <v/>
      </c>
      <c r="AC1329" s="55">
        <f>IF(L1329="","",IF(OR(O1329="Cancelled",O1329="No-Show"),"",L1329-N(X1329)-N(Y1329)-AA1329-AB1329))</f>
        <v/>
      </c>
      <c r="AD1329" s="99">
        <f>IF(OR(AC1329="",N(L1329)=0),"",AC1329/L1329)</f>
        <v/>
      </c>
      <c r="AE1329" s="55">
        <f>IF(OR(AC1329="",N(R1329)=0),"",L1329/R1329)</f>
        <v/>
      </c>
      <c r="AF1329" s="100">
        <f>IF(OR(N(K1329)=0,N(J1329)+N(Q1329)=0),"",K1329-IF(N(J1329)&gt;0,J1329,Q1329))</f>
        <v/>
      </c>
      <c r="AG1329" s="99">
        <f>IF(B1329="","",IFERROR(AVERAGEIFS('QUALITY CONTROL'!$M$5:$M$304,'QUALITY CONTROL'!$B$5:$B$304,A1329),""))</f>
        <v/>
      </c>
      <c r="AH1329" s="51">
        <f>IF(B1329="","",DATE(YEAR(B1329),MONTH(B1329),1))</f>
        <v/>
      </c>
      <c r="AI1329" s="49">
        <f>IF(D1329="","",IFERROR(INDEX('CUSTOMERS'!$E$5:$E$404,MATCH(D1329,'CUSTOMERS'!$B$5:$B$404,0)),""))</f>
        <v/>
      </c>
      <c r="AJ1329" s="49">
        <f>IF(B1329="","",N(C1329))</f>
        <v/>
      </c>
      <c r="AK1329" s="49">
        <f>IF(OR(B1329="",O1329="Cancelled",O1329="Rescheduled"),"",B1329&amp;"|"&amp;(COUNTIFS('JOBS'!$B$5:$B$1504,B1329,'JOBS'!$AJ$5:$AJ$1504,"&lt;"&amp;AJ1329,'JOBS'!$O$5:$O$1504,"&lt;&gt;Cancelled",'JOBS'!$O$5:$O$1504,"&lt;&gt;Rescheduled")+COUNTIFS($B$5:B1329,B1329,$AJ$5:AJ1329,AJ1329,$O$5:O1329,"&lt;&gt;Cancelled",$O$5:O1329,"&lt;&gt;Rescheduled")))</f>
        <v/>
      </c>
      <c r="AL1329" s="49">
        <f>IF(N(U1329)&lt;=0.005,"",COUNTIFS('JOBS'!$U$5:$U$1504,"&gt;0.005",'JOBS'!$B$5:$B$1504,"&lt;"&amp;B1329)+COUNTIFS($U$5:U1329,"&gt;0.005",$B$5:B1329,B1329))</f>
        <v/>
      </c>
    </row>
    <row r="1330">
      <c r="A1330" s="46" t="inlineStr">
        <is>
          <t>J-1326</t>
        </is>
      </c>
      <c r="B1330" s="47" t="n"/>
      <c r="C1330" s="94" t="n"/>
      <c r="D1330" s="38" t="n"/>
      <c r="E1330" s="38" t="n"/>
      <c r="F1330" s="38" t="n"/>
      <c r="G1330" s="38" t="n"/>
      <c r="H1330" s="38" t="n"/>
      <c r="I1330" s="57" t="n"/>
      <c r="J1330" s="95" t="n"/>
      <c r="K1330" s="95" t="n"/>
      <c r="L1330" s="48" t="n"/>
      <c r="M1330" s="96" t="n"/>
      <c r="N1330" s="48" t="n"/>
      <c r="O1330" s="38" t="n"/>
      <c r="P1330" s="38" t="n"/>
      <c r="Q1330" s="97">
        <f>IF(OR(F1330="",E1330=""),"",IFERROR(IF(INDEX('PROPERTIES'!$F$5:$F$404,MATCH(E1330,'PROPERTIES'!$B$5:$B$404,0))=0,"",ROUND((INDEX('PROPERTIES'!$F$5:$F$404,MATCH(E1330,'PROPERTIES'!$B$5:$B$404,0))/INDEX('PRICING'!$C$7:$C$16,MATCH(F1330,'PRICING'!$A$7:$A$16,0))+INDEX('PROPERTIES'!$G$5:$G$404,MATCH(E1330,'PROPERTIES'!$B$5:$B$404,0))*INDEX('PRICING'!$D$7:$D$16,MATCH(F1330,'PRICING'!$A$7:$A$16,0))/60+INDEX('PROPERTIES'!$H$5:$H$404,MATCH(E1330,'PROPERTIES'!$B$5:$B$404,0))*INDEX('PRICING'!$E$7:$E$16,MATCH(F1330,'PRICING'!$A$7:$A$16,0))/60+INDEX('PRICING'!$F$7:$F$16,MATCH(F1330,'PRICING'!$A$7:$A$16,0))/60),2)),""))</f>
        <v/>
      </c>
      <c r="R1330" s="97">
        <f>IF(B1330="","",IF(N(K1330)&gt;0,K1330,IF(N(J1330)&gt;0,J1330,N(Q1330))))</f>
        <v/>
      </c>
      <c r="S1330" s="55">
        <f>IF(L1330="","",ROUND(L1330*(1+N(M1330)),2))</f>
        <v/>
      </c>
      <c r="T1330" s="55">
        <f>IF(B1330="","",SUMIFS('REVENUE'!$C$5:$C$1504,'REVENUE'!$B$5:$B$1504,A1330))</f>
        <v/>
      </c>
      <c r="U1330" s="55">
        <f>IF(B1330="","",IF(O1330="Completed",MAX(0,N(S1330)-T1330),""))</f>
        <v/>
      </c>
      <c r="V1330" s="49">
        <f>IF(B1330="","",IF(O1330&lt;&gt;"Completed",IF(T1330&gt;0,"Deposit","—"),IF(U1330&lt;=0.005,"Paid",IF(T1330&gt;0,"Partial","Unpaid"))))</f>
        <v/>
      </c>
      <c r="W1330" s="55">
        <f>IF(B1330="","",IFERROR(1/(1/INDEX('STAFF &amp; TASKS'!$C$5:$C$24,MATCH(H1330,'STAFF &amp; TASKS'!$A$5:$A$24,0))),PayRate))</f>
        <v/>
      </c>
      <c r="X1330" s="55">
        <f>IF(B1330="","",IF(OR(O1330="Cancelled",O1330="No-Show"),"",ROUND(R1330*W1330*(1+Burden),2)))</f>
        <v/>
      </c>
      <c r="Y1330" s="55">
        <f>IF(B1330="","",IF(OR(O1330="Cancelled",O1330="No-Show"),"",IF(N1330&lt;&gt;"",N1330,ROUND(R1330*SupHr*IFERROR(INDEX('PRICING'!$G$7:$G$16,MATCH(F1330,'PRICING'!$A$7:$A$16,0)),1),2))))</f>
        <v/>
      </c>
      <c r="Z1330" s="98">
        <f>IF(B1330="","",SUMIFS('MILEAGE'!$J$5:$J$1504,'MILEAGE'!$B$5:$B$1504,A1330))</f>
        <v/>
      </c>
      <c r="AA1330" s="55">
        <f>IF(B1330="","",ROUND(Z1330*MileRate,2))</f>
        <v/>
      </c>
      <c r="AB1330" s="55">
        <f>IF(B1330="","",SUMIFS('REVENUE'!$J$5:$J$1504,'REVENUE'!$B$5:$B$1504,A1330))</f>
        <v/>
      </c>
      <c r="AC1330" s="55">
        <f>IF(L1330="","",IF(OR(O1330="Cancelled",O1330="No-Show"),"",L1330-N(X1330)-N(Y1330)-AA1330-AB1330))</f>
        <v/>
      </c>
      <c r="AD1330" s="99">
        <f>IF(OR(AC1330="",N(L1330)=0),"",AC1330/L1330)</f>
        <v/>
      </c>
      <c r="AE1330" s="55">
        <f>IF(OR(AC1330="",N(R1330)=0),"",L1330/R1330)</f>
        <v/>
      </c>
      <c r="AF1330" s="100">
        <f>IF(OR(N(K1330)=0,N(J1330)+N(Q1330)=0),"",K1330-IF(N(J1330)&gt;0,J1330,Q1330))</f>
        <v/>
      </c>
      <c r="AG1330" s="99">
        <f>IF(B1330="","",IFERROR(AVERAGEIFS('QUALITY CONTROL'!$M$5:$M$304,'QUALITY CONTROL'!$B$5:$B$304,A1330),""))</f>
        <v/>
      </c>
      <c r="AH1330" s="51">
        <f>IF(B1330="","",DATE(YEAR(B1330),MONTH(B1330),1))</f>
        <v/>
      </c>
      <c r="AI1330" s="49">
        <f>IF(D1330="","",IFERROR(INDEX('CUSTOMERS'!$E$5:$E$404,MATCH(D1330,'CUSTOMERS'!$B$5:$B$404,0)),""))</f>
        <v/>
      </c>
      <c r="AJ1330" s="49">
        <f>IF(B1330="","",N(C1330))</f>
        <v/>
      </c>
      <c r="AK1330" s="49">
        <f>IF(OR(B1330="",O1330="Cancelled",O1330="Rescheduled"),"",B1330&amp;"|"&amp;(COUNTIFS('JOBS'!$B$5:$B$1504,B1330,'JOBS'!$AJ$5:$AJ$1504,"&lt;"&amp;AJ1330,'JOBS'!$O$5:$O$1504,"&lt;&gt;Cancelled",'JOBS'!$O$5:$O$1504,"&lt;&gt;Rescheduled")+COUNTIFS($B$5:B1330,B1330,$AJ$5:AJ1330,AJ1330,$O$5:O1330,"&lt;&gt;Cancelled",$O$5:O1330,"&lt;&gt;Rescheduled")))</f>
        <v/>
      </c>
      <c r="AL1330" s="49">
        <f>IF(N(U1330)&lt;=0.005,"",COUNTIFS('JOBS'!$U$5:$U$1504,"&gt;0.005",'JOBS'!$B$5:$B$1504,"&lt;"&amp;B1330)+COUNTIFS($U$5:U1330,"&gt;0.005",$B$5:B1330,B1330))</f>
        <v/>
      </c>
    </row>
    <row r="1331">
      <c r="A1331" s="46" t="inlineStr">
        <is>
          <t>J-1327</t>
        </is>
      </c>
      <c r="B1331" s="47" t="n"/>
      <c r="C1331" s="94" t="n"/>
      <c r="D1331" s="38" t="n"/>
      <c r="E1331" s="38" t="n"/>
      <c r="F1331" s="38" t="n"/>
      <c r="G1331" s="38" t="n"/>
      <c r="H1331" s="38" t="n"/>
      <c r="I1331" s="57" t="n"/>
      <c r="J1331" s="95" t="n"/>
      <c r="K1331" s="95" t="n"/>
      <c r="L1331" s="48" t="n"/>
      <c r="M1331" s="96" t="n"/>
      <c r="N1331" s="48" t="n"/>
      <c r="O1331" s="38" t="n"/>
      <c r="P1331" s="38" t="n"/>
      <c r="Q1331" s="97">
        <f>IF(OR(F1331="",E1331=""),"",IFERROR(IF(INDEX('PROPERTIES'!$F$5:$F$404,MATCH(E1331,'PROPERTIES'!$B$5:$B$404,0))=0,"",ROUND((INDEX('PROPERTIES'!$F$5:$F$404,MATCH(E1331,'PROPERTIES'!$B$5:$B$404,0))/INDEX('PRICING'!$C$7:$C$16,MATCH(F1331,'PRICING'!$A$7:$A$16,0))+INDEX('PROPERTIES'!$G$5:$G$404,MATCH(E1331,'PROPERTIES'!$B$5:$B$404,0))*INDEX('PRICING'!$D$7:$D$16,MATCH(F1331,'PRICING'!$A$7:$A$16,0))/60+INDEX('PROPERTIES'!$H$5:$H$404,MATCH(E1331,'PROPERTIES'!$B$5:$B$404,0))*INDEX('PRICING'!$E$7:$E$16,MATCH(F1331,'PRICING'!$A$7:$A$16,0))/60+INDEX('PRICING'!$F$7:$F$16,MATCH(F1331,'PRICING'!$A$7:$A$16,0))/60),2)),""))</f>
        <v/>
      </c>
      <c r="R1331" s="97">
        <f>IF(B1331="","",IF(N(K1331)&gt;0,K1331,IF(N(J1331)&gt;0,J1331,N(Q1331))))</f>
        <v/>
      </c>
      <c r="S1331" s="55">
        <f>IF(L1331="","",ROUND(L1331*(1+N(M1331)),2))</f>
        <v/>
      </c>
      <c r="T1331" s="55">
        <f>IF(B1331="","",SUMIFS('REVENUE'!$C$5:$C$1504,'REVENUE'!$B$5:$B$1504,A1331))</f>
        <v/>
      </c>
      <c r="U1331" s="55">
        <f>IF(B1331="","",IF(O1331="Completed",MAX(0,N(S1331)-T1331),""))</f>
        <v/>
      </c>
      <c r="V1331" s="49">
        <f>IF(B1331="","",IF(O1331&lt;&gt;"Completed",IF(T1331&gt;0,"Deposit","—"),IF(U1331&lt;=0.005,"Paid",IF(T1331&gt;0,"Partial","Unpaid"))))</f>
        <v/>
      </c>
      <c r="W1331" s="55">
        <f>IF(B1331="","",IFERROR(1/(1/INDEX('STAFF &amp; TASKS'!$C$5:$C$24,MATCH(H1331,'STAFF &amp; TASKS'!$A$5:$A$24,0))),PayRate))</f>
        <v/>
      </c>
      <c r="X1331" s="55">
        <f>IF(B1331="","",IF(OR(O1331="Cancelled",O1331="No-Show"),"",ROUND(R1331*W1331*(1+Burden),2)))</f>
        <v/>
      </c>
      <c r="Y1331" s="55">
        <f>IF(B1331="","",IF(OR(O1331="Cancelled",O1331="No-Show"),"",IF(N1331&lt;&gt;"",N1331,ROUND(R1331*SupHr*IFERROR(INDEX('PRICING'!$G$7:$G$16,MATCH(F1331,'PRICING'!$A$7:$A$16,0)),1),2))))</f>
        <v/>
      </c>
      <c r="Z1331" s="98">
        <f>IF(B1331="","",SUMIFS('MILEAGE'!$J$5:$J$1504,'MILEAGE'!$B$5:$B$1504,A1331))</f>
        <v/>
      </c>
      <c r="AA1331" s="55">
        <f>IF(B1331="","",ROUND(Z1331*MileRate,2))</f>
        <v/>
      </c>
      <c r="AB1331" s="55">
        <f>IF(B1331="","",SUMIFS('REVENUE'!$J$5:$J$1504,'REVENUE'!$B$5:$B$1504,A1331))</f>
        <v/>
      </c>
      <c r="AC1331" s="55">
        <f>IF(L1331="","",IF(OR(O1331="Cancelled",O1331="No-Show"),"",L1331-N(X1331)-N(Y1331)-AA1331-AB1331))</f>
        <v/>
      </c>
      <c r="AD1331" s="99">
        <f>IF(OR(AC1331="",N(L1331)=0),"",AC1331/L1331)</f>
        <v/>
      </c>
      <c r="AE1331" s="55">
        <f>IF(OR(AC1331="",N(R1331)=0),"",L1331/R1331)</f>
        <v/>
      </c>
      <c r="AF1331" s="100">
        <f>IF(OR(N(K1331)=0,N(J1331)+N(Q1331)=0),"",K1331-IF(N(J1331)&gt;0,J1331,Q1331))</f>
        <v/>
      </c>
      <c r="AG1331" s="99">
        <f>IF(B1331="","",IFERROR(AVERAGEIFS('QUALITY CONTROL'!$M$5:$M$304,'QUALITY CONTROL'!$B$5:$B$304,A1331),""))</f>
        <v/>
      </c>
      <c r="AH1331" s="51">
        <f>IF(B1331="","",DATE(YEAR(B1331),MONTH(B1331),1))</f>
        <v/>
      </c>
      <c r="AI1331" s="49">
        <f>IF(D1331="","",IFERROR(INDEX('CUSTOMERS'!$E$5:$E$404,MATCH(D1331,'CUSTOMERS'!$B$5:$B$404,0)),""))</f>
        <v/>
      </c>
      <c r="AJ1331" s="49">
        <f>IF(B1331="","",N(C1331))</f>
        <v/>
      </c>
      <c r="AK1331" s="49">
        <f>IF(OR(B1331="",O1331="Cancelled",O1331="Rescheduled"),"",B1331&amp;"|"&amp;(COUNTIFS('JOBS'!$B$5:$B$1504,B1331,'JOBS'!$AJ$5:$AJ$1504,"&lt;"&amp;AJ1331,'JOBS'!$O$5:$O$1504,"&lt;&gt;Cancelled",'JOBS'!$O$5:$O$1504,"&lt;&gt;Rescheduled")+COUNTIFS($B$5:B1331,B1331,$AJ$5:AJ1331,AJ1331,$O$5:O1331,"&lt;&gt;Cancelled",$O$5:O1331,"&lt;&gt;Rescheduled")))</f>
        <v/>
      </c>
      <c r="AL1331" s="49">
        <f>IF(N(U1331)&lt;=0.005,"",COUNTIFS('JOBS'!$U$5:$U$1504,"&gt;0.005",'JOBS'!$B$5:$B$1504,"&lt;"&amp;B1331)+COUNTIFS($U$5:U1331,"&gt;0.005",$B$5:B1331,B1331))</f>
        <v/>
      </c>
    </row>
    <row r="1332">
      <c r="A1332" s="46" t="inlineStr">
        <is>
          <t>J-1328</t>
        </is>
      </c>
      <c r="B1332" s="47" t="n"/>
      <c r="C1332" s="94" t="n"/>
      <c r="D1332" s="38" t="n"/>
      <c r="E1332" s="38" t="n"/>
      <c r="F1332" s="38" t="n"/>
      <c r="G1332" s="38" t="n"/>
      <c r="H1332" s="38" t="n"/>
      <c r="I1332" s="57" t="n"/>
      <c r="J1332" s="95" t="n"/>
      <c r="K1332" s="95" t="n"/>
      <c r="L1332" s="48" t="n"/>
      <c r="M1332" s="96" t="n"/>
      <c r="N1332" s="48" t="n"/>
      <c r="O1332" s="38" t="n"/>
      <c r="P1332" s="38" t="n"/>
      <c r="Q1332" s="97">
        <f>IF(OR(F1332="",E1332=""),"",IFERROR(IF(INDEX('PROPERTIES'!$F$5:$F$404,MATCH(E1332,'PROPERTIES'!$B$5:$B$404,0))=0,"",ROUND((INDEX('PROPERTIES'!$F$5:$F$404,MATCH(E1332,'PROPERTIES'!$B$5:$B$404,0))/INDEX('PRICING'!$C$7:$C$16,MATCH(F1332,'PRICING'!$A$7:$A$16,0))+INDEX('PROPERTIES'!$G$5:$G$404,MATCH(E1332,'PROPERTIES'!$B$5:$B$404,0))*INDEX('PRICING'!$D$7:$D$16,MATCH(F1332,'PRICING'!$A$7:$A$16,0))/60+INDEX('PROPERTIES'!$H$5:$H$404,MATCH(E1332,'PROPERTIES'!$B$5:$B$404,0))*INDEX('PRICING'!$E$7:$E$16,MATCH(F1332,'PRICING'!$A$7:$A$16,0))/60+INDEX('PRICING'!$F$7:$F$16,MATCH(F1332,'PRICING'!$A$7:$A$16,0))/60),2)),""))</f>
        <v/>
      </c>
      <c r="R1332" s="97">
        <f>IF(B1332="","",IF(N(K1332)&gt;0,K1332,IF(N(J1332)&gt;0,J1332,N(Q1332))))</f>
        <v/>
      </c>
      <c r="S1332" s="55">
        <f>IF(L1332="","",ROUND(L1332*(1+N(M1332)),2))</f>
        <v/>
      </c>
      <c r="T1332" s="55">
        <f>IF(B1332="","",SUMIFS('REVENUE'!$C$5:$C$1504,'REVENUE'!$B$5:$B$1504,A1332))</f>
        <v/>
      </c>
      <c r="U1332" s="55">
        <f>IF(B1332="","",IF(O1332="Completed",MAX(0,N(S1332)-T1332),""))</f>
        <v/>
      </c>
      <c r="V1332" s="49">
        <f>IF(B1332="","",IF(O1332&lt;&gt;"Completed",IF(T1332&gt;0,"Deposit","—"),IF(U1332&lt;=0.005,"Paid",IF(T1332&gt;0,"Partial","Unpaid"))))</f>
        <v/>
      </c>
      <c r="W1332" s="55">
        <f>IF(B1332="","",IFERROR(1/(1/INDEX('STAFF &amp; TASKS'!$C$5:$C$24,MATCH(H1332,'STAFF &amp; TASKS'!$A$5:$A$24,0))),PayRate))</f>
        <v/>
      </c>
      <c r="X1332" s="55">
        <f>IF(B1332="","",IF(OR(O1332="Cancelled",O1332="No-Show"),"",ROUND(R1332*W1332*(1+Burden),2)))</f>
        <v/>
      </c>
      <c r="Y1332" s="55">
        <f>IF(B1332="","",IF(OR(O1332="Cancelled",O1332="No-Show"),"",IF(N1332&lt;&gt;"",N1332,ROUND(R1332*SupHr*IFERROR(INDEX('PRICING'!$G$7:$G$16,MATCH(F1332,'PRICING'!$A$7:$A$16,0)),1),2))))</f>
        <v/>
      </c>
      <c r="Z1332" s="98">
        <f>IF(B1332="","",SUMIFS('MILEAGE'!$J$5:$J$1504,'MILEAGE'!$B$5:$B$1504,A1332))</f>
        <v/>
      </c>
      <c r="AA1332" s="55">
        <f>IF(B1332="","",ROUND(Z1332*MileRate,2))</f>
        <v/>
      </c>
      <c r="AB1332" s="55">
        <f>IF(B1332="","",SUMIFS('REVENUE'!$J$5:$J$1504,'REVENUE'!$B$5:$B$1504,A1332))</f>
        <v/>
      </c>
      <c r="AC1332" s="55">
        <f>IF(L1332="","",IF(OR(O1332="Cancelled",O1332="No-Show"),"",L1332-N(X1332)-N(Y1332)-AA1332-AB1332))</f>
        <v/>
      </c>
      <c r="AD1332" s="99">
        <f>IF(OR(AC1332="",N(L1332)=0),"",AC1332/L1332)</f>
        <v/>
      </c>
      <c r="AE1332" s="55">
        <f>IF(OR(AC1332="",N(R1332)=0),"",L1332/R1332)</f>
        <v/>
      </c>
      <c r="AF1332" s="100">
        <f>IF(OR(N(K1332)=0,N(J1332)+N(Q1332)=0),"",K1332-IF(N(J1332)&gt;0,J1332,Q1332))</f>
        <v/>
      </c>
      <c r="AG1332" s="99">
        <f>IF(B1332="","",IFERROR(AVERAGEIFS('QUALITY CONTROL'!$M$5:$M$304,'QUALITY CONTROL'!$B$5:$B$304,A1332),""))</f>
        <v/>
      </c>
      <c r="AH1332" s="51">
        <f>IF(B1332="","",DATE(YEAR(B1332),MONTH(B1332),1))</f>
        <v/>
      </c>
      <c r="AI1332" s="49">
        <f>IF(D1332="","",IFERROR(INDEX('CUSTOMERS'!$E$5:$E$404,MATCH(D1332,'CUSTOMERS'!$B$5:$B$404,0)),""))</f>
        <v/>
      </c>
      <c r="AJ1332" s="49">
        <f>IF(B1332="","",N(C1332))</f>
        <v/>
      </c>
      <c r="AK1332" s="49">
        <f>IF(OR(B1332="",O1332="Cancelled",O1332="Rescheduled"),"",B1332&amp;"|"&amp;(COUNTIFS('JOBS'!$B$5:$B$1504,B1332,'JOBS'!$AJ$5:$AJ$1504,"&lt;"&amp;AJ1332,'JOBS'!$O$5:$O$1504,"&lt;&gt;Cancelled",'JOBS'!$O$5:$O$1504,"&lt;&gt;Rescheduled")+COUNTIFS($B$5:B1332,B1332,$AJ$5:AJ1332,AJ1332,$O$5:O1332,"&lt;&gt;Cancelled",$O$5:O1332,"&lt;&gt;Rescheduled")))</f>
        <v/>
      </c>
      <c r="AL1332" s="49">
        <f>IF(N(U1332)&lt;=0.005,"",COUNTIFS('JOBS'!$U$5:$U$1504,"&gt;0.005",'JOBS'!$B$5:$B$1504,"&lt;"&amp;B1332)+COUNTIFS($U$5:U1332,"&gt;0.005",$B$5:B1332,B1332))</f>
        <v/>
      </c>
    </row>
    <row r="1333">
      <c r="A1333" s="46" t="inlineStr">
        <is>
          <t>J-1329</t>
        </is>
      </c>
      <c r="B1333" s="47" t="n"/>
      <c r="C1333" s="94" t="n"/>
      <c r="D1333" s="38" t="n"/>
      <c r="E1333" s="38" t="n"/>
      <c r="F1333" s="38" t="n"/>
      <c r="G1333" s="38" t="n"/>
      <c r="H1333" s="38" t="n"/>
      <c r="I1333" s="57" t="n"/>
      <c r="J1333" s="95" t="n"/>
      <c r="K1333" s="95" t="n"/>
      <c r="L1333" s="48" t="n"/>
      <c r="M1333" s="96" t="n"/>
      <c r="N1333" s="48" t="n"/>
      <c r="O1333" s="38" t="n"/>
      <c r="P1333" s="38" t="n"/>
      <c r="Q1333" s="97">
        <f>IF(OR(F1333="",E1333=""),"",IFERROR(IF(INDEX('PROPERTIES'!$F$5:$F$404,MATCH(E1333,'PROPERTIES'!$B$5:$B$404,0))=0,"",ROUND((INDEX('PROPERTIES'!$F$5:$F$404,MATCH(E1333,'PROPERTIES'!$B$5:$B$404,0))/INDEX('PRICING'!$C$7:$C$16,MATCH(F1333,'PRICING'!$A$7:$A$16,0))+INDEX('PROPERTIES'!$G$5:$G$404,MATCH(E1333,'PROPERTIES'!$B$5:$B$404,0))*INDEX('PRICING'!$D$7:$D$16,MATCH(F1333,'PRICING'!$A$7:$A$16,0))/60+INDEX('PROPERTIES'!$H$5:$H$404,MATCH(E1333,'PROPERTIES'!$B$5:$B$404,0))*INDEX('PRICING'!$E$7:$E$16,MATCH(F1333,'PRICING'!$A$7:$A$16,0))/60+INDEX('PRICING'!$F$7:$F$16,MATCH(F1333,'PRICING'!$A$7:$A$16,0))/60),2)),""))</f>
        <v/>
      </c>
      <c r="R1333" s="97">
        <f>IF(B1333="","",IF(N(K1333)&gt;0,K1333,IF(N(J1333)&gt;0,J1333,N(Q1333))))</f>
        <v/>
      </c>
      <c r="S1333" s="55">
        <f>IF(L1333="","",ROUND(L1333*(1+N(M1333)),2))</f>
        <v/>
      </c>
      <c r="T1333" s="55">
        <f>IF(B1333="","",SUMIFS('REVENUE'!$C$5:$C$1504,'REVENUE'!$B$5:$B$1504,A1333))</f>
        <v/>
      </c>
      <c r="U1333" s="55">
        <f>IF(B1333="","",IF(O1333="Completed",MAX(0,N(S1333)-T1333),""))</f>
        <v/>
      </c>
      <c r="V1333" s="49">
        <f>IF(B1333="","",IF(O1333&lt;&gt;"Completed",IF(T1333&gt;0,"Deposit","—"),IF(U1333&lt;=0.005,"Paid",IF(T1333&gt;0,"Partial","Unpaid"))))</f>
        <v/>
      </c>
      <c r="W1333" s="55">
        <f>IF(B1333="","",IFERROR(1/(1/INDEX('STAFF &amp; TASKS'!$C$5:$C$24,MATCH(H1333,'STAFF &amp; TASKS'!$A$5:$A$24,0))),PayRate))</f>
        <v/>
      </c>
      <c r="X1333" s="55">
        <f>IF(B1333="","",IF(OR(O1333="Cancelled",O1333="No-Show"),"",ROUND(R1333*W1333*(1+Burden),2)))</f>
        <v/>
      </c>
      <c r="Y1333" s="55">
        <f>IF(B1333="","",IF(OR(O1333="Cancelled",O1333="No-Show"),"",IF(N1333&lt;&gt;"",N1333,ROUND(R1333*SupHr*IFERROR(INDEX('PRICING'!$G$7:$G$16,MATCH(F1333,'PRICING'!$A$7:$A$16,0)),1),2))))</f>
        <v/>
      </c>
      <c r="Z1333" s="98">
        <f>IF(B1333="","",SUMIFS('MILEAGE'!$J$5:$J$1504,'MILEAGE'!$B$5:$B$1504,A1333))</f>
        <v/>
      </c>
      <c r="AA1333" s="55">
        <f>IF(B1333="","",ROUND(Z1333*MileRate,2))</f>
        <v/>
      </c>
      <c r="AB1333" s="55">
        <f>IF(B1333="","",SUMIFS('REVENUE'!$J$5:$J$1504,'REVENUE'!$B$5:$B$1504,A1333))</f>
        <v/>
      </c>
      <c r="AC1333" s="55">
        <f>IF(L1333="","",IF(OR(O1333="Cancelled",O1333="No-Show"),"",L1333-N(X1333)-N(Y1333)-AA1333-AB1333))</f>
        <v/>
      </c>
      <c r="AD1333" s="99">
        <f>IF(OR(AC1333="",N(L1333)=0),"",AC1333/L1333)</f>
        <v/>
      </c>
      <c r="AE1333" s="55">
        <f>IF(OR(AC1333="",N(R1333)=0),"",L1333/R1333)</f>
        <v/>
      </c>
      <c r="AF1333" s="100">
        <f>IF(OR(N(K1333)=0,N(J1333)+N(Q1333)=0),"",K1333-IF(N(J1333)&gt;0,J1333,Q1333))</f>
        <v/>
      </c>
      <c r="AG1333" s="99">
        <f>IF(B1333="","",IFERROR(AVERAGEIFS('QUALITY CONTROL'!$M$5:$M$304,'QUALITY CONTROL'!$B$5:$B$304,A1333),""))</f>
        <v/>
      </c>
      <c r="AH1333" s="51">
        <f>IF(B1333="","",DATE(YEAR(B1333),MONTH(B1333),1))</f>
        <v/>
      </c>
      <c r="AI1333" s="49">
        <f>IF(D1333="","",IFERROR(INDEX('CUSTOMERS'!$E$5:$E$404,MATCH(D1333,'CUSTOMERS'!$B$5:$B$404,0)),""))</f>
        <v/>
      </c>
      <c r="AJ1333" s="49">
        <f>IF(B1333="","",N(C1333))</f>
        <v/>
      </c>
      <c r="AK1333" s="49">
        <f>IF(OR(B1333="",O1333="Cancelled",O1333="Rescheduled"),"",B1333&amp;"|"&amp;(COUNTIFS('JOBS'!$B$5:$B$1504,B1333,'JOBS'!$AJ$5:$AJ$1504,"&lt;"&amp;AJ1333,'JOBS'!$O$5:$O$1504,"&lt;&gt;Cancelled",'JOBS'!$O$5:$O$1504,"&lt;&gt;Rescheduled")+COUNTIFS($B$5:B1333,B1333,$AJ$5:AJ1333,AJ1333,$O$5:O1333,"&lt;&gt;Cancelled",$O$5:O1333,"&lt;&gt;Rescheduled")))</f>
        <v/>
      </c>
      <c r="AL1333" s="49">
        <f>IF(N(U1333)&lt;=0.005,"",COUNTIFS('JOBS'!$U$5:$U$1504,"&gt;0.005",'JOBS'!$B$5:$B$1504,"&lt;"&amp;B1333)+COUNTIFS($U$5:U1333,"&gt;0.005",$B$5:B1333,B1333))</f>
        <v/>
      </c>
    </row>
    <row r="1334">
      <c r="A1334" s="46" t="inlineStr">
        <is>
          <t>J-1330</t>
        </is>
      </c>
      <c r="B1334" s="47" t="n"/>
      <c r="C1334" s="94" t="n"/>
      <c r="D1334" s="38" t="n"/>
      <c r="E1334" s="38" t="n"/>
      <c r="F1334" s="38" t="n"/>
      <c r="G1334" s="38" t="n"/>
      <c r="H1334" s="38" t="n"/>
      <c r="I1334" s="57" t="n"/>
      <c r="J1334" s="95" t="n"/>
      <c r="K1334" s="95" t="n"/>
      <c r="L1334" s="48" t="n"/>
      <c r="M1334" s="96" t="n"/>
      <c r="N1334" s="48" t="n"/>
      <c r="O1334" s="38" t="n"/>
      <c r="P1334" s="38" t="n"/>
      <c r="Q1334" s="97">
        <f>IF(OR(F1334="",E1334=""),"",IFERROR(IF(INDEX('PROPERTIES'!$F$5:$F$404,MATCH(E1334,'PROPERTIES'!$B$5:$B$404,0))=0,"",ROUND((INDEX('PROPERTIES'!$F$5:$F$404,MATCH(E1334,'PROPERTIES'!$B$5:$B$404,0))/INDEX('PRICING'!$C$7:$C$16,MATCH(F1334,'PRICING'!$A$7:$A$16,0))+INDEX('PROPERTIES'!$G$5:$G$404,MATCH(E1334,'PROPERTIES'!$B$5:$B$404,0))*INDEX('PRICING'!$D$7:$D$16,MATCH(F1334,'PRICING'!$A$7:$A$16,0))/60+INDEX('PROPERTIES'!$H$5:$H$404,MATCH(E1334,'PROPERTIES'!$B$5:$B$404,0))*INDEX('PRICING'!$E$7:$E$16,MATCH(F1334,'PRICING'!$A$7:$A$16,0))/60+INDEX('PRICING'!$F$7:$F$16,MATCH(F1334,'PRICING'!$A$7:$A$16,0))/60),2)),""))</f>
        <v/>
      </c>
      <c r="R1334" s="97">
        <f>IF(B1334="","",IF(N(K1334)&gt;0,K1334,IF(N(J1334)&gt;0,J1334,N(Q1334))))</f>
        <v/>
      </c>
      <c r="S1334" s="55">
        <f>IF(L1334="","",ROUND(L1334*(1+N(M1334)),2))</f>
        <v/>
      </c>
      <c r="T1334" s="55">
        <f>IF(B1334="","",SUMIFS('REVENUE'!$C$5:$C$1504,'REVENUE'!$B$5:$B$1504,A1334))</f>
        <v/>
      </c>
      <c r="U1334" s="55">
        <f>IF(B1334="","",IF(O1334="Completed",MAX(0,N(S1334)-T1334),""))</f>
        <v/>
      </c>
      <c r="V1334" s="49">
        <f>IF(B1334="","",IF(O1334&lt;&gt;"Completed",IF(T1334&gt;0,"Deposit","—"),IF(U1334&lt;=0.005,"Paid",IF(T1334&gt;0,"Partial","Unpaid"))))</f>
        <v/>
      </c>
      <c r="W1334" s="55">
        <f>IF(B1334="","",IFERROR(1/(1/INDEX('STAFF &amp; TASKS'!$C$5:$C$24,MATCH(H1334,'STAFF &amp; TASKS'!$A$5:$A$24,0))),PayRate))</f>
        <v/>
      </c>
      <c r="X1334" s="55">
        <f>IF(B1334="","",IF(OR(O1334="Cancelled",O1334="No-Show"),"",ROUND(R1334*W1334*(1+Burden),2)))</f>
        <v/>
      </c>
      <c r="Y1334" s="55">
        <f>IF(B1334="","",IF(OR(O1334="Cancelled",O1334="No-Show"),"",IF(N1334&lt;&gt;"",N1334,ROUND(R1334*SupHr*IFERROR(INDEX('PRICING'!$G$7:$G$16,MATCH(F1334,'PRICING'!$A$7:$A$16,0)),1),2))))</f>
        <v/>
      </c>
      <c r="Z1334" s="98">
        <f>IF(B1334="","",SUMIFS('MILEAGE'!$J$5:$J$1504,'MILEAGE'!$B$5:$B$1504,A1334))</f>
        <v/>
      </c>
      <c r="AA1334" s="55">
        <f>IF(B1334="","",ROUND(Z1334*MileRate,2))</f>
        <v/>
      </c>
      <c r="AB1334" s="55">
        <f>IF(B1334="","",SUMIFS('REVENUE'!$J$5:$J$1504,'REVENUE'!$B$5:$B$1504,A1334))</f>
        <v/>
      </c>
      <c r="AC1334" s="55">
        <f>IF(L1334="","",IF(OR(O1334="Cancelled",O1334="No-Show"),"",L1334-N(X1334)-N(Y1334)-AA1334-AB1334))</f>
        <v/>
      </c>
      <c r="AD1334" s="99">
        <f>IF(OR(AC1334="",N(L1334)=0),"",AC1334/L1334)</f>
        <v/>
      </c>
      <c r="AE1334" s="55">
        <f>IF(OR(AC1334="",N(R1334)=0),"",L1334/R1334)</f>
        <v/>
      </c>
      <c r="AF1334" s="100">
        <f>IF(OR(N(K1334)=0,N(J1334)+N(Q1334)=0),"",K1334-IF(N(J1334)&gt;0,J1334,Q1334))</f>
        <v/>
      </c>
      <c r="AG1334" s="99">
        <f>IF(B1334="","",IFERROR(AVERAGEIFS('QUALITY CONTROL'!$M$5:$M$304,'QUALITY CONTROL'!$B$5:$B$304,A1334),""))</f>
        <v/>
      </c>
      <c r="AH1334" s="51">
        <f>IF(B1334="","",DATE(YEAR(B1334),MONTH(B1334),1))</f>
        <v/>
      </c>
      <c r="AI1334" s="49">
        <f>IF(D1334="","",IFERROR(INDEX('CUSTOMERS'!$E$5:$E$404,MATCH(D1334,'CUSTOMERS'!$B$5:$B$404,0)),""))</f>
        <v/>
      </c>
      <c r="AJ1334" s="49">
        <f>IF(B1334="","",N(C1334))</f>
        <v/>
      </c>
      <c r="AK1334" s="49">
        <f>IF(OR(B1334="",O1334="Cancelled",O1334="Rescheduled"),"",B1334&amp;"|"&amp;(COUNTIFS('JOBS'!$B$5:$B$1504,B1334,'JOBS'!$AJ$5:$AJ$1504,"&lt;"&amp;AJ1334,'JOBS'!$O$5:$O$1504,"&lt;&gt;Cancelled",'JOBS'!$O$5:$O$1504,"&lt;&gt;Rescheduled")+COUNTIFS($B$5:B1334,B1334,$AJ$5:AJ1334,AJ1334,$O$5:O1334,"&lt;&gt;Cancelled",$O$5:O1334,"&lt;&gt;Rescheduled")))</f>
        <v/>
      </c>
      <c r="AL1334" s="49">
        <f>IF(N(U1334)&lt;=0.005,"",COUNTIFS('JOBS'!$U$5:$U$1504,"&gt;0.005",'JOBS'!$B$5:$B$1504,"&lt;"&amp;B1334)+COUNTIFS($U$5:U1334,"&gt;0.005",$B$5:B1334,B1334))</f>
        <v/>
      </c>
    </row>
    <row r="1335">
      <c r="A1335" s="46" t="inlineStr">
        <is>
          <t>J-1331</t>
        </is>
      </c>
      <c r="B1335" s="47" t="n"/>
      <c r="C1335" s="94" t="n"/>
      <c r="D1335" s="38" t="n"/>
      <c r="E1335" s="38" t="n"/>
      <c r="F1335" s="38" t="n"/>
      <c r="G1335" s="38" t="n"/>
      <c r="H1335" s="38" t="n"/>
      <c r="I1335" s="57" t="n"/>
      <c r="J1335" s="95" t="n"/>
      <c r="K1335" s="95" t="n"/>
      <c r="L1335" s="48" t="n"/>
      <c r="M1335" s="96" t="n"/>
      <c r="N1335" s="48" t="n"/>
      <c r="O1335" s="38" t="n"/>
      <c r="P1335" s="38" t="n"/>
      <c r="Q1335" s="97">
        <f>IF(OR(F1335="",E1335=""),"",IFERROR(IF(INDEX('PROPERTIES'!$F$5:$F$404,MATCH(E1335,'PROPERTIES'!$B$5:$B$404,0))=0,"",ROUND((INDEX('PROPERTIES'!$F$5:$F$404,MATCH(E1335,'PROPERTIES'!$B$5:$B$404,0))/INDEX('PRICING'!$C$7:$C$16,MATCH(F1335,'PRICING'!$A$7:$A$16,0))+INDEX('PROPERTIES'!$G$5:$G$404,MATCH(E1335,'PROPERTIES'!$B$5:$B$404,0))*INDEX('PRICING'!$D$7:$D$16,MATCH(F1335,'PRICING'!$A$7:$A$16,0))/60+INDEX('PROPERTIES'!$H$5:$H$404,MATCH(E1335,'PROPERTIES'!$B$5:$B$404,0))*INDEX('PRICING'!$E$7:$E$16,MATCH(F1335,'PRICING'!$A$7:$A$16,0))/60+INDEX('PRICING'!$F$7:$F$16,MATCH(F1335,'PRICING'!$A$7:$A$16,0))/60),2)),""))</f>
        <v/>
      </c>
      <c r="R1335" s="97">
        <f>IF(B1335="","",IF(N(K1335)&gt;0,K1335,IF(N(J1335)&gt;0,J1335,N(Q1335))))</f>
        <v/>
      </c>
      <c r="S1335" s="55">
        <f>IF(L1335="","",ROUND(L1335*(1+N(M1335)),2))</f>
        <v/>
      </c>
      <c r="T1335" s="55">
        <f>IF(B1335="","",SUMIFS('REVENUE'!$C$5:$C$1504,'REVENUE'!$B$5:$B$1504,A1335))</f>
        <v/>
      </c>
      <c r="U1335" s="55">
        <f>IF(B1335="","",IF(O1335="Completed",MAX(0,N(S1335)-T1335),""))</f>
        <v/>
      </c>
      <c r="V1335" s="49">
        <f>IF(B1335="","",IF(O1335&lt;&gt;"Completed",IF(T1335&gt;0,"Deposit","—"),IF(U1335&lt;=0.005,"Paid",IF(T1335&gt;0,"Partial","Unpaid"))))</f>
        <v/>
      </c>
      <c r="W1335" s="55">
        <f>IF(B1335="","",IFERROR(1/(1/INDEX('STAFF &amp; TASKS'!$C$5:$C$24,MATCH(H1335,'STAFF &amp; TASKS'!$A$5:$A$24,0))),PayRate))</f>
        <v/>
      </c>
      <c r="X1335" s="55">
        <f>IF(B1335="","",IF(OR(O1335="Cancelled",O1335="No-Show"),"",ROUND(R1335*W1335*(1+Burden),2)))</f>
        <v/>
      </c>
      <c r="Y1335" s="55">
        <f>IF(B1335="","",IF(OR(O1335="Cancelled",O1335="No-Show"),"",IF(N1335&lt;&gt;"",N1335,ROUND(R1335*SupHr*IFERROR(INDEX('PRICING'!$G$7:$G$16,MATCH(F1335,'PRICING'!$A$7:$A$16,0)),1),2))))</f>
        <v/>
      </c>
      <c r="Z1335" s="98">
        <f>IF(B1335="","",SUMIFS('MILEAGE'!$J$5:$J$1504,'MILEAGE'!$B$5:$B$1504,A1335))</f>
        <v/>
      </c>
      <c r="AA1335" s="55">
        <f>IF(B1335="","",ROUND(Z1335*MileRate,2))</f>
        <v/>
      </c>
      <c r="AB1335" s="55">
        <f>IF(B1335="","",SUMIFS('REVENUE'!$J$5:$J$1504,'REVENUE'!$B$5:$B$1504,A1335))</f>
        <v/>
      </c>
      <c r="AC1335" s="55">
        <f>IF(L1335="","",IF(OR(O1335="Cancelled",O1335="No-Show"),"",L1335-N(X1335)-N(Y1335)-AA1335-AB1335))</f>
        <v/>
      </c>
      <c r="AD1335" s="99">
        <f>IF(OR(AC1335="",N(L1335)=0),"",AC1335/L1335)</f>
        <v/>
      </c>
      <c r="AE1335" s="55">
        <f>IF(OR(AC1335="",N(R1335)=0),"",L1335/R1335)</f>
        <v/>
      </c>
      <c r="AF1335" s="100">
        <f>IF(OR(N(K1335)=0,N(J1335)+N(Q1335)=0),"",K1335-IF(N(J1335)&gt;0,J1335,Q1335))</f>
        <v/>
      </c>
      <c r="AG1335" s="99">
        <f>IF(B1335="","",IFERROR(AVERAGEIFS('QUALITY CONTROL'!$M$5:$M$304,'QUALITY CONTROL'!$B$5:$B$304,A1335),""))</f>
        <v/>
      </c>
      <c r="AH1335" s="51">
        <f>IF(B1335="","",DATE(YEAR(B1335),MONTH(B1335),1))</f>
        <v/>
      </c>
      <c r="AI1335" s="49">
        <f>IF(D1335="","",IFERROR(INDEX('CUSTOMERS'!$E$5:$E$404,MATCH(D1335,'CUSTOMERS'!$B$5:$B$404,0)),""))</f>
        <v/>
      </c>
      <c r="AJ1335" s="49">
        <f>IF(B1335="","",N(C1335))</f>
        <v/>
      </c>
      <c r="AK1335" s="49">
        <f>IF(OR(B1335="",O1335="Cancelled",O1335="Rescheduled"),"",B1335&amp;"|"&amp;(COUNTIFS('JOBS'!$B$5:$B$1504,B1335,'JOBS'!$AJ$5:$AJ$1504,"&lt;"&amp;AJ1335,'JOBS'!$O$5:$O$1504,"&lt;&gt;Cancelled",'JOBS'!$O$5:$O$1504,"&lt;&gt;Rescheduled")+COUNTIFS($B$5:B1335,B1335,$AJ$5:AJ1335,AJ1335,$O$5:O1335,"&lt;&gt;Cancelled",$O$5:O1335,"&lt;&gt;Rescheduled")))</f>
        <v/>
      </c>
      <c r="AL1335" s="49">
        <f>IF(N(U1335)&lt;=0.005,"",COUNTIFS('JOBS'!$U$5:$U$1504,"&gt;0.005",'JOBS'!$B$5:$B$1504,"&lt;"&amp;B1335)+COUNTIFS($U$5:U1335,"&gt;0.005",$B$5:B1335,B1335))</f>
        <v/>
      </c>
    </row>
    <row r="1336">
      <c r="A1336" s="46" t="inlineStr">
        <is>
          <t>J-1332</t>
        </is>
      </c>
      <c r="B1336" s="47" t="n"/>
      <c r="C1336" s="94" t="n"/>
      <c r="D1336" s="38" t="n"/>
      <c r="E1336" s="38" t="n"/>
      <c r="F1336" s="38" t="n"/>
      <c r="G1336" s="38" t="n"/>
      <c r="H1336" s="38" t="n"/>
      <c r="I1336" s="57" t="n"/>
      <c r="J1336" s="95" t="n"/>
      <c r="K1336" s="95" t="n"/>
      <c r="L1336" s="48" t="n"/>
      <c r="M1336" s="96" t="n"/>
      <c r="N1336" s="48" t="n"/>
      <c r="O1336" s="38" t="n"/>
      <c r="P1336" s="38" t="n"/>
      <c r="Q1336" s="97">
        <f>IF(OR(F1336="",E1336=""),"",IFERROR(IF(INDEX('PROPERTIES'!$F$5:$F$404,MATCH(E1336,'PROPERTIES'!$B$5:$B$404,0))=0,"",ROUND((INDEX('PROPERTIES'!$F$5:$F$404,MATCH(E1336,'PROPERTIES'!$B$5:$B$404,0))/INDEX('PRICING'!$C$7:$C$16,MATCH(F1336,'PRICING'!$A$7:$A$16,0))+INDEX('PROPERTIES'!$G$5:$G$404,MATCH(E1336,'PROPERTIES'!$B$5:$B$404,0))*INDEX('PRICING'!$D$7:$D$16,MATCH(F1336,'PRICING'!$A$7:$A$16,0))/60+INDEX('PROPERTIES'!$H$5:$H$404,MATCH(E1336,'PROPERTIES'!$B$5:$B$404,0))*INDEX('PRICING'!$E$7:$E$16,MATCH(F1336,'PRICING'!$A$7:$A$16,0))/60+INDEX('PRICING'!$F$7:$F$16,MATCH(F1336,'PRICING'!$A$7:$A$16,0))/60),2)),""))</f>
        <v/>
      </c>
      <c r="R1336" s="97">
        <f>IF(B1336="","",IF(N(K1336)&gt;0,K1336,IF(N(J1336)&gt;0,J1336,N(Q1336))))</f>
        <v/>
      </c>
      <c r="S1336" s="55">
        <f>IF(L1336="","",ROUND(L1336*(1+N(M1336)),2))</f>
        <v/>
      </c>
      <c r="T1336" s="55">
        <f>IF(B1336="","",SUMIFS('REVENUE'!$C$5:$C$1504,'REVENUE'!$B$5:$B$1504,A1336))</f>
        <v/>
      </c>
      <c r="U1336" s="55">
        <f>IF(B1336="","",IF(O1336="Completed",MAX(0,N(S1336)-T1336),""))</f>
        <v/>
      </c>
      <c r="V1336" s="49">
        <f>IF(B1336="","",IF(O1336&lt;&gt;"Completed",IF(T1336&gt;0,"Deposit","—"),IF(U1336&lt;=0.005,"Paid",IF(T1336&gt;0,"Partial","Unpaid"))))</f>
        <v/>
      </c>
      <c r="W1336" s="55">
        <f>IF(B1336="","",IFERROR(1/(1/INDEX('STAFF &amp; TASKS'!$C$5:$C$24,MATCH(H1336,'STAFF &amp; TASKS'!$A$5:$A$24,0))),PayRate))</f>
        <v/>
      </c>
      <c r="X1336" s="55">
        <f>IF(B1336="","",IF(OR(O1336="Cancelled",O1336="No-Show"),"",ROUND(R1336*W1336*(1+Burden),2)))</f>
        <v/>
      </c>
      <c r="Y1336" s="55">
        <f>IF(B1336="","",IF(OR(O1336="Cancelled",O1336="No-Show"),"",IF(N1336&lt;&gt;"",N1336,ROUND(R1336*SupHr*IFERROR(INDEX('PRICING'!$G$7:$G$16,MATCH(F1336,'PRICING'!$A$7:$A$16,0)),1),2))))</f>
        <v/>
      </c>
      <c r="Z1336" s="98">
        <f>IF(B1336="","",SUMIFS('MILEAGE'!$J$5:$J$1504,'MILEAGE'!$B$5:$B$1504,A1336))</f>
        <v/>
      </c>
      <c r="AA1336" s="55">
        <f>IF(B1336="","",ROUND(Z1336*MileRate,2))</f>
        <v/>
      </c>
      <c r="AB1336" s="55">
        <f>IF(B1336="","",SUMIFS('REVENUE'!$J$5:$J$1504,'REVENUE'!$B$5:$B$1504,A1336))</f>
        <v/>
      </c>
      <c r="AC1336" s="55">
        <f>IF(L1336="","",IF(OR(O1336="Cancelled",O1336="No-Show"),"",L1336-N(X1336)-N(Y1336)-AA1336-AB1336))</f>
        <v/>
      </c>
      <c r="AD1336" s="99">
        <f>IF(OR(AC1336="",N(L1336)=0),"",AC1336/L1336)</f>
        <v/>
      </c>
      <c r="AE1336" s="55">
        <f>IF(OR(AC1336="",N(R1336)=0),"",L1336/R1336)</f>
        <v/>
      </c>
      <c r="AF1336" s="100">
        <f>IF(OR(N(K1336)=0,N(J1336)+N(Q1336)=0),"",K1336-IF(N(J1336)&gt;0,J1336,Q1336))</f>
        <v/>
      </c>
      <c r="AG1336" s="99">
        <f>IF(B1336="","",IFERROR(AVERAGEIFS('QUALITY CONTROL'!$M$5:$M$304,'QUALITY CONTROL'!$B$5:$B$304,A1336),""))</f>
        <v/>
      </c>
      <c r="AH1336" s="51">
        <f>IF(B1336="","",DATE(YEAR(B1336),MONTH(B1336),1))</f>
        <v/>
      </c>
      <c r="AI1336" s="49">
        <f>IF(D1336="","",IFERROR(INDEX('CUSTOMERS'!$E$5:$E$404,MATCH(D1336,'CUSTOMERS'!$B$5:$B$404,0)),""))</f>
        <v/>
      </c>
      <c r="AJ1336" s="49">
        <f>IF(B1336="","",N(C1336))</f>
        <v/>
      </c>
      <c r="AK1336" s="49">
        <f>IF(OR(B1336="",O1336="Cancelled",O1336="Rescheduled"),"",B1336&amp;"|"&amp;(COUNTIFS('JOBS'!$B$5:$B$1504,B1336,'JOBS'!$AJ$5:$AJ$1504,"&lt;"&amp;AJ1336,'JOBS'!$O$5:$O$1504,"&lt;&gt;Cancelled",'JOBS'!$O$5:$O$1504,"&lt;&gt;Rescheduled")+COUNTIFS($B$5:B1336,B1336,$AJ$5:AJ1336,AJ1336,$O$5:O1336,"&lt;&gt;Cancelled",$O$5:O1336,"&lt;&gt;Rescheduled")))</f>
        <v/>
      </c>
      <c r="AL1336" s="49">
        <f>IF(N(U1336)&lt;=0.005,"",COUNTIFS('JOBS'!$U$5:$U$1504,"&gt;0.005",'JOBS'!$B$5:$B$1504,"&lt;"&amp;B1336)+COUNTIFS($U$5:U1336,"&gt;0.005",$B$5:B1336,B1336))</f>
        <v/>
      </c>
    </row>
    <row r="1337">
      <c r="A1337" s="46" t="inlineStr">
        <is>
          <t>J-1333</t>
        </is>
      </c>
      <c r="B1337" s="47" t="n"/>
      <c r="C1337" s="94" t="n"/>
      <c r="D1337" s="38" t="n"/>
      <c r="E1337" s="38" t="n"/>
      <c r="F1337" s="38" t="n"/>
      <c r="G1337" s="38" t="n"/>
      <c r="H1337" s="38" t="n"/>
      <c r="I1337" s="57" t="n"/>
      <c r="J1337" s="95" t="n"/>
      <c r="K1337" s="95" t="n"/>
      <c r="L1337" s="48" t="n"/>
      <c r="M1337" s="96" t="n"/>
      <c r="N1337" s="48" t="n"/>
      <c r="O1337" s="38" t="n"/>
      <c r="P1337" s="38" t="n"/>
      <c r="Q1337" s="97">
        <f>IF(OR(F1337="",E1337=""),"",IFERROR(IF(INDEX('PROPERTIES'!$F$5:$F$404,MATCH(E1337,'PROPERTIES'!$B$5:$B$404,0))=0,"",ROUND((INDEX('PROPERTIES'!$F$5:$F$404,MATCH(E1337,'PROPERTIES'!$B$5:$B$404,0))/INDEX('PRICING'!$C$7:$C$16,MATCH(F1337,'PRICING'!$A$7:$A$16,0))+INDEX('PROPERTIES'!$G$5:$G$404,MATCH(E1337,'PROPERTIES'!$B$5:$B$404,0))*INDEX('PRICING'!$D$7:$D$16,MATCH(F1337,'PRICING'!$A$7:$A$16,0))/60+INDEX('PROPERTIES'!$H$5:$H$404,MATCH(E1337,'PROPERTIES'!$B$5:$B$404,0))*INDEX('PRICING'!$E$7:$E$16,MATCH(F1337,'PRICING'!$A$7:$A$16,0))/60+INDEX('PRICING'!$F$7:$F$16,MATCH(F1337,'PRICING'!$A$7:$A$16,0))/60),2)),""))</f>
        <v/>
      </c>
      <c r="R1337" s="97">
        <f>IF(B1337="","",IF(N(K1337)&gt;0,K1337,IF(N(J1337)&gt;0,J1337,N(Q1337))))</f>
        <v/>
      </c>
      <c r="S1337" s="55">
        <f>IF(L1337="","",ROUND(L1337*(1+N(M1337)),2))</f>
        <v/>
      </c>
      <c r="T1337" s="55">
        <f>IF(B1337="","",SUMIFS('REVENUE'!$C$5:$C$1504,'REVENUE'!$B$5:$B$1504,A1337))</f>
        <v/>
      </c>
      <c r="U1337" s="55">
        <f>IF(B1337="","",IF(O1337="Completed",MAX(0,N(S1337)-T1337),""))</f>
        <v/>
      </c>
      <c r="V1337" s="49">
        <f>IF(B1337="","",IF(O1337&lt;&gt;"Completed",IF(T1337&gt;0,"Deposit","—"),IF(U1337&lt;=0.005,"Paid",IF(T1337&gt;0,"Partial","Unpaid"))))</f>
        <v/>
      </c>
      <c r="W1337" s="55">
        <f>IF(B1337="","",IFERROR(1/(1/INDEX('STAFF &amp; TASKS'!$C$5:$C$24,MATCH(H1337,'STAFF &amp; TASKS'!$A$5:$A$24,0))),PayRate))</f>
        <v/>
      </c>
      <c r="X1337" s="55">
        <f>IF(B1337="","",IF(OR(O1337="Cancelled",O1337="No-Show"),"",ROUND(R1337*W1337*(1+Burden),2)))</f>
        <v/>
      </c>
      <c r="Y1337" s="55">
        <f>IF(B1337="","",IF(OR(O1337="Cancelled",O1337="No-Show"),"",IF(N1337&lt;&gt;"",N1337,ROUND(R1337*SupHr*IFERROR(INDEX('PRICING'!$G$7:$G$16,MATCH(F1337,'PRICING'!$A$7:$A$16,0)),1),2))))</f>
        <v/>
      </c>
      <c r="Z1337" s="98">
        <f>IF(B1337="","",SUMIFS('MILEAGE'!$J$5:$J$1504,'MILEAGE'!$B$5:$B$1504,A1337))</f>
        <v/>
      </c>
      <c r="AA1337" s="55">
        <f>IF(B1337="","",ROUND(Z1337*MileRate,2))</f>
        <v/>
      </c>
      <c r="AB1337" s="55">
        <f>IF(B1337="","",SUMIFS('REVENUE'!$J$5:$J$1504,'REVENUE'!$B$5:$B$1504,A1337))</f>
        <v/>
      </c>
      <c r="AC1337" s="55">
        <f>IF(L1337="","",IF(OR(O1337="Cancelled",O1337="No-Show"),"",L1337-N(X1337)-N(Y1337)-AA1337-AB1337))</f>
        <v/>
      </c>
      <c r="AD1337" s="99">
        <f>IF(OR(AC1337="",N(L1337)=0),"",AC1337/L1337)</f>
        <v/>
      </c>
      <c r="AE1337" s="55">
        <f>IF(OR(AC1337="",N(R1337)=0),"",L1337/R1337)</f>
        <v/>
      </c>
      <c r="AF1337" s="100">
        <f>IF(OR(N(K1337)=0,N(J1337)+N(Q1337)=0),"",K1337-IF(N(J1337)&gt;0,J1337,Q1337))</f>
        <v/>
      </c>
      <c r="AG1337" s="99">
        <f>IF(B1337="","",IFERROR(AVERAGEIFS('QUALITY CONTROL'!$M$5:$M$304,'QUALITY CONTROL'!$B$5:$B$304,A1337),""))</f>
        <v/>
      </c>
      <c r="AH1337" s="51">
        <f>IF(B1337="","",DATE(YEAR(B1337),MONTH(B1337),1))</f>
        <v/>
      </c>
      <c r="AI1337" s="49">
        <f>IF(D1337="","",IFERROR(INDEX('CUSTOMERS'!$E$5:$E$404,MATCH(D1337,'CUSTOMERS'!$B$5:$B$404,0)),""))</f>
        <v/>
      </c>
      <c r="AJ1337" s="49">
        <f>IF(B1337="","",N(C1337))</f>
        <v/>
      </c>
      <c r="AK1337" s="49">
        <f>IF(OR(B1337="",O1337="Cancelled",O1337="Rescheduled"),"",B1337&amp;"|"&amp;(COUNTIFS('JOBS'!$B$5:$B$1504,B1337,'JOBS'!$AJ$5:$AJ$1504,"&lt;"&amp;AJ1337,'JOBS'!$O$5:$O$1504,"&lt;&gt;Cancelled",'JOBS'!$O$5:$O$1504,"&lt;&gt;Rescheduled")+COUNTIFS($B$5:B1337,B1337,$AJ$5:AJ1337,AJ1337,$O$5:O1337,"&lt;&gt;Cancelled",$O$5:O1337,"&lt;&gt;Rescheduled")))</f>
        <v/>
      </c>
      <c r="AL1337" s="49">
        <f>IF(N(U1337)&lt;=0.005,"",COUNTIFS('JOBS'!$U$5:$U$1504,"&gt;0.005",'JOBS'!$B$5:$B$1504,"&lt;"&amp;B1337)+COUNTIFS($U$5:U1337,"&gt;0.005",$B$5:B1337,B1337))</f>
        <v/>
      </c>
    </row>
    <row r="1338">
      <c r="A1338" s="46" t="inlineStr">
        <is>
          <t>J-1334</t>
        </is>
      </c>
      <c r="B1338" s="47" t="n"/>
      <c r="C1338" s="94" t="n"/>
      <c r="D1338" s="38" t="n"/>
      <c r="E1338" s="38" t="n"/>
      <c r="F1338" s="38" t="n"/>
      <c r="G1338" s="38" t="n"/>
      <c r="H1338" s="38" t="n"/>
      <c r="I1338" s="57" t="n"/>
      <c r="J1338" s="95" t="n"/>
      <c r="K1338" s="95" t="n"/>
      <c r="L1338" s="48" t="n"/>
      <c r="M1338" s="96" t="n"/>
      <c r="N1338" s="48" t="n"/>
      <c r="O1338" s="38" t="n"/>
      <c r="P1338" s="38" t="n"/>
      <c r="Q1338" s="97">
        <f>IF(OR(F1338="",E1338=""),"",IFERROR(IF(INDEX('PROPERTIES'!$F$5:$F$404,MATCH(E1338,'PROPERTIES'!$B$5:$B$404,0))=0,"",ROUND((INDEX('PROPERTIES'!$F$5:$F$404,MATCH(E1338,'PROPERTIES'!$B$5:$B$404,0))/INDEX('PRICING'!$C$7:$C$16,MATCH(F1338,'PRICING'!$A$7:$A$16,0))+INDEX('PROPERTIES'!$G$5:$G$404,MATCH(E1338,'PROPERTIES'!$B$5:$B$404,0))*INDEX('PRICING'!$D$7:$D$16,MATCH(F1338,'PRICING'!$A$7:$A$16,0))/60+INDEX('PROPERTIES'!$H$5:$H$404,MATCH(E1338,'PROPERTIES'!$B$5:$B$404,0))*INDEX('PRICING'!$E$7:$E$16,MATCH(F1338,'PRICING'!$A$7:$A$16,0))/60+INDEX('PRICING'!$F$7:$F$16,MATCH(F1338,'PRICING'!$A$7:$A$16,0))/60),2)),""))</f>
        <v/>
      </c>
      <c r="R1338" s="97">
        <f>IF(B1338="","",IF(N(K1338)&gt;0,K1338,IF(N(J1338)&gt;0,J1338,N(Q1338))))</f>
        <v/>
      </c>
      <c r="S1338" s="55">
        <f>IF(L1338="","",ROUND(L1338*(1+N(M1338)),2))</f>
        <v/>
      </c>
      <c r="T1338" s="55">
        <f>IF(B1338="","",SUMIFS('REVENUE'!$C$5:$C$1504,'REVENUE'!$B$5:$B$1504,A1338))</f>
        <v/>
      </c>
      <c r="U1338" s="55">
        <f>IF(B1338="","",IF(O1338="Completed",MAX(0,N(S1338)-T1338),""))</f>
        <v/>
      </c>
      <c r="V1338" s="49">
        <f>IF(B1338="","",IF(O1338&lt;&gt;"Completed",IF(T1338&gt;0,"Deposit","—"),IF(U1338&lt;=0.005,"Paid",IF(T1338&gt;0,"Partial","Unpaid"))))</f>
        <v/>
      </c>
      <c r="W1338" s="55">
        <f>IF(B1338="","",IFERROR(1/(1/INDEX('STAFF &amp; TASKS'!$C$5:$C$24,MATCH(H1338,'STAFF &amp; TASKS'!$A$5:$A$24,0))),PayRate))</f>
        <v/>
      </c>
      <c r="X1338" s="55">
        <f>IF(B1338="","",IF(OR(O1338="Cancelled",O1338="No-Show"),"",ROUND(R1338*W1338*(1+Burden),2)))</f>
        <v/>
      </c>
      <c r="Y1338" s="55">
        <f>IF(B1338="","",IF(OR(O1338="Cancelled",O1338="No-Show"),"",IF(N1338&lt;&gt;"",N1338,ROUND(R1338*SupHr*IFERROR(INDEX('PRICING'!$G$7:$G$16,MATCH(F1338,'PRICING'!$A$7:$A$16,0)),1),2))))</f>
        <v/>
      </c>
      <c r="Z1338" s="98">
        <f>IF(B1338="","",SUMIFS('MILEAGE'!$J$5:$J$1504,'MILEAGE'!$B$5:$B$1504,A1338))</f>
        <v/>
      </c>
      <c r="AA1338" s="55">
        <f>IF(B1338="","",ROUND(Z1338*MileRate,2))</f>
        <v/>
      </c>
      <c r="AB1338" s="55">
        <f>IF(B1338="","",SUMIFS('REVENUE'!$J$5:$J$1504,'REVENUE'!$B$5:$B$1504,A1338))</f>
        <v/>
      </c>
      <c r="AC1338" s="55">
        <f>IF(L1338="","",IF(OR(O1338="Cancelled",O1338="No-Show"),"",L1338-N(X1338)-N(Y1338)-AA1338-AB1338))</f>
        <v/>
      </c>
      <c r="AD1338" s="99">
        <f>IF(OR(AC1338="",N(L1338)=0),"",AC1338/L1338)</f>
        <v/>
      </c>
      <c r="AE1338" s="55">
        <f>IF(OR(AC1338="",N(R1338)=0),"",L1338/R1338)</f>
        <v/>
      </c>
      <c r="AF1338" s="100">
        <f>IF(OR(N(K1338)=0,N(J1338)+N(Q1338)=0),"",K1338-IF(N(J1338)&gt;0,J1338,Q1338))</f>
        <v/>
      </c>
      <c r="AG1338" s="99">
        <f>IF(B1338="","",IFERROR(AVERAGEIFS('QUALITY CONTROL'!$M$5:$M$304,'QUALITY CONTROL'!$B$5:$B$304,A1338),""))</f>
        <v/>
      </c>
      <c r="AH1338" s="51">
        <f>IF(B1338="","",DATE(YEAR(B1338),MONTH(B1338),1))</f>
        <v/>
      </c>
      <c r="AI1338" s="49">
        <f>IF(D1338="","",IFERROR(INDEX('CUSTOMERS'!$E$5:$E$404,MATCH(D1338,'CUSTOMERS'!$B$5:$B$404,0)),""))</f>
        <v/>
      </c>
      <c r="AJ1338" s="49">
        <f>IF(B1338="","",N(C1338))</f>
        <v/>
      </c>
      <c r="AK1338" s="49">
        <f>IF(OR(B1338="",O1338="Cancelled",O1338="Rescheduled"),"",B1338&amp;"|"&amp;(COUNTIFS('JOBS'!$B$5:$B$1504,B1338,'JOBS'!$AJ$5:$AJ$1504,"&lt;"&amp;AJ1338,'JOBS'!$O$5:$O$1504,"&lt;&gt;Cancelled",'JOBS'!$O$5:$O$1504,"&lt;&gt;Rescheduled")+COUNTIFS($B$5:B1338,B1338,$AJ$5:AJ1338,AJ1338,$O$5:O1338,"&lt;&gt;Cancelled",$O$5:O1338,"&lt;&gt;Rescheduled")))</f>
        <v/>
      </c>
      <c r="AL1338" s="49">
        <f>IF(N(U1338)&lt;=0.005,"",COUNTIFS('JOBS'!$U$5:$U$1504,"&gt;0.005",'JOBS'!$B$5:$B$1504,"&lt;"&amp;B1338)+COUNTIFS($U$5:U1338,"&gt;0.005",$B$5:B1338,B1338))</f>
        <v/>
      </c>
    </row>
    <row r="1339">
      <c r="A1339" s="46" t="inlineStr">
        <is>
          <t>J-1335</t>
        </is>
      </c>
      <c r="B1339" s="47" t="n"/>
      <c r="C1339" s="94" t="n"/>
      <c r="D1339" s="38" t="n"/>
      <c r="E1339" s="38" t="n"/>
      <c r="F1339" s="38" t="n"/>
      <c r="G1339" s="38" t="n"/>
      <c r="H1339" s="38" t="n"/>
      <c r="I1339" s="57" t="n"/>
      <c r="J1339" s="95" t="n"/>
      <c r="K1339" s="95" t="n"/>
      <c r="L1339" s="48" t="n"/>
      <c r="M1339" s="96" t="n"/>
      <c r="N1339" s="48" t="n"/>
      <c r="O1339" s="38" t="n"/>
      <c r="P1339" s="38" t="n"/>
      <c r="Q1339" s="97">
        <f>IF(OR(F1339="",E1339=""),"",IFERROR(IF(INDEX('PROPERTIES'!$F$5:$F$404,MATCH(E1339,'PROPERTIES'!$B$5:$B$404,0))=0,"",ROUND((INDEX('PROPERTIES'!$F$5:$F$404,MATCH(E1339,'PROPERTIES'!$B$5:$B$404,0))/INDEX('PRICING'!$C$7:$C$16,MATCH(F1339,'PRICING'!$A$7:$A$16,0))+INDEX('PROPERTIES'!$G$5:$G$404,MATCH(E1339,'PROPERTIES'!$B$5:$B$404,0))*INDEX('PRICING'!$D$7:$D$16,MATCH(F1339,'PRICING'!$A$7:$A$16,0))/60+INDEX('PROPERTIES'!$H$5:$H$404,MATCH(E1339,'PROPERTIES'!$B$5:$B$404,0))*INDEX('PRICING'!$E$7:$E$16,MATCH(F1339,'PRICING'!$A$7:$A$16,0))/60+INDEX('PRICING'!$F$7:$F$16,MATCH(F1339,'PRICING'!$A$7:$A$16,0))/60),2)),""))</f>
        <v/>
      </c>
      <c r="R1339" s="97">
        <f>IF(B1339="","",IF(N(K1339)&gt;0,K1339,IF(N(J1339)&gt;0,J1339,N(Q1339))))</f>
        <v/>
      </c>
      <c r="S1339" s="55">
        <f>IF(L1339="","",ROUND(L1339*(1+N(M1339)),2))</f>
        <v/>
      </c>
      <c r="T1339" s="55">
        <f>IF(B1339="","",SUMIFS('REVENUE'!$C$5:$C$1504,'REVENUE'!$B$5:$B$1504,A1339))</f>
        <v/>
      </c>
      <c r="U1339" s="55">
        <f>IF(B1339="","",IF(O1339="Completed",MAX(0,N(S1339)-T1339),""))</f>
        <v/>
      </c>
      <c r="V1339" s="49">
        <f>IF(B1339="","",IF(O1339&lt;&gt;"Completed",IF(T1339&gt;0,"Deposit","—"),IF(U1339&lt;=0.005,"Paid",IF(T1339&gt;0,"Partial","Unpaid"))))</f>
        <v/>
      </c>
      <c r="W1339" s="55">
        <f>IF(B1339="","",IFERROR(1/(1/INDEX('STAFF &amp; TASKS'!$C$5:$C$24,MATCH(H1339,'STAFF &amp; TASKS'!$A$5:$A$24,0))),PayRate))</f>
        <v/>
      </c>
      <c r="X1339" s="55">
        <f>IF(B1339="","",IF(OR(O1339="Cancelled",O1339="No-Show"),"",ROUND(R1339*W1339*(1+Burden),2)))</f>
        <v/>
      </c>
      <c r="Y1339" s="55">
        <f>IF(B1339="","",IF(OR(O1339="Cancelled",O1339="No-Show"),"",IF(N1339&lt;&gt;"",N1339,ROUND(R1339*SupHr*IFERROR(INDEX('PRICING'!$G$7:$G$16,MATCH(F1339,'PRICING'!$A$7:$A$16,0)),1),2))))</f>
        <v/>
      </c>
      <c r="Z1339" s="98">
        <f>IF(B1339="","",SUMIFS('MILEAGE'!$J$5:$J$1504,'MILEAGE'!$B$5:$B$1504,A1339))</f>
        <v/>
      </c>
      <c r="AA1339" s="55">
        <f>IF(B1339="","",ROUND(Z1339*MileRate,2))</f>
        <v/>
      </c>
      <c r="AB1339" s="55">
        <f>IF(B1339="","",SUMIFS('REVENUE'!$J$5:$J$1504,'REVENUE'!$B$5:$B$1504,A1339))</f>
        <v/>
      </c>
      <c r="AC1339" s="55">
        <f>IF(L1339="","",IF(OR(O1339="Cancelled",O1339="No-Show"),"",L1339-N(X1339)-N(Y1339)-AA1339-AB1339))</f>
        <v/>
      </c>
      <c r="AD1339" s="99">
        <f>IF(OR(AC1339="",N(L1339)=0),"",AC1339/L1339)</f>
        <v/>
      </c>
      <c r="AE1339" s="55">
        <f>IF(OR(AC1339="",N(R1339)=0),"",L1339/R1339)</f>
        <v/>
      </c>
      <c r="AF1339" s="100">
        <f>IF(OR(N(K1339)=0,N(J1339)+N(Q1339)=0),"",K1339-IF(N(J1339)&gt;0,J1339,Q1339))</f>
        <v/>
      </c>
      <c r="AG1339" s="99">
        <f>IF(B1339="","",IFERROR(AVERAGEIFS('QUALITY CONTROL'!$M$5:$M$304,'QUALITY CONTROL'!$B$5:$B$304,A1339),""))</f>
        <v/>
      </c>
      <c r="AH1339" s="51">
        <f>IF(B1339="","",DATE(YEAR(B1339),MONTH(B1339),1))</f>
        <v/>
      </c>
      <c r="AI1339" s="49">
        <f>IF(D1339="","",IFERROR(INDEX('CUSTOMERS'!$E$5:$E$404,MATCH(D1339,'CUSTOMERS'!$B$5:$B$404,0)),""))</f>
        <v/>
      </c>
      <c r="AJ1339" s="49">
        <f>IF(B1339="","",N(C1339))</f>
        <v/>
      </c>
      <c r="AK1339" s="49">
        <f>IF(OR(B1339="",O1339="Cancelled",O1339="Rescheduled"),"",B1339&amp;"|"&amp;(COUNTIFS('JOBS'!$B$5:$B$1504,B1339,'JOBS'!$AJ$5:$AJ$1504,"&lt;"&amp;AJ1339,'JOBS'!$O$5:$O$1504,"&lt;&gt;Cancelled",'JOBS'!$O$5:$O$1504,"&lt;&gt;Rescheduled")+COUNTIFS($B$5:B1339,B1339,$AJ$5:AJ1339,AJ1339,$O$5:O1339,"&lt;&gt;Cancelled",$O$5:O1339,"&lt;&gt;Rescheduled")))</f>
        <v/>
      </c>
      <c r="AL1339" s="49">
        <f>IF(N(U1339)&lt;=0.005,"",COUNTIFS('JOBS'!$U$5:$U$1504,"&gt;0.005",'JOBS'!$B$5:$B$1504,"&lt;"&amp;B1339)+COUNTIFS($U$5:U1339,"&gt;0.005",$B$5:B1339,B1339))</f>
        <v/>
      </c>
    </row>
    <row r="1340">
      <c r="A1340" s="46" t="inlineStr">
        <is>
          <t>J-1336</t>
        </is>
      </c>
      <c r="B1340" s="47" t="n"/>
      <c r="C1340" s="94" t="n"/>
      <c r="D1340" s="38" t="n"/>
      <c r="E1340" s="38" t="n"/>
      <c r="F1340" s="38" t="n"/>
      <c r="G1340" s="38" t="n"/>
      <c r="H1340" s="38" t="n"/>
      <c r="I1340" s="57" t="n"/>
      <c r="J1340" s="95" t="n"/>
      <c r="K1340" s="95" t="n"/>
      <c r="L1340" s="48" t="n"/>
      <c r="M1340" s="96" t="n"/>
      <c r="N1340" s="48" t="n"/>
      <c r="O1340" s="38" t="n"/>
      <c r="P1340" s="38" t="n"/>
      <c r="Q1340" s="97">
        <f>IF(OR(F1340="",E1340=""),"",IFERROR(IF(INDEX('PROPERTIES'!$F$5:$F$404,MATCH(E1340,'PROPERTIES'!$B$5:$B$404,0))=0,"",ROUND((INDEX('PROPERTIES'!$F$5:$F$404,MATCH(E1340,'PROPERTIES'!$B$5:$B$404,0))/INDEX('PRICING'!$C$7:$C$16,MATCH(F1340,'PRICING'!$A$7:$A$16,0))+INDEX('PROPERTIES'!$G$5:$G$404,MATCH(E1340,'PROPERTIES'!$B$5:$B$404,0))*INDEX('PRICING'!$D$7:$D$16,MATCH(F1340,'PRICING'!$A$7:$A$16,0))/60+INDEX('PROPERTIES'!$H$5:$H$404,MATCH(E1340,'PROPERTIES'!$B$5:$B$404,0))*INDEX('PRICING'!$E$7:$E$16,MATCH(F1340,'PRICING'!$A$7:$A$16,0))/60+INDEX('PRICING'!$F$7:$F$16,MATCH(F1340,'PRICING'!$A$7:$A$16,0))/60),2)),""))</f>
        <v/>
      </c>
      <c r="R1340" s="97">
        <f>IF(B1340="","",IF(N(K1340)&gt;0,K1340,IF(N(J1340)&gt;0,J1340,N(Q1340))))</f>
        <v/>
      </c>
      <c r="S1340" s="55">
        <f>IF(L1340="","",ROUND(L1340*(1+N(M1340)),2))</f>
        <v/>
      </c>
      <c r="T1340" s="55">
        <f>IF(B1340="","",SUMIFS('REVENUE'!$C$5:$C$1504,'REVENUE'!$B$5:$B$1504,A1340))</f>
        <v/>
      </c>
      <c r="U1340" s="55">
        <f>IF(B1340="","",IF(O1340="Completed",MAX(0,N(S1340)-T1340),""))</f>
        <v/>
      </c>
      <c r="V1340" s="49">
        <f>IF(B1340="","",IF(O1340&lt;&gt;"Completed",IF(T1340&gt;0,"Deposit","—"),IF(U1340&lt;=0.005,"Paid",IF(T1340&gt;0,"Partial","Unpaid"))))</f>
        <v/>
      </c>
      <c r="W1340" s="55">
        <f>IF(B1340="","",IFERROR(1/(1/INDEX('STAFF &amp; TASKS'!$C$5:$C$24,MATCH(H1340,'STAFF &amp; TASKS'!$A$5:$A$24,0))),PayRate))</f>
        <v/>
      </c>
      <c r="X1340" s="55">
        <f>IF(B1340="","",IF(OR(O1340="Cancelled",O1340="No-Show"),"",ROUND(R1340*W1340*(1+Burden),2)))</f>
        <v/>
      </c>
      <c r="Y1340" s="55">
        <f>IF(B1340="","",IF(OR(O1340="Cancelled",O1340="No-Show"),"",IF(N1340&lt;&gt;"",N1340,ROUND(R1340*SupHr*IFERROR(INDEX('PRICING'!$G$7:$G$16,MATCH(F1340,'PRICING'!$A$7:$A$16,0)),1),2))))</f>
        <v/>
      </c>
      <c r="Z1340" s="98">
        <f>IF(B1340="","",SUMIFS('MILEAGE'!$J$5:$J$1504,'MILEAGE'!$B$5:$B$1504,A1340))</f>
        <v/>
      </c>
      <c r="AA1340" s="55">
        <f>IF(B1340="","",ROUND(Z1340*MileRate,2))</f>
        <v/>
      </c>
      <c r="AB1340" s="55">
        <f>IF(B1340="","",SUMIFS('REVENUE'!$J$5:$J$1504,'REVENUE'!$B$5:$B$1504,A1340))</f>
        <v/>
      </c>
      <c r="AC1340" s="55">
        <f>IF(L1340="","",IF(OR(O1340="Cancelled",O1340="No-Show"),"",L1340-N(X1340)-N(Y1340)-AA1340-AB1340))</f>
        <v/>
      </c>
      <c r="AD1340" s="99">
        <f>IF(OR(AC1340="",N(L1340)=0),"",AC1340/L1340)</f>
        <v/>
      </c>
      <c r="AE1340" s="55">
        <f>IF(OR(AC1340="",N(R1340)=0),"",L1340/R1340)</f>
        <v/>
      </c>
      <c r="AF1340" s="100">
        <f>IF(OR(N(K1340)=0,N(J1340)+N(Q1340)=0),"",K1340-IF(N(J1340)&gt;0,J1340,Q1340))</f>
        <v/>
      </c>
      <c r="AG1340" s="99">
        <f>IF(B1340="","",IFERROR(AVERAGEIFS('QUALITY CONTROL'!$M$5:$M$304,'QUALITY CONTROL'!$B$5:$B$304,A1340),""))</f>
        <v/>
      </c>
      <c r="AH1340" s="51">
        <f>IF(B1340="","",DATE(YEAR(B1340),MONTH(B1340),1))</f>
        <v/>
      </c>
      <c r="AI1340" s="49">
        <f>IF(D1340="","",IFERROR(INDEX('CUSTOMERS'!$E$5:$E$404,MATCH(D1340,'CUSTOMERS'!$B$5:$B$404,0)),""))</f>
        <v/>
      </c>
      <c r="AJ1340" s="49">
        <f>IF(B1340="","",N(C1340))</f>
        <v/>
      </c>
      <c r="AK1340" s="49">
        <f>IF(OR(B1340="",O1340="Cancelled",O1340="Rescheduled"),"",B1340&amp;"|"&amp;(COUNTIFS('JOBS'!$B$5:$B$1504,B1340,'JOBS'!$AJ$5:$AJ$1504,"&lt;"&amp;AJ1340,'JOBS'!$O$5:$O$1504,"&lt;&gt;Cancelled",'JOBS'!$O$5:$O$1504,"&lt;&gt;Rescheduled")+COUNTIFS($B$5:B1340,B1340,$AJ$5:AJ1340,AJ1340,$O$5:O1340,"&lt;&gt;Cancelled",$O$5:O1340,"&lt;&gt;Rescheduled")))</f>
        <v/>
      </c>
      <c r="AL1340" s="49">
        <f>IF(N(U1340)&lt;=0.005,"",COUNTIFS('JOBS'!$U$5:$U$1504,"&gt;0.005",'JOBS'!$B$5:$B$1504,"&lt;"&amp;B1340)+COUNTIFS($U$5:U1340,"&gt;0.005",$B$5:B1340,B1340))</f>
        <v/>
      </c>
    </row>
    <row r="1341">
      <c r="A1341" s="46" t="inlineStr">
        <is>
          <t>J-1337</t>
        </is>
      </c>
      <c r="B1341" s="47" t="n"/>
      <c r="C1341" s="94" t="n"/>
      <c r="D1341" s="38" t="n"/>
      <c r="E1341" s="38" t="n"/>
      <c r="F1341" s="38" t="n"/>
      <c r="G1341" s="38" t="n"/>
      <c r="H1341" s="38" t="n"/>
      <c r="I1341" s="57" t="n"/>
      <c r="J1341" s="95" t="n"/>
      <c r="K1341" s="95" t="n"/>
      <c r="L1341" s="48" t="n"/>
      <c r="M1341" s="96" t="n"/>
      <c r="N1341" s="48" t="n"/>
      <c r="O1341" s="38" t="n"/>
      <c r="P1341" s="38" t="n"/>
      <c r="Q1341" s="97">
        <f>IF(OR(F1341="",E1341=""),"",IFERROR(IF(INDEX('PROPERTIES'!$F$5:$F$404,MATCH(E1341,'PROPERTIES'!$B$5:$B$404,0))=0,"",ROUND((INDEX('PROPERTIES'!$F$5:$F$404,MATCH(E1341,'PROPERTIES'!$B$5:$B$404,0))/INDEX('PRICING'!$C$7:$C$16,MATCH(F1341,'PRICING'!$A$7:$A$16,0))+INDEX('PROPERTIES'!$G$5:$G$404,MATCH(E1341,'PROPERTIES'!$B$5:$B$404,0))*INDEX('PRICING'!$D$7:$D$16,MATCH(F1341,'PRICING'!$A$7:$A$16,0))/60+INDEX('PROPERTIES'!$H$5:$H$404,MATCH(E1341,'PROPERTIES'!$B$5:$B$404,0))*INDEX('PRICING'!$E$7:$E$16,MATCH(F1341,'PRICING'!$A$7:$A$16,0))/60+INDEX('PRICING'!$F$7:$F$16,MATCH(F1341,'PRICING'!$A$7:$A$16,0))/60),2)),""))</f>
        <v/>
      </c>
      <c r="R1341" s="97">
        <f>IF(B1341="","",IF(N(K1341)&gt;0,K1341,IF(N(J1341)&gt;0,J1341,N(Q1341))))</f>
        <v/>
      </c>
      <c r="S1341" s="55">
        <f>IF(L1341="","",ROUND(L1341*(1+N(M1341)),2))</f>
        <v/>
      </c>
      <c r="T1341" s="55">
        <f>IF(B1341="","",SUMIFS('REVENUE'!$C$5:$C$1504,'REVENUE'!$B$5:$B$1504,A1341))</f>
        <v/>
      </c>
      <c r="U1341" s="55">
        <f>IF(B1341="","",IF(O1341="Completed",MAX(0,N(S1341)-T1341),""))</f>
        <v/>
      </c>
      <c r="V1341" s="49">
        <f>IF(B1341="","",IF(O1341&lt;&gt;"Completed",IF(T1341&gt;0,"Deposit","—"),IF(U1341&lt;=0.005,"Paid",IF(T1341&gt;0,"Partial","Unpaid"))))</f>
        <v/>
      </c>
      <c r="W1341" s="55">
        <f>IF(B1341="","",IFERROR(1/(1/INDEX('STAFF &amp; TASKS'!$C$5:$C$24,MATCH(H1341,'STAFF &amp; TASKS'!$A$5:$A$24,0))),PayRate))</f>
        <v/>
      </c>
      <c r="X1341" s="55">
        <f>IF(B1341="","",IF(OR(O1341="Cancelled",O1341="No-Show"),"",ROUND(R1341*W1341*(1+Burden),2)))</f>
        <v/>
      </c>
      <c r="Y1341" s="55">
        <f>IF(B1341="","",IF(OR(O1341="Cancelled",O1341="No-Show"),"",IF(N1341&lt;&gt;"",N1341,ROUND(R1341*SupHr*IFERROR(INDEX('PRICING'!$G$7:$G$16,MATCH(F1341,'PRICING'!$A$7:$A$16,0)),1),2))))</f>
        <v/>
      </c>
      <c r="Z1341" s="98">
        <f>IF(B1341="","",SUMIFS('MILEAGE'!$J$5:$J$1504,'MILEAGE'!$B$5:$B$1504,A1341))</f>
        <v/>
      </c>
      <c r="AA1341" s="55">
        <f>IF(B1341="","",ROUND(Z1341*MileRate,2))</f>
        <v/>
      </c>
      <c r="AB1341" s="55">
        <f>IF(B1341="","",SUMIFS('REVENUE'!$J$5:$J$1504,'REVENUE'!$B$5:$B$1504,A1341))</f>
        <v/>
      </c>
      <c r="AC1341" s="55">
        <f>IF(L1341="","",IF(OR(O1341="Cancelled",O1341="No-Show"),"",L1341-N(X1341)-N(Y1341)-AA1341-AB1341))</f>
        <v/>
      </c>
      <c r="AD1341" s="99">
        <f>IF(OR(AC1341="",N(L1341)=0),"",AC1341/L1341)</f>
        <v/>
      </c>
      <c r="AE1341" s="55">
        <f>IF(OR(AC1341="",N(R1341)=0),"",L1341/R1341)</f>
        <v/>
      </c>
      <c r="AF1341" s="100">
        <f>IF(OR(N(K1341)=0,N(J1341)+N(Q1341)=0),"",K1341-IF(N(J1341)&gt;0,J1341,Q1341))</f>
        <v/>
      </c>
      <c r="AG1341" s="99">
        <f>IF(B1341="","",IFERROR(AVERAGEIFS('QUALITY CONTROL'!$M$5:$M$304,'QUALITY CONTROL'!$B$5:$B$304,A1341),""))</f>
        <v/>
      </c>
      <c r="AH1341" s="51">
        <f>IF(B1341="","",DATE(YEAR(B1341),MONTH(B1341),1))</f>
        <v/>
      </c>
      <c r="AI1341" s="49">
        <f>IF(D1341="","",IFERROR(INDEX('CUSTOMERS'!$E$5:$E$404,MATCH(D1341,'CUSTOMERS'!$B$5:$B$404,0)),""))</f>
        <v/>
      </c>
      <c r="AJ1341" s="49">
        <f>IF(B1341="","",N(C1341))</f>
        <v/>
      </c>
      <c r="AK1341" s="49">
        <f>IF(OR(B1341="",O1341="Cancelled",O1341="Rescheduled"),"",B1341&amp;"|"&amp;(COUNTIFS('JOBS'!$B$5:$B$1504,B1341,'JOBS'!$AJ$5:$AJ$1504,"&lt;"&amp;AJ1341,'JOBS'!$O$5:$O$1504,"&lt;&gt;Cancelled",'JOBS'!$O$5:$O$1504,"&lt;&gt;Rescheduled")+COUNTIFS($B$5:B1341,B1341,$AJ$5:AJ1341,AJ1341,$O$5:O1341,"&lt;&gt;Cancelled",$O$5:O1341,"&lt;&gt;Rescheduled")))</f>
        <v/>
      </c>
      <c r="AL1341" s="49">
        <f>IF(N(U1341)&lt;=0.005,"",COUNTIFS('JOBS'!$U$5:$U$1504,"&gt;0.005",'JOBS'!$B$5:$B$1504,"&lt;"&amp;B1341)+COUNTIFS($U$5:U1341,"&gt;0.005",$B$5:B1341,B1341))</f>
        <v/>
      </c>
    </row>
    <row r="1342">
      <c r="A1342" s="46" t="inlineStr">
        <is>
          <t>J-1338</t>
        </is>
      </c>
      <c r="B1342" s="47" t="n"/>
      <c r="C1342" s="94" t="n"/>
      <c r="D1342" s="38" t="n"/>
      <c r="E1342" s="38" t="n"/>
      <c r="F1342" s="38" t="n"/>
      <c r="G1342" s="38" t="n"/>
      <c r="H1342" s="38" t="n"/>
      <c r="I1342" s="57" t="n"/>
      <c r="J1342" s="95" t="n"/>
      <c r="K1342" s="95" t="n"/>
      <c r="L1342" s="48" t="n"/>
      <c r="M1342" s="96" t="n"/>
      <c r="N1342" s="48" t="n"/>
      <c r="O1342" s="38" t="n"/>
      <c r="P1342" s="38" t="n"/>
      <c r="Q1342" s="97">
        <f>IF(OR(F1342="",E1342=""),"",IFERROR(IF(INDEX('PROPERTIES'!$F$5:$F$404,MATCH(E1342,'PROPERTIES'!$B$5:$B$404,0))=0,"",ROUND((INDEX('PROPERTIES'!$F$5:$F$404,MATCH(E1342,'PROPERTIES'!$B$5:$B$404,0))/INDEX('PRICING'!$C$7:$C$16,MATCH(F1342,'PRICING'!$A$7:$A$16,0))+INDEX('PROPERTIES'!$G$5:$G$404,MATCH(E1342,'PROPERTIES'!$B$5:$B$404,0))*INDEX('PRICING'!$D$7:$D$16,MATCH(F1342,'PRICING'!$A$7:$A$16,0))/60+INDEX('PROPERTIES'!$H$5:$H$404,MATCH(E1342,'PROPERTIES'!$B$5:$B$404,0))*INDEX('PRICING'!$E$7:$E$16,MATCH(F1342,'PRICING'!$A$7:$A$16,0))/60+INDEX('PRICING'!$F$7:$F$16,MATCH(F1342,'PRICING'!$A$7:$A$16,0))/60),2)),""))</f>
        <v/>
      </c>
      <c r="R1342" s="97">
        <f>IF(B1342="","",IF(N(K1342)&gt;0,K1342,IF(N(J1342)&gt;0,J1342,N(Q1342))))</f>
        <v/>
      </c>
      <c r="S1342" s="55">
        <f>IF(L1342="","",ROUND(L1342*(1+N(M1342)),2))</f>
        <v/>
      </c>
      <c r="T1342" s="55">
        <f>IF(B1342="","",SUMIFS('REVENUE'!$C$5:$C$1504,'REVENUE'!$B$5:$B$1504,A1342))</f>
        <v/>
      </c>
      <c r="U1342" s="55">
        <f>IF(B1342="","",IF(O1342="Completed",MAX(0,N(S1342)-T1342),""))</f>
        <v/>
      </c>
      <c r="V1342" s="49">
        <f>IF(B1342="","",IF(O1342&lt;&gt;"Completed",IF(T1342&gt;0,"Deposit","—"),IF(U1342&lt;=0.005,"Paid",IF(T1342&gt;0,"Partial","Unpaid"))))</f>
        <v/>
      </c>
      <c r="W1342" s="55">
        <f>IF(B1342="","",IFERROR(1/(1/INDEX('STAFF &amp; TASKS'!$C$5:$C$24,MATCH(H1342,'STAFF &amp; TASKS'!$A$5:$A$24,0))),PayRate))</f>
        <v/>
      </c>
      <c r="X1342" s="55">
        <f>IF(B1342="","",IF(OR(O1342="Cancelled",O1342="No-Show"),"",ROUND(R1342*W1342*(1+Burden),2)))</f>
        <v/>
      </c>
      <c r="Y1342" s="55">
        <f>IF(B1342="","",IF(OR(O1342="Cancelled",O1342="No-Show"),"",IF(N1342&lt;&gt;"",N1342,ROUND(R1342*SupHr*IFERROR(INDEX('PRICING'!$G$7:$G$16,MATCH(F1342,'PRICING'!$A$7:$A$16,0)),1),2))))</f>
        <v/>
      </c>
      <c r="Z1342" s="98">
        <f>IF(B1342="","",SUMIFS('MILEAGE'!$J$5:$J$1504,'MILEAGE'!$B$5:$B$1504,A1342))</f>
        <v/>
      </c>
      <c r="AA1342" s="55">
        <f>IF(B1342="","",ROUND(Z1342*MileRate,2))</f>
        <v/>
      </c>
      <c r="AB1342" s="55">
        <f>IF(B1342="","",SUMIFS('REVENUE'!$J$5:$J$1504,'REVENUE'!$B$5:$B$1504,A1342))</f>
        <v/>
      </c>
      <c r="AC1342" s="55">
        <f>IF(L1342="","",IF(OR(O1342="Cancelled",O1342="No-Show"),"",L1342-N(X1342)-N(Y1342)-AA1342-AB1342))</f>
        <v/>
      </c>
      <c r="AD1342" s="99">
        <f>IF(OR(AC1342="",N(L1342)=0),"",AC1342/L1342)</f>
        <v/>
      </c>
      <c r="AE1342" s="55">
        <f>IF(OR(AC1342="",N(R1342)=0),"",L1342/R1342)</f>
        <v/>
      </c>
      <c r="AF1342" s="100">
        <f>IF(OR(N(K1342)=0,N(J1342)+N(Q1342)=0),"",K1342-IF(N(J1342)&gt;0,J1342,Q1342))</f>
        <v/>
      </c>
      <c r="AG1342" s="99">
        <f>IF(B1342="","",IFERROR(AVERAGEIFS('QUALITY CONTROL'!$M$5:$M$304,'QUALITY CONTROL'!$B$5:$B$304,A1342),""))</f>
        <v/>
      </c>
      <c r="AH1342" s="51">
        <f>IF(B1342="","",DATE(YEAR(B1342),MONTH(B1342),1))</f>
        <v/>
      </c>
      <c r="AI1342" s="49">
        <f>IF(D1342="","",IFERROR(INDEX('CUSTOMERS'!$E$5:$E$404,MATCH(D1342,'CUSTOMERS'!$B$5:$B$404,0)),""))</f>
        <v/>
      </c>
      <c r="AJ1342" s="49">
        <f>IF(B1342="","",N(C1342))</f>
        <v/>
      </c>
      <c r="AK1342" s="49">
        <f>IF(OR(B1342="",O1342="Cancelled",O1342="Rescheduled"),"",B1342&amp;"|"&amp;(COUNTIFS('JOBS'!$B$5:$B$1504,B1342,'JOBS'!$AJ$5:$AJ$1504,"&lt;"&amp;AJ1342,'JOBS'!$O$5:$O$1504,"&lt;&gt;Cancelled",'JOBS'!$O$5:$O$1504,"&lt;&gt;Rescheduled")+COUNTIFS($B$5:B1342,B1342,$AJ$5:AJ1342,AJ1342,$O$5:O1342,"&lt;&gt;Cancelled",$O$5:O1342,"&lt;&gt;Rescheduled")))</f>
        <v/>
      </c>
      <c r="AL1342" s="49">
        <f>IF(N(U1342)&lt;=0.005,"",COUNTIFS('JOBS'!$U$5:$U$1504,"&gt;0.005",'JOBS'!$B$5:$B$1504,"&lt;"&amp;B1342)+COUNTIFS($U$5:U1342,"&gt;0.005",$B$5:B1342,B1342))</f>
        <v/>
      </c>
    </row>
    <row r="1343">
      <c r="A1343" s="46" t="inlineStr">
        <is>
          <t>J-1339</t>
        </is>
      </c>
      <c r="B1343" s="47" t="n"/>
      <c r="C1343" s="94" t="n"/>
      <c r="D1343" s="38" t="n"/>
      <c r="E1343" s="38" t="n"/>
      <c r="F1343" s="38" t="n"/>
      <c r="G1343" s="38" t="n"/>
      <c r="H1343" s="38" t="n"/>
      <c r="I1343" s="57" t="n"/>
      <c r="J1343" s="95" t="n"/>
      <c r="K1343" s="95" t="n"/>
      <c r="L1343" s="48" t="n"/>
      <c r="M1343" s="96" t="n"/>
      <c r="N1343" s="48" t="n"/>
      <c r="O1343" s="38" t="n"/>
      <c r="P1343" s="38" t="n"/>
      <c r="Q1343" s="97">
        <f>IF(OR(F1343="",E1343=""),"",IFERROR(IF(INDEX('PROPERTIES'!$F$5:$F$404,MATCH(E1343,'PROPERTIES'!$B$5:$B$404,0))=0,"",ROUND((INDEX('PROPERTIES'!$F$5:$F$404,MATCH(E1343,'PROPERTIES'!$B$5:$B$404,0))/INDEX('PRICING'!$C$7:$C$16,MATCH(F1343,'PRICING'!$A$7:$A$16,0))+INDEX('PROPERTIES'!$G$5:$G$404,MATCH(E1343,'PROPERTIES'!$B$5:$B$404,0))*INDEX('PRICING'!$D$7:$D$16,MATCH(F1343,'PRICING'!$A$7:$A$16,0))/60+INDEX('PROPERTIES'!$H$5:$H$404,MATCH(E1343,'PROPERTIES'!$B$5:$B$404,0))*INDEX('PRICING'!$E$7:$E$16,MATCH(F1343,'PRICING'!$A$7:$A$16,0))/60+INDEX('PRICING'!$F$7:$F$16,MATCH(F1343,'PRICING'!$A$7:$A$16,0))/60),2)),""))</f>
        <v/>
      </c>
      <c r="R1343" s="97">
        <f>IF(B1343="","",IF(N(K1343)&gt;0,K1343,IF(N(J1343)&gt;0,J1343,N(Q1343))))</f>
        <v/>
      </c>
      <c r="S1343" s="55">
        <f>IF(L1343="","",ROUND(L1343*(1+N(M1343)),2))</f>
        <v/>
      </c>
      <c r="T1343" s="55">
        <f>IF(B1343="","",SUMIFS('REVENUE'!$C$5:$C$1504,'REVENUE'!$B$5:$B$1504,A1343))</f>
        <v/>
      </c>
      <c r="U1343" s="55">
        <f>IF(B1343="","",IF(O1343="Completed",MAX(0,N(S1343)-T1343),""))</f>
        <v/>
      </c>
      <c r="V1343" s="49">
        <f>IF(B1343="","",IF(O1343&lt;&gt;"Completed",IF(T1343&gt;0,"Deposit","—"),IF(U1343&lt;=0.005,"Paid",IF(T1343&gt;0,"Partial","Unpaid"))))</f>
        <v/>
      </c>
      <c r="W1343" s="55">
        <f>IF(B1343="","",IFERROR(1/(1/INDEX('STAFF &amp; TASKS'!$C$5:$C$24,MATCH(H1343,'STAFF &amp; TASKS'!$A$5:$A$24,0))),PayRate))</f>
        <v/>
      </c>
      <c r="X1343" s="55">
        <f>IF(B1343="","",IF(OR(O1343="Cancelled",O1343="No-Show"),"",ROUND(R1343*W1343*(1+Burden),2)))</f>
        <v/>
      </c>
      <c r="Y1343" s="55">
        <f>IF(B1343="","",IF(OR(O1343="Cancelled",O1343="No-Show"),"",IF(N1343&lt;&gt;"",N1343,ROUND(R1343*SupHr*IFERROR(INDEX('PRICING'!$G$7:$G$16,MATCH(F1343,'PRICING'!$A$7:$A$16,0)),1),2))))</f>
        <v/>
      </c>
      <c r="Z1343" s="98">
        <f>IF(B1343="","",SUMIFS('MILEAGE'!$J$5:$J$1504,'MILEAGE'!$B$5:$B$1504,A1343))</f>
        <v/>
      </c>
      <c r="AA1343" s="55">
        <f>IF(B1343="","",ROUND(Z1343*MileRate,2))</f>
        <v/>
      </c>
      <c r="AB1343" s="55">
        <f>IF(B1343="","",SUMIFS('REVENUE'!$J$5:$J$1504,'REVENUE'!$B$5:$B$1504,A1343))</f>
        <v/>
      </c>
      <c r="AC1343" s="55">
        <f>IF(L1343="","",IF(OR(O1343="Cancelled",O1343="No-Show"),"",L1343-N(X1343)-N(Y1343)-AA1343-AB1343))</f>
        <v/>
      </c>
      <c r="AD1343" s="99">
        <f>IF(OR(AC1343="",N(L1343)=0),"",AC1343/L1343)</f>
        <v/>
      </c>
      <c r="AE1343" s="55">
        <f>IF(OR(AC1343="",N(R1343)=0),"",L1343/R1343)</f>
        <v/>
      </c>
      <c r="AF1343" s="100">
        <f>IF(OR(N(K1343)=0,N(J1343)+N(Q1343)=0),"",K1343-IF(N(J1343)&gt;0,J1343,Q1343))</f>
        <v/>
      </c>
      <c r="AG1343" s="99">
        <f>IF(B1343="","",IFERROR(AVERAGEIFS('QUALITY CONTROL'!$M$5:$M$304,'QUALITY CONTROL'!$B$5:$B$304,A1343),""))</f>
        <v/>
      </c>
      <c r="AH1343" s="51">
        <f>IF(B1343="","",DATE(YEAR(B1343),MONTH(B1343),1))</f>
        <v/>
      </c>
      <c r="AI1343" s="49">
        <f>IF(D1343="","",IFERROR(INDEX('CUSTOMERS'!$E$5:$E$404,MATCH(D1343,'CUSTOMERS'!$B$5:$B$404,0)),""))</f>
        <v/>
      </c>
      <c r="AJ1343" s="49">
        <f>IF(B1343="","",N(C1343))</f>
        <v/>
      </c>
      <c r="AK1343" s="49">
        <f>IF(OR(B1343="",O1343="Cancelled",O1343="Rescheduled"),"",B1343&amp;"|"&amp;(COUNTIFS('JOBS'!$B$5:$B$1504,B1343,'JOBS'!$AJ$5:$AJ$1504,"&lt;"&amp;AJ1343,'JOBS'!$O$5:$O$1504,"&lt;&gt;Cancelled",'JOBS'!$O$5:$O$1504,"&lt;&gt;Rescheduled")+COUNTIFS($B$5:B1343,B1343,$AJ$5:AJ1343,AJ1343,$O$5:O1343,"&lt;&gt;Cancelled",$O$5:O1343,"&lt;&gt;Rescheduled")))</f>
        <v/>
      </c>
      <c r="AL1343" s="49">
        <f>IF(N(U1343)&lt;=0.005,"",COUNTIFS('JOBS'!$U$5:$U$1504,"&gt;0.005",'JOBS'!$B$5:$B$1504,"&lt;"&amp;B1343)+COUNTIFS($U$5:U1343,"&gt;0.005",$B$5:B1343,B1343))</f>
        <v/>
      </c>
    </row>
    <row r="1344">
      <c r="A1344" s="46" t="inlineStr">
        <is>
          <t>J-1340</t>
        </is>
      </c>
      <c r="B1344" s="47" t="n"/>
      <c r="C1344" s="94" t="n"/>
      <c r="D1344" s="38" t="n"/>
      <c r="E1344" s="38" t="n"/>
      <c r="F1344" s="38" t="n"/>
      <c r="G1344" s="38" t="n"/>
      <c r="H1344" s="38" t="n"/>
      <c r="I1344" s="57" t="n"/>
      <c r="J1344" s="95" t="n"/>
      <c r="K1344" s="95" t="n"/>
      <c r="L1344" s="48" t="n"/>
      <c r="M1344" s="96" t="n"/>
      <c r="N1344" s="48" t="n"/>
      <c r="O1344" s="38" t="n"/>
      <c r="P1344" s="38" t="n"/>
      <c r="Q1344" s="97">
        <f>IF(OR(F1344="",E1344=""),"",IFERROR(IF(INDEX('PROPERTIES'!$F$5:$F$404,MATCH(E1344,'PROPERTIES'!$B$5:$B$404,0))=0,"",ROUND((INDEX('PROPERTIES'!$F$5:$F$404,MATCH(E1344,'PROPERTIES'!$B$5:$B$404,0))/INDEX('PRICING'!$C$7:$C$16,MATCH(F1344,'PRICING'!$A$7:$A$16,0))+INDEX('PROPERTIES'!$G$5:$G$404,MATCH(E1344,'PROPERTIES'!$B$5:$B$404,0))*INDEX('PRICING'!$D$7:$D$16,MATCH(F1344,'PRICING'!$A$7:$A$16,0))/60+INDEX('PROPERTIES'!$H$5:$H$404,MATCH(E1344,'PROPERTIES'!$B$5:$B$404,0))*INDEX('PRICING'!$E$7:$E$16,MATCH(F1344,'PRICING'!$A$7:$A$16,0))/60+INDEX('PRICING'!$F$7:$F$16,MATCH(F1344,'PRICING'!$A$7:$A$16,0))/60),2)),""))</f>
        <v/>
      </c>
      <c r="R1344" s="97">
        <f>IF(B1344="","",IF(N(K1344)&gt;0,K1344,IF(N(J1344)&gt;0,J1344,N(Q1344))))</f>
        <v/>
      </c>
      <c r="S1344" s="55">
        <f>IF(L1344="","",ROUND(L1344*(1+N(M1344)),2))</f>
        <v/>
      </c>
      <c r="T1344" s="55">
        <f>IF(B1344="","",SUMIFS('REVENUE'!$C$5:$C$1504,'REVENUE'!$B$5:$B$1504,A1344))</f>
        <v/>
      </c>
      <c r="U1344" s="55">
        <f>IF(B1344="","",IF(O1344="Completed",MAX(0,N(S1344)-T1344),""))</f>
        <v/>
      </c>
      <c r="V1344" s="49">
        <f>IF(B1344="","",IF(O1344&lt;&gt;"Completed",IF(T1344&gt;0,"Deposit","—"),IF(U1344&lt;=0.005,"Paid",IF(T1344&gt;0,"Partial","Unpaid"))))</f>
        <v/>
      </c>
      <c r="W1344" s="55">
        <f>IF(B1344="","",IFERROR(1/(1/INDEX('STAFF &amp; TASKS'!$C$5:$C$24,MATCH(H1344,'STAFF &amp; TASKS'!$A$5:$A$24,0))),PayRate))</f>
        <v/>
      </c>
      <c r="X1344" s="55">
        <f>IF(B1344="","",IF(OR(O1344="Cancelled",O1344="No-Show"),"",ROUND(R1344*W1344*(1+Burden),2)))</f>
        <v/>
      </c>
      <c r="Y1344" s="55">
        <f>IF(B1344="","",IF(OR(O1344="Cancelled",O1344="No-Show"),"",IF(N1344&lt;&gt;"",N1344,ROUND(R1344*SupHr*IFERROR(INDEX('PRICING'!$G$7:$G$16,MATCH(F1344,'PRICING'!$A$7:$A$16,0)),1),2))))</f>
        <v/>
      </c>
      <c r="Z1344" s="98">
        <f>IF(B1344="","",SUMIFS('MILEAGE'!$J$5:$J$1504,'MILEAGE'!$B$5:$B$1504,A1344))</f>
        <v/>
      </c>
      <c r="AA1344" s="55">
        <f>IF(B1344="","",ROUND(Z1344*MileRate,2))</f>
        <v/>
      </c>
      <c r="AB1344" s="55">
        <f>IF(B1344="","",SUMIFS('REVENUE'!$J$5:$J$1504,'REVENUE'!$B$5:$B$1504,A1344))</f>
        <v/>
      </c>
      <c r="AC1344" s="55">
        <f>IF(L1344="","",IF(OR(O1344="Cancelled",O1344="No-Show"),"",L1344-N(X1344)-N(Y1344)-AA1344-AB1344))</f>
        <v/>
      </c>
      <c r="AD1344" s="99">
        <f>IF(OR(AC1344="",N(L1344)=0),"",AC1344/L1344)</f>
        <v/>
      </c>
      <c r="AE1344" s="55">
        <f>IF(OR(AC1344="",N(R1344)=0),"",L1344/R1344)</f>
        <v/>
      </c>
      <c r="AF1344" s="100">
        <f>IF(OR(N(K1344)=0,N(J1344)+N(Q1344)=0),"",K1344-IF(N(J1344)&gt;0,J1344,Q1344))</f>
        <v/>
      </c>
      <c r="AG1344" s="99">
        <f>IF(B1344="","",IFERROR(AVERAGEIFS('QUALITY CONTROL'!$M$5:$M$304,'QUALITY CONTROL'!$B$5:$B$304,A1344),""))</f>
        <v/>
      </c>
      <c r="AH1344" s="51">
        <f>IF(B1344="","",DATE(YEAR(B1344),MONTH(B1344),1))</f>
        <v/>
      </c>
      <c r="AI1344" s="49">
        <f>IF(D1344="","",IFERROR(INDEX('CUSTOMERS'!$E$5:$E$404,MATCH(D1344,'CUSTOMERS'!$B$5:$B$404,0)),""))</f>
        <v/>
      </c>
      <c r="AJ1344" s="49">
        <f>IF(B1344="","",N(C1344))</f>
        <v/>
      </c>
      <c r="AK1344" s="49">
        <f>IF(OR(B1344="",O1344="Cancelled",O1344="Rescheduled"),"",B1344&amp;"|"&amp;(COUNTIFS('JOBS'!$B$5:$B$1504,B1344,'JOBS'!$AJ$5:$AJ$1504,"&lt;"&amp;AJ1344,'JOBS'!$O$5:$O$1504,"&lt;&gt;Cancelled",'JOBS'!$O$5:$O$1504,"&lt;&gt;Rescheduled")+COUNTIFS($B$5:B1344,B1344,$AJ$5:AJ1344,AJ1344,$O$5:O1344,"&lt;&gt;Cancelled",$O$5:O1344,"&lt;&gt;Rescheduled")))</f>
        <v/>
      </c>
      <c r="AL1344" s="49">
        <f>IF(N(U1344)&lt;=0.005,"",COUNTIFS('JOBS'!$U$5:$U$1504,"&gt;0.005",'JOBS'!$B$5:$B$1504,"&lt;"&amp;B1344)+COUNTIFS($U$5:U1344,"&gt;0.005",$B$5:B1344,B1344))</f>
        <v/>
      </c>
    </row>
    <row r="1345">
      <c r="A1345" s="46" t="inlineStr">
        <is>
          <t>J-1341</t>
        </is>
      </c>
      <c r="B1345" s="47" t="n"/>
      <c r="C1345" s="94" t="n"/>
      <c r="D1345" s="38" t="n"/>
      <c r="E1345" s="38" t="n"/>
      <c r="F1345" s="38" t="n"/>
      <c r="G1345" s="38" t="n"/>
      <c r="H1345" s="38" t="n"/>
      <c r="I1345" s="57" t="n"/>
      <c r="J1345" s="95" t="n"/>
      <c r="K1345" s="95" t="n"/>
      <c r="L1345" s="48" t="n"/>
      <c r="M1345" s="96" t="n"/>
      <c r="N1345" s="48" t="n"/>
      <c r="O1345" s="38" t="n"/>
      <c r="P1345" s="38" t="n"/>
      <c r="Q1345" s="97">
        <f>IF(OR(F1345="",E1345=""),"",IFERROR(IF(INDEX('PROPERTIES'!$F$5:$F$404,MATCH(E1345,'PROPERTIES'!$B$5:$B$404,0))=0,"",ROUND((INDEX('PROPERTIES'!$F$5:$F$404,MATCH(E1345,'PROPERTIES'!$B$5:$B$404,0))/INDEX('PRICING'!$C$7:$C$16,MATCH(F1345,'PRICING'!$A$7:$A$16,0))+INDEX('PROPERTIES'!$G$5:$G$404,MATCH(E1345,'PROPERTIES'!$B$5:$B$404,0))*INDEX('PRICING'!$D$7:$D$16,MATCH(F1345,'PRICING'!$A$7:$A$16,0))/60+INDEX('PROPERTIES'!$H$5:$H$404,MATCH(E1345,'PROPERTIES'!$B$5:$B$404,0))*INDEX('PRICING'!$E$7:$E$16,MATCH(F1345,'PRICING'!$A$7:$A$16,0))/60+INDEX('PRICING'!$F$7:$F$16,MATCH(F1345,'PRICING'!$A$7:$A$16,0))/60),2)),""))</f>
        <v/>
      </c>
      <c r="R1345" s="97">
        <f>IF(B1345="","",IF(N(K1345)&gt;0,K1345,IF(N(J1345)&gt;0,J1345,N(Q1345))))</f>
        <v/>
      </c>
      <c r="S1345" s="55">
        <f>IF(L1345="","",ROUND(L1345*(1+N(M1345)),2))</f>
        <v/>
      </c>
      <c r="T1345" s="55">
        <f>IF(B1345="","",SUMIFS('REVENUE'!$C$5:$C$1504,'REVENUE'!$B$5:$B$1504,A1345))</f>
        <v/>
      </c>
      <c r="U1345" s="55">
        <f>IF(B1345="","",IF(O1345="Completed",MAX(0,N(S1345)-T1345),""))</f>
        <v/>
      </c>
      <c r="V1345" s="49">
        <f>IF(B1345="","",IF(O1345&lt;&gt;"Completed",IF(T1345&gt;0,"Deposit","—"),IF(U1345&lt;=0.005,"Paid",IF(T1345&gt;0,"Partial","Unpaid"))))</f>
        <v/>
      </c>
      <c r="W1345" s="55">
        <f>IF(B1345="","",IFERROR(1/(1/INDEX('STAFF &amp; TASKS'!$C$5:$C$24,MATCH(H1345,'STAFF &amp; TASKS'!$A$5:$A$24,0))),PayRate))</f>
        <v/>
      </c>
      <c r="X1345" s="55">
        <f>IF(B1345="","",IF(OR(O1345="Cancelled",O1345="No-Show"),"",ROUND(R1345*W1345*(1+Burden),2)))</f>
        <v/>
      </c>
      <c r="Y1345" s="55">
        <f>IF(B1345="","",IF(OR(O1345="Cancelled",O1345="No-Show"),"",IF(N1345&lt;&gt;"",N1345,ROUND(R1345*SupHr*IFERROR(INDEX('PRICING'!$G$7:$G$16,MATCH(F1345,'PRICING'!$A$7:$A$16,0)),1),2))))</f>
        <v/>
      </c>
      <c r="Z1345" s="98">
        <f>IF(B1345="","",SUMIFS('MILEAGE'!$J$5:$J$1504,'MILEAGE'!$B$5:$B$1504,A1345))</f>
        <v/>
      </c>
      <c r="AA1345" s="55">
        <f>IF(B1345="","",ROUND(Z1345*MileRate,2))</f>
        <v/>
      </c>
      <c r="AB1345" s="55">
        <f>IF(B1345="","",SUMIFS('REVENUE'!$J$5:$J$1504,'REVENUE'!$B$5:$B$1504,A1345))</f>
        <v/>
      </c>
      <c r="AC1345" s="55">
        <f>IF(L1345="","",IF(OR(O1345="Cancelled",O1345="No-Show"),"",L1345-N(X1345)-N(Y1345)-AA1345-AB1345))</f>
        <v/>
      </c>
      <c r="AD1345" s="99">
        <f>IF(OR(AC1345="",N(L1345)=0),"",AC1345/L1345)</f>
        <v/>
      </c>
      <c r="AE1345" s="55">
        <f>IF(OR(AC1345="",N(R1345)=0),"",L1345/R1345)</f>
        <v/>
      </c>
      <c r="AF1345" s="100">
        <f>IF(OR(N(K1345)=0,N(J1345)+N(Q1345)=0),"",K1345-IF(N(J1345)&gt;0,J1345,Q1345))</f>
        <v/>
      </c>
      <c r="AG1345" s="99">
        <f>IF(B1345="","",IFERROR(AVERAGEIFS('QUALITY CONTROL'!$M$5:$M$304,'QUALITY CONTROL'!$B$5:$B$304,A1345),""))</f>
        <v/>
      </c>
      <c r="AH1345" s="51">
        <f>IF(B1345="","",DATE(YEAR(B1345),MONTH(B1345),1))</f>
        <v/>
      </c>
      <c r="AI1345" s="49">
        <f>IF(D1345="","",IFERROR(INDEX('CUSTOMERS'!$E$5:$E$404,MATCH(D1345,'CUSTOMERS'!$B$5:$B$404,0)),""))</f>
        <v/>
      </c>
      <c r="AJ1345" s="49">
        <f>IF(B1345="","",N(C1345))</f>
        <v/>
      </c>
      <c r="AK1345" s="49">
        <f>IF(OR(B1345="",O1345="Cancelled",O1345="Rescheduled"),"",B1345&amp;"|"&amp;(COUNTIFS('JOBS'!$B$5:$B$1504,B1345,'JOBS'!$AJ$5:$AJ$1504,"&lt;"&amp;AJ1345,'JOBS'!$O$5:$O$1504,"&lt;&gt;Cancelled",'JOBS'!$O$5:$O$1504,"&lt;&gt;Rescheduled")+COUNTIFS($B$5:B1345,B1345,$AJ$5:AJ1345,AJ1345,$O$5:O1345,"&lt;&gt;Cancelled",$O$5:O1345,"&lt;&gt;Rescheduled")))</f>
        <v/>
      </c>
      <c r="AL1345" s="49">
        <f>IF(N(U1345)&lt;=0.005,"",COUNTIFS('JOBS'!$U$5:$U$1504,"&gt;0.005",'JOBS'!$B$5:$B$1504,"&lt;"&amp;B1345)+COUNTIFS($U$5:U1345,"&gt;0.005",$B$5:B1345,B1345))</f>
        <v/>
      </c>
    </row>
    <row r="1346">
      <c r="A1346" s="46" t="inlineStr">
        <is>
          <t>J-1342</t>
        </is>
      </c>
      <c r="B1346" s="47" t="n"/>
      <c r="C1346" s="94" t="n"/>
      <c r="D1346" s="38" t="n"/>
      <c r="E1346" s="38" t="n"/>
      <c r="F1346" s="38" t="n"/>
      <c r="G1346" s="38" t="n"/>
      <c r="H1346" s="38" t="n"/>
      <c r="I1346" s="57" t="n"/>
      <c r="J1346" s="95" t="n"/>
      <c r="K1346" s="95" t="n"/>
      <c r="L1346" s="48" t="n"/>
      <c r="M1346" s="96" t="n"/>
      <c r="N1346" s="48" t="n"/>
      <c r="O1346" s="38" t="n"/>
      <c r="P1346" s="38" t="n"/>
      <c r="Q1346" s="97">
        <f>IF(OR(F1346="",E1346=""),"",IFERROR(IF(INDEX('PROPERTIES'!$F$5:$F$404,MATCH(E1346,'PROPERTIES'!$B$5:$B$404,0))=0,"",ROUND((INDEX('PROPERTIES'!$F$5:$F$404,MATCH(E1346,'PROPERTIES'!$B$5:$B$404,0))/INDEX('PRICING'!$C$7:$C$16,MATCH(F1346,'PRICING'!$A$7:$A$16,0))+INDEX('PROPERTIES'!$G$5:$G$404,MATCH(E1346,'PROPERTIES'!$B$5:$B$404,0))*INDEX('PRICING'!$D$7:$D$16,MATCH(F1346,'PRICING'!$A$7:$A$16,0))/60+INDEX('PROPERTIES'!$H$5:$H$404,MATCH(E1346,'PROPERTIES'!$B$5:$B$404,0))*INDEX('PRICING'!$E$7:$E$16,MATCH(F1346,'PRICING'!$A$7:$A$16,0))/60+INDEX('PRICING'!$F$7:$F$16,MATCH(F1346,'PRICING'!$A$7:$A$16,0))/60),2)),""))</f>
        <v/>
      </c>
      <c r="R1346" s="97">
        <f>IF(B1346="","",IF(N(K1346)&gt;0,K1346,IF(N(J1346)&gt;0,J1346,N(Q1346))))</f>
        <v/>
      </c>
      <c r="S1346" s="55">
        <f>IF(L1346="","",ROUND(L1346*(1+N(M1346)),2))</f>
        <v/>
      </c>
      <c r="T1346" s="55">
        <f>IF(B1346="","",SUMIFS('REVENUE'!$C$5:$C$1504,'REVENUE'!$B$5:$B$1504,A1346))</f>
        <v/>
      </c>
      <c r="U1346" s="55">
        <f>IF(B1346="","",IF(O1346="Completed",MAX(0,N(S1346)-T1346),""))</f>
        <v/>
      </c>
      <c r="V1346" s="49">
        <f>IF(B1346="","",IF(O1346&lt;&gt;"Completed",IF(T1346&gt;0,"Deposit","—"),IF(U1346&lt;=0.005,"Paid",IF(T1346&gt;0,"Partial","Unpaid"))))</f>
        <v/>
      </c>
      <c r="W1346" s="55">
        <f>IF(B1346="","",IFERROR(1/(1/INDEX('STAFF &amp; TASKS'!$C$5:$C$24,MATCH(H1346,'STAFF &amp; TASKS'!$A$5:$A$24,0))),PayRate))</f>
        <v/>
      </c>
      <c r="X1346" s="55">
        <f>IF(B1346="","",IF(OR(O1346="Cancelled",O1346="No-Show"),"",ROUND(R1346*W1346*(1+Burden),2)))</f>
        <v/>
      </c>
      <c r="Y1346" s="55">
        <f>IF(B1346="","",IF(OR(O1346="Cancelled",O1346="No-Show"),"",IF(N1346&lt;&gt;"",N1346,ROUND(R1346*SupHr*IFERROR(INDEX('PRICING'!$G$7:$G$16,MATCH(F1346,'PRICING'!$A$7:$A$16,0)),1),2))))</f>
        <v/>
      </c>
      <c r="Z1346" s="98">
        <f>IF(B1346="","",SUMIFS('MILEAGE'!$J$5:$J$1504,'MILEAGE'!$B$5:$B$1504,A1346))</f>
        <v/>
      </c>
      <c r="AA1346" s="55">
        <f>IF(B1346="","",ROUND(Z1346*MileRate,2))</f>
        <v/>
      </c>
      <c r="AB1346" s="55">
        <f>IF(B1346="","",SUMIFS('REVENUE'!$J$5:$J$1504,'REVENUE'!$B$5:$B$1504,A1346))</f>
        <v/>
      </c>
      <c r="AC1346" s="55">
        <f>IF(L1346="","",IF(OR(O1346="Cancelled",O1346="No-Show"),"",L1346-N(X1346)-N(Y1346)-AA1346-AB1346))</f>
        <v/>
      </c>
      <c r="AD1346" s="99">
        <f>IF(OR(AC1346="",N(L1346)=0),"",AC1346/L1346)</f>
        <v/>
      </c>
      <c r="AE1346" s="55">
        <f>IF(OR(AC1346="",N(R1346)=0),"",L1346/R1346)</f>
        <v/>
      </c>
      <c r="AF1346" s="100">
        <f>IF(OR(N(K1346)=0,N(J1346)+N(Q1346)=0),"",K1346-IF(N(J1346)&gt;0,J1346,Q1346))</f>
        <v/>
      </c>
      <c r="AG1346" s="99">
        <f>IF(B1346="","",IFERROR(AVERAGEIFS('QUALITY CONTROL'!$M$5:$M$304,'QUALITY CONTROL'!$B$5:$B$304,A1346),""))</f>
        <v/>
      </c>
      <c r="AH1346" s="51">
        <f>IF(B1346="","",DATE(YEAR(B1346),MONTH(B1346),1))</f>
        <v/>
      </c>
      <c r="AI1346" s="49">
        <f>IF(D1346="","",IFERROR(INDEX('CUSTOMERS'!$E$5:$E$404,MATCH(D1346,'CUSTOMERS'!$B$5:$B$404,0)),""))</f>
        <v/>
      </c>
      <c r="AJ1346" s="49">
        <f>IF(B1346="","",N(C1346))</f>
        <v/>
      </c>
      <c r="AK1346" s="49">
        <f>IF(OR(B1346="",O1346="Cancelled",O1346="Rescheduled"),"",B1346&amp;"|"&amp;(COUNTIFS('JOBS'!$B$5:$B$1504,B1346,'JOBS'!$AJ$5:$AJ$1504,"&lt;"&amp;AJ1346,'JOBS'!$O$5:$O$1504,"&lt;&gt;Cancelled",'JOBS'!$O$5:$O$1504,"&lt;&gt;Rescheduled")+COUNTIFS($B$5:B1346,B1346,$AJ$5:AJ1346,AJ1346,$O$5:O1346,"&lt;&gt;Cancelled",$O$5:O1346,"&lt;&gt;Rescheduled")))</f>
        <v/>
      </c>
      <c r="AL1346" s="49">
        <f>IF(N(U1346)&lt;=0.005,"",COUNTIFS('JOBS'!$U$5:$U$1504,"&gt;0.005",'JOBS'!$B$5:$B$1504,"&lt;"&amp;B1346)+COUNTIFS($U$5:U1346,"&gt;0.005",$B$5:B1346,B1346))</f>
        <v/>
      </c>
    </row>
    <row r="1347">
      <c r="A1347" s="46" t="inlineStr">
        <is>
          <t>J-1343</t>
        </is>
      </c>
      <c r="B1347" s="47" t="n"/>
      <c r="C1347" s="94" t="n"/>
      <c r="D1347" s="38" t="n"/>
      <c r="E1347" s="38" t="n"/>
      <c r="F1347" s="38" t="n"/>
      <c r="G1347" s="38" t="n"/>
      <c r="H1347" s="38" t="n"/>
      <c r="I1347" s="57" t="n"/>
      <c r="J1347" s="95" t="n"/>
      <c r="K1347" s="95" t="n"/>
      <c r="L1347" s="48" t="n"/>
      <c r="M1347" s="96" t="n"/>
      <c r="N1347" s="48" t="n"/>
      <c r="O1347" s="38" t="n"/>
      <c r="P1347" s="38" t="n"/>
      <c r="Q1347" s="97">
        <f>IF(OR(F1347="",E1347=""),"",IFERROR(IF(INDEX('PROPERTIES'!$F$5:$F$404,MATCH(E1347,'PROPERTIES'!$B$5:$B$404,0))=0,"",ROUND((INDEX('PROPERTIES'!$F$5:$F$404,MATCH(E1347,'PROPERTIES'!$B$5:$B$404,0))/INDEX('PRICING'!$C$7:$C$16,MATCH(F1347,'PRICING'!$A$7:$A$16,0))+INDEX('PROPERTIES'!$G$5:$G$404,MATCH(E1347,'PROPERTIES'!$B$5:$B$404,0))*INDEX('PRICING'!$D$7:$D$16,MATCH(F1347,'PRICING'!$A$7:$A$16,0))/60+INDEX('PROPERTIES'!$H$5:$H$404,MATCH(E1347,'PROPERTIES'!$B$5:$B$404,0))*INDEX('PRICING'!$E$7:$E$16,MATCH(F1347,'PRICING'!$A$7:$A$16,0))/60+INDEX('PRICING'!$F$7:$F$16,MATCH(F1347,'PRICING'!$A$7:$A$16,0))/60),2)),""))</f>
        <v/>
      </c>
      <c r="R1347" s="97">
        <f>IF(B1347="","",IF(N(K1347)&gt;0,K1347,IF(N(J1347)&gt;0,J1347,N(Q1347))))</f>
        <v/>
      </c>
      <c r="S1347" s="55">
        <f>IF(L1347="","",ROUND(L1347*(1+N(M1347)),2))</f>
        <v/>
      </c>
      <c r="T1347" s="55">
        <f>IF(B1347="","",SUMIFS('REVENUE'!$C$5:$C$1504,'REVENUE'!$B$5:$B$1504,A1347))</f>
        <v/>
      </c>
      <c r="U1347" s="55">
        <f>IF(B1347="","",IF(O1347="Completed",MAX(0,N(S1347)-T1347),""))</f>
        <v/>
      </c>
      <c r="V1347" s="49">
        <f>IF(B1347="","",IF(O1347&lt;&gt;"Completed",IF(T1347&gt;0,"Deposit","—"),IF(U1347&lt;=0.005,"Paid",IF(T1347&gt;0,"Partial","Unpaid"))))</f>
        <v/>
      </c>
      <c r="W1347" s="55">
        <f>IF(B1347="","",IFERROR(1/(1/INDEX('STAFF &amp; TASKS'!$C$5:$C$24,MATCH(H1347,'STAFF &amp; TASKS'!$A$5:$A$24,0))),PayRate))</f>
        <v/>
      </c>
      <c r="X1347" s="55">
        <f>IF(B1347="","",IF(OR(O1347="Cancelled",O1347="No-Show"),"",ROUND(R1347*W1347*(1+Burden),2)))</f>
        <v/>
      </c>
      <c r="Y1347" s="55">
        <f>IF(B1347="","",IF(OR(O1347="Cancelled",O1347="No-Show"),"",IF(N1347&lt;&gt;"",N1347,ROUND(R1347*SupHr*IFERROR(INDEX('PRICING'!$G$7:$G$16,MATCH(F1347,'PRICING'!$A$7:$A$16,0)),1),2))))</f>
        <v/>
      </c>
      <c r="Z1347" s="98">
        <f>IF(B1347="","",SUMIFS('MILEAGE'!$J$5:$J$1504,'MILEAGE'!$B$5:$B$1504,A1347))</f>
        <v/>
      </c>
      <c r="AA1347" s="55">
        <f>IF(B1347="","",ROUND(Z1347*MileRate,2))</f>
        <v/>
      </c>
      <c r="AB1347" s="55">
        <f>IF(B1347="","",SUMIFS('REVENUE'!$J$5:$J$1504,'REVENUE'!$B$5:$B$1504,A1347))</f>
        <v/>
      </c>
      <c r="AC1347" s="55">
        <f>IF(L1347="","",IF(OR(O1347="Cancelled",O1347="No-Show"),"",L1347-N(X1347)-N(Y1347)-AA1347-AB1347))</f>
        <v/>
      </c>
      <c r="AD1347" s="99">
        <f>IF(OR(AC1347="",N(L1347)=0),"",AC1347/L1347)</f>
        <v/>
      </c>
      <c r="AE1347" s="55">
        <f>IF(OR(AC1347="",N(R1347)=0),"",L1347/R1347)</f>
        <v/>
      </c>
      <c r="AF1347" s="100">
        <f>IF(OR(N(K1347)=0,N(J1347)+N(Q1347)=0),"",K1347-IF(N(J1347)&gt;0,J1347,Q1347))</f>
        <v/>
      </c>
      <c r="AG1347" s="99">
        <f>IF(B1347="","",IFERROR(AVERAGEIFS('QUALITY CONTROL'!$M$5:$M$304,'QUALITY CONTROL'!$B$5:$B$304,A1347),""))</f>
        <v/>
      </c>
      <c r="AH1347" s="51">
        <f>IF(B1347="","",DATE(YEAR(B1347),MONTH(B1347),1))</f>
        <v/>
      </c>
      <c r="AI1347" s="49">
        <f>IF(D1347="","",IFERROR(INDEX('CUSTOMERS'!$E$5:$E$404,MATCH(D1347,'CUSTOMERS'!$B$5:$B$404,0)),""))</f>
        <v/>
      </c>
      <c r="AJ1347" s="49">
        <f>IF(B1347="","",N(C1347))</f>
        <v/>
      </c>
      <c r="AK1347" s="49">
        <f>IF(OR(B1347="",O1347="Cancelled",O1347="Rescheduled"),"",B1347&amp;"|"&amp;(COUNTIFS('JOBS'!$B$5:$B$1504,B1347,'JOBS'!$AJ$5:$AJ$1504,"&lt;"&amp;AJ1347,'JOBS'!$O$5:$O$1504,"&lt;&gt;Cancelled",'JOBS'!$O$5:$O$1504,"&lt;&gt;Rescheduled")+COUNTIFS($B$5:B1347,B1347,$AJ$5:AJ1347,AJ1347,$O$5:O1347,"&lt;&gt;Cancelled",$O$5:O1347,"&lt;&gt;Rescheduled")))</f>
        <v/>
      </c>
      <c r="AL1347" s="49">
        <f>IF(N(U1347)&lt;=0.005,"",COUNTIFS('JOBS'!$U$5:$U$1504,"&gt;0.005",'JOBS'!$B$5:$B$1504,"&lt;"&amp;B1347)+COUNTIFS($U$5:U1347,"&gt;0.005",$B$5:B1347,B1347))</f>
        <v/>
      </c>
    </row>
    <row r="1348">
      <c r="A1348" s="46" t="inlineStr">
        <is>
          <t>J-1344</t>
        </is>
      </c>
      <c r="B1348" s="47" t="n"/>
      <c r="C1348" s="94" t="n"/>
      <c r="D1348" s="38" t="n"/>
      <c r="E1348" s="38" t="n"/>
      <c r="F1348" s="38" t="n"/>
      <c r="G1348" s="38" t="n"/>
      <c r="H1348" s="38" t="n"/>
      <c r="I1348" s="57" t="n"/>
      <c r="J1348" s="95" t="n"/>
      <c r="K1348" s="95" t="n"/>
      <c r="L1348" s="48" t="n"/>
      <c r="M1348" s="96" t="n"/>
      <c r="N1348" s="48" t="n"/>
      <c r="O1348" s="38" t="n"/>
      <c r="P1348" s="38" t="n"/>
      <c r="Q1348" s="97">
        <f>IF(OR(F1348="",E1348=""),"",IFERROR(IF(INDEX('PROPERTIES'!$F$5:$F$404,MATCH(E1348,'PROPERTIES'!$B$5:$B$404,0))=0,"",ROUND((INDEX('PROPERTIES'!$F$5:$F$404,MATCH(E1348,'PROPERTIES'!$B$5:$B$404,0))/INDEX('PRICING'!$C$7:$C$16,MATCH(F1348,'PRICING'!$A$7:$A$16,0))+INDEX('PROPERTIES'!$G$5:$G$404,MATCH(E1348,'PROPERTIES'!$B$5:$B$404,0))*INDEX('PRICING'!$D$7:$D$16,MATCH(F1348,'PRICING'!$A$7:$A$16,0))/60+INDEX('PROPERTIES'!$H$5:$H$404,MATCH(E1348,'PROPERTIES'!$B$5:$B$404,0))*INDEX('PRICING'!$E$7:$E$16,MATCH(F1348,'PRICING'!$A$7:$A$16,0))/60+INDEX('PRICING'!$F$7:$F$16,MATCH(F1348,'PRICING'!$A$7:$A$16,0))/60),2)),""))</f>
        <v/>
      </c>
      <c r="R1348" s="97">
        <f>IF(B1348="","",IF(N(K1348)&gt;0,K1348,IF(N(J1348)&gt;0,J1348,N(Q1348))))</f>
        <v/>
      </c>
      <c r="S1348" s="55">
        <f>IF(L1348="","",ROUND(L1348*(1+N(M1348)),2))</f>
        <v/>
      </c>
      <c r="T1348" s="55">
        <f>IF(B1348="","",SUMIFS('REVENUE'!$C$5:$C$1504,'REVENUE'!$B$5:$B$1504,A1348))</f>
        <v/>
      </c>
      <c r="U1348" s="55">
        <f>IF(B1348="","",IF(O1348="Completed",MAX(0,N(S1348)-T1348),""))</f>
        <v/>
      </c>
      <c r="V1348" s="49">
        <f>IF(B1348="","",IF(O1348&lt;&gt;"Completed",IF(T1348&gt;0,"Deposit","—"),IF(U1348&lt;=0.005,"Paid",IF(T1348&gt;0,"Partial","Unpaid"))))</f>
        <v/>
      </c>
      <c r="W1348" s="55">
        <f>IF(B1348="","",IFERROR(1/(1/INDEX('STAFF &amp; TASKS'!$C$5:$C$24,MATCH(H1348,'STAFF &amp; TASKS'!$A$5:$A$24,0))),PayRate))</f>
        <v/>
      </c>
      <c r="X1348" s="55">
        <f>IF(B1348="","",IF(OR(O1348="Cancelled",O1348="No-Show"),"",ROUND(R1348*W1348*(1+Burden),2)))</f>
        <v/>
      </c>
      <c r="Y1348" s="55">
        <f>IF(B1348="","",IF(OR(O1348="Cancelled",O1348="No-Show"),"",IF(N1348&lt;&gt;"",N1348,ROUND(R1348*SupHr*IFERROR(INDEX('PRICING'!$G$7:$G$16,MATCH(F1348,'PRICING'!$A$7:$A$16,0)),1),2))))</f>
        <v/>
      </c>
      <c r="Z1348" s="98">
        <f>IF(B1348="","",SUMIFS('MILEAGE'!$J$5:$J$1504,'MILEAGE'!$B$5:$B$1504,A1348))</f>
        <v/>
      </c>
      <c r="AA1348" s="55">
        <f>IF(B1348="","",ROUND(Z1348*MileRate,2))</f>
        <v/>
      </c>
      <c r="AB1348" s="55">
        <f>IF(B1348="","",SUMIFS('REVENUE'!$J$5:$J$1504,'REVENUE'!$B$5:$B$1504,A1348))</f>
        <v/>
      </c>
      <c r="AC1348" s="55">
        <f>IF(L1348="","",IF(OR(O1348="Cancelled",O1348="No-Show"),"",L1348-N(X1348)-N(Y1348)-AA1348-AB1348))</f>
        <v/>
      </c>
      <c r="AD1348" s="99">
        <f>IF(OR(AC1348="",N(L1348)=0),"",AC1348/L1348)</f>
        <v/>
      </c>
      <c r="AE1348" s="55">
        <f>IF(OR(AC1348="",N(R1348)=0),"",L1348/R1348)</f>
        <v/>
      </c>
      <c r="AF1348" s="100">
        <f>IF(OR(N(K1348)=0,N(J1348)+N(Q1348)=0),"",K1348-IF(N(J1348)&gt;0,J1348,Q1348))</f>
        <v/>
      </c>
      <c r="AG1348" s="99">
        <f>IF(B1348="","",IFERROR(AVERAGEIFS('QUALITY CONTROL'!$M$5:$M$304,'QUALITY CONTROL'!$B$5:$B$304,A1348),""))</f>
        <v/>
      </c>
      <c r="AH1348" s="51">
        <f>IF(B1348="","",DATE(YEAR(B1348),MONTH(B1348),1))</f>
        <v/>
      </c>
      <c r="AI1348" s="49">
        <f>IF(D1348="","",IFERROR(INDEX('CUSTOMERS'!$E$5:$E$404,MATCH(D1348,'CUSTOMERS'!$B$5:$B$404,0)),""))</f>
        <v/>
      </c>
      <c r="AJ1348" s="49">
        <f>IF(B1348="","",N(C1348))</f>
        <v/>
      </c>
      <c r="AK1348" s="49">
        <f>IF(OR(B1348="",O1348="Cancelled",O1348="Rescheduled"),"",B1348&amp;"|"&amp;(COUNTIFS('JOBS'!$B$5:$B$1504,B1348,'JOBS'!$AJ$5:$AJ$1504,"&lt;"&amp;AJ1348,'JOBS'!$O$5:$O$1504,"&lt;&gt;Cancelled",'JOBS'!$O$5:$O$1504,"&lt;&gt;Rescheduled")+COUNTIFS($B$5:B1348,B1348,$AJ$5:AJ1348,AJ1348,$O$5:O1348,"&lt;&gt;Cancelled",$O$5:O1348,"&lt;&gt;Rescheduled")))</f>
        <v/>
      </c>
      <c r="AL1348" s="49">
        <f>IF(N(U1348)&lt;=0.005,"",COUNTIFS('JOBS'!$U$5:$U$1504,"&gt;0.005",'JOBS'!$B$5:$B$1504,"&lt;"&amp;B1348)+COUNTIFS($U$5:U1348,"&gt;0.005",$B$5:B1348,B1348))</f>
        <v/>
      </c>
    </row>
    <row r="1349">
      <c r="A1349" s="46" t="inlineStr">
        <is>
          <t>J-1345</t>
        </is>
      </c>
      <c r="B1349" s="47" t="n"/>
      <c r="C1349" s="94" t="n"/>
      <c r="D1349" s="38" t="n"/>
      <c r="E1349" s="38" t="n"/>
      <c r="F1349" s="38" t="n"/>
      <c r="G1349" s="38" t="n"/>
      <c r="H1349" s="38" t="n"/>
      <c r="I1349" s="57" t="n"/>
      <c r="J1349" s="95" t="n"/>
      <c r="K1349" s="95" t="n"/>
      <c r="L1349" s="48" t="n"/>
      <c r="M1349" s="96" t="n"/>
      <c r="N1349" s="48" t="n"/>
      <c r="O1349" s="38" t="n"/>
      <c r="P1349" s="38" t="n"/>
      <c r="Q1349" s="97">
        <f>IF(OR(F1349="",E1349=""),"",IFERROR(IF(INDEX('PROPERTIES'!$F$5:$F$404,MATCH(E1349,'PROPERTIES'!$B$5:$B$404,0))=0,"",ROUND((INDEX('PROPERTIES'!$F$5:$F$404,MATCH(E1349,'PROPERTIES'!$B$5:$B$404,0))/INDEX('PRICING'!$C$7:$C$16,MATCH(F1349,'PRICING'!$A$7:$A$16,0))+INDEX('PROPERTIES'!$G$5:$G$404,MATCH(E1349,'PROPERTIES'!$B$5:$B$404,0))*INDEX('PRICING'!$D$7:$D$16,MATCH(F1349,'PRICING'!$A$7:$A$16,0))/60+INDEX('PROPERTIES'!$H$5:$H$404,MATCH(E1349,'PROPERTIES'!$B$5:$B$404,0))*INDEX('PRICING'!$E$7:$E$16,MATCH(F1349,'PRICING'!$A$7:$A$16,0))/60+INDEX('PRICING'!$F$7:$F$16,MATCH(F1349,'PRICING'!$A$7:$A$16,0))/60),2)),""))</f>
        <v/>
      </c>
      <c r="R1349" s="97">
        <f>IF(B1349="","",IF(N(K1349)&gt;0,K1349,IF(N(J1349)&gt;0,J1349,N(Q1349))))</f>
        <v/>
      </c>
      <c r="S1349" s="55">
        <f>IF(L1349="","",ROUND(L1349*(1+N(M1349)),2))</f>
        <v/>
      </c>
      <c r="T1349" s="55">
        <f>IF(B1349="","",SUMIFS('REVENUE'!$C$5:$C$1504,'REVENUE'!$B$5:$B$1504,A1349))</f>
        <v/>
      </c>
      <c r="U1349" s="55">
        <f>IF(B1349="","",IF(O1349="Completed",MAX(0,N(S1349)-T1349),""))</f>
        <v/>
      </c>
      <c r="V1349" s="49">
        <f>IF(B1349="","",IF(O1349&lt;&gt;"Completed",IF(T1349&gt;0,"Deposit","—"),IF(U1349&lt;=0.005,"Paid",IF(T1349&gt;0,"Partial","Unpaid"))))</f>
        <v/>
      </c>
      <c r="W1349" s="55">
        <f>IF(B1349="","",IFERROR(1/(1/INDEX('STAFF &amp; TASKS'!$C$5:$C$24,MATCH(H1349,'STAFF &amp; TASKS'!$A$5:$A$24,0))),PayRate))</f>
        <v/>
      </c>
      <c r="X1349" s="55">
        <f>IF(B1349="","",IF(OR(O1349="Cancelled",O1349="No-Show"),"",ROUND(R1349*W1349*(1+Burden),2)))</f>
        <v/>
      </c>
      <c r="Y1349" s="55">
        <f>IF(B1349="","",IF(OR(O1349="Cancelled",O1349="No-Show"),"",IF(N1349&lt;&gt;"",N1349,ROUND(R1349*SupHr*IFERROR(INDEX('PRICING'!$G$7:$G$16,MATCH(F1349,'PRICING'!$A$7:$A$16,0)),1),2))))</f>
        <v/>
      </c>
      <c r="Z1349" s="98">
        <f>IF(B1349="","",SUMIFS('MILEAGE'!$J$5:$J$1504,'MILEAGE'!$B$5:$B$1504,A1349))</f>
        <v/>
      </c>
      <c r="AA1349" s="55">
        <f>IF(B1349="","",ROUND(Z1349*MileRate,2))</f>
        <v/>
      </c>
      <c r="AB1349" s="55">
        <f>IF(B1349="","",SUMIFS('REVENUE'!$J$5:$J$1504,'REVENUE'!$B$5:$B$1504,A1349))</f>
        <v/>
      </c>
      <c r="AC1349" s="55">
        <f>IF(L1349="","",IF(OR(O1349="Cancelled",O1349="No-Show"),"",L1349-N(X1349)-N(Y1349)-AA1349-AB1349))</f>
        <v/>
      </c>
      <c r="AD1349" s="99">
        <f>IF(OR(AC1349="",N(L1349)=0),"",AC1349/L1349)</f>
        <v/>
      </c>
      <c r="AE1349" s="55">
        <f>IF(OR(AC1349="",N(R1349)=0),"",L1349/R1349)</f>
        <v/>
      </c>
      <c r="AF1349" s="100">
        <f>IF(OR(N(K1349)=0,N(J1349)+N(Q1349)=0),"",K1349-IF(N(J1349)&gt;0,J1349,Q1349))</f>
        <v/>
      </c>
      <c r="AG1349" s="99">
        <f>IF(B1349="","",IFERROR(AVERAGEIFS('QUALITY CONTROL'!$M$5:$M$304,'QUALITY CONTROL'!$B$5:$B$304,A1349),""))</f>
        <v/>
      </c>
      <c r="AH1349" s="51">
        <f>IF(B1349="","",DATE(YEAR(B1349),MONTH(B1349),1))</f>
        <v/>
      </c>
      <c r="AI1349" s="49">
        <f>IF(D1349="","",IFERROR(INDEX('CUSTOMERS'!$E$5:$E$404,MATCH(D1349,'CUSTOMERS'!$B$5:$B$404,0)),""))</f>
        <v/>
      </c>
      <c r="AJ1349" s="49">
        <f>IF(B1349="","",N(C1349))</f>
        <v/>
      </c>
      <c r="AK1349" s="49">
        <f>IF(OR(B1349="",O1349="Cancelled",O1349="Rescheduled"),"",B1349&amp;"|"&amp;(COUNTIFS('JOBS'!$B$5:$B$1504,B1349,'JOBS'!$AJ$5:$AJ$1504,"&lt;"&amp;AJ1349,'JOBS'!$O$5:$O$1504,"&lt;&gt;Cancelled",'JOBS'!$O$5:$O$1504,"&lt;&gt;Rescheduled")+COUNTIFS($B$5:B1349,B1349,$AJ$5:AJ1349,AJ1349,$O$5:O1349,"&lt;&gt;Cancelled",$O$5:O1349,"&lt;&gt;Rescheduled")))</f>
        <v/>
      </c>
      <c r="AL1349" s="49">
        <f>IF(N(U1349)&lt;=0.005,"",COUNTIFS('JOBS'!$U$5:$U$1504,"&gt;0.005",'JOBS'!$B$5:$B$1504,"&lt;"&amp;B1349)+COUNTIFS($U$5:U1349,"&gt;0.005",$B$5:B1349,B1349))</f>
        <v/>
      </c>
    </row>
    <row r="1350">
      <c r="A1350" s="46" t="inlineStr">
        <is>
          <t>J-1346</t>
        </is>
      </c>
      <c r="B1350" s="47" t="n"/>
      <c r="C1350" s="94" t="n"/>
      <c r="D1350" s="38" t="n"/>
      <c r="E1350" s="38" t="n"/>
      <c r="F1350" s="38" t="n"/>
      <c r="G1350" s="38" t="n"/>
      <c r="H1350" s="38" t="n"/>
      <c r="I1350" s="57" t="n"/>
      <c r="J1350" s="95" t="n"/>
      <c r="K1350" s="95" t="n"/>
      <c r="L1350" s="48" t="n"/>
      <c r="M1350" s="96" t="n"/>
      <c r="N1350" s="48" t="n"/>
      <c r="O1350" s="38" t="n"/>
      <c r="P1350" s="38" t="n"/>
      <c r="Q1350" s="97">
        <f>IF(OR(F1350="",E1350=""),"",IFERROR(IF(INDEX('PROPERTIES'!$F$5:$F$404,MATCH(E1350,'PROPERTIES'!$B$5:$B$404,0))=0,"",ROUND((INDEX('PROPERTIES'!$F$5:$F$404,MATCH(E1350,'PROPERTIES'!$B$5:$B$404,0))/INDEX('PRICING'!$C$7:$C$16,MATCH(F1350,'PRICING'!$A$7:$A$16,0))+INDEX('PROPERTIES'!$G$5:$G$404,MATCH(E1350,'PROPERTIES'!$B$5:$B$404,0))*INDEX('PRICING'!$D$7:$D$16,MATCH(F1350,'PRICING'!$A$7:$A$16,0))/60+INDEX('PROPERTIES'!$H$5:$H$404,MATCH(E1350,'PROPERTIES'!$B$5:$B$404,0))*INDEX('PRICING'!$E$7:$E$16,MATCH(F1350,'PRICING'!$A$7:$A$16,0))/60+INDEX('PRICING'!$F$7:$F$16,MATCH(F1350,'PRICING'!$A$7:$A$16,0))/60),2)),""))</f>
        <v/>
      </c>
      <c r="R1350" s="97">
        <f>IF(B1350="","",IF(N(K1350)&gt;0,K1350,IF(N(J1350)&gt;0,J1350,N(Q1350))))</f>
        <v/>
      </c>
      <c r="S1350" s="55">
        <f>IF(L1350="","",ROUND(L1350*(1+N(M1350)),2))</f>
        <v/>
      </c>
      <c r="T1350" s="55">
        <f>IF(B1350="","",SUMIFS('REVENUE'!$C$5:$C$1504,'REVENUE'!$B$5:$B$1504,A1350))</f>
        <v/>
      </c>
      <c r="U1350" s="55">
        <f>IF(B1350="","",IF(O1350="Completed",MAX(0,N(S1350)-T1350),""))</f>
        <v/>
      </c>
      <c r="V1350" s="49">
        <f>IF(B1350="","",IF(O1350&lt;&gt;"Completed",IF(T1350&gt;0,"Deposit","—"),IF(U1350&lt;=0.005,"Paid",IF(T1350&gt;0,"Partial","Unpaid"))))</f>
        <v/>
      </c>
      <c r="W1350" s="55">
        <f>IF(B1350="","",IFERROR(1/(1/INDEX('STAFF &amp; TASKS'!$C$5:$C$24,MATCH(H1350,'STAFF &amp; TASKS'!$A$5:$A$24,0))),PayRate))</f>
        <v/>
      </c>
      <c r="X1350" s="55">
        <f>IF(B1350="","",IF(OR(O1350="Cancelled",O1350="No-Show"),"",ROUND(R1350*W1350*(1+Burden),2)))</f>
        <v/>
      </c>
      <c r="Y1350" s="55">
        <f>IF(B1350="","",IF(OR(O1350="Cancelled",O1350="No-Show"),"",IF(N1350&lt;&gt;"",N1350,ROUND(R1350*SupHr*IFERROR(INDEX('PRICING'!$G$7:$G$16,MATCH(F1350,'PRICING'!$A$7:$A$16,0)),1),2))))</f>
        <v/>
      </c>
      <c r="Z1350" s="98">
        <f>IF(B1350="","",SUMIFS('MILEAGE'!$J$5:$J$1504,'MILEAGE'!$B$5:$B$1504,A1350))</f>
        <v/>
      </c>
      <c r="AA1350" s="55">
        <f>IF(B1350="","",ROUND(Z1350*MileRate,2))</f>
        <v/>
      </c>
      <c r="AB1350" s="55">
        <f>IF(B1350="","",SUMIFS('REVENUE'!$J$5:$J$1504,'REVENUE'!$B$5:$B$1504,A1350))</f>
        <v/>
      </c>
      <c r="AC1350" s="55">
        <f>IF(L1350="","",IF(OR(O1350="Cancelled",O1350="No-Show"),"",L1350-N(X1350)-N(Y1350)-AA1350-AB1350))</f>
        <v/>
      </c>
      <c r="AD1350" s="99">
        <f>IF(OR(AC1350="",N(L1350)=0),"",AC1350/L1350)</f>
        <v/>
      </c>
      <c r="AE1350" s="55">
        <f>IF(OR(AC1350="",N(R1350)=0),"",L1350/R1350)</f>
        <v/>
      </c>
      <c r="AF1350" s="100">
        <f>IF(OR(N(K1350)=0,N(J1350)+N(Q1350)=0),"",K1350-IF(N(J1350)&gt;0,J1350,Q1350))</f>
        <v/>
      </c>
      <c r="AG1350" s="99">
        <f>IF(B1350="","",IFERROR(AVERAGEIFS('QUALITY CONTROL'!$M$5:$M$304,'QUALITY CONTROL'!$B$5:$B$304,A1350),""))</f>
        <v/>
      </c>
      <c r="AH1350" s="51">
        <f>IF(B1350="","",DATE(YEAR(B1350),MONTH(B1350),1))</f>
        <v/>
      </c>
      <c r="AI1350" s="49">
        <f>IF(D1350="","",IFERROR(INDEX('CUSTOMERS'!$E$5:$E$404,MATCH(D1350,'CUSTOMERS'!$B$5:$B$404,0)),""))</f>
        <v/>
      </c>
      <c r="AJ1350" s="49">
        <f>IF(B1350="","",N(C1350))</f>
        <v/>
      </c>
      <c r="AK1350" s="49">
        <f>IF(OR(B1350="",O1350="Cancelled",O1350="Rescheduled"),"",B1350&amp;"|"&amp;(COUNTIFS('JOBS'!$B$5:$B$1504,B1350,'JOBS'!$AJ$5:$AJ$1504,"&lt;"&amp;AJ1350,'JOBS'!$O$5:$O$1504,"&lt;&gt;Cancelled",'JOBS'!$O$5:$O$1504,"&lt;&gt;Rescheduled")+COUNTIFS($B$5:B1350,B1350,$AJ$5:AJ1350,AJ1350,$O$5:O1350,"&lt;&gt;Cancelled",$O$5:O1350,"&lt;&gt;Rescheduled")))</f>
        <v/>
      </c>
      <c r="AL1350" s="49">
        <f>IF(N(U1350)&lt;=0.005,"",COUNTIFS('JOBS'!$U$5:$U$1504,"&gt;0.005",'JOBS'!$B$5:$B$1504,"&lt;"&amp;B1350)+COUNTIFS($U$5:U1350,"&gt;0.005",$B$5:B1350,B1350))</f>
        <v/>
      </c>
    </row>
    <row r="1351">
      <c r="A1351" s="46" t="inlineStr">
        <is>
          <t>J-1347</t>
        </is>
      </c>
      <c r="B1351" s="47" t="n"/>
      <c r="C1351" s="94" t="n"/>
      <c r="D1351" s="38" t="n"/>
      <c r="E1351" s="38" t="n"/>
      <c r="F1351" s="38" t="n"/>
      <c r="G1351" s="38" t="n"/>
      <c r="H1351" s="38" t="n"/>
      <c r="I1351" s="57" t="n"/>
      <c r="J1351" s="95" t="n"/>
      <c r="K1351" s="95" t="n"/>
      <c r="L1351" s="48" t="n"/>
      <c r="M1351" s="96" t="n"/>
      <c r="N1351" s="48" t="n"/>
      <c r="O1351" s="38" t="n"/>
      <c r="P1351" s="38" t="n"/>
      <c r="Q1351" s="97">
        <f>IF(OR(F1351="",E1351=""),"",IFERROR(IF(INDEX('PROPERTIES'!$F$5:$F$404,MATCH(E1351,'PROPERTIES'!$B$5:$B$404,0))=0,"",ROUND((INDEX('PROPERTIES'!$F$5:$F$404,MATCH(E1351,'PROPERTIES'!$B$5:$B$404,0))/INDEX('PRICING'!$C$7:$C$16,MATCH(F1351,'PRICING'!$A$7:$A$16,0))+INDEX('PROPERTIES'!$G$5:$G$404,MATCH(E1351,'PROPERTIES'!$B$5:$B$404,0))*INDEX('PRICING'!$D$7:$D$16,MATCH(F1351,'PRICING'!$A$7:$A$16,0))/60+INDEX('PROPERTIES'!$H$5:$H$404,MATCH(E1351,'PROPERTIES'!$B$5:$B$404,0))*INDEX('PRICING'!$E$7:$E$16,MATCH(F1351,'PRICING'!$A$7:$A$16,0))/60+INDEX('PRICING'!$F$7:$F$16,MATCH(F1351,'PRICING'!$A$7:$A$16,0))/60),2)),""))</f>
        <v/>
      </c>
      <c r="R1351" s="97">
        <f>IF(B1351="","",IF(N(K1351)&gt;0,K1351,IF(N(J1351)&gt;0,J1351,N(Q1351))))</f>
        <v/>
      </c>
      <c r="S1351" s="55">
        <f>IF(L1351="","",ROUND(L1351*(1+N(M1351)),2))</f>
        <v/>
      </c>
      <c r="T1351" s="55">
        <f>IF(B1351="","",SUMIFS('REVENUE'!$C$5:$C$1504,'REVENUE'!$B$5:$B$1504,A1351))</f>
        <v/>
      </c>
      <c r="U1351" s="55">
        <f>IF(B1351="","",IF(O1351="Completed",MAX(0,N(S1351)-T1351),""))</f>
        <v/>
      </c>
      <c r="V1351" s="49">
        <f>IF(B1351="","",IF(O1351&lt;&gt;"Completed",IF(T1351&gt;0,"Deposit","—"),IF(U1351&lt;=0.005,"Paid",IF(T1351&gt;0,"Partial","Unpaid"))))</f>
        <v/>
      </c>
      <c r="W1351" s="55">
        <f>IF(B1351="","",IFERROR(1/(1/INDEX('STAFF &amp; TASKS'!$C$5:$C$24,MATCH(H1351,'STAFF &amp; TASKS'!$A$5:$A$24,0))),PayRate))</f>
        <v/>
      </c>
      <c r="X1351" s="55">
        <f>IF(B1351="","",IF(OR(O1351="Cancelled",O1351="No-Show"),"",ROUND(R1351*W1351*(1+Burden),2)))</f>
        <v/>
      </c>
      <c r="Y1351" s="55">
        <f>IF(B1351="","",IF(OR(O1351="Cancelled",O1351="No-Show"),"",IF(N1351&lt;&gt;"",N1351,ROUND(R1351*SupHr*IFERROR(INDEX('PRICING'!$G$7:$G$16,MATCH(F1351,'PRICING'!$A$7:$A$16,0)),1),2))))</f>
        <v/>
      </c>
      <c r="Z1351" s="98">
        <f>IF(B1351="","",SUMIFS('MILEAGE'!$J$5:$J$1504,'MILEAGE'!$B$5:$B$1504,A1351))</f>
        <v/>
      </c>
      <c r="AA1351" s="55">
        <f>IF(B1351="","",ROUND(Z1351*MileRate,2))</f>
        <v/>
      </c>
      <c r="AB1351" s="55">
        <f>IF(B1351="","",SUMIFS('REVENUE'!$J$5:$J$1504,'REVENUE'!$B$5:$B$1504,A1351))</f>
        <v/>
      </c>
      <c r="AC1351" s="55">
        <f>IF(L1351="","",IF(OR(O1351="Cancelled",O1351="No-Show"),"",L1351-N(X1351)-N(Y1351)-AA1351-AB1351))</f>
        <v/>
      </c>
      <c r="AD1351" s="99">
        <f>IF(OR(AC1351="",N(L1351)=0),"",AC1351/L1351)</f>
        <v/>
      </c>
      <c r="AE1351" s="55">
        <f>IF(OR(AC1351="",N(R1351)=0),"",L1351/R1351)</f>
        <v/>
      </c>
      <c r="AF1351" s="100">
        <f>IF(OR(N(K1351)=0,N(J1351)+N(Q1351)=0),"",K1351-IF(N(J1351)&gt;0,J1351,Q1351))</f>
        <v/>
      </c>
      <c r="AG1351" s="99">
        <f>IF(B1351="","",IFERROR(AVERAGEIFS('QUALITY CONTROL'!$M$5:$M$304,'QUALITY CONTROL'!$B$5:$B$304,A1351),""))</f>
        <v/>
      </c>
      <c r="AH1351" s="51">
        <f>IF(B1351="","",DATE(YEAR(B1351),MONTH(B1351),1))</f>
        <v/>
      </c>
      <c r="AI1351" s="49">
        <f>IF(D1351="","",IFERROR(INDEX('CUSTOMERS'!$E$5:$E$404,MATCH(D1351,'CUSTOMERS'!$B$5:$B$404,0)),""))</f>
        <v/>
      </c>
      <c r="AJ1351" s="49">
        <f>IF(B1351="","",N(C1351))</f>
        <v/>
      </c>
      <c r="AK1351" s="49">
        <f>IF(OR(B1351="",O1351="Cancelled",O1351="Rescheduled"),"",B1351&amp;"|"&amp;(COUNTIFS('JOBS'!$B$5:$B$1504,B1351,'JOBS'!$AJ$5:$AJ$1504,"&lt;"&amp;AJ1351,'JOBS'!$O$5:$O$1504,"&lt;&gt;Cancelled",'JOBS'!$O$5:$O$1504,"&lt;&gt;Rescheduled")+COUNTIFS($B$5:B1351,B1351,$AJ$5:AJ1351,AJ1351,$O$5:O1351,"&lt;&gt;Cancelled",$O$5:O1351,"&lt;&gt;Rescheduled")))</f>
        <v/>
      </c>
      <c r="AL1351" s="49">
        <f>IF(N(U1351)&lt;=0.005,"",COUNTIFS('JOBS'!$U$5:$U$1504,"&gt;0.005",'JOBS'!$B$5:$B$1504,"&lt;"&amp;B1351)+COUNTIFS($U$5:U1351,"&gt;0.005",$B$5:B1351,B1351))</f>
        <v/>
      </c>
    </row>
    <row r="1352">
      <c r="A1352" s="46" t="inlineStr">
        <is>
          <t>J-1348</t>
        </is>
      </c>
      <c r="B1352" s="47" t="n"/>
      <c r="C1352" s="94" t="n"/>
      <c r="D1352" s="38" t="n"/>
      <c r="E1352" s="38" t="n"/>
      <c r="F1352" s="38" t="n"/>
      <c r="G1352" s="38" t="n"/>
      <c r="H1352" s="38" t="n"/>
      <c r="I1352" s="57" t="n"/>
      <c r="J1352" s="95" t="n"/>
      <c r="K1352" s="95" t="n"/>
      <c r="L1352" s="48" t="n"/>
      <c r="M1352" s="96" t="n"/>
      <c r="N1352" s="48" t="n"/>
      <c r="O1352" s="38" t="n"/>
      <c r="P1352" s="38" t="n"/>
      <c r="Q1352" s="97">
        <f>IF(OR(F1352="",E1352=""),"",IFERROR(IF(INDEX('PROPERTIES'!$F$5:$F$404,MATCH(E1352,'PROPERTIES'!$B$5:$B$404,0))=0,"",ROUND((INDEX('PROPERTIES'!$F$5:$F$404,MATCH(E1352,'PROPERTIES'!$B$5:$B$404,0))/INDEX('PRICING'!$C$7:$C$16,MATCH(F1352,'PRICING'!$A$7:$A$16,0))+INDEX('PROPERTIES'!$G$5:$G$404,MATCH(E1352,'PROPERTIES'!$B$5:$B$404,0))*INDEX('PRICING'!$D$7:$D$16,MATCH(F1352,'PRICING'!$A$7:$A$16,0))/60+INDEX('PROPERTIES'!$H$5:$H$404,MATCH(E1352,'PROPERTIES'!$B$5:$B$404,0))*INDEX('PRICING'!$E$7:$E$16,MATCH(F1352,'PRICING'!$A$7:$A$16,0))/60+INDEX('PRICING'!$F$7:$F$16,MATCH(F1352,'PRICING'!$A$7:$A$16,0))/60),2)),""))</f>
        <v/>
      </c>
      <c r="R1352" s="97">
        <f>IF(B1352="","",IF(N(K1352)&gt;0,K1352,IF(N(J1352)&gt;0,J1352,N(Q1352))))</f>
        <v/>
      </c>
      <c r="S1352" s="55">
        <f>IF(L1352="","",ROUND(L1352*(1+N(M1352)),2))</f>
        <v/>
      </c>
      <c r="T1352" s="55">
        <f>IF(B1352="","",SUMIFS('REVENUE'!$C$5:$C$1504,'REVENUE'!$B$5:$B$1504,A1352))</f>
        <v/>
      </c>
      <c r="U1352" s="55">
        <f>IF(B1352="","",IF(O1352="Completed",MAX(0,N(S1352)-T1352),""))</f>
        <v/>
      </c>
      <c r="V1352" s="49">
        <f>IF(B1352="","",IF(O1352&lt;&gt;"Completed",IF(T1352&gt;0,"Deposit","—"),IF(U1352&lt;=0.005,"Paid",IF(T1352&gt;0,"Partial","Unpaid"))))</f>
        <v/>
      </c>
      <c r="W1352" s="55">
        <f>IF(B1352="","",IFERROR(1/(1/INDEX('STAFF &amp; TASKS'!$C$5:$C$24,MATCH(H1352,'STAFF &amp; TASKS'!$A$5:$A$24,0))),PayRate))</f>
        <v/>
      </c>
      <c r="X1352" s="55">
        <f>IF(B1352="","",IF(OR(O1352="Cancelled",O1352="No-Show"),"",ROUND(R1352*W1352*(1+Burden),2)))</f>
        <v/>
      </c>
      <c r="Y1352" s="55">
        <f>IF(B1352="","",IF(OR(O1352="Cancelled",O1352="No-Show"),"",IF(N1352&lt;&gt;"",N1352,ROUND(R1352*SupHr*IFERROR(INDEX('PRICING'!$G$7:$G$16,MATCH(F1352,'PRICING'!$A$7:$A$16,0)),1),2))))</f>
        <v/>
      </c>
      <c r="Z1352" s="98">
        <f>IF(B1352="","",SUMIFS('MILEAGE'!$J$5:$J$1504,'MILEAGE'!$B$5:$B$1504,A1352))</f>
        <v/>
      </c>
      <c r="AA1352" s="55">
        <f>IF(B1352="","",ROUND(Z1352*MileRate,2))</f>
        <v/>
      </c>
      <c r="AB1352" s="55">
        <f>IF(B1352="","",SUMIFS('REVENUE'!$J$5:$J$1504,'REVENUE'!$B$5:$B$1504,A1352))</f>
        <v/>
      </c>
      <c r="AC1352" s="55">
        <f>IF(L1352="","",IF(OR(O1352="Cancelled",O1352="No-Show"),"",L1352-N(X1352)-N(Y1352)-AA1352-AB1352))</f>
        <v/>
      </c>
      <c r="AD1352" s="99">
        <f>IF(OR(AC1352="",N(L1352)=0),"",AC1352/L1352)</f>
        <v/>
      </c>
      <c r="AE1352" s="55">
        <f>IF(OR(AC1352="",N(R1352)=0),"",L1352/R1352)</f>
        <v/>
      </c>
      <c r="AF1352" s="100">
        <f>IF(OR(N(K1352)=0,N(J1352)+N(Q1352)=0),"",K1352-IF(N(J1352)&gt;0,J1352,Q1352))</f>
        <v/>
      </c>
      <c r="AG1352" s="99">
        <f>IF(B1352="","",IFERROR(AVERAGEIFS('QUALITY CONTROL'!$M$5:$M$304,'QUALITY CONTROL'!$B$5:$B$304,A1352),""))</f>
        <v/>
      </c>
      <c r="AH1352" s="51">
        <f>IF(B1352="","",DATE(YEAR(B1352),MONTH(B1352),1))</f>
        <v/>
      </c>
      <c r="AI1352" s="49">
        <f>IF(D1352="","",IFERROR(INDEX('CUSTOMERS'!$E$5:$E$404,MATCH(D1352,'CUSTOMERS'!$B$5:$B$404,0)),""))</f>
        <v/>
      </c>
      <c r="AJ1352" s="49">
        <f>IF(B1352="","",N(C1352))</f>
        <v/>
      </c>
      <c r="AK1352" s="49">
        <f>IF(OR(B1352="",O1352="Cancelled",O1352="Rescheduled"),"",B1352&amp;"|"&amp;(COUNTIFS('JOBS'!$B$5:$B$1504,B1352,'JOBS'!$AJ$5:$AJ$1504,"&lt;"&amp;AJ1352,'JOBS'!$O$5:$O$1504,"&lt;&gt;Cancelled",'JOBS'!$O$5:$O$1504,"&lt;&gt;Rescheduled")+COUNTIFS($B$5:B1352,B1352,$AJ$5:AJ1352,AJ1352,$O$5:O1352,"&lt;&gt;Cancelled",$O$5:O1352,"&lt;&gt;Rescheduled")))</f>
        <v/>
      </c>
      <c r="AL1352" s="49">
        <f>IF(N(U1352)&lt;=0.005,"",COUNTIFS('JOBS'!$U$5:$U$1504,"&gt;0.005",'JOBS'!$B$5:$B$1504,"&lt;"&amp;B1352)+COUNTIFS($U$5:U1352,"&gt;0.005",$B$5:B1352,B1352))</f>
        <v/>
      </c>
    </row>
    <row r="1353">
      <c r="A1353" s="46" t="inlineStr">
        <is>
          <t>J-1349</t>
        </is>
      </c>
      <c r="B1353" s="47" t="n"/>
      <c r="C1353" s="94" t="n"/>
      <c r="D1353" s="38" t="n"/>
      <c r="E1353" s="38" t="n"/>
      <c r="F1353" s="38" t="n"/>
      <c r="G1353" s="38" t="n"/>
      <c r="H1353" s="38" t="n"/>
      <c r="I1353" s="57" t="n"/>
      <c r="J1353" s="95" t="n"/>
      <c r="K1353" s="95" t="n"/>
      <c r="L1353" s="48" t="n"/>
      <c r="M1353" s="96" t="n"/>
      <c r="N1353" s="48" t="n"/>
      <c r="O1353" s="38" t="n"/>
      <c r="P1353" s="38" t="n"/>
      <c r="Q1353" s="97">
        <f>IF(OR(F1353="",E1353=""),"",IFERROR(IF(INDEX('PROPERTIES'!$F$5:$F$404,MATCH(E1353,'PROPERTIES'!$B$5:$B$404,0))=0,"",ROUND((INDEX('PROPERTIES'!$F$5:$F$404,MATCH(E1353,'PROPERTIES'!$B$5:$B$404,0))/INDEX('PRICING'!$C$7:$C$16,MATCH(F1353,'PRICING'!$A$7:$A$16,0))+INDEX('PROPERTIES'!$G$5:$G$404,MATCH(E1353,'PROPERTIES'!$B$5:$B$404,0))*INDEX('PRICING'!$D$7:$D$16,MATCH(F1353,'PRICING'!$A$7:$A$16,0))/60+INDEX('PROPERTIES'!$H$5:$H$404,MATCH(E1353,'PROPERTIES'!$B$5:$B$404,0))*INDEX('PRICING'!$E$7:$E$16,MATCH(F1353,'PRICING'!$A$7:$A$16,0))/60+INDEX('PRICING'!$F$7:$F$16,MATCH(F1353,'PRICING'!$A$7:$A$16,0))/60),2)),""))</f>
        <v/>
      </c>
      <c r="R1353" s="97">
        <f>IF(B1353="","",IF(N(K1353)&gt;0,K1353,IF(N(J1353)&gt;0,J1353,N(Q1353))))</f>
        <v/>
      </c>
      <c r="S1353" s="55">
        <f>IF(L1353="","",ROUND(L1353*(1+N(M1353)),2))</f>
        <v/>
      </c>
      <c r="T1353" s="55">
        <f>IF(B1353="","",SUMIFS('REVENUE'!$C$5:$C$1504,'REVENUE'!$B$5:$B$1504,A1353))</f>
        <v/>
      </c>
      <c r="U1353" s="55">
        <f>IF(B1353="","",IF(O1353="Completed",MAX(0,N(S1353)-T1353),""))</f>
        <v/>
      </c>
      <c r="V1353" s="49">
        <f>IF(B1353="","",IF(O1353&lt;&gt;"Completed",IF(T1353&gt;0,"Deposit","—"),IF(U1353&lt;=0.005,"Paid",IF(T1353&gt;0,"Partial","Unpaid"))))</f>
        <v/>
      </c>
      <c r="W1353" s="55">
        <f>IF(B1353="","",IFERROR(1/(1/INDEX('STAFF &amp; TASKS'!$C$5:$C$24,MATCH(H1353,'STAFF &amp; TASKS'!$A$5:$A$24,0))),PayRate))</f>
        <v/>
      </c>
      <c r="X1353" s="55">
        <f>IF(B1353="","",IF(OR(O1353="Cancelled",O1353="No-Show"),"",ROUND(R1353*W1353*(1+Burden),2)))</f>
        <v/>
      </c>
      <c r="Y1353" s="55">
        <f>IF(B1353="","",IF(OR(O1353="Cancelled",O1353="No-Show"),"",IF(N1353&lt;&gt;"",N1353,ROUND(R1353*SupHr*IFERROR(INDEX('PRICING'!$G$7:$G$16,MATCH(F1353,'PRICING'!$A$7:$A$16,0)),1),2))))</f>
        <v/>
      </c>
      <c r="Z1353" s="98">
        <f>IF(B1353="","",SUMIFS('MILEAGE'!$J$5:$J$1504,'MILEAGE'!$B$5:$B$1504,A1353))</f>
        <v/>
      </c>
      <c r="AA1353" s="55">
        <f>IF(B1353="","",ROUND(Z1353*MileRate,2))</f>
        <v/>
      </c>
      <c r="AB1353" s="55">
        <f>IF(B1353="","",SUMIFS('REVENUE'!$J$5:$J$1504,'REVENUE'!$B$5:$B$1504,A1353))</f>
        <v/>
      </c>
      <c r="AC1353" s="55">
        <f>IF(L1353="","",IF(OR(O1353="Cancelled",O1353="No-Show"),"",L1353-N(X1353)-N(Y1353)-AA1353-AB1353))</f>
        <v/>
      </c>
      <c r="AD1353" s="99">
        <f>IF(OR(AC1353="",N(L1353)=0),"",AC1353/L1353)</f>
        <v/>
      </c>
      <c r="AE1353" s="55">
        <f>IF(OR(AC1353="",N(R1353)=0),"",L1353/R1353)</f>
        <v/>
      </c>
      <c r="AF1353" s="100">
        <f>IF(OR(N(K1353)=0,N(J1353)+N(Q1353)=0),"",K1353-IF(N(J1353)&gt;0,J1353,Q1353))</f>
        <v/>
      </c>
      <c r="AG1353" s="99">
        <f>IF(B1353="","",IFERROR(AVERAGEIFS('QUALITY CONTROL'!$M$5:$M$304,'QUALITY CONTROL'!$B$5:$B$304,A1353),""))</f>
        <v/>
      </c>
      <c r="AH1353" s="51">
        <f>IF(B1353="","",DATE(YEAR(B1353),MONTH(B1353),1))</f>
        <v/>
      </c>
      <c r="AI1353" s="49">
        <f>IF(D1353="","",IFERROR(INDEX('CUSTOMERS'!$E$5:$E$404,MATCH(D1353,'CUSTOMERS'!$B$5:$B$404,0)),""))</f>
        <v/>
      </c>
      <c r="AJ1353" s="49">
        <f>IF(B1353="","",N(C1353))</f>
        <v/>
      </c>
      <c r="AK1353" s="49">
        <f>IF(OR(B1353="",O1353="Cancelled",O1353="Rescheduled"),"",B1353&amp;"|"&amp;(COUNTIFS('JOBS'!$B$5:$B$1504,B1353,'JOBS'!$AJ$5:$AJ$1504,"&lt;"&amp;AJ1353,'JOBS'!$O$5:$O$1504,"&lt;&gt;Cancelled",'JOBS'!$O$5:$O$1504,"&lt;&gt;Rescheduled")+COUNTIFS($B$5:B1353,B1353,$AJ$5:AJ1353,AJ1353,$O$5:O1353,"&lt;&gt;Cancelled",$O$5:O1353,"&lt;&gt;Rescheduled")))</f>
        <v/>
      </c>
      <c r="AL1353" s="49">
        <f>IF(N(U1353)&lt;=0.005,"",COUNTIFS('JOBS'!$U$5:$U$1504,"&gt;0.005",'JOBS'!$B$5:$B$1504,"&lt;"&amp;B1353)+COUNTIFS($U$5:U1353,"&gt;0.005",$B$5:B1353,B1353))</f>
        <v/>
      </c>
    </row>
    <row r="1354">
      <c r="A1354" s="46" t="inlineStr">
        <is>
          <t>J-1350</t>
        </is>
      </c>
      <c r="B1354" s="47" t="n"/>
      <c r="C1354" s="94" t="n"/>
      <c r="D1354" s="38" t="n"/>
      <c r="E1354" s="38" t="n"/>
      <c r="F1354" s="38" t="n"/>
      <c r="G1354" s="38" t="n"/>
      <c r="H1354" s="38" t="n"/>
      <c r="I1354" s="57" t="n"/>
      <c r="J1354" s="95" t="n"/>
      <c r="K1354" s="95" t="n"/>
      <c r="L1354" s="48" t="n"/>
      <c r="M1354" s="96" t="n"/>
      <c r="N1354" s="48" t="n"/>
      <c r="O1354" s="38" t="n"/>
      <c r="P1354" s="38" t="n"/>
      <c r="Q1354" s="97">
        <f>IF(OR(F1354="",E1354=""),"",IFERROR(IF(INDEX('PROPERTIES'!$F$5:$F$404,MATCH(E1354,'PROPERTIES'!$B$5:$B$404,0))=0,"",ROUND((INDEX('PROPERTIES'!$F$5:$F$404,MATCH(E1354,'PROPERTIES'!$B$5:$B$404,0))/INDEX('PRICING'!$C$7:$C$16,MATCH(F1354,'PRICING'!$A$7:$A$16,0))+INDEX('PROPERTIES'!$G$5:$G$404,MATCH(E1354,'PROPERTIES'!$B$5:$B$404,0))*INDEX('PRICING'!$D$7:$D$16,MATCH(F1354,'PRICING'!$A$7:$A$16,0))/60+INDEX('PROPERTIES'!$H$5:$H$404,MATCH(E1354,'PROPERTIES'!$B$5:$B$404,0))*INDEX('PRICING'!$E$7:$E$16,MATCH(F1354,'PRICING'!$A$7:$A$16,0))/60+INDEX('PRICING'!$F$7:$F$16,MATCH(F1354,'PRICING'!$A$7:$A$16,0))/60),2)),""))</f>
        <v/>
      </c>
      <c r="R1354" s="97">
        <f>IF(B1354="","",IF(N(K1354)&gt;0,K1354,IF(N(J1354)&gt;0,J1354,N(Q1354))))</f>
        <v/>
      </c>
      <c r="S1354" s="55">
        <f>IF(L1354="","",ROUND(L1354*(1+N(M1354)),2))</f>
        <v/>
      </c>
      <c r="T1354" s="55">
        <f>IF(B1354="","",SUMIFS('REVENUE'!$C$5:$C$1504,'REVENUE'!$B$5:$B$1504,A1354))</f>
        <v/>
      </c>
      <c r="U1354" s="55">
        <f>IF(B1354="","",IF(O1354="Completed",MAX(0,N(S1354)-T1354),""))</f>
        <v/>
      </c>
      <c r="V1354" s="49">
        <f>IF(B1354="","",IF(O1354&lt;&gt;"Completed",IF(T1354&gt;0,"Deposit","—"),IF(U1354&lt;=0.005,"Paid",IF(T1354&gt;0,"Partial","Unpaid"))))</f>
        <v/>
      </c>
      <c r="W1354" s="55">
        <f>IF(B1354="","",IFERROR(1/(1/INDEX('STAFF &amp; TASKS'!$C$5:$C$24,MATCH(H1354,'STAFF &amp; TASKS'!$A$5:$A$24,0))),PayRate))</f>
        <v/>
      </c>
      <c r="X1354" s="55">
        <f>IF(B1354="","",IF(OR(O1354="Cancelled",O1354="No-Show"),"",ROUND(R1354*W1354*(1+Burden),2)))</f>
        <v/>
      </c>
      <c r="Y1354" s="55">
        <f>IF(B1354="","",IF(OR(O1354="Cancelled",O1354="No-Show"),"",IF(N1354&lt;&gt;"",N1354,ROUND(R1354*SupHr*IFERROR(INDEX('PRICING'!$G$7:$G$16,MATCH(F1354,'PRICING'!$A$7:$A$16,0)),1),2))))</f>
        <v/>
      </c>
      <c r="Z1354" s="98">
        <f>IF(B1354="","",SUMIFS('MILEAGE'!$J$5:$J$1504,'MILEAGE'!$B$5:$B$1504,A1354))</f>
        <v/>
      </c>
      <c r="AA1354" s="55">
        <f>IF(B1354="","",ROUND(Z1354*MileRate,2))</f>
        <v/>
      </c>
      <c r="AB1354" s="55">
        <f>IF(B1354="","",SUMIFS('REVENUE'!$J$5:$J$1504,'REVENUE'!$B$5:$B$1504,A1354))</f>
        <v/>
      </c>
      <c r="AC1354" s="55">
        <f>IF(L1354="","",IF(OR(O1354="Cancelled",O1354="No-Show"),"",L1354-N(X1354)-N(Y1354)-AA1354-AB1354))</f>
        <v/>
      </c>
      <c r="AD1354" s="99">
        <f>IF(OR(AC1354="",N(L1354)=0),"",AC1354/L1354)</f>
        <v/>
      </c>
      <c r="AE1354" s="55">
        <f>IF(OR(AC1354="",N(R1354)=0),"",L1354/R1354)</f>
        <v/>
      </c>
      <c r="AF1354" s="100">
        <f>IF(OR(N(K1354)=0,N(J1354)+N(Q1354)=0),"",K1354-IF(N(J1354)&gt;0,J1354,Q1354))</f>
        <v/>
      </c>
      <c r="AG1354" s="99">
        <f>IF(B1354="","",IFERROR(AVERAGEIFS('QUALITY CONTROL'!$M$5:$M$304,'QUALITY CONTROL'!$B$5:$B$304,A1354),""))</f>
        <v/>
      </c>
      <c r="AH1354" s="51">
        <f>IF(B1354="","",DATE(YEAR(B1354),MONTH(B1354),1))</f>
        <v/>
      </c>
      <c r="AI1354" s="49">
        <f>IF(D1354="","",IFERROR(INDEX('CUSTOMERS'!$E$5:$E$404,MATCH(D1354,'CUSTOMERS'!$B$5:$B$404,0)),""))</f>
        <v/>
      </c>
      <c r="AJ1354" s="49">
        <f>IF(B1354="","",N(C1354))</f>
        <v/>
      </c>
      <c r="AK1354" s="49">
        <f>IF(OR(B1354="",O1354="Cancelled",O1354="Rescheduled"),"",B1354&amp;"|"&amp;(COUNTIFS('JOBS'!$B$5:$B$1504,B1354,'JOBS'!$AJ$5:$AJ$1504,"&lt;"&amp;AJ1354,'JOBS'!$O$5:$O$1504,"&lt;&gt;Cancelled",'JOBS'!$O$5:$O$1504,"&lt;&gt;Rescheduled")+COUNTIFS($B$5:B1354,B1354,$AJ$5:AJ1354,AJ1354,$O$5:O1354,"&lt;&gt;Cancelled",$O$5:O1354,"&lt;&gt;Rescheduled")))</f>
        <v/>
      </c>
      <c r="AL1354" s="49">
        <f>IF(N(U1354)&lt;=0.005,"",COUNTIFS('JOBS'!$U$5:$U$1504,"&gt;0.005",'JOBS'!$B$5:$B$1504,"&lt;"&amp;B1354)+COUNTIFS($U$5:U1354,"&gt;0.005",$B$5:B1354,B1354))</f>
        <v/>
      </c>
    </row>
    <row r="1355">
      <c r="A1355" s="46" t="inlineStr">
        <is>
          <t>J-1351</t>
        </is>
      </c>
      <c r="B1355" s="47" t="n"/>
      <c r="C1355" s="94" t="n"/>
      <c r="D1355" s="38" t="n"/>
      <c r="E1355" s="38" t="n"/>
      <c r="F1355" s="38" t="n"/>
      <c r="G1355" s="38" t="n"/>
      <c r="H1355" s="38" t="n"/>
      <c r="I1355" s="57" t="n"/>
      <c r="J1355" s="95" t="n"/>
      <c r="K1355" s="95" t="n"/>
      <c r="L1355" s="48" t="n"/>
      <c r="M1355" s="96" t="n"/>
      <c r="N1355" s="48" t="n"/>
      <c r="O1355" s="38" t="n"/>
      <c r="P1355" s="38" t="n"/>
      <c r="Q1355" s="97">
        <f>IF(OR(F1355="",E1355=""),"",IFERROR(IF(INDEX('PROPERTIES'!$F$5:$F$404,MATCH(E1355,'PROPERTIES'!$B$5:$B$404,0))=0,"",ROUND((INDEX('PROPERTIES'!$F$5:$F$404,MATCH(E1355,'PROPERTIES'!$B$5:$B$404,0))/INDEX('PRICING'!$C$7:$C$16,MATCH(F1355,'PRICING'!$A$7:$A$16,0))+INDEX('PROPERTIES'!$G$5:$G$404,MATCH(E1355,'PROPERTIES'!$B$5:$B$404,0))*INDEX('PRICING'!$D$7:$D$16,MATCH(F1355,'PRICING'!$A$7:$A$16,0))/60+INDEX('PROPERTIES'!$H$5:$H$404,MATCH(E1355,'PROPERTIES'!$B$5:$B$404,0))*INDEX('PRICING'!$E$7:$E$16,MATCH(F1355,'PRICING'!$A$7:$A$16,0))/60+INDEX('PRICING'!$F$7:$F$16,MATCH(F1355,'PRICING'!$A$7:$A$16,0))/60),2)),""))</f>
        <v/>
      </c>
      <c r="R1355" s="97">
        <f>IF(B1355="","",IF(N(K1355)&gt;0,K1355,IF(N(J1355)&gt;0,J1355,N(Q1355))))</f>
        <v/>
      </c>
      <c r="S1355" s="55">
        <f>IF(L1355="","",ROUND(L1355*(1+N(M1355)),2))</f>
        <v/>
      </c>
      <c r="T1355" s="55">
        <f>IF(B1355="","",SUMIFS('REVENUE'!$C$5:$C$1504,'REVENUE'!$B$5:$B$1504,A1355))</f>
        <v/>
      </c>
      <c r="U1355" s="55">
        <f>IF(B1355="","",IF(O1355="Completed",MAX(0,N(S1355)-T1355),""))</f>
        <v/>
      </c>
      <c r="V1355" s="49">
        <f>IF(B1355="","",IF(O1355&lt;&gt;"Completed",IF(T1355&gt;0,"Deposit","—"),IF(U1355&lt;=0.005,"Paid",IF(T1355&gt;0,"Partial","Unpaid"))))</f>
        <v/>
      </c>
      <c r="W1355" s="55">
        <f>IF(B1355="","",IFERROR(1/(1/INDEX('STAFF &amp; TASKS'!$C$5:$C$24,MATCH(H1355,'STAFF &amp; TASKS'!$A$5:$A$24,0))),PayRate))</f>
        <v/>
      </c>
      <c r="X1355" s="55">
        <f>IF(B1355="","",IF(OR(O1355="Cancelled",O1355="No-Show"),"",ROUND(R1355*W1355*(1+Burden),2)))</f>
        <v/>
      </c>
      <c r="Y1355" s="55">
        <f>IF(B1355="","",IF(OR(O1355="Cancelled",O1355="No-Show"),"",IF(N1355&lt;&gt;"",N1355,ROUND(R1355*SupHr*IFERROR(INDEX('PRICING'!$G$7:$G$16,MATCH(F1355,'PRICING'!$A$7:$A$16,0)),1),2))))</f>
        <v/>
      </c>
      <c r="Z1355" s="98">
        <f>IF(B1355="","",SUMIFS('MILEAGE'!$J$5:$J$1504,'MILEAGE'!$B$5:$B$1504,A1355))</f>
        <v/>
      </c>
      <c r="AA1355" s="55">
        <f>IF(B1355="","",ROUND(Z1355*MileRate,2))</f>
        <v/>
      </c>
      <c r="AB1355" s="55">
        <f>IF(B1355="","",SUMIFS('REVENUE'!$J$5:$J$1504,'REVENUE'!$B$5:$B$1504,A1355))</f>
        <v/>
      </c>
      <c r="AC1355" s="55">
        <f>IF(L1355="","",IF(OR(O1355="Cancelled",O1355="No-Show"),"",L1355-N(X1355)-N(Y1355)-AA1355-AB1355))</f>
        <v/>
      </c>
      <c r="AD1355" s="99">
        <f>IF(OR(AC1355="",N(L1355)=0),"",AC1355/L1355)</f>
        <v/>
      </c>
      <c r="AE1355" s="55">
        <f>IF(OR(AC1355="",N(R1355)=0),"",L1355/R1355)</f>
        <v/>
      </c>
      <c r="AF1355" s="100">
        <f>IF(OR(N(K1355)=0,N(J1355)+N(Q1355)=0),"",K1355-IF(N(J1355)&gt;0,J1355,Q1355))</f>
        <v/>
      </c>
      <c r="AG1355" s="99">
        <f>IF(B1355="","",IFERROR(AVERAGEIFS('QUALITY CONTROL'!$M$5:$M$304,'QUALITY CONTROL'!$B$5:$B$304,A1355),""))</f>
        <v/>
      </c>
      <c r="AH1355" s="51">
        <f>IF(B1355="","",DATE(YEAR(B1355),MONTH(B1355),1))</f>
        <v/>
      </c>
      <c r="AI1355" s="49">
        <f>IF(D1355="","",IFERROR(INDEX('CUSTOMERS'!$E$5:$E$404,MATCH(D1355,'CUSTOMERS'!$B$5:$B$404,0)),""))</f>
        <v/>
      </c>
      <c r="AJ1355" s="49">
        <f>IF(B1355="","",N(C1355))</f>
        <v/>
      </c>
      <c r="AK1355" s="49">
        <f>IF(OR(B1355="",O1355="Cancelled",O1355="Rescheduled"),"",B1355&amp;"|"&amp;(COUNTIFS('JOBS'!$B$5:$B$1504,B1355,'JOBS'!$AJ$5:$AJ$1504,"&lt;"&amp;AJ1355,'JOBS'!$O$5:$O$1504,"&lt;&gt;Cancelled",'JOBS'!$O$5:$O$1504,"&lt;&gt;Rescheduled")+COUNTIFS($B$5:B1355,B1355,$AJ$5:AJ1355,AJ1355,$O$5:O1355,"&lt;&gt;Cancelled",$O$5:O1355,"&lt;&gt;Rescheduled")))</f>
        <v/>
      </c>
      <c r="AL1355" s="49">
        <f>IF(N(U1355)&lt;=0.005,"",COUNTIFS('JOBS'!$U$5:$U$1504,"&gt;0.005",'JOBS'!$B$5:$B$1504,"&lt;"&amp;B1355)+COUNTIFS($U$5:U1355,"&gt;0.005",$B$5:B1355,B1355))</f>
        <v/>
      </c>
    </row>
    <row r="1356">
      <c r="A1356" s="46" t="inlineStr">
        <is>
          <t>J-1352</t>
        </is>
      </c>
      <c r="B1356" s="47" t="n"/>
      <c r="C1356" s="94" t="n"/>
      <c r="D1356" s="38" t="n"/>
      <c r="E1356" s="38" t="n"/>
      <c r="F1356" s="38" t="n"/>
      <c r="G1356" s="38" t="n"/>
      <c r="H1356" s="38" t="n"/>
      <c r="I1356" s="57" t="n"/>
      <c r="J1356" s="95" t="n"/>
      <c r="K1356" s="95" t="n"/>
      <c r="L1356" s="48" t="n"/>
      <c r="M1356" s="96" t="n"/>
      <c r="N1356" s="48" t="n"/>
      <c r="O1356" s="38" t="n"/>
      <c r="P1356" s="38" t="n"/>
      <c r="Q1356" s="97">
        <f>IF(OR(F1356="",E1356=""),"",IFERROR(IF(INDEX('PROPERTIES'!$F$5:$F$404,MATCH(E1356,'PROPERTIES'!$B$5:$B$404,0))=0,"",ROUND((INDEX('PROPERTIES'!$F$5:$F$404,MATCH(E1356,'PROPERTIES'!$B$5:$B$404,0))/INDEX('PRICING'!$C$7:$C$16,MATCH(F1356,'PRICING'!$A$7:$A$16,0))+INDEX('PROPERTIES'!$G$5:$G$404,MATCH(E1356,'PROPERTIES'!$B$5:$B$404,0))*INDEX('PRICING'!$D$7:$D$16,MATCH(F1356,'PRICING'!$A$7:$A$16,0))/60+INDEX('PROPERTIES'!$H$5:$H$404,MATCH(E1356,'PROPERTIES'!$B$5:$B$404,0))*INDEX('PRICING'!$E$7:$E$16,MATCH(F1356,'PRICING'!$A$7:$A$16,0))/60+INDEX('PRICING'!$F$7:$F$16,MATCH(F1356,'PRICING'!$A$7:$A$16,0))/60),2)),""))</f>
        <v/>
      </c>
      <c r="R1356" s="97">
        <f>IF(B1356="","",IF(N(K1356)&gt;0,K1356,IF(N(J1356)&gt;0,J1356,N(Q1356))))</f>
        <v/>
      </c>
      <c r="S1356" s="55">
        <f>IF(L1356="","",ROUND(L1356*(1+N(M1356)),2))</f>
        <v/>
      </c>
      <c r="T1356" s="55">
        <f>IF(B1356="","",SUMIFS('REVENUE'!$C$5:$C$1504,'REVENUE'!$B$5:$B$1504,A1356))</f>
        <v/>
      </c>
      <c r="U1356" s="55">
        <f>IF(B1356="","",IF(O1356="Completed",MAX(0,N(S1356)-T1356),""))</f>
        <v/>
      </c>
      <c r="V1356" s="49">
        <f>IF(B1356="","",IF(O1356&lt;&gt;"Completed",IF(T1356&gt;0,"Deposit","—"),IF(U1356&lt;=0.005,"Paid",IF(T1356&gt;0,"Partial","Unpaid"))))</f>
        <v/>
      </c>
      <c r="W1356" s="55">
        <f>IF(B1356="","",IFERROR(1/(1/INDEX('STAFF &amp; TASKS'!$C$5:$C$24,MATCH(H1356,'STAFF &amp; TASKS'!$A$5:$A$24,0))),PayRate))</f>
        <v/>
      </c>
      <c r="X1356" s="55">
        <f>IF(B1356="","",IF(OR(O1356="Cancelled",O1356="No-Show"),"",ROUND(R1356*W1356*(1+Burden),2)))</f>
        <v/>
      </c>
      <c r="Y1356" s="55">
        <f>IF(B1356="","",IF(OR(O1356="Cancelled",O1356="No-Show"),"",IF(N1356&lt;&gt;"",N1356,ROUND(R1356*SupHr*IFERROR(INDEX('PRICING'!$G$7:$G$16,MATCH(F1356,'PRICING'!$A$7:$A$16,0)),1),2))))</f>
        <v/>
      </c>
      <c r="Z1356" s="98">
        <f>IF(B1356="","",SUMIFS('MILEAGE'!$J$5:$J$1504,'MILEAGE'!$B$5:$B$1504,A1356))</f>
        <v/>
      </c>
      <c r="AA1356" s="55">
        <f>IF(B1356="","",ROUND(Z1356*MileRate,2))</f>
        <v/>
      </c>
      <c r="AB1356" s="55">
        <f>IF(B1356="","",SUMIFS('REVENUE'!$J$5:$J$1504,'REVENUE'!$B$5:$B$1504,A1356))</f>
        <v/>
      </c>
      <c r="AC1356" s="55">
        <f>IF(L1356="","",IF(OR(O1356="Cancelled",O1356="No-Show"),"",L1356-N(X1356)-N(Y1356)-AA1356-AB1356))</f>
        <v/>
      </c>
      <c r="AD1356" s="99">
        <f>IF(OR(AC1356="",N(L1356)=0),"",AC1356/L1356)</f>
        <v/>
      </c>
      <c r="AE1356" s="55">
        <f>IF(OR(AC1356="",N(R1356)=0),"",L1356/R1356)</f>
        <v/>
      </c>
      <c r="AF1356" s="100">
        <f>IF(OR(N(K1356)=0,N(J1356)+N(Q1356)=0),"",K1356-IF(N(J1356)&gt;0,J1356,Q1356))</f>
        <v/>
      </c>
      <c r="AG1356" s="99">
        <f>IF(B1356="","",IFERROR(AVERAGEIFS('QUALITY CONTROL'!$M$5:$M$304,'QUALITY CONTROL'!$B$5:$B$304,A1356),""))</f>
        <v/>
      </c>
      <c r="AH1356" s="51">
        <f>IF(B1356="","",DATE(YEAR(B1356),MONTH(B1356),1))</f>
        <v/>
      </c>
      <c r="AI1356" s="49">
        <f>IF(D1356="","",IFERROR(INDEX('CUSTOMERS'!$E$5:$E$404,MATCH(D1356,'CUSTOMERS'!$B$5:$B$404,0)),""))</f>
        <v/>
      </c>
      <c r="AJ1356" s="49">
        <f>IF(B1356="","",N(C1356))</f>
        <v/>
      </c>
      <c r="AK1356" s="49">
        <f>IF(OR(B1356="",O1356="Cancelled",O1356="Rescheduled"),"",B1356&amp;"|"&amp;(COUNTIFS('JOBS'!$B$5:$B$1504,B1356,'JOBS'!$AJ$5:$AJ$1504,"&lt;"&amp;AJ1356,'JOBS'!$O$5:$O$1504,"&lt;&gt;Cancelled",'JOBS'!$O$5:$O$1504,"&lt;&gt;Rescheduled")+COUNTIFS($B$5:B1356,B1356,$AJ$5:AJ1356,AJ1356,$O$5:O1356,"&lt;&gt;Cancelled",$O$5:O1356,"&lt;&gt;Rescheduled")))</f>
        <v/>
      </c>
      <c r="AL1356" s="49">
        <f>IF(N(U1356)&lt;=0.005,"",COUNTIFS('JOBS'!$U$5:$U$1504,"&gt;0.005",'JOBS'!$B$5:$B$1504,"&lt;"&amp;B1356)+COUNTIFS($U$5:U1356,"&gt;0.005",$B$5:B1356,B1356))</f>
        <v/>
      </c>
    </row>
    <row r="1357">
      <c r="A1357" s="46" t="inlineStr">
        <is>
          <t>J-1353</t>
        </is>
      </c>
      <c r="B1357" s="47" t="n"/>
      <c r="C1357" s="94" t="n"/>
      <c r="D1357" s="38" t="n"/>
      <c r="E1357" s="38" t="n"/>
      <c r="F1357" s="38" t="n"/>
      <c r="G1357" s="38" t="n"/>
      <c r="H1357" s="38" t="n"/>
      <c r="I1357" s="57" t="n"/>
      <c r="J1357" s="95" t="n"/>
      <c r="K1357" s="95" t="n"/>
      <c r="L1357" s="48" t="n"/>
      <c r="M1357" s="96" t="n"/>
      <c r="N1357" s="48" t="n"/>
      <c r="O1357" s="38" t="n"/>
      <c r="P1357" s="38" t="n"/>
      <c r="Q1357" s="97">
        <f>IF(OR(F1357="",E1357=""),"",IFERROR(IF(INDEX('PROPERTIES'!$F$5:$F$404,MATCH(E1357,'PROPERTIES'!$B$5:$B$404,0))=0,"",ROUND((INDEX('PROPERTIES'!$F$5:$F$404,MATCH(E1357,'PROPERTIES'!$B$5:$B$404,0))/INDEX('PRICING'!$C$7:$C$16,MATCH(F1357,'PRICING'!$A$7:$A$16,0))+INDEX('PROPERTIES'!$G$5:$G$404,MATCH(E1357,'PROPERTIES'!$B$5:$B$404,0))*INDEX('PRICING'!$D$7:$D$16,MATCH(F1357,'PRICING'!$A$7:$A$16,0))/60+INDEX('PROPERTIES'!$H$5:$H$404,MATCH(E1357,'PROPERTIES'!$B$5:$B$404,0))*INDEX('PRICING'!$E$7:$E$16,MATCH(F1357,'PRICING'!$A$7:$A$16,0))/60+INDEX('PRICING'!$F$7:$F$16,MATCH(F1357,'PRICING'!$A$7:$A$16,0))/60),2)),""))</f>
        <v/>
      </c>
      <c r="R1357" s="97">
        <f>IF(B1357="","",IF(N(K1357)&gt;0,K1357,IF(N(J1357)&gt;0,J1357,N(Q1357))))</f>
        <v/>
      </c>
      <c r="S1357" s="55">
        <f>IF(L1357="","",ROUND(L1357*(1+N(M1357)),2))</f>
        <v/>
      </c>
      <c r="T1357" s="55">
        <f>IF(B1357="","",SUMIFS('REVENUE'!$C$5:$C$1504,'REVENUE'!$B$5:$B$1504,A1357))</f>
        <v/>
      </c>
      <c r="U1357" s="55">
        <f>IF(B1357="","",IF(O1357="Completed",MAX(0,N(S1357)-T1357),""))</f>
        <v/>
      </c>
      <c r="V1357" s="49">
        <f>IF(B1357="","",IF(O1357&lt;&gt;"Completed",IF(T1357&gt;0,"Deposit","—"),IF(U1357&lt;=0.005,"Paid",IF(T1357&gt;0,"Partial","Unpaid"))))</f>
        <v/>
      </c>
      <c r="W1357" s="55">
        <f>IF(B1357="","",IFERROR(1/(1/INDEX('STAFF &amp; TASKS'!$C$5:$C$24,MATCH(H1357,'STAFF &amp; TASKS'!$A$5:$A$24,0))),PayRate))</f>
        <v/>
      </c>
      <c r="X1357" s="55">
        <f>IF(B1357="","",IF(OR(O1357="Cancelled",O1357="No-Show"),"",ROUND(R1357*W1357*(1+Burden),2)))</f>
        <v/>
      </c>
      <c r="Y1357" s="55">
        <f>IF(B1357="","",IF(OR(O1357="Cancelled",O1357="No-Show"),"",IF(N1357&lt;&gt;"",N1357,ROUND(R1357*SupHr*IFERROR(INDEX('PRICING'!$G$7:$G$16,MATCH(F1357,'PRICING'!$A$7:$A$16,0)),1),2))))</f>
        <v/>
      </c>
      <c r="Z1357" s="98">
        <f>IF(B1357="","",SUMIFS('MILEAGE'!$J$5:$J$1504,'MILEAGE'!$B$5:$B$1504,A1357))</f>
        <v/>
      </c>
      <c r="AA1357" s="55">
        <f>IF(B1357="","",ROUND(Z1357*MileRate,2))</f>
        <v/>
      </c>
      <c r="AB1357" s="55">
        <f>IF(B1357="","",SUMIFS('REVENUE'!$J$5:$J$1504,'REVENUE'!$B$5:$B$1504,A1357))</f>
        <v/>
      </c>
      <c r="AC1357" s="55">
        <f>IF(L1357="","",IF(OR(O1357="Cancelled",O1357="No-Show"),"",L1357-N(X1357)-N(Y1357)-AA1357-AB1357))</f>
        <v/>
      </c>
      <c r="AD1357" s="99">
        <f>IF(OR(AC1357="",N(L1357)=0),"",AC1357/L1357)</f>
        <v/>
      </c>
      <c r="AE1357" s="55">
        <f>IF(OR(AC1357="",N(R1357)=0),"",L1357/R1357)</f>
        <v/>
      </c>
      <c r="AF1357" s="100">
        <f>IF(OR(N(K1357)=0,N(J1357)+N(Q1357)=0),"",K1357-IF(N(J1357)&gt;0,J1357,Q1357))</f>
        <v/>
      </c>
      <c r="AG1357" s="99">
        <f>IF(B1357="","",IFERROR(AVERAGEIFS('QUALITY CONTROL'!$M$5:$M$304,'QUALITY CONTROL'!$B$5:$B$304,A1357),""))</f>
        <v/>
      </c>
      <c r="AH1357" s="51">
        <f>IF(B1357="","",DATE(YEAR(B1357),MONTH(B1357),1))</f>
        <v/>
      </c>
      <c r="AI1357" s="49">
        <f>IF(D1357="","",IFERROR(INDEX('CUSTOMERS'!$E$5:$E$404,MATCH(D1357,'CUSTOMERS'!$B$5:$B$404,0)),""))</f>
        <v/>
      </c>
      <c r="AJ1357" s="49">
        <f>IF(B1357="","",N(C1357))</f>
        <v/>
      </c>
      <c r="AK1357" s="49">
        <f>IF(OR(B1357="",O1357="Cancelled",O1357="Rescheduled"),"",B1357&amp;"|"&amp;(COUNTIFS('JOBS'!$B$5:$B$1504,B1357,'JOBS'!$AJ$5:$AJ$1504,"&lt;"&amp;AJ1357,'JOBS'!$O$5:$O$1504,"&lt;&gt;Cancelled",'JOBS'!$O$5:$O$1504,"&lt;&gt;Rescheduled")+COUNTIFS($B$5:B1357,B1357,$AJ$5:AJ1357,AJ1357,$O$5:O1357,"&lt;&gt;Cancelled",$O$5:O1357,"&lt;&gt;Rescheduled")))</f>
        <v/>
      </c>
      <c r="AL1357" s="49">
        <f>IF(N(U1357)&lt;=0.005,"",COUNTIFS('JOBS'!$U$5:$U$1504,"&gt;0.005",'JOBS'!$B$5:$B$1504,"&lt;"&amp;B1357)+COUNTIFS($U$5:U1357,"&gt;0.005",$B$5:B1357,B1357))</f>
        <v/>
      </c>
    </row>
    <row r="1358">
      <c r="A1358" s="46" t="inlineStr">
        <is>
          <t>J-1354</t>
        </is>
      </c>
      <c r="B1358" s="47" t="n"/>
      <c r="C1358" s="94" t="n"/>
      <c r="D1358" s="38" t="n"/>
      <c r="E1358" s="38" t="n"/>
      <c r="F1358" s="38" t="n"/>
      <c r="G1358" s="38" t="n"/>
      <c r="H1358" s="38" t="n"/>
      <c r="I1358" s="57" t="n"/>
      <c r="J1358" s="95" t="n"/>
      <c r="K1358" s="95" t="n"/>
      <c r="L1358" s="48" t="n"/>
      <c r="M1358" s="96" t="n"/>
      <c r="N1358" s="48" t="n"/>
      <c r="O1358" s="38" t="n"/>
      <c r="P1358" s="38" t="n"/>
      <c r="Q1358" s="97">
        <f>IF(OR(F1358="",E1358=""),"",IFERROR(IF(INDEX('PROPERTIES'!$F$5:$F$404,MATCH(E1358,'PROPERTIES'!$B$5:$B$404,0))=0,"",ROUND((INDEX('PROPERTIES'!$F$5:$F$404,MATCH(E1358,'PROPERTIES'!$B$5:$B$404,0))/INDEX('PRICING'!$C$7:$C$16,MATCH(F1358,'PRICING'!$A$7:$A$16,0))+INDEX('PROPERTIES'!$G$5:$G$404,MATCH(E1358,'PROPERTIES'!$B$5:$B$404,0))*INDEX('PRICING'!$D$7:$D$16,MATCH(F1358,'PRICING'!$A$7:$A$16,0))/60+INDEX('PROPERTIES'!$H$5:$H$404,MATCH(E1358,'PROPERTIES'!$B$5:$B$404,0))*INDEX('PRICING'!$E$7:$E$16,MATCH(F1358,'PRICING'!$A$7:$A$16,0))/60+INDEX('PRICING'!$F$7:$F$16,MATCH(F1358,'PRICING'!$A$7:$A$16,0))/60),2)),""))</f>
        <v/>
      </c>
      <c r="R1358" s="97">
        <f>IF(B1358="","",IF(N(K1358)&gt;0,K1358,IF(N(J1358)&gt;0,J1358,N(Q1358))))</f>
        <v/>
      </c>
      <c r="S1358" s="55">
        <f>IF(L1358="","",ROUND(L1358*(1+N(M1358)),2))</f>
        <v/>
      </c>
      <c r="T1358" s="55">
        <f>IF(B1358="","",SUMIFS('REVENUE'!$C$5:$C$1504,'REVENUE'!$B$5:$B$1504,A1358))</f>
        <v/>
      </c>
      <c r="U1358" s="55">
        <f>IF(B1358="","",IF(O1358="Completed",MAX(0,N(S1358)-T1358),""))</f>
        <v/>
      </c>
      <c r="V1358" s="49">
        <f>IF(B1358="","",IF(O1358&lt;&gt;"Completed",IF(T1358&gt;0,"Deposit","—"),IF(U1358&lt;=0.005,"Paid",IF(T1358&gt;0,"Partial","Unpaid"))))</f>
        <v/>
      </c>
      <c r="W1358" s="55">
        <f>IF(B1358="","",IFERROR(1/(1/INDEX('STAFF &amp; TASKS'!$C$5:$C$24,MATCH(H1358,'STAFF &amp; TASKS'!$A$5:$A$24,0))),PayRate))</f>
        <v/>
      </c>
      <c r="X1358" s="55">
        <f>IF(B1358="","",IF(OR(O1358="Cancelled",O1358="No-Show"),"",ROUND(R1358*W1358*(1+Burden),2)))</f>
        <v/>
      </c>
      <c r="Y1358" s="55">
        <f>IF(B1358="","",IF(OR(O1358="Cancelled",O1358="No-Show"),"",IF(N1358&lt;&gt;"",N1358,ROUND(R1358*SupHr*IFERROR(INDEX('PRICING'!$G$7:$G$16,MATCH(F1358,'PRICING'!$A$7:$A$16,0)),1),2))))</f>
        <v/>
      </c>
      <c r="Z1358" s="98">
        <f>IF(B1358="","",SUMIFS('MILEAGE'!$J$5:$J$1504,'MILEAGE'!$B$5:$B$1504,A1358))</f>
        <v/>
      </c>
      <c r="AA1358" s="55">
        <f>IF(B1358="","",ROUND(Z1358*MileRate,2))</f>
        <v/>
      </c>
      <c r="AB1358" s="55">
        <f>IF(B1358="","",SUMIFS('REVENUE'!$J$5:$J$1504,'REVENUE'!$B$5:$B$1504,A1358))</f>
        <v/>
      </c>
      <c r="AC1358" s="55">
        <f>IF(L1358="","",IF(OR(O1358="Cancelled",O1358="No-Show"),"",L1358-N(X1358)-N(Y1358)-AA1358-AB1358))</f>
        <v/>
      </c>
      <c r="AD1358" s="99">
        <f>IF(OR(AC1358="",N(L1358)=0),"",AC1358/L1358)</f>
        <v/>
      </c>
      <c r="AE1358" s="55">
        <f>IF(OR(AC1358="",N(R1358)=0),"",L1358/R1358)</f>
        <v/>
      </c>
      <c r="AF1358" s="100">
        <f>IF(OR(N(K1358)=0,N(J1358)+N(Q1358)=0),"",K1358-IF(N(J1358)&gt;0,J1358,Q1358))</f>
        <v/>
      </c>
      <c r="AG1358" s="99">
        <f>IF(B1358="","",IFERROR(AVERAGEIFS('QUALITY CONTROL'!$M$5:$M$304,'QUALITY CONTROL'!$B$5:$B$304,A1358),""))</f>
        <v/>
      </c>
      <c r="AH1358" s="51">
        <f>IF(B1358="","",DATE(YEAR(B1358),MONTH(B1358),1))</f>
        <v/>
      </c>
      <c r="AI1358" s="49">
        <f>IF(D1358="","",IFERROR(INDEX('CUSTOMERS'!$E$5:$E$404,MATCH(D1358,'CUSTOMERS'!$B$5:$B$404,0)),""))</f>
        <v/>
      </c>
      <c r="AJ1358" s="49">
        <f>IF(B1358="","",N(C1358))</f>
        <v/>
      </c>
      <c r="AK1358" s="49">
        <f>IF(OR(B1358="",O1358="Cancelled",O1358="Rescheduled"),"",B1358&amp;"|"&amp;(COUNTIFS('JOBS'!$B$5:$B$1504,B1358,'JOBS'!$AJ$5:$AJ$1504,"&lt;"&amp;AJ1358,'JOBS'!$O$5:$O$1504,"&lt;&gt;Cancelled",'JOBS'!$O$5:$O$1504,"&lt;&gt;Rescheduled")+COUNTIFS($B$5:B1358,B1358,$AJ$5:AJ1358,AJ1358,$O$5:O1358,"&lt;&gt;Cancelled",$O$5:O1358,"&lt;&gt;Rescheduled")))</f>
        <v/>
      </c>
      <c r="AL1358" s="49">
        <f>IF(N(U1358)&lt;=0.005,"",COUNTIFS('JOBS'!$U$5:$U$1504,"&gt;0.005",'JOBS'!$B$5:$B$1504,"&lt;"&amp;B1358)+COUNTIFS($U$5:U1358,"&gt;0.005",$B$5:B1358,B1358))</f>
        <v/>
      </c>
    </row>
    <row r="1359">
      <c r="A1359" s="46" t="inlineStr">
        <is>
          <t>J-1355</t>
        </is>
      </c>
      <c r="B1359" s="47" t="n"/>
      <c r="C1359" s="94" t="n"/>
      <c r="D1359" s="38" t="n"/>
      <c r="E1359" s="38" t="n"/>
      <c r="F1359" s="38" t="n"/>
      <c r="G1359" s="38" t="n"/>
      <c r="H1359" s="38" t="n"/>
      <c r="I1359" s="57" t="n"/>
      <c r="J1359" s="95" t="n"/>
      <c r="K1359" s="95" t="n"/>
      <c r="L1359" s="48" t="n"/>
      <c r="M1359" s="96" t="n"/>
      <c r="N1359" s="48" t="n"/>
      <c r="O1359" s="38" t="n"/>
      <c r="P1359" s="38" t="n"/>
      <c r="Q1359" s="97">
        <f>IF(OR(F1359="",E1359=""),"",IFERROR(IF(INDEX('PROPERTIES'!$F$5:$F$404,MATCH(E1359,'PROPERTIES'!$B$5:$B$404,0))=0,"",ROUND((INDEX('PROPERTIES'!$F$5:$F$404,MATCH(E1359,'PROPERTIES'!$B$5:$B$404,0))/INDEX('PRICING'!$C$7:$C$16,MATCH(F1359,'PRICING'!$A$7:$A$16,0))+INDEX('PROPERTIES'!$G$5:$G$404,MATCH(E1359,'PROPERTIES'!$B$5:$B$404,0))*INDEX('PRICING'!$D$7:$D$16,MATCH(F1359,'PRICING'!$A$7:$A$16,0))/60+INDEX('PROPERTIES'!$H$5:$H$404,MATCH(E1359,'PROPERTIES'!$B$5:$B$404,0))*INDEX('PRICING'!$E$7:$E$16,MATCH(F1359,'PRICING'!$A$7:$A$16,0))/60+INDEX('PRICING'!$F$7:$F$16,MATCH(F1359,'PRICING'!$A$7:$A$16,0))/60),2)),""))</f>
        <v/>
      </c>
      <c r="R1359" s="97">
        <f>IF(B1359="","",IF(N(K1359)&gt;0,K1359,IF(N(J1359)&gt;0,J1359,N(Q1359))))</f>
        <v/>
      </c>
      <c r="S1359" s="55">
        <f>IF(L1359="","",ROUND(L1359*(1+N(M1359)),2))</f>
        <v/>
      </c>
      <c r="T1359" s="55">
        <f>IF(B1359="","",SUMIFS('REVENUE'!$C$5:$C$1504,'REVENUE'!$B$5:$B$1504,A1359))</f>
        <v/>
      </c>
      <c r="U1359" s="55">
        <f>IF(B1359="","",IF(O1359="Completed",MAX(0,N(S1359)-T1359),""))</f>
        <v/>
      </c>
      <c r="V1359" s="49">
        <f>IF(B1359="","",IF(O1359&lt;&gt;"Completed",IF(T1359&gt;0,"Deposit","—"),IF(U1359&lt;=0.005,"Paid",IF(T1359&gt;0,"Partial","Unpaid"))))</f>
        <v/>
      </c>
      <c r="W1359" s="55">
        <f>IF(B1359="","",IFERROR(1/(1/INDEX('STAFF &amp; TASKS'!$C$5:$C$24,MATCH(H1359,'STAFF &amp; TASKS'!$A$5:$A$24,0))),PayRate))</f>
        <v/>
      </c>
      <c r="X1359" s="55">
        <f>IF(B1359="","",IF(OR(O1359="Cancelled",O1359="No-Show"),"",ROUND(R1359*W1359*(1+Burden),2)))</f>
        <v/>
      </c>
      <c r="Y1359" s="55">
        <f>IF(B1359="","",IF(OR(O1359="Cancelled",O1359="No-Show"),"",IF(N1359&lt;&gt;"",N1359,ROUND(R1359*SupHr*IFERROR(INDEX('PRICING'!$G$7:$G$16,MATCH(F1359,'PRICING'!$A$7:$A$16,0)),1),2))))</f>
        <v/>
      </c>
      <c r="Z1359" s="98">
        <f>IF(B1359="","",SUMIFS('MILEAGE'!$J$5:$J$1504,'MILEAGE'!$B$5:$B$1504,A1359))</f>
        <v/>
      </c>
      <c r="AA1359" s="55">
        <f>IF(B1359="","",ROUND(Z1359*MileRate,2))</f>
        <v/>
      </c>
      <c r="AB1359" s="55">
        <f>IF(B1359="","",SUMIFS('REVENUE'!$J$5:$J$1504,'REVENUE'!$B$5:$B$1504,A1359))</f>
        <v/>
      </c>
      <c r="AC1359" s="55">
        <f>IF(L1359="","",IF(OR(O1359="Cancelled",O1359="No-Show"),"",L1359-N(X1359)-N(Y1359)-AA1359-AB1359))</f>
        <v/>
      </c>
      <c r="AD1359" s="99">
        <f>IF(OR(AC1359="",N(L1359)=0),"",AC1359/L1359)</f>
        <v/>
      </c>
      <c r="AE1359" s="55">
        <f>IF(OR(AC1359="",N(R1359)=0),"",L1359/R1359)</f>
        <v/>
      </c>
      <c r="AF1359" s="100">
        <f>IF(OR(N(K1359)=0,N(J1359)+N(Q1359)=0),"",K1359-IF(N(J1359)&gt;0,J1359,Q1359))</f>
        <v/>
      </c>
      <c r="AG1359" s="99">
        <f>IF(B1359="","",IFERROR(AVERAGEIFS('QUALITY CONTROL'!$M$5:$M$304,'QUALITY CONTROL'!$B$5:$B$304,A1359),""))</f>
        <v/>
      </c>
      <c r="AH1359" s="51">
        <f>IF(B1359="","",DATE(YEAR(B1359),MONTH(B1359),1))</f>
        <v/>
      </c>
      <c r="AI1359" s="49">
        <f>IF(D1359="","",IFERROR(INDEX('CUSTOMERS'!$E$5:$E$404,MATCH(D1359,'CUSTOMERS'!$B$5:$B$404,0)),""))</f>
        <v/>
      </c>
      <c r="AJ1359" s="49">
        <f>IF(B1359="","",N(C1359))</f>
        <v/>
      </c>
      <c r="AK1359" s="49">
        <f>IF(OR(B1359="",O1359="Cancelled",O1359="Rescheduled"),"",B1359&amp;"|"&amp;(COUNTIFS('JOBS'!$B$5:$B$1504,B1359,'JOBS'!$AJ$5:$AJ$1504,"&lt;"&amp;AJ1359,'JOBS'!$O$5:$O$1504,"&lt;&gt;Cancelled",'JOBS'!$O$5:$O$1504,"&lt;&gt;Rescheduled")+COUNTIFS($B$5:B1359,B1359,$AJ$5:AJ1359,AJ1359,$O$5:O1359,"&lt;&gt;Cancelled",$O$5:O1359,"&lt;&gt;Rescheduled")))</f>
        <v/>
      </c>
      <c r="AL1359" s="49">
        <f>IF(N(U1359)&lt;=0.005,"",COUNTIFS('JOBS'!$U$5:$U$1504,"&gt;0.005",'JOBS'!$B$5:$B$1504,"&lt;"&amp;B1359)+COUNTIFS($U$5:U1359,"&gt;0.005",$B$5:B1359,B1359))</f>
        <v/>
      </c>
    </row>
    <row r="1360">
      <c r="A1360" s="46" t="inlineStr">
        <is>
          <t>J-1356</t>
        </is>
      </c>
      <c r="B1360" s="47" t="n"/>
      <c r="C1360" s="94" t="n"/>
      <c r="D1360" s="38" t="n"/>
      <c r="E1360" s="38" t="n"/>
      <c r="F1360" s="38" t="n"/>
      <c r="G1360" s="38" t="n"/>
      <c r="H1360" s="38" t="n"/>
      <c r="I1360" s="57" t="n"/>
      <c r="J1360" s="95" t="n"/>
      <c r="K1360" s="95" t="n"/>
      <c r="L1360" s="48" t="n"/>
      <c r="M1360" s="96" t="n"/>
      <c r="N1360" s="48" t="n"/>
      <c r="O1360" s="38" t="n"/>
      <c r="P1360" s="38" t="n"/>
      <c r="Q1360" s="97">
        <f>IF(OR(F1360="",E1360=""),"",IFERROR(IF(INDEX('PROPERTIES'!$F$5:$F$404,MATCH(E1360,'PROPERTIES'!$B$5:$B$404,0))=0,"",ROUND((INDEX('PROPERTIES'!$F$5:$F$404,MATCH(E1360,'PROPERTIES'!$B$5:$B$404,0))/INDEX('PRICING'!$C$7:$C$16,MATCH(F1360,'PRICING'!$A$7:$A$16,0))+INDEX('PROPERTIES'!$G$5:$G$404,MATCH(E1360,'PROPERTIES'!$B$5:$B$404,0))*INDEX('PRICING'!$D$7:$D$16,MATCH(F1360,'PRICING'!$A$7:$A$16,0))/60+INDEX('PROPERTIES'!$H$5:$H$404,MATCH(E1360,'PROPERTIES'!$B$5:$B$404,0))*INDEX('PRICING'!$E$7:$E$16,MATCH(F1360,'PRICING'!$A$7:$A$16,0))/60+INDEX('PRICING'!$F$7:$F$16,MATCH(F1360,'PRICING'!$A$7:$A$16,0))/60),2)),""))</f>
        <v/>
      </c>
      <c r="R1360" s="97">
        <f>IF(B1360="","",IF(N(K1360)&gt;0,K1360,IF(N(J1360)&gt;0,J1360,N(Q1360))))</f>
        <v/>
      </c>
      <c r="S1360" s="55">
        <f>IF(L1360="","",ROUND(L1360*(1+N(M1360)),2))</f>
        <v/>
      </c>
      <c r="T1360" s="55">
        <f>IF(B1360="","",SUMIFS('REVENUE'!$C$5:$C$1504,'REVENUE'!$B$5:$B$1504,A1360))</f>
        <v/>
      </c>
      <c r="U1360" s="55">
        <f>IF(B1360="","",IF(O1360="Completed",MAX(0,N(S1360)-T1360),""))</f>
        <v/>
      </c>
      <c r="V1360" s="49">
        <f>IF(B1360="","",IF(O1360&lt;&gt;"Completed",IF(T1360&gt;0,"Deposit","—"),IF(U1360&lt;=0.005,"Paid",IF(T1360&gt;0,"Partial","Unpaid"))))</f>
        <v/>
      </c>
      <c r="W1360" s="55">
        <f>IF(B1360="","",IFERROR(1/(1/INDEX('STAFF &amp; TASKS'!$C$5:$C$24,MATCH(H1360,'STAFF &amp; TASKS'!$A$5:$A$24,0))),PayRate))</f>
        <v/>
      </c>
      <c r="X1360" s="55">
        <f>IF(B1360="","",IF(OR(O1360="Cancelled",O1360="No-Show"),"",ROUND(R1360*W1360*(1+Burden),2)))</f>
        <v/>
      </c>
      <c r="Y1360" s="55">
        <f>IF(B1360="","",IF(OR(O1360="Cancelled",O1360="No-Show"),"",IF(N1360&lt;&gt;"",N1360,ROUND(R1360*SupHr*IFERROR(INDEX('PRICING'!$G$7:$G$16,MATCH(F1360,'PRICING'!$A$7:$A$16,0)),1),2))))</f>
        <v/>
      </c>
      <c r="Z1360" s="98">
        <f>IF(B1360="","",SUMIFS('MILEAGE'!$J$5:$J$1504,'MILEAGE'!$B$5:$B$1504,A1360))</f>
        <v/>
      </c>
      <c r="AA1360" s="55">
        <f>IF(B1360="","",ROUND(Z1360*MileRate,2))</f>
        <v/>
      </c>
      <c r="AB1360" s="55">
        <f>IF(B1360="","",SUMIFS('REVENUE'!$J$5:$J$1504,'REVENUE'!$B$5:$B$1504,A1360))</f>
        <v/>
      </c>
      <c r="AC1360" s="55">
        <f>IF(L1360="","",IF(OR(O1360="Cancelled",O1360="No-Show"),"",L1360-N(X1360)-N(Y1360)-AA1360-AB1360))</f>
        <v/>
      </c>
      <c r="AD1360" s="99">
        <f>IF(OR(AC1360="",N(L1360)=0),"",AC1360/L1360)</f>
        <v/>
      </c>
      <c r="AE1360" s="55">
        <f>IF(OR(AC1360="",N(R1360)=0),"",L1360/R1360)</f>
        <v/>
      </c>
      <c r="AF1360" s="100">
        <f>IF(OR(N(K1360)=0,N(J1360)+N(Q1360)=0),"",K1360-IF(N(J1360)&gt;0,J1360,Q1360))</f>
        <v/>
      </c>
      <c r="AG1360" s="99">
        <f>IF(B1360="","",IFERROR(AVERAGEIFS('QUALITY CONTROL'!$M$5:$M$304,'QUALITY CONTROL'!$B$5:$B$304,A1360),""))</f>
        <v/>
      </c>
      <c r="AH1360" s="51">
        <f>IF(B1360="","",DATE(YEAR(B1360),MONTH(B1360),1))</f>
        <v/>
      </c>
      <c r="AI1360" s="49">
        <f>IF(D1360="","",IFERROR(INDEX('CUSTOMERS'!$E$5:$E$404,MATCH(D1360,'CUSTOMERS'!$B$5:$B$404,0)),""))</f>
        <v/>
      </c>
      <c r="AJ1360" s="49">
        <f>IF(B1360="","",N(C1360))</f>
        <v/>
      </c>
      <c r="AK1360" s="49">
        <f>IF(OR(B1360="",O1360="Cancelled",O1360="Rescheduled"),"",B1360&amp;"|"&amp;(COUNTIFS('JOBS'!$B$5:$B$1504,B1360,'JOBS'!$AJ$5:$AJ$1504,"&lt;"&amp;AJ1360,'JOBS'!$O$5:$O$1504,"&lt;&gt;Cancelled",'JOBS'!$O$5:$O$1504,"&lt;&gt;Rescheduled")+COUNTIFS($B$5:B1360,B1360,$AJ$5:AJ1360,AJ1360,$O$5:O1360,"&lt;&gt;Cancelled",$O$5:O1360,"&lt;&gt;Rescheduled")))</f>
        <v/>
      </c>
      <c r="AL1360" s="49">
        <f>IF(N(U1360)&lt;=0.005,"",COUNTIFS('JOBS'!$U$5:$U$1504,"&gt;0.005",'JOBS'!$B$5:$B$1504,"&lt;"&amp;B1360)+COUNTIFS($U$5:U1360,"&gt;0.005",$B$5:B1360,B1360))</f>
        <v/>
      </c>
    </row>
    <row r="1361">
      <c r="A1361" s="46" t="inlineStr">
        <is>
          <t>J-1357</t>
        </is>
      </c>
      <c r="B1361" s="47" t="n"/>
      <c r="C1361" s="94" t="n"/>
      <c r="D1361" s="38" t="n"/>
      <c r="E1361" s="38" t="n"/>
      <c r="F1361" s="38" t="n"/>
      <c r="G1361" s="38" t="n"/>
      <c r="H1361" s="38" t="n"/>
      <c r="I1361" s="57" t="n"/>
      <c r="J1361" s="95" t="n"/>
      <c r="K1361" s="95" t="n"/>
      <c r="L1361" s="48" t="n"/>
      <c r="M1361" s="96" t="n"/>
      <c r="N1361" s="48" t="n"/>
      <c r="O1361" s="38" t="n"/>
      <c r="P1361" s="38" t="n"/>
      <c r="Q1361" s="97">
        <f>IF(OR(F1361="",E1361=""),"",IFERROR(IF(INDEX('PROPERTIES'!$F$5:$F$404,MATCH(E1361,'PROPERTIES'!$B$5:$B$404,0))=0,"",ROUND((INDEX('PROPERTIES'!$F$5:$F$404,MATCH(E1361,'PROPERTIES'!$B$5:$B$404,0))/INDEX('PRICING'!$C$7:$C$16,MATCH(F1361,'PRICING'!$A$7:$A$16,0))+INDEX('PROPERTIES'!$G$5:$G$404,MATCH(E1361,'PROPERTIES'!$B$5:$B$404,0))*INDEX('PRICING'!$D$7:$D$16,MATCH(F1361,'PRICING'!$A$7:$A$16,0))/60+INDEX('PROPERTIES'!$H$5:$H$404,MATCH(E1361,'PROPERTIES'!$B$5:$B$404,0))*INDEX('PRICING'!$E$7:$E$16,MATCH(F1361,'PRICING'!$A$7:$A$16,0))/60+INDEX('PRICING'!$F$7:$F$16,MATCH(F1361,'PRICING'!$A$7:$A$16,0))/60),2)),""))</f>
        <v/>
      </c>
      <c r="R1361" s="97">
        <f>IF(B1361="","",IF(N(K1361)&gt;0,K1361,IF(N(J1361)&gt;0,J1361,N(Q1361))))</f>
        <v/>
      </c>
      <c r="S1361" s="55">
        <f>IF(L1361="","",ROUND(L1361*(1+N(M1361)),2))</f>
        <v/>
      </c>
      <c r="T1361" s="55">
        <f>IF(B1361="","",SUMIFS('REVENUE'!$C$5:$C$1504,'REVENUE'!$B$5:$B$1504,A1361))</f>
        <v/>
      </c>
      <c r="U1361" s="55">
        <f>IF(B1361="","",IF(O1361="Completed",MAX(0,N(S1361)-T1361),""))</f>
        <v/>
      </c>
      <c r="V1361" s="49">
        <f>IF(B1361="","",IF(O1361&lt;&gt;"Completed",IF(T1361&gt;0,"Deposit","—"),IF(U1361&lt;=0.005,"Paid",IF(T1361&gt;0,"Partial","Unpaid"))))</f>
        <v/>
      </c>
      <c r="W1361" s="55">
        <f>IF(B1361="","",IFERROR(1/(1/INDEX('STAFF &amp; TASKS'!$C$5:$C$24,MATCH(H1361,'STAFF &amp; TASKS'!$A$5:$A$24,0))),PayRate))</f>
        <v/>
      </c>
      <c r="X1361" s="55">
        <f>IF(B1361="","",IF(OR(O1361="Cancelled",O1361="No-Show"),"",ROUND(R1361*W1361*(1+Burden),2)))</f>
        <v/>
      </c>
      <c r="Y1361" s="55">
        <f>IF(B1361="","",IF(OR(O1361="Cancelled",O1361="No-Show"),"",IF(N1361&lt;&gt;"",N1361,ROUND(R1361*SupHr*IFERROR(INDEX('PRICING'!$G$7:$G$16,MATCH(F1361,'PRICING'!$A$7:$A$16,0)),1),2))))</f>
        <v/>
      </c>
      <c r="Z1361" s="98">
        <f>IF(B1361="","",SUMIFS('MILEAGE'!$J$5:$J$1504,'MILEAGE'!$B$5:$B$1504,A1361))</f>
        <v/>
      </c>
      <c r="AA1361" s="55">
        <f>IF(B1361="","",ROUND(Z1361*MileRate,2))</f>
        <v/>
      </c>
      <c r="AB1361" s="55">
        <f>IF(B1361="","",SUMIFS('REVENUE'!$J$5:$J$1504,'REVENUE'!$B$5:$B$1504,A1361))</f>
        <v/>
      </c>
      <c r="AC1361" s="55">
        <f>IF(L1361="","",IF(OR(O1361="Cancelled",O1361="No-Show"),"",L1361-N(X1361)-N(Y1361)-AA1361-AB1361))</f>
        <v/>
      </c>
      <c r="AD1361" s="99">
        <f>IF(OR(AC1361="",N(L1361)=0),"",AC1361/L1361)</f>
        <v/>
      </c>
      <c r="AE1361" s="55">
        <f>IF(OR(AC1361="",N(R1361)=0),"",L1361/R1361)</f>
        <v/>
      </c>
      <c r="AF1361" s="100">
        <f>IF(OR(N(K1361)=0,N(J1361)+N(Q1361)=0),"",K1361-IF(N(J1361)&gt;0,J1361,Q1361))</f>
        <v/>
      </c>
      <c r="AG1361" s="99">
        <f>IF(B1361="","",IFERROR(AVERAGEIFS('QUALITY CONTROL'!$M$5:$M$304,'QUALITY CONTROL'!$B$5:$B$304,A1361),""))</f>
        <v/>
      </c>
      <c r="AH1361" s="51">
        <f>IF(B1361="","",DATE(YEAR(B1361),MONTH(B1361),1))</f>
        <v/>
      </c>
      <c r="AI1361" s="49">
        <f>IF(D1361="","",IFERROR(INDEX('CUSTOMERS'!$E$5:$E$404,MATCH(D1361,'CUSTOMERS'!$B$5:$B$404,0)),""))</f>
        <v/>
      </c>
      <c r="AJ1361" s="49">
        <f>IF(B1361="","",N(C1361))</f>
        <v/>
      </c>
      <c r="AK1361" s="49">
        <f>IF(OR(B1361="",O1361="Cancelled",O1361="Rescheduled"),"",B1361&amp;"|"&amp;(COUNTIFS('JOBS'!$B$5:$B$1504,B1361,'JOBS'!$AJ$5:$AJ$1504,"&lt;"&amp;AJ1361,'JOBS'!$O$5:$O$1504,"&lt;&gt;Cancelled",'JOBS'!$O$5:$O$1504,"&lt;&gt;Rescheduled")+COUNTIFS($B$5:B1361,B1361,$AJ$5:AJ1361,AJ1361,$O$5:O1361,"&lt;&gt;Cancelled",$O$5:O1361,"&lt;&gt;Rescheduled")))</f>
        <v/>
      </c>
      <c r="AL1361" s="49">
        <f>IF(N(U1361)&lt;=0.005,"",COUNTIFS('JOBS'!$U$5:$U$1504,"&gt;0.005",'JOBS'!$B$5:$B$1504,"&lt;"&amp;B1361)+COUNTIFS($U$5:U1361,"&gt;0.005",$B$5:B1361,B1361))</f>
        <v/>
      </c>
    </row>
    <row r="1362">
      <c r="A1362" s="46" t="inlineStr">
        <is>
          <t>J-1358</t>
        </is>
      </c>
      <c r="B1362" s="47" t="n"/>
      <c r="C1362" s="94" t="n"/>
      <c r="D1362" s="38" t="n"/>
      <c r="E1362" s="38" t="n"/>
      <c r="F1362" s="38" t="n"/>
      <c r="G1362" s="38" t="n"/>
      <c r="H1362" s="38" t="n"/>
      <c r="I1362" s="57" t="n"/>
      <c r="J1362" s="95" t="n"/>
      <c r="K1362" s="95" t="n"/>
      <c r="L1362" s="48" t="n"/>
      <c r="M1362" s="96" t="n"/>
      <c r="N1362" s="48" t="n"/>
      <c r="O1362" s="38" t="n"/>
      <c r="P1362" s="38" t="n"/>
      <c r="Q1362" s="97">
        <f>IF(OR(F1362="",E1362=""),"",IFERROR(IF(INDEX('PROPERTIES'!$F$5:$F$404,MATCH(E1362,'PROPERTIES'!$B$5:$B$404,0))=0,"",ROUND((INDEX('PROPERTIES'!$F$5:$F$404,MATCH(E1362,'PROPERTIES'!$B$5:$B$404,0))/INDEX('PRICING'!$C$7:$C$16,MATCH(F1362,'PRICING'!$A$7:$A$16,0))+INDEX('PROPERTIES'!$G$5:$G$404,MATCH(E1362,'PROPERTIES'!$B$5:$B$404,0))*INDEX('PRICING'!$D$7:$D$16,MATCH(F1362,'PRICING'!$A$7:$A$16,0))/60+INDEX('PROPERTIES'!$H$5:$H$404,MATCH(E1362,'PROPERTIES'!$B$5:$B$404,0))*INDEX('PRICING'!$E$7:$E$16,MATCH(F1362,'PRICING'!$A$7:$A$16,0))/60+INDEX('PRICING'!$F$7:$F$16,MATCH(F1362,'PRICING'!$A$7:$A$16,0))/60),2)),""))</f>
        <v/>
      </c>
      <c r="R1362" s="97">
        <f>IF(B1362="","",IF(N(K1362)&gt;0,K1362,IF(N(J1362)&gt;0,J1362,N(Q1362))))</f>
        <v/>
      </c>
      <c r="S1362" s="55">
        <f>IF(L1362="","",ROUND(L1362*(1+N(M1362)),2))</f>
        <v/>
      </c>
      <c r="T1362" s="55">
        <f>IF(B1362="","",SUMIFS('REVENUE'!$C$5:$C$1504,'REVENUE'!$B$5:$B$1504,A1362))</f>
        <v/>
      </c>
      <c r="U1362" s="55">
        <f>IF(B1362="","",IF(O1362="Completed",MAX(0,N(S1362)-T1362),""))</f>
        <v/>
      </c>
      <c r="V1362" s="49">
        <f>IF(B1362="","",IF(O1362&lt;&gt;"Completed",IF(T1362&gt;0,"Deposit","—"),IF(U1362&lt;=0.005,"Paid",IF(T1362&gt;0,"Partial","Unpaid"))))</f>
        <v/>
      </c>
      <c r="W1362" s="55">
        <f>IF(B1362="","",IFERROR(1/(1/INDEX('STAFF &amp; TASKS'!$C$5:$C$24,MATCH(H1362,'STAFF &amp; TASKS'!$A$5:$A$24,0))),PayRate))</f>
        <v/>
      </c>
      <c r="X1362" s="55">
        <f>IF(B1362="","",IF(OR(O1362="Cancelled",O1362="No-Show"),"",ROUND(R1362*W1362*(1+Burden),2)))</f>
        <v/>
      </c>
      <c r="Y1362" s="55">
        <f>IF(B1362="","",IF(OR(O1362="Cancelled",O1362="No-Show"),"",IF(N1362&lt;&gt;"",N1362,ROUND(R1362*SupHr*IFERROR(INDEX('PRICING'!$G$7:$G$16,MATCH(F1362,'PRICING'!$A$7:$A$16,0)),1),2))))</f>
        <v/>
      </c>
      <c r="Z1362" s="98">
        <f>IF(B1362="","",SUMIFS('MILEAGE'!$J$5:$J$1504,'MILEAGE'!$B$5:$B$1504,A1362))</f>
        <v/>
      </c>
      <c r="AA1362" s="55">
        <f>IF(B1362="","",ROUND(Z1362*MileRate,2))</f>
        <v/>
      </c>
      <c r="AB1362" s="55">
        <f>IF(B1362="","",SUMIFS('REVENUE'!$J$5:$J$1504,'REVENUE'!$B$5:$B$1504,A1362))</f>
        <v/>
      </c>
      <c r="AC1362" s="55">
        <f>IF(L1362="","",IF(OR(O1362="Cancelled",O1362="No-Show"),"",L1362-N(X1362)-N(Y1362)-AA1362-AB1362))</f>
        <v/>
      </c>
      <c r="AD1362" s="99">
        <f>IF(OR(AC1362="",N(L1362)=0),"",AC1362/L1362)</f>
        <v/>
      </c>
      <c r="AE1362" s="55">
        <f>IF(OR(AC1362="",N(R1362)=0),"",L1362/R1362)</f>
        <v/>
      </c>
      <c r="AF1362" s="100">
        <f>IF(OR(N(K1362)=0,N(J1362)+N(Q1362)=0),"",K1362-IF(N(J1362)&gt;0,J1362,Q1362))</f>
        <v/>
      </c>
      <c r="AG1362" s="99">
        <f>IF(B1362="","",IFERROR(AVERAGEIFS('QUALITY CONTROL'!$M$5:$M$304,'QUALITY CONTROL'!$B$5:$B$304,A1362),""))</f>
        <v/>
      </c>
      <c r="AH1362" s="51">
        <f>IF(B1362="","",DATE(YEAR(B1362),MONTH(B1362),1))</f>
        <v/>
      </c>
      <c r="AI1362" s="49">
        <f>IF(D1362="","",IFERROR(INDEX('CUSTOMERS'!$E$5:$E$404,MATCH(D1362,'CUSTOMERS'!$B$5:$B$404,0)),""))</f>
        <v/>
      </c>
      <c r="AJ1362" s="49">
        <f>IF(B1362="","",N(C1362))</f>
        <v/>
      </c>
      <c r="AK1362" s="49">
        <f>IF(OR(B1362="",O1362="Cancelled",O1362="Rescheduled"),"",B1362&amp;"|"&amp;(COUNTIFS('JOBS'!$B$5:$B$1504,B1362,'JOBS'!$AJ$5:$AJ$1504,"&lt;"&amp;AJ1362,'JOBS'!$O$5:$O$1504,"&lt;&gt;Cancelled",'JOBS'!$O$5:$O$1504,"&lt;&gt;Rescheduled")+COUNTIFS($B$5:B1362,B1362,$AJ$5:AJ1362,AJ1362,$O$5:O1362,"&lt;&gt;Cancelled",$O$5:O1362,"&lt;&gt;Rescheduled")))</f>
        <v/>
      </c>
      <c r="AL1362" s="49">
        <f>IF(N(U1362)&lt;=0.005,"",COUNTIFS('JOBS'!$U$5:$U$1504,"&gt;0.005",'JOBS'!$B$5:$B$1504,"&lt;"&amp;B1362)+COUNTIFS($U$5:U1362,"&gt;0.005",$B$5:B1362,B1362))</f>
        <v/>
      </c>
    </row>
    <row r="1363">
      <c r="A1363" s="46" t="inlineStr">
        <is>
          <t>J-1359</t>
        </is>
      </c>
      <c r="B1363" s="47" t="n"/>
      <c r="C1363" s="94" t="n"/>
      <c r="D1363" s="38" t="n"/>
      <c r="E1363" s="38" t="n"/>
      <c r="F1363" s="38" t="n"/>
      <c r="G1363" s="38" t="n"/>
      <c r="H1363" s="38" t="n"/>
      <c r="I1363" s="57" t="n"/>
      <c r="J1363" s="95" t="n"/>
      <c r="K1363" s="95" t="n"/>
      <c r="L1363" s="48" t="n"/>
      <c r="M1363" s="96" t="n"/>
      <c r="N1363" s="48" t="n"/>
      <c r="O1363" s="38" t="n"/>
      <c r="P1363" s="38" t="n"/>
      <c r="Q1363" s="97">
        <f>IF(OR(F1363="",E1363=""),"",IFERROR(IF(INDEX('PROPERTIES'!$F$5:$F$404,MATCH(E1363,'PROPERTIES'!$B$5:$B$404,0))=0,"",ROUND((INDEX('PROPERTIES'!$F$5:$F$404,MATCH(E1363,'PROPERTIES'!$B$5:$B$404,0))/INDEX('PRICING'!$C$7:$C$16,MATCH(F1363,'PRICING'!$A$7:$A$16,0))+INDEX('PROPERTIES'!$G$5:$G$404,MATCH(E1363,'PROPERTIES'!$B$5:$B$404,0))*INDEX('PRICING'!$D$7:$D$16,MATCH(F1363,'PRICING'!$A$7:$A$16,0))/60+INDEX('PROPERTIES'!$H$5:$H$404,MATCH(E1363,'PROPERTIES'!$B$5:$B$404,0))*INDEX('PRICING'!$E$7:$E$16,MATCH(F1363,'PRICING'!$A$7:$A$16,0))/60+INDEX('PRICING'!$F$7:$F$16,MATCH(F1363,'PRICING'!$A$7:$A$16,0))/60),2)),""))</f>
        <v/>
      </c>
      <c r="R1363" s="97">
        <f>IF(B1363="","",IF(N(K1363)&gt;0,K1363,IF(N(J1363)&gt;0,J1363,N(Q1363))))</f>
        <v/>
      </c>
      <c r="S1363" s="55">
        <f>IF(L1363="","",ROUND(L1363*(1+N(M1363)),2))</f>
        <v/>
      </c>
      <c r="T1363" s="55">
        <f>IF(B1363="","",SUMIFS('REVENUE'!$C$5:$C$1504,'REVENUE'!$B$5:$B$1504,A1363))</f>
        <v/>
      </c>
      <c r="U1363" s="55">
        <f>IF(B1363="","",IF(O1363="Completed",MAX(0,N(S1363)-T1363),""))</f>
        <v/>
      </c>
      <c r="V1363" s="49">
        <f>IF(B1363="","",IF(O1363&lt;&gt;"Completed",IF(T1363&gt;0,"Deposit","—"),IF(U1363&lt;=0.005,"Paid",IF(T1363&gt;0,"Partial","Unpaid"))))</f>
        <v/>
      </c>
      <c r="W1363" s="55">
        <f>IF(B1363="","",IFERROR(1/(1/INDEX('STAFF &amp; TASKS'!$C$5:$C$24,MATCH(H1363,'STAFF &amp; TASKS'!$A$5:$A$24,0))),PayRate))</f>
        <v/>
      </c>
      <c r="X1363" s="55">
        <f>IF(B1363="","",IF(OR(O1363="Cancelled",O1363="No-Show"),"",ROUND(R1363*W1363*(1+Burden),2)))</f>
        <v/>
      </c>
      <c r="Y1363" s="55">
        <f>IF(B1363="","",IF(OR(O1363="Cancelled",O1363="No-Show"),"",IF(N1363&lt;&gt;"",N1363,ROUND(R1363*SupHr*IFERROR(INDEX('PRICING'!$G$7:$G$16,MATCH(F1363,'PRICING'!$A$7:$A$16,0)),1),2))))</f>
        <v/>
      </c>
      <c r="Z1363" s="98">
        <f>IF(B1363="","",SUMIFS('MILEAGE'!$J$5:$J$1504,'MILEAGE'!$B$5:$B$1504,A1363))</f>
        <v/>
      </c>
      <c r="AA1363" s="55">
        <f>IF(B1363="","",ROUND(Z1363*MileRate,2))</f>
        <v/>
      </c>
      <c r="AB1363" s="55">
        <f>IF(B1363="","",SUMIFS('REVENUE'!$J$5:$J$1504,'REVENUE'!$B$5:$B$1504,A1363))</f>
        <v/>
      </c>
      <c r="AC1363" s="55">
        <f>IF(L1363="","",IF(OR(O1363="Cancelled",O1363="No-Show"),"",L1363-N(X1363)-N(Y1363)-AA1363-AB1363))</f>
        <v/>
      </c>
      <c r="AD1363" s="99">
        <f>IF(OR(AC1363="",N(L1363)=0),"",AC1363/L1363)</f>
        <v/>
      </c>
      <c r="AE1363" s="55">
        <f>IF(OR(AC1363="",N(R1363)=0),"",L1363/R1363)</f>
        <v/>
      </c>
      <c r="AF1363" s="100">
        <f>IF(OR(N(K1363)=0,N(J1363)+N(Q1363)=0),"",K1363-IF(N(J1363)&gt;0,J1363,Q1363))</f>
        <v/>
      </c>
      <c r="AG1363" s="99">
        <f>IF(B1363="","",IFERROR(AVERAGEIFS('QUALITY CONTROL'!$M$5:$M$304,'QUALITY CONTROL'!$B$5:$B$304,A1363),""))</f>
        <v/>
      </c>
      <c r="AH1363" s="51">
        <f>IF(B1363="","",DATE(YEAR(B1363),MONTH(B1363),1))</f>
        <v/>
      </c>
      <c r="AI1363" s="49">
        <f>IF(D1363="","",IFERROR(INDEX('CUSTOMERS'!$E$5:$E$404,MATCH(D1363,'CUSTOMERS'!$B$5:$B$404,0)),""))</f>
        <v/>
      </c>
      <c r="AJ1363" s="49">
        <f>IF(B1363="","",N(C1363))</f>
        <v/>
      </c>
      <c r="AK1363" s="49">
        <f>IF(OR(B1363="",O1363="Cancelled",O1363="Rescheduled"),"",B1363&amp;"|"&amp;(COUNTIFS('JOBS'!$B$5:$B$1504,B1363,'JOBS'!$AJ$5:$AJ$1504,"&lt;"&amp;AJ1363,'JOBS'!$O$5:$O$1504,"&lt;&gt;Cancelled",'JOBS'!$O$5:$O$1504,"&lt;&gt;Rescheduled")+COUNTIFS($B$5:B1363,B1363,$AJ$5:AJ1363,AJ1363,$O$5:O1363,"&lt;&gt;Cancelled",$O$5:O1363,"&lt;&gt;Rescheduled")))</f>
        <v/>
      </c>
      <c r="AL1363" s="49">
        <f>IF(N(U1363)&lt;=0.005,"",COUNTIFS('JOBS'!$U$5:$U$1504,"&gt;0.005",'JOBS'!$B$5:$B$1504,"&lt;"&amp;B1363)+COUNTIFS($U$5:U1363,"&gt;0.005",$B$5:B1363,B1363))</f>
        <v/>
      </c>
    </row>
    <row r="1364">
      <c r="A1364" s="46" t="inlineStr">
        <is>
          <t>J-1360</t>
        </is>
      </c>
      <c r="B1364" s="47" t="n"/>
      <c r="C1364" s="94" t="n"/>
      <c r="D1364" s="38" t="n"/>
      <c r="E1364" s="38" t="n"/>
      <c r="F1364" s="38" t="n"/>
      <c r="G1364" s="38" t="n"/>
      <c r="H1364" s="38" t="n"/>
      <c r="I1364" s="57" t="n"/>
      <c r="J1364" s="95" t="n"/>
      <c r="K1364" s="95" t="n"/>
      <c r="L1364" s="48" t="n"/>
      <c r="M1364" s="96" t="n"/>
      <c r="N1364" s="48" t="n"/>
      <c r="O1364" s="38" t="n"/>
      <c r="P1364" s="38" t="n"/>
      <c r="Q1364" s="97">
        <f>IF(OR(F1364="",E1364=""),"",IFERROR(IF(INDEX('PROPERTIES'!$F$5:$F$404,MATCH(E1364,'PROPERTIES'!$B$5:$B$404,0))=0,"",ROUND((INDEX('PROPERTIES'!$F$5:$F$404,MATCH(E1364,'PROPERTIES'!$B$5:$B$404,0))/INDEX('PRICING'!$C$7:$C$16,MATCH(F1364,'PRICING'!$A$7:$A$16,0))+INDEX('PROPERTIES'!$G$5:$G$404,MATCH(E1364,'PROPERTIES'!$B$5:$B$404,0))*INDEX('PRICING'!$D$7:$D$16,MATCH(F1364,'PRICING'!$A$7:$A$16,0))/60+INDEX('PROPERTIES'!$H$5:$H$404,MATCH(E1364,'PROPERTIES'!$B$5:$B$404,0))*INDEX('PRICING'!$E$7:$E$16,MATCH(F1364,'PRICING'!$A$7:$A$16,0))/60+INDEX('PRICING'!$F$7:$F$16,MATCH(F1364,'PRICING'!$A$7:$A$16,0))/60),2)),""))</f>
        <v/>
      </c>
      <c r="R1364" s="97">
        <f>IF(B1364="","",IF(N(K1364)&gt;0,K1364,IF(N(J1364)&gt;0,J1364,N(Q1364))))</f>
        <v/>
      </c>
      <c r="S1364" s="55">
        <f>IF(L1364="","",ROUND(L1364*(1+N(M1364)),2))</f>
        <v/>
      </c>
      <c r="T1364" s="55">
        <f>IF(B1364="","",SUMIFS('REVENUE'!$C$5:$C$1504,'REVENUE'!$B$5:$B$1504,A1364))</f>
        <v/>
      </c>
      <c r="U1364" s="55">
        <f>IF(B1364="","",IF(O1364="Completed",MAX(0,N(S1364)-T1364),""))</f>
        <v/>
      </c>
      <c r="V1364" s="49">
        <f>IF(B1364="","",IF(O1364&lt;&gt;"Completed",IF(T1364&gt;0,"Deposit","—"),IF(U1364&lt;=0.005,"Paid",IF(T1364&gt;0,"Partial","Unpaid"))))</f>
        <v/>
      </c>
      <c r="W1364" s="55">
        <f>IF(B1364="","",IFERROR(1/(1/INDEX('STAFF &amp; TASKS'!$C$5:$C$24,MATCH(H1364,'STAFF &amp; TASKS'!$A$5:$A$24,0))),PayRate))</f>
        <v/>
      </c>
      <c r="X1364" s="55">
        <f>IF(B1364="","",IF(OR(O1364="Cancelled",O1364="No-Show"),"",ROUND(R1364*W1364*(1+Burden),2)))</f>
        <v/>
      </c>
      <c r="Y1364" s="55">
        <f>IF(B1364="","",IF(OR(O1364="Cancelled",O1364="No-Show"),"",IF(N1364&lt;&gt;"",N1364,ROUND(R1364*SupHr*IFERROR(INDEX('PRICING'!$G$7:$G$16,MATCH(F1364,'PRICING'!$A$7:$A$16,0)),1),2))))</f>
        <v/>
      </c>
      <c r="Z1364" s="98">
        <f>IF(B1364="","",SUMIFS('MILEAGE'!$J$5:$J$1504,'MILEAGE'!$B$5:$B$1504,A1364))</f>
        <v/>
      </c>
      <c r="AA1364" s="55">
        <f>IF(B1364="","",ROUND(Z1364*MileRate,2))</f>
        <v/>
      </c>
      <c r="AB1364" s="55">
        <f>IF(B1364="","",SUMIFS('REVENUE'!$J$5:$J$1504,'REVENUE'!$B$5:$B$1504,A1364))</f>
        <v/>
      </c>
      <c r="AC1364" s="55">
        <f>IF(L1364="","",IF(OR(O1364="Cancelled",O1364="No-Show"),"",L1364-N(X1364)-N(Y1364)-AA1364-AB1364))</f>
        <v/>
      </c>
      <c r="AD1364" s="99">
        <f>IF(OR(AC1364="",N(L1364)=0),"",AC1364/L1364)</f>
        <v/>
      </c>
      <c r="AE1364" s="55">
        <f>IF(OR(AC1364="",N(R1364)=0),"",L1364/R1364)</f>
        <v/>
      </c>
      <c r="AF1364" s="100">
        <f>IF(OR(N(K1364)=0,N(J1364)+N(Q1364)=0),"",K1364-IF(N(J1364)&gt;0,J1364,Q1364))</f>
        <v/>
      </c>
      <c r="AG1364" s="99">
        <f>IF(B1364="","",IFERROR(AVERAGEIFS('QUALITY CONTROL'!$M$5:$M$304,'QUALITY CONTROL'!$B$5:$B$304,A1364),""))</f>
        <v/>
      </c>
      <c r="AH1364" s="51">
        <f>IF(B1364="","",DATE(YEAR(B1364),MONTH(B1364),1))</f>
        <v/>
      </c>
      <c r="AI1364" s="49">
        <f>IF(D1364="","",IFERROR(INDEX('CUSTOMERS'!$E$5:$E$404,MATCH(D1364,'CUSTOMERS'!$B$5:$B$404,0)),""))</f>
        <v/>
      </c>
      <c r="AJ1364" s="49">
        <f>IF(B1364="","",N(C1364))</f>
        <v/>
      </c>
      <c r="AK1364" s="49">
        <f>IF(OR(B1364="",O1364="Cancelled",O1364="Rescheduled"),"",B1364&amp;"|"&amp;(COUNTIFS('JOBS'!$B$5:$B$1504,B1364,'JOBS'!$AJ$5:$AJ$1504,"&lt;"&amp;AJ1364,'JOBS'!$O$5:$O$1504,"&lt;&gt;Cancelled",'JOBS'!$O$5:$O$1504,"&lt;&gt;Rescheduled")+COUNTIFS($B$5:B1364,B1364,$AJ$5:AJ1364,AJ1364,$O$5:O1364,"&lt;&gt;Cancelled",$O$5:O1364,"&lt;&gt;Rescheduled")))</f>
        <v/>
      </c>
      <c r="AL1364" s="49">
        <f>IF(N(U1364)&lt;=0.005,"",COUNTIFS('JOBS'!$U$5:$U$1504,"&gt;0.005",'JOBS'!$B$5:$B$1504,"&lt;"&amp;B1364)+COUNTIFS($U$5:U1364,"&gt;0.005",$B$5:B1364,B1364))</f>
        <v/>
      </c>
    </row>
    <row r="1365">
      <c r="A1365" s="46" t="inlineStr">
        <is>
          <t>J-1361</t>
        </is>
      </c>
      <c r="B1365" s="47" t="n"/>
      <c r="C1365" s="94" t="n"/>
      <c r="D1365" s="38" t="n"/>
      <c r="E1365" s="38" t="n"/>
      <c r="F1365" s="38" t="n"/>
      <c r="G1365" s="38" t="n"/>
      <c r="H1365" s="38" t="n"/>
      <c r="I1365" s="57" t="n"/>
      <c r="J1365" s="95" t="n"/>
      <c r="K1365" s="95" t="n"/>
      <c r="L1365" s="48" t="n"/>
      <c r="M1365" s="96" t="n"/>
      <c r="N1365" s="48" t="n"/>
      <c r="O1365" s="38" t="n"/>
      <c r="P1365" s="38" t="n"/>
      <c r="Q1365" s="97">
        <f>IF(OR(F1365="",E1365=""),"",IFERROR(IF(INDEX('PROPERTIES'!$F$5:$F$404,MATCH(E1365,'PROPERTIES'!$B$5:$B$404,0))=0,"",ROUND((INDEX('PROPERTIES'!$F$5:$F$404,MATCH(E1365,'PROPERTIES'!$B$5:$B$404,0))/INDEX('PRICING'!$C$7:$C$16,MATCH(F1365,'PRICING'!$A$7:$A$16,0))+INDEX('PROPERTIES'!$G$5:$G$404,MATCH(E1365,'PROPERTIES'!$B$5:$B$404,0))*INDEX('PRICING'!$D$7:$D$16,MATCH(F1365,'PRICING'!$A$7:$A$16,0))/60+INDEX('PROPERTIES'!$H$5:$H$404,MATCH(E1365,'PROPERTIES'!$B$5:$B$404,0))*INDEX('PRICING'!$E$7:$E$16,MATCH(F1365,'PRICING'!$A$7:$A$16,0))/60+INDEX('PRICING'!$F$7:$F$16,MATCH(F1365,'PRICING'!$A$7:$A$16,0))/60),2)),""))</f>
        <v/>
      </c>
      <c r="R1365" s="97">
        <f>IF(B1365="","",IF(N(K1365)&gt;0,K1365,IF(N(J1365)&gt;0,J1365,N(Q1365))))</f>
        <v/>
      </c>
      <c r="S1365" s="55">
        <f>IF(L1365="","",ROUND(L1365*(1+N(M1365)),2))</f>
        <v/>
      </c>
      <c r="T1365" s="55">
        <f>IF(B1365="","",SUMIFS('REVENUE'!$C$5:$C$1504,'REVENUE'!$B$5:$B$1504,A1365))</f>
        <v/>
      </c>
      <c r="U1365" s="55">
        <f>IF(B1365="","",IF(O1365="Completed",MAX(0,N(S1365)-T1365),""))</f>
        <v/>
      </c>
      <c r="V1365" s="49">
        <f>IF(B1365="","",IF(O1365&lt;&gt;"Completed",IF(T1365&gt;0,"Deposit","—"),IF(U1365&lt;=0.005,"Paid",IF(T1365&gt;0,"Partial","Unpaid"))))</f>
        <v/>
      </c>
      <c r="W1365" s="55">
        <f>IF(B1365="","",IFERROR(1/(1/INDEX('STAFF &amp; TASKS'!$C$5:$C$24,MATCH(H1365,'STAFF &amp; TASKS'!$A$5:$A$24,0))),PayRate))</f>
        <v/>
      </c>
      <c r="X1365" s="55">
        <f>IF(B1365="","",IF(OR(O1365="Cancelled",O1365="No-Show"),"",ROUND(R1365*W1365*(1+Burden),2)))</f>
        <v/>
      </c>
      <c r="Y1365" s="55">
        <f>IF(B1365="","",IF(OR(O1365="Cancelled",O1365="No-Show"),"",IF(N1365&lt;&gt;"",N1365,ROUND(R1365*SupHr*IFERROR(INDEX('PRICING'!$G$7:$G$16,MATCH(F1365,'PRICING'!$A$7:$A$16,0)),1),2))))</f>
        <v/>
      </c>
      <c r="Z1365" s="98">
        <f>IF(B1365="","",SUMIFS('MILEAGE'!$J$5:$J$1504,'MILEAGE'!$B$5:$B$1504,A1365))</f>
        <v/>
      </c>
      <c r="AA1365" s="55">
        <f>IF(B1365="","",ROUND(Z1365*MileRate,2))</f>
        <v/>
      </c>
      <c r="AB1365" s="55">
        <f>IF(B1365="","",SUMIFS('REVENUE'!$J$5:$J$1504,'REVENUE'!$B$5:$B$1504,A1365))</f>
        <v/>
      </c>
      <c r="AC1365" s="55">
        <f>IF(L1365="","",IF(OR(O1365="Cancelled",O1365="No-Show"),"",L1365-N(X1365)-N(Y1365)-AA1365-AB1365))</f>
        <v/>
      </c>
      <c r="AD1365" s="99">
        <f>IF(OR(AC1365="",N(L1365)=0),"",AC1365/L1365)</f>
        <v/>
      </c>
      <c r="AE1365" s="55">
        <f>IF(OR(AC1365="",N(R1365)=0),"",L1365/R1365)</f>
        <v/>
      </c>
      <c r="AF1365" s="100">
        <f>IF(OR(N(K1365)=0,N(J1365)+N(Q1365)=0),"",K1365-IF(N(J1365)&gt;0,J1365,Q1365))</f>
        <v/>
      </c>
      <c r="AG1365" s="99">
        <f>IF(B1365="","",IFERROR(AVERAGEIFS('QUALITY CONTROL'!$M$5:$M$304,'QUALITY CONTROL'!$B$5:$B$304,A1365),""))</f>
        <v/>
      </c>
      <c r="AH1365" s="51">
        <f>IF(B1365="","",DATE(YEAR(B1365),MONTH(B1365),1))</f>
        <v/>
      </c>
      <c r="AI1365" s="49">
        <f>IF(D1365="","",IFERROR(INDEX('CUSTOMERS'!$E$5:$E$404,MATCH(D1365,'CUSTOMERS'!$B$5:$B$404,0)),""))</f>
        <v/>
      </c>
      <c r="AJ1365" s="49">
        <f>IF(B1365="","",N(C1365))</f>
        <v/>
      </c>
      <c r="AK1365" s="49">
        <f>IF(OR(B1365="",O1365="Cancelled",O1365="Rescheduled"),"",B1365&amp;"|"&amp;(COUNTIFS('JOBS'!$B$5:$B$1504,B1365,'JOBS'!$AJ$5:$AJ$1504,"&lt;"&amp;AJ1365,'JOBS'!$O$5:$O$1504,"&lt;&gt;Cancelled",'JOBS'!$O$5:$O$1504,"&lt;&gt;Rescheduled")+COUNTIFS($B$5:B1365,B1365,$AJ$5:AJ1365,AJ1365,$O$5:O1365,"&lt;&gt;Cancelled",$O$5:O1365,"&lt;&gt;Rescheduled")))</f>
        <v/>
      </c>
      <c r="AL1365" s="49">
        <f>IF(N(U1365)&lt;=0.005,"",COUNTIFS('JOBS'!$U$5:$U$1504,"&gt;0.005",'JOBS'!$B$5:$B$1504,"&lt;"&amp;B1365)+COUNTIFS($U$5:U1365,"&gt;0.005",$B$5:B1365,B1365))</f>
        <v/>
      </c>
    </row>
    <row r="1366">
      <c r="A1366" s="46" t="inlineStr">
        <is>
          <t>J-1362</t>
        </is>
      </c>
      <c r="B1366" s="47" t="n"/>
      <c r="C1366" s="94" t="n"/>
      <c r="D1366" s="38" t="n"/>
      <c r="E1366" s="38" t="n"/>
      <c r="F1366" s="38" t="n"/>
      <c r="G1366" s="38" t="n"/>
      <c r="H1366" s="38" t="n"/>
      <c r="I1366" s="57" t="n"/>
      <c r="J1366" s="95" t="n"/>
      <c r="K1366" s="95" t="n"/>
      <c r="L1366" s="48" t="n"/>
      <c r="M1366" s="96" t="n"/>
      <c r="N1366" s="48" t="n"/>
      <c r="O1366" s="38" t="n"/>
      <c r="P1366" s="38" t="n"/>
      <c r="Q1366" s="97">
        <f>IF(OR(F1366="",E1366=""),"",IFERROR(IF(INDEX('PROPERTIES'!$F$5:$F$404,MATCH(E1366,'PROPERTIES'!$B$5:$B$404,0))=0,"",ROUND((INDEX('PROPERTIES'!$F$5:$F$404,MATCH(E1366,'PROPERTIES'!$B$5:$B$404,0))/INDEX('PRICING'!$C$7:$C$16,MATCH(F1366,'PRICING'!$A$7:$A$16,0))+INDEX('PROPERTIES'!$G$5:$G$404,MATCH(E1366,'PROPERTIES'!$B$5:$B$404,0))*INDEX('PRICING'!$D$7:$D$16,MATCH(F1366,'PRICING'!$A$7:$A$16,0))/60+INDEX('PROPERTIES'!$H$5:$H$404,MATCH(E1366,'PROPERTIES'!$B$5:$B$404,0))*INDEX('PRICING'!$E$7:$E$16,MATCH(F1366,'PRICING'!$A$7:$A$16,0))/60+INDEX('PRICING'!$F$7:$F$16,MATCH(F1366,'PRICING'!$A$7:$A$16,0))/60),2)),""))</f>
        <v/>
      </c>
      <c r="R1366" s="97">
        <f>IF(B1366="","",IF(N(K1366)&gt;0,K1366,IF(N(J1366)&gt;0,J1366,N(Q1366))))</f>
        <v/>
      </c>
      <c r="S1366" s="55">
        <f>IF(L1366="","",ROUND(L1366*(1+N(M1366)),2))</f>
        <v/>
      </c>
      <c r="T1366" s="55">
        <f>IF(B1366="","",SUMIFS('REVENUE'!$C$5:$C$1504,'REVENUE'!$B$5:$B$1504,A1366))</f>
        <v/>
      </c>
      <c r="U1366" s="55">
        <f>IF(B1366="","",IF(O1366="Completed",MAX(0,N(S1366)-T1366),""))</f>
        <v/>
      </c>
      <c r="V1366" s="49">
        <f>IF(B1366="","",IF(O1366&lt;&gt;"Completed",IF(T1366&gt;0,"Deposit","—"),IF(U1366&lt;=0.005,"Paid",IF(T1366&gt;0,"Partial","Unpaid"))))</f>
        <v/>
      </c>
      <c r="W1366" s="55">
        <f>IF(B1366="","",IFERROR(1/(1/INDEX('STAFF &amp; TASKS'!$C$5:$C$24,MATCH(H1366,'STAFF &amp; TASKS'!$A$5:$A$24,0))),PayRate))</f>
        <v/>
      </c>
      <c r="X1366" s="55">
        <f>IF(B1366="","",IF(OR(O1366="Cancelled",O1366="No-Show"),"",ROUND(R1366*W1366*(1+Burden),2)))</f>
        <v/>
      </c>
      <c r="Y1366" s="55">
        <f>IF(B1366="","",IF(OR(O1366="Cancelled",O1366="No-Show"),"",IF(N1366&lt;&gt;"",N1366,ROUND(R1366*SupHr*IFERROR(INDEX('PRICING'!$G$7:$G$16,MATCH(F1366,'PRICING'!$A$7:$A$16,0)),1),2))))</f>
        <v/>
      </c>
      <c r="Z1366" s="98">
        <f>IF(B1366="","",SUMIFS('MILEAGE'!$J$5:$J$1504,'MILEAGE'!$B$5:$B$1504,A1366))</f>
        <v/>
      </c>
      <c r="AA1366" s="55">
        <f>IF(B1366="","",ROUND(Z1366*MileRate,2))</f>
        <v/>
      </c>
      <c r="AB1366" s="55">
        <f>IF(B1366="","",SUMIFS('REVENUE'!$J$5:$J$1504,'REVENUE'!$B$5:$B$1504,A1366))</f>
        <v/>
      </c>
      <c r="AC1366" s="55">
        <f>IF(L1366="","",IF(OR(O1366="Cancelled",O1366="No-Show"),"",L1366-N(X1366)-N(Y1366)-AA1366-AB1366))</f>
        <v/>
      </c>
      <c r="AD1366" s="99">
        <f>IF(OR(AC1366="",N(L1366)=0),"",AC1366/L1366)</f>
        <v/>
      </c>
      <c r="AE1366" s="55">
        <f>IF(OR(AC1366="",N(R1366)=0),"",L1366/R1366)</f>
        <v/>
      </c>
      <c r="AF1366" s="100">
        <f>IF(OR(N(K1366)=0,N(J1366)+N(Q1366)=0),"",K1366-IF(N(J1366)&gt;0,J1366,Q1366))</f>
        <v/>
      </c>
      <c r="AG1366" s="99">
        <f>IF(B1366="","",IFERROR(AVERAGEIFS('QUALITY CONTROL'!$M$5:$M$304,'QUALITY CONTROL'!$B$5:$B$304,A1366),""))</f>
        <v/>
      </c>
      <c r="AH1366" s="51">
        <f>IF(B1366="","",DATE(YEAR(B1366),MONTH(B1366),1))</f>
        <v/>
      </c>
      <c r="AI1366" s="49">
        <f>IF(D1366="","",IFERROR(INDEX('CUSTOMERS'!$E$5:$E$404,MATCH(D1366,'CUSTOMERS'!$B$5:$B$404,0)),""))</f>
        <v/>
      </c>
      <c r="AJ1366" s="49">
        <f>IF(B1366="","",N(C1366))</f>
        <v/>
      </c>
      <c r="AK1366" s="49">
        <f>IF(OR(B1366="",O1366="Cancelled",O1366="Rescheduled"),"",B1366&amp;"|"&amp;(COUNTIFS('JOBS'!$B$5:$B$1504,B1366,'JOBS'!$AJ$5:$AJ$1504,"&lt;"&amp;AJ1366,'JOBS'!$O$5:$O$1504,"&lt;&gt;Cancelled",'JOBS'!$O$5:$O$1504,"&lt;&gt;Rescheduled")+COUNTIFS($B$5:B1366,B1366,$AJ$5:AJ1366,AJ1366,$O$5:O1366,"&lt;&gt;Cancelled",$O$5:O1366,"&lt;&gt;Rescheduled")))</f>
        <v/>
      </c>
      <c r="AL1366" s="49">
        <f>IF(N(U1366)&lt;=0.005,"",COUNTIFS('JOBS'!$U$5:$U$1504,"&gt;0.005",'JOBS'!$B$5:$B$1504,"&lt;"&amp;B1366)+COUNTIFS($U$5:U1366,"&gt;0.005",$B$5:B1366,B1366))</f>
        <v/>
      </c>
    </row>
    <row r="1367">
      <c r="A1367" s="46" t="inlineStr">
        <is>
          <t>J-1363</t>
        </is>
      </c>
      <c r="B1367" s="47" t="n"/>
      <c r="C1367" s="94" t="n"/>
      <c r="D1367" s="38" t="n"/>
      <c r="E1367" s="38" t="n"/>
      <c r="F1367" s="38" t="n"/>
      <c r="G1367" s="38" t="n"/>
      <c r="H1367" s="38" t="n"/>
      <c r="I1367" s="57" t="n"/>
      <c r="J1367" s="95" t="n"/>
      <c r="K1367" s="95" t="n"/>
      <c r="L1367" s="48" t="n"/>
      <c r="M1367" s="96" t="n"/>
      <c r="N1367" s="48" t="n"/>
      <c r="O1367" s="38" t="n"/>
      <c r="P1367" s="38" t="n"/>
      <c r="Q1367" s="97">
        <f>IF(OR(F1367="",E1367=""),"",IFERROR(IF(INDEX('PROPERTIES'!$F$5:$F$404,MATCH(E1367,'PROPERTIES'!$B$5:$B$404,0))=0,"",ROUND((INDEX('PROPERTIES'!$F$5:$F$404,MATCH(E1367,'PROPERTIES'!$B$5:$B$404,0))/INDEX('PRICING'!$C$7:$C$16,MATCH(F1367,'PRICING'!$A$7:$A$16,0))+INDEX('PROPERTIES'!$G$5:$G$404,MATCH(E1367,'PROPERTIES'!$B$5:$B$404,0))*INDEX('PRICING'!$D$7:$D$16,MATCH(F1367,'PRICING'!$A$7:$A$16,0))/60+INDEX('PROPERTIES'!$H$5:$H$404,MATCH(E1367,'PROPERTIES'!$B$5:$B$404,0))*INDEX('PRICING'!$E$7:$E$16,MATCH(F1367,'PRICING'!$A$7:$A$16,0))/60+INDEX('PRICING'!$F$7:$F$16,MATCH(F1367,'PRICING'!$A$7:$A$16,0))/60),2)),""))</f>
        <v/>
      </c>
      <c r="R1367" s="97">
        <f>IF(B1367="","",IF(N(K1367)&gt;0,K1367,IF(N(J1367)&gt;0,J1367,N(Q1367))))</f>
        <v/>
      </c>
      <c r="S1367" s="55">
        <f>IF(L1367="","",ROUND(L1367*(1+N(M1367)),2))</f>
        <v/>
      </c>
      <c r="T1367" s="55">
        <f>IF(B1367="","",SUMIFS('REVENUE'!$C$5:$C$1504,'REVENUE'!$B$5:$B$1504,A1367))</f>
        <v/>
      </c>
      <c r="U1367" s="55">
        <f>IF(B1367="","",IF(O1367="Completed",MAX(0,N(S1367)-T1367),""))</f>
        <v/>
      </c>
      <c r="V1367" s="49">
        <f>IF(B1367="","",IF(O1367&lt;&gt;"Completed",IF(T1367&gt;0,"Deposit","—"),IF(U1367&lt;=0.005,"Paid",IF(T1367&gt;0,"Partial","Unpaid"))))</f>
        <v/>
      </c>
      <c r="W1367" s="55">
        <f>IF(B1367="","",IFERROR(1/(1/INDEX('STAFF &amp; TASKS'!$C$5:$C$24,MATCH(H1367,'STAFF &amp; TASKS'!$A$5:$A$24,0))),PayRate))</f>
        <v/>
      </c>
      <c r="X1367" s="55">
        <f>IF(B1367="","",IF(OR(O1367="Cancelled",O1367="No-Show"),"",ROUND(R1367*W1367*(1+Burden),2)))</f>
        <v/>
      </c>
      <c r="Y1367" s="55">
        <f>IF(B1367="","",IF(OR(O1367="Cancelled",O1367="No-Show"),"",IF(N1367&lt;&gt;"",N1367,ROUND(R1367*SupHr*IFERROR(INDEX('PRICING'!$G$7:$G$16,MATCH(F1367,'PRICING'!$A$7:$A$16,0)),1),2))))</f>
        <v/>
      </c>
      <c r="Z1367" s="98">
        <f>IF(B1367="","",SUMIFS('MILEAGE'!$J$5:$J$1504,'MILEAGE'!$B$5:$B$1504,A1367))</f>
        <v/>
      </c>
      <c r="AA1367" s="55">
        <f>IF(B1367="","",ROUND(Z1367*MileRate,2))</f>
        <v/>
      </c>
      <c r="AB1367" s="55">
        <f>IF(B1367="","",SUMIFS('REVENUE'!$J$5:$J$1504,'REVENUE'!$B$5:$B$1504,A1367))</f>
        <v/>
      </c>
      <c r="AC1367" s="55">
        <f>IF(L1367="","",IF(OR(O1367="Cancelled",O1367="No-Show"),"",L1367-N(X1367)-N(Y1367)-AA1367-AB1367))</f>
        <v/>
      </c>
      <c r="AD1367" s="99">
        <f>IF(OR(AC1367="",N(L1367)=0),"",AC1367/L1367)</f>
        <v/>
      </c>
      <c r="AE1367" s="55">
        <f>IF(OR(AC1367="",N(R1367)=0),"",L1367/R1367)</f>
        <v/>
      </c>
      <c r="AF1367" s="100">
        <f>IF(OR(N(K1367)=0,N(J1367)+N(Q1367)=0),"",K1367-IF(N(J1367)&gt;0,J1367,Q1367))</f>
        <v/>
      </c>
      <c r="AG1367" s="99">
        <f>IF(B1367="","",IFERROR(AVERAGEIFS('QUALITY CONTROL'!$M$5:$M$304,'QUALITY CONTROL'!$B$5:$B$304,A1367),""))</f>
        <v/>
      </c>
      <c r="AH1367" s="51">
        <f>IF(B1367="","",DATE(YEAR(B1367),MONTH(B1367),1))</f>
        <v/>
      </c>
      <c r="AI1367" s="49">
        <f>IF(D1367="","",IFERROR(INDEX('CUSTOMERS'!$E$5:$E$404,MATCH(D1367,'CUSTOMERS'!$B$5:$B$404,0)),""))</f>
        <v/>
      </c>
      <c r="AJ1367" s="49">
        <f>IF(B1367="","",N(C1367))</f>
        <v/>
      </c>
      <c r="AK1367" s="49">
        <f>IF(OR(B1367="",O1367="Cancelled",O1367="Rescheduled"),"",B1367&amp;"|"&amp;(COUNTIFS('JOBS'!$B$5:$B$1504,B1367,'JOBS'!$AJ$5:$AJ$1504,"&lt;"&amp;AJ1367,'JOBS'!$O$5:$O$1504,"&lt;&gt;Cancelled",'JOBS'!$O$5:$O$1504,"&lt;&gt;Rescheduled")+COUNTIFS($B$5:B1367,B1367,$AJ$5:AJ1367,AJ1367,$O$5:O1367,"&lt;&gt;Cancelled",$O$5:O1367,"&lt;&gt;Rescheduled")))</f>
        <v/>
      </c>
      <c r="AL1367" s="49">
        <f>IF(N(U1367)&lt;=0.005,"",COUNTIFS('JOBS'!$U$5:$U$1504,"&gt;0.005",'JOBS'!$B$5:$B$1504,"&lt;"&amp;B1367)+COUNTIFS($U$5:U1367,"&gt;0.005",$B$5:B1367,B1367))</f>
        <v/>
      </c>
    </row>
    <row r="1368">
      <c r="A1368" s="46" t="inlineStr">
        <is>
          <t>J-1364</t>
        </is>
      </c>
      <c r="B1368" s="47" t="n"/>
      <c r="C1368" s="94" t="n"/>
      <c r="D1368" s="38" t="n"/>
      <c r="E1368" s="38" t="n"/>
      <c r="F1368" s="38" t="n"/>
      <c r="G1368" s="38" t="n"/>
      <c r="H1368" s="38" t="n"/>
      <c r="I1368" s="57" t="n"/>
      <c r="J1368" s="95" t="n"/>
      <c r="K1368" s="95" t="n"/>
      <c r="L1368" s="48" t="n"/>
      <c r="M1368" s="96" t="n"/>
      <c r="N1368" s="48" t="n"/>
      <c r="O1368" s="38" t="n"/>
      <c r="P1368" s="38" t="n"/>
      <c r="Q1368" s="97">
        <f>IF(OR(F1368="",E1368=""),"",IFERROR(IF(INDEX('PROPERTIES'!$F$5:$F$404,MATCH(E1368,'PROPERTIES'!$B$5:$B$404,0))=0,"",ROUND((INDEX('PROPERTIES'!$F$5:$F$404,MATCH(E1368,'PROPERTIES'!$B$5:$B$404,0))/INDEX('PRICING'!$C$7:$C$16,MATCH(F1368,'PRICING'!$A$7:$A$16,0))+INDEX('PROPERTIES'!$G$5:$G$404,MATCH(E1368,'PROPERTIES'!$B$5:$B$404,0))*INDEX('PRICING'!$D$7:$D$16,MATCH(F1368,'PRICING'!$A$7:$A$16,0))/60+INDEX('PROPERTIES'!$H$5:$H$404,MATCH(E1368,'PROPERTIES'!$B$5:$B$404,0))*INDEX('PRICING'!$E$7:$E$16,MATCH(F1368,'PRICING'!$A$7:$A$16,0))/60+INDEX('PRICING'!$F$7:$F$16,MATCH(F1368,'PRICING'!$A$7:$A$16,0))/60),2)),""))</f>
        <v/>
      </c>
      <c r="R1368" s="97">
        <f>IF(B1368="","",IF(N(K1368)&gt;0,K1368,IF(N(J1368)&gt;0,J1368,N(Q1368))))</f>
        <v/>
      </c>
      <c r="S1368" s="55">
        <f>IF(L1368="","",ROUND(L1368*(1+N(M1368)),2))</f>
        <v/>
      </c>
      <c r="T1368" s="55">
        <f>IF(B1368="","",SUMIFS('REVENUE'!$C$5:$C$1504,'REVENUE'!$B$5:$B$1504,A1368))</f>
        <v/>
      </c>
      <c r="U1368" s="55">
        <f>IF(B1368="","",IF(O1368="Completed",MAX(0,N(S1368)-T1368),""))</f>
        <v/>
      </c>
      <c r="V1368" s="49">
        <f>IF(B1368="","",IF(O1368&lt;&gt;"Completed",IF(T1368&gt;0,"Deposit","—"),IF(U1368&lt;=0.005,"Paid",IF(T1368&gt;0,"Partial","Unpaid"))))</f>
        <v/>
      </c>
      <c r="W1368" s="55">
        <f>IF(B1368="","",IFERROR(1/(1/INDEX('STAFF &amp; TASKS'!$C$5:$C$24,MATCH(H1368,'STAFF &amp; TASKS'!$A$5:$A$24,0))),PayRate))</f>
        <v/>
      </c>
      <c r="X1368" s="55">
        <f>IF(B1368="","",IF(OR(O1368="Cancelled",O1368="No-Show"),"",ROUND(R1368*W1368*(1+Burden),2)))</f>
        <v/>
      </c>
      <c r="Y1368" s="55">
        <f>IF(B1368="","",IF(OR(O1368="Cancelled",O1368="No-Show"),"",IF(N1368&lt;&gt;"",N1368,ROUND(R1368*SupHr*IFERROR(INDEX('PRICING'!$G$7:$G$16,MATCH(F1368,'PRICING'!$A$7:$A$16,0)),1),2))))</f>
        <v/>
      </c>
      <c r="Z1368" s="98">
        <f>IF(B1368="","",SUMIFS('MILEAGE'!$J$5:$J$1504,'MILEAGE'!$B$5:$B$1504,A1368))</f>
        <v/>
      </c>
      <c r="AA1368" s="55">
        <f>IF(B1368="","",ROUND(Z1368*MileRate,2))</f>
        <v/>
      </c>
      <c r="AB1368" s="55">
        <f>IF(B1368="","",SUMIFS('REVENUE'!$J$5:$J$1504,'REVENUE'!$B$5:$B$1504,A1368))</f>
        <v/>
      </c>
      <c r="AC1368" s="55">
        <f>IF(L1368="","",IF(OR(O1368="Cancelled",O1368="No-Show"),"",L1368-N(X1368)-N(Y1368)-AA1368-AB1368))</f>
        <v/>
      </c>
      <c r="AD1368" s="99">
        <f>IF(OR(AC1368="",N(L1368)=0),"",AC1368/L1368)</f>
        <v/>
      </c>
      <c r="AE1368" s="55">
        <f>IF(OR(AC1368="",N(R1368)=0),"",L1368/R1368)</f>
        <v/>
      </c>
      <c r="AF1368" s="100">
        <f>IF(OR(N(K1368)=0,N(J1368)+N(Q1368)=0),"",K1368-IF(N(J1368)&gt;0,J1368,Q1368))</f>
        <v/>
      </c>
      <c r="AG1368" s="99">
        <f>IF(B1368="","",IFERROR(AVERAGEIFS('QUALITY CONTROL'!$M$5:$M$304,'QUALITY CONTROL'!$B$5:$B$304,A1368),""))</f>
        <v/>
      </c>
      <c r="AH1368" s="51">
        <f>IF(B1368="","",DATE(YEAR(B1368),MONTH(B1368),1))</f>
        <v/>
      </c>
      <c r="AI1368" s="49">
        <f>IF(D1368="","",IFERROR(INDEX('CUSTOMERS'!$E$5:$E$404,MATCH(D1368,'CUSTOMERS'!$B$5:$B$404,0)),""))</f>
        <v/>
      </c>
      <c r="AJ1368" s="49">
        <f>IF(B1368="","",N(C1368))</f>
        <v/>
      </c>
      <c r="AK1368" s="49">
        <f>IF(OR(B1368="",O1368="Cancelled",O1368="Rescheduled"),"",B1368&amp;"|"&amp;(COUNTIFS('JOBS'!$B$5:$B$1504,B1368,'JOBS'!$AJ$5:$AJ$1504,"&lt;"&amp;AJ1368,'JOBS'!$O$5:$O$1504,"&lt;&gt;Cancelled",'JOBS'!$O$5:$O$1504,"&lt;&gt;Rescheduled")+COUNTIFS($B$5:B1368,B1368,$AJ$5:AJ1368,AJ1368,$O$5:O1368,"&lt;&gt;Cancelled",$O$5:O1368,"&lt;&gt;Rescheduled")))</f>
        <v/>
      </c>
      <c r="AL1368" s="49">
        <f>IF(N(U1368)&lt;=0.005,"",COUNTIFS('JOBS'!$U$5:$U$1504,"&gt;0.005",'JOBS'!$B$5:$B$1504,"&lt;"&amp;B1368)+COUNTIFS($U$5:U1368,"&gt;0.005",$B$5:B1368,B1368))</f>
        <v/>
      </c>
    </row>
    <row r="1369">
      <c r="A1369" s="46" t="inlineStr">
        <is>
          <t>J-1365</t>
        </is>
      </c>
      <c r="B1369" s="47" t="n"/>
      <c r="C1369" s="94" t="n"/>
      <c r="D1369" s="38" t="n"/>
      <c r="E1369" s="38" t="n"/>
      <c r="F1369" s="38" t="n"/>
      <c r="G1369" s="38" t="n"/>
      <c r="H1369" s="38" t="n"/>
      <c r="I1369" s="57" t="n"/>
      <c r="J1369" s="95" t="n"/>
      <c r="K1369" s="95" t="n"/>
      <c r="L1369" s="48" t="n"/>
      <c r="M1369" s="96" t="n"/>
      <c r="N1369" s="48" t="n"/>
      <c r="O1369" s="38" t="n"/>
      <c r="P1369" s="38" t="n"/>
      <c r="Q1369" s="97">
        <f>IF(OR(F1369="",E1369=""),"",IFERROR(IF(INDEX('PROPERTIES'!$F$5:$F$404,MATCH(E1369,'PROPERTIES'!$B$5:$B$404,0))=0,"",ROUND((INDEX('PROPERTIES'!$F$5:$F$404,MATCH(E1369,'PROPERTIES'!$B$5:$B$404,0))/INDEX('PRICING'!$C$7:$C$16,MATCH(F1369,'PRICING'!$A$7:$A$16,0))+INDEX('PROPERTIES'!$G$5:$G$404,MATCH(E1369,'PROPERTIES'!$B$5:$B$404,0))*INDEX('PRICING'!$D$7:$D$16,MATCH(F1369,'PRICING'!$A$7:$A$16,0))/60+INDEX('PROPERTIES'!$H$5:$H$404,MATCH(E1369,'PROPERTIES'!$B$5:$B$404,0))*INDEX('PRICING'!$E$7:$E$16,MATCH(F1369,'PRICING'!$A$7:$A$16,0))/60+INDEX('PRICING'!$F$7:$F$16,MATCH(F1369,'PRICING'!$A$7:$A$16,0))/60),2)),""))</f>
        <v/>
      </c>
      <c r="R1369" s="97">
        <f>IF(B1369="","",IF(N(K1369)&gt;0,K1369,IF(N(J1369)&gt;0,J1369,N(Q1369))))</f>
        <v/>
      </c>
      <c r="S1369" s="55">
        <f>IF(L1369="","",ROUND(L1369*(1+N(M1369)),2))</f>
        <v/>
      </c>
      <c r="T1369" s="55">
        <f>IF(B1369="","",SUMIFS('REVENUE'!$C$5:$C$1504,'REVENUE'!$B$5:$B$1504,A1369))</f>
        <v/>
      </c>
      <c r="U1369" s="55">
        <f>IF(B1369="","",IF(O1369="Completed",MAX(0,N(S1369)-T1369),""))</f>
        <v/>
      </c>
      <c r="V1369" s="49">
        <f>IF(B1369="","",IF(O1369&lt;&gt;"Completed",IF(T1369&gt;0,"Deposit","—"),IF(U1369&lt;=0.005,"Paid",IF(T1369&gt;0,"Partial","Unpaid"))))</f>
        <v/>
      </c>
      <c r="W1369" s="55">
        <f>IF(B1369="","",IFERROR(1/(1/INDEX('STAFF &amp; TASKS'!$C$5:$C$24,MATCH(H1369,'STAFF &amp; TASKS'!$A$5:$A$24,0))),PayRate))</f>
        <v/>
      </c>
      <c r="X1369" s="55">
        <f>IF(B1369="","",IF(OR(O1369="Cancelled",O1369="No-Show"),"",ROUND(R1369*W1369*(1+Burden),2)))</f>
        <v/>
      </c>
      <c r="Y1369" s="55">
        <f>IF(B1369="","",IF(OR(O1369="Cancelled",O1369="No-Show"),"",IF(N1369&lt;&gt;"",N1369,ROUND(R1369*SupHr*IFERROR(INDEX('PRICING'!$G$7:$G$16,MATCH(F1369,'PRICING'!$A$7:$A$16,0)),1),2))))</f>
        <v/>
      </c>
      <c r="Z1369" s="98">
        <f>IF(B1369="","",SUMIFS('MILEAGE'!$J$5:$J$1504,'MILEAGE'!$B$5:$B$1504,A1369))</f>
        <v/>
      </c>
      <c r="AA1369" s="55">
        <f>IF(B1369="","",ROUND(Z1369*MileRate,2))</f>
        <v/>
      </c>
      <c r="AB1369" s="55">
        <f>IF(B1369="","",SUMIFS('REVENUE'!$J$5:$J$1504,'REVENUE'!$B$5:$B$1504,A1369))</f>
        <v/>
      </c>
      <c r="AC1369" s="55">
        <f>IF(L1369="","",IF(OR(O1369="Cancelled",O1369="No-Show"),"",L1369-N(X1369)-N(Y1369)-AA1369-AB1369))</f>
        <v/>
      </c>
      <c r="AD1369" s="99">
        <f>IF(OR(AC1369="",N(L1369)=0),"",AC1369/L1369)</f>
        <v/>
      </c>
      <c r="AE1369" s="55">
        <f>IF(OR(AC1369="",N(R1369)=0),"",L1369/R1369)</f>
        <v/>
      </c>
      <c r="AF1369" s="100">
        <f>IF(OR(N(K1369)=0,N(J1369)+N(Q1369)=0),"",K1369-IF(N(J1369)&gt;0,J1369,Q1369))</f>
        <v/>
      </c>
      <c r="AG1369" s="99">
        <f>IF(B1369="","",IFERROR(AVERAGEIFS('QUALITY CONTROL'!$M$5:$M$304,'QUALITY CONTROL'!$B$5:$B$304,A1369),""))</f>
        <v/>
      </c>
      <c r="AH1369" s="51">
        <f>IF(B1369="","",DATE(YEAR(B1369),MONTH(B1369),1))</f>
        <v/>
      </c>
      <c r="AI1369" s="49">
        <f>IF(D1369="","",IFERROR(INDEX('CUSTOMERS'!$E$5:$E$404,MATCH(D1369,'CUSTOMERS'!$B$5:$B$404,0)),""))</f>
        <v/>
      </c>
      <c r="AJ1369" s="49">
        <f>IF(B1369="","",N(C1369))</f>
        <v/>
      </c>
      <c r="AK1369" s="49">
        <f>IF(OR(B1369="",O1369="Cancelled",O1369="Rescheduled"),"",B1369&amp;"|"&amp;(COUNTIFS('JOBS'!$B$5:$B$1504,B1369,'JOBS'!$AJ$5:$AJ$1504,"&lt;"&amp;AJ1369,'JOBS'!$O$5:$O$1504,"&lt;&gt;Cancelled",'JOBS'!$O$5:$O$1504,"&lt;&gt;Rescheduled")+COUNTIFS($B$5:B1369,B1369,$AJ$5:AJ1369,AJ1369,$O$5:O1369,"&lt;&gt;Cancelled",$O$5:O1369,"&lt;&gt;Rescheduled")))</f>
        <v/>
      </c>
      <c r="AL1369" s="49">
        <f>IF(N(U1369)&lt;=0.005,"",COUNTIFS('JOBS'!$U$5:$U$1504,"&gt;0.005",'JOBS'!$B$5:$B$1504,"&lt;"&amp;B1369)+COUNTIFS($U$5:U1369,"&gt;0.005",$B$5:B1369,B1369))</f>
        <v/>
      </c>
    </row>
    <row r="1370">
      <c r="A1370" s="46" t="inlineStr">
        <is>
          <t>J-1366</t>
        </is>
      </c>
      <c r="B1370" s="47" t="n"/>
      <c r="C1370" s="94" t="n"/>
      <c r="D1370" s="38" t="n"/>
      <c r="E1370" s="38" t="n"/>
      <c r="F1370" s="38" t="n"/>
      <c r="G1370" s="38" t="n"/>
      <c r="H1370" s="38" t="n"/>
      <c r="I1370" s="57" t="n"/>
      <c r="J1370" s="95" t="n"/>
      <c r="K1370" s="95" t="n"/>
      <c r="L1370" s="48" t="n"/>
      <c r="M1370" s="96" t="n"/>
      <c r="N1370" s="48" t="n"/>
      <c r="O1370" s="38" t="n"/>
      <c r="P1370" s="38" t="n"/>
      <c r="Q1370" s="97">
        <f>IF(OR(F1370="",E1370=""),"",IFERROR(IF(INDEX('PROPERTIES'!$F$5:$F$404,MATCH(E1370,'PROPERTIES'!$B$5:$B$404,0))=0,"",ROUND((INDEX('PROPERTIES'!$F$5:$F$404,MATCH(E1370,'PROPERTIES'!$B$5:$B$404,0))/INDEX('PRICING'!$C$7:$C$16,MATCH(F1370,'PRICING'!$A$7:$A$16,0))+INDEX('PROPERTIES'!$G$5:$G$404,MATCH(E1370,'PROPERTIES'!$B$5:$B$404,0))*INDEX('PRICING'!$D$7:$D$16,MATCH(F1370,'PRICING'!$A$7:$A$16,0))/60+INDEX('PROPERTIES'!$H$5:$H$404,MATCH(E1370,'PROPERTIES'!$B$5:$B$404,0))*INDEX('PRICING'!$E$7:$E$16,MATCH(F1370,'PRICING'!$A$7:$A$16,0))/60+INDEX('PRICING'!$F$7:$F$16,MATCH(F1370,'PRICING'!$A$7:$A$16,0))/60),2)),""))</f>
        <v/>
      </c>
      <c r="R1370" s="97">
        <f>IF(B1370="","",IF(N(K1370)&gt;0,K1370,IF(N(J1370)&gt;0,J1370,N(Q1370))))</f>
        <v/>
      </c>
      <c r="S1370" s="55">
        <f>IF(L1370="","",ROUND(L1370*(1+N(M1370)),2))</f>
        <v/>
      </c>
      <c r="T1370" s="55">
        <f>IF(B1370="","",SUMIFS('REVENUE'!$C$5:$C$1504,'REVENUE'!$B$5:$B$1504,A1370))</f>
        <v/>
      </c>
      <c r="U1370" s="55">
        <f>IF(B1370="","",IF(O1370="Completed",MAX(0,N(S1370)-T1370),""))</f>
        <v/>
      </c>
      <c r="V1370" s="49">
        <f>IF(B1370="","",IF(O1370&lt;&gt;"Completed",IF(T1370&gt;0,"Deposit","—"),IF(U1370&lt;=0.005,"Paid",IF(T1370&gt;0,"Partial","Unpaid"))))</f>
        <v/>
      </c>
      <c r="W1370" s="55">
        <f>IF(B1370="","",IFERROR(1/(1/INDEX('STAFF &amp; TASKS'!$C$5:$C$24,MATCH(H1370,'STAFF &amp; TASKS'!$A$5:$A$24,0))),PayRate))</f>
        <v/>
      </c>
      <c r="X1370" s="55">
        <f>IF(B1370="","",IF(OR(O1370="Cancelled",O1370="No-Show"),"",ROUND(R1370*W1370*(1+Burden),2)))</f>
        <v/>
      </c>
      <c r="Y1370" s="55">
        <f>IF(B1370="","",IF(OR(O1370="Cancelled",O1370="No-Show"),"",IF(N1370&lt;&gt;"",N1370,ROUND(R1370*SupHr*IFERROR(INDEX('PRICING'!$G$7:$G$16,MATCH(F1370,'PRICING'!$A$7:$A$16,0)),1),2))))</f>
        <v/>
      </c>
      <c r="Z1370" s="98">
        <f>IF(B1370="","",SUMIFS('MILEAGE'!$J$5:$J$1504,'MILEAGE'!$B$5:$B$1504,A1370))</f>
        <v/>
      </c>
      <c r="AA1370" s="55">
        <f>IF(B1370="","",ROUND(Z1370*MileRate,2))</f>
        <v/>
      </c>
      <c r="AB1370" s="55">
        <f>IF(B1370="","",SUMIFS('REVENUE'!$J$5:$J$1504,'REVENUE'!$B$5:$B$1504,A1370))</f>
        <v/>
      </c>
      <c r="AC1370" s="55">
        <f>IF(L1370="","",IF(OR(O1370="Cancelled",O1370="No-Show"),"",L1370-N(X1370)-N(Y1370)-AA1370-AB1370))</f>
        <v/>
      </c>
      <c r="AD1370" s="99">
        <f>IF(OR(AC1370="",N(L1370)=0),"",AC1370/L1370)</f>
        <v/>
      </c>
      <c r="AE1370" s="55">
        <f>IF(OR(AC1370="",N(R1370)=0),"",L1370/R1370)</f>
        <v/>
      </c>
      <c r="AF1370" s="100">
        <f>IF(OR(N(K1370)=0,N(J1370)+N(Q1370)=0),"",K1370-IF(N(J1370)&gt;0,J1370,Q1370))</f>
        <v/>
      </c>
      <c r="AG1370" s="99">
        <f>IF(B1370="","",IFERROR(AVERAGEIFS('QUALITY CONTROL'!$M$5:$M$304,'QUALITY CONTROL'!$B$5:$B$304,A1370),""))</f>
        <v/>
      </c>
      <c r="AH1370" s="51">
        <f>IF(B1370="","",DATE(YEAR(B1370),MONTH(B1370),1))</f>
        <v/>
      </c>
      <c r="AI1370" s="49">
        <f>IF(D1370="","",IFERROR(INDEX('CUSTOMERS'!$E$5:$E$404,MATCH(D1370,'CUSTOMERS'!$B$5:$B$404,0)),""))</f>
        <v/>
      </c>
      <c r="AJ1370" s="49">
        <f>IF(B1370="","",N(C1370))</f>
        <v/>
      </c>
      <c r="AK1370" s="49">
        <f>IF(OR(B1370="",O1370="Cancelled",O1370="Rescheduled"),"",B1370&amp;"|"&amp;(COUNTIFS('JOBS'!$B$5:$B$1504,B1370,'JOBS'!$AJ$5:$AJ$1504,"&lt;"&amp;AJ1370,'JOBS'!$O$5:$O$1504,"&lt;&gt;Cancelled",'JOBS'!$O$5:$O$1504,"&lt;&gt;Rescheduled")+COUNTIFS($B$5:B1370,B1370,$AJ$5:AJ1370,AJ1370,$O$5:O1370,"&lt;&gt;Cancelled",$O$5:O1370,"&lt;&gt;Rescheduled")))</f>
        <v/>
      </c>
      <c r="AL1370" s="49">
        <f>IF(N(U1370)&lt;=0.005,"",COUNTIFS('JOBS'!$U$5:$U$1504,"&gt;0.005",'JOBS'!$B$5:$B$1504,"&lt;"&amp;B1370)+COUNTIFS($U$5:U1370,"&gt;0.005",$B$5:B1370,B1370))</f>
        <v/>
      </c>
    </row>
    <row r="1371">
      <c r="A1371" s="46" t="inlineStr">
        <is>
          <t>J-1367</t>
        </is>
      </c>
      <c r="B1371" s="47" t="n"/>
      <c r="C1371" s="94" t="n"/>
      <c r="D1371" s="38" t="n"/>
      <c r="E1371" s="38" t="n"/>
      <c r="F1371" s="38" t="n"/>
      <c r="G1371" s="38" t="n"/>
      <c r="H1371" s="38" t="n"/>
      <c r="I1371" s="57" t="n"/>
      <c r="J1371" s="95" t="n"/>
      <c r="K1371" s="95" t="n"/>
      <c r="L1371" s="48" t="n"/>
      <c r="M1371" s="96" t="n"/>
      <c r="N1371" s="48" t="n"/>
      <c r="O1371" s="38" t="n"/>
      <c r="P1371" s="38" t="n"/>
      <c r="Q1371" s="97">
        <f>IF(OR(F1371="",E1371=""),"",IFERROR(IF(INDEX('PROPERTIES'!$F$5:$F$404,MATCH(E1371,'PROPERTIES'!$B$5:$B$404,0))=0,"",ROUND((INDEX('PROPERTIES'!$F$5:$F$404,MATCH(E1371,'PROPERTIES'!$B$5:$B$404,0))/INDEX('PRICING'!$C$7:$C$16,MATCH(F1371,'PRICING'!$A$7:$A$16,0))+INDEX('PROPERTIES'!$G$5:$G$404,MATCH(E1371,'PROPERTIES'!$B$5:$B$404,0))*INDEX('PRICING'!$D$7:$D$16,MATCH(F1371,'PRICING'!$A$7:$A$16,0))/60+INDEX('PROPERTIES'!$H$5:$H$404,MATCH(E1371,'PROPERTIES'!$B$5:$B$404,0))*INDEX('PRICING'!$E$7:$E$16,MATCH(F1371,'PRICING'!$A$7:$A$16,0))/60+INDEX('PRICING'!$F$7:$F$16,MATCH(F1371,'PRICING'!$A$7:$A$16,0))/60),2)),""))</f>
        <v/>
      </c>
      <c r="R1371" s="97">
        <f>IF(B1371="","",IF(N(K1371)&gt;0,K1371,IF(N(J1371)&gt;0,J1371,N(Q1371))))</f>
        <v/>
      </c>
      <c r="S1371" s="55">
        <f>IF(L1371="","",ROUND(L1371*(1+N(M1371)),2))</f>
        <v/>
      </c>
      <c r="T1371" s="55">
        <f>IF(B1371="","",SUMIFS('REVENUE'!$C$5:$C$1504,'REVENUE'!$B$5:$B$1504,A1371))</f>
        <v/>
      </c>
      <c r="U1371" s="55">
        <f>IF(B1371="","",IF(O1371="Completed",MAX(0,N(S1371)-T1371),""))</f>
        <v/>
      </c>
      <c r="V1371" s="49">
        <f>IF(B1371="","",IF(O1371&lt;&gt;"Completed",IF(T1371&gt;0,"Deposit","—"),IF(U1371&lt;=0.005,"Paid",IF(T1371&gt;0,"Partial","Unpaid"))))</f>
        <v/>
      </c>
      <c r="W1371" s="55">
        <f>IF(B1371="","",IFERROR(1/(1/INDEX('STAFF &amp; TASKS'!$C$5:$C$24,MATCH(H1371,'STAFF &amp; TASKS'!$A$5:$A$24,0))),PayRate))</f>
        <v/>
      </c>
      <c r="X1371" s="55">
        <f>IF(B1371="","",IF(OR(O1371="Cancelled",O1371="No-Show"),"",ROUND(R1371*W1371*(1+Burden),2)))</f>
        <v/>
      </c>
      <c r="Y1371" s="55">
        <f>IF(B1371="","",IF(OR(O1371="Cancelled",O1371="No-Show"),"",IF(N1371&lt;&gt;"",N1371,ROUND(R1371*SupHr*IFERROR(INDEX('PRICING'!$G$7:$G$16,MATCH(F1371,'PRICING'!$A$7:$A$16,0)),1),2))))</f>
        <v/>
      </c>
      <c r="Z1371" s="98">
        <f>IF(B1371="","",SUMIFS('MILEAGE'!$J$5:$J$1504,'MILEAGE'!$B$5:$B$1504,A1371))</f>
        <v/>
      </c>
      <c r="AA1371" s="55">
        <f>IF(B1371="","",ROUND(Z1371*MileRate,2))</f>
        <v/>
      </c>
      <c r="AB1371" s="55">
        <f>IF(B1371="","",SUMIFS('REVENUE'!$J$5:$J$1504,'REVENUE'!$B$5:$B$1504,A1371))</f>
        <v/>
      </c>
      <c r="AC1371" s="55">
        <f>IF(L1371="","",IF(OR(O1371="Cancelled",O1371="No-Show"),"",L1371-N(X1371)-N(Y1371)-AA1371-AB1371))</f>
        <v/>
      </c>
      <c r="AD1371" s="99">
        <f>IF(OR(AC1371="",N(L1371)=0),"",AC1371/L1371)</f>
        <v/>
      </c>
      <c r="AE1371" s="55">
        <f>IF(OR(AC1371="",N(R1371)=0),"",L1371/R1371)</f>
        <v/>
      </c>
      <c r="AF1371" s="100">
        <f>IF(OR(N(K1371)=0,N(J1371)+N(Q1371)=0),"",K1371-IF(N(J1371)&gt;0,J1371,Q1371))</f>
        <v/>
      </c>
      <c r="AG1371" s="99">
        <f>IF(B1371="","",IFERROR(AVERAGEIFS('QUALITY CONTROL'!$M$5:$M$304,'QUALITY CONTROL'!$B$5:$B$304,A1371),""))</f>
        <v/>
      </c>
      <c r="AH1371" s="51">
        <f>IF(B1371="","",DATE(YEAR(B1371),MONTH(B1371),1))</f>
        <v/>
      </c>
      <c r="AI1371" s="49">
        <f>IF(D1371="","",IFERROR(INDEX('CUSTOMERS'!$E$5:$E$404,MATCH(D1371,'CUSTOMERS'!$B$5:$B$404,0)),""))</f>
        <v/>
      </c>
      <c r="AJ1371" s="49">
        <f>IF(B1371="","",N(C1371))</f>
        <v/>
      </c>
      <c r="AK1371" s="49">
        <f>IF(OR(B1371="",O1371="Cancelled",O1371="Rescheduled"),"",B1371&amp;"|"&amp;(COUNTIFS('JOBS'!$B$5:$B$1504,B1371,'JOBS'!$AJ$5:$AJ$1504,"&lt;"&amp;AJ1371,'JOBS'!$O$5:$O$1504,"&lt;&gt;Cancelled",'JOBS'!$O$5:$O$1504,"&lt;&gt;Rescheduled")+COUNTIFS($B$5:B1371,B1371,$AJ$5:AJ1371,AJ1371,$O$5:O1371,"&lt;&gt;Cancelled",$O$5:O1371,"&lt;&gt;Rescheduled")))</f>
        <v/>
      </c>
      <c r="AL1371" s="49">
        <f>IF(N(U1371)&lt;=0.005,"",COUNTIFS('JOBS'!$U$5:$U$1504,"&gt;0.005",'JOBS'!$B$5:$B$1504,"&lt;"&amp;B1371)+COUNTIFS($U$5:U1371,"&gt;0.005",$B$5:B1371,B1371))</f>
        <v/>
      </c>
    </row>
    <row r="1372">
      <c r="A1372" s="46" t="inlineStr">
        <is>
          <t>J-1368</t>
        </is>
      </c>
      <c r="B1372" s="47" t="n"/>
      <c r="C1372" s="94" t="n"/>
      <c r="D1372" s="38" t="n"/>
      <c r="E1372" s="38" t="n"/>
      <c r="F1372" s="38" t="n"/>
      <c r="G1372" s="38" t="n"/>
      <c r="H1372" s="38" t="n"/>
      <c r="I1372" s="57" t="n"/>
      <c r="J1372" s="95" t="n"/>
      <c r="K1372" s="95" t="n"/>
      <c r="L1372" s="48" t="n"/>
      <c r="M1372" s="96" t="n"/>
      <c r="N1372" s="48" t="n"/>
      <c r="O1372" s="38" t="n"/>
      <c r="P1372" s="38" t="n"/>
      <c r="Q1372" s="97">
        <f>IF(OR(F1372="",E1372=""),"",IFERROR(IF(INDEX('PROPERTIES'!$F$5:$F$404,MATCH(E1372,'PROPERTIES'!$B$5:$B$404,0))=0,"",ROUND((INDEX('PROPERTIES'!$F$5:$F$404,MATCH(E1372,'PROPERTIES'!$B$5:$B$404,0))/INDEX('PRICING'!$C$7:$C$16,MATCH(F1372,'PRICING'!$A$7:$A$16,0))+INDEX('PROPERTIES'!$G$5:$G$404,MATCH(E1372,'PROPERTIES'!$B$5:$B$404,0))*INDEX('PRICING'!$D$7:$D$16,MATCH(F1372,'PRICING'!$A$7:$A$16,0))/60+INDEX('PROPERTIES'!$H$5:$H$404,MATCH(E1372,'PROPERTIES'!$B$5:$B$404,0))*INDEX('PRICING'!$E$7:$E$16,MATCH(F1372,'PRICING'!$A$7:$A$16,0))/60+INDEX('PRICING'!$F$7:$F$16,MATCH(F1372,'PRICING'!$A$7:$A$16,0))/60),2)),""))</f>
        <v/>
      </c>
      <c r="R1372" s="97">
        <f>IF(B1372="","",IF(N(K1372)&gt;0,K1372,IF(N(J1372)&gt;0,J1372,N(Q1372))))</f>
        <v/>
      </c>
      <c r="S1372" s="55">
        <f>IF(L1372="","",ROUND(L1372*(1+N(M1372)),2))</f>
        <v/>
      </c>
      <c r="T1372" s="55">
        <f>IF(B1372="","",SUMIFS('REVENUE'!$C$5:$C$1504,'REVENUE'!$B$5:$B$1504,A1372))</f>
        <v/>
      </c>
      <c r="U1372" s="55">
        <f>IF(B1372="","",IF(O1372="Completed",MAX(0,N(S1372)-T1372),""))</f>
        <v/>
      </c>
      <c r="V1372" s="49">
        <f>IF(B1372="","",IF(O1372&lt;&gt;"Completed",IF(T1372&gt;0,"Deposit","—"),IF(U1372&lt;=0.005,"Paid",IF(T1372&gt;0,"Partial","Unpaid"))))</f>
        <v/>
      </c>
      <c r="W1372" s="55">
        <f>IF(B1372="","",IFERROR(1/(1/INDEX('STAFF &amp; TASKS'!$C$5:$C$24,MATCH(H1372,'STAFF &amp; TASKS'!$A$5:$A$24,0))),PayRate))</f>
        <v/>
      </c>
      <c r="X1372" s="55">
        <f>IF(B1372="","",IF(OR(O1372="Cancelled",O1372="No-Show"),"",ROUND(R1372*W1372*(1+Burden),2)))</f>
        <v/>
      </c>
      <c r="Y1372" s="55">
        <f>IF(B1372="","",IF(OR(O1372="Cancelled",O1372="No-Show"),"",IF(N1372&lt;&gt;"",N1372,ROUND(R1372*SupHr*IFERROR(INDEX('PRICING'!$G$7:$G$16,MATCH(F1372,'PRICING'!$A$7:$A$16,0)),1),2))))</f>
        <v/>
      </c>
      <c r="Z1372" s="98">
        <f>IF(B1372="","",SUMIFS('MILEAGE'!$J$5:$J$1504,'MILEAGE'!$B$5:$B$1504,A1372))</f>
        <v/>
      </c>
      <c r="AA1372" s="55">
        <f>IF(B1372="","",ROUND(Z1372*MileRate,2))</f>
        <v/>
      </c>
      <c r="AB1372" s="55">
        <f>IF(B1372="","",SUMIFS('REVENUE'!$J$5:$J$1504,'REVENUE'!$B$5:$B$1504,A1372))</f>
        <v/>
      </c>
      <c r="AC1372" s="55">
        <f>IF(L1372="","",IF(OR(O1372="Cancelled",O1372="No-Show"),"",L1372-N(X1372)-N(Y1372)-AA1372-AB1372))</f>
        <v/>
      </c>
      <c r="AD1372" s="99">
        <f>IF(OR(AC1372="",N(L1372)=0),"",AC1372/L1372)</f>
        <v/>
      </c>
      <c r="AE1372" s="55">
        <f>IF(OR(AC1372="",N(R1372)=0),"",L1372/R1372)</f>
        <v/>
      </c>
      <c r="AF1372" s="100">
        <f>IF(OR(N(K1372)=0,N(J1372)+N(Q1372)=0),"",K1372-IF(N(J1372)&gt;0,J1372,Q1372))</f>
        <v/>
      </c>
      <c r="AG1372" s="99">
        <f>IF(B1372="","",IFERROR(AVERAGEIFS('QUALITY CONTROL'!$M$5:$M$304,'QUALITY CONTROL'!$B$5:$B$304,A1372),""))</f>
        <v/>
      </c>
      <c r="AH1372" s="51">
        <f>IF(B1372="","",DATE(YEAR(B1372),MONTH(B1372),1))</f>
        <v/>
      </c>
      <c r="AI1372" s="49">
        <f>IF(D1372="","",IFERROR(INDEX('CUSTOMERS'!$E$5:$E$404,MATCH(D1372,'CUSTOMERS'!$B$5:$B$404,0)),""))</f>
        <v/>
      </c>
      <c r="AJ1372" s="49">
        <f>IF(B1372="","",N(C1372))</f>
        <v/>
      </c>
      <c r="AK1372" s="49">
        <f>IF(OR(B1372="",O1372="Cancelled",O1372="Rescheduled"),"",B1372&amp;"|"&amp;(COUNTIFS('JOBS'!$B$5:$B$1504,B1372,'JOBS'!$AJ$5:$AJ$1504,"&lt;"&amp;AJ1372,'JOBS'!$O$5:$O$1504,"&lt;&gt;Cancelled",'JOBS'!$O$5:$O$1504,"&lt;&gt;Rescheduled")+COUNTIFS($B$5:B1372,B1372,$AJ$5:AJ1372,AJ1372,$O$5:O1372,"&lt;&gt;Cancelled",$O$5:O1372,"&lt;&gt;Rescheduled")))</f>
        <v/>
      </c>
      <c r="AL1372" s="49">
        <f>IF(N(U1372)&lt;=0.005,"",COUNTIFS('JOBS'!$U$5:$U$1504,"&gt;0.005",'JOBS'!$B$5:$B$1504,"&lt;"&amp;B1372)+COUNTIFS($U$5:U1372,"&gt;0.005",$B$5:B1372,B1372))</f>
        <v/>
      </c>
    </row>
    <row r="1373">
      <c r="A1373" s="46" t="inlineStr">
        <is>
          <t>J-1369</t>
        </is>
      </c>
      <c r="B1373" s="47" t="n"/>
      <c r="C1373" s="94" t="n"/>
      <c r="D1373" s="38" t="n"/>
      <c r="E1373" s="38" t="n"/>
      <c r="F1373" s="38" t="n"/>
      <c r="G1373" s="38" t="n"/>
      <c r="H1373" s="38" t="n"/>
      <c r="I1373" s="57" t="n"/>
      <c r="J1373" s="95" t="n"/>
      <c r="K1373" s="95" t="n"/>
      <c r="L1373" s="48" t="n"/>
      <c r="M1373" s="96" t="n"/>
      <c r="N1373" s="48" t="n"/>
      <c r="O1373" s="38" t="n"/>
      <c r="P1373" s="38" t="n"/>
      <c r="Q1373" s="97">
        <f>IF(OR(F1373="",E1373=""),"",IFERROR(IF(INDEX('PROPERTIES'!$F$5:$F$404,MATCH(E1373,'PROPERTIES'!$B$5:$B$404,0))=0,"",ROUND((INDEX('PROPERTIES'!$F$5:$F$404,MATCH(E1373,'PROPERTIES'!$B$5:$B$404,0))/INDEX('PRICING'!$C$7:$C$16,MATCH(F1373,'PRICING'!$A$7:$A$16,0))+INDEX('PROPERTIES'!$G$5:$G$404,MATCH(E1373,'PROPERTIES'!$B$5:$B$404,0))*INDEX('PRICING'!$D$7:$D$16,MATCH(F1373,'PRICING'!$A$7:$A$16,0))/60+INDEX('PROPERTIES'!$H$5:$H$404,MATCH(E1373,'PROPERTIES'!$B$5:$B$404,0))*INDEX('PRICING'!$E$7:$E$16,MATCH(F1373,'PRICING'!$A$7:$A$16,0))/60+INDEX('PRICING'!$F$7:$F$16,MATCH(F1373,'PRICING'!$A$7:$A$16,0))/60),2)),""))</f>
        <v/>
      </c>
      <c r="R1373" s="97">
        <f>IF(B1373="","",IF(N(K1373)&gt;0,K1373,IF(N(J1373)&gt;0,J1373,N(Q1373))))</f>
        <v/>
      </c>
      <c r="S1373" s="55">
        <f>IF(L1373="","",ROUND(L1373*(1+N(M1373)),2))</f>
        <v/>
      </c>
      <c r="T1373" s="55">
        <f>IF(B1373="","",SUMIFS('REVENUE'!$C$5:$C$1504,'REVENUE'!$B$5:$B$1504,A1373))</f>
        <v/>
      </c>
      <c r="U1373" s="55">
        <f>IF(B1373="","",IF(O1373="Completed",MAX(0,N(S1373)-T1373),""))</f>
        <v/>
      </c>
      <c r="V1373" s="49">
        <f>IF(B1373="","",IF(O1373&lt;&gt;"Completed",IF(T1373&gt;0,"Deposit","—"),IF(U1373&lt;=0.005,"Paid",IF(T1373&gt;0,"Partial","Unpaid"))))</f>
        <v/>
      </c>
      <c r="W1373" s="55">
        <f>IF(B1373="","",IFERROR(1/(1/INDEX('STAFF &amp; TASKS'!$C$5:$C$24,MATCH(H1373,'STAFF &amp; TASKS'!$A$5:$A$24,0))),PayRate))</f>
        <v/>
      </c>
      <c r="X1373" s="55">
        <f>IF(B1373="","",IF(OR(O1373="Cancelled",O1373="No-Show"),"",ROUND(R1373*W1373*(1+Burden),2)))</f>
        <v/>
      </c>
      <c r="Y1373" s="55">
        <f>IF(B1373="","",IF(OR(O1373="Cancelled",O1373="No-Show"),"",IF(N1373&lt;&gt;"",N1373,ROUND(R1373*SupHr*IFERROR(INDEX('PRICING'!$G$7:$G$16,MATCH(F1373,'PRICING'!$A$7:$A$16,0)),1),2))))</f>
        <v/>
      </c>
      <c r="Z1373" s="98">
        <f>IF(B1373="","",SUMIFS('MILEAGE'!$J$5:$J$1504,'MILEAGE'!$B$5:$B$1504,A1373))</f>
        <v/>
      </c>
      <c r="AA1373" s="55">
        <f>IF(B1373="","",ROUND(Z1373*MileRate,2))</f>
        <v/>
      </c>
      <c r="AB1373" s="55">
        <f>IF(B1373="","",SUMIFS('REVENUE'!$J$5:$J$1504,'REVENUE'!$B$5:$B$1504,A1373))</f>
        <v/>
      </c>
      <c r="AC1373" s="55">
        <f>IF(L1373="","",IF(OR(O1373="Cancelled",O1373="No-Show"),"",L1373-N(X1373)-N(Y1373)-AA1373-AB1373))</f>
        <v/>
      </c>
      <c r="AD1373" s="99">
        <f>IF(OR(AC1373="",N(L1373)=0),"",AC1373/L1373)</f>
        <v/>
      </c>
      <c r="AE1373" s="55">
        <f>IF(OR(AC1373="",N(R1373)=0),"",L1373/R1373)</f>
        <v/>
      </c>
      <c r="AF1373" s="100">
        <f>IF(OR(N(K1373)=0,N(J1373)+N(Q1373)=0),"",K1373-IF(N(J1373)&gt;0,J1373,Q1373))</f>
        <v/>
      </c>
      <c r="AG1373" s="99">
        <f>IF(B1373="","",IFERROR(AVERAGEIFS('QUALITY CONTROL'!$M$5:$M$304,'QUALITY CONTROL'!$B$5:$B$304,A1373),""))</f>
        <v/>
      </c>
      <c r="AH1373" s="51">
        <f>IF(B1373="","",DATE(YEAR(B1373),MONTH(B1373),1))</f>
        <v/>
      </c>
      <c r="AI1373" s="49">
        <f>IF(D1373="","",IFERROR(INDEX('CUSTOMERS'!$E$5:$E$404,MATCH(D1373,'CUSTOMERS'!$B$5:$B$404,0)),""))</f>
        <v/>
      </c>
      <c r="AJ1373" s="49">
        <f>IF(B1373="","",N(C1373))</f>
        <v/>
      </c>
      <c r="AK1373" s="49">
        <f>IF(OR(B1373="",O1373="Cancelled",O1373="Rescheduled"),"",B1373&amp;"|"&amp;(COUNTIFS('JOBS'!$B$5:$B$1504,B1373,'JOBS'!$AJ$5:$AJ$1504,"&lt;"&amp;AJ1373,'JOBS'!$O$5:$O$1504,"&lt;&gt;Cancelled",'JOBS'!$O$5:$O$1504,"&lt;&gt;Rescheduled")+COUNTIFS($B$5:B1373,B1373,$AJ$5:AJ1373,AJ1373,$O$5:O1373,"&lt;&gt;Cancelled",$O$5:O1373,"&lt;&gt;Rescheduled")))</f>
        <v/>
      </c>
      <c r="AL1373" s="49">
        <f>IF(N(U1373)&lt;=0.005,"",COUNTIFS('JOBS'!$U$5:$U$1504,"&gt;0.005",'JOBS'!$B$5:$B$1504,"&lt;"&amp;B1373)+COUNTIFS($U$5:U1373,"&gt;0.005",$B$5:B1373,B1373))</f>
        <v/>
      </c>
    </row>
    <row r="1374">
      <c r="A1374" s="46" t="inlineStr">
        <is>
          <t>J-1370</t>
        </is>
      </c>
      <c r="B1374" s="47" t="n"/>
      <c r="C1374" s="94" t="n"/>
      <c r="D1374" s="38" t="n"/>
      <c r="E1374" s="38" t="n"/>
      <c r="F1374" s="38" t="n"/>
      <c r="G1374" s="38" t="n"/>
      <c r="H1374" s="38" t="n"/>
      <c r="I1374" s="57" t="n"/>
      <c r="J1374" s="95" t="n"/>
      <c r="K1374" s="95" t="n"/>
      <c r="L1374" s="48" t="n"/>
      <c r="M1374" s="96" t="n"/>
      <c r="N1374" s="48" t="n"/>
      <c r="O1374" s="38" t="n"/>
      <c r="P1374" s="38" t="n"/>
      <c r="Q1374" s="97">
        <f>IF(OR(F1374="",E1374=""),"",IFERROR(IF(INDEX('PROPERTIES'!$F$5:$F$404,MATCH(E1374,'PROPERTIES'!$B$5:$B$404,0))=0,"",ROUND((INDEX('PROPERTIES'!$F$5:$F$404,MATCH(E1374,'PROPERTIES'!$B$5:$B$404,0))/INDEX('PRICING'!$C$7:$C$16,MATCH(F1374,'PRICING'!$A$7:$A$16,0))+INDEX('PROPERTIES'!$G$5:$G$404,MATCH(E1374,'PROPERTIES'!$B$5:$B$404,0))*INDEX('PRICING'!$D$7:$D$16,MATCH(F1374,'PRICING'!$A$7:$A$16,0))/60+INDEX('PROPERTIES'!$H$5:$H$404,MATCH(E1374,'PROPERTIES'!$B$5:$B$404,0))*INDEX('PRICING'!$E$7:$E$16,MATCH(F1374,'PRICING'!$A$7:$A$16,0))/60+INDEX('PRICING'!$F$7:$F$16,MATCH(F1374,'PRICING'!$A$7:$A$16,0))/60),2)),""))</f>
        <v/>
      </c>
      <c r="R1374" s="97">
        <f>IF(B1374="","",IF(N(K1374)&gt;0,K1374,IF(N(J1374)&gt;0,J1374,N(Q1374))))</f>
        <v/>
      </c>
      <c r="S1374" s="55">
        <f>IF(L1374="","",ROUND(L1374*(1+N(M1374)),2))</f>
        <v/>
      </c>
      <c r="T1374" s="55">
        <f>IF(B1374="","",SUMIFS('REVENUE'!$C$5:$C$1504,'REVENUE'!$B$5:$B$1504,A1374))</f>
        <v/>
      </c>
      <c r="U1374" s="55">
        <f>IF(B1374="","",IF(O1374="Completed",MAX(0,N(S1374)-T1374),""))</f>
        <v/>
      </c>
      <c r="V1374" s="49">
        <f>IF(B1374="","",IF(O1374&lt;&gt;"Completed",IF(T1374&gt;0,"Deposit","—"),IF(U1374&lt;=0.005,"Paid",IF(T1374&gt;0,"Partial","Unpaid"))))</f>
        <v/>
      </c>
      <c r="W1374" s="55">
        <f>IF(B1374="","",IFERROR(1/(1/INDEX('STAFF &amp; TASKS'!$C$5:$C$24,MATCH(H1374,'STAFF &amp; TASKS'!$A$5:$A$24,0))),PayRate))</f>
        <v/>
      </c>
      <c r="X1374" s="55">
        <f>IF(B1374="","",IF(OR(O1374="Cancelled",O1374="No-Show"),"",ROUND(R1374*W1374*(1+Burden),2)))</f>
        <v/>
      </c>
      <c r="Y1374" s="55">
        <f>IF(B1374="","",IF(OR(O1374="Cancelled",O1374="No-Show"),"",IF(N1374&lt;&gt;"",N1374,ROUND(R1374*SupHr*IFERROR(INDEX('PRICING'!$G$7:$G$16,MATCH(F1374,'PRICING'!$A$7:$A$16,0)),1),2))))</f>
        <v/>
      </c>
      <c r="Z1374" s="98">
        <f>IF(B1374="","",SUMIFS('MILEAGE'!$J$5:$J$1504,'MILEAGE'!$B$5:$B$1504,A1374))</f>
        <v/>
      </c>
      <c r="AA1374" s="55">
        <f>IF(B1374="","",ROUND(Z1374*MileRate,2))</f>
        <v/>
      </c>
      <c r="AB1374" s="55">
        <f>IF(B1374="","",SUMIFS('REVENUE'!$J$5:$J$1504,'REVENUE'!$B$5:$B$1504,A1374))</f>
        <v/>
      </c>
      <c r="AC1374" s="55">
        <f>IF(L1374="","",IF(OR(O1374="Cancelled",O1374="No-Show"),"",L1374-N(X1374)-N(Y1374)-AA1374-AB1374))</f>
        <v/>
      </c>
      <c r="AD1374" s="99">
        <f>IF(OR(AC1374="",N(L1374)=0),"",AC1374/L1374)</f>
        <v/>
      </c>
      <c r="AE1374" s="55">
        <f>IF(OR(AC1374="",N(R1374)=0),"",L1374/R1374)</f>
        <v/>
      </c>
      <c r="AF1374" s="100">
        <f>IF(OR(N(K1374)=0,N(J1374)+N(Q1374)=0),"",K1374-IF(N(J1374)&gt;0,J1374,Q1374))</f>
        <v/>
      </c>
      <c r="AG1374" s="99">
        <f>IF(B1374="","",IFERROR(AVERAGEIFS('QUALITY CONTROL'!$M$5:$M$304,'QUALITY CONTROL'!$B$5:$B$304,A1374),""))</f>
        <v/>
      </c>
      <c r="AH1374" s="51">
        <f>IF(B1374="","",DATE(YEAR(B1374),MONTH(B1374),1))</f>
        <v/>
      </c>
      <c r="AI1374" s="49">
        <f>IF(D1374="","",IFERROR(INDEX('CUSTOMERS'!$E$5:$E$404,MATCH(D1374,'CUSTOMERS'!$B$5:$B$404,0)),""))</f>
        <v/>
      </c>
      <c r="AJ1374" s="49">
        <f>IF(B1374="","",N(C1374))</f>
        <v/>
      </c>
      <c r="AK1374" s="49">
        <f>IF(OR(B1374="",O1374="Cancelled",O1374="Rescheduled"),"",B1374&amp;"|"&amp;(COUNTIFS('JOBS'!$B$5:$B$1504,B1374,'JOBS'!$AJ$5:$AJ$1504,"&lt;"&amp;AJ1374,'JOBS'!$O$5:$O$1504,"&lt;&gt;Cancelled",'JOBS'!$O$5:$O$1504,"&lt;&gt;Rescheduled")+COUNTIFS($B$5:B1374,B1374,$AJ$5:AJ1374,AJ1374,$O$5:O1374,"&lt;&gt;Cancelled",$O$5:O1374,"&lt;&gt;Rescheduled")))</f>
        <v/>
      </c>
      <c r="AL1374" s="49">
        <f>IF(N(U1374)&lt;=0.005,"",COUNTIFS('JOBS'!$U$5:$U$1504,"&gt;0.005",'JOBS'!$B$5:$B$1504,"&lt;"&amp;B1374)+COUNTIFS($U$5:U1374,"&gt;0.005",$B$5:B1374,B1374))</f>
        <v/>
      </c>
    </row>
    <row r="1375">
      <c r="A1375" s="46" t="inlineStr">
        <is>
          <t>J-1371</t>
        </is>
      </c>
      <c r="B1375" s="47" t="n"/>
      <c r="C1375" s="94" t="n"/>
      <c r="D1375" s="38" t="n"/>
      <c r="E1375" s="38" t="n"/>
      <c r="F1375" s="38" t="n"/>
      <c r="G1375" s="38" t="n"/>
      <c r="H1375" s="38" t="n"/>
      <c r="I1375" s="57" t="n"/>
      <c r="J1375" s="95" t="n"/>
      <c r="K1375" s="95" t="n"/>
      <c r="L1375" s="48" t="n"/>
      <c r="M1375" s="96" t="n"/>
      <c r="N1375" s="48" t="n"/>
      <c r="O1375" s="38" t="n"/>
      <c r="P1375" s="38" t="n"/>
      <c r="Q1375" s="97">
        <f>IF(OR(F1375="",E1375=""),"",IFERROR(IF(INDEX('PROPERTIES'!$F$5:$F$404,MATCH(E1375,'PROPERTIES'!$B$5:$B$404,0))=0,"",ROUND((INDEX('PROPERTIES'!$F$5:$F$404,MATCH(E1375,'PROPERTIES'!$B$5:$B$404,0))/INDEX('PRICING'!$C$7:$C$16,MATCH(F1375,'PRICING'!$A$7:$A$16,0))+INDEX('PROPERTIES'!$G$5:$G$404,MATCH(E1375,'PROPERTIES'!$B$5:$B$404,0))*INDEX('PRICING'!$D$7:$D$16,MATCH(F1375,'PRICING'!$A$7:$A$16,0))/60+INDEX('PROPERTIES'!$H$5:$H$404,MATCH(E1375,'PROPERTIES'!$B$5:$B$404,0))*INDEX('PRICING'!$E$7:$E$16,MATCH(F1375,'PRICING'!$A$7:$A$16,0))/60+INDEX('PRICING'!$F$7:$F$16,MATCH(F1375,'PRICING'!$A$7:$A$16,0))/60),2)),""))</f>
        <v/>
      </c>
      <c r="R1375" s="97">
        <f>IF(B1375="","",IF(N(K1375)&gt;0,K1375,IF(N(J1375)&gt;0,J1375,N(Q1375))))</f>
        <v/>
      </c>
      <c r="S1375" s="55">
        <f>IF(L1375="","",ROUND(L1375*(1+N(M1375)),2))</f>
        <v/>
      </c>
      <c r="T1375" s="55">
        <f>IF(B1375="","",SUMIFS('REVENUE'!$C$5:$C$1504,'REVENUE'!$B$5:$B$1504,A1375))</f>
        <v/>
      </c>
      <c r="U1375" s="55">
        <f>IF(B1375="","",IF(O1375="Completed",MAX(0,N(S1375)-T1375),""))</f>
        <v/>
      </c>
      <c r="V1375" s="49">
        <f>IF(B1375="","",IF(O1375&lt;&gt;"Completed",IF(T1375&gt;0,"Deposit","—"),IF(U1375&lt;=0.005,"Paid",IF(T1375&gt;0,"Partial","Unpaid"))))</f>
        <v/>
      </c>
      <c r="W1375" s="55">
        <f>IF(B1375="","",IFERROR(1/(1/INDEX('STAFF &amp; TASKS'!$C$5:$C$24,MATCH(H1375,'STAFF &amp; TASKS'!$A$5:$A$24,0))),PayRate))</f>
        <v/>
      </c>
      <c r="X1375" s="55">
        <f>IF(B1375="","",IF(OR(O1375="Cancelled",O1375="No-Show"),"",ROUND(R1375*W1375*(1+Burden),2)))</f>
        <v/>
      </c>
      <c r="Y1375" s="55">
        <f>IF(B1375="","",IF(OR(O1375="Cancelled",O1375="No-Show"),"",IF(N1375&lt;&gt;"",N1375,ROUND(R1375*SupHr*IFERROR(INDEX('PRICING'!$G$7:$G$16,MATCH(F1375,'PRICING'!$A$7:$A$16,0)),1),2))))</f>
        <v/>
      </c>
      <c r="Z1375" s="98">
        <f>IF(B1375="","",SUMIFS('MILEAGE'!$J$5:$J$1504,'MILEAGE'!$B$5:$B$1504,A1375))</f>
        <v/>
      </c>
      <c r="AA1375" s="55">
        <f>IF(B1375="","",ROUND(Z1375*MileRate,2))</f>
        <v/>
      </c>
      <c r="AB1375" s="55">
        <f>IF(B1375="","",SUMIFS('REVENUE'!$J$5:$J$1504,'REVENUE'!$B$5:$B$1504,A1375))</f>
        <v/>
      </c>
      <c r="AC1375" s="55">
        <f>IF(L1375="","",IF(OR(O1375="Cancelled",O1375="No-Show"),"",L1375-N(X1375)-N(Y1375)-AA1375-AB1375))</f>
        <v/>
      </c>
      <c r="AD1375" s="99">
        <f>IF(OR(AC1375="",N(L1375)=0),"",AC1375/L1375)</f>
        <v/>
      </c>
      <c r="AE1375" s="55">
        <f>IF(OR(AC1375="",N(R1375)=0),"",L1375/R1375)</f>
        <v/>
      </c>
      <c r="AF1375" s="100">
        <f>IF(OR(N(K1375)=0,N(J1375)+N(Q1375)=0),"",K1375-IF(N(J1375)&gt;0,J1375,Q1375))</f>
        <v/>
      </c>
      <c r="AG1375" s="99">
        <f>IF(B1375="","",IFERROR(AVERAGEIFS('QUALITY CONTROL'!$M$5:$M$304,'QUALITY CONTROL'!$B$5:$B$304,A1375),""))</f>
        <v/>
      </c>
      <c r="AH1375" s="51">
        <f>IF(B1375="","",DATE(YEAR(B1375),MONTH(B1375),1))</f>
        <v/>
      </c>
      <c r="AI1375" s="49">
        <f>IF(D1375="","",IFERROR(INDEX('CUSTOMERS'!$E$5:$E$404,MATCH(D1375,'CUSTOMERS'!$B$5:$B$404,0)),""))</f>
        <v/>
      </c>
      <c r="AJ1375" s="49">
        <f>IF(B1375="","",N(C1375))</f>
        <v/>
      </c>
      <c r="AK1375" s="49">
        <f>IF(OR(B1375="",O1375="Cancelled",O1375="Rescheduled"),"",B1375&amp;"|"&amp;(COUNTIFS('JOBS'!$B$5:$B$1504,B1375,'JOBS'!$AJ$5:$AJ$1504,"&lt;"&amp;AJ1375,'JOBS'!$O$5:$O$1504,"&lt;&gt;Cancelled",'JOBS'!$O$5:$O$1504,"&lt;&gt;Rescheduled")+COUNTIFS($B$5:B1375,B1375,$AJ$5:AJ1375,AJ1375,$O$5:O1375,"&lt;&gt;Cancelled",$O$5:O1375,"&lt;&gt;Rescheduled")))</f>
        <v/>
      </c>
      <c r="AL1375" s="49">
        <f>IF(N(U1375)&lt;=0.005,"",COUNTIFS('JOBS'!$U$5:$U$1504,"&gt;0.005",'JOBS'!$B$5:$B$1504,"&lt;"&amp;B1375)+COUNTIFS($U$5:U1375,"&gt;0.005",$B$5:B1375,B1375))</f>
        <v/>
      </c>
    </row>
    <row r="1376">
      <c r="A1376" s="46" t="inlineStr">
        <is>
          <t>J-1372</t>
        </is>
      </c>
      <c r="B1376" s="47" t="n"/>
      <c r="C1376" s="94" t="n"/>
      <c r="D1376" s="38" t="n"/>
      <c r="E1376" s="38" t="n"/>
      <c r="F1376" s="38" t="n"/>
      <c r="G1376" s="38" t="n"/>
      <c r="H1376" s="38" t="n"/>
      <c r="I1376" s="57" t="n"/>
      <c r="J1376" s="95" t="n"/>
      <c r="K1376" s="95" t="n"/>
      <c r="L1376" s="48" t="n"/>
      <c r="M1376" s="96" t="n"/>
      <c r="N1376" s="48" t="n"/>
      <c r="O1376" s="38" t="n"/>
      <c r="P1376" s="38" t="n"/>
      <c r="Q1376" s="97">
        <f>IF(OR(F1376="",E1376=""),"",IFERROR(IF(INDEX('PROPERTIES'!$F$5:$F$404,MATCH(E1376,'PROPERTIES'!$B$5:$B$404,0))=0,"",ROUND((INDEX('PROPERTIES'!$F$5:$F$404,MATCH(E1376,'PROPERTIES'!$B$5:$B$404,0))/INDEX('PRICING'!$C$7:$C$16,MATCH(F1376,'PRICING'!$A$7:$A$16,0))+INDEX('PROPERTIES'!$G$5:$G$404,MATCH(E1376,'PROPERTIES'!$B$5:$B$404,0))*INDEX('PRICING'!$D$7:$D$16,MATCH(F1376,'PRICING'!$A$7:$A$16,0))/60+INDEX('PROPERTIES'!$H$5:$H$404,MATCH(E1376,'PROPERTIES'!$B$5:$B$404,0))*INDEX('PRICING'!$E$7:$E$16,MATCH(F1376,'PRICING'!$A$7:$A$16,0))/60+INDEX('PRICING'!$F$7:$F$16,MATCH(F1376,'PRICING'!$A$7:$A$16,0))/60),2)),""))</f>
        <v/>
      </c>
      <c r="R1376" s="97">
        <f>IF(B1376="","",IF(N(K1376)&gt;0,K1376,IF(N(J1376)&gt;0,J1376,N(Q1376))))</f>
        <v/>
      </c>
      <c r="S1376" s="55">
        <f>IF(L1376="","",ROUND(L1376*(1+N(M1376)),2))</f>
        <v/>
      </c>
      <c r="T1376" s="55">
        <f>IF(B1376="","",SUMIFS('REVENUE'!$C$5:$C$1504,'REVENUE'!$B$5:$B$1504,A1376))</f>
        <v/>
      </c>
      <c r="U1376" s="55">
        <f>IF(B1376="","",IF(O1376="Completed",MAX(0,N(S1376)-T1376),""))</f>
        <v/>
      </c>
      <c r="V1376" s="49">
        <f>IF(B1376="","",IF(O1376&lt;&gt;"Completed",IF(T1376&gt;0,"Deposit","—"),IF(U1376&lt;=0.005,"Paid",IF(T1376&gt;0,"Partial","Unpaid"))))</f>
        <v/>
      </c>
      <c r="W1376" s="55">
        <f>IF(B1376="","",IFERROR(1/(1/INDEX('STAFF &amp; TASKS'!$C$5:$C$24,MATCH(H1376,'STAFF &amp; TASKS'!$A$5:$A$24,0))),PayRate))</f>
        <v/>
      </c>
      <c r="X1376" s="55">
        <f>IF(B1376="","",IF(OR(O1376="Cancelled",O1376="No-Show"),"",ROUND(R1376*W1376*(1+Burden),2)))</f>
        <v/>
      </c>
      <c r="Y1376" s="55">
        <f>IF(B1376="","",IF(OR(O1376="Cancelled",O1376="No-Show"),"",IF(N1376&lt;&gt;"",N1376,ROUND(R1376*SupHr*IFERROR(INDEX('PRICING'!$G$7:$G$16,MATCH(F1376,'PRICING'!$A$7:$A$16,0)),1),2))))</f>
        <v/>
      </c>
      <c r="Z1376" s="98">
        <f>IF(B1376="","",SUMIFS('MILEAGE'!$J$5:$J$1504,'MILEAGE'!$B$5:$B$1504,A1376))</f>
        <v/>
      </c>
      <c r="AA1376" s="55">
        <f>IF(B1376="","",ROUND(Z1376*MileRate,2))</f>
        <v/>
      </c>
      <c r="AB1376" s="55">
        <f>IF(B1376="","",SUMIFS('REVENUE'!$J$5:$J$1504,'REVENUE'!$B$5:$B$1504,A1376))</f>
        <v/>
      </c>
      <c r="AC1376" s="55">
        <f>IF(L1376="","",IF(OR(O1376="Cancelled",O1376="No-Show"),"",L1376-N(X1376)-N(Y1376)-AA1376-AB1376))</f>
        <v/>
      </c>
      <c r="AD1376" s="99">
        <f>IF(OR(AC1376="",N(L1376)=0),"",AC1376/L1376)</f>
        <v/>
      </c>
      <c r="AE1376" s="55">
        <f>IF(OR(AC1376="",N(R1376)=0),"",L1376/R1376)</f>
        <v/>
      </c>
      <c r="AF1376" s="100">
        <f>IF(OR(N(K1376)=0,N(J1376)+N(Q1376)=0),"",K1376-IF(N(J1376)&gt;0,J1376,Q1376))</f>
        <v/>
      </c>
      <c r="AG1376" s="99">
        <f>IF(B1376="","",IFERROR(AVERAGEIFS('QUALITY CONTROL'!$M$5:$M$304,'QUALITY CONTROL'!$B$5:$B$304,A1376),""))</f>
        <v/>
      </c>
      <c r="AH1376" s="51">
        <f>IF(B1376="","",DATE(YEAR(B1376),MONTH(B1376),1))</f>
        <v/>
      </c>
      <c r="AI1376" s="49">
        <f>IF(D1376="","",IFERROR(INDEX('CUSTOMERS'!$E$5:$E$404,MATCH(D1376,'CUSTOMERS'!$B$5:$B$404,0)),""))</f>
        <v/>
      </c>
      <c r="AJ1376" s="49">
        <f>IF(B1376="","",N(C1376))</f>
        <v/>
      </c>
      <c r="AK1376" s="49">
        <f>IF(OR(B1376="",O1376="Cancelled",O1376="Rescheduled"),"",B1376&amp;"|"&amp;(COUNTIFS('JOBS'!$B$5:$B$1504,B1376,'JOBS'!$AJ$5:$AJ$1504,"&lt;"&amp;AJ1376,'JOBS'!$O$5:$O$1504,"&lt;&gt;Cancelled",'JOBS'!$O$5:$O$1504,"&lt;&gt;Rescheduled")+COUNTIFS($B$5:B1376,B1376,$AJ$5:AJ1376,AJ1376,$O$5:O1376,"&lt;&gt;Cancelled",$O$5:O1376,"&lt;&gt;Rescheduled")))</f>
        <v/>
      </c>
      <c r="AL1376" s="49">
        <f>IF(N(U1376)&lt;=0.005,"",COUNTIFS('JOBS'!$U$5:$U$1504,"&gt;0.005",'JOBS'!$B$5:$B$1504,"&lt;"&amp;B1376)+COUNTIFS($U$5:U1376,"&gt;0.005",$B$5:B1376,B1376))</f>
        <v/>
      </c>
    </row>
    <row r="1377">
      <c r="A1377" s="46" t="inlineStr">
        <is>
          <t>J-1373</t>
        </is>
      </c>
      <c r="B1377" s="47" t="n"/>
      <c r="C1377" s="94" t="n"/>
      <c r="D1377" s="38" t="n"/>
      <c r="E1377" s="38" t="n"/>
      <c r="F1377" s="38" t="n"/>
      <c r="G1377" s="38" t="n"/>
      <c r="H1377" s="38" t="n"/>
      <c r="I1377" s="57" t="n"/>
      <c r="J1377" s="95" t="n"/>
      <c r="K1377" s="95" t="n"/>
      <c r="L1377" s="48" t="n"/>
      <c r="M1377" s="96" t="n"/>
      <c r="N1377" s="48" t="n"/>
      <c r="O1377" s="38" t="n"/>
      <c r="P1377" s="38" t="n"/>
      <c r="Q1377" s="97">
        <f>IF(OR(F1377="",E1377=""),"",IFERROR(IF(INDEX('PROPERTIES'!$F$5:$F$404,MATCH(E1377,'PROPERTIES'!$B$5:$B$404,0))=0,"",ROUND((INDEX('PROPERTIES'!$F$5:$F$404,MATCH(E1377,'PROPERTIES'!$B$5:$B$404,0))/INDEX('PRICING'!$C$7:$C$16,MATCH(F1377,'PRICING'!$A$7:$A$16,0))+INDEX('PROPERTIES'!$G$5:$G$404,MATCH(E1377,'PROPERTIES'!$B$5:$B$404,0))*INDEX('PRICING'!$D$7:$D$16,MATCH(F1377,'PRICING'!$A$7:$A$16,0))/60+INDEX('PROPERTIES'!$H$5:$H$404,MATCH(E1377,'PROPERTIES'!$B$5:$B$404,0))*INDEX('PRICING'!$E$7:$E$16,MATCH(F1377,'PRICING'!$A$7:$A$16,0))/60+INDEX('PRICING'!$F$7:$F$16,MATCH(F1377,'PRICING'!$A$7:$A$16,0))/60),2)),""))</f>
        <v/>
      </c>
      <c r="R1377" s="97">
        <f>IF(B1377="","",IF(N(K1377)&gt;0,K1377,IF(N(J1377)&gt;0,J1377,N(Q1377))))</f>
        <v/>
      </c>
      <c r="S1377" s="55">
        <f>IF(L1377="","",ROUND(L1377*(1+N(M1377)),2))</f>
        <v/>
      </c>
      <c r="T1377" s="55">
        <f>IF(B1377="","",SUMIFS('REVENUE'!$C$5:$C$1504,'REVENUE'!$B$5:$B$1504,A1377))</f>
        <v/>
      </c>
      <c r="U1377" s="55">
        <f>IF(B1377="","",IF(O1377="Completed",MAX(0,N(S1377)-T1377),""))</f>
        <v/>
      </c>
      <c r="V1377" s="49">
        <f>IF(B1377="","",IF(O1377&lt;&gt;"Completed",IF(T1377&gt;0,"Deposit","—"),IF(U1377&lt;=0.005,"Paid",IF(T1377&gt;0,"Partial","Unpaid"))))</f>
        <v/>
      </c>
      <c r="W1377" s="55">
        <f>IF(B1377="","",IFERROR(1/(1/INDEX('STAFF &amp; TASKS'!$C$5:$C$24,MATCH(H1377,'STAFF &amp; TASKS'!$A$5:$A$24,0))),PayRate))</f>
        <v/>
      </c>
      <c r="X1377" s="55">
        <f>IF(B1377="","",IF(OR(O1377="Cancelled",O1377="No-Show"),"",ROUND(R1377*W1377*(1+Burden),2)))</f>
        <v/>
      </c>
      <c r="Y1377" s="55">
        <f>IF(B1377="","",IF(OR(O1377="Cancelled",O1377="No-Show"),"",IF(N1377&lt;&gt;"",N1377,ROUND(R1377*SupHr*IFERROR(INDEX('PRICING'!$G$7:$G$16,MATCH(F1377,'PRICING'!$A$7:$A$16,0)),1),2))))</f>
        <v/>
      </c>
      <c r="Z1377" s="98">
        <f>IF(B1377="","",SUMIFS('MILEAGE'!$J$5:$J$1504,'MILEAGE'!$B$5:$B$1504,A1377))</f>
        <v/>
      </c>
      <c r="AA1377" s="55">
        <f>IF(B1377="","",ROUND(Z1377*MileRate,2))</f>
        <v/>
      </c>
      <c r="AB1377" s="55">
        <f>IF(B1377="","",SUMIFS('REVENUE'!$J$5:$J$1504,'REVENUE'!$B$5:$B$1504,A1377))</f>
        <v/>
      </c>
      <c r="AC1377" s="55">
        <f>IF(L1377="","",IF(OR(O1377="Cancelled",O1377="No-Show"),"",L1377-N(X1377)-N(Y1377)-AA1377-AB1377))</f>
        <v/>
      </c>
      <c r="AD1377" s="99">
        <f>IF(OR(AC1377="",N(L1377)=0),"",AC1377/L1377)</f>
        <v/>
      </c>
      <c r="AE1377" s="55">
        <f>IF(OR(AC1377="",N(R1377)=0),"",L1377/R1377)</f>
        <v/>
      </c>
      <c r="AF1377" s="100">
        <f>IF(OR(N(K1377)=0,N(J1377)+N(Q1377)=0),"",K1377-IF(N(J1377)&gt;0,J1377,Q1377))</f>
        <v/>
      </c>
      <c r="AG1377" s="99">
        <f>IF(B1377="","",IFERROR(AVERAGEIFS('QUALITY CONTROL'!$M$5:$M$304,'QUALITY CONTROL'!$B$5:$B$304,A1377),""))</f>
        <v/>
      </c>
      <c r="AH1377" s="51">
        <f>IF(B1377="","",DATE(YEAR(B1377),MONTH(B1377),1))</f>
        <v/>
      </c>
      <c r="AI1377" s="49">
        <f>IF(D1377="","",IFERROR(INDEX('CUSTOMERS'!$E$5:$E$404,MATCH(D1377,'CUSTOMERS'!$B$5:$B$404,0)),""))</f>
        <v/>
      </c>
      <c r="AJ1377" s="49">
        <f>IF(B1377="","",N(C1377))</f>
        <v/>
      </c>
      <c r="AK1377" s="49">
        <f>IF(OR(B1377="",O1377="Cancelled",O1377="Rescheduled"),"",B1377&amp;"|"&amp;(COUNTIFS('JOBS'!$B$5:$B$1504,B1377,'JOBS'!$AJ$5:$AJ$1504,"&lt;"&amp;AJ1377,'JOBS'!$O$5:$O$1504,"&lt;&gt;Cancelled",'JOBS'!$O$5:$O$1504,"&lt;&gt;Rescheduled")+COUNTIFS($B$5:B1377,B1377,$AJ$5:AJ1377,AJ1377,$O$5:O1377,"&lt;&gt;Cancelled",$O$5:O1377,"&lt;&gt;Rescheduled")))</f>
        <v/>
      </c>
      <c r="AL1377" s="49">
        <f>IF(N(U1377)&lt;=0.005,"",COUNTIFS('JOBS'!$U$5:$U$1504,"&gt;0.005",'JOBS'!$B$5:$B$1504,"&lt;"&amp;B1377)+COUNTIFS($U$5:U1377,"&gt;0.005",$B$5:B1377,B1377))</f>
        <v/>
      </c>
    </row>
    <row r="1378">
      <c r="A1378" s="46" t="inlineStr">
        <is>
          <t>J-1374</t>
        </is>
      </c>
      <c r="B1378" s="47" t="n"/>
      <c r="C1378" s="94" t="n"/>
      <c r="D1378" s="38" t="n"/>
      <c r="E1378" s="38" t="n"/>
      <c r="F1378" s="38" t="n"/>
      <c r="G1378" s="38" t="n"/>
      <c r="H1378" s="38" t="n"/>
      <c r="I1378" s="57" t="n"/>
      <c r="J1378" s="95" t="n"/>
      <c r="K1378" s="95" t="n"/>
      <c r="L1378" s="48" t="n"/>
      <c r="M1378" s="96" t="n"/>
      <c r="N1378" s="48" t="n"/>
      <c r="O1378" s="38" t="n"/>
      <c r="P1378" s="38" t="n"/>
      <c r="Q1378" s="97">
        <f>IF(OR(F1378="",E1378=""),"",IFERROR(IF(INDEX('PROPERTIES'!$F$5:$F$404,MATCH(E1378,'PROPERTIES'!$B$5:$B$404,0))=0,"",ROUND((INDEX('PROPERTIES'!$F$5:$F$404,MATCH(E1378,'PROPERTIES'!$B$5:$B$404,0))/INDEX('PRICING'!$C$7:$C$16,MATCH(F1378,'PRICING'!$A$7:$A$16,0))+INDEX('PROPERTIES'!$G$5:$G$404,MATCH(E1378,'PROPERTIES'!$B$5:$B$404,0))*INDEX('PRICING'!$D$7:$D$16,MATCH(F1378,'PRICING'!$A$7:$A$16,0))/60+INDEX('PROPERTIES'!$H$5:$H$404,MATCH(E1378,'PROPERTIES'!$B$5:$B$404,0))*INDEX('PRICING'!$E$7:$E$16,MATCH(F1378,'PRICING'!$A$7:$A$16,0))/60+INDEX('PRICING'!$F$7:$F$16,MATCH(F1378,'PRICING'!$A$7:$A$16,0))/60),2)),""))</f>
        <v/>
      </c>
      <c r="R1378" s="97">
        <f>IF(B1378="","",IF(N(K1378)&gt;0,K1378,IF(N(J1378)&gt;0,J1378,N(Q1378))))</f>
        <v/>
      </c>
      <c r="S1378" s="55">
        <f>IF(L1378="","",ROUND(L1378*(1+N(M1378)),2))</f>
        <v/>
      </c>
      <c r="T1378" s="55">
        <f>IF(B1378="","",SUMIFS('REVENUE'!$C$5:$C$1504,'REVENUE'!$B$5:$B$1504,A1378))</f>
        <v/>
      </c>
      <c r="U1378" s="55">
        <f>IF(B1378="","",IF(O1378="Completed",MAX(0,N(S1378)-T1378),""))</f>
        <v/>
      </c>
      <c r="V1378" s="49">
        <f>IF(B1378="","",IF(O1378&lt;&gt;"Completed",IF(T1378&gt;0,"Deposit","—"),IF(U1378&lt;=0.005,"Paid",IF(T1378&gt;0,"Partial","Unpaid"))))</f>
        <v/>
      </c>
      <c r="W1378" s="55">
        <f>IF(B1378="","",IFERROR(1/(1/INDEX('STAFF &amp; TASKS'!$C$5:$C$24,MATCH(H1378,'STAFF &amp; TASKS'!$A$5:$A$24,0))),PayRate))</f>
        <v/>
      </c>
      <c r="X1378" s="55">
        <f>IF(B1378="","",IF(OR(O1378="Cancelled",O1378="No-Show"),"",ROUND(R1378*W1378*(1+Burden),2)))</f>
        <v/>
      </c>
      <c r="Y1378" s="55">
        <f>IF(B1378="","",IF(OR(O1378="Cancelled",O1378="No-Show"),"",IF(N1378&lt;&gt;"",N1378,ROUND(R1378*SupHr*IFERROR(INDEX('PRICING'!$G$7:$G$16,MATCH(F1378,'PRICING'!$A$7:$A$16,0)),1),2))))</f>
        <v/>
      </c>
      <c r="Z1378" s="98">
        <f>IF(B1378="","",SUMIFS('MILEAGE'!$J$5:$J$1504,'MILEAGE'!$B$5:$B$1504,A1378))</f>
        <v/>
      </c>
      <c r="AA1378" s="55">
        <f>IF(B1378="","",ROUND(Z1378*MileRate,2))</f>
        <v/>
      </c>
      <c r="AB1378" s="55">
        <f>IF(B1378="","",SUMIFS('REVENUE'!$J$5:$J$1504,'REVENUE'!$B$5:$B$1504,A1378))</f>
        <v/>
      </c>
      <c r="AC1378" s="55">
        <f>IF(L1378="","",IF(OR(O1378="Cancelled",O1378="No-Show"),"",L1378-N(X1378)-N(Y1378)-AA1378-AB1378))</f>
        <v/>
      </c>
      <c r="AD1378" s="99">
        <f>IF(OR(AC1378="",N(L1378)=0),"",AC1378/L1378)</f>
        <v/>
      </c>
      <c r="AE1378" s="55">
        <f>IF(OR(AC1378="",N(R1378)=0),"",L1378/R1378)</f>
        <v/>
      </c>
      <c r="AF1378" s="100">
        <f>IF(OR(N(K1378)=0,N(J1378)+N(Q1378)=0),"",K1378-IF(N(J1378)&gt;0,J1378,Q1378))</f>
        <v/>
      </c>
      <c r="AG1378" s="99">
        <f>IF(B1378="","",IFERROR(AVERAGEIFS('QUALITY CONTROL'!$M$5:$M$304,'QUALITY CONTROL'!$B$5:$B$304,A1378),""))</f>
        <v/>
      </c>
      <c r="AH1378" s="51">
        <f>IF(B1378="","",DATE(YEAR(B1378),MONTH(B1378),1))</f>
        <v/>
      </c>
      <c r="AI1378" s="49">
        <f>IF(D1378="","",IFERROR(INDEX('CUSTOMERS'!$E$5:$E$404,MATCH(D1378,'CUSTOMERS'!$B$5:$B$404,0)),""))</f>
        <v/>
      </c>
      <c r="AJ1378" s="49">
        <f>IF(B1378="","",N(C1378))</f>
        <v/>
      </c>
      <c r="AK1378" s="49">
        <f>IF(OR(B1378="",O1378="Cancelled",O1378="Rescheduled"),"",B1378&amp;"|"&amp;(COUNTIFS('JOBS'!$B$5:$B$1504,B1378,'JOBS'!$AJ$5:$AJ$1504,"&lt;"&amp;AJ1378,'JOBS'!$O$5:$O$1504,"&lt;&gt;Cancelled",'JOBS'!$O$5:$O$1504,"&lt;&gt;Rescheduled")+COUNTIFS($B$5:B1378,B1378,$AJ$5:AJ1378,AJ1378,$O$5:O1378,"&lt;&gt;Cancelled",$O$5:O1378,"&lt;&gt;Rescheduled")))</f>
        <v/>
      </c>
      <c r="AL1378" s="49">
        <f>IF(N(U1378)&lt;=0.005,"",COUNTIFS('JOBS'!$U$5:$U$1504,"&gt;0.005",'JOBS'!$B$5:$B$1504,"&lt;"&amp;B1378)+COUNTIFS($U$5:U1378,"&gt;0.005",$B$5:B1378,B1378))</f>
        <v/>
      </c>
    </row>
    <row r="1379">
      <c r="A1379" s="46" t="inlineStr">
        <is>
          <t>J-1375</t>
        </is>
      </c>
      <c r="B1379" s="47" t="n"/>
      <c r="C1379" s="94" t="n"/>
      <c r="D1379" s="38" t="n"/>
      <c r="E1379" s="38" t="n"/>
      <c r="F1379" s="38" t="n"/>
      <c r="G1379" s="38" t="n"/>
      <c r="H1379" s="38" t="n"/>
      <c r="I1379" s="57" t="n"/>
      <c r="J1379" s="95" t="n"/>
      <c r="K1379" s="95" t="n"/>
      <c r="L1379" s="48" t="n"/>
      <c r="M1379" s="96" t="n"/>
      <c r="N1379" s="48" t="n"/>
      <c r="O1379" s="38" t="n"/>
      <c r="P1379" s="38" t="n"/>
      <c r="Q1379" s="97">
        <f>IF(OR(F1379="",E1379=""),"",IFERROR(IF(INDEX('PROPERTIES'!$F$5:$F$404,MATCH(E1379,'PROPERTIES'!$B$5:$B$404,0))=0,"",ROUND((INDEX('PROPERTIES'!$F$5:$F$404,MATCH(E1379,'PROPERTIES'!$B$5:$B$404,0))/INDEX('PRICING'!$C$7:$C$16,MATCH(F1379,'PRICING'!$A$7:$A$16,0))+INDEX('PROPERTIES'!$G$5:$G$404,MATCH(E1379,'PROPERTIES'!$B$5:$B$404,0))*INDEX('PRICING'!$D$7:$D$16,MATCH(F1379,'PRICING'!$A$7:$A$16,0))/60+INDEX('PROPERTIES'!$H$5:$H$404,MATCH(E1379,'PROPERTIES'!$B$5:$B$404,0))*INDEX('PRICING'!$E$7:$E$16,MATCH(F1379,'PRICING'!$A$7:$A$16,0))/60+INDEX('PRICING'!$F$7:$F$16,MATCH(F1379,'PRICING'!$A$7:$A$16,0))/60),2)),""))</f>
        <v/>
      </c>
      <c r="R1379" s="97">
        <f>IF(B1379="","",IF(N(K1379)&gt;0,K1379,IF(N(J1379)&gt;0,J1379,N(Q1379))))</f>
        <v/>
      </c>
      <c r="S1379" s="55">
        <f>IF(L1379="","",ROUND(L1379*(1+N(M1379)),2))</f>
        <v/>
      </c>
      <c r="T1379" s="55">
        <f>IF(B1379="","",SUMIFS('REVENUE'!$C$5:$C$1504,'REVENUE'!$B$5:$B$1504,A1379))</f>
        <v/>
      </c>
      <c r="U1379" s="55">
        <f>IF(B1379="","",IF(O1379="Completed",MAX(0,N(S1379)-T1379),""))</f>
        <v/>
      </c>
      <c r="V1379" s="49">
        <f>IF(B1379="","",IF(O1379&lt;&gt;"Completed",IF(T1379&gt;0,"Deposit","—"),IF(U1379&lt;=0.005,"Paid",IF(T1379&gt;0,"Partial","Unpaid"))))</f>
        <v/>
      </c>
      <c r="W1379" s="55">
        <f>IF(B1379="","",IFERROR(1/(1/INDEX('STAFF &amp; TASKS'!$C$5:$C$24,MATCH(H1379,'STAFF &amp; TASKS'!$A$5:$A$24,0))),PayRate))</f>
        <v/>
      </c>
      <c r="X1379" s="55">
        <f>IF(B1379="","",IF(OR(O1379="Cancelled",O1379="No-Show"),"",ROUND(R1379*W1379*(1+Burden),2)))</f>
        <v/>
      </c>
      <c r="Y1379" s="55">
        <f>IF(B1379="","",IF(OR(O1379="Cancelled",O1379="No-Show"),"",IF(N1379&lt;&gt;"",N1379,ROUND(R1379*SupHr*IFERROR(INDEX('PRICING'!$G$7:$G$16,MATCH(F1379,'PRICING'!$A$7:$A$16,0)),1),2))))</f>
        <v/>
      </c>
      <c r="Z1379" s="98">
        <f>IF(B1379="","",SUMIFS('MILEAGE'!$J$5:$J$1504,'MILEAGE'!$B$5:$B$1504,A1379))</f>
        <v/>
      </c>
      <c r="AA1379" s="55">
        <f>IF(B1379="","",ROUND(Z1379*MileRate,2))</f>
        <v/>
      </c>
      <c r="AB1379" s="55">
        <f>IF(B1379="","",SUMIFS('REVENUE'!$J$5:$J$1504,'REVENUE'!$B$5:$B$1504,A1379))</f>
        <v/>
      </c>
      <c r="AC1379" s="55">
        <f>IF(L1379="","",IF(OR(O1379="Cancelled",O1379="No-Show"),"",L1379-N(X1379)-N(Y1379)-AA1379-AB1379))</f>
        <v/>
      </c>
      <c r="AD1379" s="99">
        <f>IF(OR(AC1379="",N(L1379)=0),"",AC1379/L1379)</f>
        <v/>
      </c>
      <c r="AE1379" s="55">
        <f>IF(OR(AC1379="",N(R1379)=0),"",L1379/R1379)</f>
        <v/>
      </c>
      <c r="AF1379" s="100">
        <f>IF(OR(N(K1379)=0,N(J1379)+N(Q1379)=0),"",K1379-IF(N(J1379)&gt;0,J1379,Q1379))</f>
        <v/>
      </c>
      <c r="AG1379" s="99">
        <f>IF(B1379="","",IFERROR(AVERAGEIFS('QUALITY CONTROL'!$M$5:$M$304,'QUALITY CONTROL'!$B$5:$B$304,A1379),""))</f>
        <v/>
      </c>
      <c r="AH1379" s="51">
        <f>IF(B1379="","",DATE(YEAR(B1379),MONTH(B1379),1))</f>
        <v/>
      </c>
      <c r="AI1379" s="49">
        <f>IF(D1379="","",IFERROR(INDEX('CUSTOMERS'!$E$5:$E$404,MATCH(D1379,'CUSTOMERS'!$B$5:$B$404,0)),""))</f>
        <v/>
      </c>
      <c r="AJ1379" s="49">
        <f>IF(B1379="","",N(C1379))</f>
        <v/>
      </c>
      <c r="AK1379" s="49">
        <f>IF(OR(B1379="",O1379="Cancelled",O1379="Rescheduled"),"",B1379&amp;"|"&amp;(COUNTIFS('JOBS'!$B$5:$B$1504,B1379,'JOBS'!$AJ$5:$AJ$1504,"&lt;"&amp;AJ1379,'JOBS'!$O$5:$O$1504,"&lt;&gt;Cancelled",'JOBS'!$O$5:$O$1504,"&lt;&gt;Rescheduled")+COUNTIFS($B$5:B1379,B1379,$AJ$5:AJ1379,AJ1379,$O$5:O1379,"&lt;&gt;Cancelled",$O$5:O1379,"&lt;&gt;Rescheduled")))</f>
        <v/>
      </c>
      <c r="AL1379" s="49">
        <f>IF(N(U1379)&lt;=0.005,"",COUNTIFS('JOBS'!$U$5:$U$1504,"&gt;0.005",'JOBS'!$B$5:$B$1504,"&lt;"&amp;B1379)+COUNTIFS($U$5:U1379,"&gt;0.005",$B$5:B1379,B1379))</f>
        <v/>
      </c>
    </row>
    <row r="1380">
      <c r="A1380" s="46" t="inlineStr">
        <is>
          <t>J-1376</t>
        </is>
      </c>
      <c r="B1380" s="47" t="n"/>
      <c r="C1380" s="94" t="n"/>
      <c r="D1380" s="38" t="n"/>
      <c r="E1380" s="38" t="n"/>
      <c r="F1380" s="38" t="n"/>
      <c r="G1380" s="38" t="n"/>
      <c r="H1380" s="38" t="n"/>
      <c r="I1380" s="57" t="n"/>
      <c r="J1380" s="95" t="n"/>
      <c r="K1380" s="95" t="n"/>
      <c r="L1380" s="48" t="n"/>
      <c r="M1380" s="96" t="n"/>
      <c r="N1380" s="48" t="n"/>
      <c r="O1380" s="38" t="n"/>
      <c r="P1380" s="38" t="n"/>
      <c r="Q1380" s="97">
        <f>IF(OR(F1380="",E1380=""),"",IFERROR(IF(INDEX('PROPERTIES'!$F$5:$F$404,MATCH(E1380,'PROPERTIES'!$B$5:$B$404,0))=0,"",ROUND((INDEX('PROPERTIES'!$F$5:$F$404,MATCH(E1380,'PROPERTIES'!$B$5:$B$404,0))/INDEX('PRICING'!$C$7:$C$16,MATCH(F1380,'PRICING'!$A$7:$A$16,0))+INDEX('PROPERTIES'!$G$5:$G$404,MATCH(E1380,'PROPERTIES'!$B$5:$B$404,0))*INDEX('PRICING'!$D$7:$D$16,MATCH(F1380,'PRICING'!$A$7:$A$16,0))/60+INDEX('PROPERTIES'!$H$5:$H$404,MATCH(E1380,'PROPERTIES'!$B$5:$B$404,0))*INDEX('PRICING'!$E$7:$E$16,MATCH(F1380,'PRICING'!$A$7:$A$16,0))/60+INDEX('PRICING'!$F$7:$F$16,MATCH(F1380,'PRICING'!$A$7:$A$16,0))/60),2)),""))</f>
        <v/>
      </c>
      <c r="R1380" s="97">
        <f>IF(B1380="","",IF(N(K1380)&gt;0,K1380,IF(N(J1380)&gt;0,J1380,N(Q1380))))</f>
        <v/>
      </c>
      <c r="S1380" s="55">
        <f>IF(L1380="","",ROUND(L1380*(1+N(M1380)),2))</f>
        <v/>
      </c>
      <c r="T1380" s="55">
        <f>IF(B1380="","",SUMIFS('REVENUE'!$C$5:$C$1504,'REVENUE'!$B$5:$B$1504,A1380))</f>
        <v/>
      </c>
      <c r="U1380" s="55">
        <f>IF(B1380="","",IF(O1380="Completed",MAX(0,N(S1380)-T1380),""))</f>
        <v/>
      </c>
      <c r="V1380" s="49">
        <f>IF(B1380="","",IF(O1380&lt;&gt;"Completed",IF(T1380&gt;0,"Deposit","—"),IF(U1380&lt;=0.005,"Paid",IF(T1380&gt;0,"Partial","Unpaid"))))</f>
        <v/>
      </c>
      <c r="W1380" s="55">
        <f>IF(B1380="","",IFERROR(1/(1/INDEX('STAFF &amp; TASKS'!$C$5:$C$24,MATCH(H1380,'STAFF &amp; TASKS'!$A$5:$A$24,0))),PayRate))</f>
        <v/>
      </c>
      <c r="X1380" s="55">
        <f>IF(B1380="","",IF(OR(O1380="Cancelled",O1380="No-Show"),"",ROUND(R1380*W1380*(1+Burden),2)))</f>
        <v/>
      </c>
      <c r="Y1380" s="55">
        <f>IF(B1380="","",IF(OR(O1380="Cancelled",O1380="No-Show"),"",IF(N1380&lt;&gt;"",N1380,ROUND(R1380*SupHr*IFERROR(INDEX('PRICING'!$G$7:$G$16,MATCH(F1380,'PRICING'!$A$7:$A$16,0)),1),2))))</f>
        <v/>
      </c>
      <c r="Z1380" s="98">
        <f>IF(B1380="","",SUMIFS('MILEAGE'!$J$5:$J$1504,'MILEAGE'!$B$5:$B$1504,A1380))</f>
        <v/>
      </c>
      <c r="AA1380" s="55">
        <f>IF(B1380="","",ROUND(Z1380*MileRate,2))</f>
        <v/>
      </c>
      <c r="AB1380" s="55">
        <f>IF(B1380="","",SUMIFS('REVENUE'!$J$5:$J$1504,'REVENUE'!$B$5:$B$1504,A1380))</f>
        <v/>
      </c>
      <c r="AC1380" s="55">
        <f>IF(L1380="","",IF(OR(O1380="Cancelled",O1380="No-Show"),"",L1380-N(X1380)-N(Y1380)-AA1380-AB1380))</f>
        <v/>
      </c>
      <c r="AD1380" s="99">
        <f>IF(OR(AC1380="",N(L1380)=0),"",AC1380/L1380)</f>
        <v/>
      </c>
      <c r="AE1380" s="55">
        <f>IF(OR(AC1380="",N(R1380)=0),"",L1380/R1380)</f>
        <v/>
      </c>
      <c r="AF1380" s="100">
        <f>IF(OR(N(K1380)=0,N(J1380)+N(Q1380)=0),"",K1380-IF(N(J1380)&gt;0,J1380,Q1380))</f>
        <v/>
      </c>
      <c r="AG1380" s="99">
        <f>IF(B1380="","",IFERROR(AVERAGEIFS('QUALITY CONTROL'!$M$5:$M$304,'QUALITY CONTROL'!$B$5:$B$304,A1380),""))</f>
        <v/>
      </c>
      <c r="AH1380" s="51">
        <f>IF(B1380="","",DATE(YEAR(B1380),MONTH(B1380),1))</f>
        <v/>
      </c>
      <c r="AI1380" s="49">
        <f>IF(D1380="","",IFERROR(INDEX('CUSTOMERS'!$E$5:$E$404,MATCH(D1380,'CUSTOMERS'!$B$5:$B$404,0)),""))</f>
        <v/>
      </c>
      <c r="AJ1380" s="49">
        <f>IF(B1380="","",N(C1380))</f>
        <v/>
      </c>
      <c r="AK1380" s="49">
        <f>IF(OR(B1380="",O1380="Cancelled",O1380="Rescheduled"),"",B1380&amp;"|"&amp;(COUNTIFS('JOBS'!$B$5:$B$1504,B1380,'JOBS'!$AJ$5:$AJ$1504,"&lt;"&amp;AJ1380,'JOBS'!$O$5:$O$1504,"&lt;&gt;Cancelled",'JOBS'!$O$5:$O$1504,"&lt;&gt;Rescheduled")+COUNTIFS($B$5:B1380,B1380,$AJ$5:AJ1380,AJ1380,$O$5:O1380,"&lt;&gt;Cancelled",$O$5:O1380,"&lt;&gt;Rescheduled")))</f>
        <v/>
      </c>
      <c r="AL1380" s="49">
        <f>IF(N(U1380)&lt;=0.005,"",COUNTIFS('JOBS'!$U$5:$U$1504,"&gt;0.005",'JOBS'!$B$5:$B$1504,"&lt;"&amp;B1380)+COUNTIFS($U$5:U1380,"&gt;0.005",$B$5:B1380,B1380))</f>
        <v/>
      </c>
    </row>
    <row r="1381">
      <c r="A1381" s="46" t="inlineStr">
        <is>
          <t>J-1377</t>
        </is>
      </c>
      <c r="B1381" s="47" t="n"/>
      <c r="C1381" s="94" t="n"/>
      <c r="D1381" s="38" t="n"/>
      <c r="E1381" s="38" t="n"/>
      <c r="F1381" s="38" t="n"/>
      <c r="G1381" s="38" t="n"/>
      <c r="H1381" s="38" t="n"/>
      <c r="I1381" s="57" t="n"/>
      <c r="J1381" s="95" t="n"/>
      <c r="K1381" s="95" t="n"/>
      <c r="L1381" s="48" t="n"/>
      <c r="M1381" s="96" t="n"/>
      <c r="N1381" s="48" t="n"/>
      <c r="O1381" s="38" t="n"/>
      <c r="P1381" s="38" t="n"/>
      <c r="Q1381" s="97">
        <f>IF(OR(F1381="",E1381=""),"",IFERROR(IF(INDEX('PROPERTIES'!$F$5:$F$404,MATCH(E1381,'PROPERTIES'!$B$5:$B$404,0))=0,"",ROUND((INDEX('PROPERTIES'!$F$5:$F$404,MATCH(E1381,'PROPERTIES'!$B$5:$B$404,0))/INDEX('PRICING'!$C$7:$C$16,MATCH(F1381,'PRICING'!$A$7:$A$16,0))+INDEX('PROPERTIES'!$G$5:$G$404,MATCH(E1381,'PROPERTIES'!$B$5:$B$404,0))*INDEX('PRICING'!$D$7:$D$16,MATCH(F1381,'PRICING'!$A$7:$A$16,0))/60+INDEX('PROPERTIES'!$H$5:$H$404,MATCH(E1381,'PROPERTIES'!$B$5:$B$404,0))*INDEX('PRICING'!$E$7:$E$16,MATCH(F1381,'PRICING'!$A$7:$A$16,0))/60+INDEX('PRICING'!$F$7:$F$16,MATCH(F1381,'PRICING'!$A$7:$A$16,0))/60),2)),""))</f>
        <v/>
      </c>
      <c r="R1381" s="97">
        <f>IF(B1381="","",IF(N(K1381)&gt;0,K1381,IF(N(J1381)&gt;0,J1381,N(Q1381))))</f>
        <v/>
      </c>
      <c r="S1381" s="55">
        <f>IF(L1381="","",ROUND(L1381*(1+N(M1381)),2))</f>
        <v/>
      </c>
      <c r="T1381" s="55">
        <f>IF(B1381="","",SUMIFS('REVENUE'!$C$5:$C$1504,'REVENUE'!$B$5:$B$1504,A1381))</f>
        <v/>
      </c>
      <c r="U1381" s="55">
        <f>IF(B1381="","",IF(O1381="Completed",MAX(0,N(S1381)-T1381),""))</f>
        <v/>
      </c>
      <c r="V1381" s="49">
        <f>IF(B1381="","",IF(O1381&lt;&gt;"Completed",IF(T1381&gt;0,"Deposit","—"),IF(U1381&lt;=0.005,"Paid",IF(T1381&gt;0,"Partial","Unpaid"))))</f>
        <v/>
      </c>
      <c r="W1381" s="55">
        <f>IF(B1381="","",IFERROR(1/(1/INDEX('STAFF &amp; TASKS'!$C$5:$C$24,MATCH(H1381,'STAFF &amp; TASKS'!$A$5:$A$24,0))),PayRate))</f>
        <v/>
      </c>
      <c r="X1381" s="55">
        <f>IF(B1381="","",IF(OR(O1381="Cancelled",O1381="No-Show"),"",ROUND(R1381*W1381*(1+Burden),2)))</f>
        <v/>
      </c>
      <c r="Y1381" s="55">
        <f>IF(B1381="","",IF(OR(O1381="Cancelled",O1381="No-Show"),"",IF(N1381&lt;&gt;"",N1381,ROUND(R1381*SupHr*IFERROR(INDEX('PRICING'!$G$7:$G$16,MATCH(F1381,'PRICING'!$A$7:$A$16,0)),1),2))))</f>
        <v/>
      </c>
      <c r="Z1381" s="98">
        <f>IF(B1381="","",SUMIFS('MILEAGE'!$J$5:$J$1504,'MILEAGE'!$B$5:$B$1504,A1381))</f>
        <v/>
      </c>
      <c r="AA1381" s="55">
        <f>IF(B1381="","",ROUND(Z1381*MileRate,2))</f>
        <v/>
      </c>
      <c r="AB1381" s="55">
        <f>IF(B1381="","",SUMIFS('REVENUE'!$J$5:$J$1504,'REVENUE'!$B$5:$B$1504,A1381))</f>
        <v/>
      </c>
      <c r="AC1381" s="55">
        <f>IF(L1381="","",IF(OR(O1381="Cancelled",O1381="No-Show"),"",L1381-N(X1381)-N(Y1381)-AA1381-AB1381))</f>
        <v/>
      </c>
      <c r="AD1381" s="99">
        <f>IF(OR(AC1381="",N(L1381)=0),"",AC1381/L1381)</f>
        <v/>
      </c>
      <c r="AE1381" s="55">
        <f>IF(OR(AC1381="",N(R1381)=0),"",L1381/R1381)</f>
        <v/>
      </c>
      <c r="AF1381" s="100">
        <f>IF(OR(N(K1381)=0,N(J1381)+N(Q1381)=0),"",K1381-IF(N(J1381)&gt;0,J1381,Q1381))</f>
        <v/>
      </c>
      <c r="AG1381" s="99">
        <f>IF(B1381="","",IFERROR(AVERAGEIFS('QUALITY CONTROL'!$M$5:$M$304,'QUALITY CONTROL'!$B$5:$B$304,A1381),""))</f>
        <v/>
      </c>
      <c r="AH1381" s="51">
        <f>IF(B1381="","",DATE(YEAR(B1381),MONTH(B1381),1))</f>
        <v/>
      </c>
      <c r="AI1381" s="49">
        <f>IF(D1381="","",IFERROR(INDEX('CUSTOMERS'!$E$5:$E$404,MATCH(D1381,'CUSTOMERS'!$B$5:$B$404,0)),""))</f>
        <v/>
      </c>
      <c r="AJ1381" s="49">
        <f>IF(B1381="","",N(C1381))</f>
        <v/>
      </c>
      <c r="AK1381" s="49">
        <f>IF(OR(B1381="",O1381="Cancelled",O1381="Rescheduled"),"",B1381&amp;"|"&amp;(COUNTIFS('JOBS'!$B$5:$B$1504,B1381,'JOBS'!$AJ$5:$AJ$1504,"&lt;"&amp;AJ1381,'JOBS'!$O$5:$O$1504,"&lt;&gt;Cancelled",'JOBS'!$O$5:$O$1504,"&lt;&gt;Rescheduled")+COUNTIFS($B$5:B1381,B1381,$AJ$5:AJ1381,AJ1381,$O$5:O1381,"&lt;&gt;Cancelled",$O$5:O1381,"&lt;&gt;Rescheduled")))</f>
        <v/>
      </c>
      <c r="AL1381" s="49">
        <f>IF(N(U1381)&lt;=0.005,"",COUNTIFS('JOBS'!$U$5:$U$1504,"&gt;0.005",'JOBS'!$B$5:$B$1504,"&lt;"&amp;B1381)+COUNTIFS($U$5:U1381,"&gt;0.005",$B$5:B1381,B1381))</f>
        <v/>
      </c>
    </row>
    <row r="1382">
      <c r="A1382" s="46" t="inlineStr">
        <is>
          <t>J-1378</t>
        </is>
      </c>
      <c r="B1382" s="47" t="n"/>
      <c r="C1382" s="94" t="n"/>
      <c r="D1382" s="38" t="n"/>
      <c r="E1382" s="38" t="n"/>
      <c r="F1382" s="38" t="n"/>
      <c r="G1382" s="38" t="n"/>
      <c r="H1382" s="38" t="n"/>
      <c r="I1382" s="57" t="n"/>
      <c r="J1382" s="95" t="n"/>
      <c r="K1382" s="95" t="n"/>
      <c r="L1382" s="48" t="n"/>
      <c r="M1382" s="96" t="n"/>
      <c r="N1382" s="48" t="n"/>
      <c r="O1382" s="38" t="n"/>
      <c r="P1382" s="38" t="n"/>
      <c r="Q1382" s="97">
        <f>IF(OR(F1382="",E1382=""),"",IFERROR(IF(INDEX('PROPERTIES'!$F$5:$F$404,MATCH(E1382,'PROPERTIES'!$B$5:$B$404,0))=0,"",ROUND((INDEX('PROPERTIES'!$F$5:$F$404,MATCH(E1382,'PROPERTIES'!$B$5:$B$404,0))/INDEX('PRICING'!$C$7:$C$16,MATCH(F1382,'PRICING'!$A$7:$A$16,0))+INDEX('PROPERTIES'!$G$5:$G$404,MATCH(E1382,'PROPERTIES'!$B$5:$B$404,0))*INDEX('PRICING'!$D$7:$D$16,MATCH(F1382,'PRICING'!$A$7:$A$16,0))/60+INDEX('PROPERTIES'!$H$5:$H$404,MATCH(E1382,'PROPERTIES'!$B$5:$B$404,0))*INDEX('PRICING'!$E$7:$E$16,MATCH(F1382,'PRICING'!$A$7:$A$16,0))/60+INDEX('PRICING'!$F$7:$F$16,MATCH(F1382,'PRICING'!$A$7:$A$16,0))/60),2)),""))</f>
        <v/>
      </c>
      <c r="R1382" s="97">
        <f>IF(B1382="","",IF(N(K1382)&gt;0,K1382,IF(N(J1382)&gt;0,J1382,N(Q1382))))</f>
        <v/>
      </c>
      <c r="S1382" s="55">
        <f>IF(L1382="","",ROUND(L1382*(1+N(M1382)),2))</f>
        <v/>
      </c>
      <c r="T1382" s="55">
        <f>IF(B1382="","",SUMIFS('REVENUE'!$C$5:$C$1504,'REVENUE'!$B$5:$B$1504,A1382))</f>
        <v/>
      </c>
      <c r="U1382" s="55">
        <f>IF(B1382="","",IF(O1382="Completed",MAX(0,N(S1382)-T1382),""))</f>
        <v/>
      </c>
      <c r="V1382" s="49">
        <f>IF(B1382="","",IF(O1382&lt;&gt;"Completed",IF(T1382&gt;0,"Deposit","—"),IF(U1382&lt;=0.005,"Paid",IF(T1382&gt;0,"Partial","Unpaid"))))</f>
        <v/>
      </c>
      <c r="W1382" s="55">
        <f>IF(B1382="","",IFERROR(1/(1/INDEX('STAFF &amp; TASKS'!$C$5:$C$24,MATCH(H1382,'STAFF &amp; TASKS'!$A$5:$A$24,0))),PayRate))</f>
        <v/>
      </c>
      <c r="X1382" s="55">
        <f>IF(B1382="","",IF(OR(O1382="Cancelled",O1382="No-Show"),"",ROUND(R1382*W1382*(1+Burden),2)))</f>
        <v/>
      </c>
      <c r="Y1382" s="55">
        <f>IF(B1382="","",IF(OR(O1382="Cancelled",O1382="No-Show"),"",IF(N1382&lt;&gt;"",N1382,ROUND(R1382*SupHr*IFERROR(INDEX('PRICING'!$G$7:$G$16,MATCH(F1382,'PRICING'!$A$7:$A$16,0)),1),2))))</f>
        <v/>
      </c>
      <c r="Z1382" s="98">
        <f>IF(B1382="","",SUMIFS('MILEAGE'!$J$5:$J$1504,'MILEAGE'!$B$5:$B$1504,A1382))</f>
        <v/>
      </c>
      <c r="AA1382" s="55">
        <f>IF(B1382="","",ROUND(Z1382*MileRate,2))</f>
        <v/>
      </c>
      <c r="AB1382" s="55">
        <f>IF(B1382="","",SUMIFS('REVENUE'!$J$5:$J$1504,'REVENUE'!$B$5:$B$1504,A1382))</f>
        <v/>
      </c>
      <c r="AC1382" s="55">
        <f>IF(L1382="","",IF(OR(O1382="Cancelled",O1382="No-Show"),"",L1382-N(X1382)-N(Y1382)-AA1382-AB1382))</f>
        <v/>
      </c>
      <c r="AD1382" s="99">
        <f>IF(OR(AC1382="",N(L1382)=0),"",AC1382/L1382)</f>
        <v/>
      </c>
      <c r="AE1382" s="55">
        <f>IF(OR(AC1382="",N(R1382)=0),"",L1382/R1382)</f>
        <v/>
      </c>
      <c r="AF1382" s="100">
        <f>IF(OR(N(K1382)=0,N(J1382)+N(Q1382)=0),"",K1382-IF(N(J1382)&gt;0,J1382,Q1382))</f>
        <v/>
      </c>
      <c r="AG1382" s="99">
        <f>IF(B1382="","",IFERROR(AVERAGEIFS('QUALITY CONTROL'!$M$5:$M$304,'QUALITY CONTROL'!$B$5:$B$304,A1382),""))</f>
        <v/>
      </c>
      <c r="AH1382" s="51">
        <f>IF(B1382="","",DATE(YEAR(B1382),MONTH(B1382),1))</f>
        <v/>
      </c>
      <c r="AI1382" s="49">
        <f>IF(D1382="","",IFERROR(INDEX('CUSTOMERS'!$E$5:$E$404,MATCH(D1382,'CUSTOMERS'!$B$5:$B$404,0)),""))</f>
        <v/>
      </c>
      <c r="AJ1382" s="49">
        <f>IF(B1382="","",N(C1382))</f>
        <v/>
      </c>
      <c r="AK1382" s="49">
        <f>IF(OR(B1382="",O1382="Cancelled",O1382="Rescheduled"),"",B1382&amp;"|"&amp;(COUNTIFS('JOBS'!$B$5:$B$1504,B1382,'JOBS'!$AJ$5:$AJ$1504,"&lt;"&amp;AJ1382,'JOBS'!$O$5:$O$1504,"&lt;&gt;Cancelled",'JOBS'!$O$5:$O$1504,"&lt;&gt;Rescheduled")+COUNTIFS($B$5:B1382,B1382,$AJ$5:AJ1382,AJ1382,$O$5:O1382,"&lt;&gt;Cancelled",$O$5:O1382,"&lt;&gt;Rescheduled")))</f>
        <v/>
      </c>
      <c r="AL1382" s="49">
        <f>IF(N(U1382)&lt;=0.005,"",COUNTIFS('JOBS'!$U$5:$U$1504,"&gt;0.005",'JOBS'!$B$5:$B$1504,"&lt;"&amp;B1382)+COUNTIFS($U$5:U1382,"&gt;0.005",$B$5:B1382,B1382))</f>
        <v/>
      </c>
    </row>
    <row r="1383">
      <c r="A1383" s="46" t="inlineStr">
        <is>
          <t>J-1379</t>
        </is>
      </c>
      <c r="B1383" s="47" t="n"/>
      <c r="C1383" s="94" t="n"/>
      <c r="D1383" s="38" t="n"/>
      <c r="E1383" s="38" t="n"/>
      <c r="F1383" s="38" t="n"/>
      <c r="G1383" s="38" t="n"/>
      <c r="H1383" s="38" t="n"/>
      <c r="I1383" s="57" t="n"/>
      <c r="J1383" s="95" t="n"/>
      <c r="K1383" s="95" t="n"/>
      <c r="L1383" s="48" t="n"/>
      <c r="M1383" s="96" t="n"/>
      <c r="N1383" s="48" t="n"/>
      <c r="O1383" s="38" t="n"/>
      <c r="P1383" s="38" t="n"/>
      <c r="Q1383" s="97">
        <f>IF(OR(F1383="",E1383=""),"",IFERROR(IF(INDEX('PROPERTIES'!$F$5:$F$404,MATCH(E1383,'PROPERTIES'!$B$5:$B$404,0))=0,"",ROUND((INDEX('PROPERTIES'!$F$5:$F$404,MATCH(E1383,'PROPERTIES'!$B$5:$B$404,0))/INDEX('PRICING'!$C$7:$C$16,MATCH(F1383,'PRICING'!$A$7:$A$16,0))+INDEX('PROPERTIES'!$G$5:$G$404,MATCH(E1383,'PROPERTIES'!$B$5:$B$404,0))*INDEX('PRICING'!$D$7:$D$16,MATCH(F1383,'PRICING'!$A$7:$A$16,0))/60+INDEX('PROPERTIES'!$H$5:$H$404,MATCH(E1383,'PROPERTIES'!$B$5:$B$404,0))*INDEX('PRICING'!$E$7:$E$16,MATCH(F1383,'PRICING'!$A$7:$A$16,0))/60+INDEX('PRICING'!$F$7:$F$16,MATCH(F1383,'PRICING'!$A$7:$A$16,0))/60),2)),""))</f>
        <v/>
      </c>
      <c r="R1383" s="97">
        <f>IF(B1383="","",IF(N(K1383)&gt;0,K1383,IF(N(J1383)&gt;0,J1383,N(Q1383))))</f>
        <v/>
      </c>
      <c r="S1383" s="55">
        <f>IF(L1383="","",ROUND(L1383*(1+N(M1383)),2))</f>
        <v/>
      </c>
      <c r="T1383" s="55">
        <f>IF(B1383="","",SUMIFS('REVENUE'!$C$5:$C$1504,'REVENUE'!$B$5:$B$1504,A1383))</f>
        <v/>
      </c>
      <c r="U1383" s="55">
        <f>IF(B1383="","",IF(O1383="Completed",MAX(0,N(S1383)-T1383),""))</f>
        <v/>
      </c>
      <c r="V1383" s="49">
        <f>IF(B1383="","",IF(O1383&lt;&gt;"Completed",IF(T1383&gt;0,"Deposit","—"),IF(U1383&lt;=0.005,"Paid",IF(T1383&gt;0,"Partial","Unpaid"))))</f>
        <v/>
      </c>
      <c r="W1383" s="55">
        <f>IF(B1383="","",IFERROR(1/(1/INDEX('STAFF &amp; TASKS'!$C$5:$C$24,MATCH(H1383,'STAFF &amp; TASKS'!$A$5:$A$24,0))),PayRate))</f>
        <v/>
      </c>
      <c r="X1383" s="55">
        <f>IF(B1383="","",IF(OR(O1383="Cancelled",O1383="No-Show"),"",ROUND(R1383*W1383*(1+Burden),2)))</f>
        <v/>
      </c>
      <c r="Y1383" s="55">
        <f>IF(B1383="","",IF(OR(O1383="Cancelled",O1383="No-Show"),"",IF(N1383&lt;&gt;"",N1383,ROUND(R1383*SupHr*IFERROR(INDEX('PRICING'!$G$7:$G$16,MATCH(F1383,'PRICING'!$A$7:$A$16,0)),1),2))))</f>
        <v/>
      </c>
      <c r="Z1383" s="98">
        <f>IF(B1383="","",SUMIFS('MILEAGE'!$J$5:$J$1504,'MILEAGE'!$B$5:$B$1504,A1383))</f>
        <v/>
      </c>
      <c r="AA1383" s="55">
        <f>IF(B1383="","",ROUND(Z1383*MileRate,2))</f>
        <v/>
      </c>
      <c r="AB1383" s="55">
        <f>IF(B1383="","",SUMIFS('REVENUE'!$J$5:$J$1504,'REVENUE'!$B$5:$B$1504,A1383))</f>
        <v/>
      </c>
      <c r="AC1383" s="55">
        <f>IF(L1383="","",IF(OR(O1383="Cancelled",O1383="No-Show"),"",L1383-N(X1383)-N(Y1383)-AA1383-AB1383))</f>
        <v/>
      </c>
      <c r="AD1383" s="99">
        <f>IF(OR(AC1383="",N(L1383)=0),"",AC1383/L1383)</f>
        <v/>
      </c>
      <c r="AE1383" s="55">
        <f>IF(OR(AC1383="",N(R1383)=0),"",L1383/R1383)</f>
        <v/>
      </c>
      <c r="AF1383" s="100">
        <f>IF(OR(N(K1383)=0,N(J1383)+N(Q1383)=0),"",K1383-IF(N(J1383)&gt;0,J1383,Q1383))</f>
        <v/>
      </c>
      <c r="AG1383" s="99">
        <f>IF(B1383="","",IFERROR(AVERAGEIFS('QUALITY CONTROL'!$M$5:$M$304,'QUALITY CONTROL'!$B$5:$B$304,A1383),""))</f>
        <v/>
      </c>
      <c r="AH1383" s="51">
        <f>IF(B1383="","",DATE(YEAR(B1383),MONTH(B1383),1))</f>
        <v/>
      </c>
      <c r="AI1383" s="49">
        <f>IF(D1383="","",IFERROR(INDEX('CUSTOMERS'!$E$5:$E$404,MATCH(D1383,'CUSTOMERS'!$B$5:$B$404,0)),""))</f>
        <v/>
      </c>
      <c r="AJ1383" s="49">
        <f>IF(B1383="","",N(C1383))</f>
        <v/>
      </c>
      <c r="AK1383" s="49">
        <f>IF(OR(B1383="",O1383="Cancelled",O1383="Rescheduled"),"",B1383&amp;"|"&amp;(COUNTIFS('JOBS'!$B$5:$B$1504,B1383,'JOBS'!$AJ$5:$AJ$1504,"&lt;"&amp;AJ1383,'JOBS'!$O$5:$O$1504,"&lt;&gt;Cancelled",'JOBS'!$O$5:$O$1504,"&lt;&gt;Rescheduled")+COUNTIFS($B$5:B1383,B1383,$AJ$5:AJ1383,AJ1383,$O$5:O1383,"&lt;&gt;Cancelled",$O$5:O1383,"&lt;&gt;Rescheduled")))</f>
        <v/>
      </c>
      <c r="AL1383" s="49">
        <f>IF(N(U1383)&lt;=0.005,"",COUNTIFS('JOBS'!$U$5:$U$1504,"&gt;0.005",'JOBS'!$B$5:$B$1504,"&lt;"&amp;B1383)+COUNTIFS($U$5:U1383,"&gt;0.005",$B$5:B1383,B1383))</f>
        <v/>
      </c>
    </row>
    <row r="1384">
      <c r="A1384" s="46" t="inlineStr">
        <is>
          <t>J-1380</t>
        </is>
      </c>
      <c r="B1384" s="47" t="n"/>
      <c r="C1384" s="94" t="n"/>
      <c r="D1384" s="38" t="n"/>
      <c r="E1384" s="38" t="n"/>
      <c r="F1384" s="38" t="n"/>
      <c r="G1384" s="38" t="n"/>
      <c r="H1384" s="38" t="n"/>
      <c r="I1384" s="57" t="n"/>
      <c r="J1384" s="95" t="n"/>
      <c r="K1384" s="95" t="n"/>
      <c r="L1384" s="48" t="n"/>
      <c r="M1384" s="96" t="n"/>
      <c r="N1384" s="48" t="n"/>
      <c r="O1384" s="38" t="n"/>
      <c r="P1384" s="38" t="n"/>
      <c r="Q1384" s="97">
        <f>IF(OR(F1384="",E1384=""),"",IFERROR(IF(INDEX('PROPERTIES'!$F$5:$F$404,MATCH(E1384,'PROPERTIES'!$B$5:$B$404,0))=0,"",ROUND((INDEX('PROPERTIES'!$F$5:$F$404,MATCH(E1384,'PROPERTIES'!$B$5:$B$404,0))/INDEX('PRICING'!$C$7:$C$16,MATCH(F1384,'PRICING'!$A$7:$A$16,0))+INDEX('PROPERTIES'!$G$5:$G$404,MATCH(E1384,'PROPERTIES'!$B$5:$B$404,0))*INDEX('PRICING'!$D$7:$D$16,MATCH(F1384,'PRICING'!$A$7:$A$16,0))/60+INDEX('PROPERTIES'!$H$5:$H$404,MATCH(E1384,'PROPERTIES'!$B$5:$B$404,0))*INDEX('PRICING'!$E$7:$E$16,MATCH(F1384,'PRICING'!$A$7:$A$16,0))/60+INDEX('PRICING'!$F$7:$F$16,MATCH(F1384,'PRICING'!$A$7:$A$16,0))/60),2)),""))</f>
        <v/>
      </c>
      <c r="R1384" s="97">
        <f>IF(B1384="","",IF(N(K1384)&gt;0,K1384,IF(N(J1384)&gt;0,J1384,N(Q1384))))</f>
        <v/>
      </c>
      <c r="S1384" s="55">
        <f>IF(L1384="","",ROUND(L1384*(1+N(M1384)),2))</f>
        <v/>
      </c>
      <c r="T1384" s="55">
        <f>IF(B1384="","",SUMIFS('REVENUE'!$C$5:$C$1504,'REVENUE'!$B$5:$B$1504,A1384))</f>
        <v/>
      </c>
      <c r="U1384" s="55">
        <f>IF(B1384="","",IF(O1384="Completed",MAX(0,N(S1384)-T1384),""))</f>
        <v/>
      </c>
      <c r="V1384" s="49">
        <f>IF(B1384="","",IF(O1384&lt;&gt;"Completed",IF(T1384&gt;0,"Deposit","—"),IF(U1384&lt;=0.005,"Paid",IF(T1384&gt;0,"Partial","Unpaid"))))</f>
        <v/>
      </c>
      <c r="W1384" s="55">
        <f>IF(B1384="","",IFERROR(1/(1/INDEX('STAFF &amp; TASKS'!$C$5:$C$24,MATCH(H1384,'STAFF &amp; TASKS'!$A$5:$A$24,0))),PayRate))</f>
        <v/>
      </c>
      <c r="X1384" s="55">
        <f>IF(B1384="","",IF(OR(O1384="Cancelled",O1384="No-Show"),"",ROUND(R1384*W1384*(1+Burden),2)))</f>
        <v/>
      </c>
      <c r="Y1384" s="55">
        <f>IF(B1384="","",IF(OR(O1384="Cancelled",O1384="No-Show"),"",IF(N1384&lt;&gt;"",N1384,ROUND(R1384*SupHr*IFERROR(INDEX('PRICING'!$G$7:$G$16,MATCH(F1384,'PRICING'!$A$7:$A$16,0)),1),2))))</f>
        <v/>
      </c>
      <c r="Z1384" s="98">
        <f>IF(B1384="","",SUMIFS('MILEAGE'!$J$5:$J$1504,'MILEAGE'!$B$5:$B$1504,A1384))</f>
        <v/>
      </c>
      <c r="AA1384" s="55">
        <f>IF(B1384="","",ROUND(Z1384*MileRate,2))</f>
        <v/>
      </c>
      <c r="AB1384" s="55">
        <f>IF(B1384="","",SUMIFS('REVENUE'!$J$5:$J$1504,'REVENUE'!$B$5:$B$1504,A1384))</f>
        <v/>
      </c>
      <c r="AC1384" s="55">
        <f>IF(L1384="","",IF(OR(O1384="Cancelled",O1384="No-Show"),"",L1384-N(X1384)-N(Y1384)-AA1384-AB1384))</f>
        <v/>
      </c>
      <c r="AD1384" s="99">
        <f>IF(OR(AC1384="",N(L1384)=0),"",AC1384/L1384)</f>
        <v/>
      </c>
      <c r="AE1384" s="55">
        <f>IF(OR(AC1384="",N(R1384)=0),"",L1384/R1384)</f>
        <v/>
      </c>
      <c r="AF1384" s="100">
        <f>IF(OR(N(K1384)=0,N(J1384)+N(Q1384)=0),"",K1384-IF(N(J1384)&gt;0,J1384,Q1384))</f>
        <v/>
      </c>
      <c r="AG1384" s="99">
        <f>IF(B1384="","",IFERROR(AVERAGEIFS('QUALITY CONTROL'!$M$5:$M$304,'QUALITY CONTROL'!$B$5:$B$304,A1384),""))</f>
        <v/>
      </c>
      <c r="AH1384" s="51">
        <f>IF(B1384="","",DATE(YEAR(B1384),MONTH(B1384),1))</f>
        <v/>
      </c>
      <c r="AI1384" s="49">
        <f>IF(D1384="","",IFERROR(INDEX('CUSTOMERS'!$E$5:$E$404,MATCH(D1384,'CUSTOMERS'!$B$5:$B$404,0)),""))</f>
        <v/>
      </c>
      <c r="AJ1384" s="49">
        <f>IF(B1384="","",N(C1384))</f>
        <v/>
      </c>
      <c r="AK1384" s="49">
        <f>IF(OR(B1384="",O1384="Cancelled",O1384="Rescheduled"),"",B1384&amp;"|"&amp;(COUNTIFS('JOBS'!$B$5:$B$1504,B1384,'JOBS'!$AJ$5:$AJ$1504,"&lt;"&amp;AJ1384,'JOBS'!$O$5:$O$1504,"&lt;&gt;Cancelled",'JOBS'!$O$5:$O$1504,"&lt;&gt;Rescheduled")+COUNTIFS($B$5:B1384,B1384,$AJ$5:AJ1384,AJ1384,$O$5:O1384,"&lt;&gt;Cancelled",$O$5:O1384,"&lt;&gt;Rescheduled")))</f>
        <v/>
      </c>
      <c r="AL1384" s="49">
        <f>IF(N(U1384)&lt;=0.005,"",COUNTIFS('JOBS'!$U$5:$U$1504,"&gt;0.005",'JOBS'!$B$5:$B$1504,"&lt;"&amp;B1384)+COUNTIFS($U$5:U1384,"&gt;0.005",$B$5:B1384,B1384))</f>
        <v/>
      </c>
    </row>
    <row r="1385">
      <c r="A1385" s="46" t="inlineStr">
        <is>
          <t>J-1381</t>
        </is>
      </c>
      <c r="B1385" s="47" t="n"/>
      <c r="C1385" s="94" t="n"/>
      <c r="D1385" s="38" t="n"/>
      <c r="E1385" s="38" t="n"/>
      <c r="F1385" s="38" t="n"/>
      <c r="G1385" s="38" t="n"/>
      <c r="H1385" s="38" t="n"/>
      <c r="I1385" s="57" t="n"/>
      <c r="J1385" s="95" t="n"/>
      <c r="K1385" s="95" t="n"/>
      <c r="L1385" s="48" t="n"/>
      <c r="M1385" s="96" t="n"/>
      <c r="N1385" s="48" t="n"/>
      <c r="O1385" s="38" t="n"/>
      <c r="P1385" s="38" t="n"/>
      <c r="Q1385" s="97">
        <f>IF(OR(F1385="",E1385=""),"",IFERROR(IF(INDEX('PROPERTIES'!$F$5:$F$404,MATCH(E1385,'PROPERTIES'!$B$5:$B$404,0))=0,"",ROUND((INDEX('PROPERTIES'!$F$5:$F$404,MATCH(E1385,'PROPERTIES'!$B$5:$B$404,0))/INDEX('PRICING'!$C$7:$C$16,MATCH(F1385,'PRICING'!$A$7:$A$16,0))+INDEX('PROPERTIES'!$G$5:$G$404,MATCH(E1385,'PROPERTIES'!$B$5:$B$404,0))*INDEX('PRICING'!$D$7:$D$16,MATCH(F1385,'PRICING'!$A$7:$A$16,0))/60+INDEX('PROPERTIES'!$H$5:$H$404,MATCH(E1385,'PROPERTIES'!$B$5:$B$404,0))*INDEX('PRICING'!$E$7:$E$16,MATCH(F1385,'PRICING'!$A$7:$A$16,0))/60+INDEX('PRICING'!$F$7:$F$16,MATCH(F1385,'PRICING'!$A$7:$A$16,0))/60),2)),""))</f>
        <v/>
      </c>
      <c r="R1385" s="97">
        <f>IF(B1385="","",IF(N(K1385)&gt;0,K1385,IF(N(J1385)&gt;0,J1385,N(Q1385))))</f>
        <v/>
      </c>
      <c r="S1385" s="55">
        <f>IF(L1385="","",ROUND(L1385*(1+N(M1385)),2))</f>
        <v/>
      </c>
      <c r="T1385" s="55">
        <f>IF(B1385="","",SUMIFS('REVENUE'!$C$5:$C$1504,'REVENUE'!$B$5:$B$1504,A1385))</f>
        <v/>
      </c>
      <c r="U1385" s="55">
        <f>IF(B1385="","",IF(O1385="Completed",MAX(0,N(S1385)-T1385),""))</f>
        <v/>
      </c>
      <c r="V1385" s="49">
        <f>IF(B1385="","",IF(O1385&lt;&gt;"Completed",IF(T1385&gt;0,"Deposit","—"),IF(U1385&lt;=0.005,"Paid",IF(T1385&gt;0,"Partial","Unpaid"))))</f>
        <v/>
      </c>
      <c r="W1385" s="55">
        <f>IF(B1385="","",IFERROR(1/(1/INDEX('STAFF &amp; TASKS'!$C$5:$C$24,MATCH(H1385,'STAFF &amp; TASKS'!$A$5:$A$24,0))),PayRate))</f>
        <v/>
      </c>
      <c r="X1385" s="55">
        <f>IF(B1385="","",IF(OR(O1385="Cancelled",O1385="No-Show"),"",ROUND(R1385*W1385*(1+Burden),2)))</f>
        <v/>
      </c>
      <c r="Y1385" s="55">
        <f>IF(B1385="","",IF(OR(O1385="Cancelled",O1385="No-Show"),"",IF(N1385&lt;&gt;"",N1385,ROUND(R1385*SupHr*IFERROR(INDEX('PRICING'!$G$7:$G$16,MATCH(F1385,'PRICING'!$A$7:$A$16,0)),1),2))))</f>
        <v/>
      </c>
      <c r="Z1385" s="98">
        <f>IF(B1385="","",SUMIFS('MILEAGE'!$J$5:$J$1504,'MILEAGE'!$B$5:$B$1504,A1385))</f>
        <v/>
      </c>
      <c r="AA1385" s="55">
        <f>IF(B1385="","",ROUND(Z1385*MileRate,2))</f>
        <v/>
      </c>
      <c r="AB1385" s="55">
        <f>IF(B1385="","",SUMIFS('REVENUE'!$J$5:$J$1504,'REVENUE'!$B$5:$B$1504,A1385))</f>
        <v/>
      </c>
      <c r="AC1385" s="55">
        <f>IF(L1385="","",IF(OR(O1385="Cancelled",O1385="No-Show"),"",L1385-N(X1385)-N(Y1385)-AA1385-AB1385))</f>
        <v/>
      </c>
      <c r="AD1385" s="99">
        <f>IF(OR(AC1385="",N(L1385)=0),"",AC1385/L1385)</f>
        <v/>
      </c>
      <c r="AE1385" s="55">
        <f>IF(OR(AC1385="",N(R1385)=0),"",L1385/R1385)</f>
        <v/>
      </c>
      <c r="AF1385" s="100">
        <f>IF(OR(N(K1385)=0,N(J1385)+N(Q1385)=0),"",K1385-IF(N(J1385)&gt;0,J1385,Q1385))</f>
        <v/>
      </c>
      <c r="AG1385" s="99">
        <f>IF(B1385="","",IFERROR(AVERAGEIFS('QUALITY CONTROL'!$M$5:$M$304,'QUALITY CONTROL'!$B$5:$B$304,A1385),""))</f>
        <v/>
      </c>
      <c r="AH1385" s="51">
        <f>IF(B1385="","",DATE(YEAR(B1385),MONTH(B1385),1))</f>
        <v/>
      </c>
      <c r="AI1385" s="49">
        <f>IF(D1385="","",IFERROR(INDEX('CUSTOMERS'!$E$5:$E$404,MATCH(D1385,'CUSTOMERS'!$B$5:$B$404,0)),""))</f>
        <v/>
      </c>
      <c r="AJ1385" s="49">
        <f>IF(B1385="","",N(C1385))</f>
        <v/>
      </c>
      <c r="AK1385" s="49">
        <f>IF(OR(B1385="",O1385="Cancelled",O1385="Rescheduled"),"",B1385&amp;"|"&amp;(COUNTIFS('JOBS'!$B$5:$B$1504,B1385,'JOBS'!$AJ$5:$AJ$1504,"&lt;"&amp;AJ1385,'JOBS'!$O$5:$O$1504,"&lt;&gt;Cancelled",'JOBS'!$O$5:$O$1504,"&lt;&gt;Rescheduled")+COUNTIFS($B$5:B1385,B1385,$AJ$5:AJ1385,AJ1385,$O$5:O1385,"&lt;&gt;Cancelled",$O$5:O1385,"&lt;&gt;Rescheduled")))</f>
        <v/>
      </c>
      <c r="AL1385" s="49">
        <f>IF(N(U1385)&lt;=0.005,"",COUNTIFS('JOBS'!$U$5:$U$1504,"&gt;0.005",'JOBS'!$B$5:$B$1504,"&lt;"&amp;B1385)+COUNTIFS($U$5:U1385,"&gt;0.005",$B$5:B1385,B1385))</f>
        <v/>
      </c>
    </row>
    <row r="1386">
      <c r="A1386" s="46" t="inlineStr">
        <is>
          <t>J-1382</t>
        </is>
      </c>
      <c r="B1386" s="47" t="n"/>
      <c r="C1386" s="94" t="n"/>
      <c r="D1386" s="38" t="n"/>
      <c r="E1386" s="38" t="n"/>
      <c r="F1386" s="38" t="n"/>
      <c r="G1386" s="38" t="n"/>
      <c r="H1386" s="38" t="n"/>
      <c r="I1386" s="57" t="n"/>
      <c r="J1386" s="95" t="n"/>
      <c r="K1386" s="95" t="n"/>
      <c r="L1386" s="48" t="n"/>
      <c r="M1386" s="96" t="n"/>
      <c r="N1386" s="48" t="n"/>
      <c r="O1386" s="38" t="n"/>
      <c r="P1386" s="38" t="n"/>
      <c r="Q1386" s="97">
        <f>IF(OR(F1386="",E1386=""),"",IFERROR(IF(INDEX('PROPERTIES'!$F$5:$F$404,MATCH(E1386,'PROPERTIES'!$B$5:$B$404,0))=0,"",ROUND((INDEX('PROPERTIES'!$F$5:$F$404,MATCH(E1386,'PROPERTIES'!$B$5:$B$404,0))/INDEX('PRICING'!$C$7:$C$16,MATCH(F1386,'PRICING'!$A$7:$A$16,0))+INDEX('PROPERTIES'!$G$5:$G$404,MATCH(E1386,'PROPERTIES'!$B$5:$B$404,0))*INDEX('PRICING'!$D$7:$D$16,MATCH(F1386,'PRICING'!$A$7:$A$16,0))/60+INDEX('PROPERTIES'!$H$5:$H$404,MATCH(E1386,'PROPERTIES'!$B$5:$B$404,0))*INDEX('PRICING'!$E$7:$E$16,MATCH(F1386,'PRICING'!$A$7:$A$16,0))/60+INDEX('PRICING'!$F$7:$F$16,MATCH(F1386,'PRICING'!$A$7:$A$16,0))/60),2)),""))</f>
        <v/>
      </c>
      <c r="R1386" s="97">
        <f>IF(B1386="","",IF(N(K1386)&gt;0,K1386,IF(N(J1386)&gt;0,J1386,N(Q1386))))</f>
        <v/>
      </c>
      <c r="S1386" s="55">
        <f>IF(L1386="","",ROUND(L1386*(1+N(M1386)),2))</f>
        <v/>
      </c>
      <c r="T1386" s="55">
        <f>IF(B1386="","",SUMIFS('REVENUE'!$C$5:$C$1504,'REVENUE'!$B$5:$B$1504,A1386))</f>
        <v/>
      </c>
      <c r="U1386" s="55">
        <f>IF(B1386="","",IF(O1386="Completed",MAX(0,N(S1386)-T1386),""))</f>
        <v/>
      </c>
      <c r="V1386" s="49">
        <f>IF(B1386="","",IF(O1386&lt;&gt;"Completed",IF(T1386&gt;0,"Deposit","—"),IF(U1386&lt;=0.005,"Paid",IF(T1386&gt;0,"Partial","Unpaid"))))</f>
        <v/>
      </c>
      <c r="W1386" s="55">
        <f>IF(B1386="","",IFERROR(1/(1/INDEX('STAFF &amp; TASKS'!$C$5:$C$24,MATCH(H1386,'STAFF &amp; TASKS'!$A$5:$A$24,0))),PayRate))</f>
        <v/>
      </c>
      <c r="X1386" s="55">
        <f>IF(B1386="","",IF(OR(O1386="Cancelled",O1386="No-Show"),"",ROUND(R1386*W1386*(1+Burden),2)))</f>
        <v/>
      </c>
      <c r="Y1386" s="55">
        <f>IF(B1386="","",IF(OR(O1386="Cancelled",O1386="No-Show"),"",IF(N1386&lt;&gt;"",N1386,ROUND(R1386*SupHr*IFERROR(INDEX('PRICING'!$G$7:$G$16,MATCH(F1386,'PRICING'!$A$7:$A$16,0)),1),2))))</f>
        <v/>
      </c>
      <c r="Z1386" s="98">
        <f>IF(B1386="","",SUMIFS('MILEAGE'!$J$5:$J$1504,'MILEAGE'!$B$5:$B$1504,A1386))</f>
        <v/>
      </c>
      <c r="AA1386" s="55">
        <f>IF(B1386="","",ROUND(Z1386*MileRate,2))</f>
        <v/>
      </c>
      <c r="AB1386" s="55">
        <f>IF(B1386="","",SUMIFS('REVENUE'!$J$5:$J$1504,'REVENUE'!$B$5:$B$1504,A1386))</f>
        <v/>
      </c>
      <c r="AC1386" s="55">
        <f>IF(L1386="","",IF(OR(O1386="Cancelled",O1386="No-Show"),"",L1386-N(X1386)-N(Y1386)-AA1386-AB1386))</f>
        <v/>
      </c>
      <c r="AD1386" s="99">
        <f>IF(OR(AC1386="",N(L1386)=0),"",AC1386/L1386)</f>
        <v/>
      </c>
      <c r="AE1386" s="55">
        <f>IF(OR(AC1386="",N(R1386)=0),"",L1386/R1386)</f>
        <v/>
      </c>
      <c r="AF1386" s="100">
        <f>IF(OR(N(K1386)=0,N(J1386)+N(Q1386)=0),"",K1386-IF(N(J1386)&gt;0,J1386,Q1386))</f>
        <v/>
      </c>
      <c r="AG1386" s="99">
        <f>IF(B1386="","",IFERROR(AVERAGEIFS('QUALITY CONTROL'!$M$5:$M$304,'QUALITY CONTROL'!$B$5:$B$304,A1386),""))</f>
        <v/>
      </c>
      <c r="AH1386" s="51">
        <f>IF(B1386="","",DATE(YEAR(B1386),MONTH(B1386),1))</f>
        <v/>
      </c>
      <c r="AI1386" s="49">
        <f>IF(D1386="","",IFERROR(INDEX('CUSTOMERS'!$E$5:$E$404,MATCH(D1386,'CUSTOMERS'!$B$5:$B$404,0)),""))</f>
        <v/>
      </c>
      <c r="AJ1386" s="49">
        <f>IF(B1386="","",N(C1386))</f>
        <v/>
      </c>
      <c r="AK1386" s="49">
        <f>IF(OR(B1386="",O1386="Cancelled",O1386="Rescheduled"),"",B1386&amp;"|"&amp;(COUNTIFS('JOBS'!$B$5:$B$1504,B1386,'JOBS'!$AJ$5:$AJ$1504,"&lt;"&amp;AJ1386,'JOBS'!$O$5:$O$1504,"&lt;&gt;Cancelled",'JOBS'!$O$5:$O$1504,"&lt;&gt;Rescheduled")+COUNTIFS($B$5:B1386,B1386,$AJ$5:AJ1386,AJ1386,$O$5:O1386,"&lt;&gt;Cancelled",$O$5:O1386,"&lt;&gt;Rescheduled")))</f>
        <v/>
      </c>
      <c r="AL1386" s="49">
        <f>IF(N(U1386)&lt;=0.005,"",COUNTIFS('JOBS'!$U$5:$U$1504,"&gt;0.005",'JOBS'!$B$5:$B$1504,"&lt;"&amp;B1386)+COUNTIFS($U$5:U1386,"&gt;0.005",$B$5:B1386,B1386))</f>
        <v/>
      </c>
    </row>
    <row r="1387">
      <c r="A1387" s="46" t="inlineStr">
        <is>
          <t>J-1383</t>
        </is>
      </c>
      <c r="B1387" s="47" t="n"/>
      <c r="C1387" s="94" t="n"/>
      <c r="D1387" s="38" t="n"/>
      <c r="E1387" s="38" t="n"/>
      <c r="F1387" s="38" t="n"/>
      <c r="G1387" s="38" t="n"/>
      <c r="H1387" s="38" t="n"/>
      <c r="I1387" s="57" t="n"/>
      <c r="J1387" s="95" t="n"/>
      <c r="K1387" s="95" t="n"/>
      <c r="L1387" s="48" t="n"/>
      <c r="M1387" s="96" t="n"/>
      <c r="N1387" s="48" t="n"/>
      <c r="O1387" s="38" t="n"/>
      <c r="P1387" s="38" t="n"/>
      <c r="Q1387" s="97">
        <f>IF(OR(F1387="",E1387=""),"",IFERROR(IF(INDEX('PROPERTIES'!$F$5:$F$404,MATCH(E1387,'PROPERTIES'!$B$5:$B$404,0))=0,"",ROUND((INDEX('PROPERTIES'!$F$5:$F$404,MATCH(E1387,'PROPERTIES'!$B$5:$B$404,0))/INDEX('PRICING'!$C$7:$C$16,MATCH(F1387,'PRICING'!$A$7:$A$16,0))+INDEX('PROPERTIES'!$G$5:$G$404,MATCH(E1387,'PROPERTIES'!$B$5:$B$404,0))*INDEX('PRICING'!$D$7:$D$16,MATCH(F1387,'PRICING'!$A$7:$A$16,0))/60+INDEX('PROPERTIES'!$H$5:$H$404,MATCH(E1387,'PROPERTIES'!$B$5:$B$404,0))*INDEX('PRICING'!$E$7:$E$16,MATCH(F1387,'PRICING'!$A$7:$A$16,0))/60+INDEX('PRICING'!$F$7:$F$16,MATCH(F1387,'PRICING'!$A$7:$A$16,0))/60),2)),""))</f>
        <v/>
      </c>
      <c r="R1387" s="97">
        <f>IF(B1387="","",IF(N(K1387)&gt;0,K1387,IF(N(J1387)&gt;0,J1387,N(Q1387))))</f>
        <v/>
      </c>
      <c r="S1387" s="55">
        <f>IF(L1387="","",ROUND(L1387*(1+N(M1387)),2))</f>
        <v/>
      </c>
      <c r="T1387" s="55">
        <f>IF(B1387="","",SUMIFS('REVENUE'!$C$5:$C$1504,'REVENUE'!$B$5:$B$1504,A1387))</f>
        <v/>
      </c>
      <c r="U1387" s="55">
        <f>IF(B1387="","",IF(O1387="Completed",MAX(0,N(S1387)-T1387),""))</f>
        <v/>
      </c>
      <c r="V1387" s="49">
        <f>IF(B1387="","",IF(O1387&lt;&gt;"Completed",IF(T1387&gt;0,"Deposit","—"),IF(U1387&lt;=0.005,"Paid",IF(T1387&gt;0,"Partial","Unpaid"))))</f>
        <v/>
      </c>
      <c r="W1387" s="55">
        <f>IF(B1387="","",IFERROR(1/(1/INDEX('STAFF &amp; TASKS'!$C$5:$C$24,MATCH(H1387,'STAFF &amp; TASKS'!$A$5:$A$24,0))),PayRate))</f>
        <v/>
      </c>
      <c r="X1387" s="55">
        <f>IF(B1387="","",IF(OR(O1387="Cancelled",O1387="No-Show"),"",ROUND(R1387*W1387*(1+Burden),2)))</f>
        <v/>
      </c>
      <c r="Y1387" s="55">
        <f>IF(B1387="","",IF(OR(O1387="Cancelled",O1387="No-Show"),"",IF(N1387&lt;&gt;"",N1387,ROUND(R1387*SupHr*IFERROR(INDEX('PRICING'!$G$7:$G$16,MATCH(F1387,'PRICING'!$A$7:$A$16,0)),1),2))))</f>
        <v/>
      </c>
      <c r="Z1387" s="98">
        <f>IF(B1387="","",SUMIFS('MILEAGE'!$J$5:$J$1504,'MILEAGE'!$B$5:$B$1504,A1387))</f>
        <v/>
      </c>
      <c r="AA1387" s="55">
        <f>IF(B1387="","",ROUND(Z1387*MileRate,2))</f>
        <v/>
      </c>
      <c r="AB1387" s="55">
        <f>IF(B1387="","",SUMIFS('REVENUE'!$J$5:$J$1504,'REVENUE'!$B$5:$B$1504,A1387))</f>
        <v/>
      </c>
      <c r="AC1387" s="55">
        <f>IF(L1387="","",IF(OR(O1387="Cancelled",O1387="No-Show"),"",L1387-N(X1387)-N(Y1387)-AA1387-AB1387))</f>
        <v/>
      </c>
      <c r="AD1387" s="99">
        <f>IF(OR(AC1387="",N(L1387)=0),"",AC1387/L1387)</f>
        <v/>
      </c>
      <c r="AE1387" s="55">
        <f>IF(OR(AC1387="",N(R1387)=0),"",L1387/R1387)</f>
        <v/>
      </c>
      <c r="AF1387" s="100">
        <f>IF(OR(N(K1387)=0,N(J1387)+N(Q1387)=0),"",K1387-IF(N(J1387)&gt;0,J1387,Q1387))</f>
        <v/>
      </c>
      <c r="AG1387" s="99">
        <f>IF(B1387="","",IFERROR(AVERAGEIFS('QUALITY CONTROL'!$M$5:$M$304,'QUALITY CONTROL'!$B$5:$B$304,A1387),""))</f>
        <v/>
      </c>
      <c r="AH1387" s="51">
        <f>IF(B1387="","",DATE(YEAR(B1387),MONTH(B1387),1))</f>
        <v/>
      </c>
      <c r="AI1387" s="49">
        <f>IF(D1387="","",IFERROR(INDEX('CUSTOMERS'!$E$5:$E$404,MATCH(D1387,'CUSTOMERS'!$B$5:$B$404,0)),""))</f>
        <v/>
      </c>
      <c r="AJ1387" s="49">
        <f>IF(B1387="","",N(C1387))</f>
        <v/>
      </c>
      <c r="AK1387" s="49">
        <f>IF(OR(B1387="",O1387="Cancelled",O1387="Rescheduled"),"",B1387&amp;"|"&amp;(COUNTIFS('JOBS'!$B$5:$B$1504,B1387,'JOBS'!$AJ$5:$AJ$1504,"&lt;"&amp;AJ1387,'JOBS'!$O$5:$O$1504,"&lt;&gt;Cancelled",'JOBS'!$O$5:$O$1504,"&lt;&gt;Rescheduled")+COUNTIFS($B$5:B1387,B1387,$AJ$5:AJ1387,AJ1387,$O$5:O1387,"&lt;&gt;Cancelled",$O$5:O1387,"&lt;&gt;Rescheduled")))</f>
        <v/>
      </c>
      <c r="AL1387" s="49">
        <f>IF(N(U1387)&lt;=0.005,"",COUNTIFS('JOBS'!$U$5:$U$1504,"&gt;0.005",'JOBS'!$B$5:$B$1504,"&lt;"&amp;B1387)+COUNTIFS($U$5:U1387,"&gt;0.005",$B$5:B1387,B1387))</f>
        <v/>
      </c>
    </row>
    <row r="1388">
      <c r="A1388" s="46" t="inlineStr">
        <is>
          <t>J-1384</t>
        </is>
      </c>
      <c r="B1388" s="47" t="n"/>
      <c r="C1388" s="94" t="n"/>
      <c r="D1388" s="38" t="n"/>
      <c r="E1388" s="38" t="n"/>
      <c r="F1388" s="38" t="n"/>
      <c r="G1388" s="38" t="n"/>
      <c r="H1388" s="38" t="n"/>
      <c r="I1388" s="57" t="n"/>
      <c r="J1388" s="95" t="n"/>
      <c r="K1388" s="95" t="n"/>
      <c r="L1388" s="48" t="n"/>
      <c r="M1388" s="96" t="n"/>
      <c r="N1388" s="48" t="n"/>
      <c r="O1388" s="38" t="n"/>
      <c r="P1388" s="38" t="n"/>
      <c r="Q1388" s="97">
        <f>IF(OR(F1388="",E1388=""),"",IFERROR(IF(INDEX('PROPERTIES'!$F$5:$F$404,MATCH(E1388,'PROPERTIES'!$B$5:$B$404,0))=0,"",ROUND((INDEX('PROPERTIES'!$F$5:$F$404,MATCH(E1388,'PROPERTIES'!$B$5:$B$404,0))/INDEX('PRICING'!$C$7:$C$16,MATCH(F1388,'PRICING'!$A$7:$A$16,0))+INDEX('PROPERTIES'!$G$5:$G$404,MATCH(E1388,'PROPERTIES'!$B$5:$B$404,0))*INDEX('PRICING'!$D$7:$D$16,MATCH(F1388,'PRICING'!$A$7:$A$16,0))/60+INDEX('PROPERTIES'!$H$5:$H$404,MATCH(E1388,'PROPERTIES'!$B$5:$B$404,0))*INDEX('PRICING'!$E$7:$E$16,MATCH(F1388,'PRICING'!$A$7:$A$16,0))/60+INDEX('PRICING'!$F$7:$F$16,MATCH(F1388,'PRICING'!$A$7:$A$16,0))/60),2)),""))</f>
        <v/>
      </c>
      <c r="R1388" s="97">
        <f>IF(B1388="","",IF(N(K1388)&gt;0,K1388,IF(N(J1388)&gt;0,J1388,N(Q1388))))</f>
        <v/>
      </c>
      <c r="S1388" s="55">
        <f>IF(L1388="","",ROUND(L1388*(1+N(M1388)),2))</f>
        <v/>
      </c>
      <c r="T1388" s="55">
        <f>IF(B1388="","",SUMIFS('REVENUE'!$C$5:$C$1504,'REVENUE'!$B$5:$B$1504,A1388))</f>
        <v/>
      </c>
      <c r="U1388" s="55">
        <f>IF(B1388="","",IF(O1388="Completed",MAX(0,N(S1388)-T1388),""))</f>
        <v/>
      </c>
      <c r="V1388" s="49">
        <f>IF(B1388="","",IF(O1388&lt;&gt;"Completed",IF(T1388&gt;0,"Deposit","—"),IF(U1388&lt;=0.005,"Paid",IF(T1388&gt;0,"Partial","Unpaid"))))</f>
        <v/>
      </c>
      <c r="W1388" s="55">
        <f>IF(B1388="","",IFERROR(1/(1/INDEX('STAFF &amp; TASKS'!$C$5:$C$24,MATCH(H1388,'STAFF &amp; TASKS'!$A$5:$A$24,0))),PayRate))</f>
        <v/>
      </c>
      <c r="X1388" s="55">
        <f>IF(B1388="","",IF(OR(O1388="Cancelled",O1388="No-Show"),"",ROUND(R1388*W1388*(1+Burden),2)))</f>
        <v/>
      </c>
      <c r="Y1388" s="55">
        <f>IF(B1388="","",IF(OR(O1388="Cancelled",O1388="No-Show"),"",IF(N1388&lt;&gt;"",N1388,ROUND(R1388*SupHr*IFERROR(INDEX('PRICING'!$G$7:$G$16,MATCH(F1388,'PRICING'!$A$7:$A$16,0)),1),2))))</f>
        <v/>
      </c>
      <c r="Z1388" s="98">
        <f>IF(B1388="","",SUMIFS('MILEAGE'!$J$5:$J$1504,'MILEAGE'!$B$5:$B$1504,A1388))</f>
        <v/>
      </c>
      <c r="AA1388" s="55">
        <f>IF(B1388="","",ROUND(Z1388*MileRate,2))</f>
        <v/>
      </c>
      <c r="AB1388" s="55">
        <f>IF(B1388="","",SUMIFS('REVENUE'!$J$5:$J$1504,'REVENUE'!$B$5:$B$1504,A1388))</f>
        <v/>
      </c>
      <c r="AC1388" s="55">
        <f>IF(L1388="","",IF(OR(O1388="Cancelled",O1388="No-Show"),"",L1388-N(X1388)-N(Y1388)-AA1388-AB1388))</f>
        <v/>
      </c>
      <c r="AD1388" s="99">
        <f>IF(OR(AC1388="",N(L1388)=0),"",AC1388/L1388)</f>
        <v/>
      </c>
      <c r="AE1388" s="55">
        <f>IF(OR(AC1388="",N(R1388)=0),"",L1388/R1388)</f>
        <v/>
      </c>
      <c r="AF1388" s="100">
        <f>IF(OR(N(K1388)=0,N(J1388)+N(Q1388)=0),"",K1388-IF(N(J1388)&gt;0,J1388,Q1388))</f>
        <v/>
      </c>
      <c r="AG1388" s="99">
        <f>IF(B1388="","",IFERROR(AVERAGEIFS('QUALITY CONTROL'!$M$5:$M$304,'QUALITY CONTROL'!$B$5:$B$304,A1388),""))</f>
        <v/>
      </c>
      <c r="AH1388" s="51">
        <f>IF(B1388="","",DATE(YEAR(B1388),MONTH(B1388),1))</f>
        <v/>
      </c>
      <c r="AI1388" s="49">
        <f>IF(D1388="","",IFERROR(INDEX('CUSTOMERS'!$E$5:$E$404,MATCH(D1388,'CUSTOMERS'!$B$5:$B$404,0)),""))</f>
        <v/>
      </c>
      <c r="AJ1388" s="49">
        <f>IF(B1388="","",N(C1388))</f>
        <v/>
      </c>
      <c r="AK1388" s="49">
        <f>IF(OR(B1388="",O1388="Cancelled",O1388="Rescheduled"),"",B1388&amp;"|"&amp;(COUNTIFS('JOBS'!$B$5:$B$1504,B1388,'JOBS'!$AJ$5:$AJ$1504,"&lt;"&amp;AJ1388,'JOBS'!$O$5:$O$1504,"&lt;&gt;Cancelled",'JOBS'!$O$5:$O$1504,"&lt;&gt;Rescheduled")+COUNTIFS($B$5:B1388,B1388,$AJ$5:AJ1388,AJ1388,$O$5:O1388,"&lt;&gt;Cancelled",$O$5:O1388,"&lt;&gt;Rescheduled")))</f>
        <v/>
      </c>
      <c r="AL1388" s="49">
        <f>IF(N(U1388)&lt;=0.005,"",COUNTIFS('JOBS'!$U$5:$U$1504,"&gt;0.005",'JOBS'!$B$5:$B$1504,"&lt;"&amp;B1388)+COUNTIFS($U$5:U1388,"&gt;0.005",$B$5:B1388,B1388))</f>
        <v/>
      </c>
    </row>
    <row r="1389">
      <c r="A1389" s="46" t="inlineStr">
        <is>
          <t>J-1385</t>
        </is>
      </c>
      <c r="B1389" s="47" t="n"/>
      <c r="C1389" s="94" t="n"/>
      <c r="D1389" s="38" t="n"/>
      <c r="E1389" s="38" t="n"/>
      <c r="F1389" s="38" t="n"/>
      <c r="G1389" s="38" t="n"/>
      <c r="H1389" s="38" t="n"/>
      <c r="I1389" s="57" t="n"/>
      <c r="J1389" s="95" t="n"/>
      <c r="K1389" s="95" t="n"/>
      <c r="L1389" s="48" t="n"/>
      <c r="M1389" s="96" t="n"/>
      <c r="N1389" s="48" t="n"/>
      <c r="O1389" s="38" t="n"/>
      <c r="P1389" s="38" t="n"/>
      <c r="Q1389" s="97">
        <f>IF(OR(F1389="",E1389=""),"",IFERROR(IF(INDEX('PROPERTIES'!$F$5:$F$404,MATCH(E1389,'PROPERTIES'!$B$5:$B$404,0))=0,"",ROUND((INDEX('PROPERTIES'!$F$5:$F$404,MATCH(E1389,'PROPERTIES'!$B$5:$B$404,0))/INDEX('PRICING'!$C$7:$C$16,MATCH(F1389,'PRICING'!$A$7:$A$16,0))+INDEX('PROPERTIES'!$G$5:$G$404,MATCH(E1389,'PROPERTIES'!$B$5:$B$404,0))*INDEX('PRICING'!$D$7:$D$16,MATCH(F1389,'PRICING'!$A$7:$A$16,0))/60+INDEX('PROPERTIES'!$H$5:$H$404,MATCH(E1389,'PROPERTIES'!$B$5:$B$404,0))*INDEX('PRICING'!$E$7:$E$16,MATCH(F1389,'PRICING'!$A$7:$A$16,0))/60+INDEX('PRICING'!$F$7:$F$16,MATCH(F1389,'PRICING'!$A$7:$A$16,0))/60),2)),""))</f>
        <v/>
      </c>
      <c r="R1389" s="97">
        <f>IF(B1389="","",IF(N(K1389)&gt;0,K1389,IF(N(J1389)&gt;0,J1389,N(Q1389))))</f>
        <v/>
      </c>
      <c r="S1389" s="55">
        <f>IF(L1389="","",ROUND(L1389*(1+N(M1389)),2))</f>
        <v/>
      </c>
      <c r="T1389" s="55">
        <f>IF(B1389="","",SUMIFS('REVENUE'!$C$5:$C$1504,'REVENUE'!$B$5:$B$1504,A1389))</f>
        <v/>
      </c>
      <c r="U1389" s="55">
        <f>IF(B1389="","",IF(O1389="Completed",MAX(0,N(S1389)-T1389),""))</f>
        <v/>
      </c>
      <c r="V1389" s="49">
        <f>IF(B1389="","",IF(O1389&lt;&gt;"Completed",IF(T1389&gt;0,"Deposit","—"),IF(U1389&lt;=0.005,"Paid",IF(T1389&gt;0,"Partial","Unpaid"))))</f>
        <v/>
      </c>
      <c r="W1389" s="55">
        <f>IF(B1389="","",IFERROR(1/(1/INDEX('STAFF &amp; TASKS'!$C$5:$C$24,MATCH(H1389,'STAFF &amp; TASKS'!$A$5:$A$24,0))),PayRate))</f>
        <v/>
      </c>
      <c r="X1389" s="55">
        <f>IF(B1389="","",IF(OR(O1389="Cancelled",O1389="No-Show"),"",ROUND(R1389*W1389*(1+Burden),2)))</f>
        <v/>
      </c>
      <c r="Y1389" s="55">
        <f>IF(B1389="","",IF(OR(O1389="Cancelled",O1389="No-Show"),"",IF(N1389&lt;&gt;"",N1389,ROUND(R1389*SupHr*IFERROR(INDEX('PRICING'!$G$7:$G$16,MATCH(F1389,'PRICING'!$A$7:$A$16,0)),1),2))))</f>
        <v/>
      </c>
      <c r="Z1389" s="98">
        <f>IF(B1389="","",SUMIFS('MILEAGE'!$J$5:$J$1504,'MILEAGE'!$B$5:$B$1504,A1389))</f>
        <v/>
      </c>
      <c r="AA1389" s="55">
        <f>IF(B1389="","",ROUND(Z1389*MileRate,2))</f>
        <v/>
      </c>
      <c r="AB1389" s="55">
        <f>IF(B1389="","",SUMIFS('REVENUE'!$J$5:$J$1504,'REVENUE'!$B$5:$B$1504,A1389))</f>
        <v/>
      </c>
      <c r="AC1389" s="55">
        <f>IF(L1389="","",IF(OR(O1389="Cancelled",O1389="No-Show"),"",L1389-N(X1389)-N(Y1389)-AA1389-AB1389))</f>
        <v/>
      </c>
      <c r="AD1389" s="99">
        <f>IF(OR(AC1389="",N(L1389)=0),"",AC1389/L1389)</f>
        <v/>
      </c>
      <c r="AE1389" s="55">
        <f>IF(OR(AC1389="",N(R1389)=0),"",L1389/R1389)</f>
        <v/>
      </c>
      <c r="AF1389" s="100">
        <f>IF(OR(N(K1389)=0,N(J1389)+N(Q1389)=0),"",K1389-IF(N(J1389)&gt;0,J1389,Q1389))</f>
        <v/>
      </c>
      <c r="AG1389" s="99">
        <f>IF(B1389="","",IFERROR(AVERAGEIFS('QUALITY CONTROL'!$M$5:$M$304,'QUALITY CONTROL'!$B$5:$B$304,A1389),""))</f>
        <v/>
      </c>
      <c r="AH1389" s="51">
        <f>IF(B1389="","",DATE(YEAR(B1389),MONTH(B1389),1))</f>
        <v/>
      </c>
      <c r="AI1389" s="49">
        <f>IF(D1389="","",IFERROR(INDEX('CUSTOMERS'!$E$5:$E$404,MATCH(D1389,'CUSTOMERS'!$B$5:$B$404,0)),""))</f>
        <v/>
      </c>
      <c r="AJ1389" s="49">
        <f>IF(B1389="","",N(C1389))</f>
        <v/>
      </c>
      <c r="AK1389" s="49">
        <f>IF(OR(B1389="",O1389="Cancelled",O1389="Rescheduled"),"",B1389&amp;"|"&amp;(COUNTIFS('JOBS'!$B$5:$B$1504,B1389,'JOBS'!$AJ$5:$AJ$1504,"&lt;"&amp;AJ1389,'JOBS'!$O$5:$O$1504,"&lt;&gt;Cancelled",'JOBS'!$O$5:$O$1504,"&lt;&gt;Rescheduled")+COUNTIFS($B$5:B1389,B1389,$AJ$5:AJ1389,AJ1389,$O$5:O1389,"&lt;&gt;Cancelled",$O$5:O1389,"&lt;&gt;Rescheduled")))</f>
        <v/>
      </c>
      <c r="AL1389" s="49">
        <f>IF(N(U1389)&lt;=0.005,"",COUNTIFS('JOBS'!$U$5:$U$1504,"&gt;0.005",'JOBS'!$B$5:$B$1504,"&lt;"&amp;B1389)+COUNTIFS($U$5:U1389,"&gt;0.005",$B$5:B1389,B1389))</f>
        <v/>
      </c>
    </row>
    <row r="1390">
      <c r="A1390" s="46" t="inlineStr">
        <is>
          <t>J-1386</t>
        </is>
      </c>
      <c r="B1390" s="47" t="n"/>
      <c r="C1390" s="94" t="n"/>
      <c r="D1390" s="38" t="n"/>
      <c r="E1390" s="38" t="n"/>
      <c r="F1390" s="38" t="n"/>
      <c r="G1390" s="38" t="n"/>
      <c r="H1390" s="38" t="n"/>
      <c r="I1390" s="57" t="n"/>
      <c r="J1390" s="95" t="n"/>
      <c r="K1390" s="95" t="n"/>
      <c r="L1390" s="48" t="n"/>
      <c r="M1390" s="96" t="n"/>
      <c r="N1390" s="48" t="n"/>
      <c r="O1390" s="38" t="n"/>
      <c r="P1390" s="38" t="n"/>
      <c r="Q1390" s="97">
        <f>IF(OR(F1390="",E1390=""),"",IFERROR(IF(INDEX('PROPERTIES'!$F$5:$F$404,MATCH(E1390,'PROPERTIES'!$B$5:$B$404,0))=0,"",ROUND((INDEX('PROPERTIES'!$F$5:$F$404,MATCH(E1390,'PROPERTIES'!$B$5:$B$404,0))/INDEX('PRICING'!$C$7:$C$16,MATCH(F1390,'PRICING'!$A$7:$A$16,0))+INDEX('PROPERTIES'!$G$5:$G$404,MATCH(E1390,'PROPERTIES'!$B$5:$B$404,0))*INDEX('PRICING'!$D$7:$D$16,MATCH(F1390,'PRICING'!$A$7:$A$16,0))/60+INDEX('PROPERTIES'!$H$5:$H$404,MATCH(E1390,'PROPERTIES'!$B$5:$B$404,0))*INDEX('PRICING'!$E$7:$E$16,MATCH(F1390,'PRICING'!$A$7:$A$16,0))/60+INDEX('PRICING'!$F$7:$F$16,MATCH(F1390,'PRICING'!$A$7:$A$16,0))/60),2)),""))</f>
        <v/>
      </c>
      <c r="R1390" s="97">
        <f>IF(B1390="","",IF(N(K1390)&gt;0,K1390,IF(N(J1390)&gt;0,J1390,N(Q1390))))</f>
        <v/>
      </c>
      <c r="S1390" s="55">
        <f>IF(L1390="","",ROUND(L1390*(1+N(M1390)),2))</f>
        <v/>
      </c>
      <c r="T1390" s="55">
        <f>IF(B1390="","",SUMIFS('REVENUE'!$C$5:$C$1504,'REVENUE'!$B$5:$B$1504,A1390))</f>
        <v/>
      </c>
      <c r="U1390" s="55">
        <f>IF(B1390="","",IF(O1390="Completed",MAX(0,N(S1390)-T1390),""))</f>
        <v/>
      </c>
      <c r="V1390" s="49">
        <f>IF(B1390="","",IF(O1390&lt;&gt;"Completed",IF(T1390&gt;0,"Deposit","—"),IF(U1390&lt;=0.005,"Paid",IF(T1390&gt;0,"Partial","Unpaid"))))</f>
        <v/>
      </c>
      <c r="W1390" s="55">
        <f>IF(B1390="","",IFERROR(1/(1/INDEX('STAFF &amp; TASKS'!$C$5:$C$24,MATCH(H1390,'STAFF &amp; TASKS'!$A$5:$A$24,0))),PayRate))</f>
        <v/>
      </c>
      <c r="X1390" s="55">
        <f>IF(B1390="","",IF(OR(O1390="Cancelled",O1390="No-Show"),"",ROUND(R1390*W1390*(1+Burden),2)))</f>
        <v/>
      </c>
      <c r="Y1390" s="55">
        <f>IF(B1390="","",IF(OR(O1390="Cancelled",O1390="No-Show"),"",IF(N1390&lt;&gt;"",N1390,ROUND(R1390*SupHr*IFERROR(INDEX('PRICING'!$G$7:$G$16,MATCH(F1390,'PRICING'!$A$7:$A$16,0)),1),2))))</f>
        <v/>
      </c>
      <c r="Z1390" s="98">
        <f>IF(B1390="","",SUMIFS('MILEAGE'!$J$5:$J$1504,'MILEAGE'!$B$5:$B$1504,A1390))</f>
        <v/>
      </c>
      <c r="AA1390" s="55">
        <f>IF(B1390="","",ROUND(Z1390*MileRate,2))</f>
        <v/>
      </c>
      <c r="AB1390" s="55">
        <f>IF(B1390="","",SUMIFS('REVENUE'!$J$5:$J$1504,'REVENUE'!$B$5:$B$1504,A1390))</f>
        <v/>
      </c>
      <c r="AC1390" s="55">
        <f>IF(L1390="","",IF(OR(O1390="Cancelled",O1390="No-Show"),"",L1390-N(X1390)-N(Y1390)-AA1390-AB1390))</f>
        <v/>
      </c>
      <c r="AD1390" s="99">
        <f>IF(OR(AC1390="",N(L1390)=0),"",AC1390/L1390)</f>
        <v/>
      </c>
      <c r="AE1390" s="55">
        <f>IF(OR(AC1390="",N(R1390)=0),"",L1390/R1390)</f>
        <v/>
      </c>
      <c r="AF1390" s="100">
        <f>IF(OR(N(K1390)=0,N(J1390)+N(Q1390)=0),"",K1390-IF(N(J1390)&gt;0,J1390,Q1390))</f>
        <v/>
      </c>
      <c r="AG1390" s="99">
        <f>IF(B1390="","",IFERROR(AVERAGEIFS('QUALITY CONTROL'!$M$5:$M$304,'QUALITY CONTROL'!$B$5:$B$304,A1390),""))</f>
        <v/>
      </c>
      <c r="AH1390" s="51">
        <f>IF(B1390="","",DATE(YEAR(B1390),MONTH(B1390),1))</f>
        <v/>
      </c>
      <c r="AI1390" s="49">
        <f>IF(D1390="","",IFERROR(INDEX('CUSTOMERS'!$E$5:$E$404,MATCH(D1390,'CUSTOMERS'!$B$5:$B$404,0)),""))</f>
        <v/>
      </c>
      <c r="AJ1390" s="49">
        <f>IF(B1390="","",N(C1390))</f>
        <v/>
      </c>
      <c r="AK1390" s="49">
        <f>IF(OR(B1390="",O1390="Cancelled",O1390="Rescheduled"),"",B1390&amp;"|"&amp;(COUNTIFS('JOBS'!$B$5:$B$1504,B1390,'JOBS'!$AJ$5:$AJ$1504,"&lt;"&amp;AJ1390,'JOBS'!$O$5:$O$1504,"&lt;&gt;Cancelled",'JOBS'!$O$5:$O$1504,"&lt;&gt;Rescheduled")+COUNTIFS($B$5:B1390,B1390,$AJ$5:AJ1390,AJ1390,$O$5:O1390,"&lt;&gt;Cancelled",$O$5:O1390,"&lt;&gt;Rescheduled")))</f>
        <v/>
      </c>
      <c r="AL1390" s="49">
        <f>IF(N(U1390)&lt;=0.005,"",COUNTIFS('JOBS'!$U$5:$U$1504,"&gt;0.005",'JOBS'!$B$5:$B$1504,"&lt;"&amp;B1390)+COUNTIFS($U$5:U1390,"&gt;0.005",$B$5:B1390,B1390))</f>
        <v/>
      </c>
    </row>
    <row r="1391">
      <c r="A1391" s="46" t="inlineStr">
        <is>
          <t>J-1387</t>
        </is>
      </c>
      <c r="B1391" s="47" t="n"/>
      <c r="C1391" s="94" t="n"/>
      <c r="D1391" s="38" t="n"/>
      <c r="E1391" s="38" t="n"/>
      <c r="F1391" s="38" t="n"/>
      <c r="G1391" s="38" t="n"/>
      <c r="H1391" s="38" t="n"/>
      <c r="I1391" s="57" t="n"/>
      <c r="J1391" s="95" t="n"/>
      <c r="K1391" s="95" t="n"/>
      <c r="L1391" s="48" t="n"/>
      <c r="M1391" s="96" t="n"/>
      <c r="N1391" s="48" t="n"/>
      <c r="O1391" s="38" t="n"/>
      <c r="P1391" s="38" t="n"/>
      <c r="Q1391" s="97">
        <f>IF(OR(F1391="",E1391=""),"",IFERROR(IF(INDEX('PROPERTIES'!$F$5:$F$404,MATCH(E1391,'PROPERTIES'!$B$5:$B$404,0))=0,"",ROUND((INDEX('PROPERTIES'!$F$5:$F$404,MATCH(E1391,'PROPERTIES'!$B$5:$B$404,0))/INDEX('PRICING'!$C$7:$C$16,MATCH(F1391,'PRICING'!$A$7:$A$16,0))+INDEX('PROPERTIES'!$G$5:$G$404,MATCH(E1391,'PROPERTIES'!$B$5:$B$404,0))*INDEX('PRICING'!$D$7:$D$16,MATCH(F1391,'PRICING'!$A$7:$A$16,0))/60+INDEX('PROPERTIES'!$H$5:$H$404,MATCH(E1391,'PROPERTIES'!$B$5:$B$404,0))*INDEX('PRICING'!$E$7:$E$16,MATCH(F1391,'PRICING'!$A$7:$A$16,0))/60+INDEX('PRICING'!$F$7:$F$16,MATCH(F1391,'PRICING'!$A$7:$A$16,0))/60),2)),""))</f>
        <v/>
      </c>
      <c r="R1391" s="97">
        <f>IF(B1391="","",IF(N(K1391)&gt;0,K1391,IF(N(J1391)&gt;0,J1391,N(Q1391))))</f>
        <v/>
      </c>
      <c r="S1391" s="55">
        <f>IF(L1391="","",ROUND(L1391*(1+N(M1391)),2))</f>
        <v/>
      </c>
      <c r="T1391" s="55">
        <f>IF(B1391="","",SUMIFS('REVENUE'!$C$5:$C$1504,'REVENUE'!$B$5:$B$1504,A1391))</f>
        <v/>
      </c>
      <c r="U1391" s="55">
        <f>IF(B1391="","",IF(O1391="Completed",MAX(0,N(S1391)-T1391),""))</f>
        <v/>
      </c>
      <c r="V1391" s="49">
        <f>IF(B1391="","",IF(O1391&lt;&gt;"Completed",IF(T1391&gt;0,"Deposit","—"),IF(U1391&lt;=0.005,"Paid",IF(T1391&gt;0,"Partial","Unpaid"))))</f>
        <v/>
      </c>
      <c r="W1391" s="55">
        <f>IF(B1391="","",IFERROR(1/(1/INDEX('STAFF &amp; TASKS'!$C$5:$C$24,MATCH(H1391,'STAFF &amp; TASKS'!$A$5:$A$24,0))),PayRate))</f>
        <v/>
      </c>
      <c r="X1391" s="55">
        <f>IF(B1391="","",IF(OR(O1391="Cancelled",O1391="No-Show"),"",ROUND(R1391*W1391*(1+Burden),2)))</f>
        <v/>
      </c>
      <c r="Y1391" s="55">
        <f>IF(B1391="","",IF(OR(O1391="Cancelled",O1391="No-Show"),"",IF(N1391&lt;&gt;"",N1391,ROUND(R1391*SupHr*IFERROR(INDEX('PRICING'!$G$7:$G$16,MATCH(F1391,'PRICING'!$A$7:$A$16,0)),1),2))))</f>
        <v/>
      </c>
      <c r="Z1391" s="98">
        <f>IF(B1391="","",SUMIFS('MILEAGE'!$J$5:$J$1504,'MILEAGE'!$B$5:$B$1504,A1391))</f>
        <v/>
      </c>
      <c r="AA1391" s="55">
        <f>IF(B1391="","",ROUND(Z1391*MileRate,2))</f>
        <v/>
      </c>
      <c r="AB1391" s="55">
        <f>IF(B1391="","",SUMIFS('REVENUE'!$J$5:$J$1504,'REVENUE'!$B$5:$B$1504,A1391))</f>
        <v/>
      </c>
      <c r="AC1391" s="55">
        <f>IF(L1391="","",IF(OR(O1391="Cancelled",O1391="No-Show"),"",L1391-N(X1391)-N(Y1391)-AA1391-AB1391))</f>
        <v/>
      </c>
      <c r="AD1391" s="99">
        <f>IF(OR(AC1391="",N(L1391)=0),"",AC1391/L1391)</f>
        <v/>
      </c>
      <c r="AE1391" s="55">
        <f>IF(OR(AC1391="",N(R1391)=0),"",L1391/R1391)</f>
        <v/>
      </c>
      <c r="AF1391" s="100">
        <f>IF(OR(N(K1391)=0,N(J1391)+N(Q1391)=0),"",K1391-IF(N(J1391)&gt;0,J1391,Q1391))</f>
        <v/>
      </c>
      <c r="AG1391" s="99">
        <f>IF(B1391="","",IFERROR(AVERAGEIFS('QUALITY CONTROL'!$M$5:$M$304,'QUALITY CONTROL'!$B$5:$B$304,A1391),""))</f>
        <v/>
      </c>
      <c r="AH1391" s="51">
        <f>IF(B1391="","",DATE(YEAR(B1391),MONTH(B1391),1))</f>
        <v/>
      </c>
      <c r="AI1391" s="49">
        <f>IF(D1391="","",IFERROR(INDEX('CUSTOMERS'!$E$5:$E$404,MATCH(D1391,'CUSTOMERS'!$B$5:$B$404,0)),""))</f>
        <v/>
      </c>
      <c r="AJ1391" s="49">
        <f>IF(B1391="","",N(C1391))</f>
        <v/>
      </c>
      <c r="AK1391" s="49">
        <f>IF(OR(B1391="",O1391="Cancelled",O1391="Rescheduled"),"",B1391&amp;"|"&amp;(COUNTIFS('JOBS'!$B$5:$B$1504,B1391,'JOBS'!$AJ$5:$AJ$1504,"&lt;"&amp;AJ1391,'JOBS'!$O$5:$O$1504,"&lt;&gt;Cancelled",'JOBS'!$O$5:$O$1504,"&lt;&gt;Rescheduled")+COUNTIFS($B$5:B1391,B1391,$AJ$5:AJ1391,AJ1391,$O$5:O1391,"&lt;&gt;Cancelled",$O$5:O1391,"&lt;&gt;Rescheduled")))</f>
        <v/>
      </c>
      <c r="AL1391" s="49">
        <f>IF(N(U1391)&lt;=0.005,"",COUNTIFS('JOBS'!$U$5:$U$1504,"&gt;0.005",'JOBS'!$B$5:$B$1504,"&lt;"&amp;B1391)+COUNTIFS($U$5:U1391,"&gt;0.005",$B$5:B1391,B1391))</f>
        <v/>
      </c>
    </row>
    <row r="1392">
      <c r="A1392" s="46" t="inlineStr">
        <is>
          <t>J-1388</t>
        </is>
      </c>
      <c r="B1392" s="47" t="n"/>
      <c r="C1392" s="94" t="n"/>
      <c r="D1392" s="38" t="n"/>
      <c r="E1392" s="38" t="n"/>
      <c r="F1392" s="38" t="n"/>
      <c r="G1392" s="38" t="n"/>
      <c r="H1392" s="38" t="n"/>
      <c r="I1392" s="57" t="n"/>
      <c r="J1392" s="95" t="n"/>
      <c r="K1392" s="95" t="n"/>
      <c r="L1392" s="48" t="n"/>
      <c r="M1392" s="96" t="n"/>
      <c r="N1392" s="48" t="n"/>
      <c r="O1392" s="38" t="n"/>
      <c r="P1392" s="38" t="n"/>
      <c r="Q1392" s="97">
        <f>IF(OR(F1392="",E1392=""),"",IFERROR(IF(INDEX('PROPERTIES'!$F$5:$F$404,MATCH(E1392,'PROPERTIES'!$B$5:$B$404,0))=0,"",ROUND((INDEX('PROPERTIES'!$F$5:$F$404,MATCH(E1392,'PROPERTIES'!$B$5:$B$404,0))/INDEX('PRICING'!$C$7:$C$16,MATCH(F1392,'PRICING'!$A$7:$A$16,0))+INDEX('PROPERTIES'!$G$5:$G$404,MATCH(E1392,'PROPERTIES'!$B$5:$B$404,0))*INDEX('PRICING'!$D$7:$D$16,MATCH(F1392,'PRICING'!$A$7:$A$16,0))/60+INDEX('PROPERTIES'!$H$5:$H$404,MATCH(E1392,'PROPERTIES'!$B$5:$B$404,0))*INDEX('PRICING'!$E$7:$E$16,MATCH(F1392,'PRICING'!$A$7:$A$16,0))/60+INDEX('PRICING'!$F$7:$F$16,MATCH(F1392,'PRICING'!$A$7:$A$16,0))/60),2)),""))</f>
        <v/>
      </c>
      <c r="R1392" s="97">
        <f>IF(B1392="","",IF(N(K1392)&gt;0,K1392,IF(N(J1392)&gt;0,J1392,N(Q1392))))</f>
        <v/>
      </c>
      <c r="S1392" s="55">
        <f>IF(L1392="","",ROUND(L1392*(1+N(M1392)),2))</f>
        <v/>
      </c>
      <c r="T1392" s="55">
        <f>IF(B1392="","",SUMIFS('REVENUE'!$C$5:$C$1504,'REVENUE'!$B$5:$B$1504,A1392))</f>
        <v/>
      </c>
      <c r="U1392" s="55">
        <f>IF(B1392="","",IF(O1392="Completed",MAX(0,N(S1392)-T1392),""))</f>
        <v/>
      </c>
      <c r="V1392" s="49">
        <f>IF(B1392="","",IF(O1392&lt;&gt;"Completed",IF(T1392&gt;0,"Deposit","—"),IF(U1392&lt;=0.005,"Paid",IF(T1392&gt;0,"Partial","Unpaid"))))</f>
        <v/>
      </c>
      <c r="W1392" s="55">
        <f>IF(B1392="","",IFERROR(1/(1/INDEX('STAFF &amp; TASKS'!$C$5:$C$24,MATCH(H1392,'STAFF &amp; TASKS'!$A$5:$A$24,0))),PayRate))</f>
        <v/>
      </c>
      <c r="X1392" s="55">
        <f>IF(B1392="","",IF(OR(O1392="Cancelled",O1392="No-Show"),"",ROUND(R1392*W1392*(1+Burden),2)))</f>
        <v/>
      </c>
      <c r="Y1392" s="55">
        <f>IF(B1392="","",IF(OR(O1392="Cancelled",O1392="No-Show"),"",IF(N1392&lt;&gt;"",N1392,ROUND(R1392*SupHr*IFERROR(INDEX('PRICING'!$G$7:$G$16,MATCH(F1392,'PRICING'!$A$7:$A$16,0)),1),2))))</f>
        <v/>
      </c>
      <c r="Z1392" s="98">
        <f>IF(B1392="","",SUMIFS('MILEAGE'!$J$5:$J$1504,'MILEAGE'!$B$5:$B$1504,A1392))</f>
        <v/>
      </c>
      <c r="AA1392" s="55">
        <f>IF(B1392="","",ROUND(Z1392*MileRate,2))</f>
        <v/>
      </c>
      <c r="AB1392" s="55">
        <f>IF(B1392="","",SUMIFS('REVENUE'!$J$5:$J$1504,'REVENUE'!$B$5:$B$1504,A1392))</f>
        <v/>
      </c>
      <c r="AC1392" s="55">
        <f>IF(L1392="","",IF(OR(O1392="Cancelled",O1392="No-Show"),"",L1392-N(X1392)-N(Y1392)-AA1392-AB1392))</f>
        <v/>
      </c>
      <c r="AD1392" s="99">
        <f>IF(OR(AC1392="",N(L1392)=0),"",AC1392/L1392)</f>
        <v/>
      </c>
      <c r="AE1392" s="55">
        <f>IF(OR(AC1392="",N(R1392)=0),"",L1392/R1392)</f>
        <v/>
      </c>
      <c r="AF1392" s="100">
        <f>IF(OR(N(K1392)=0,N(J1392)+N(Q1392)=0),"",K1392-IF(N(J1392)&gt;0,J1392,Q1392))</f>
        <v/>
      </c>
      <c r="AG1392" s="99">
        <f>IF(B1392="","",IFERROR(AVERAGEIFS('QUALITY CONTROL'!$M$5:$M$304,'QUALITY CONTROL'!$B$5:$B$304,A1392),""))</f>
        <v/>
      </c>
      <c r="AH1392" s="51">
        <f>IF(B1392="","",DATE(YEAR(B1392),MONTH(B1392),1))</f>
        <v/>
      </c>
      <c r="AI1392" s="49">
        <f>IF(D1392="","",IFERROR(INDEX('CUSTOMERS'!$E$5:$E$404,MATCH(D1392,'CUSTOMERS'!$B$5:$B$404,0)),""))</f>
        <v/>
      </c>
      <c r="AJ1392" s="49">
        <f>IF(B1392="","",N(C1392))</f>
        <v/>
      </c>
      <c r="AK1392" s="49">
        <f>IF(OR(B1392="",O1392="Cancelled",O1392="Rescheduled"),"",B1392&amp;"|"&amp;(COUNTIFS('JOBS'!$B$5:$B$1504,B1392,'JOBS'!$AJ$5:$AJ$1504,"&lt;"&amp;AJ1392,'JOBS'!$O$5:$O$1504,"&lt;&gt;Cancelled",'JOBS'!$O$5:$O$1504,"&lt;&gt;Rescheduled")+COUNTIFS($B$5:B1392,B1392,$AJ$5:AJ1392,AJ1392,$O$5:O1392,"&lt;&gt;Cancelled",$O$5:O1392,"&lt;&gt;Rescheduled")))</f>
        <v/>
      </c>
      <c r="AL1392" s="49">
        <f>IF(N(U1392)&lt;=0.005,"",COUNTIFS('JOBS'!$U$5:$U$1504,"&gt;0.005",'JOBS'!$B$5:$B$1504,"&lt;"&amp;B1392)+COUNTIFS($U$5:U1392,"&gt;0.005",$B$5:B1392,B1392))</f>
        <v/>
      </c>
    </row>
    <row r="1393">
      <c r="A1393" s="46" t="inlineStr">
        <is>
          <t>J-1389</t>
        </is>
      </c>
      <c r="B1393" s="47" t="n"/>
      <c r="C1393" s="94" t="n"/>
      <c r="D1393" s="38" t="n"/>
      <c r="E1393" s="38" t="n"/>
      <c r="F1393" s="38" t="n"/>
      <c r="G1393" s="38" t="n"/>
      <c r="H1393" s="38" t="n"/>
      <c r="I1393" s="57" t="n"/>
      <c r="J1393" s="95" t="n"/>
      <c r="K1393" s="95" t="n"/>
      <c r="L1393" s="48" t="n"/>
      <c r="M1393" s="96" t="n"/>
      <c r="N1393" s="48" t="n"/>
      <c r="O1393" s="38" t="n"/>
      <c r="P1393" s="38" t="n"/>
      <c r="Q1393" s="97">
        <f>IF(OR(F1393="",E1393=""),"",IFERROR(IF(INDEX('PROPERTIES'!$F$5:$F$404,MATCH(E1393,'PROPERTIES'!$B$5:$B$404,0))=0,"",ROUND((INDEX('PROPERTIES'!$F$5:$F$404,MATCH(E1393,'PROPERTIES'!$B$5:$B$404,0))/INDEX('PRICING'!$C$7:$C$16,MATCH(F1393,'PRICING'!$A$7:$A$16,0))+INDEX('PROPERTIES'!$G$5:$G$404,MATCH(E1393,'PROPERTIES'!$B$5:$B$404,0))*INDEX('PRICING'!$D$7:$D$16,MATCH(F1393,'PRICING'!$A$7:$A$16,0))/60+INDEX('PROPERTIES'!$H$5:$H$404,MATCH(E1393,'PROPERTIES'!$B$5:$B$404,0))*INDEX('PRICING'!$E$7:$E$16,MATCH(F1393,'PRICING'!$A$7:$A$16,0))/60+INDEX('PRICING'!$F$7:$F$16,MATCH(F1393,'PRICING'!$A$7:$A$16,0))/60),2)),""))</f>
        <v/>
      </c>
      <c r="R1393" s="97">
        <f>IF(B1393="","",IF(N(K1393)&gt;0,K1393,IF(N(J1393)&gt;0,J1393,N(Q1393))))</f>
        <v/>
      </c>
      <c r="S1393" s="55">
        <f>IF(L1393="","",ROUND(L1393*(1+N(M1393)),2))</f>
        <v/>
      </c>
      <c r="T1393" s="55">
        <f>IF(B1393="","",SUMIFS('REVENUE'!$C$5:$C$1504,'REVENUE'!$B$5:$B$1504,A1393))</f>
        <v/>
      </c>
      <c r="U1393" s="55">
        <f>IF(B1393="","",IF(O1393="Completed",MAX(0,N(S1393)-T1393),""))</f>
        <v/>
      </c>
      <c r="V1393" s="49">
        <f>IF(B1393="","",IF(O1393&lt;&gt;"Completed",IF(T1393&gt;0,"Deposit","—"),IF(U1393&lt;=0.005,"Paid",IF(T1393&gt;0,"Partial","Unpaid"))))</f>
        <v/>
      </c>
      <c r="W1393" s="55">
        <f>IF(B1393="","",IFERROR(1/(1/INDEX('STAFF &amp; TASKS'!$C$5:$C$24,MATCH(H1393,'STAFF &amp; TASKS'!$A$5:$A$24,0))),PayRate))</f>
        <v/>
      </c>
      <c r="X1393" s="55">
        <f>IF(B1393="","",IF(OR(O1393="Cancelled",O1393="No-Show"),"",ROUND(R1393*W1393*(1+Burden),2)))</f>
        <v/>
      </c>
      <c r="Y1393" s="55">
        <f>IF(B1393="","",IF(OR(O1393="Cancelled",O1393="No-Show"),"",IF(N1393&lt;&gt;"",N1393,ROUND(R1393*SupHr*IFERROR(INDEX('PRICING'!$G$7:$G$16,MATCH(F1393,'PRICING'!$A$7:$A$16,0)),1),2))))</f>
        <v/>
      </c>
      <c r="Z1393" s="98">
        <f>IF(B1393="","",SUMIFS('MILEAGE'!$J$5:$J$1504,'MILEAGE'!$B$5:$B$1504,A1393))</f>
        <v/>
      </c>
      <c r="AA1393" s="55">
        <f>IF(B1393="","",ROUND(Z1393*MileRate,2))</f>
        <v/>
      </c>
      <c r="AB1393" s="55">
        <f>IF(B1393="","",SUMIFS('REVENUE'!$J$5:$J$1504,'REVENUE'!$B$5:$B$1504,A1393))</f>
        <v/>
      </c>
      <c r="AC1393" s="55">
        <f>IF(L1393="","",IF(OR(O1393="Cancelled",O1393="No-Show"),"",L1393-N(X1393)-N(Y1393)-AA1393-AB1393))</f>
        <v/>
      </c>
      <c r="AD1393" s="99">
        <f>IF(OR(AC1393="",N(L1393)=0),"",AC1393/L1393)</f>
        <v/>
      </c>
      <c r="AE1393" s="55">
        <f>IF(OR(AC1393="",N(R1393)=0),"",L1393/R1393)</f>
        <v/>
      </c>
      <c r="AF1393" s="100">
        <f>IF(OR(N(K1393)=0,N(J1393)+N(Q1393)=0),"",K1393-IF(N(J1393)&gt;0,J1393,Q1393))</f>
        <v/>
      </c>
      <c r="AG1393" s="99">
        <f>IF(B1393="","",IFERROR(AVERAGEIFS('QUALITY CONTROL'!$M$5:$M$304,'QUALITY CONTROL'!$B$5:$B$304,A1393),""))</f>
        <v/>
      </c>
      <c r="AH1393" s="51">
        <f>IF(B1393="","",DATE(YEAR(B1393),MONTH(B1393),1))</f>
        <v/>
      </c>
      <c r="AI1393" s="49">
        <f>IF(D1393="","",IFERROR(INDEX('CUSTOMERS'!$E$5:$E$404,MATCH(D1393,'CUSTOMERS'!$B$5:$B$404,0)),""))</f>
        <v/>
      </c>
      <c r="AJ1393" s="49">
        <f>IF(B1393="","",N(C1393))</f>
        <v/>
      </c>
      <c r="AK1393" s="49">
        <f>IF(OR(B1393="",O1393="Cancelled",O1393="Rescheduled"),"",B1393&amp;"|"&amp;(COUNTIFS('JOBS'!$B$5:$B$1504,B1393,'JOBS'!$AJ$5:$AJ$1504,"&lt;"&amp;AJ1393,'JOBS'!$O$5:$O$1504,"&lt;&gt;Cancelled",'JOBS'!$O$5:$O$1504,"&lt;&gt;Rescheduled")+COUNTIFS($B$5:B1393,B1393,$AJ$5:AJ1393,AJ1393,$O$5:O1393,"&lt;&gt;Cancelled",$O$5:O1393,"&lt;&gt;Rescheduled")))</f>
        <v/>
      </c>
      <c r="AL1393" s="49">
        <f>IF(N(U1393)&lt;=0.005,"",COUNTIFS('JOBS'!$U$5:$U$1504,"&gt;0.005",'JOBS'!$B$5:$B$1504,"&lt;"&amp;B1393)+COUNTIFS($U$5:U1393,"&gt;0.005",$B$5:B1393,B1393))</f>
        <v/>
      </c>
    </row>
    <row r="1394">
      <c r="A1394" s="46" t="inlineStr">
        <is>
          <t>J-1390</t>
        </is>
      </c>
      <c r="B1394" s="47" t="n"/>
      <c r="C1394" s="94" t="n"/>
      <c r="D1394" s="38" t="n"/>
      <c r="E1394" s="38" t="n"/>
      <c r="F1394" s="38" t="n"/>
      <c r="G1394" s="38" t="n"/>
      <c r="H1394" s="38" t="n"/>
      <c r="I1394" s="57" t="n"/>
      <c r="J1394" s="95" t="n"/>
      <c r="K1394" s="95" t="n"/>
      <c r="L1394" s="48" t="n"/>
      <c r="M1394" s="96" t="n"/>
      <c r="N1394" s="48" t="n"/>
      <c r="O1394" s="38" t="n"/>
      <c r="P1394" s="38" t="n"/>
      <c r="Q1394" s="97">
        <f>IF(OR(F1394="",E1394=""),"",IFERROR(IF(INDEX('PROPERTIES'!$F$5:$F$404,MATCH(E1394,'PROPERTIES'!$B$5:$B$404,0))=0,"",ROUND((INDEX('PROPERTIES'!$F$5:$F$404,MATCH(E1394,'PROPERTIES'!$B$5:$B$404,0))/INDEX('PRICING'!$C$7:$C$16,MATCH(F1394,'PRICING'!$A$7:$A$16,0))+INDEX('PROPERTIES'!$G$5:$G$404,MATCH(E1394,'PROPERTIES'!$B$5:$B$404,0))*INDEX('PRICING'!$D$7:$D$16,MATCH(F1394,'PRICING'!$A$7:$A$16,0))/60+INDEX('PROPERTIES'!$H$5:$H$404,MATCH(E1394,'PROPERTIES'!$B$5:$B$404,0))*INDEX('PRICING'!$E$7:$E$16,MATCH(F1394,'PRICING'!$A$7:$A$16,0))/60+INDEX('PRICING'!$F$7:$F$16,MATCH(F1394,'PRICING'!$A$7:$A$16,0))/60),2)),""))</f>
        <v/>
      </c>
      <c r="R1394" s="97">
        <f>IF(B1394="","",IF(N(K1394)&gt;0,K1394,IF(N(J1394)&gt;0,J1394,N(Q1394))))</f>
        <v/>
      </c>
      <c r="S1394" s="55">
        <f>IF(L1394="","",ROUND(L1394*(1+N(M1394)),2))</f>
        <v/>
      </c>
      <c r="T1394" s="55">
        <f>IF(B1394="","",SUMIFS('REVENUE'!$C$5:$C$1504,'REVENUE'!$B$5:$B$1504,A1394))</f>
        <v/>
      </c>
      <c r="U1394" s="55">
        <f>IF(B1394="","",IF(O1394="Completed",MAX(0,N(S1394)-T1394),""))</f>
        <v/>
      </c>
      <c r="V1394" s="49">
        <f>IF(B1394="","",IF(O1394&lt;&gt;"Completed",IF(T1394&gt;0,"Deposit","—"),IF(U1394&lt;=0.005,"Paid",IF(T1394&gt;0,"Partial","Unpaid"))))</f>
        <v/>
      </c>
      <c r="W1394" s="55">
        <f>IF(B1394="","",IFERROR(1/(1/INDEX('STAFF &amp; TASKS'!$C$5:$C$24,MATCH(H1394,'STAFF &amp; TASKS'!$A$5:$A$24,0))),PayRate))</f>
        <v/>
      </c>
      <c r="X1394" s="55">
        <f>IF(B1394="","",IF(OR(O1394="Cancelled",O1394="No-Show"),"",ROUND(R1394*W1394*(1+Burden),2)))</f>
        <v/>
      </c>
      <c r="Y1394" s="55">
        <f>IF(B1394="","",IF(OR(O1394="Cancelled",O1394="No-Show"),"",IF(N1394&lt;&gt;"",N1394,ROUND(R1394*SupHr*IFERROR(INDEX('PRICING'!$G$7:$G$16,MATCH(F1394,'PRICING'!$A$7:$A$16,0)),1),2))))</f>
        <v/>
      </c>
      <c r="Z1394" s="98">
        <f>IF(B1394="","",SUMIFS('MILEAGE'!$J$5:$J$1504,'MILEAGE'!$B$5:$B$1504,A1394))</f>
        <v/>
      </c>
      <c r="AA1394" s="55">
        <f>IF(B1394="","",ROUND(Z1394*MileRate,2))</f>
        <v/>
      </c>
      <c r="AB1394" s="55">
        <f>IF(B1394="","",SUMIFS('REVENUE'!$J$5:$J$1504,'REVENUE'!$B$5:$B$1504,A1394))</f>
        <v/>
      </c>
      <c r="AC1394" s="55">
        <f>IF(L1394="","",IF(OR(O1394="Cancelled",O1394="No-Show"),"",L1394-N(X1394)-N(Y1394)-AA1394-AB1394))</f>
        <v/>
      </c>
      <c r="AD1394" s="99">
        <f>IF(OR(AC1394="",N(L1394)=0),"",AC1394/L1394)</f>
        <v/>
      </c>
      <c r="AE1394" s="55">
        <f>IF(OR(AC1394="",N(R1394)=0),"",L1394/R1394)</f>
        <v/>
      </c>
      <c r="AF1394" s="100">
        <f>IF(OR(N(K1394)=0,N(J1394)+N(Q1394)=0),"",K1394-IF(N(J1394)&gt;0,J1394,Q1394))</f>
        <v/>
      </c>
      <c r="AG1394" s="99">
        <f>IF(B1394="","",IFERROR(AVERAGEIFS('QUALITY CONTROL'!$M$5:$M$304,'QUALITY CONTROL'!$B$5:$B$304,A1394),""))</f>
        <v/>
      </c>
      <c r="AH1394" s="51">
        <f>IF(B1394="","",DATE(YEAR(B1394),MONTH(B1394),1))</f>
        <v/>
      </c>
      <c r="AI1394" s="49">
        <f>IF(D1394="","",IFERROR(INDEX('CUSTOMERS'!$E$5:$E$404,MATCH(D1394,'CUSTOMERS'!$B$5:$B$404,0)),""))</f>
        <v/>
      </c>
      <c r="AJ1394" s="49">
        <f>IF(B1394="","",N(C1394))</f>
        <v/>
      </c>
      <c r="AK1394" s="49">
        <f>IF(OR(B1394="",O1394="Cancelled",O1394="Rescheduled"),"",B1394&amp;"|"&amp;(COUNTIFS('JOBS'!$B$5:$B$1504,B1394,'JOBS'!$AJ$5:$AJ$1504,"&lt;"&amp;AJ1394,'JOBS'!$O$5:$O$1504,"&lt;&gt;Cancelled",'JOBS'!$O$5:$O$1504,"&lt;&gt;Rescheduled")+COUNTIFS($B$5:B1394,B1394,$AJ$5:AJ1394,AJ1394,$O$5:O1394,"&lt;&gt;Cancelled",$O$5:O1394,"&lt;&gt;Rescheduled")))</f>
        <v/>
      </c>
      <c r="AL1394" s="49">
        <f>IF(N(U1394)&lt;=0.005,"",COUNTIFS('JOBS'!$U$5:$U$1504,"&gt;0.005",'JOBS'!$B$5:$B$1504,"&lt;"&amp;B1394)+COUNTIFS($U$5:U1394,"&gt;0.005",$B$5:B1394,B1394))</f>
        <v/>
      </c>
    </row>
    <row r="1395">
      <c r="A1395" s="46" t="inlineStr">
        <is>
          <t>J-1391</t>
        </is>
      </c>
      <c r="B1395" s="47" t="n"/>
      <c r="C1395" s="94" t="n"/>
      <c r="D1395" s="38" t="n"/>
      <c r="E1395" s="38" t="n"/>
      <c r="F1395" s="38" t="n"/>
      <c r="G1395" s="38" t="n"/>
      <c r="H1395" s="38" t="n"/>
      <c r="I1395" s="57" t="n"/>
      <c r="J1395" s="95" t="n"/>
      <c r="K1395" s="95" t="n"/>
      <c r="L1395" s="48" t="n"/>
      <c r="M1395" s="96" t="n"/>
      <c r="N1395" s="48" t="n"/>
      <c r="O1395" s="38" t="n"/>
      <c r="P1395" s="38" t="n"/>
      <c r="Q1395" s="97">
        <f>IF(OR(F1395="",E1395=""),"",IFERROR(IF(INDEX('PROPERTIES'!$F$5:$F$404,MATCH(E1395,'PROPERTIES'!$B$5:$B$404,0))=0,"",ROUND((INDEX('PROPERTIES'!$F$5:$F$404,MATCH(E1395,'PROPERTIES'!$B$5:$B$404,0))/INDEX('PRICING'!$C$7:$C$16,MATCH(F1395,'PRICING'!$A$7:$A$16,0))+INDEX('PROPERTIES'!$G$5:$G$404,MATCH(E1395,'PROPERTIES'!$B$5:$B$404,0))*INDEX('PRICING'!$D$7:$D$16,MATCH(F1395,'PRICING'!$A$7:$A$16,0))/60+INDEX('PROPERTIES'!$H$5:$H$404,MATCH(E1395,'PROPERTIES'!$B$5:$B$404,0))*INDEX('PRICING'!$E$7:$E$16,MATCH(F1395,'PRICING'!$A$7:$A$16,0))/60+INDEX('PRICING'!$F$7:$F$16,MATCH(F1395,'PRICING'!$A$7:$A$16,0))/60),2)),""))</f>
        <v/>
      </c>
      <c r="R1395" s="97">
        <f>IF(B1395="","",IF(N(K1395)&gt;0,K1395,IF(N(J1395)&gt;0,J1395,N(Q1395))))</f>
        <v/>
      </c>
      <c r="S1395" s="55">
        <f>IF(L1395="","",ROUND(L1395*(1+N(M1395)),2))</f>
        <v/>
      </c>
      <c r="T1395" s="55">
        <f>IF(B1395="","",SUMIFS('REVENUE'!$C$5:$C$1504,'REVENUE'!$B$5:$B$1504,A1395))</f>
        <v/>
      </c>
      <c r="U1395" s="55">
        <f>IF(B1395="","",IF(O1395="Completed",MAX(0,N(S1395)-T1395),""))</f>
        <v/>
      </c>
      <c r="V1395" s="49">
        <f>IF(B1395="","",IF(O1395&lt;&gt;"Completed",IF(T1395&gt;0,"Deposit","—"),IF(U1395&lt;=0.005,"Paid",IF(T1395&gt;0,"Partial","Unpaid"))))</f>
        <v/>
      </c>
      <c r="W1395" s="55">
        <f>IF(B1395="","",IFERROR(1/(1/INDEX('STAFF &amp; TASKS'!$C$5:$C$24,MATCH(H1395,'STAFF &amp; TASKS'!$A$5:$A$24,0))),PayRate))</f>
        <v/>
      </c>
      <c r="X1395" s="55">
        <f>IF(B1395="","",IF(OR(O1395="Cancelled",O1395="No-Show"),"",ROUND(R1395*W1395*(1+Burden),2)))</f>
        <v/>
      </c>
      <c r="Y1395" s="55">
        <f>IF(B1395="","",IF(OR(O1395="Cancelled",O1395="No-Show"),"",IF(N1395&lt;&gt;"",N1395,ROUND(R1395*SupHr*IFERROR(INDEX('PRICING'!$G$7:$G$16,MATCH(F1395,'PRICING'!$A$7:$A$16,0)),1),2))))</f>
        <v/>
      </c>
      <c r="Z1395" s="98">
        <f>IF(B1395="","",SUMIFS('MILEAGE'!$J$5:$J$1504,'MILEAGE'!$B$5:$B$1504,A1395))</f>
        <v/>
      </c>
      <c r="AA1395" s="55">
        <f>IF(B1395="","",ROUND(Z1395*MileRate,2))</f>
        <v/>
      </c>
      <c r="AB1395" s="55">
        <f>IF(B1395="","",SUMIFS('REVENUE'!$J$5:$J$1504,'REVENUE'!$B$5:$B$1504,A1395))</f>
        <v/>
      </c>
      <c r="AC1395" s="55">
        <f>IF(L1395="","",IF(OR(O1395="Cancelled",O1395="No-Show"),"",L1395-N(X1395)-N(Y1395)-AA1395-AB1395))</f>
        <v/>
      </c>
      <c r="AD1395" s="99">
        <f>IF(OR(AC1395="",N(L1395)=0),"",AC1395/L1395)</f>
        <v/>
      </c>
      <c r="AE1395" s="55">
        <f>IF(OR(AC1395="",N(R1395)=0),"",L1395/R1395)</f>
        <v/>
      </c>
      <c r="AF1395" s="100">
        <f>IF(OR(N(K1395)=0,N(J1395)+N(Q1395)=0),"",K1395-IF(N(J1395)&gt;0,J1395,Q1395))</f>
        <v/>
      </c>
      <c r="AG1395" s="99">
        <f>IF(B1395="","",IFERROR(AVERAGEIFS('QUALITY CONTROL'!$M$5:$M$304,'QUALITY CONTROL'!$B$5:$B$304,A1395),""))</f>
        <v/>
      </c>
      <c r="AH1395" s="51">
        <f>IF(B1395="","",DATE(YEAR(B1395),MONTH(B1395),1))</f>
        <v/>
      </c>
      <c r="AI1395" s="49">
        <f>IF(D1395="","",IFERROR(INDEX('CUSTOMERS'!$E$5:$E$404,MATCH(D1395,'CUSTOMERS'!$B$5:$B$404,0)),""))</f>
        <v/>
      </c>
      <c r="AJ1395" s="49">
        <f>IF(B1395="","",N(C1395))</f>
        <v/>
      </c>
      <c r="AK1395" s="49">
        <f>IF(OR(B1395="",O1395="Cancelled",O1395="Rescheduled"),"",B1395&amp;"|"&amp;(COUNTIFS('JOBS'!$B$5:$B$1504,B1395,'JOBS'!$AJ$5:$AJ$1504,"&lt;"&amp;AJ1395,'JOBS'!$O$5:$O$1504,"&lt;&gt;Cancelled",'JOBS'!$O$5:$O$1504,"&lt;&gt;Rescheduled")+COUNTIFS($B$5:B1395,B1395,$AJ$5:AJ1395,AJ1395,$O$5:O1395,"&lt;&gt;Cancelled",$O$5:O1395,"&lt;&gt;Rescheduled")))</f>
        <v/>
      </c>
      <c r="AL1395" s="49">
        <f>IF(N(U1395)&lt;=0.005,"",COUNTIFS('JOBS'!$U$5:$U$1504,"&gt;0.005",'JOBS'!$B$5:$B$1504,"&lt;"&amp;B1395)+COUNTIFS($U$5:U1395,"&gt;0.005",$B$5:B1395,B1395))</f>
        <v/>
      </c>
    </row>
    <row r="1396">
      <c r="A1396" s="46" t="inlineStr">
        <is>
          <t>J-1392</t>
        </is>
      </c>
      <c r="B1396" s="47" t="n"/>
      <c r="C1396" s="94" t="n"/>
      <c r="D1396" s="38" t="n"/>
      <c r="E1396" s="38" t="n"/>
      <c r="F1396" s="38" t="n"/>
      <c r="G1396" s="38" t="n"/>
      <c r="H1396" s="38" t="n"/>
      <c r="I1396" s="57" t="n"/>
      <c r="J1396" s="95" t="n"/>
      <c r="K1396" s="95" t="n"/>
      <c r="L1396" s="48" t="n"/>
      <c r="M1396" s="96" t="n"/>
      <c r="N1396" s="48" t="n"/>
      <c r="O1396" s="38" t="n"/>
      <c r="P1396" s="38" t="n"/>
      <c r="Q1396" s="97">
        <f>IF(OR(F1396="",E1396=""),"",IFERROR(IF(INDEX('PROPERTIES'!$F$5:$F$404,MATCH(E1396,'PROPERTIES'!$B$5:$B$404,0))=0,"",ROUND((INDEX('PROPERTIES'!$F$5:$F$404,MATCH(E1396,'PROPERTIES'!$B$5:$B$404,0))/INDEX('PRICING'!$C$7:$C$16,MATCH(F1396,'PRICING'!$A$7:$A$16,0))+INDEX('PROPERTIES'!$G$5:$G$404,MATCH(E1396,'PROPERTIES'!$B$5:$B$404,0))*INDEX('PRICING'!$D$7:$D$16,MATCH(F1396,'PRICING'!$A$7:$A$16,0))/60+INDEX('PROPERTIES'!$H$5:$H$404,MATCH(E1396,'PROPERTIES'!$B$5:$B$404,0))*INDEX('PRICING'!$E$7:$E$16,MATCH(F1396,'PRICING'!$A$7:$A$16,0))/60+INDEX('PRICING'!$F$7:$F$16,MATCH(F1396,'PRICING'!$A$7:$A$16,0))/60),2)),""))</f>
        <v/>
      </c>
      <c r="R1396" s="97">
        <f>IF(B1396="","",IF(N(K1396)&gt;0,K1396,IF(N(J1396)&gt;0,J1396,N(Q1396))))</f>
        <v/>
      </c>
      <c r="S1396" s="55">
        <f>IF(L1396="","",ROUND(L1396*(1+N(M1396)),2))</f>
        <v/>
      </c>
      <c r="T1396" s="55">
        <f>IF(B1396="","",SUMIFS('REVENUE'!$C$5:$C$1504,'REVENUE'!$B$5:$B$1504,A1396))</f>
        <v/>
      </c>
      <c r="U1396" s="55">
        <f>IF(B1396="","",IF(O1396="Completed",MAX(0,N(S1396)-T1396),""))</f>
        <v/>
      </c>
      <c r="V1396" s="49">
        <f>IF(B1396="","",IF(O1396&lt;&gt;"Completed",IF(T1396&gt;0,"Deposit","—"),IF(U1396&lt;=0.005,"Paid",IF(T1396&gt;0,"Partial","Unpaid"))))</f>
        <v/>
      </c>
      <c r="W1396" s="55">
        <f>IF(B1396="","",IFERROR(1/(1/INDEX('STAFF &amp; TASKS'!$C$5:$C$24,MATCH(H1396,'STAFF &amp; TASKS'!$A$5:$A$24,0))),PayRate))</f>
        <v/>
      </c>
      <c r="X1396" s="55">
        <f>IF(B1396="","",IF(OR(O1396="Cancelled",O1396="No-Show"),"",ROUND(R1396*W1396*(1+Burden),2)))</f>
        <v/>
      </c>
      <c r="Y1396" s="55">
        <f>IF(B1396="","",IF(OR(O1396="Cancelled",O1396="No-Show"),"",IF(N1396&lt;&gt;"",N1396,ROUND(R1396*SupHr*IFERROR(INDEX('PRICING'!$G$7:$G$16,MATCH(F1396,'PRICING'!$A$7:$A$16,0)),1),2))))</f>
        <v/>
      </c>
      <c r="Z1396" s="98">
        <f>IF(B1396="","",SUMIFS('MILEAGE'!$J$5:$J$1504,'MILEAGE'!$B$5:$B$1504,A1396))</f>
        <v/>
      </c>
      <c r="AA1396" s="55">
        <f>IF(B1396="","",ROUND(Z1396*MileRate,2))</f>
        <v/>
      </c>
      <c r="AB1396" s="55">
        <f>IF(B1396="","",SUMIFS('REVENUE'!$J$5:$J$1504,'REVENUE'!$B$5:$B$1504,A1396))</f>
        <v/>
      </c>
      <c r="AC1396" s="55">
        <f>IF(L1396="","",IF(OR(O1396="Cancelled",O1396="No-Show"),"",L1396-N(X1396)-N(Y1396)-AA1396-AB1396))</f>
        <v/>
      </c>
      <c r="AD1396" s="99">
        <f>IF(OR(AC1396="",N(L1396)=0),"",AC1396/L1396)</f>
        <v/>
      </c>
      <c r="AE1396" s="55">
        <f>IF(OR(AC1396="",N(R1396)=0),"",L1396/R1396)</f>
        <v/>
      </c>
      <c r="AF1396" s="100">
        <f>IF(OR(N(K1396)=0,N(J1396)+N(Q1396)=0),"",K1396-IF(N(J1396)&gt;0,J1396,Q1396))</f>
        <v/>
      </c>
      <c r="AG1396" s="99">
        <f>IF(B1396="","",IFERROR(AVERAGEIFS('QUALITY CONTROL'!$M$5:$M$304,'QUALITY CONTROL'!$B$5:$B$304,A1396),""))</f>
        <v/>
      </c>
      <c r="AH1396" s="51">
        <f>IF(B1396="","",DATE(YEAR(B1396),MONTH(B1396),1))</f>
        <v/>
      </c>
      <c r="AI1396" s="49">
        <f>IF(D1396="","",IFERROR(INDEX('CUSTOMERS'!$E$5:$E$404,MATCH(D1396,'CUSTOMERS'!$B$5:$B$404,0)),""))</f>
        <v/>
      </c>
      <c r="AJ1396" s="49">
        <f>IF(B1396="","",N(C1396))</f>
        <v/>
      </c>
      <c r="AK1396" s="49">
        <f>IF(OR(B1396="",O1396="Cancelled",O1396="Rescheduled"),"",B1396&amp;"|"&amp;(COUNTIFS('JOBS'!$B$5:$B$1504,B1396,'JOBS'!$AJ$5:$AJ$1504,"&lt;"&amp;AJ1396,'JOBS'!$O$5:$O$1504,"&lt;&gt;Cancelled",'JOBS'!$O$5:$O$1504,"&lt;&gt;Rescheduled")+COUNTIFS($B$5:B1396,B1396,$AJ$5:AJ1396,AJ1396,$O$5:O1396,"&lt;&gt;Cancelled",$O$5:O1396,"&lt;&gt;Rescheduled")))</f>
        <v/>
      </c>
      <c r="AL1396" s="49">
        <f>IF(N(U1396)&lt;=0.005,"",COUNTIFS('JOBS'!$U$5:$U$1504,"&gt;0.005",'JOBS'!$B$5:$B$1504,"&lt;"&amp;B1396)+COUNTIFS($U$5:U1396,"&gt;0.005",$B$5:B1396,B1396))</f>
        <v/>
      </c>
    </row>
    <row r="1397">
      <c r="A1397" s="46" t="inlineStr">
        <is>
          <t>J-1393</t>
        </is>
      </c>
      <c r="B1397" s="47" t="n"/>
      <c r="C1397" s="94" t="n"/>
      <c r="D1397" s="38" t="n"/>
      <c r="E1397" s="38" t="n"/>
      <c r="F1397" s="38" t="n"/>
      <c r="G1397" s="38" t="n"/>
      <c r="H1397" s="38" t="n"/>
      <c r="I1397" s="57" t="n"/>
      <c r="J1397" s="95" t="n"/>
      <c r="K1397" s="95" t="n"/>
      <c r="L1397" s="48" t="n"/>
      <c r="M1397" s="96" t="n"/>
      <c r="N1397" s="48" t="n"/>
      <c r="O1397" s="38" t="n"/>
      <c r="P1397" s="38" t="n"/>
      <c r="Q1397" s="97">
        <f>IF(OR(F1397="",E1397=""),"",IFERROR(IF(INDEX('PROPERTIES'!$F$5:$F$404,MATCH(E1397,'PROPERTIES'!$B$5:$B$404,0))=0,"",ROUND((INDEX('PROPERTIES'!$F$5:$F$404,MATCH(E1397,'PROPERTIES'!$B$5:$B$404,0))/INDEX('PRICING'!$C$7:$C$16,MATCH(F1397,'PRICING'!$A$7:$A$16,0))+INDEX('PROPERTIES'!$G$5:$G$404,MATCH(E1397,'PROPERTIES'!$B$5:$B$404,0))*INDEX('PRICING'!$D$7:$D$16,MATCH(F1397,'PRICING'!$A$7:$A$16,0))/60+INDEX('PROPERTIES'!$H$5:$H$404,MATCH(E1397,'PROPERTIES'!$B$5:$B$404,0))*INDEX('PRICING'!$E$7:$E$16,MATCH(F1397,'PRICING'!$A$7:$A$16,0))/60+INDEX('PRICING'!$F$7:$F$16,MATCH(F1397,'PRICING'!$A$7:$A$16,0))/60),2)),""))</f>
        <v/>
      </c>
      <c r="R1397" s="97">
        <f>IF(B1397="","",IF(N(K1397)&gt;0,K1397,IF(N(J1397)&gt;0,J1397,N(Q1397))))</f>
        <v/>
      </c>
      <c r="S1397" s="55">
        <f>IF(L1397="","",ROUND(L1397*(1+N(M1397)),2))</f>
        <v/>
      </c>
      <c r="T1397" s="55">
        <f>IF(B1397="","",SUMIFS('REVENUE'!$C$5:$C$1504,'REVENUE'!$B$5:$B$1504,A1397))</f>
        <v/>
      </c>
      <c r="U1397" s="55">
        <f>IF(B1397="","",IF(O1397="Completed",MAX(0,N(S1397)-T1397),""))</f>
        <v/>
      </c>
      <c r="V1397" s="49">
        <f>IF(B1397="","",IF(O1397&lt;&gt;"Completed",IF(T1397&gt;0,"Deposit","—"),IF(U1397&lt;=0.005,"Paid",IF(T1397&gt;0,"Partial","Unpaid"))))</f>
        <v/>
      </c>
      <c r="W1397" s="55">
        <f>IF(B1397="","",IFERROR(1/(1/INDEX('STAFF &amp; TASKS'!$C$5:$C$24,MATCH(H1397,'STAFF &amp; TASKS'!$A$5:$A$24,0))),PayRate))</f>
        <v/>
      </c>
      <c r="X1397" s="55">
        <f>IF(B1397="","",IF(OR(O1397="Cancelled",O1397="No-Show"),"",ROUND(R1397*W1397*(1+Burden),2)))</f>
        <v/>
      </c>
      <c r="Y1397" s="55">
        <f>IF(B1397="","",IF(OR(O1397="Cancelled",O1397="No-Show"),"",IF(N1397&lt;&gt;"",N1397,ROUND(R1397*SupHr*IFERROR(INDEX('PRICING'!$G$7:$G$16,MATCH(F1397,'PRICING'!$A$7:$A$16,0)),1),2))))</f>
        <v/>
      </c>
      <c r="Z1397" s="98">
        <f>IF(B1397="","",SUMIFS('MILEAGE'!$J$5:$J$1504,'MILEAGE'!$B$5:$B$1504,A1397))</f>
        <v/>
      </c>
      <c r="AA1397" s="55">
        <f>IF(B1397="","",ROUND(Z1397*MileRate,2))</f>
        <v/>
      </c>
      <c r="AB1397" s="55">
        <f>IF(B1397="","",SUMIFS('REVENUE'!$J$5:$J$1504,'REVENUE'!$B$5:$B$1504,A1397))</f>
        <v/>
      </c>
      <c r="AC1397" s="55">
        <f>IF(L1397="","",IF(OR(O1397="Cancelled",O1397="No-Show"),"",L1397-N(X1397)-N(Y1397)-AA1397-AB1397))</f>
        <v/>
      </c>
      <c r="AD1397" s="99">
        <f>IF(OR(AC1397="",N(L1397)=0),"",AC1397/L1397)</f>
        <v/>
      </c>
      <c r="AE1397" s="55">
        <f>IF(OR(AC1397="",N(R1397)=0),"",L1397/R1397)</f>
        <v/>
      </c>
      <c r="AF1397" s="100">
        <f>IF(OR(N(K1397)=0,N(J1397)+N(Q1397)=0),"",K1397-IF(N(J1397)&gt;0,J1397,Q1397))</f>
        <v/>
      </c>
      <c r="AG1397" s="99">
        <f>IF(B1397="","",IFERROR(AVERAGEIFS('QUALITY CONTROL'!$M$5:$M$304,'QUALITY CONTROL'!$B$5:$B$304,A1397),""))</f>
        <v/>
      </c>
      <c r="AH1397" s="51">
        <f>IF(B1397="","",DATE(YEAR(B1397),MONTH(B1397),1))</f>
        <v/>
      </c>
      <c r="AI1397" s="49">
        <f>IF(D1397="","",IFERROR(INDEX('CUSTOMERS'!$E$5:$E$404,MATCH(D1397,'CUSTOMERS'!$B$5:$B$404,0)),""))</f>
        <v/>
      </c>
      <c r="AJ1397" s="49">
        <f>IF(B1397="","",N(C1397))</f>
        <v/>
      </c>
      <c r="AK1397" s="49">
        <f>IF(OR(B1397="",O1397="Cancelled",O1397="Rescheduled"),"",B1397&amp;"|"&amp;(COUNTIFS('JOBS'!$B$5:$B$1504,B1397,'JOBS'!$AJ$5:$AJ$1504,"&lt;"&amp;AJ1397,'JOBS'!$O$5:$O$1504,"&lt;&gt;Cancelled",'JOBS'!$O$5:$O$1504,"&lt;&gt;Rescheduled")+COUNTIFS($B$5:B1397,B1397,$AJ$5:AJ1397,AJ1397,$O$5:O1397,"&lt;&gt;Cancelled",$O$5:O1397,"&lt;&gt;Rescheduled")))</f>
        <v/>
      </c>
      <c r="AL1397" s="49">
        <f>IF(N(U1397)&lt;=0.005,"",COUNTIFS('JOBS'!$U$5:$U$1504,"&gt;0.005",'JOBS'!$B$5:$B$1504,"&lt;"&amp;B1397)+COUNTIFS($U$5:U1397,"&gt;0.005",$B$5:B1397,B1397))</f>
        <v/>
      </c>
    </row>
    <row r="1398">
      <c r="A1398" s="46" t="inlineStr">
        <is>
          <t>J-1394</t>
        </is>
      </c>
      <c r="B1398" s="47" t="n"/>
      <c r="C1398" s="94" t="n"/>
      <c r="D1398" s="38" t="n"/>
      <c r="E1398" s="38" t="n"/>
      <c r="F1398" s="38" t="n"/>
      <c r="G1398" s="38" t="n"/>
      <c r="H1398" s="38" t="n"/>
      <c r="I1398" s="57" t="n"/>
      <c r="J1398" s="95" t="n"/>
      <c r="K1398" s="95" t="n"/>
      <c r="L1398" s="48" t="n"/>
      <c r="M1398" s="96" t="n"/>
      <c r="N1398" s="48" t="n"/>
      <c r="O1398" s="38" t="n"/>
      <c r="P1398" s="38" t="n"/>
      <c r="Q1398" s="97">
        <f>IF(OR(F1398="",E1398=""),"",IFERROR(IF(INDEX('PROPERTIES'!$F$5:$F$404,MATCH(E1398,'PROPERTIES'!$B$5:$B$404,0))=0,"",ROUND((INDEX('PROPERTIES'!$F$5:$F$404,MATCH(E1398,'PROPERTIES'!$B$5:$B$404,0))/INDEX('PRICING'!$C$7:$C$16,MATCH(F1398,'PRICING'!$A$7:$A$16,0))+INDEX('PROPERTIES'!$G$5:$G$404,MATCH(E1398,'PROPERTIES'!$B$5:$B$404,0))*INDEX('PRICING'!$D$7:$D$16,MATCH(F1398,'PRICING'!$A$7:$A$16,0))/60+INDEX('PROPERTIES'!$H$5:$H$404,MATCH(E1398,'PROPERTIES'!$B$5:$B$404,0))*INDEX('PRICING'!$E$7:$E$16,MATCH(F1398,'PRICING'!$A$7:$A$16,0))/60+INDEX('PRICING'!$F$7:$F$16,MATCH(F1398,'PRICING'!$A$7:$A$16,0))/60),2)),""))</f>
        <v/>
      </c>
      <c r="R1398" s="97">
        <f>IF(B1398="","",IF(N(K1398)&gt;0,K1398,IF(N(J1398)&gt;0,J1398,N(Q1398))))</f>
        <v/>
      </c>
      <c r="S1398" s="55">
        <f>IF(L1398="","",ROUND(L1398*(1+N(M1398)),2))</f>
        <v/>
      </c>
      <c r="T1398" s="55">
        <f>IF(B1398="","",SUMIFS('REVENUE'!$C$5:$C$1504,'REVENUE'!$B$5:$B$1504,A1398))</f>
        <v/>
      </c>
      <c r="U1398" s="55">
        <f>IF(B1398="","",IF(O1398="Completed",MAX(0,N(S1398)-T1398),""))</f>
        <v/>
      </c>
      <c r="V1398" s="49">
        <f>IF(B1398="","",IF(O1398&lt;&gt;"Completed",IF(T1398&gt;0,"Deposit","—"),IF(U1398&lt;=0.005,"Paid",IF(T1398&gt;0,"Partial","Unpaid"))))</f>
        <v/>
      </c>
      <c r="W1398" s="55">
        <f>IF(B1398="","",IFERROR(1/(1/INDEX('STAFF &amp; TASKS'!$C$5:$C$24,MATCH(H1398,'STAFF &amp; TASKS'!$A$5:$A$24,0))),PayRate))</f>
        <v/>
      </c>
      <c r="X1398" s="55">
        <f>IF(B1398="","",IF(OR(O1398="Cancelled",O1398="No-Show"),"",ROUND(R1398*W1398*(1+Burden),2)))</f>
        <v/>
      </c>
      <c r="Y1398" s="55">
        <f>IF(B1398="","",IF(OR(O1398="Cancelled",O1398="No-Show"),"",IF(N1398&lt;&gt;"",N1398,ROUND(R1398*SupHr*IFERROR(INDEX('PRICING'!$G$7:$G$16,MATCH(F1398,'PRICING'!$A$7:$A$16,0)),1),2))))</f>
        <v/>
      </c>
      <c r="Z1398" s="98">
        <f>IF(B1398="","",SUMIFS('MILEAGE'!$J$5:$J$1504,'MILEAGE'!$B$5:$B$1504,A1398))</f>
        <v/>
      </c>
      <c r="AA1398" s="55">
        <f>IF(B1398="","",ROUND(Z1398*MileRate,2))</f>
        <v/>
      </c>
      <c r="AB1398" s="55">
        <f>IF(B1398="","",SUMIFS('REVENUE'!$J$5:$J$1504,'REVENUE'!$B$5:$B$1504,A1398))</f>
        <v/>
      </c>
      <c r="AC1398" s="55">
        <f>IF(L1398="","",IF(OR(O1398="Cancelled",O1398="No-Show"),"",L1398-N(X1398)-N(Y1398)-AA1398-AB1398))</f>
        <v/>
      </c>
      <c r="AD1398" s="99">
        <f>IF(OR(AC1398="",N(L1398)=0),"",AC1398/L1398)</f>
        <v/>
      </c>
      <c r="AE1398" s="55">
        <f>IF(OR(AC1398="",N(R1398)=0),"",L1398/R1398)</f>
        <v/>
      </c>
      <c r="AF1398" s="100">
        <f>IF(OR(N(K1398)=0,N(J1398)+N(Q1398)=0),"",K1398-IF(N(J1398)&gt;0,J1398,Q1398))</f>
        <v/>
      </c>
      <c r="AG1398" s="99">
        <f>IF(B1398="","",IFERROR(AVERAGEIFS('QUALITY CONTROL'!$M$5:$M$304,'QUALITY CONTROL'!$B$5:$B$304,A1398),""))</f>
        <v/>
      </c>
      <c r="AH1398" s="51">
        <f>IF(B1398="","",DATE(YEAR(B1398),MONTH(B1398),1))</f>
        <v/>
      </c>
      <c r="AI1398" s="49">
        <f>IF(D1398="","",IFERROR(INDEX('CUSTOMERS'!$E$5:$E$404,MATCH(D1398,'CUSTOMERS'!$B$5:$B$404,0)),""))</f>
        <v/>
      </c>
      <c r="AJ1398" s="49">
        <f>IF(B1398="","",N(C1398))</f>
        <v/>
      </c>
      <c r="AK1398" s="49">
        <f>IF(OR(B1398="",O1398="Cancelled",O1398="Rescheduled"),"",B1398&amp;"|"&amp;(COUNTIFS('JOBS'!$B$5:$B$1504,B1398,'JOBS'!$AJ$5:$AJ$1504,"&lt;"&amp;AJ1398,'JOBS'!$O$5:$O$1504,"&lt;&gt;Cancelled",'JOBS'!$O$5:$O$1504,"&lt;&gt;Rescheduled")+COUNTIFS($B$5:B1398,B1398,$AJ$5:AJ1398,AJ1398,$O$5:O1398,"&lt;&gt;Cancelled",$O$5:O1398,"&lt;&gt;Rescheduled")))</f>
        <v/>
      </c>
      <c r="AL1398" s="49">
        <f>IF(N(U1398)&lt;=0.005,"",COUNTIFS('JOBS'!$U$5:$U$1504,"&gt;0.005",'JOBS'!$B$5:$B$1504,"&lt;"&amp;B1398)+COUNTIFS($U$5:U1398,"&gt;0.005",$B$5:B1398,B1398))</f>
        <v/>
      </c>
    </row>
    <row r="1399">
      <c r="A1399" s="46" t="inlineStr">
        <is>
          <t>J-1395</t>
        </is>
      </c>
      <c r="B1399" s="47" t="n"/>
      <c r="C1399" s="94" t="n"/>
      <c r="D1399" s="38" t="n"/>
      <c r="E1399" s="38" t="n"/>
      <c r="F1399" s="38" t="n"/>
      <c r="G1399" s="38" t="n"/>
      <c r="H1399" s="38" t="n"/>
      <c r="I1399" s="57" t="n"/>
      <c r="J1399" s="95" t="n"/>
      <c r="K1399" s="95" t="n"/>
      <c r="L1399" s="48" t="n"/>
      <c r="M1399" s="96" t="n"/>
      <c r="N1399" s="48" t="n"/>
      <c r="O1399" s="38" t="n"/>
      <c r="P1399" s="38" t="n"/>
      <c r="Q1399" s="97">
        <f>IF(OR(F1399="",E1399=""),"",IFERROR(IF(INDEX('PROPERTIES'!$F$5:$F$404,MATCH(E1399,'PROPERTIES'!$B$5:$B$404,0))=0,"",ROUND((INDEX('PROPERTIES'!$F$5:$F$404,MATCH(E1399,'PROPERTIES'!$B$5:$B$404,0))/INDEX('PRICING'!$C$7:$C$16,MATCH(F1399,'PRICING'!$A$7:$A$16,0))+INDEX('PROPERTIES'!$G$5:$G$404,MATCH(E1399,'PROPERTIES'!$B$5:$B$404,0))*INDEX('PRICING'!$D$7:$D$16,MATCH(F1399,'PRICING'!$A$7:$A$16,0))/60+INDEX('PROPERTIES'!$H$5:$H$404,MATCH(E1399,'PROPERTIES'!$B$5:$B$404,0))*INDEX('PRICING'!$E$7:$E$16,MATCH(F1399,'PRICING'!$A$7:$A$16,0))/60+INDEX('PRICING'!$F$7:$F$16,MATCH(F1399,'PRICING'!$A$7:$A$16,0))/60),2)),""))</f>
        <v/>
      </c>
      <c r="R1399" s="97">
        <f>IF(B1399="","",IF(N(K1399)&gt;0,K1399,IF(N(J1399)&gt;0,J1399,N(Q1399))))</f>
        <v/>
      </c>
      <c r="S1399" s="55">
        <f>IF(L1399="","",ROUND(L1399*(1+N(M1399)),2))</f>
        <v/>
      </c>
      <c r="T1399" s="55">
        <f>IF(B1399="","",SUMIFS('REVENUE'!$C$5:$C$1504,'REVENUE'!$B$5:$B$1504,A1399))</f>
        <v/>
      </c>
      <c r="U1399" s="55">
        <f>IF(B1399="","",IF(O1399="Completed",MAX(0,N(S1399)-T1399),""))</f>
        <v/>
      </c>
      <c r="V1399" s="49">
        <f>IF(B1399="","",IF(O1399&lt;&gt;"Completed",IF(T1399&gt;0,"Deposit","—"),IF(U1399&lt;=0.005,"Paid",IF(T1399&gt;0,"Partial","Unpaid"))))</f>
        <v/>
      </c>
      <c r="W1399" s="55">
        <f>IF(B1399="","",IFERROR(1/(1/INDEX('STAFF &amp; TASKS'!$C$5:$C$24,MATCH(H1399,'STAFF &amp; TASKS'!$A$5:$A$24,0))),PayRate))</f>
        <v/>
      </c>
      <c r="X1399" s="55">
        <f>IF(B1399="","",IF(OR(O1399="Cancelled",O1399="No-Show"),"",ROUND(R1399*W1399*(1+Burden),2)))</f>
        <v/>
      </c>
      <c r="Y1399" s="55">
        <f>IF(B1399="","",IF(OR(O1399="Cancelled",O1399="No-Show"),"",IF(N1399&lt;&gt;"",N1399,ROUND(R1399*SupHr*IFERROR(INDEX('PRICING'!$G$7:$G$16,MATCH(F1399,'PRICING'!$A$7:$A$16,0)),1),2))))</f>
        <v/>
      </c>
      <c r="Z1399" s="98">
        <f>IF(B1399="","",SUMIFS('MILEAGE'!$J$5:$J$1504,'MILEAGE'!$B$5:$B$1504,A1399))</f>
        <v/>
      </c>
      <c r="AA1399" s="55">
        <f>IF(B1399="","",ROUND(Z1399*MileRate,2))</f>
        <v/>
      </c>
      <c r="AB1399" s="55">
        <f>IF(B1399="","",SUMIFS('REVENUE'!$J$5:$J$1504,'REVENUE'!$B$5:$B$1504,A1399))</f>
        <v/>
      </c>
      <c r="AC1399" s="55">
        <f>IF(L1399="","",IF(OR(O1399="Cancelled",O1399="No-Show"),"",L1399-N(X1399)-N(Y1399)-AA1399-AB1399))</f>
        <v/>
      </c>
      <c r="AD1399" s="99">
        <f>IF(OR(AC1399="",N(L1399)=0),"",AC1399/L1399)</f>
        <v/>
      </c>
      <c r="AE1399" s="55">
        <f>IF(OR(AC1399="",N(R1399)=0),"",L1399/R1399)</f>
        <v/>
      </c>
      <c r="AF1399" s="100">
        <f>IF(OR(N(K1399)=0,N(J1399)+N(Q1399)=0),"",K1399-IF(N(J1399)&gt;0,J1399,Q1399))</f>
        <v/>
      </c>
      <c r="AG1399" s="99">
        <f>IF(B1399="","",IFERROR(AVERAGEIFS('QUALITY CONTROL'!$M$5:$M$304,'QUALITY CONTROL'!$B$5:$B$304,A1399),""))</f>
        <v/>
      </c>
      <c r="AH1399" s="51">
        <f>IF(B1399="","",DATE(YEAR(B1399),MONTH(B1399),1))</f>
        <v/>
      </c>
      <c r="AI1399" s="49">
        <f>IF(D1399="","",IFERROR(INDEX('CUSTOMERS'!$E$5:$E$404,MATCH(D1399,'CUSTOMERS'!$B$5:$B$404,0)),""))</f>
        <v/>
      </c>
      <c r="AJ1399" s="49">
        <f>IF(B1399="","",N(C1399))</f>
        <v/>
      </c>
      <c r="AK1399" s="49">
        <f>IF(OR(B1399="",O1399="Cancelled",O1399="Rescheduled"),"",B1399&amp;"|"&amp;(COUNTIFS('JOBS'!$B$5:$B$1504,B1399,'JOBS'!$AJ$5:$AJ$1504,"&lt;"&amp;AJ1399,'JOBS'!$O$5:$O$1504,"&lt;&gt;Cancelled",'JOBS'!$O$5:$O$1504,"&lt;&gt;Rescheduled")+COUNTIFS($B$5:B1399,B1399,$AJ$5:AJ1399,AJ1399,$O$5:O1399,"&lt;&gt;Cancelled",$O$5:O1399,"&lt;&gt;Rescheduled")))</f>
        <v/>
      </c>
      <c r="AL1399" s="49">
        <f>IF(N(U1399)&lt;=0.005,"",COUNTIFS('JOBS'!$U$5:$U$1504,"&gt;0.005",'JOBS'!$B$5:$B$1504,"&lt;"&amp;B1399)+COUNTIFS($U$5:U1399,"&gt;0.005",$B$5:B1399,B1399))</f>
        <v/>
      </c>
    </row>
    <row r="1400">
      <c r="A1400" s="46" t="inlineStr">
        <is>
          <t>J-1396</t>
        </is>
      </c>
      <c r="B1400" s="47" t="n"/>
      <c r="C1400" s="94" t="n"/>
      <c r="D1400" s="38" t="n"/>
      <c r="E1400" s="38" t="n"/>
      <c r="F1400" s="38" t="n"/>
      <c r="G1400" s="38" t="n"/>
      <c r="H1400" s="38" t="n"/>
      <c r="I1400" s="57" t="n"/>
      <c r="J1400" s="95" t="n"/>
      <c r="K1400" s="95" t="n"/>
      <c r="L1400" s="48" t="n"/>
      <c r="M1400" s="96" t="n"/>
      <c r="N1400" s="48" t="n"/>
      <c r="O1400" s="38" t="n"/>
      <c r="P1400" s="38" t="n"/>
      <c r="Q1400" s="97">
        <f>IF(OR(F1400="",E1400=""),"",IFERROR(IF(INDEX('PROPERTIES'!$F$5:$F$404,MATCH(E1400,'PROPERTIES'!$B$5:$B$404,0))=0,"",ROUND((INDEX('PROPERTIES'!$F$5:$F$404,MATCH(E1400,'PROPERTIES'!$B$5:$B$404,0))/INDEX('PRICING'!$C$7:$C$16,MATCH(F1400,'PRICING'!$A$7:$A$16,0))+INDEX('PROPERTIES'!$G$5:$G$404,MATCH(E1400,'PROPERTIES'!$B$5:$B$404,0))*INDEX('PRICING'!$D$7:$D$16,MATCH(F1400,'PRICING'!$A$7:$A$16,0))/60+INDEX('PROPERTIES'!$H$5:$H$404,MATCH(E1400,'PROPERTIES'!$B$5:$B$404,0))*INDEX('PRICING'!$E$7:$E$16,MATCH(F1400,'PRICING'!$A$7:$A$16,0))/60+INDEX('PRICING'!$F$7:$F$16,MATCH(F1400,'PRICING'!$A$7:$A$16,0))/60),2)),""))</f>
        <v/>
      </c>
      <c r="R1400" s="97">
        <f>IF(B1400="","",IF(N(K1400)&gt;0,K1400,IF(N(J1400)&gt;0,J1400,N(Q1400))))</f>
        <v/>
      </c>
      <c r="S1400" s="55">
        <f>IF(L1400="","",ROUND(L1400*(1+N(M1400)),2))</f>
        <v/>
      </c>
      <c r="T1400" s="55">
        <f>IF(B1400="","",SUMIFS('REVENUE'!$C$5:$C$1504,'REVENUE'!$B$5:$B$1504,A1400))</f>
        <v/>
      </c>
      <c r="U1400" s="55">
        <f>IF(B1400="","",IF(O1400="Completed",MAX(0,N(S1400)-T1400),""))</f>
        <v/>
      </c>
      <c r="V1400" s="49">
        <f>IF(B1400="","",IF(O1400&lt;&gt;"Completed",IF(T1400&gt;0,"Deposit","—"),IF(U1400&lt;=0.005,"Paid",IF(T1400&gt;0,"Partial","Unpaid"))))</f>
        <v/>
      </c>
      <c r="W1400" s="55">
        <f>IF(B1400="","",IFERROR(1/(1/INDEX('STAFF &amp; TASKS'!$C$5:$C$24,MATCH(H1400,'STAFF &amp; TASKS'!$A$5:$A$24,0))),PayRate))</f>
        <v/>
      </c>
      <c r="X1400" s="55">
        <f>IF(B1400="","",IF(OR(O1400="Cancelled",O1400="No-Show"),"",ROUND(R1400*W1400*(1+Burden),2)))</f>
        <v/>
      </c>
      <c r="Y1400" s="55">
        <f>IF(B1400="","",IF(OR(O1400="Cancelled",O1400="No-Show"),"",IF(N1400&lt;&gt;"",N1400,ROUND(R1400*SupHr*IFERROR(INDEX('PRICING'!$G$7:$G$16,MATCH(F1400,'PRICING'!$A$7:$A$16,0)),1),2))))</f>
        <v/>
      </c>
      <c r="Z1400" s="98">
        <f>IF(B1400="","",SUMIFS('MILEAGE'!$J$5:$J$1504,'MILEAGE'!$B$5:$B$1504,A1400))</f>
        <v/>
      </c>
      <c r="AA1400" s="55">
        <f>IF(B1400="","",ROUND(Z1400*MileRate,2))</f>
        <v/>
      </c>
      <c r="AB1400" s="55">
        <f>IF(B1400="","",SUMIFS('REVENUE'!$J$5:$J$1504,'REVENUE'!$B$5:$B$1504,A1400))</f>
        <v/>
      </c>
      <c r="AC1400" s="55">
        <f>IF(L1400="","",IF(OR(O1400="Cancelled",O1400="No-Show"),"",L1400-N(X1400)-N(Y1400)-AA1400-AB1400))</f>
        <v/>
      </c>
      <c r="AD1400" s="99">
        <f>IF(OR(AC1400="",N(L1400)=0),"",AC1400/L1400)</f>
        <v/>
      </c>
      <c r="AE1400" s="55">
        <f>IF(OR(AC1400="",N(R1400)=0),"",L1400/R1400)</f>
        <v/>
      </c>
      <c r="AF1400" s="100">
        <f>IF(OR(N(K1400)=0,N(J1400)+N(Q1400)=0),"",K1400-IF(N(J1400)&gt;0,J1400,Q1400))</f>
        <v/>
      </c>
      <c r="AG1400" s="99">
        <f>IF(B1400="","",IFERROR(AVERAGEIFS('QUALITY CONTROL'!$M$5:$M$304,'QUALITY CONTROL'!$B$5:$B$304,A1400),""))</f>
        <v/>
      </c>
      <c r="AH1400" s="51">
        <f>IF(B1400="","",DATE(YEAR(B1400),MONTH(B1400),1))</f>
        <v/>
      </c>
      <c r="AI1400" s="49">
        <f>IF(D1400="","",IFERROR(INDEX('CUSTOMERS'!$E$5:$E$404,MATCH(D1400,'CUSTOMERS'!$B$5:$B$404,0)),""))</f>
        <v/>
      </c>
      <c r="AJ1400" s="49">
        <f>IF(B1400="","",N(C1400))</f>
        <v/>
      </c>
      <c r="AK1400" s="49">
        <f>IF(OR(B1400="",O1400="Cancelled",O1400="Rescheduled"),"",B1400&amp;"|"&amp;(COUNTIFS('JOBS'!$B$5:$B$1504,B1400,'JOBS'!$AJ$5:$AJ$1504,"&lt;"&amp;AJ1400,'JOBS'!$O$5:$O$1504,"&lt;&gt;Cancelled",'JOBS'!$O$5:$O$1504,"&lt;&gt;Rescheduled")+COUNTIFS($B$5:B1400,B1400,$AJ$5:AJ1400,AJ1400,$O$5:O1400,"&lt;&gt;Cancelled",$O$5:O1400,"&lt;&gt;Rescheduled")))</f>
        <v/>
      </c>
      <c r="AL1400" s="49">
        <f>IF(N(U1400)&lt;=0.005,"",COUNTIFS('JOBS'!$U$5:$U$1504,"&gt;0.005",'JOBS'!$B$5:$B$1504,"&lt;"&amp;B1400)+COUNTIFS($U$5:U1400,"&gt;0.005",$B$5:B1400,B1400))</f>
        <v/>
      </c>
    </row>
    <row r="1401">
      <c r="A1401" s="46" t="inlineStr">
        <is>
          <t>J-1397</t>
        </is>
      </c>
      <c r="B1401" s="47" t="n"/>
      <c r="C1401" s="94" t="n"/>
      <c r="D1401" s="38" t="n"/>
      <c r="E1401" s="38" t="n"/>
      <c r="F1401" s="38" t="n"/>
      <c r="G1401" s="38" t="n"/>
      <c r="H1401" s="38" t="n"/>
      <c r="I1401" s="57" t="n"/>
      <c r="J1401" s="95" t="n"/>
      <c r="K1401" s="95" t="n"/>
      <c r="L1401" s="48" t="n"/>
      <c r="M1401" s="96" t="n"/>
      <c r="N1401" s="48" t="n"/>
      <c r="O1401" s="38" t="n"/>
      <c r="P1401" s="38" t="n"/>
      <c r="Q1401" s="97">
        <f>IF(OR(F1401="",E1401=""),"",IFERROR(IF(INDEX('PROPERTIES'!$F$5:$F$404,MATCH(E1401,'PROPERTIES'!$B$5:$B$404,0))=0,"",ROUND((INDEX('PROPERTIES'!$F$5:$F$404,MATCH(E1401,'PROPERTIES'!$B$5:$B$404,0))/INDEX('PRICING'!$C$7:$C$16,MATCH(F1401,'PRICING'!$A$7:$A$16,0))+INDEX('PROPERTIES'!$G$5:$G$404,MATCH(E1401,'PROPERTIES'!$B$5:$B$404,0))*INDEX('PRICING'!$D$7:$D$16,MATCH(F1401,'PRICING'!$A$7:$A$16,0))/60+INDEX('PROPERTIES'!$H$5:$H$404,MATCH(E1401,'PROPERTIES'!$B$5:$B$404,0))*INDEX('PRICING'!$E$7:$E$16,MATCH(F1401,'PRICING'!$A$7:$A$16,0))/60+INDEX('PRICING'!$F$7:$F$16,MATCH(F1401,'PRICING'!$A$7:$A$16,0))/60),2)),""))</f>
        <v/>
      </c>
      <c r="R1401" s="97">
        <f>IF(B1401="","",IF(N(K1401)&gt;0,K1401,IF(N(J1401)&gt;0,J1401,N(Q1401))))</f>
        <v/>
      </c>
      <c r="S1401" s="55">
        <f>IF(L1401="","",ROUND(L1401*(1+N(M1401)),2))</f>
        <v/>
      </c>
      <c r="T1401" s="55">
        <f>IF(B1401="","",SUMIFS('REVENUE'!$C$5:$C$1504,'REVENUE'!$B$5:$B$1504,A1401))</f>
        <v/>
      </c>
      <c r="U1401" s="55">
        <f>IF(B1401="","",IF(O1401="Completed",MAX(0,N(S1401)-T1401),""))</f>
        <v/>
      </c>
      <c r="V1401" s="49">
        <f>IF(B1401="","",IF(O1401&lt;&gt;"Completed",IF(T1401&gt;0,"Deposit","—"),IF(U1401&lt;=0.005,"Paid",IF(T1401&gt;0,"Partial","Unpaid"))))</f>
        <v/>
      </c>
      <c r="W1401" s="55">
        <f>IF(B1401="","",IFERROR(1/(1/INDEX('STAFF &amp; TASKS'!$C$5:$C$24,MATCH(H1401,'STAFF &amp; TASKS'!$A$5:$A$24,0))),PayRate))</f>
        <v/>
      </c>
      <c r="X1401" s="55">
        <f>IF(B1401="","",IF(OR(O1401="Cancelled",O1401="No-Show"),"",ROUND(R1401*W1401*(1+Burden),2)))</f>
        <v/>
      </c>
      <c r="Y1401" s="55">
        <f>IF(B1401="","",IF(OR(O1401="Cancelled",O1401="No-Show"),"",IF(N1401&lt;&gt;"",N1401,ROUND(R1401*SupHr*IFERROR(INDEX('PRICING'!$G$7:$G$16,MATCH(F1401,'PRICING'!$A$7:$A$16,0)),1),2))))</f>
        <v/>
      </c>
      <c r="Z1401" s="98">
        <f>IF(B1401="","",SUMIFS('MILEAGE'!$J$5:$J$1504,'MILEAGE'!$B$5:$B$1504,A1401))</f>
        <v/>
      </c>
      <c r="AA1401" s="55">
        <f>IF(B1401="","",ROUND(Z1401*MileRate,2))</f>
        <v/>
      </c>
      <c r="AB1401" s="55">
        <f>IF(B1401="","",SUMIFS('REVENUE'!$J$5:$J$1504,'REVENUE'!$B$5:$B$1504,A1401))</f>
        <v/>
      </c>
      <c r="AC1401" s="55">
        <f>IF(L1401="","",IF(OR(O1401="Cancelled",O1401="No-Show"),"",L1401-N(X1401)-N(Y1401)-AA1401-AB1401))</f>
        <v/>
      </c>
      <c r="AD1401" s="99">
        <f>IF(OR(AC1401="",N(L1401)=0),"",AC1401/L1401)</f>
        <v/>
      </c>
      <c r="AE1401" s="55">
        <f>IF(OR(AC1401="",N(R1401)=0),"",L1401/R1401)</f>
        <v/>
      </c>
      <c r="AF1401" s="100">
        <f>IF(OR(N(K1401)=0,N(J1401)+N(Q1401)=0),"",K1401-IF(N(J1401)&gt;0,J1401,Q1401))</f>
        <v/>
      </c>
      <c r="AG1401" s="99">
        <f>IF(B1401="","",IFERROR(AVERAGEIFS('QUALITY CONTROL'!$M$5:$M$304,'QUALITY CONTROL'!$B$5:$B$304,A1401),""))</f>
        <v/>
      </c>
      <c r="AH1401" s="51">
        <f>IF(B1401="","",DATE(YEAR(B1401),MONTH(B1401),1))</f>
        <v/>
      </c>
      <c r="AI1401" s="49">
        <f>IF(D1401="","",IFERROR(INDEX('CUSTOMERS'!$E$5:$E$404,MATCH(D1401,'CUSTOMERS'!$B$5:$B$404,0)),""))</f>
        <v/>
      </c>
      <c r="AJ1401" s="49">
        <f>IF(B1401="","",N(C1401))</f>
        <v/>
      </c>
      <c r="AK1401" s="49">
        <f>IF(OR(B1401="",O1401="Cancelled",O1401="Rescheduled"),"",B1401&amp;"|"&amp;(COUNTIFS('JOBS'!$B$5:$B$1504,B1401,'JOBS'!$AJ$5:$AJ$1504,"&lt;"&amp;AJ1401,'JOBS'!$O$5:$O$1504,"&lt;&gt;Cancelled",'JOBS'!$O$5:$O$1504,"&lt;&gt;Rescheduled")+COUNTIFS($B$5:B1401,B1401,$AJ$5:AJ1401,AJ1401,$O$5:O1401,"&lt;&gt;Cancelled",$O$5:O1401,"&lt;&gt;Rescheduled")))</f>
        <v/>
      </c>
      <c r="AL1401" s="49">
        <f>IF(N(U1401)&lt;=0.005,"",COUNTIFS('JOBS'!$U$5:$U$1504,"&gt;0.005",'JOBS'!$B$5:$B$1504,"&lt;"&amp;B1401)+COUNTIFS($U$5:U1401,"&gt;0.005",$B$5:B1401,B1401))</f>
        <v/>
      </c>
    </row>
    <row r="1402">
      <c r="A1402" s="46" t="inlineStr">
        <is>
          <t>J-1398</t>
        </is>
      </c>
      <c r="B1402" s="47" t="n"/>
      <c r="C1402" s="94" t="n"/>
      <c r="D1402" s="38" t="n"/>
      <c r="E1402" s="38" t="n"/>
      <c r="F1402" s="38" t="n"/>
      <c r="G1402" s="38" t="n"/>
      <c r="H1402" s="38" t="n"/>
      <c r="I1402" s="57" t="n"/>
      <c r="J1402" s="95" t="n"/>
      <c r="K1402" s="95" t="n"/>
      <c r="L1402" s="48" t="n"/>
      <c r="M1402" s="96" t="n"/>
      <c r="N1402" s="48" t="n"/>
      <c r="O1402" s="38" t="n"/>
      <c r="P1402" s="38" t="n"/>
      <c r="Q1402" s="97">
        <f>IF(OR(F1402="",E1402=""),"",IFERROR(IF(INDEX('PROPERTIES'!$F$5:$F$404,MATCH(E1402,'PROPERTIES'!$B$5:$B$404,0))=0,"",ROUND((INDEX('PROPERTIES'!$F$5:$F$404,MATCH(E1402,'PROPERTIES'!$B$5:$B$404,0))/INDEX('PRICING'!$C$7:$C$16,MATCH(F1402,'PRICING'!$A$7:$A$16,0))+INDEX('PROPERTIES'!$G$5:$G$404,MATCH(E1402,'PROPERTIES'!$B$5:$B$404,0))*INDEX('PRICING'!$D$7:$D$16,MATCH(F1402,'PRICING'!$A$7:$A$16,0))/60+INDEX('PROPERTIES'!$H$5:$H$404,MATCH(E1402,'PROPERTIES'!$B$5:$B$404,0))*INDEX('PRICING'!$E$7:$E$16,MATCH(F1402,'PRICING'!$A$7:$A$16,0))/60+INDEX('PRICING'!$F$7:$F$16,MATCH(F1402,'PRICING'!$A$7:$A$16,0))/60),2)),""))</f>
        <v/>
      </c>
      <c r="R1402" s="97">
        <f>IF(B1402="","",IF(N(K1402)&gt;0,K1402,IF(N(J1402)&gt;0,J1402,N(Q1402))))</f>
        <v/>
      </c>
      <c r="S1402" s="55">
        <f>IF(L1402="","",ROUND(L1402*(1+N(M1402)),2))</f>
        <v/>
      </c>
      <c r="T1402" s="55">
        <f>IF(B1402="","",SUMIFS('REVENUE'!$C$5:$C$1504,'REVENUE'!$B$5:$B$1504,A1402))</f>
        <v/>
      </c>
      <c r="U1402" s="55">
        <f>IF(B1402="","",IF(O1402="Completed",MAX(0,N(S1402)-T1402),""))</f>
        <v/>
      </c>
      <c r="V1402" s="49">
        <f>IF(B1402="","",IF(O1402&lt;&gt;"Completed",IF(T1402&gt;0,"Deposit","—"),IF(U1402&lt;=0.005,"Paid",IF(T1402&gt;0,"Partial","Unpaid"))))</f>
        <v/>
      </c>
      <c r="W1402" s="55">
        <f>IF(B1402="","",IFERROR(1/(1/INDEX('STAFF &amp; TASKS'!$C$5:$C$24,MATCH(H1402,'STAFF &amp; TASKS'!$A$5:$A$24,0))),PayRate))</f>
        <v/>
      </c>
      <c r="X1402" s="55">
        <f>IF(B1402="","",IF(OR(O1402="Cancelled",O1402="No-Show"),"",ROUND(R1402*W1402*(1+Burden),2)))</f>
        <v/>
      </c>
      <c r="Y1402" s="55">
        <f>IF(B1402="","",IF(OR(O1402="Cancelled",O1402="No-Show"),"",IF(N1402&lt;&gt;"",N1402,ROUND(R1402*SupHr*IFERROR(INDEX('PRICING'!$G$7:$G$16,MATCH(F1402,'PRICING'!$A$7:$A$16,0)),1),2))))</f>
        <v/>
      </c>
      <c r="Z1402" s="98">
        <f>IF(B1402="","",SUMIFS('MILEAGE'!$J$5:$J$1504,'MILEAGE'!$B$5:$B$1504,A1402))</f>
        <v/>
      </c>
      <c r="AA1402" s="55">
        <f>IF(B1402="","",ROUND(Z1402*MileRate,2))</f>
        <v/>
      </c>
      <c r="AB1402" s="55">
        <f>IF(B1402="","",SUMIFS('REVENUE'!$J$5:$J$1504,'REVENUE'!$B$5:$B$1504,A1402))</f>
        <v/>
      </c>
      <c r="AC1402" s="55">
        <f>IF(L1402="","",IF(OR(O1402="Cancelled",O1402="No-Show"),"",L1402-N(X1402)-N(Y1402)-AA1402-AB1402))</f>
        <v/>
      </c>
      <c r="AD1402" s="99">
        <f>IF(OR(AC1402="",N(L1402)=0),"",AC1402/L1402)</f>
        <v/>
      </c>
      <c r="AE1402" s="55">
        <f>IF(OR(AC1402="",N(R1402)=0),"",L1402/R1402)</f>
        <v/>
      </c>
      <c r="AF1402" s="100">
        <f>IF(OR(N(K1402)=0,N(J1402)+N(Q1402)=0),"",K1402-IF(N(J1402)&gt;0,J1402,Q1402))</f>
        <v/>
      </c>
      <c r="AG1402" s="99">
        <f>IF(B1402="","",IFERROR(AVERAGEIFS('QUALITY CONTROL'!$M$5:$M$304,'QUALITY CONTROL'!$B$5:$B$304,A1402),""))</f>
        <v/>
      </c>
      <c r="AH1402" s="51">
        <f>IF(B1402="","",DATE(YEAR(B1402),MONTH(B1402),1))</f>
        <v/>
      </c>
      <c r="AI1402" s="49">
        <f>IF(D1402="","",IFERROR(INDEX('CUSTOMERS'!$E$5:$E$404,MATCH(D1402,'CUSTOMERS'!$B$5:$B$404,0)),""))</f>
        <v/>
      </c>
      <c r="AJ1402" s="49">
        <f>IF(B1402="","",N(C1402))</f>
        <v/>
      </c>
      <c r="AK1402" s="49">
        <f>IF(OR(B1402="",O1402="Cancelled",O1402="Rescheduled"),"",B1402&amp;"|"&amp;(COUNTIFS('JOBS'!$B$5:$B$1504,B1402,'JOBS'!$AJ$5:$AJ$1504,"&lt;"&amp;AJ1402,'JOBS'!$O$5:$O$1504,"&lt;&gt;Cancelled",'JOBS'!$O$5:$O$1504,"&lt;&gt;Rescheduled")+COUNTIFS($B$5:B1402,B1402,$AJ$5:AJ1402,AJ1402,$O$5:O1402,"&lt;&gt;Cancelled",$O$5:O1402,"&lt;&gt;Rescheduled")))</f>
        <v/>
      </c>
      <c r="AL1402" s="49">
        <f>IF(N(U1402)&lt;=0.005,"",COUNTIFS('JOBS'!$U$5:$U$1504,"&gt;0.005",'JOBS'!$B$5:$B$1504,"&lt;"&amp;B1402)+COUNTIFS($U$5:U1402,"&gt;0.005",$B$5:B1402,B1402))</f>
        <v/>
      </c>
    </row>
    <row r="1403">
      <c r="A1403" s="46" t="inlineStr">
        <is>
          <t>J-1399</t>
        </is>
      </c>
      <c r="B1403" s="47" t="n"/>
      <c r="C1403" s="94" t="n"/>
      <c r="D1403" s="38" t="n"/>
      <c r="E1403" s="38" t="n"/>
      <c r="F1403" s="38" t="n"/>
      <c r="G1403" s="38" t="n"/>
      <c r="H1403" s="38" t="n"/>
      <c r="I1403" s="57" t="n"/>
      <c r="J1403" s="95" t="n"/>
      <c r="K1403" s="95" t="n"/>
      <c r="L1403" s="48" t="n"/>
      <c r="M1403" s="96" t="n"/>
      <c r="N1403" s="48" t="n"/>
      <c r="O1403" s="38" t="n"/>
      <c r="P1403" s="38" t="n"/>
      <c r="Q1403" s="97">
        <f>IF(OR(F1403="",E1403=""),"",IFERROR(IF(INDEX('PROPERTIES'!$F$5:$F$404,MATCH(E1403,'PROPERTIES'!$B$5:$B$404,0))=0,"",ROUND((INDEX('PROPERTIES'!$F$5:$F$404,MATCH(E1403,'PROPERTIES'!$B$5:$B$404,0))/INDEX('PRICING'!$C$7:$C$16,MATCH(F1403,'PRICING'!$A$7:$A$16,0))+INDEX('PROPERTIES'!$G$5:$G$404,MATCH(E1403,'PROPERTIES'!$B$5:$B$404,0))*INDEX('PRICING'!$D$7:$D$16,MATCH(F1403,'PRICING'!$A$7:$A$16,0))/60+INDEX('PROPERTIES'!$H$5:$H$404,MATCH(E1403,'PROPERTIES'!$B$5:$B$404,0))*INDEX('PRICING'!$E$7:$E$16,MATCH(F1403,'PRICING'!$A$7:$A$16,0))/60+INDEX('PRICING'!$F$7:$F$16,MATCH(F1403,'PRICING'!$A$7:$A$16,0))/60),2)),""))</f>
        <v/>
      </c>
      <c r="R1403" s="97">
        <f>IF(B1403="","",IF(N(K1403)&gt;0,K1403,IF(N(J1403)&gt;0,J1403,N(Q1403))))</f>
        <v/>
      </c>
      <c r="S1403" s="55">
        <f>IF(L1403="","",ROUND(L1403*(1+N(M1403)),2))</f>
        <v/>
      </c>
      <c r="T1403" s="55">
        <f>IF(B1403="","",SUMIFS('REVENUE'!$C$5:$C$1504,'REVENUE'!$B$5:$B$1504,A1403))</f>
        <v/>
      </c>
      <c r="U1403" s="55">
        <f>IF(B1403="","",IF(O1403="Completed",MAX(0,N(S1403)-T1403),""))</f>
        <v/>
      </c>
      <c r="V1403" s="49">
        <f>IF(B1403="","",IF(O1403&lt;&gt;"Completed",IF(T1403&gt;0,"Deposit","—"),IF(U1403&lt;=0.005,"Paid",IF(T1403&gt;0,"Partial","Unpaid"))))</f>
        <v/>
      </c>
      <c r="W1403" s="55">
        <f>IF(B1403="","",IFERROR(1/(1/INDEX('STAFF &amp; TASKS'!$C$5:$C$24,MATCH(H1403,'STAFF &amp; TASKS'!$A$5:$A$24,0))),PayRate))</f>
        <v/>
      </c>
      <c r="X1403" s="55">
        <f>IF(B1403="","",IF(OR(O1403="Cancelled",O1403="No-Show"),"",ROUND(R1403*W1403*(1+Burden),2)))</f>
        <v/>
      </c>
      <c r="Y1403" s="55">
        <f>IF(B1403="","",IF(OR(O1403="Cancelled",O1403="No-Show"),"",IF(N1403&lt;&gt;"",N1403,ROUND(R1403*SupHr*IFERROR(INDEX('PRICING'!$G$7:$G$16,MATCH(F1403,'PRICING'!$A$7:$A$16,0)),1),2))))</f>
        <v/>
      </c>
      <c r="Z1403" s="98">
        <f>IF(B1403="","",SUMIFS('MILEAGE'!$J$5:$J$1504,'MILEAGE'!$B$5:$B$1504,A1403))</f>
        <v/>
      </c>
      <c r="AA1403" s="55">
        <f>IF(B1403="","",ROUND(Z1403*MileRate,2))</f>
        <v/>
      </c>
      <c r="AB1403" s="55">
        <f>IF(B1403="","",SUMIFS('REVENUE'!$J$5:$J$1504,'REVENUE'!$B$5:$B$1504,A1403))</f>
        <v/>
      </c>
      <c r="AC1403" s="55">
        <f>IF(L1403="","",IF(OR(O1403="Cancelled",O1403="No-Show"),"",L1403-N(X1403)-N(Y1403)-AA1403-AB1403))</f>
        <v/>
      </c>
      <c r="AD1403" s="99">
        <f>IF(OR(AC1403="",N(L1403)=0),"",AC1403/L1403)</f>
        <v/>
      </c>
      <c r="AE1403" s="55">
        <f>IF(OR(AC1403="",N(R1403)=0),"",L1403/R1403)</f>
        <v/>
      </c>
      <c r="AF1403" s="100">
        <f>IF(OR(N(K1403)=0,N(J1403)+N(Q1403)=0),"",K1403-IF(N(J1403)&gt;0,J1403,Q1403))</f>
        <v/>
      </c>
      <c r="AG1403" s="99">
        <f>IF(B1403="","",IFERROR(AVERAGEIFS('QUALITY CONTROL'!$M$5:$M$304,'QUALITY CONTROL'!$B$5:$B$304,A1403),""))</f>
        <v/>
      </c>
      <c r="AH1403" s="51">
        <f>IF(B1403="","",DATE(YEAR(B1403),MONTH(B1403),1))</f>
        <v/>
      </c>
      <c r="AI1403" s="49">
        <f>IF(D1403="","",IFERROR(INDEX('CUSTOMERS'!$E$5:$E$404,MATCH(D1403,'CUSTOMERS'!$B$5:$B$404,0)),""))</f>
        <v/>
      </c>
      <c r="AJ1403" s="49">
        <f>IF(B1403="","",N(C1403))</f>
        <v/>
      </c>
      <c r="AK1403" s="49">
        <f>IF(OR(B1403="",O1403="Cancelled",O1403="Rescheduled"),"",B1403&amp;"|"&amp;(COUNTIFS('JOBS'!$B$5:$B$1504,B1403,'JOBS'!$AJ$5:$AJ$1504,"&lt;"&amp;AJ1403,'JOBS'!$O$5:$O$1504,"&lt;&gt;Cancelled",'JOBS'!$O$5:$O$1504,"&lt;&gt;Rescheduled")+COUNTIFS($B$5:B1403,B1403,$AJ$5:AJ1403,AJ1403,$O$5:O1403,"&lt;&gt;Cancelled",$O$5:O1403,"&lt;&gt;Rescheduled")))</f>
        <v/>
      </c>
      <c r="AL1403" s="49">
        <f>IF(N(U1403)&lt;=0.005,"",COUNTIFS('JOBS'!$U$5:$U$1504,"&gt;0.005",'JOBS'!$B$5:$B$1504,"&lt;"&amp;B1403)+COUNTIFS($U$5:U1403,"&gt;0.005",$B$5:B1403,B1403))</f>
        <v/>
      </c>
    </row>
    <row r="1404">
      <c r="A1404" s="46" t="inlineStr">
        <is>
          <t>J-1400</t>
        </is>
      </c>
      <c r="B1404" s="47" t="n"/>
      <c r="C1404" s="94" t="n"/>
      <c r="D1404" s="38" t="n"/>
      <c r="E1404" s="38" t="n"/>
      <c r="F1404" s="38" t="n"/>
      <c r="G1404" s="38" t="n"/>
      <c r="H1404" s="38" t="n"/>
      <c r="I1404" s="57" t="n"/>
      <c r="J1404" s="95" t="n"/>
      <c r="K1404" s="95" t="n"/>
      <c r="L1404" s="48" t="n"/>
      <c r="M1404" s="96" t="n"/>
      <c r="N1404" s="48" t="n"/>
      <c r="O1404" s="38" t="n"/>
      <c r="P1404" s="38" t="n"/>
      <c r="Q1404" s="97">
        <f>IF(OR(F1404="",E1404=""),"",IFERROR(IF(INDEX('PROPERTIES'!$F$5:$F$404,MATCH(E1404,'PROPERTIES'!$B$5:$B$404,0))=0,"",ROUND((INDEX('PROPERTIES'!$F$5:$F$404,MATCH(E1404,'PROPERTIES'!$B$5:$B$404,0))/INDEX('PRICING'!$C$7:$C$16,MATCH(F1404,'PRICING'!$A$7:$A$16,0))+INDEX('PROPERTIES'!$G$5:$G$404,MATCH(E1404,'PROPERTIES'!$B$5:$B$404,0))*INDEX('PRICING'!$D$7:$D$16,MATCH(F1404,'PRICING'!$A$7:$A$16,0))/60+INDEX('PROPERTIES'!$H$5:$H$404,MATCH(E1404,'PROPERTIES'!$B$5:$B$404,0))*INDEX('PRICING'!$E$7:$E$16,MATCH(F1404,'PRICING'!$A$7:$A$16,0))/60+INDEX('PRICING'!$F$7:$F$16,MATCH(F1404,'PRICING'!$A$7:$A$16,0))/60),2)),""))</f>
        <v/>
      </c>
      <c r="R1404" s="97">
        <f>IF(B1404="","",IF(N(K1404)&gt;0,K1404,IF(N(J1404)&gt;0,J1404,N(Q1404))))</f>
        <v/>
      </c>
      <c r="S1404" s="55">
        <f>IF(L1404="","",ROUND(L1404*(1+N(M1404)),2))</f>
        <v/>
      </c>
      <c r="T1404" s="55">
        <f>IF(B1404="","",SUMIFS('REVENUE'!$C$5:$C$1504,'REVENUE'!$B$5:$B$1504,A1404))</f>
        <v/>
      </c>
      <c r="U1404" s="55">
        <f>IF(B1404="","",IF(O1404="Completed",MAX(0,N(S1404)-T1404),""))</f>
        <v/>
      </c>
      <c r="V1404" s="49">
        <f>IF(B1404="","",IF(O1404&lt;&gt;"Completed",IF(T1404&gt;0,"Deposit","—"),IF(U1404&lt;=0.005,"Paid",IF(T1404&gt;0,"Partial","Unpaid"))))</f>
        <v/>
      </c>
      <c r="W1404" s="55">
        <f>IF(B1404="","",IFERROR(1/(1/INDEX('STAFF &amp; TASKS'!$C$5:$C$24,MATCH(H1404,'STAFF &amp; TASKS'!$A$5:$A$24,0))),PayRate))</f>
        <v/>
      </c>
      <c r="X1404" s="55">
        <f>IF(B1404="","",IF(OR(O1404="Cancelled",O1404="No-Show"),"",ROUND(R1404*W1404*(1+Burden),2)))</f>
        <v/>
      </c>
      <c r="Y1404" s="55">
        <f>IF(B1404="","",IF(OR(O1404="Cancelled",O1404="No-Show"),"",IF(N1404&lt;&gt;"",N1404,ROUND(R1404*SupHr*IFERROR(INDEX('PRICING'!$G$7:$G$16,MATCH(F1404,'PRICING'!$A$7:$A$16,0)),1),2))))</f>
        <v/>
      </c>
      <c r="Z1404" s="98">
        <f>IF(B1404="","",SUMIFS('MILEAGE'!$J$5:$J$1504,'MILEAGE'!$B$5:$B$1504,A1404))</f>
        <v/>
      </c>
      <c r="AA1404" s="55">
        <f>IF(B1404="","",ROUND(Z1404*MileRate,2))</f>
        <v/>
      </c>
      <c r="AB1404" s="55">
        <f>IF(B1404="","",SUMIFS('REVENUE'!$J$5:$J$1504,'REVENUE'!$B$5:$B$1504,A1404))</f>
        <v/>
      </c>
      <c r="AC1404" s="55">
        <f>IF(L1404="","",IF(OR(O1404="Cancelled",O1404="No-Show"),"",L1404-N(X1404)-N(Y1404)-AA1404-AB1404))</f>
        <v/>
      </c>
      <c r="AD1404" s="99">
        <f>IF(OR(AC1404="",N(L1404)=0),"",AC1404/L1404)</f>
        <v/>
      </c>
      <c r="AE1404" s="55">
        <f>IF(OR(AC1404="",N(R1404)=0),"",L1404/R1404)</f>
        <v/>
      </c>
      <c r="AF1404" s="100">
        <f>IF(OR(N(K1404)=0,N(J1404)+N(Q1404)=0),"",K1404-IF(N(J1404)&gt;0,J1404,Q1404))</f>
        <v/>
      </c>
      <c r="AG1404" s="99">
        <f>IF(B1404="","",IFERROR(AVERAGEIFS('QUALITY CONTROL'!$M$5:$M$304,'QUALITY CONTROL'!$B$5:$B$304,A1404),""))</f>
        <v/>
      </c>
      <c r="AH1404" s="51">
        <f>IF(B1404="","",DATE(YEAR(B1404),MONTH(B1404),1))</f>
        <v/>
      </c>
      <c r="AI1404" s="49">
        <f>IF(D1404="","",IFERROR(INDEX('CUSTOMERS'!$E$5:$E$404,MATCH(D1404,'CUSTOMERS'!$B$5:$B$404,0)),""))</f>
        <v/>
      </c>
      <c r="AJ1404" s="49">
        <f>IF(B1404="","",N(C1404))</f>
        <v/>
      </c>
      <c r="AK1404" s="49">
        <f>IF(OR(B1404="",O1404="Cancelled",O1404="Rescheduled"),"",B1404&amp;"|"&amp;(COUNTIFS('JOBS'!$B$5:$B$1504,B1404,'JOBS'!$AJ$5:$AJ$1504,"&lt;"&amp;AJ1404,'JOBS'!$O$5:$O$1504,"&lt;&gt;Cancelled",'JOBS'!$O$5:$O$1504,"&lt;&gt;Rescheduled")+COUNTIFS($B$5:B1404,B1404,$AJ$5:AJ1404,AJ1404,$O$5:O1404,"&lt;&gt;Cancelled",$O$5:O1404,"&lt;&gt;Rescheduled")))</f>
        <v/>
      </c>
      <c r="AL1404" s="49">
        <f>IF(N(U1404)&lt;=0.005,"",COUNTIFS('JOBS'!$U$5:$U$1504,"&gt;0.005",'JOBS'!$B$5:$B$1504,"&lt;"&amp;B1404)+COUNTIFS($U$5:U1404,"&gt;0.005",$B$5:B1404,B1404))</f>
        <v/>
      </c>
    </row>
    <row r="1405">
      <c r="A1405" s="46" t="inlineStr">
        <is>
          <t>J-1401</t>
        </is>
      </c>
      <c r="B1405" s="47" t="n"/>
      <c r="C1405" s="94" t="n"/>
      <c r="D1405" s="38" t="n"/>
      <c r="E1405" s="38" t="n"/>
      <c r="F1405" s="38" t="n"/>
      <c r="G1405" s="38" t="n"/>
      <c r="H1405" s="38" t="n"/>
      <c r="I1405" s="57" t="n"/>
      <c r="J1405" s="95" t="n"/>
      <c r="K1405" s="95" t="n"/>
      <c r="L1405" s="48" t="n"/>
      <c r="M1405" s="96" t="n"/>
      <c r="N1405" s="48" t="n"/>
      <c r="O1405" s="38" t="n"/>
      <c r="P1405" s="38" t="n"/>
      <c r="Q1405" s="97">
        <f>IF(OR(F1405="",E1405=""),"",IFERROR(IF(INDEX('PROPERTIES'!$F$5:$F$404,MATCH(E1405,'PROPERTIES'!$B$5:$B$404,0))=0,"",ROUND((INDEX('PROPERTIES'!$F$5:$F$404,MATCH(E1405,'PROPERTIES'!$B$5:$B$404,0))/INDEX('PRICING'!$C$7:$C$16,MATCH(F1405,'PRICING'!$A$7:$A$16,0))+INDEX('PROPERTIES'!$G$5:$G$404,MATCH(E1405,'PROPERTIES'!$B$5:$B$404,0))*INDEX('PRICING'!$D$7:$D$16,MATCH(F1405,'PRICING'!$A$7:$A$16,0))/60+INDEX('PROPERTIES'!$H$5:$H$404,MATCH(E1405,'PROPERTIES'!$B$5:$B$404,0))*INDEX('PRICING'!$E$7:$E$16,MATCH(F1405,'PRICING'!$A$7:$A$16,0))/60+INDEX('PRICING'!$F$7:$F$16,MATCH(F1405,'PRICING'!$A$7:$A$16,0))/60),2)),""))</f>
        <v/>
      </c>
      <c r="R1405" s="97">
        <f>IF(B1405="","",IF(N(K1405)&gt;0,K1405,IF(N(J1405)&gt;0,J1405,N(Q1405))))</f>
        <v/>
      </c>
      <c r="S1405" s="55">
        <f>IF(L1405="","",ROUND(L1405*(1+N(M1405)),2))</f>
        <v/>
      </c>
      <c r="T1405" s="55">
        <f>IF(B1405="","",SUMIFS('REVENUE'!$C$5:$C$1504,'REVENUE'!$B$5:$B$1504,A1405))</f>
        <v/>
      </c>
      <c r="U1405" s="55">
        <f>IF(B1405="","",IF(O1405="Completed",MAX(0,N(S1405)-T1405),""))</f>
        <v/>
      </c>
      <c r="V1405" s="49">
        <f>IF(B1405="","",IF(O1405&lt;&gt;"Completed",IF(T1405&gt;0,"Deposit","—"),IF(U1405&lt;=0.005,"Paid",IF(T1405&gt;0,"Partial","Unpaid"))))</f>
        <v/>
      </c>
      <c r="W1405" s="55">
        <f>IF(B1405="","",IFERROR(1/(1/INDEX('STAFF &amp; TASKS'!$C$5:$C$24,MATCH(H1405,'STAFF &amp; TASKS'!$A$5:$A$24,0))),PayRate))</f>
        <v/>
      </c>
      <c r="X1405" s="55">
        <f>IF(B1405="","",IF(OR(O1405="Cancelled",O1405="No-Show"),"",ROUND(R1405*W1405*(1+Burden),2)))</f>
        <v/>
      </c>
      <c r="Y1405" s="55">
        <f>IF(B1405="","",IF(OR(O1405="Cancelled",O1405="No-Show"),"",IF(N1405&lt;&gt;"",N1405,ROUND(R1405*SupHr*IFERROR(INDEX('PRICING'!$G$7:$G$16,MATCH(F1405,'PRICING'!$A$7:$A$16,0)),1),2))))</f>
        <v/>
      </c>
      <c r="Z1405" s="98">
        <f>IF(B1405="","",SUMIFS('MILEAGE'!$J$5:$J$1504,'MILEAGE'!$B$5:$B$1504,A1405))</f>
        <v/>
      </c>
      <c r="AA1405" s="55">
        <f>IF(B1405="","",ROUND(Z1405*MileRate,2))</f>
        <v/>
      </c>
      <c r="AB1405" s="55">
        <f>IF(B1405="","",SUMIFS('REVENUE'!$J$5:$J$1504,'REVENUE'!$B$5:$B$1504,A1405))</f>
        <v/>
      </c>
      <c r="AC1405" s="55">
        <f>IF(L1405="","",IF(OR(O1405="Cancelled",O1405="No-Show"),"",L1405-N(X1405)-N(Y1405)-AA1405-AB1405))</f>
        <v/>
      </c>
      <c r="AD1405" s="99">
        <f>IF(OR(AC1405="",N(L1405)=0),"",AC1405/L1405)</f>
        <v/>
      </c>
      <c r="AE1405" s="55">
        <f>IF(OR(AC1405="",N(R1405)=0),"",L1405/R1405)</f>
        <v/>
      </c>
      <c r="AF1405" s="100">
        <f>IF(OR(N(K1405)=0,N(J1405)+N(Q1405)=0),"",K1405-IF(N(J1405)&gt;0,J1405,Q1405))</f>
        <v/>
      </c>
      <c r="AG1405" s="99">
        <f>IF(B1405="","",IFERROR(AVERAGEIFS('QUALITY CONTROL'!$M$5:$M$304,'QUALITY CONTROL'!$B$5:$B$304,A1405),""))</f>
        <v/>
      </c>
      <c r="AH1405" s="51">
        <f>IF(B1405="","",DATE(YEAR(B1405),MONTH(B1405),1))</f>
        <v/>
      </c>
      <c r="AI1405" s="49">
        <f>IF(D1405="","",IFERROR(INDEX('CUSTOMERS'!$E$5:$E$404,MATCH(D1405,'CUSTOMERS'!$B$5:$B$404,0)),""))</f>
        <v/>
      </c>
      <c r="AJ1405" s="49">
        <f>IF(B1405="","",N(C1405))</f>
        <v/>
      </c>
      <c r="AK1405" s="49">
        <f>IF(OR(B1405="",O1405="Cancelled",O1405="Rescheduled"),"",B1405&amp;"|"&amp;(COUNTIFS('JOBS'!$B$5:$B$1504,B1405,'JOBS'!$AJ$5:$AJ$1504,"&lt;"&amp;AJ1405,'JOBS'!$O$5:$O$1504,"&lt;&gt;Cancelled",'JOBS'!$O$5:$O$1504,"&lt;&gt;Rescheduled")+COUNTIFS($B$5:B1405,B1405,$AJ$5:AJ1405,AJ1405,$O$5:O1405,"&lt;&gt;Cancelled",$O$5:O1405,"&lt;&gt;Rescheduled")))</f>
        <v/>
      </c>
      <c r="AL1405" s="49">
        <f>IF(N(U1405)&lt;=0.005,"",COUNTIFS('JOBS'!$U$5:$U$1504,"&gt;0.005",'JOBS'!$B$5:$B$1504,"&lt;"&amp;B1405)+COUNTIFS($U$5:U1405,"&gt;0.005",$B$5:B1405,B1405))</f>
        <v/>
      </c>
    </row>
    <row r="1406">
      <c r="A1406" s="46" t="inlineStr">
        <is>
          <t>J-1402</t>
        </is>
      </c>
      <c r="B1406" s="47" t="n"/>
      <c r="C1406" s="94" t="n"/>
      <c r="D1406" s="38" t="n"/>
      <c r="E1406" s="38" t="n"/>
      <c r="F1406" s="38" t="n"/>
      <c r="G1406" s="38" t="n"/>
      <c r="H1406" s="38" t="n"/>
      <c r="I1406" s="57" t="n"/>
      <c r="J1406" s="95" t="n"/>
      <c r="K1406" s="95" t="n"/>
      <c r="L1406" s="48" t="n"/>
      <c r="M1406" s="96" t="n"/>
      <c r="N1406" s="48" t="n"/>
      <c r="O1406" s="38" t="n"/>
      <c r="P1406" s="38" t="n"/>
      <c r="Q1406" s="97">
        <f>IF(OR(F1406="",E1406=""),"",IFERROR(IF(INDEX('PROPERTIES'!$F$5:$F$404,MATCH(E1406,'PROPERTIES'!$B$5:$B$404,0))=0,"",ROUND((INDEX('PROPERTIES'!$F$5:$F$404,MATCH(E1406,'PROPERTIES'!$B$5:$B$404,0))/INDEX('PRICING'!$C$7:$C$16,MATCH(F1406,'PRICING'!$A$7:$A$16,0))+INDEX('PROPERTIES'!$G$5:$G$404,MATCH(E1406,'PROPERTIES'!$B$5:$B$404,0))*INDEX('PRICING'!$D$7:$D$16,MATCH(F1406,'PRICING'!$A$7:$A$16,0))/60+INDEX('PROPERTIES'!$H$5:$H$404,MATCH(E1406,'PROPERTIES'!$B$5:$B$404,0))*INDEX('PRICING'!$E$7:$E$16,MATCH(F1406,'PRICING'!$A$7:$A$16,0))/60+INDEX('PRICING'!$F$7:$F$16,MATCH(F1406,'PRICING'!$A$7:$A$16,0))/60),2)),""))</f>
        <v/>
      </c>
      <c r="R1406" s="97">
        <f>IF(B1406="","",IF(N(K1406)&gt;0,K1406,IF(N(J1406)&gt;0,J1406,N(Q1406))))</f>
        <v/>
      </c>
      <c r="S1406" s="55">
        <f>IF(L1406="","",ROUND(L1406*(1+N(M1406)),2))</f>
        <v/>
      </c>
      <c r="T1406" s="55">
        <f>IF(B1406="","",SUMIFS('REVENUE'!$C$5:$C$1504,'REVENUE'!$B$5:$B$1504,A1406))</f>
        <v/>
      </c>
      <c r="U1406" s="55">
        <f>IF(B1406="","",IF(O1406="Completed",MAX(0,N(S1406)-T1406),""))</f>
        <v/>
      </c>
      <c r="V1406" s="49">
        <f>IF(B1406="","",IF(O1406&lt;&gt;"Completed",IF(T1406&gt;0,"Deposit","—"),IF(U1406&lt;=0.005,"Paid",IF(T1406&gt;0,"Partial","Unpaid"))))</f>
        <v/>
      </c>
      <c r="W1406" s="55">
        <f>IF(B1406="","",IFERROR(1/(1/INDEX('STAFF &amp; TASKS'!$C$5:$C$24,MATCH(H1406,'STAFF &amp; TASKS'!$A$5:$A$24,0))),PayRate))</f>
        <v/>
      </c>
      <c r="X1406" s="55">
        <f>IF(B1406="","",IF(OR(O1406="Cancelled",O1406="No-Show"),"",ROUND(R1406*W1406*(1+Burden),2)))</f>
        <v/>
      </c>
      <c r="Y1406" s="55">
        <f>IF(B1406="","",IF(OR(O1406="Cancelled",O1406="No-Show"),"",IF(N1406&lt;&gt;"",N1406,ROUND(R1406*SupHr*IFERROR(INDEX('PRICING'!$G$7:$G$16,MATCH(F1406,'PRICING'!$A$7:$A$16,0)),1),2))))</f>
        <v/>
      </c>
      <c r="Z1406" s="98">
        <f>IF(B1406="","",SUMIFS('MILEAGE'!$J$5:$J$1504,'MILEAGE'!$B$5:$B$1504,A1406))</f>
        <v/>
      </c>
      <c r="AA1406" s="55">
        <f>IF(B1406="","",ROUND(Z1406*MileRate,2))</f>
        <v/>
      </c>
      <c r="AB1406" s="55">
        <f>IF(B1406="","",SUMIFS('REVENUE'!$J$5:$J$1504,'REVENUE'!$B$5:$B$1504,A1406))</f>
        <v/>
      </c>
      <c r="AC1406" s="55">
        <f>IF(L1406="","",IF(OR(O1406="Cancelled",O1406="No-Show"),"",L1406-N(X1406)-N(Y1406)-AA1406-AB1406))</f>
        <v/>
      </c>
      <c r="AD1406" s="99">
        <f>IF(OR(AC1406="",N(L1406)=0),"",AC1406/L1406)</f>
        <v/>
      </c>
      <c r="AE1406" s="55">
        <f>IF(OR(AC1406="",N(R1406)=0),"",L1406/R1406)</f>
        <v/>
      </c>
      <c r="AF1406" s="100">
        <f>IF(OR(N(K1406)=0,N(J1406)+N(Q1406)=0),"",K1406-IF(N(J1406)&gt;0,J1406,Q1406))</f>
        <v/>
      </c>
      <c r="AG1406" s="99">
        <f>IF(B1406="","",IFERROR(AVERAGEIFS('QUALITY CONTROL'!$M$5:$M$304,'QUALITY CONTROL'!$B$5:$B$304,A1406),""))</f>
        <v/>
      </c>
      <c r="AH1406" s="51">
        <f>IF(B1406="","",DATE(YEAR(B1406),MONTH(B1406),1))</f>
        <v/>
      </c>
      <c r="AI1406" s="49">
        <f>IF(D1406="","",IFERROR(INDEX('CUSTOMERS'!$E$5:$E$404,MATCH(D1406,'CUSTOMERS'!$B$5:$B$404,0)),""))</f>
        <v/>
      </c>
      <c r="AJ1406" s="49">
        <f>IF(B1406="","",N(C1406))</f>
        <v/>
      </c>
      <c r="AK1406" s="49">
        <f>IF(OR(B1406="",O1406="Cancelled",O1406="Rescheduled"),"",B1406&amp;"|"&amp;(COUNTIFS('JOBS'!$B$5:$B$1504,B1406,'JOBS'!$AJ$5:$AJ$1504,"&lt;"&amp;AJ1406,'JOBS'!$O$5:$O$1504,"&lt;&gt;Cancelled",'JOBS'!$O$5:$O$1504,"&lt;&gt;Rescheduled")+COUNTIFS($B$5:B1406,B1406,$AJ$5:AJ1406,AJ1406,$O$5:O1406,"&lt;&gt;Cancelled",$O$5:O1406,"&lt;&gt;Rescheduled")))</f>
        <v/>
      </c>
      <c r="AL1406" s="49">
        <f>IF(N(U1406)&lt;=0.005,"",COUNTIFS('JOBS'!$U$5:$U$1504,"&gt;0.005",'JOBS'!$B$5:$B$1504,"&lt;"&amp;B1406)+COUNTIFS($U$5:U1406,"&gt;0.005",$B$5:B1406,B1406))</f>
        <v/>
      </c>
    </row>
    <row r="1407">
      <c r="A1407" s="46" t="inlineStr">
        <is>
          <t>J-1403</t>
        </is>
      </c>
      <c r="B1407" s="47" t="n"/>
      <c r="C1407" s="94" t="n"/>
      <c r="D1407" s="38" t="n"/>
      <c r="E1407" s="38" t="n"/>
      <c r="F1407" s="38" t="n"/>
      <c r="G1407" s="38" t="n"/>
      <c r="H1407" s="38" t="n"/>
      <c r="I1407" s="57" t="n"/>
      <c r="J1407" s="95" t="n"/>
      <c r="K1407" s="95" t="n"/>
      <c r="L1407" s="48" t="n"/>
      <c r="M1407" s="96" t="n"/>
      <c r="N1407" s="48" t="n"/>
      <c r="O1407" s="38" t="n"/>
      <c r="P1407" s="38" t="n"/>
      <c r="Q1407" s="97">
        <f>IF(OR(F1407="",E1407=""),"",IFERROR(IF(INDEX('PROPERTIES'!$F$5:$F$404,MATCH(E1407,'PROPERTIES'!$B$5:$B$404,0))=0,"",ROUND((INDEX('PROPERTIES'!$F$5:$F$404,MATCH(E1407,'PROPERTIES'!$B$5:$B$404,0))/INDEX('PRICING'!$C$7:$C$16,MATCH(F1407,'PRICING'!$A$7:$A$16,0))+INDEX('PROPERTIES'!$G$5:$G$404,MATCH(E1407,'PROPERTIES'!$B$5:$B$404,0))*INDEX('PRICING'!$D$7:$D$16,MATCH(F1407,'PRICING'!$A$7:$A$16,0))/60+INDEX('PROPERTIES'!$H$5:$H$404,MATCH(E1407,'PROPERTIES'!$B$5:$B$404,0))*INDEX('PRICING'!$E$7:$E$16,MATCH(F1407,'PRICING'!$A$7:$A$16,0))/60+INDEX('PRICING'!$F$7:$F$16,MATCH(F1407,'PRICING'!$A$7:$A$16,0))/60),2)),""))</f>
        <v/>
      </c>
      <c r="R1407" s="97">
        <f>IF(B1407="","",IF(N(K1407)&gt;0,K1407,IF(N(J1407)&gt;0,J1407,N(Q1407))))</f>
        <v/>
      </c>
      <c r="S1407" s="55">
        <f>IF(L1407="","",ROUND(L1407*(1+N(M1407)),2))</f>
        <v/>
      </c>
      <c r="T1407" s="55">
        <f>IF(B1407="","",SUMIFS('REVENUE'!$C$5:$C$1504,'REVENUE'!$B$5:$B$1504,A1407))</f>
        <v/>
      </c>
      <c r="U1407" s="55">
        <f>IF(B1407="","",IF(O1407="Completed",MAX(0,N(S1407)-T1407),""))</f>
        <v/>
      </c>
      <c r="V1407" s="49">
        <f>IF(B1407="","",IF(O1407&lt;&gt;"Completed",IF(T1407&gt;0,"Deposit","—"),IF(U1407&lt;=0.005,"Paid",IF(T1407&gt;0,"Partial","Unpaid"))))</f>
        <v/>
      </c>
      <c r="W1407" s="55">
        <f>IF(B1407="","",IFERROR(1/(1/INDEX('STAFF &amp; TASKS'!$C$5:$C$24,MATCH(H1407,'STAFF &amp; TASKS'!$A$5:$A$24,0))),PayRate))</f>
        <v/>
      </c>
      <c r="X1407" s="55">
        <f>IF(B1407="","",IF(OR(O1407="Cancelled",O1407="No-Show"),"",ROUND(R1407*W1407*(1+Burden),2)))</f>
        <v/>
      </c>
      <c r="Y1407" s="55">
        <f>IF(B1407="","",IF(OR(O1407="Cancelled",O1407="No-Show"),"",IF(N1407&lt;&gt;"",N1407,ROUND(R1407*SupHr*IFERROR(INDEX('PRICING'!$G$7:$G$16,MATCH(F1407,'PRICING'!$A$7:$A$16,0)),1),2))))</f>
        <v/>
      </c>
      <c r="Z1407" s="98">
        <f>IF(B1407="","",SUMIFS('MILEAGE'!$J$5:$J$1504,'MILEAGE'!$B$5:$B$1504,A1407))</f>
        <v/>
      </c>
      <c r="AA1407" s="55">
        <f>IF(B1407="","",ROUND(Z1407*MileRate,2))</f>
        <v/>
      </c>
      <c r="AB1407" s="55">
        <f>IF(B1407="","",SUMIFS('REVENUE'!$J$5:$J$1504,'REVENUE'!$B$5:$B$1504,A1407))</f>
        <v/>
      </c>
      <c r="AC1407" s="55">
        <f>IF(L1407="","",IF(OR(O1407="Cancelled",O1407="No-Show"),"",L1407-N(X1407)-N(Y1407)-AA1407-AB1407))</f>
        <v/>
      </c>
      <c r="AD1407" s="99">
        <f>IF(OR(AC1407="",N(L1407)=0),"",AC1407/L1407)</f>
        <v/>
      </c>
      <c r="AE1407" s="55">
        <f>IF(OR(AC1407="",N(R1407)=0),"",L1407/R1407)</f>
        <v/>
      </c>
      <c r="AF1407" s="100">
        <f>IF(OR(N(K1407)=0,N(J1407)+N(Q1407)=0),"",K1407-IF(N(J1407)&gt;0,J1407,Q1407))</f>
        <v/>
      </c>
      <c r="AG1407" s="99">
        <f>IF(B1407="","",IFERROR(AVERAGEIFS('QUALITY CONTROL'!$M$5:$M$304,'QUALITY CONTROL'!$B$5:$B$304,A1407),""))</f>
        <v/>
      </c>
      <c r="AH1407" s="51">
        <f>IF(B1407="","",DATE(YEAR(B1407),MONTH(B1407),1))</f>
        <v/>
      </c>
      <c r="AI1407" s="49">
        <f>IF(D1407="","",IFERROR(INDEX('CUSTOMERS'!$E$5:$E$404,MATCH(D1407,'CUSTOMERS'!$B$5:$B$404,0)),""))</f>
        <v/>
      </c>
      <c r="AJ1407" s="49">
        <f>IF(B1407="","",N(C1407))</f>
        <v/>
      </c>
      <c r="AK1407" s="49">
        <f>IF(OR(B1407="",O1407="Cancelled",O1407="Rescheduled"),"",B1407&amp;"|"&amp;(COUNTIFS('JOBS'!$B$5:$B$1504,B1407,'JOBS'!$AJ$5:$AJ$1504,"&lt;"&amp;AJ1407,'JOBS'!$O$5:$O$1504,"&lt;&gt;Cancelled",'JOBS'!$O$5:$O$1504,"&lt;&gt;Rescheduled")+COUNTIFS($B$5:B1407,B1407,$AJ$5:AJ1407,AJ1407,$O$5:O1407,"&lt;&gt;Cancelled",$O$5:O1407,"&lt;&gt;Rescheduled")))</f>
        <v/>
      </c>
      <c r="AL1407" s="49">
        <f>IF(N(U1407)&lt;=0.005,"",COUNTIFS('JOBS'!$U$5:$U$1504,"&gt;0.005",'JOBS'!$B$5:$B$1504,"&lt;"&amp;B1407)+COUNTIFS($U$5:U1407,"&gt;0.005",$B$5:B1407,B1407))</f>
        <v/>
      </c>
    </row>
    <row r="1408">
      <c r="A1408" s="46" t="inlineStr">
        <is>
          <t>J-1404</t>
        </is>
      </c>
      <c r="B1408" s="47" t="n"/>
      <c r="C1408" s="94" t="n"/>
      <c r="D1408" s="38" t="n"/>
      <c r="E1408" s="38" t="n"/>
      <c r="F1408" s="38" t="n"/>
      <c r="G1408" s="38" t="n"/>
      <c r="H1408" s="38" t="n"/>
      <c r="I1408" s="57" t="n"/>
      <c r="J1408" s="95" t="n"/>
      <c r="K1408" s="95" t="n"/>
      <c r="L1408" s="48" t="n"/>
      <c r="M1408" s="96" t="n"/>
      <c r="N1408" s="48" t="n"/>
      <c r="O1408" s="38" t="n"/>
      <c r="P1408" s="38" t="n"/>
      <c r="Q1408" s="97">
        <f>IF(OR(F1408="",E1408=""),"",IFERROR(IF(INDEX('PROPERTIES'!$F$5:$F$404,MATCH(E1408,'PROPERTIES'!$B$5:$B$404,0))=0,"",ROUND((INDEX('PROPERTIES'!$F$5:$F$404,MATCH(E1408,'PROPERTIES'!$B$5:$B$404,0))/INDEX('PRICING'!$C$7:$C$16,MATCH(F1408,'PRICING'!$A$7:$A$16,0))+INDEX('PROPERTIES'!$G$5:$G$404,MATCH(E1408,'PROPERTIES'!$B$5:$B$404,0))*INDEX('PRICING'!$D$7:$D$16,MATCH(F1408,'PRICING'!$A$7:$A$16,0))/60+INDEX('PROPERTIES'!$H$5:$H$404,MATCH(E1408,'PROPERTIES'!$B$5:$B$404,0))*INDEX('PRICING'!$E$7:$E$16,MATCH(F1408,'PRICING'!$A$7:$A$16,0))/60+INDEX('PRICING'!$F$7:$F$16,MATCH(F1408,'PRICING'!$A$7:$A$16,0))/60),2)),""))</f>
        <v/>
      </c>
      <c r="R1408" s="97">
        <f>IF(B1408="","",IF(N(K1408)&gt;0,K1408,IF(N(J1408)&gt;0,J1408,N(Q1408))))</f>
        <v/>
      </c>
      <c r="S1408" s="55">
        <f>IF(L1408="","",ROUND(L1408*(1+N(M1408)),2))</f>
        <v/>
      </c>
      <c r="T1408" s="55">
        <f>IF(B1408="","",SUMIFS('REVENUE'!$C$5:$C$1504,'REVENUE'!$B$5:$B$1504,A1408))</f>
        <v/>
      </c>
      <c r="U1408" s="55">
        <f>IF(B1408="","",IF(O1408="Completed",MAX(0,N(S1408)-T1408),""))</f>
        <v/>
      </c>
      <c r="V1408" s="49">
        <f>IF(B1408="","",IF(O1408&lt;&gt;"Completed",IF(T1408&gt;0,"Deposit","—"),IF(U1408&lt;=0.005,"Paid",IF(T1408&gt;0,"Partial","Unpaid"))))</f>
        <v/>
      </c>
      <c r="W1408" s="55">
        <f>IF(B1408="","",IFERROR(1/(1/INDEX('STAFF &amp; TASKS'!$C$5:$C$24,MATCH(H1408,'STAFF &amp; TASKS'!$A$5:$A$24,0))),PayRate))</f>
        <v/>
      </c>
      <c r="X1408" s="55">
        <f>IF(B1408="","",IF(OR(O1408="Cancelled",O1408="No-Show"),"",ROUND(R1408*W1408*(1+Burden),2)))</f>
        <v/>
      </c>
      <c r="Y1408" s="55">
        <f>IF(B1408="","",IF(OR(O1408="Cancelled",O1408="No-Show"),"",IF(N1408&lt;&gt;"",N1408,ROUND(R1408*SupHr*IFERROR(INDEX('PRICING'!$G$7:$G$16,MATCH(F1408,'PRICING'!$A$7:$A$16,0)),1),2))))</f>
        <v/>
      </c>
      <c r="Z1408" s="98">
        <f>IF(B1408="","",SUMIFS('MILEAGE'!$J$5:$J$1504,'MILEAGE'!$B$5:$B$1504,A1408))</f>
        <v/>
      </c>
      <c r="AA1408" s="55">
        <f>IF(B1408="","",ROUND(Z1408*MileRate,2))</f>
        <v/>
      </c>
      <c r="AB1408" s="55">
        <f>IF(B1408="","",SUMIFS('REVENUE'!$J$5:$J$1504,'REVENUE'!$B$5:$B$1504,A1408))</f>
        <v/>
      </c>
      <c r="AC1408" s="55">
        <f>IF(L1408="","",IF(OR(O1408="Cancelled",O1408="No-Show"),"",L1408-N(X1408)-N(Y1408)-AA1408-AB1408))</f>
        <v/>
      </c>
      <c r="AD1408" s="99">
        <f>IF(OR(AC1408="",N(L1408)=0),"",AC1408/L1408)</f>
        <v/>
      </c>
      <c r="AE1408" s="55">
        <f>IF(OR(AC1408="",N(R1408)=0),"",L1408/R1408)</f>
        <v/>
      </c>
      <c r="AF1408" s="100">
        <f>IF(OR(N(K1408)=0,N(J1408)+N(Q1408)=0),"",K1408-IF(N(J1408)&gt;0,J1408,Q1408))</f>
        <v/>
      </c>
      <c r="AG1408" s="99">
        <f>IF(B1408="","",IFERROR(AVERAGEIFS('QUALITY CONTROL'!$M$5:$M$304,'QUALITY CONTROL'!$B$5:$B$304,A1408),""))</f>
        <v/>
      </c>
      <c r="AH1408" s="51">
        <f>IF(B1408="","",DATE(YEAR(B1408),MONTH(B1408),1))</f>
        <v/>
      </c>
      <c r="AI1408" s="49">
        <f>IF(D1408="","",IFERROR(INDEX('CUSTOMERS'!$E$5:$E$404,MATCH(D1408,'CUSTOMERS'!$B$5:$B$404,0)),""))</f>
        <v/>
      </c>
      <c r="AJ1408" s="49">
        <f>IF(B1408="","",N(C1408))</f>
        <v/>
      </c>
      <c r="AK1408" s="49">
        <f>IF(OR(B1408="",O1408="Cancelled",O1408="Rescheduled"),"",B1408&amp;"|"&amp;(COUNTIFS('JOBS'!$B$5:$B$1504,B1408,'JOBS'!$AJ$5:$AJ$1504,"&lt;"&amp;AJ1408,'JOBS'!$O$5:$O$1504,"&lt;&gt;Cancelled",'JOBS'!$O$5:$O$1504,"&lt;&gt;Rescheduled")+COUNTIFS($B$5:B1408,B1408,$AJ$5:AJ1408,AJ1408,$O$5:O1408,"&lt;&gt;Cancelled",$O$5:O1408,"&lt;&gt;Rescheduled")))</f>
        <v/>
      </c>
      <c r="AL1408" s="49">
        <f>IF(N(U1408)&lt;=0.005,"",COUNTIFS('JOBS'!$U$5:$U$1504,"&gt;0.005",'JOBS'!$B$5:$B$1504,"&lt;"&amp;B1408)+COUNTIFS($U$5:U1408,"&gt;0.005",$B$5:B1408,B1408))</f>
        <v/>
      </c>
    </row>
    <row r="1409">
      <c r="A1409" s="46" t="inlineStr">
        <is>
          <t>J-1405</t>
        </is>
      </c>
      <c r="B1409" s="47" t="n"/>
      <c r="C1409" s="94" t="n"/>
      <c r="D1409" s="38" t="n"/>
      <c r="E1409" s="38" t="n"/>
      <c r="F1409" s="38" t="n"/>
      <c r="G1409" s="38" t="n"/>
      <c r="H1409" s="38" t="n"/>
      <c r="I1409" s="57" t="n"/>
      <c r="J1409" s="95" t="n"/>
      <c r="K1409" s="95" t="n"/>
      <c r="L1409" s="48" t="n"/>
      <c r="M1409" s="96" t="n"/>
      <c r="N1409" s="48" t="n"/>
      <c r="O1409" s="38" t="n"/>
      <c r="P1409" s="38" t="n"/>
      <c r="Q1409" s="97">
        <f>IF(OR(F1409="",E1409=""),"",IFERROR(IF(INDEX('PROPERTIES'!$F$5:$F$404,MATCH(E1409,'PROPERTIES'!$B$5:$B$404,0))=0,"",ROUND((INDEX('PROPERTIES'!$F$5:$F$404,MATCH(E1409,'PROPERTIES'!$B$5:$B$404,0))/INDEX('PRICING'!$C$7:$C$16,MATCH(F1409,'PRICING'!$A$7:$A$16,0))+INDEX('PROPERTIES'!$G$5:$G$404,MATCH(E1409,'PROPERTIES'!$B$5:$B$404,0))*INDEX('PRICING'!$D$7:$D$16,MATCH(F1409,'PRICING'!$A$7:$A$16,0))/60+INDEX('PROPERTIES'!$H$5:$H$404,MATCH(E1409,'PROPERTIES'!$B$5:$B$404,0))*INDEX('PRICING'!$E$7:$E$16,MATCH(F1409,'PRICING'!$A$7:$A$16,0))/60+INDEX('PRICING'!$F$7:$F$16,MATCH(F1409,'PRICING'!$A$7:$A$16,0))/60),2)),""))</f>
        <v/>
      </c>
      <c r="R1409" s="97">
        <f>IF(B1409="","",IF(N(K1409)&gt;0,K1409,IF(N(J1409)&gt;0,J1409,N(Q1409))))</f>
        <v/>
      </c>
      <c r="S1409" s="55">
        <f>IF(L1409="","",ROUND(L1409*(1+N(M1409)),2))</f>
        <v/>
      </c>
      <c r="T1409" s="55">
        <f>IF(B1409="","",SUMIFS('REVENUE'!$C$5:$C$1504,'REVENUE'!$B$5:$B$1504,A1409))</f>
        <v/>
      </c>
      <c r="U1409" s="55">
        <f>IF(B1409="","",IF(O1409="Completed",MAX(0,N(S1409)-T1409),""))</f>
        <v/>
      </c>
      <c r="V1409" s="49">
        <f>IF(B1409="","",IF(O1409&lt;&gt;"Completed",IF(T1409&gt;0,"Deposit","—"),IF(U1409&lt;=0.005,"Paid",IF(T1409&gt;0,"Partial","Unpaid"))))</f>
        <v/>
      </c>
      <c r="W1409" s="55">
        <f>IF(B1409="","",IFERROR(1/(1/INDEX('STAFF &amp; TASKS'!$C$5:$C$24,MATCH(H1409,'STAFF &amp; TASKS'!$A$5:$A$24,0))),PayRate))</f>
        <v/>
      </c>
      <c r="X1409" s="55">
        <f>IF(B1409="","",IF(OR(O1409="Cancelled",O1409="No-Show"),"",ROUND(R1409*W1409*(1+Burden),2)))</f>
        <v/>
      </c>
      <c r="Y1409" s="55">
        <f>IF(B1409="","",IF(OR(O1409="Cancelled",O1409="No-Show"),"",IF(N1409&lt;&gt;"",N1409,ROUND(R1409*SupHr*IFERROR(INDEX('PRICING'!$G$7:$G$16,MATCH(F1409,'PRICING'!$A$7:$A$16,0)),1),2))))</f>
        <v/>
      </c>
      <c r="Z1409" s="98">
        <f>IF(B1409="","",SUMIFS('MILEAGE'!$J$5:$J$1504,'MILEAGE'!$B$5:$B$1504,A1409))</f>
        <v/>
      </c>
      <c r="AA1409" s="55">
        <f>IF(B1409="","",ROUND(Z1409*MileRate,2))</f>
        <v/>
      </c>
      <c r="AB1409" s="55">
        <f>IF(B1409="","",SUMIFS('REVENUE'!$J$5:$J$1504,'REVENUE'!$B$5:$B$1504,A1409))</f>
        <v/>
      </c>
      <c r="AC1409" s="55">
        <f>IF(L1409="","",IF(OR(O1409="Cancelled",O1409="No-Show"),"",L1409-N(X1409)-N(Y1409)-AA1409-AB1409))</f>
        <v/>
      </c>
      <c r="AD1409" s="99">
        <f>IF(OR(AC1409="",N(L1409)=0),"",AC1409/L1409)</f>
        <v/>
      </c>
      <c r="AE1409" s="55">
        <f>IF(OR(AC1409="",N(R1409)=0),"",L1409/R1409)</f>
        <v/>
      </c>
      <c r="AF1409" s="100">
        <f>IF(OR(N(K1409)=0,N(J1409)+N(Q1409)=0),"",K1409-IF(N(J1409)&gt;0,J1409,Q1409))</f>
        <v/>
      </c>
      <c r="AG1409" s="99">
        <f>IF(B1409="","",IFERROR(AVERAGEIFS('QUALITY CONTROL'!$M$5:$M$304,'QUALITY CONTROL'!$B$5:$B$304,A1409),""))</f>
        <v/>
      </c>
      <c r="AH1409" s="51">
        <f>IF(B1409="","",DATE(YEAR(B1409),MONTH(B1409),1))</f>
        <v/>
      </c>
      <c r="AI1409" s="49">
        <f>IF(D1409="","",IFERROR(INDEX('CUSTOMERS'!$E$5:$E$404,MATCH(D1409,'CUSTOMERS'!$B$5:$B$404,0)),""))</f>
        <v/>
      </c>
      <c r="AJ1409" s="49">
        <f>IF(B1409="","",N(C1409))</f>
        <v/>
      </c>
      <c r="AK1409" s="49">
        <f>IF(OR(B1409="",O1409="Cancelled",O1409="Rescheduled"),"",B1409&amp;"|"&amp;(COUNTIFS('JOBS'!$B$5:$B$1504,B1409,'JOBS'!$AJ$5:$AJ$1504,"&lt;"&amp;AJ1409,'JOBS'!$O$5:$O$1504,"&lt;&gt;Cancelled",'JOBS'!$O$5:$O$1504,"&lt;&gt;Rescheduled")+COUNTIFS($B$5:B1409,B1409,$AJ$5:AJ1409,AJ1409,$O$5:O1409,"&lt;&gt;Cancelled",$O$5:O1409,"&lt;&gt;Rescheduled")))</f>
        <v/>
      </c>
      <c r="AL1409" s="49">
        <f>IF(N(U1409)&lt;=0.005,"",COUNTIFS('JOBS'!$U$5:$U$1504,"&gt;0.005",'JOBS'!$B$5:$B$1504,"&lt;"&amp;B1409)+COUNTIFS($U$5:U1409,"&gt;0.005",$B$5:B1409,B1409))</f>
        <v/>
      </c>
    </row>
    <row r="1410">
      <c r="A1410" s="46" t="inlineStr">
        <is>
          <t>J-1406</t>
        </is>
      </c>
      <c r="B1410" s="47" t="n"/>
      <c r="C1410" s="94" t="n"/>
      <c r="D1410" s="38" t="n"/>
      <c r="E1410" s="38" t="n"/>
      <c r="F1410" s="38" t="n"/>
      <c r="G1410" s="38" t="n"/>
      <c r="H1410" s="38" t="n"/>
      <c r="I1410" s="57" t="n"/>
      <c r="J1410" s="95" t="n"/>
      <c r="K1410" s="95" t="n"/>
      <c r="L1410" s="48" t="n"/>
      <c r="M1410" s="96" t="n"/>
      <c r="N1410" s="48" t="n"/>
      <c r="O1410" s="38" t="n"/>
      <c r="P1410" s="38" t="n"/>
      <c r="Q1410" s="97">
        <f>IF(OR(F1410="",E1410=""),"",IFERROR(IF(INDEX('PROPERTIES'!$F$5:$F$404,MATCH(E1410,'PROPERTIES'!$B$5:$B$404,0))=0,"",ROUND((INDEX('PROPERTIES'!$F$5:$F$404,MATCH(E1410,'PROPERTIES'!$B$5:$B$404,0))/INDEX('PRICING'!$C$7:$C$16,MATCH(F1410,'PRICING'!$A$7:$A$16,0))+INDEX('PROPERTIES'!$G$5:$G$404,MATCH(E1410,'PROPERTIES'!$B$5:$B$404,0))*INDEX('PRICING'!$D$7:$D$16,MATCH(F1410,'PRICING'!$A$7:$A$16,0))/60+INDEX('PROPERTIES'!$H$5:$H$404,MATCH(E1410,'PROPERTIES'!$B$5:$B$404,0))*INDEX('PRICING'!$E$7:$E$16,MATCH(F1410,'PRICING'!$A$7:$A$16,0))/60+INDEX('PRICING'!$F$7:$F$16,MATCH(F1410,'PRICING'!$A$7:$A$16,0))/60),2)),""))</f>
        <v/>
      </c>
      <c r="R1410" s="97">
        <f>IF(B1410="","",IF(N(K1410)&gt;0,K1410,IF(N(J1410)&gt;0,J1410,N(Q1410))))</f>
        <v/>
      </c>
      <c r="S1410" s="55">
        <f>IF(L1410="","",ROUND(L1410*(1+N(M1410)),2))</f>
        <v/>
      </c>
      <c r="T1410" s="55">
        <f>IF(B1410="","",SUMIFS('REVENUE'!$C$5:$C$1504,'REVENUE'!$B$5:$B$1504,A1410))</f>
        <v/>
      </c>
      <c r="U1410" s="55">
        <f>IF(B1410="","",IF(O1410="Completed",MAX(0,N(S1410)-T1410),""))</f>
        <v/>
      </c>
      <c r="V1410" s="49">
        <f>IF(B1410="","",IF(O1410&lt;&gt;"Completed",IF(T1410&gt;0,"Deposit","—"),IF(U1410&lt;=0.005,"Paid",IF(T1410&gt;0,"Partial","Unpaid"))))</f>
        <v/>
      </c>
      <c r="W1410" s="55">
        <f>IF(B1410="","",IFERROR(1/(1/INDEX('STAFF &amp; TASKS'!$C$5:$C$24,MATCH(H1410,'STAFF &amp; TASKS'!$A$5:$A$24,0))),PayRate))</f>
        <v/>
      </c>
      <c r="X1410" s="55">
        <f>IF(B1410="","",IF(OR(O1410="Cancelled",O1410="No-Show"),"",ROUND(R1410*W1410*(1+Burden),2)))</f>
        <v/>
      </c>
      <c r="Y1410" s="55">
        <f>IF(B1410="","",IF(OR(O1410="Cancelled",O1410="No-Show"),"",IF(N1410&lt;&gt;"",N1410,ROUND(R1410*SupHr*IFERROR(INDEX('PRICING'!$G$7:$G$16,MATCH(F1410,'PRICING'!$A$7:$A$16,0)),1),2))))</f>
        <v/>
      </c>
      <c r="Z1410" s="98">
        <f>IF(B1410="","",SUMIFS('MILEAGE'!$J$5:$J$1504,'MILEAGE'!$B$5:$B$1504,A1410))</f>
        <v/>
      </c>
      <c r="AA1410" s="55">
        <f>IF(B1410="","",ROUND(Z1410*MileRate,2))</f>
        <v/>
      </c>
      <c r="AB1410" s="55">
        <f>IF(B1410="","",SUMIFS('REVENUE'!$J$5:$J$1504,'REVENUE'!$B$5:$B$1504,A1410))</f>
        <v/>
      </c>
      <c r="AC1410" s="55">
        <f>IF(L1410="","",IF(OR(O1410="Cancelled",O1410="No-Show"),"",L1410-N(X1410)-N(Y1410)-AA1410-AB1410))</f>
        <v/>
      </c>
      <c r="AD1410" s="99">
        <f>IF(OR(AC1410="",N(L1410)=0),"",AC1410/L1410)</f>
        <v/>
      </c>
      <c r="AE1410" s="55">
        <f>IF(OR(AC1410="",N(R1410)=0),"",L1410/R1410)</f>
        <v/>
      </c>
      <c r="AF1410" s="100">
        <f>IF(OR(N(K1410)=0,N(J1410)+N(Q1410)=0),"",K1410-IF(N(J1410)&gt;0,J1410,Q1410))</f>
        <v/>
      </c>
      <c r="AG1410" s="99">
        <f>IF(B1410="","",IFERROR(AVERAGEIFS('QUALITY CONTROL'!$M$5:$M$304,'QUALITY CONTROL'!$B$5:$B$304,A1410),""))</f>
        <v/>
      </c>
      <c r="AH1410" s="51">
        <f>IF(B1410="","",DATE(YEAR(B1410),MONTH(B1410),1))</f>
        <v/>
      </c>
      <c r="AI1410" s="49">
        <f>IF(D1410="","",IFERROR(INDEX('CUSTOMERS'!$E$5:$E$404,MATCH(D1410,'CUSTOMERS'!$B$5:$B$404,0)),""))</f>
        <v/>
      </c>
      <c r="AJ1410" s="49">
        <f>IF(B1410="","",N(C1410))</f>
        <v/>
      </c>
      <c r="AK1410" s="49">
        <f>IF(OR(B1410="",O1410="Cancelled",O1410="Rescheduled"),"",B1410&amp;"|"&amp;(COUNTIFS('JOBS'!$B$5:$B$1504,B1410,'JOBS'!$AJ$5:$AJ$1504,"&lt;"&amp;AJ1410,'JOBS'!$O$5:$O$1504,"&lt;&gt;Cancelled",'JOBS'!$O$5:$O$1504,"&lt;&gt;Rescheduled")+COUNTIFS($B$5:B1410,B1410,$AJ$5:AJ1410,AJ1410,$O$5:O1410,"&lt;&gt;Cancelled",$O$5:O1410,"&lt;&gt;Rescheduled")))</f>
        <v/>
      </c>
      <c r="AL1410" s="49">
        <f>IF(N(U1410)&lt;=0.005,"",COUNTIFS('JOBS'!$U$5:$U$1504,"&gt;0.005",'JOBS'!$B$5:$B$1504,"&lt;"&amp;B1410)+COUNTIFS($U$5:U1410,"&gt;0.005",$B$5:B1410,B1410))</f>
        <v/>
      </c>
    </row>
    <row r="1411">
      <c r="A1411" s="46" t="inlineStr">
        <is>
          <t>J-1407</t>
        </is>
      </c>
      <c r="B1411" s="47" t="n"/>
      <c r="C1411" s="94" t="n"/>
      <c r="D1411" s="38" t="n"/>
      <c r="E1411" s="38" t="n"/>
      <c r="F1411" s="38" t="n"/>
      <c r="G1411" s="38" t="n"/>
      <c r="H1411" s="38" t="n"/>
      <c r="I1411" s="57" t="n"/>
      <c r="J1411" s="95" t="n"/>
      <c r="K1411" s="95" t="n"/>
      <c r="L1411" s="48" t="n"/>
      <c r="M1411" s="96" t="n"/>
      <c r="N1411" s="48" t="n"/>
      <c r="O1411" s="38" t="n"/>
      <c r="P1411" s="38" t="n"/>
      <c r="Q1411" s="97">
        <f>IF(OR(F1411="",E1411=""),"",IFERROR(IF(INDEX('PROPERTIES'!$F$5:$F$404,MATCH(E1411,'PROPERTIES'!$B$5:$B$404,0))=0,"",ROUND((INDEX('PROPERTIES'!$F$5:$F$404,MATCH(E1411,'PROPERTIES'!$B$5:$B$404,0))/INDEX('PRICING'!$C$7:$C$16,MATCH(F1411,'PRICING'!$A$7:$A$16,0))+INDEX('PROPERTIES'!$G$5:$G$404,MATCH(E1411,'PROPERTIES'!$B$5:$B$404,0))*INDEX('PRICING'!$D$7:$D$16,MATCH(F1411,'PRICING'!$A$7:$A$16,0))/60+INDEX('PROPERTIES'!$H$5:$H$404,MATCH(E1411,'PROPERTIES'!$B$5:$B$404,0))*INDEX('PRICING'!$E$7:$E$16,MATCH(F1411,'PRICING'!$A$7:$A$16,0))/60+INDEX('PRICING'!$F$7:$F$16,MATCH(F1411,'PRICING'!$A$7:$A$16,0))/60),2)),""))</f>
        <v/>
      </c>
      <c r="R1411" s="97">
        <f>IF(B1411="","",IF(N(K1411)&gt;0,K1411,IF(N(J1411)&gt;0,J1411,N(Q1411))))</f>
        <v/>
      </c>
      <c r="S1411" s="55">
        <f>IF(L1411="","",ROUND(L1411*(1+N(M1411)),2))</f>
        <v/>
      </c>
      <c r="T1411" s="55">
        <f>IF(B1411="","",SUMIFS('REVENUE'!$C$5:$C$1504,'REVENUE'!$B$5:$B$1504,A1411))</f>
        <v/>
      </c>
      <c r="U1411" s="55">
        <f>IF(B1411="","",IF(O1411="Completed",MAX(0,N(S1411)-T1411),""))</f>
        <v/>
      </c>
      <c r="V1411" s="49">
        <f>IF(B1411="","",IF(O1411&lt;&gt;"Completed",IF(T1411&gt;0,"Deposit","—"),IF(U1411&lt;=0.005,"Paid",IF(T1411&gt;0,"Partial","Unpaid"))))</f>
        <v/>
      </c>
      <c r="W1411" s="55">
        <f>IF(B1411="","",IFERROR(1/(1/INDEX('STAFF &amp; TASKS'!$C$5:$C$24,MATCH(H1411,'STAFF &amp; TASKS'!$A$5:$A$24,0))),PayRate))</f>
        <v/>
      </c>
      <c r="X1411" s="55">
        <f>IF(B1411="","",IF(OR(O1411="Cancelled",O1411="No-Show"),"",ROUND(R1411*W1411*(1+Burden),2)))</f>
        <v/>
      </c>
      <c r="Y1411" s="55">
        <f>IF(B1411="","",IF(OR(O1411="Cancelled",O1411="No-Show"),"",IF(N1411&lt;&gt;"",N1411,ROUND(R1411*SupHr*IFERROR(INDEX('PRICING'!$G$7:$G$16,MATCH(F1411,'PRICING'!$A$7:$A$16,0)),1),2))))</f>
        <v/>
      </c>
      <c r="Z1411" s="98">
        <f>IF(B1411="","",SUMIFS('MILEAGE'!$J$5:$J$1504,'MILEAGE'!$B$5:$B$1504,A1411))</f>
        <v/>
      </c>
      <c r="AA1411" s="55">
        <f>IF(B1411="","",ROUND(Z1411*MileRate,2))</f>
        <v/>
      </c>
      <c r="AB1411" s="55">
        <f>IF(B1411="","",SUMIFS('REVENUE'!$J$5:$J$1504,'REVENUE'!$B$5:$B$1504,A1411))</f>
        <v/>
      </c>
      <c r="AC1411" s="55">
        <f>IF(L1411="","",IF(OR(O1411="Cancelled",O1411="No-Show"),"",L1411-N(X1411)-N(Y1411)-AA1411-AB1411))</f>
        <v/>
      </c>
      <c r="AD1411" s="99">
        <f>IF(OR(AC1411="",N(L1411)=0),"",AC1411/L1411)</f>
        <v/>
      </c>
      <c r="AE1411" s="55">
        <f>IF(OR(AC1411="",N(R1411)=0),"",L1411/R1411)</f>
        <v/>
      </c>
      <c r="AF1411" s="100">
        <f>IF(OR(N(K1411)=0,N(J1411)+N(Q1411)=0),"",K1411-IF(N(J1411)&gt;0,J1411,Q1411))</f>
        <v/>
      </c>
      <c r="AG1411" s="99">
        <f>IF(B1411="","",IFERROR(AVERAGEIFS('QUALITY CONTROL'!$M$5:$M$304,'QUALITY CONTROL'!$B$5:$B$304,A1411),""))</f>
        <v/>
      </c>
      <c r="AH1411" s="51">
        <f>IF(B1411="","",DATE(YEAR(B1411),MONTH(B1411),1))</f>
        <v/>
      </c>
      <c r="AI1411" s="49">
        <f>IF(D1411="","",IFERROR(INDEX('CUSTOMERS'!$E$5:$E$404,MATCH(D1411,'CUSTOMERS'!$B$5:$B$404,0)),""))</f>
        <v/>
      </c>
      <c r="AJ1411" s="49">
        <f>IF(B1411="","",N(C1411))</f>
        <v/>
      </c>
      <c r="AK1411" s="49">
        <f>IF(OR(B1411="",O1411="Cancelled",O1411="Rescheduled"),"",B1411&amp;"|"&amp;(COUNTIFS('JOBS'!$B$5:$B$1504,B1411,'JOBS'!$AJ$5:$AJ$1504,"&lt;"&amp;AJ1411,'JOBS'!$O$5:$O$1504,"&lt;&gt;Cancelled",'JOBS'!$O$5:$O$1504,"&lt;&gt;Rescheduled")+COUNTIFS($B$5:B1411,B1411,$AJ$5:AJ1411,AJ1411,$O$5:O1411,"&lt;&gt;Cancelled",$O$5:O1411,"&lt;&gt;Rescheduled")))</f>
        <v/>
      </c>
      <c r="AL1411" s="49">
        <f>IF(N(U1411)&lt;=0.005,"",COUNTIFS('JOBS'!$U$5:$U$1504,"&gt;0.005",'JOBS'!$B$5:$B$1504,"&lt;"&amp;B1411)+COUNTIFS($U$5:U1411,"&gt;0.005",$B$5:B1411,B1411))</f>
        <v/>
      </c>
    </row>
    <row r="1412">
      <c r="A1412" s="46" t="inlineStr">
        <is>
          <t>J-1408</t>
        </is>
      </c>
      <c r="B1412" s="47" t="n"/>
      <c r="C1412" s="94" t="n"/>
      <c r="D1412" s="38" t="n"/>
      <c r="E1412" s="38" t="n"/>
      <c r="F1412" s="38" t="n"/>
      <c r="G1412" s="38" t="n"/>
      <c r="H1412" s="38" t="n"/>
      <c r="I1412" s="57" t="n"/>
      <c r="J1412" s="95" t="n"/>
      <c r="K1412" s="95" t="n"/>
      <c r="L1412" s="48" t="n"/>
      <c r="M1412" s="96" t="n"/>
      <c r="N1412" s="48" t="n"/>
      <c r="O1412" s="38" t="n"/>
      <c r="P1412" s="38" t="n"/>
      <c r="Q1412" s="97">
        <f>IF(OR(F1412="",E1412=""),"",IFERROR(IF(INDEX('PROPERTIES'!$F$5:$F$404,MATCH(E1412,'PROPERTIES'!$B$5:$B$404,0))=0,"",ROUND((INDEX('PROPERTIES'!$F$5:$F$404,MATCH(E1412,'PROPERTIES'!$B$5:$B$404,0))/INDEX('PRICING'!$C$7:$C$16,MATCH(F1412,'PRICING'!$A$7:$A$16,0))+INDEX('PROPERTIES'!$G$5:$G$404,MATCH(E1412,'PROPERTIES'!$B$5:$B$404,0))*INDEX('PRICING'!$D$7:$D$16,MATCH(F1412,'PRICING'!$A$7:$A$16,0))/60+INDEX('PROPERTIES'!$H$5:$H$404,MATCH(E1412,'PROPERTIES'!$B$5:$B$404,0))*INDEX('PRICING'!$E$7:$E$16,MATCH(F1412,'PRICING'!$A$7:$A$16,0))/60+INDEX('PRICING'!$F$7:$F$16,MATCH(F1412,'PRICING'!$A$7:$A$16,0))/60),2)),""))</f>
        <v/>
      </c>
      <c r="R1412" s="97">
        <f>IF(B1412="","",IF(N(K1412)&gt;0,K1412,IF(N(J1412)&gt;0,J1412,N(Q1412))))</f>
        <v/>
      </c>
      <c r="S1412" s="55">
        <f>IF(L1412="","",ROUND(L1412*(1+N(M1412)),2))</f>
        <v/>
      </c>
      <c r="T1412" s="55">
        <f>IF(B1412="","",SUMIFS('REVENUE'!$C$5:$C$1504,'REVENUE'!$B$5:$B$1504,A1412))</f>
        <v/>
      </c>
      <c r="U1412" s="55">
        <f>IF(B1412="","",IF(O1412="Completed",MAX(0,N(S1412)-T1412),""))</f>
        <v/>
      </c>
      <c r="V1412" s="49">
        <f>IF(B1412="","",IF(O1412&lt;&gt;"Completed",IF(T1412&gt;0,"Deposit","—"),IF(U1412&lt;=0.005,"Paid",IF(T1412&gt;0,"Partial","Unpaid"))))</f>
        <v/>
      </c>
      <c r="W1412" s="55">
        <f>IF(B1412="","",IFERROR(1/(1/INDEX('STAFF &amp; TASKS'!$C$5:$C$24,MATCH(H1412,'STAFF &amp; TASKS'!$A$5:$A$24,0))),PayRate))</f>
        <v/>
      </c>
      <c r="X1412" s="55">
        <f>IF(B1412="","",IF(OR(O1412="Cancelled",O1412="No-Show"),"",ROUND(R1412*W1412*(1+Burden),2)))</f>
        <v/>
      </c>
      <c r="Y1412" s="55">
        <f>IF(B1412="","",IF(OR(O1412="Cancelled",O1412="No-Show"),"",IF(N1412&lt;&gt;"",N1412,ROUND(R1412*SupHr*IFERROR(INDEX('PRICING'!$G$7:$G$16,MATCH(F1412,'PRICING'!$A$7:$A$16,0)),1),2))))</f>
        <v/>
      </c>
      <c r="Z1412" s="98">
        <f>IF(B1412="","",SUMIFS('MILEAGE'!$J$5:$J$1504,'MILEAGE'!$B$5:$B$1504,A1412))</f>
        <v/>
      </c>
      <c r="AA1412" s="55">
        <f>IF(B1412="","",ROUND(Z1412*MileRate,2))</f>
        <v/>
      </c>
      <c r="AB1412" s="55">
        <f>IF(B1412="","",SUMIFS('REVENUE'!$J$5:$J$1504,'REVENUE'!$B$5:$B$1504,A1412))</f>
        <v/>
      </c>
      <c r="AC1412" s="55">
        <f>IF(L1412="","",IF(OR(O1412="Cancelled",O1412="No-Show"),"",L1412-N(X1412)-N(Y1412)-AA1412-AB1412))</f>
        <v/>
      </c>
      <c r="AD1412" s="99">
        <f>IF(OR(AC1412="",N(L1412)=0),"",AC1412/L1412)</f>
        <v/>
      </c>
      <c r="AE1412" s="55">
        <f>IF(OR(AC1412="",N(R1412)=0),"",L1412/R1412)</f>
        <v/>
      </c>
      <c r="AF1412" s="100">
        <f>IF(OR(N(K1412)=0,N(J1412)+N(Q1412)=0),"",K1412-IF(N(J1412)&gt;0,J1412,Q1412))</f>
        <v/>
      </c>
      <c r="AG1412" s="99">
        <f>IF(B1412="","",IFERROR(AVERAGEIFS('QUALITY CONTROL'!$M$5:$M$304,'QUALITY CONTROL'!$B$5:$B$304,A1412),""))</f>
        <v/>
      </c>
      <c r="AH1412" s="51">
        <f>IF(B1412="","",DATE(YEAR(B1412),MONTH(B1412),1))</f>
        <v/>
      </c>
      <c r="AI1412" s="49">
        <f>IF(D1412="","",IFERROR(INDEX('CUSTOMERS'!$E$5:$E$404,MATCH(D1412,'CUSTOMERS'!$B$5:$B$404,0)),""))</f>
        <v/>
      </c>
      <c r="AJ1412" s="49">
        <f>IF(B1412="","",N(C1412))</f>
        <v/>
      </c>
      <c r="AK1412" s="49">
        <f>IF(OR(B1412="",O1412="Cancelled",O1412="Rescheduled"),"",B1412&amp;"|"&amp;(COUNTIFS('JOBS'!$B$5:$B$1504,B1412,'JOBS'!$AJ$5:$AJ$1504,"&lt;"&amp;AJ1412,'JOBS'!$O$5:$O$1504,"&lt;&gt;Cancelled",'JOBS'!$O$5:$O$1504,"&lt;&gt;Rescheduled")+COUNTIFS($B$5:B1412,B1412,$AJ$5:AJ1412,AJ1412,$O$5:O1412,"&lt;&gt;Cancelled",$O$5:O1412,"&lt;&gt;Rescheduled")))</f>
        <v/>
      </c>
      <c r="AL1412" s="49">
        <f>IF(N(U1412)&lt;=0.005,"",COUNTIFS('JOBS'!$U$5:$U$1504,"&gt;0.005",'JOBS'!$B$5:$B$1504,"&lt;"&amp;B1412)+COUNTIFS($U$5:U1412,"&gt;0.005",$B$5:B1412,B1412))</f>
        <v/>
      </c>
    </row>
    <row r="1413">
      <c r="A1413" s="46" t="inlineStr">
        <is>
          <t>J-1409</t>
        </is>
      </c>
      <c r="B1413" s="47" t="n"/>
      <c r="C1413" s="94" t="n"/>
      <c r="D1413" s="38" t="n"/>
      <c r="E1413" s="38" t="n"/>
      <c r="F1413" s="38" t="n"/>
      <c r="G1413" s="38" t="n"/>
      <c r="H1413" s="38" t="n"/>
      <c r="I1413" s="57" t="n"/>
      <c r="J1413" s="95" t="n"/>
      <c r="K1413" s="95" t="n"/>
      <c r="L1413" s="48" t="n"/>
      <c r="M1413" s="96" t="n"/>
      <c r="N1413" s="48" t="n"/>
      <c r="O1413" s="38" t="n"/>
      <c r="P1413" s="38" t="n"/>
      <c r="Q1413" s="97">
        <f>IF(OR(F1413="",E1413=""),"",IFERROR(IF(INDEX('PROPERTIES'!$F$5:$F$404,MATCH(E1413,'PROPERTIES'!$B$5:$B$404,0))=0,"",ROUND((INDEX('PROPERTIES'!$F$5:$F$404,MATCH(E1413,'PROPERTIES'!$B$5:$B$404,0))/INDEX('PRICING'!$C$7:$C$16,MATCH(F1413,'PRICING'!$A$7:$A$16,0))+INDEX('PROPERTIES'!$G$5:$G$404,MATCH(E1413,'PROPERTIES'!$B$5:$B$404,0))*INDEX('PRICING'!$D$7:$D$16,MATCH(F1413,'PRICING'!$A$7:$A$16,0))/60+INDEX('PROPERTIES'!$H$5:$H$404,MATCH(E1413,'PROPERTIES'!$B$5:$B$404,0))*INDEX('PRICING'!$E$7:$E$16,MATCH(F1413,'PRICING'!$A$7:$A$16,0))/60+INDEX('PRICING'!$F$7:$F$16,MATCH(F1413,'PRICING'!$A$7:$A$16,0))/60),2)),""))</f>
        <v/>
      </c>
      <c r="R1413" s="97">
        <f>IF(B1413="","",IF(N(K1413)&gt;0,K1413,IF(N(J1413)&gt;0,J1413,N(Q1413))))</f>
        <v/>
      </c>
      <c r="S1413" s="55">
        <f>IF(L1413="","",ROUND(L1413*(1+N(M1413)),2))</f>
        <v/>
      </c>
      <c r="T1413" s="55">
        <f>IF(B1413="","",SUMIFS('REVENUE'!$C$5:$C$1504,'REVENUE'!$B$5:$B$1504,A1413))</f>
        <v/>
      </c>
      <c r="U1413" s="55">
        <f>IF(B1413="","",IF(O1413="Completed",MAX(0,N(S1413)-T1413),""))</f>
        <v/>
      </c>
      <c r="V1413" s="49">
        <f>IF(B1413="","",IF(O1413&lt;&gt;"Completed",IF(T1413&gt;0,"Deposit","—"),IF(U1413&lt;=0.005,"Paid",IF(T1413&gt;0,"Partial","Unpaid"))))</f>
        <v/>
      </c>
      <c r="W1413" s="55">
        <f>IF(B1413="","",IFERROR(1/(1/INDEX('STAFF &amp; TASKS'!$C$5:$C$24,MATCH(H1413,'STAFF &amp; TASKS'!$A$5:$A$24,0))),PayRate))</f>
        <v/>
      </c>
      <c r="X1413" s="55">
        <f>IF(B1413="","",IF(OR(O1413="Cancelled",O1413="No-Show"),"",ROUND(R1413*W1413*(1+Burden),2)))</f>
        <v/>
      </c>
      <c r="Y1413" s="55">
        <f>IF(B1413="","",IF(OR(O1413="Cancelled",O1413="No-Show"),"",IF(N1413&lt;&gt;"",N1413,ROUND(R1413*SupHr*IFERROR(INDEX('PRICING'!$G$7:$G$16,MATCH(F1413,'PRICING'!$A$7:$A$16,0)),1),2))))</f>
        <v/>
      </c>
      <c r="Z1413" s="98">
        <f>IF(B1413="","",SUMIFS('MILEAGE'!$J$5:$J$1504,'MILEAGE'!$B$5:$B$1504,A1413))</f>
        <v/>
      </c>
      <c r="AA1413" s="55">
        <f>IF(B1413="","",ROUND(Z1413*MileRate,2))</f>
        <v/>
      </c>
      <c r="AB1413" s="55">
        <f>IF(B1413="","",SUMIFS('REVENUE'!$J$5:$J$1504,'REVENUE'!$B$5:$B$1504,A1413))</f>
        <v/>
      </c>
      <c r="AC1413" s="55">
        <f>IF(L1413="","",IF(OR(O1413="Cancelled",O1413="No-Show"),"",L1413-N(X1413)-N(Y1413)-AA1413-AB1413))</f>
        <v/>
      </c>
      <c r="AD1413" s="99">
        <f>IF(OR(AC1413="",N(L1413)=0),"",AC1413/L1413)</f>
        <v/>
      </c>
      <c r="AE1413" s="55">
        <f>IF(OR(AC1413="",N(R1413)=0),"",L1413/R1413)</f>
        <v/>
      </c>
      <c r="AF1413" s="100">
        <f>IF(OR(N(K1413)=0,N(J1413)+N(Q1413)=0),"",K1413-IF(N(J1413)&gt;0,J1413,Q1413))</f>
        <v/>
      </c>
      <c r="AG1413" s="99">
        <f>IF(B1413="","",IFERROR(AVERAGEIFS('QUALITY CONTROL'!$M$5:$M$304,'QUALITY CONTROL'!$B$5:$B$304,A1413),""))</f>
        <v/>
      </c>
      <c r="AH1413" s="51">
        <f>IF(B1413="","",DATE(YEAR(B1413),MONTH(B1413),1))</f>
        <v/>
      </c>
      <c r="AI1413" s="49">
        <f>IF(D1413="","",IFERROR(INDEX('CUSTOMERS'!$E$5:$E$404,MATCH(D1413,'CUSTOMERS'!$B$5:$B$404,0)),""))</f>
        <v/>
      </c>
      <c r="AJ1413" s="49">
        <f>IF(B1413="","",N(C1413))</f>
        <v/>
      </c>
      <c r="AK1413" s="49">
        <f>IF(OR(B1413="",O1413="Cancelled",O1413="Rescheduled"),"",B1413&amp;"|"&amp;(COUNTIFS('JOBS'!$B$5:$B$1504,B1413,'JOBS'!$AJ$5:$AJ$1504,"&lt;"&amp;AJ1413,'JOBS'!$O$5:$O$1504,"&lt;&gt;Cancelled",'JOBS'!$O$5:$O$1504,"&lt;&gt;Rescheduled")+COUNTIFS($B$5:B1413,B1413,$AJ$5:AJ1413,AJ1413,$O$5:O1413,"&lt;&gt;Cancelled",$O$5:O1413,"&lt;&gt;Rescheduled")))</f>
        <v/>
      </c>
      <c r="AL1413" s="49">
        <f>IF(N(U1413)&lt;=0.005,"",COUNTIFS('JOBS'!$U$5:$U$1504,"&gt;0.005",'JOBS'!$B$5:$B$1504,"&lt;"&amp;B1413)+COUNTIFS($U$5:U1413,"&gt;0.005",$B$5:B1413,B1413))</f>
        <v/>
      </c>
    </row>
    <row r="1414">
      <c r="A1414" s="46" t="inlineStr">
        <is>
          <t>J-1410</t>
        </is>
      </c>
      <c r="B1414" s="47" t="n"/>
      <c r="C1414" s="94" t="n"/>
      <c r="D1414" s="38" t="n"/>
      <c r="E1414" s="38" t="n"/>
      <c r="F1414" s="38" t="n"/>
      <c r="G1414" s="38" t="n"/>
      <c r="H1414" s="38" t="n"/>
      <c r="I1414" s="57" t="n"/>
      <c r="J1414" s="95" t="n"/>
      <c r="K1414" s="95" t="n"/>
      <c r="L1414" s="48" t="n"/>
      <c r="M1414" s="96" t="n"/>
      <c r="N1414" s="48" t="n"/>
      <c r="O1414" s="38" t="n"/>
      <c r="P1414" s="38" t="n"/>
      <c r="Q1414" s="97">
        <f>IF(OR(F1414="",E1414=""),"",IFERROR(IF(INDEX('PROPERTIES'!$F$5:$F$404,MATCH(E1414,'PROPERTIES'!$B$5:$B$404,0))=0,"",ROUND((INDEX('PROPERTIES'!$F$5:$F$404,MATCH(E1414,'PROPERTIES'!$B$5:$B$404,0))/INDEX('PRICING'!$C$7:$C$16,MATCH(F1414,'PRICING'!$A$7:$A$16,0))+INDEX('PROPERTIES'!$G$5:$G$404,MATCH(E1414,'PROPERTIES'!$B$5:$B$404,0))*INDEX('PRICING'!$D$7:$D$16,MATCH(F1414,'PRICING'!$A$7:$A$16,0))/60+INDEX('PROPERTIES'!$H$5:$H$404,MATCH(E1414,'PROPERTIES'!$B$5:$B$404,0))*INDEX('PRICING'!$E$7:$E$16,MATCH(F1414,'PRICING'!$A$7:$A$16,0))/60+INDEX('PRICING'!$F$7:$F$16,MATCH(F1414,'PRICING'!$A$7:$A$16,0))/60),2)),""))</f>
        <v/>
      </c>
      <c r="R1414" s="97">
        <f>IF(B1414="","",IF(N(K1414)&gt;0,K1414,IF(N(J1414)&gt;0,J1414,N(Q1414))))</f>
        <v/>
      </c>
      <c r="S1414" s="55">
        <f>IF(L1414="","",ROUND(L1414*(1+N(M1414)),2))</f>
        <v/>
      </c>
      <c r="T1414" s="55">
        <f>IF(B1414="","",SUMIFS('REVENUE'!$C$5:$C$1504,'REVENUE'!$B$5:$B$1504,A1414))</f>
        <v/>
      </c>
      <c r="U1414" s="55">
        <f>IF(B1414="","",IF(O1414="Completed",MAX(0,N(S1414)-T1414),""))</f>
        <v/>
      </c>
      <c r="V1414" s="49">
        <f>IF(B1414="","",IF(O1414&lt;&gt;"Completed",IF(T1414&gt;0,"Deposit","—"),IF(U1414&lt;=0.005,"Paid",IF(T1414&gt;0,"Partial","Unpaid"))))</f>
        <v/>
      </c>
      <c r="W1414" s="55">
        <f>IF(B1414="","",IFERROR(1/(1/INDEX('STAFF &amp; TASKS'!$C$5:$C$24,MATCH(H1414,'STAFF &amp; TASKS'!$A$5:$A$24,0))),PayRate))</f>
        <v/>
      </c>
      <c r="X1414" s="55">
        <f>IF(B1414="","",IF(OR(O1414="Cancelled",O1414="No-Show"),"",ROUND(R1414*W1414*(1+Burden),2)))</f>
        <v/>
      </c>
      <c r="Y1414" s="55">
        <f>IF(B1414="","",IF(OR(O1414="Cancelled",O1414="No-Show"),"",IF(N1414&lt;&gt;"",N1414,ROUND(R1414*SupHr*IFERROR(INDEX('PRICING'!$G$7:$G$16,MATCH(F1414,'PRICING'!$A$7:$A$16,0)),1),2))))</f>
        <v/>
      </c>
      <c r="Z1414" s="98">
        <f>IF(B1414="","",SUMIFS('MILEAGE'!$J$5:$J$1504,'MILEAGE'!$B$5:$B$1504,A1414))</f>
        <v/>
      </c>
      <c r="AA1414" s="55">
        <f>IF(B1414="","",ROUND(Z1414*MileRate,2))</f>
        <v/>
      </c>
      <c r="AB1414" s="55">
        <f>IF(B1414="","",SUMIFS('REVENUE'!$J$5:$J$1504,'REVENUE'!$B$5:$B$1504,A1414))</f>
        <v/>
      </c>
      <c r="AC1414" s="55">
        <f>IF(L1414="","",IF(OR(O1414="Cancelled",O1414="No-Show"),"",L1414-N(X1414)-N(Y1414)-AA1414-AB1414))</f>
        <v/>
      </c>
      <c r="AD1414" s="99">
        <f>IF(OR(AC1414="",N(L1414)=0),"",AC1414/L1414)</f>
        <v/>
      </c>
      <c r="AE1414" s="55">
        <f>IF(OR(AC1414="",N(R1414)=0),"",L1414/R1414)</f>
        <v/>
      </c>
      <c r="AF1414" s="100">
        <f>IF(OR(N(K1414)=0,N(J1414)+N(Q1414)=0),"",K1414-IF(N(J1414)&gt;0,J1414,Q1414))</f>
        <v/>
      </c>
      <c r="AG1414" s="99">
        <f>IF(B1414="","",IFERROR(AVERAGEIFS('QUALITY CONTROL'!$M$5:$M$304,'QUALITY CONTROL'!$B$5:$B$304,A1414),""))</f>
        <v/>
      </c>
      <c r="AH1414" s="51">
        <f>IF(B1414="","",DATE(YEAR(B1414),MONTH(B1414),1))</f>
        <v/>
      </c>
      <c r="AI1414" s="49">
        <f>IF(D1414="","",IFERROR(INDEX('CUSTOMERS'!$E$5:$E$404,MATCH(D1414,'CUSTOMERS'!$B$5:$B$404,0)),""))</f>
        <v/>
      </c>
      <c r="AJ1414" s="49">
        <f>IF(B1414="","",N(C1414))</f>
        <v/>
      </c>
      <c r="AK1414" s="49">
        <f>IF(OR(B1414="",O1414="Cancelled",O1414="Rescheduled"),"",B1414&amp;"|"&amp;(COUNTIFS('JOBS'!$B$5:$B$1504,B1414,'JOBS'!$AJ$5:$AJ$1504,"&lt;"&amp;AJ1414,'JOBS'!$O$5:$O$1504,"&lt;&gt;Cancelled",'JOBS'!$O$5:$O$1504,"&lt;&gt;Rescheduled")+COUNTIFS($B$5:B1414,B1414,$AJ$5:AJ1414,AJ1414,$O$5:O1414,"&lt;&gt;Cancelled",$O$5:O1414,"&lt;&gt;Rescheduled")))</f>
        <v/>
      </c>
      <c r="AL1414" s="49">
        <f>IF(N(U1414)&lt;=0.005,"",COUNTIFS('JOBS'!$U$5:$U$1504,"&gt;0.005",'JOBS'!$B$5:$B$1504,"&lt;"&amp;B1414)+COUNTIFS($U$5:U1414,"&gt;0.005",$B$5:B1414,B1414))</f>
        <v/>
      </c>
    </row>
    <row r="1415">
      <c r="A1415" s="46" t="inlineStr">
        <is>
          <t>J-1411</t>
        </is>
      </c>
      <c r="B1415" s="47" t="n"/>
      <c r="C1415" s="94" t="n"/>
      <c r="D1415" s="38" t="n"/>
      <c r="E1415" s="38" t="n"/>
      <c r="F1415" s="38" t="n"/>
      <c r="G1415" s="38" t="n"/>
      <c r="H1415" s="38" t="n"/>
      <c r="I1415" s="57" t="n"/>
      <c r="J1415" s="95" t="n"/>
      <c r="K1415" s="95" t="n"/>
      <c r="L1415" s="48" t="n"/>
      <c r="M1415" s="96" t="n"/>
      <c r="N1415" s="48" t="n"/>
      <c r="O1415" s="38" t="n"/>
      <c r="P1415" s="38" t="n"/>
      <c r="Q1415" s="97">
        <f>IF(OR(F1415="",E1415=""),"",IFERROR(IF(INDEX('PROPERTIES'!$F$5:$F$404,MATCH(E1415,'PROPERTIES'!$B$5:$B$404,0))=0,"",ROUND((INDEX('PROPERTIES'!$F$5:$F$404,MATCH(E1415,'PROPERTIES'!$B$5:$B$404,0))/INDEX('PRICING'!$C$7:$C$16,MATCH(F1415,'PRICING'!$A$7:$A$16,0))+INDEX('PROPERTIES'!$G$5:$G$404,MATCH(E1415,'PROPERTIES'!$B$5:$B$404,0))*INDEX('PRICING'!$D$7:$D$16,MATCH(F1415,'PRICING'!$A$7:$A$16,0))/60+INDEX('PROPERTIES'!$H$5:$H$404,MATCH(E1415,'PROPERTIES'!$B$5:$B$404,0))*INDEX('PRICING'!$E$7:$E$16,MATCH(F1415,'PRICING'!$A$7:$A$16,0))/60+INDEX('PRICING'!$F$7:$F$16,MATCH(F1415,'PRICING'!$A$7:$A$16,0))/60),2)),""))</f>
        <v/>
      </c>
      <c r="R1415" s="97">
        <f>IF(B1415="","",IF(N(K1415)&gt;0,K1415,IF(N(J1415)&gt;0,J1415,N(Q1415))))</f>
        <v/>
      </c>
      <c r="S1415" s="55">
        <f>IF(L1415="","",ROUND(L1415*(1+N(M1415)),2))</f>
        <v/>
      </c>
      <c r="T1415" s="55">
        <f>IF(B1415="","",SUMIFS('REVENUE'!$C$5:$C$1504,'REVENUE'!$B$5:$B$1504,A1415))</f>
        <v/>
      </c>
      <c r="U1415" s="55">
        <f>IF(B1415="","",IF(O1415="Completed",MAX(0,N(S1415)-T1415),""))</f>
        <v/>
      </c>
      <c r="V1415" s="49">
        <f>IF(B1415="","",IF(O1415&lt;&gt;"Completed",IF(T1415&gt;0,"Deposit","—"),IF(U1415&lt;=0.005,"Paid",IF(T1415&gt;0,"Partial","Unpaid"))))</f>
        <v/>
      </c>
      <c r="W1415" s="55">
        <f>IF(B1415="","",IFERROR(1/(1/INDEX('STAFF &amp; TASKS'!$C$5:$C$24,MATCH(H1415,'STAFF &amp; TASKS'!$A$5:$A$24,0))),PayRate))</f>
        <v/>
      </c>
      <c r="X1415" s="55">
        <f>IF(B1415="","",IF(OR(O1415="Cancelled",O1415="No-Show"),"",ROUND(R1415*W1415*(1+Burden),2)))</f>
        <v/>
      </c>
      <c r="Y1415" s="55">
        <f>IF(B1415="","",IF(OR(O1415="Cancelled",O1415="No-Show"),"",IF(N1415&lt;&gt;"",N1415,ROUND(R1415*SupHr*IFERROR(INDEX('PRICING'!$G$7:$G$16,MATCH(F1415,'PRICING'!$A$7:$A$16,0)),1),2))))</f>
        <v/>
      </c>
      <c r="Z1415" s="98">
        <f>IF(B1415="","",SUMIFS('MILEAGE'!$J$5:$J$1504,'MILEAGE'!$B$5:$B$1504,A1415))</f>
        <v/>
      </c>
      <c r="AA1415" s="55">
        <f>IF(B1415="","",ROUND(Z1415*MileRate,2))</f>
        <v/>
      </c>
      <c r="AB1415" s="55">
        <f>IF(B1415="","",SUMIFS('REVENUE'!$J$5:$J$1504,'REVENUE'!$B$5:$B$1504,A1415))</f>
        <v/>
      </c>
      <c r="AC1415" s="55">
        <f>IF(L1415="","",IF(OR(O1415="Cancelled",O1415="No-Show"),"",L1415-N(X1415)-N(Y1415)-AA1415-AB1415))</f>
        <v/>
      </c>
      <c r="AD1415" s="99">
        <f>IF(OR(AC1415="",N(L1415)=0),"",AC1415/L1415)</f>
        <v/>
      </c>
      <c r="AE1415" s="55">
        <f>IF(OR(AC1415="",N(R1415)=0),"",L1415/R1415)</f>
        <v/>
      </c>
      <c r="AF1415" s="100">
        <f>IF(OR(N(K1415)=0,N(J1415)+N(Q1415)=0),"",K1415-IF(N(J1415)&gt;0,J1415,Q1415))</f>
        <v/>
      </c>
      <c r="AG1415" s="99">
        <f>IF(B1415="","",IFERROR(AVERAGEIFS('QUALITY CONTROL'!$M$5:$M$304,'QUALITY CONTROL'!$B$5:$B$304,A1415),""))</f>
        <v/>
      </c>
      <c r="AH1415" s="51">
        <f>IF(B1415="","",DATE(YEAR(B1415),MONTH(B1415),1))</f>
        <v/>
      </c>
      <c r="AI1415" s="49">
        <f>IF(D1415="","",IFERROR(INDEX('CUSTOMERS'!$E$5:$E$404,MATCH(D1415,'CUSTOMERS'!$B$5:$B$404,0)),""))</f>
        <v/>
      </c>
      <c r="AJ1415" s="49">
        <f>IF(B1415="","",N(C1415))</f>
        <v/>
      </c>
      <c r="AK1415" s="49">
        <f>IF(OR(B1415="",O1415="Cancelled",O1415="Rescheduled"),"",B1415&amp;"|"&amp;(COUNTIFS('JOBS'!$B$5:$B$1504,B1415,'JOBS'!$AJ$5:$AJ$1504,"&lt;"&amp;AJ1415,'JOBS'!$O$5:$O$1504,"&lt;&gt;Cancelled",'JOBS'!$O$5:$O$1504,"&lt;&gt;Rescheduled")+COUNTIFS($B$5:B1415,B1415,$AJ$5:AJ1415,AJ1415,$O$5:O1415,"&lt;&gt;Cancelled",$O$5:O1415,"&lt;&gt;Rescheduled")))</f>
        <v/>
      </c>
      <c r="AL1415" s="49">
        <f>IF(N(U1415)&lt;=0.005,"",COUNTIFS('JOBS'!$U$5:$U$1504,"&gt;0.005",'JOBS'!$B$5:$B$1504,"&lt;"&amp;B1415)+COUNTIFS($U$5:U1415,"&gt;0.005",$B$5:B1415,B1415))</f>
        <v/>
      </c>
    </row>
    <row r="1416">
      <c r="A1416" s="46" t="inlineStr">
        <is>
          <t>J-1412</t>
        </is>
      </c>
      <c r="B1416" s="47" t="n"/>
      <c r="C1416" s="94" t="n"/>
      <c r="D1416" s="38" t="n"/>
      <c r="E1416" s="38" t="n"/>
      <c r="F1416" s="38" t="n"/>
      <c r="G1416" s="38" t="n"/>
      <c r="H1416" s="38" t="n"/>
      <c r="I1416" s="57" t="n"/>
      <c r="J1416" s="95" t="n"/>
      <c r="K1416" s="95" t="n"/>
      <c r="L1416" s="48" t="n"/>
      <c r="M1416" s="96" t="n"/>
      <c r="N1416" s="48" t="n"/>
      <c r="O1416" s="38" t="n"/>
      <c r="P1416" s="38" t="n"/>
      <c r="Q1416" s="97">
        <f>IF(OR(F1416="",E1416=""),"",IFERROR(IF(INDEX('PROPERTIES'!$F$5:$F$404,MATCH(E1416,'PROPERTIES'!$B$5:$B$404,0))=0,"",ROUND((INDEX('PROPERTIES'!$F$5:$F$404,MATCH(E1416,'PROPERTIES'!$B$5:$B$404,0))/INDEX('PRICING'!$C$7:$C$16,MATCH(F1416,'PRICING'!$A$7:$A$16,0))+INDEX('PROPERTIES'!$G$5:$G$404,MATCH(E1416,'PROPERTIES'!$B$5:$B$404,0))*INDEX('PRICING'!$D$7:$D$16,MATCH(F1416,'PRICING'!$A$7:$A$16,0))/60+INDEX('PROPERTIES'!$H$5:$H$404,MATCH(E1416,'PROPERTIES'!$B$5:$B$404,0))*INDEX('PRICING'!$E$7:$E$16,MATCH(F1416,'PRICING'!$A$7:$A$16,0))/60+INDEX('PRICING'!$F$7:$F$16,MATCH(F1416,'PRICING'!$A$7:$A$16,0))/60),2)),""))</f>
        <v/>
      </c>
      <c r="R1416" s="97">
        <f>IF(B1416="","",IF(N(K1416)&gt;0,K1416,IF(N(J1416)&gt;0,J1416,N(Q1416))))</f>
        <v/>
      </c>
      <c r="S1416" s="55">
        <f>IF(L1416="","",ROUND(L1416*(1+N(M1416)),2))</f>
        <v/>
      </c>
      <c r="T1416" s="55">
        <f>IF(B1416="","",SUMIFS('REVENUE'!$C$5:$C$1504,'REVENUE'!$B$5:$B$1504,A1416))</f>
        <v/>
      </c>
      <c r="U1416" s="55">
        <f>IF(B1416="","",IF(O1416="Completed",MAX(0,N(S1416)-T1416),""))</f>
        <v/>
      </c>
      <c r="V1416" s="49">
        <f>IF(B1416="","",IF(O1416&lt;&gt;"Completed",IF(T1416&gt;0,"Deposit","—"),IF(U1416&lt;=0.005,"Paid",IF(T1416&gt;0,"Partial","Unpaid"))))</f>
        <v/>
      </c>
      <c r="W1416" s="55">
        <f>IF(B1416="","",IFERROR(1/(1/INDEX('STAFF &amp; TASKS'!$C$5:$C$24,MATCH(H1416,'STAFF &amp; TASKS'!$A$5:$A$24,0))),PayRate))</f>
        <v/>
      </c>
      <c r="X1416" s="55">
        <f>IF(B1416="","",IF(OR(O1416="Cancelled",O1416="No-Show"),"",ROUND(R1416*W1416*(1+Burden),2)))</f>
        <v/>
      </c>
      <c r="Y1416" s="55">
        <f>IF(B1416="","",IF(OR(O1416="Cancelled",O1416="No-Show"),"",IF(N1416&lt;&gt;"",N1416,ROUND(R1416*SupHr*IFERROR(INDEX('PRICING'!$G$7:$G$16,MATCH(F1416,'PRICING'!$A$7:$A$16,0)),1),2))))</f>
        <v/>
      </c>
      <c r="Z1416" s="98">
        <f>IF(B1416="","",SUMIFS('MILEAGE'!$J$5:$J$1504,'MILEAGE'!$B$5:$B$1504,A1416))</f>
        <v/>
      </c>
      <c r="AA1416" s="55">
        <f>IF(B1416="","",ROUND(Z1416*MileRate,2))</f>
        <v/>
      </c>
      <c r="AB1416" s="55">
        <f>IF(B1416="","",SUMIFS('REVENUE'!$J$5:$J$1504,'REVENUE'!$B$5:$B$1504,A1416))</f>
        <v/>
      </c>
      <c r="AC1416" s="55">
        <f>IF(L1416="","",IF(OR(O1416="Cancelled",O1416="No-Show"),"",L1416-N(X1416)-N(Y1416)-AA1416-AB1416))</f>
        <v/>
      </c>
      <c r="AD1416" s="99">
        <f>IF(OR(AC1416="",N(L1416)=0),"",AC1416/L1416)</f>
        <v/>
      </c>
      <c r="AE1416" s="55">
        <f>IF(OR(AC1416="",N(R1416)=0),"",L1416/R1416)</f>
        <v/>
      </c>
      <c r="AF1416" s="100">
        <f>IF(OR(N(K1416)=0,N(J1416)+N(Q1416)=0),"",K1416-IF(N(J1416)&gt;0,J1416,Q1416))</f>
        <v/>
      </c>
      <c r="AG1416" s="99">
        <f>IF(B1416="","",IFERROR(AVERAGEIFS('QUALITY CONTROL'!$M$5:$M$304,'QUALITY CONTROL'!$B$5:$B$304,A1416),""))</f>
        <v/>
      </c>
      <c r="AH1416" s="51">
        <f>IF(B1416="","",DATE(YEAR(B1416),MONTH(B1416),1))</f>
        <v/>
      </c>
      <c r="AI1416" s="49">
        <f>IF(D1416="","",IFERROR(INDEX('CUSTOMERS'!$E$5:$E$404,MATCH(D1416,'CUSTOMERS'!$B$5:$B$404,0)),""))</f>
        <v/>
      </c>
      <c r="AJ1416" s="49">
        <f>IF(B1416="","",N(C1416))</f>
        <v/>
      </c>
      <c r="AK1416" s="49">
        <f>IF(OR(B1416="",O1416="Cancelled",O1416="Rescheduled"),"",B1416&amp;"|"&amp;(COUNTIFS('JOBS'!$B$5:$B$1504,B1416,'JOBS'!$AJ$5:$AJ$1504,"&lt;"&amp;AJ1416,'JOBS'!$O$5:$O$1504,"&lt;&gt;Cancelled",'JOBS'!$O$5:$O$1504,"&lt;&gt;Rescheduled")+COUNTIFS($B$5:B1416,B1416,$AJ$5:AJ1416,AJ1416,$O$5:O1416,"&lt;&gt;Cancelled",$O$5:O1416,"&lt;&gt;Rescheduled")))</f>
        <v/>
      </c>
      <c r="AL1416" s="49">
        <f>IF(N(U1416)&lt;=0.005,"",COUNTIFS('JOBS'!$U$5:$U$1504,"&gt;0.005",'JOBS'!$B$5:$B$1504,"&lt;"&amp;B1416)+COUNTIFS($U$5:U1416,"&gt;0.005",$B$5:B1416,B1416))</f>
        <v/>
      </c>
    </row>
    <row r="1417">
      <c r="A1417" s="46" t="inlineStr">
        <is>
          <t>J-1413</t>
        </is>
      </c>
      <c r="B1417" s="47" t="n"/>
      <c r="C1417" s="94" t="n"/>
      <c r="D1417" s="38" t="n"/>
      <c r="E1417" s="38" t="n"/>
      <c r="F1417" s="38" t="n"/>
      <c r="G1417" s="38" t="n"/>
      <c r="H1417" s="38" t="n"/>
      <c r="I1417" s="57" t="n"/>
      <c r="J1417" s="95" t="n"/>
      <c r="K1417" s="95" t="n"/>
      <c r="L1417" s="48" t="n"/>
      <c r="M1417" s="96" t="n"/>
      <c r="N1417" s="48" t="n"/>
      <c r="O1417" s="38" t="n"/>
      <c r="P1417" s="38" t="n"/>
      <c r="Q1417" s="97">
        <f>IF(OR(F1417="",E1417=""),"",IFERROR(IF(INDEX('PROPERTIES'!$F$5:$F$404,MATCH(E1417,'PROPERTIES'!$B$5:$B$404,0))=0,"",ROUND((INDEX('PROPERTIES'!$F$5:$F$404,MATCH(E1417,'PROPERTIES'!$B$5:$B$404,0))/INDEX('PRICING'!$C$7:$C$16,MATCH(F1417,'PRICING'!$A$7:$A$16,0))+INDEX('PROPERTIES'!$G$5:$G$404,MATCH(E1417,'PROPERTIES'!$B$5:$B$404,0))*INDEX('PRICING'!$D$7:$D$16,MATCH(F1417,'PRICING'!$A$7:$A$16,0))/60+INDEX('PROPERTIES'!$H$5:$H$404,MATCH(E1417,'PROPERTIES'!$B$5:$B$404,0))*INDEX('PRICING'!$E$7:$E$16,MATCH(F1417,'PRICING'!$A$7:$A$16,0))/60+INDEX('PRICING'!$F$7:$F$16,MATCH(F1417,'PRICING'!$A$7:$A$16,0))/60),2)),""))</f>
        <v/>
      </c>
      <c r="R1417" s="97">
        <f>IF(B1417="","",IF(N(K1417)&gt;0,K1417,IF(N(J1417)&gt;0,J1417,N(Q1417))))</f>
        <v/>
      </c>
      <c r="S1417" s="55">
        <f>IF(L1417="","",ROUND(L1417*(1+N(M1417)),2))</f>
        <v/>
      </c>
      <c r="T1417" s="55">
        <f>IF(B1417="","",SUMIFS('REVENUE'!$C$5:$C$1504,'REVENUE'!$B$5:$B$1504,A1417))</f>
        <v/>
      </c>
      <c r="U1417" s="55">
        <f>IF(B1417="","",IF(O1417="Completed",MAX(0,N(S1417)-T1417),""))</f>
        <v/>
      </c>
      <c r="V1417" s="49">
        <f>IF(B1417="","",IF(O1417&lt;&gt;"Completed",IF(T1417&gt;0,"Deposit","—"),IF(U1417&lt;=0.005,"Paid",IF(T1417&gt;0,"Partial","Unpaid"))))</f>
        <v/>
      </c>
      <c r="W1417" s="55">
        <f>IF(B1417="","",IFERROR(1/(1/INDEX('STAFF &amp; TASKS'!$C$5:$C$24,MATCH(H1417,'STAFF &amp; TASKS'!$A$5:$A$24,0))),PayRate))</f>
        <v/>
      </c>
      <c r="X1417" s="55">
        <f>IF(B1417="","",IF(OR(O1417="Cancelled",O1417="No-Show"),"",ROUND(R1417*W1417*(1+Burden),2)))</f>
        <v/>
      </c>
      <c r="Y1417" s="55">
        <f>IF(B1417="","",IF(OR(O1417="Cancelled",O1417="No-Show"),"",IF(N1417&lt;&gt;"",N1417,ROUND(R1417*SupHr*IFERROR(INDEX('PRICING'!$G$7:$G$16,MATCH(F1417,'PRICING'!$A$7:$A$16,0)),1),2))))</f>
        <v/>
      </c>
      <c r="Z1417" s="98">
        <f>IF(B1417="","",SUMIFS('MILEAGE'!$J$5:$J$1504,'MILEAGE'!$B$5:$B$1504,A1417))</f>
        <v/>
      </c>
      <c r="AA1417" s="55">
        <f>IF(B1417="","",ROUND(Z1417*MileRate,2))</f>
        <v/>
      </c>
      <c r="AB1417" s="55">
        <f>IF(B1417="","",SUMIFS('REVENUE'!$J$5:$J$1504,'REVENUE'!$B$5:$B$1504,A1417))</f>
        <v/>
      </c>
      <c r="AC1417" s="55">
        <f>IF(L1417="","",IF(OR(O1417="Cancelled",O1417="No-Show"),"",L1417-N(X1417)-N(Y1417)-AA1417-AB1417))</f>
        <v/>
      </c>
      <c r="AD1417" s="99">
        <f>IF(OR(AC1417="",N(L1417)=0),"",AC1417/L1417)</f>
        <v/>
      </c>
      <c r="AE1417" s="55">
        <f>IF(OR(AC1417="",N(R1417)=0),"",L1417/R1417)</f>
        <v/>
      </c>
      <c r="AF1417" s="100">
        <f>IF(OR(N(K1417)=0,N(J1417)+N(Q1417)=0),"",K1417-IF(N(J1417)&gt;0,J1417,Q1417))</f>
        <v/>
      </c>
      <c r="AG1417" s="99">
        <f>IF(B1417="","",IFERROR(AVERAGEIFS('QUALITY CONTROL'!$M$5:$M$304,'QUALITY CONTROL'!$B$5:$B$304,A1417),""))</f>
        <v/>
      </c>
      <c r="AH1417" s="51">
        <f>IF(B1417="","",DATE(YEAR(B1417),MONTH(B1417),1))</f>
        <v/>
      </c>
      <c r="AI1417" s="49">
        <f>IF(D1417="","",IFERROR(INDEX('CUSTOMERS'!$E$5:$E$404,MATCH(D1417,'CUSTOMERS'!$B$5:$B$404,0)),""))</f>
        <v/>
      </c>
      <c r="AJ1417" s="49">
        <f>IF(B1417="","",N(C1417))</f>
        <v/>
      </c>
      <c r="AK1417" s="49">
        <f>IF(OR(B1417="",O1417="Cancelled",O1417="Rescheduled"),"",B1417&amp;"|"&amp;(COUNTIFS('JOBS'!$B$5:$B$1504,B1417,'JOBS'!$AJ$5:$AJ$1504,"&lt;"&amp;AJ1417,'JOBS'!$O$5:$O$1504,"&lt;&gt;Cancelled",'JOBS'!$O$5:$O$1504,"&lt;&gt;Rescheduled")+COUNTIFS($B$5:B1417,B1417,$AJ$5:AJ1417,AJ1417,$O$5:O1417,"&lt;&gt;Cancelled",$O$5:O1417,"&lt;&gt;Rescheduled")))</f>
        <v/>
      </c>
      <c r="AL1417" s="49">
        <f>IF(N(U1417)&lt;=0.005,"",COUNTIFS('JOBS'!$U$5:$U$1504,"&gt;0.005",'JOBS'!$B$5:$B$1504,"&lt;"&amp;B1417)+COUNTIFS($U$5:U1417,"&gt;0.005",$B$5:B1417,B1417))</f>
        <v/>
      </c>
    </row>
    <row r="1418">
      <c r="A1418" s="46" t="inlineStr">
        <is>
          <t>J-1414</t>
        </is>
      </c>
      <c r="B1418" s="47" t="n"/>
      <c r="C1418" s="94" t="n"/>
      <c r="D1418" s="38" t="n"/>
      <c r="E1418" s="38" t="n"/>
      <c r="F1418" s="38" t="n"/>
      <c r="G1418" s="38" t="n"/>
      <c r="H1418" s="38" t="n"/>
      <c r="I1418" s="57" t="n"/>
      <c r="J1418" s="95" t="n"/>
      <c r="K1418" s="95" t="n"/>
      <c r="L1418" s="48" t="n"/>
      <c r="M1418" s="96" t="n"/>
      <c r="N1418" s="48" t="n"/>
      <c r="O1418" s="38" t="n"/>
      <c r="P1418" s="38" t="n"/>
      <c r="Q1418" s="97">
        <f>IF(OR(F1418="",E1418=""),"",IFERROR(IF(INDEX('PROPERTIES'!$F$5:$F$404,MATCH(E1418,'PROPERTIES'!$B$5:$B$404,0))=0,"",ROUND((INDEX('PROPERTIES'!$F$5:$F$404,MATCH(E1418,'PROPERTIES'!$B$5:$B$404,0))/INDEX('PRICING'!$C$7:$C$16,MATCH(F1418,'PRICING'!$A$7:$A$16,0))+INDEX('PROPERTIES'!$G$5:$G$404,MATCH(E1418,'PROPERTIES'!$B$5:$B$404,0))*INDEX('PRICING'!$D$7:$D$16,MATCH(F1418,'PRICING'!$A$7:$A$16,0))/60+INDEX('PROPERTIES'!$H$5:$H$404,MATCH(E1418,'PROPERTIES'!$B$5:$B$404,0))*INDEX('PRICING'!$E$7:$E$16,MATCH(F1418,'PRICING'!$A$7:$A$16,0))/60+INDEX('PRICING'!$F$7:$F$16,MATCH(F1418,'PRICING'!$A$7:$A$16,0))/60),2)),""))</f>
        <v/>
      </c>
      <c r="R1418" s="97">
        <f>IF(B1418="","",IF(N(K1418)&gt;0,K1418,IF(N(J1418)&gt;0,J1418,N(Q1418))))</f>
        <v/>
      </c>
      <c r="S1418" s="55">
        <f>IF(L1418="","",ROUND(L1418*(1+N(M1418)),2))</f>
        <v/>
      </c>
      <c r="T1418" s="55">
        <f>IF(B1418="","",SUMIFS('REVENUE'!$C$5:$C$1504,'REVENUE'!$B$5:$B$1504,A1418))</f>
        <v/>
      </c>
      <c r="U1418" s="55">
        <f>IF(B1418="","",IF(O1418="Completed",MAX(0,N(S1418)-T1418),""))</f>
        <v/>
      </c>
      <c r="V1418" s="49">
        <f>IF(B1418="","",IF(O1418&lt;&gt;"Completed",IF(T1418&gt;0,"Deposit","—"),IF(U1418&lt;=0.005,"Paid",IF(T1418&gt;0,"Partial","Unpaid"))))</f>
        <v/>
      </c>
      <c r="W1418" s="55">
        <f>IF(B1418="","",IFERROR(1/(1/INDEX('STAFF &amp; TASKS'!$C$5:$C$24,MATCH(H1418,'STAFF &amp; TASKS'!$A$5:$A$24,0))),PayRate))</f>
        <v/>
      </c>
      <c r="X1418" s="55">
        <f>IF(B1418="","",IF(OR(O1418="Cancelled",O1418="No-Show"),"",ROUND(R1418*W1418*(1+Burden),2)))</f>
        <v/>
      </c>
      <c r="Y1418" s="55">
        <f>IF(B1418="","",IF(OR(O1418="Cancelled",O1418="No-Show"),"",IF(N1418&lt;&gt;"",N1418,ROUND(R1418*SupHr*IFERROR(INDEX('PRICING'!$G$7:$G$16,MATCH(F1418,'PRICING'!$A$7:$A$16,0)),1),2))))</f>
        <v/>
      </c>
      <c r="Z1418" s="98">
        <f>IF(B1418="","",SUMIFS('MILEAGE'!$J$5:$J$1504,'MILEAGE'!$B$5:$B$1504,A1418))</f>
        <v/>
      </c>
      <c r="AA1418" s="55">
        <f>IF(B1418="","",ROUND(Z1418*MileRate,2))</f>
        <v/>
      </c>
      <c r="AB1418" s="55">
        <f>IF(B1418="","",SUMIFS('REVENUE'!$J$5:$J$1504,'REVENUE'!$B$5:$B$1504,A1418))</f>
        <v/>
      </c>
      <c r="AC1418" s="55">
        <f>IF(L1418="","",IF(OR(O1418="Cancelled",O1418="No-Show"),"",L1418-N(X1418)-N(Y1418)-AA1418-AB1418))</f>
        <v/>
      </c>
      <c r="AD1418" s="99">
        <f>IF(OR(AC1418="",N(L1418)=0),"",AC1418/L1418)</f>
        <v/>
      </c>
      <c r="AE1418" s="55">
        <f>IF(OR(AC1418="",N(R1418)=0),"",L1418/R1418)</f>
        <v/>
      </c>
      <c r="AF1418" s="100">
        <f>IF(OR(N(K1418)=0,N(J1418)+N(Q1418)=0),"",K1418-IF(N(J1418)&gt;0,J1418,Q1418))</f>
        <v/>
      </c>
      <c r="AG1418" s="99">
        <f>IF(B1418="","",IFERROR(AVERAGEIFS('QUALITY CONTROL'!$M$5:$M$304,'QUALITY CONTROL'!$B$5:$B$304,A1418),""))</f>
        <v/>
      </c>
      <c r="AH1418" s="51">
        <f>IF(B1418="","",DATE(YEAR(B1418),MONTH(B1418),1))</f>
        <v/>
      </c>
      <c r="AI1418" s="49">
        <f>IF(D1418="","",IFERROR(INDEX('CUSTOMERS'!$E$5:$E$404,MATCH(D1418,'CUSTOMERS'!$B$5:$B$404,0)),""))</f>
        <v/>
      </c>
      <c r="AJ1418" s="49">
        <f>IF(B1418="","",N(C1418))</f>
        <v/>
      </c>
      <c r="AK1418" s="49">
        <f>IF(OR(B1418="",O1418="Cancelled",O1418="Rescheduled"),"",B1418&amp;"|"&amp;(COUNTIFS('JOBS'!$B$5:$B$1504,B1418,'JOBS'!$AJ$5:$AJ$1504,"&lt;"&amp;AJ1418,'JOBS'!$O$5:$O$1504,"&lt;&gt;Cancelled",'JOBS'!$O$5:$O$1504,"&lt;&gt;Rescheduled")+COUNTIFS($B$5:B1418,B1418,$AJ$5:AJ1418,AJ1418,$O$5:O1418,"&lt;&gt;Cancelled",$O$5:O1418,"&lt;&gt;Rescheduled")))</f>
        <v/>
      </c>
      <c r="AL1418" s="49">
        <f>IF(N(U1418)&lt;=0.005,"",COUNTIFS('JOBS'!$U$5:$U$1504,"&gt;0.005",'JOBS'!$B$5:$B$1504,"&lt;"&amp;B1418)+COUNTIFS($U$5:U1418,"&gt;0.005",$B$5:B1418,B1418))</f>
        <v/>
      </c>
    </row>
    <row r="1419">
      <c r="A1419" s="46" t="inlineStr">
        <is>
          <t>J-1415</t>
        </is>
      </c>
      <c r="B1419" s="47" t="n"/>
      <c r="C1419" s="94" t="n"/>
      <c r="D1419" s="38" t="n"/>
      <c r="E1419" s="38" t="n"/>
      <c r="F1419" s="38" t="n"/>
      <c r="G1419" s="38" t="n"/>
      <c r="H1419" s="38" t="n"/>
      <c r="I1419" s="57" t="n"/>
      <c r="J1419" s="95" t="n"/>
      <c r="K1419" s="95" t="n"/>
      <c r="L1419" s="48" t="n"/>
      <c r="M1419" s="96" t="n"/>
      <c r="N1419" s="48" t="n"/>
      <c r="O1419" s="38" t="n"/>
      <c r="P1419" s="38" t="n"/>
      <c r="Q1419" s="97">
        <f>IF(OR(F1419="",E1419=""),"",IFERROR(IF(INDEX('PROPERTIES'!$F$5:$F$404,MATCH(E1419,'PROPERTIES'!$B$5:$B$404,0))=0,"",ROUND((INDEX('PROPERTIES'!$F$5:$F$404,MATCH(E1419,'PROPERTIES'!$B$5:$B$404,0))/INDEX('PRICING'!$C$7:$C$16,MATCH(F1419,'PRICING'!$A$7:$A$16,0))+INDEX('PROPERTIES'!$G$5:$G$404,MATCH(E1419,'PROPERTIES'!$B$5:$B$404,0))*INDEX('PRICING'!$D$7:$D$16,MATCH(F1419,'PRICING'!$A$7:$A$16,0))/60+INDEX('PROPERTIES'!$H$5:$H$404,MATCH(E1419,'PROPERTIES'!$B$5:$B$404,0))*INDEX('PRICING'!$E$7:$E$16,MATCH(F1419,'PRICING'!$A$7:$A$16,0))/60+INDEX('PRICING'!$F$7:$F$16,MATCH(F1419,'PRICING'!$A$7:$A$16,0))/60),2)),""))</f>
        <v/>
      </c>
      <c r="R1419" s="97">
        <f>IF(B1419="","",IF(N(K1419)&gt;0,K1419,IF(N(J1419)&gt;0,J1419,N(Q1419))))</f>
        <v/>
      </c>
      <c r="S1419" s="55">
        <f>IF(L1419="","",ROUND(L1419*(1+N(M1419)),2))</f>
        <v/>
      </c>
      <c r="T1419" s="55">
        <f>IF(B1419="","",SUMIFS('REVENUE'!$C$5:$C$1504,'REVENUE'!$B$5:$B$1504,A1419))</f>
        <v/>
      </c>
      <c r="U1419" s="55">
        <f>IF(B1419="","",IF(O1419="Completed",MAX(0,N(S1419)-T1419),""))</f>
        <v/>
      </c>
      <c r="V1419" s="49">
        <f>IF(B1419="","",IF(O1419&lt;&gt;"Completed",IF(T1419&gt;0,"Deposit","—"),IF(U1419&lt;=0.005,"Paid",IF(T1419&gt;0,"Partial","Unpaid"))))</f>
        <v/>
      </c>
      <c r="W1419" s="55">
        <f>IF(B1419="","",IFERROR(1/(1/INDEX('STAFF &amp; TASKS'!$C$5:$C$24,MATCH(H1419,'STAFF &amp; TASKS'!$A$5:$A$24,0))),PayRate))</f>
        <v/>
      </c>
      <c r="X1419" s="55">
        <f>IF(B1419="","",IF(OR(O1419="Cancelled",O1419="No-Show"),"",ROUND(R1419*W1419*(1+Burden),2)))</f>
        <v/>
      </c>
      <c r="Y1419" s="55">
        <f>IF(B1419="","",IF(OR(O1419="Cancelled",O1419="No-Show"),"",IF(N1419&lt;&gt;"",N1419,ROUND(R1419*SupHr*IFERROR(INDEX('PRICING'!$G$7:$G$16,MATCH(F1419,'PRICING'!$A$7:$A$16,0)),1),2))))</f>
        <v/>
      </c>
      <c r="Z1419" s="98">
        <f>IF(B1419="","",SUMIFS('MILEAGE'!$J$5:$J$1504,'MILEAGE'!$B$5:$B$1504,A1419))</f>
        <v/>
      </c>
      <c r="AA1419" s="55">
        <f>IF(B1419="","",ROUND(Z1419*MileRate,2))</f>
        <v/>
      </c>
      <c r="AB1419" s="55">
        <f>IF(B1419="","",SUMIFS('REVENUE'!$J$5:$J$1504,'REVENUE'!$B$5:$B$1504,A1419))</f>
        <v/>
      </c>
      <c r="AC1419" s="55">
        <f>IF(L1419="","",IF(OR(O1419="Cancelled",O1419="No-Show"),"",L1419-N(X1419)-N(Y1419)-AA1419-AB1419))</f>
        <v/>
      </c>
      <c r="AD1419" s="99">
        <f>IF(OR(AC1419="",N(L1419)=0),"",AC1419/L1419)</f>
        <v/>
      </c>
      <c r="AE1419" s="55">
        <f>IF(OR(AC1419="",N(R1419)=0),"",L1419/R1419)</f>
        <v/>
      </c>
      <c r="AF1419" s="100">
        <f>IF(OR(N(K1419)=0,N(J1419)+N(Q1419)=0),"",K1419-IF(N(J1419)&gt;0,J1419,Q1419))</f>
        <v/>
      </c>
      <c r="AG1419" s="99">
        <f>IF(B1419="","",IFERROR(AVERAGEIFS('QUALITY CONTROL'!$M$5:$M$304,'QUALITY CONTROL'!$B$5:$B$304,A1419),""))</f>
        <v/>
      </c>
      <c r="AH1419" s="51">
        <f>IF(B1419="","",DATE(YEAR(B1419),MONTH(B1419),1))</f>
        <v/>
      </c>
      <c r="AI1419" s="49">
        <f>IF(D1419="","",IFERROR(INDEX('CUSTOMERS'!$E$5:$E$404,MATCH(D1419,'CUSTOMERS'!$B$5:$B$404,0)),""))</f>
        <v/>
      </c>
      <c r="AJ1419" s="49">
        <f>IF(B1419="","",N(C1419))</f>
        <v/>
      </c>
      <c r="AK1419" s="49">
        <f>IF(OR(B1419="",O1419="Cancelled",O1419="Rescheduled"),"",B1419&amp;"|"&amp;(COUNTIFS('JOBS'!$B$5:$B$1504,B1419,'JOBS'!$AJ$5:$AJ$1504,"&lt;"&amp;AJ1419,'JOBS'!$O$5:$O$1504,"&lt;&gt;Cancelled",'JOBS'!$O$5:$O$1504,"&lt;&gt;Rescheduled")+COUNTIFS($B$5:B1419,B1419,$AJ$5:AJ1419,AJ1419,$O$5:O1419,"&lt;&gt;Cancelled",$O$5:O1419,"&lt;&gt;Rescheduled")))</f>
        <v/>
      </c>
      <c r="AL1419" s="49">
        <f>IF(N(U1419)&lt;=0.005,"",COUNTIFS('JOBS'!$U$5:$U$1504,"&gt;0.005",'JOBS'!$B$5:$B$1504,"&lt;"&amp;B1419)+COUNTIFS($U$5:U1419,"&gt;0.005",$B$5:B1419,B1419))</f>
        <v/>
      </c>
    </row>
    <row r="1420">
      <c r="A1420" s="46" t="inlineStr">
        <is>
          <t>J-1416</t>
        </is>
      </c>
      <c r="B1420" s="47" t="n"/>
      <c r="C1420" s="94" t="n"/>
      <c r="D1420" s="38" t="n"/>
      <c r="E1420" s="38" t="n"/>
      <c r="F1420" s="38" t="n"/>
      <c r="G1420" s="38" t="n"/>
      <c r="H1420" s="38" t="n"/>
      <c r="I1420" s="57" t="n"/>
      <c r="J1420" s="95" t="n"/>
      <c r="K1420" s="95" t="n"/>
      <c r="L1420" s="48" t="n"/>
      <c r="M1420" s="96" t="n"/>
      <c r="N1420" s="48" t="n"/>
      <c r="O1420" s="38" t="n"/>
      <c r="P1420" s="38" t="n"/>
      <c r="Q1420" s="97">
        <f>IF(OR(F1420="",E1420=""),"",IFERROR(IF(INDEX('PROPERTIES'!$F$5:$F$404,MATCH(E1420,'PROPERTIES'!$B$5:$B$404,0))=0,"",ROUND((INDEX('PROPERTIES'!$F$5:$F$404,MATCH(E1420,'PROPERTIES'!$B$5:$B$404,0))/INDEX('PRICING'!$C$7:$C$16,MATCH(F1420,'PRICING'!$A$7:$A$16,0))+INDEX('PROPERTIES'!$G$5:$G$404,MATCH(E1420,'PROPERTIES'!$B$5:$B$404,0))*INDEX('PRICING'!$D$7:$D$16,MATCH(F1420,'PRICING'!$A$7:$A$16,0))/60+INDEX('PROPERTIES'!$H$5:$H$404,MATCH(E1420,'PROPERTIES'!$B$5:$B$404,0))*INDEX('PRICING'!$E$7:$E$16,MATCH(F1420,'PRICING'!$A$7:$A$16,0))/60+INDEX('PRICING'!$F$7:$F$16,MATCH(F1420,'PRICING'!$A$7:$A$16,0))/60),2)),""))</f>
        <v/>
      </c>
      <c r="R1420" s="97">
        <f>IF(B1420="","",IF(N(K1420)&gt;0,K1420,IF(N(J1420)&gt;0,J1420,N(Q1420))))</f>
        <v/>
      </c>
      <c r="S1420" s="55">
        <f>IF(L1420="","",ROUND(L1420*(1+N(M1420)),2))</f>
        <v/>
      </c>
      <c r="T1420" s="55">
        <f>IF(B1420="","",SUMIFS('REVENUE'!$C$5:$C$1504,'REVENUE'!$B$5:$B$1504,A1420))</f>
        <v/>
      </c>
      <c r="U1420" s="55">
        <f>IF(B1420="","",IF(O1420="Completed",MAX(0,N(S1420)-T1420),""))</f>
        <v/>
      </c>
      <c r="V1420" s="49">
        <f>IF(B1420="","",IF(O1420&lt;&gt;"Completed",IF(T1420&gt;0,"Deposit","—"),IF(U1420&lt;=0.005,"Paid",IF(T1420&gt;0,"Partial","Unpaid"))))</f>
        <v/>
      </c>
      <c r="W1420" s="55">
        <f>IF(B1420="","",IFERROR(1/(1/INDEX('STAFF &amp; TASKS'!$C$5:$C$24,MATCH(H1420,'STAFF &amp; TASKS'!$A$5:$A$24,0))),PayRate))</f>
        <v/>
      </c>
      <c r="X1420" s="55">
        <f>IF(B1420="","",IF(OR(O1420="Cancelled",O1420="No-Show"),"",ROUND(R1420*W1420*(1+Burden),2)))</f>
        <v/>
      </c>
      <c r="Y1420" s="55">
        <f>IF(B1420="","",IF(OR(O1420="Cancelled",O1420="No-Show"),"",IF(N1420&lt;&gt;"",N1420,ROUND(R1420*SupHr*IFERROR(INDEX('PRICING'!$G$7:$G$16,MATCH(F1420,'PRICING'!$A$7:$A$16,0)),1),2))))</f>
        <v/>
      </c>
      <c r="Z1420" s="98">
        <f>IF(B1420="","",SUMIFS('MILEAGE'!$J$5:$J$1504,'MILEAGE'!$B$5:$B$1504,A1420))</f>
        <v/>
      </c>
      <c r="AA1420" s="55">
        <f>IF(B1420="","",ROUND(Z1420*MileRate,2))</f>
        <v/>
      </c>
      <c r="AB1420" s="55">
        <f>IF(B1420="","",SUMIFS('REVENUE'!$J$5:$J$1504,'REVENUE'!$B$5:$B$1504,A1420))</f>
        <v/>
      </c>
      <c r="AC1420" s="55">
        <f>IF(L1420="","",IF(OR(O1420="Cancelled",O1420="No-Show"),"",L1420-N(X1420)-N(Y1420)-AA1420-AB1420))</f>
        <v/>
      </c>
      <c r="AD1420" s="99">
        <f>IF(OR(AC1420="",N(L1420)=0),"",AC1420/L1420)</f>
        <v/>
      </c>
      <c r="AE1420" s="55">
        <f>IF(OR(AC1420="",N(R1420)=0),"",L1420/R1420)</f>
        <v/>
      </c>
      <c r="AF1420" s="100">
        <f>IF(OR(N(K1420)=0,N(J1420)+N(Q1420)=0),"",K1420-IF(N(J1420)&gt;0,J1420,Q1420))</f>
        <v/>
      </c>
      <c r="AG1420" s="99">
        <f>IF(B1420="","",IFERROR(AVERAGEIFS('QUALITY CONTROL'!$M$5:$M$304,'QUALITY CONTROL'!$B$5:$B$304,A1420),""))</f>
        <v/>
      </c>
      <c r="AH1420" s="51">
        <f>IF(B1420="","",DATE(YEAR(B1420),MONTH(B1420),1))</f>
        <v/>
      </c>
      <c r="AI1420" s="49">
        <f>IF(D1420="","",IFERROR(INDEX('CUSTOMERS'!$E$5:$E$404,MATCH(D1420,'CUSTOMERS'!$B$5:$B$404,0)),""))</f>
        <v/>
      </c>
      <c r="AJ1420" s="49">
        <f>IF(B1420="","",N(C1420))</f>
        <v/>
      </c>
      <c r="AK1420" s="49">
        <f>IF(OR(B1420="",O1420="Cancelled",O1420="Rescheduled"),"",B1420&amp;"|"&amp;(COUNTIFS('JOBS'!$B$5:$B$1504,B1420,'JOBS'!$AJ$5:$AJ$1504,"&lt;"&amp;AJ1420,'JOBS'!$O$5:$O$1504,"&lt;&gt;Cancelled",'JOBS'!$O$5:$O$1504,"&lt;&gt;Rescheduled")+COUNTIFS($B$5:B1420,B1420,$AJ$5:AJ1420,AJ1420,$O$5:O1420,"&lt;&gt;Cancelled",$O$5:O1420,"&lt;&gt;Rescheduled")))</f>
        <v/>
      </c>
      <c r="AL1420" s="49">
        <f>IF(N(U1420)&lt;=0.005,"",COUNTIFS('JOBS'!$U$5:$U$1504,"&gt;0.005",'JOBS'!$B$5:$B$1504,"&lt;"&amp;B1420)+COUNTIFS($U$5:U1420,"&gt;0.005",$B$5:B1420,B1420))</f>
        <v/>
      </c>
    </row>
    <row r="1421">
      <c r="A1421" s="46" t="inlineStr">
        <is>
          <t>J-1417</t>
        </is>
      </c>
      <c r="B1421" s="47" t="n"/>
      <c r="C1421" s="94" t="n"/>
      <c r="D1421" s="38" t="n"/>
      <c r="E1421" s="38" t="n"/>
      <c r="F1421" s="38" t="n"/>
      <c r="G1421" s="38" t="n"/>
      <c r="H1421" s="38" t="n"/>
      <c r="I1421" s="57" t="n"/>
      <c r="J1421" s="95" t="n"/>
      <c r="K1421" s="95" t="n"/>
      <c r="L1421" s="48" t="n"/>
      <c r="M1421" s="96" t="n"/>
      <c r="N1421" s="48" t="n"/>
      <c r="O1421" s="38" t="n"/>
      <c r="P1421" s="38" t="n"/>
      <c r="Q1421" s="97">
        <f>IF(OR(F1421="",E1421=""),"",IFERROR(IF(INDEX('PROPERTIES'!$F$5:$F$404,MATCH(E1421,'PROPERTIES'!$B$5:$B$404,0))=0,"",ROUND((INDEX('PROPERTIES'!$F$5:$F$404,MATCH(E1421,'PROPERTIES'!$B$5:$B$404,0))/INDEX('PRICING'!$C$7:$C$16,MATCH(F1421,'PRICING'!$A$7:$A$16,0))+INDEX('PROPERTIES'!$G$5:$G$404,MATCH(E1421,'PROPERTIES'!$B$5:$B$404,0))*INDEX('PRICING'!$D$7:$D$16,MATCH(F1421,'PRICING'!$A$7:$A$16,0))/60+INDEX('PROPERTIES'!$H$5:$H$404,MATCH(E1421,'PROPERTIES'!$B$5:$B$404,0))*INDEX('PRICING'!$E$7:$E$16,MATCH(F1421,'PRICING'!$A$7:$A$16,0))/60+INDEX('PRICING'!$F$7:$F$16,MATCH(F1421,'PRICING'!$A$7:$A$16,0))/60),2)),""))</f>
        <v/>
      </c>
      <c r="R1421" s="97">
        <f>IF(B1421="","",IF(N(K1421)&gt;0,K1421,IF(N(J1421)&gt;0,J1421,N(Q1421))))</f>
        <v/>
      </c>
      <c r="S1421" s="55">
        <f>IF(L1421="","",ROUND(L1421*(1+N(M1421)),2))</f>
        <v/>
      </c>
      <c r="T1421" s="55">
        <f>IF(B1421="","",SUMIFS('REVENUE'!$C$5:$C$1504,'REVENUE'!$B$5:$B$1504,A1421))</f>
        <v/>
      </c>
      <c r="U1421" s="55">
        <f>IF(B1421="","",IF(O1421="Completed",MAX(0,N(S1421)-T1421),""))</f>
        <v/>
      </c>
      <c r="V1421" s="49">
        <f>IF(B1421="","",IF(O1421&lt;&gt;"Completed",IF(T1421&gt;0,"Deposit","—"),IF(U1421&lt;=0.005,"Paid",IF(T1421&gt;0,"Partial","Unpaid"))))</f>
        <v/>
      </c>
      <c r="W1421" s="55">
        <f>IF(B1421="","",IFERROR(1/(1/INDEX('STAFF &amp; TASKS'!$C$5:$C$24,MATCH(H1421,'STAFF &amp; TASKS'!$A$5:$A$24,0))),PayRate))</f>
        <v/>
      </c>
      <c r="X1421" s="55">
        <f>IF(B1421="","",IF(OR(O1421="Cancelled",O1421="No-Show"),"",ROUND(R1421*W1421*(1+Burden),2)))</f>
        <v/>
      </c>
      <c r="Y1421" s="55">
        <f>IF(B1421="","",IF(OR(O1421="Cancelled",O1421="No-Show"),"",IF(N1421&lt;&gt;"",N1421,ROUND(R1421*SupHr*IFERROR(INDEX('PRICING'!$G$7:$G$16,MATCH(F1421,'PRICING'!$A$7:$A$16,0)),1),2))))</f>
        <v/>
      </c>
      <c r="Z1421" s="98">
        <f>IF(B1421="","",SUMIFS('MILEAGE'!$J$5:$J$1504,'MILEAGE'!$B$5:$B$1504,A1421))</f>
        <v/>
      </c>
      <c r="AA1421" s="55">
        <f>IF(B1421="","",ROUND(Z1421*MileRate,2))</f>
        <v/>
      </c>
      <c r="AB1421" s="55">
        <f>IF(B1421="","",SUMIFS('REVENUE'!$J$5:$J$1504,'REVENUE'!$B$5:$B$1504,A1421))</f>
        <v/>
      </c>
      <c r="AC1421" s="55">
        <f>IF(L1421="","",IF(OR(O1421="Cancelled",O1421="No-Show"),"",L1421-N(X1421)-N(Y1421)-AA1421-AB1421))</f>
        <v/>
      </c>
      <c r="AD1421" s="99">
        <f>IF(OR(AC1421="",N(L1421)=0),"",AC1421/L1421)</f>
        <v/>
      </c>
      <c r="AE1421" s="55">
        <f>IF(OR(AC1421="",N(R1421)=0),"",L1421/R1421)</f>
        <v/>
      </c>
      <c r="AF1421" s="100">
        <f>IF(OR(N(K1421)=0,N(J1421)+N(Q1421)=0),"",K1421-IF(N(J1421)&gt;0,J1421,Q1421))</f>
        <v/>
      </c>
      <c r="AG1421" s="99">
        <f>IF(B1421="","",IFERROR(AVERAGEIFS('QUALITY CONTROL'!$M$5:$M$304,'QUALITY CONTROL'!$B$5:$B$304,A1421),""))</f>
        <v/>
      </c>
      <c r="AH1421" s="51">
        <f>IF(B1421="","",DATE(YEAR(B1421),MONTH(B1421),1))</f>
        <v/>
      </c>
      <c r="AI1421" s="49">
        <f>IF(D1421="","",IFERROR(INDEX('CUSTOMERS'!$E$5:$E$404,MATCH(D1421,'CUSTOMERS'!$B$5:$B$404,0)),""))</f>
        <v/>
      </c>
      <c r="AJ1421" s="49">
        <f>IF(B1421="","",N(C1421))</f>
        <v/>
      </c>
      <c r="AK1421" s="49">
        <f>IF(OR(B1421="",O1421="Cancelled",O1421="Rescheduled"),"",B1421&amp;"|"&amp;(COUNTIFS('JOBS'!$B$5:$B$1504,B1421,'JOBS'!$AJ$5:$AJ$1504,"&lt;"&amp;AJ1421,'JOBS'!$O$5:$O$1504,"&lt;&gt;Cancelled",'JOBS'!$O$5:$O$1504,"&lt;&gt;Rescheduled")+COUNTIFS($B$5:B1421,B1421,$AJ$5:AJ1421,AJ1421,$O$5:O1421,"&lt;&gt;Cancelled",$O$5:O1421,"&lt;&gt;Rescheduled")))</f>
        <v/>
      </c>
      <c r="AL1421" s="49">
        <f>IF(N(U1421)&lt;=0.005,"",COUNTIFS('JOBS'!$U$5:$U$1504,"&gt;0.005",'JOBS'!$B$5:$B$1504,"&lt;"&amp;B1421)+COUNTIFS($U$5:U1421,"&gt;0.005",$B$5:B1421,B1421))</f>
        <v/>
      </c>
    </row>
    <row r="1422">
      <c r="A1422" s="46" t="inlineStr">
        <is>
          <t>J-1418</t>
        </is>
      </c>
      <c r="B1422" s="47" t="n"/>
      <c r="C1422" s="94" t="n"/>
      <c r="D1422" s="38" t="n"/>
      <c r="E1422" s="38" t="n"/>
      <c r="F1422" s="38" t="n"/>
      <c r="G1422" s="38" t="n"/>
      <c r="H1422" s="38" t="n"/>
      <c r="I1422" s="57" t="n"/>
      <c r="J1422" s="95" t="n"/>
      <c r="K1422" s="95" t="n"/>
      <c r="L1422" s="48" t="n"/>
      <c r="M1422" s="96" t="n"/>
      <c r="N1422" s="48" t="n"/>
      <c r="O1422" s="38" t="n"/>
      <c r="P1422" s="38" t="n"/>
      <c r="Q1422" s="97">
        <f>IF(OR(F1422="",E1422=""),"",IFERROR(IF(INDEX('PROPERTIES'!$F$5:$F$404,MATCH(E1422,'PROPERTIES'!$B$5:$B$404,0))=0,"",ROUND((INDEX('PROPERTIES'!$F$5:$F$404,MATCH(E1422,'PROPERTIES'!$B$5:$B$404,0))/INDEX('PRICING'!$C$7:$C$16,MATCH(F1422,'PRICING'!$A$7:$A$16,0))+INDEX('PROPERTIES'!$G$5:$G$404,MATCH(E1422,'PROPERTIES'!$B$5:$B$404,0))*INDEX('PRICING'!$D$7:$D$16,MATCH(F1422,'PRICING'!$A$7:$A$16,0))/60+INDEX('PROPERTIES'!$H$5:$H$404,MATCH(E1422,'PROPERTIES'!$B$5:$B$404,0))*INDEX('PRICING'!$E$7:$E$16,MATCH(F1422,'PRICING'!$A$7:$A$16,0))/60+INDEX('PRICING'!$F$7:$F$16,MATCH(F1422,'PRICING'!$A$7:$A$16,0))/60),2)),""))</f>
        <v/>
      </c>
      <c r="R1422" s="97">
        <f>IF(B1422="","",IF(N(K1422)&gt;0,K1422,IF(N(J1422)&gt;0,J1422,N(Q1422))))</f>
        <v/>
      </c>
      <c r="S1422" s="55">
        <f>IF(L1422="","",ROUND(L1422*(1+N(M1422)),2))</f>
        <v/>
      </c>
      <c r="T1422" s="55">
        <f>IF(B1422="","",SUMIFS('REVENUE'!$C$5:$C$1504,'REVENUE'!$B$5:$B$1504,A1422))</f>
        <v/>
      </c>
      <c r="U1422" s="55">
        <f>IF(B1422="","",IF(O1422="Completed",MAX(0,N(S1422)-T1422),""))</f>
        <v/>
      </c>
      <c r="V1422" s="49">
        <f>IF(B1422="","",IF(O1422&lt;&gt;"Completed",IF(T1422&gt;0,"Deposit","—"),IF(U1422&lt;=0.005,"Paid",IF(T1422&gt;0,"Partial","Unpaid"))))</f>
        <v/>
      </c>
      <c r="W1422" s="55">
        <f>IF(B1422="","",IFERROR(1/(1/INDEX('STAFF &amp; TASKS'!$C$5:$C$24,MATCH(H1422,'STAFF &amp; TASKS'!$A$5:$A$24,0))),PayRate))</f>
        <v/>
      </c>
      <c r="X1422" s="55">
        <f>IF(B1422="","",IF(OR(O1422="Cancelled",O1422="No-Show"),"",ROUND(R1422*W1422*(1+Burden),2)))</f>
        <v/>
      </c>
      <c r="Y1422" s="55">
        <f>IF(B1422="","",IF(OR(O1422="Cancelled",O1422="No-Show"),"",IF(N1422&lt;&gt;"",N1422,ROUND(R1422*SupHr*IFERROR(INDEX('PRICING'!$G$7:$G$16,MATCH(F1422,'PRICING'!$A$7:$A$16,0)),1),2))))</f>
        <v/>
      </c>
      <c r="Z1422" s="98">
        <f>IF(B1422="","",SUMIFS('MILEAGE'!$J$5:$J$1504,'MILEAGE'!$B$5:$B$1504,A1422))</f>
        <v/>
      </c>
      <c r="AA1422" s="55">
        <f>IF(B1422="","",ROUND(Z1422*MileRate,2))</f>
        <v/>
      </c>
      <c r="AB1422" s="55">
        <f>IF(B1422="","",SUMIFS('REVENUE'!$J$5:$J$1504,'REVENUE'!$B$5:$B$1504,A1422))</f>
        <v/>
      </c>
      <c r="AC1422" s="55">
        <f>IF(L1422="","",IF(OR(O1422="Cancelled",O1422="No-Show"),"",L1422-N(X1422)-N(Y1422)-AA1422-AB1422))</f>
        <v/>
      </c>
      <c r="AD1422" s="99">
        <f>IF(OR(AC1422="",N(L1422)=0),"",AC1422/L1422)</f>
        <v/>
      </c>
      <c r="AE1422" s="55">
        <f>IF(OR(AC1422="",N(R1422)=0),"",L1422/R1422)</f>
        <v/>
      </c>
      <c r="AF1422" s="100">
        <f>IF(OR(N(K1422)=0,N(J1422)+N(Q1422)=0),"",K1422-IF(N(J1422)&gt;0,J1422,Q1422))</f>
        <v/>
      </c>
      <c r="AG1422" s="99">
        <f>IF(B1422="","",IFERROR(AVERAGEIFS('QUALITY CONTROL'!$M$5:$M$304,'QUALITY CONTROL'!$B$5:$B$304,A1422),""))</f>
        <v/>
      </c>
      <c r="AH1422" s="51">
        <f>IF(B1422="","",DATE(YEAR(B1422),MONTH(B1422),1))</f>
        <v/>
      </c>
      <c r="AI1422" s="49">
        <f>IF(D1422="","",IFERROR(INDEX('CUSTOMERS'!$E$5:$E$404,MATCH(D1422,'CUSTOMERS'!$B$5:$B$404,0)),""))</f>
        <v/>
      </c>
      <c r="AJ1422" s="49">
        <f>IF(B1422="","",N(C1422))</f>
        <v/>
      </c>
      <c r="AK1422" s="49">
        <f>IF(OR(B1422="",O1422="Cancelled",O1422="Rescheduled"),"",B1422&amp;"|"&amp;(COUNTIFS('JOBS'!$B$5:$B$1504,B1422,'JOBS'!$AJ$5:$AJ$1504,"&lt;"&amp;AJ1422,'JOBS'!$O$5:$O$1504,"&lt;&gt;Cancelled",'JOBS'!$O$5:$O$1504,"&lt;&gt;Rescheduled")+COUNTIFS($B$5:B1422,B1422,$AJ$5:AJ1422,AJ1422,$O$5:O1422,"&lt;&gt;Cancelled",$O$5:O1422,"&lt;&gt;Rescheduled")))</f>
        <v/>
      </c>
      <c r="AL1422" s="49">
        <f>IF(N(U1422)&lt;=0.005,"",COUNTIFS('JOBS'!$U$5:$U$1504,"&gt;0.005",'JOBS'!$B$5:$B$1504,"&lt;"&amp;B1422)+COUNTIFS($U$5:U1422,"&gt;0.005",$B$5:B1422,B1422))</f>
        <v/>
      </c>
    </row>
    <row r="1423">
      <c r="A1423" s="46" t="inlineStr">
        <is>
          <t>J-1419</t>
        </is>
      </c>
      <c r="B1423" s="47" t="n"/>
      <c r="C1423" s="94" t="n"/>
      <c r="D1423" s="38" t="n"/>
      <c r="E1423" s="38" t="n"/>
      <c r="F1423" s="38" t="n"/>
      <c r="G1423" s="38" t="n"/>
      <c r="H1423" s="38" t="n"/>
      <c r="I1423" s="57" t="n"/>
      <c r="J1423" s="95" t="n"/>
      <c r="K1423" s="95" t="n"/>
      <c r="L1423" s="48" t="n"/>
      <c r="M1423" s="96" t="n"/>
      <c r="N1423" s="48" t="n"/>
      <c r="O1423" s="38" t="n"/>
      <c r="P1423" s="38" t="n"/>
      <c r="Q1423" s="97">
        <f>IF(OR(F1423="",E1423=""),"",IFERROR(IF(INDEX('PROPERTIES'!$F$5:$F$404,MATCH(E1423,'PROPERTIES'!$B$5:$B$404,0))=0,"",ROUND((INDEX('PROPERTIES'!$F$5:$F$404,MATCH(E1423,'PROPERTIES'!$B$5:$B$404,0))/INDEX('PRICING'!$C$7:$C$16,MATCH(F1423,'PRICING'!$A$7:$A$16,0))+INDEX('PROPERTIES'!$G$5:$G$404,MATCH(E1423,'PROPERTIES'!$B$5:$B$404,0))*INDEX('PRICING'!$D$7:$D$16,MATCH(F1423,'PRICING'!$A$7:$A$16,0))/60+INDEX('PROPERTIES'!$H$5:$H$404,MATCH(E1423,'PROPERTIES'!$B$5:$B$404,0))*INDEX('PRICING'!$E$7:$E$16,MATCH(F1423,'PRICING'!$A$7:$A$16,0))/60+INDEX('PRICING'!$F$7:$F$16,MATCH(F1423,'PRICING'!$A$7:$A$16,0))/60),2)),""))</f>
        <v/>
      </c>
      <c r="R1423" s="97">
        <f>IF(B1423="","",IF(N(K1423)&gt;0,K1423,IF(N(J1423)&gt;0,J1423,N(Q1423))))</f>
        <v/>
      </c>
      <c r="S1423" s="55">
        <f>IF(L1423="","",ROUND(L1423*(1+N(M1423)),2))</f>
        <v/>
      </c>
      <c r="T1423" s="55">
        <f>IF(B1423="","",SUMIFS('REVENUE'!$C$5:$C$1504,'REVENUE'!$B$5:$B$1504,A1423))</f>
        <v/>
      </c>
      <c r="U1423" s="55">
        <f>IF(B1423="","",IF(O1423="Completed",MAX(0,N(S1423)-T1423),""))</f>
        <v/>
      </c>
      <c r="V1423" s="49">
        <f>IF(B1423="","",IF(O1423&lt;&gt;"Completed",IF(T1423&gt;0,"Deposit","—"),IF(U1423&lt;=0.005,"Paid",IF(T1423&gt;0,"Partial","Unpaid"))))</f>
        <v/>
      </c>
      <c r="W1423" s="55">
        <f>IF(B1423="","",IFERROR(1/(1/INDEX('STAFF &amp; TASKS'!$C$5:$C$24,MATCH(H1423,'STAFF &amp; TASKS'!$A$5:$A$24,0))),PayRate))</f>
        <v/>
      </c>
      <c r="X1423" s="55">
        <f>IF(B1423="","",IF(OR(O1423="Cancelled",O1423="No-Show"),"",ROUND(R1423*W1423*(1+Burden),2)))</f>
        <v/>
      </c>
      <c r="Y1423" s="55">
        <f>IF(B1423="","",IF(OR(O1423="Cancelled",O1423="No-Show"),"",IF(N1423&lt;&gt;"",N1423,ROUND(R1423*SupHr*IFERROR(INDEX('PRICING'!$G$7:$G$16,MATCH(F1423,'PRICING'!$A$7:$A$16,0)),1),2))))</f>
        <v/>
      </c>
      <c r="Z1423" s="98">
        <f>IF(B1423="","",SUMIFS('MILEAGE'!$J$5:$J$1504,'MILEAGE'!$B$5:$B$1504,A1423))</f>
        <v/>
      </c>
      <c r="AA1423" s="55">
        <f>IF(B1423="","",ROUND(Z1423*MileRate,2))</f>
        <v/>
      </c>
      <c r="AB1423" s="55">
        <f>IF(B1423="","",SUMIFS('REVENUE'!$J$5:$J$1504,'REVENUE'!$B$5:$B$1504,A1423))</f>
        <v/>
      </c>
      <c r="AC1423" s="55">
        <f>IF(L1423="","",IF(OR(O1423="Cancelled",O1423="No-Show"),"",L1423-N(X1423)-N(Y1423)-AA1423-AB1423))</f>
        <v/>
      </c>
      <c r="AD1423" s="99">
        <f>IF(OR(AC1423="",N(L1423)=0),"",AC1423/L1423)</f>
        <v/>
      </c>
      <c r="AE1423" s="55">
        <f>IF(OR(AC1423="",N(R1423)=0),"",L1423/R1423)</f>
        <v/>
      </c>
      <c r="AF1423" s="100">
        <f>IF(OR(N(K1423)=0,N(J1423)+N(Q1423)=0),"",K1423-IF(N(J1423)&gt;0,J1423,Q1423))</f>
        <v/>
      </c>
      <c r="AG1423" s="99">
        <f>IF(B1423="","",IFERROR(AVERAGEIFS('QUALITY CONTROL'!$M$5:$M$304,'QUALITY CONTROL'!$B$5:$B$304,A1423),""))</f>
        <v/>
      </c>
      <c r="AH1423" s="51">
        <f>IF(B1423="","",DATE(YEAR(B1423),MONTH(B1423),1))</f>
        <v/>
      </c>
      <c r="AI1423" s="49">
        <f>IF(D1423="","",IFERROR(INDEX('CUSTOMERS'!$E$5:$E$404,MATCH(D1423,'CUSTOMERS'!$B$5:$B$404,0)),""))</f>
        <v/>
      </c>
      <c r="AJ1423" s="49">
        <f>IF(B1423="","",N(C1423))</f>
        <v/>
      </c>
      <c r="AK1423" s="49">
        <f>IF(OR(B1423="",O1423="Cancelled",O1423="Rescheduled"),"",B1423&amp;"|"&amp;(COUNTIFS('JOBS'!$B$5:$B$1504,B1423,'JOBS'!$AJ$5:$AJ$1504,"&lt;"&amp;AJ1423,'JOBS'!$O$5:$O$1504,"&lt;&gt;Cancelled",'JOBS'!$O$5:$O$1504,"&lt;&gt;Rescheduled")+COUNTIFS($B$5:B1423,B1423,$AJ$5:AJ1423,AJ1423,$O$5:O1423,"&lt;&gt;Cancelled",$O$5:O1423,"&lt;&gt;Rescheduled")))</f>
        <v/>
      </c>
      <c r="AL1423" s="49">
        <f>IF(N(U1423)&lt;=0.005,"",COUNTIFS('JOBS'!$U$5:$U$1504,"&gt;0.005",'JOBS'!$B$5:$B$1504,"&lt;"&amp;B1423)+COUNTIFS($U$5:U1423,"&gt;0.005",$B$5:B1423,B1423))</f>
        <v/>
      </c>
    </row>
    <row r="1424">
      <c r="A1424" s="46" t="inlineStr">
        <is>
          <t>J-1420</t>
        </is>
      </c>
      <c r="B1424" s="47" t="n"/>
      <c r="C1424" s="94" t="n"/>
      <c r="D1424" s="38" t="n"/>
      <c r="E1424" s="38" t="n"/>
      <c r="F1424" s="38" t="n"/>
      <c r="G1424" s="38" t="n"/>
      <c r="H1424" s="38" t="n"/>
      <c r="I1424" s="57" t="n"/>
      <c r="J1424" s="95" t="n"/>
      <c r="K1424" s="95" t="n"/>
      <c r="L1424" s="48" t="n"/>
      <c r="M1424" s="96" t="n"/>
      <c r="N1424" s="48" t="n"/>
      <c r="O1424" s="38" t="n"/>
      <c r="P1424" s="38" t="n"/>
      <c r="Q1424" s="97">
        <f>IF(OR(F1424="",E1424=""),"",IFERROR(IF(INDEX('PROPERTIES'!$F$5:$F$404,MATCH(E1424,'PROPERTIES'!$B$5:$B$404,0))=0,"",ROUND((INDEX('PROPERTIES'!$F$5:$F$404,MATCH(E1424,'PROPERTIES'!$B$5:$B$404,0))/INDEX('PRICING'!$C$7:$C$16,MATCH(F1424,'PRICING'!$A$7:$A$16,0))+INDEX('PROPERTIES'!$G$5:$G$404,MATCH(E1424,'PROPERTIES'!$B$5:$B$404,0))*INDEX('PRICING'!$D$7:$D$16,MATCH(F1424,'PRICING'!$A$7:$A$16,0))/60+INDEX('PROPERTIES'!$H$5:$H$404,MATCH(E1424,'PROPERTIES'!$B$5:$B$404,0))*INDEX('PRICING'!$E$7:$E$16,MATCH(F1424,'PRICING'!$A$7:$A$16,0))/60+INDEX('PRICING'!$F$7:$F$16,MATCH(F1424,'PRICING'!$A$7:$A$16,0))/60),2)),""))</f>
        <v/>
      </c>
      <c r="R1424" s="97">
        <f>IF(B1424="","",IF(N(K1424)&gt;0,K1424,IF(N(J1424)&gt;0,J1424,N(Q1424))))</f>
        <v/>
      </c>
      <c r="S1424" s="55">
        <f>IF(L1424="","",ROUND(L1424*(1+N(M1424)),2))</f>
        <v/>
      </c>
      <c r="T1424" s="55">
        <f>IF(B1424="","",SUMIFS('REVENUE'!$C$5:$C$1504,'REVENUE'!$B$5:$B$1504,A1424))</f>
        <v/>
      </c>
      <c r="U1424" s="55">
        <f>IF(B1424="","",IF(O1424="Completed",MAX(0,N(S1424)-T1424),""))</f>
        <v/>
      </c>
      <c r="V1424" s="49">
        <f>IF(B1424="","",IF(O1424&lt;&gt;"Completed",IF(T1424&gt;0,"Deposit","—"),IF(U1424&lt;=0.005,"Paid",IF(T1424&gt;0,"Partial","Unpaid"))))</f>
        <v/>
      </c>
      <c r="W1424" s="55">
        <f>IF(B1424="","",IFERROR(1/(1/INDEX('STAFF &amp; TASKS'!$C$5:$C$24,MATCH(H1424,'STAFF &amp; TASKS'!$A$5:$A$24,0))),PayRate))</f>
        <v/>
      </c>
      <c r="X1424" s="55">
        <f>IF(B1424="","",IF(OR(O1424="Cancelled",O1424="No-Show"),"",ROUND(R1424*W1424*(1+Burden),2)))</f>
        <v/>
      </c>
      <c r="Y1424" s="55">
        <f>IF(B1424="","",IF(OR(O1424="Cancelled",O1424="No-Show"),"",IF(N1424&lt;&gt;"",N1424,ROUND(R1424*SupHr*IFERROR(INDEX('PRICING'!$G$7:$G$16,MATCH(F1424,'PRICING'!$A$7:$A$16,0)),1),2))))</f>
        <v/>
      </c>
      <c r="Z1424" s="98">
        <f>IF(B1424="","",SUMIFS('MILEAGE'!$J$5:$J$1504,'MILEAGE'!$B$5:$B$1504,A1424))</f>
        <v/>
      </c>
      <c r="AA1424" s="55">
        <f>IF(B1424="","",ROUND(Z1424*MileRate,2))</f>
        <v/>
      </c>
      <c r="AB1424" s="55">
        <f>IF(B1424="","",SUMIFS('REVENUE'!$J$5:$J$1504,'REVENUE'!$B$5:$B$1504,A1424))</f>
        <v/>
      </c>
      <c r="AC1424" s="55">
        <f>IF(L1424="","",IF(OR(O1424="Cancelled",O1424="No-Show"),"",L1424-N(X1424)-N(Y1424)-AA1424-AB1424))</f>
        <v/>
      </c>
      <c r="AD1424" s="99">
        <f>IF(OR(AC1424="",N(L1424)=0),"",AC1424/L1424)</f>
        <v/>
      </c>
      <c r="AE1424" s="55">
        <f>IF(OR(AC1424="",N(R1424)=0),"",L1424/R1424)</f>
        <v/>
      </c>
      <c r="AF1424" s="100">
        <f>IF(OR(N(K1424)=0,N(J1424)+N(Q1424)=0),"",K1424-IF(N(J1424)&gt;0,J1424,Q1424))</f>
        <v/>
      </c>
      <c r="AG1424" s="99">
        <f>IF(B1424="","",IFERROR(AVERAGEIFS('QUALITY CONTROL'!$M$5:$M$304,'QUALITY CONTROL'!$B$5:$B$304,A1424),""))</f>
        <v/>
      </c>
      <c r="AH1424" s="51">
        <f>IF(B1424="","",DATE(YEAR(B1424),MONTH(B1424),1))</f>
        <v/>
      </c>
      <c r="AI1424" s="49">
        <f>IF(D1424="","",IFERROR(INDEX('CUSTOMERS'!$E$5:$E$404,MATCH(D1424,'CUSTOMERS'!$B$5:$B$404,0)),""))</f>
        <v/>
      </c>
      <c r="AJ1424" s="49">
        <f>IF(B1424="","",N(C1424))</f>
        <v/>
      </c>
      <c r="AK1424" s="49">
        <f>IF(OR(B1424="",O1424="Cancelled",O1424="Rescheduled"),"",B1424&amp;"|"&amp;(COUNTIFS('JOBS'!$B$5:$B$1504,B1424,'JOBS'!$AJ$5:$AJ$1504,"&lt;"&amp;AJ1424,'JOBS'!$O$5:$O$1504,"&lt;&gt;Cancelled",'JOBS'!$O$5:$O$1504,"&lt;&gt;Rescheduled")+COUNTIFS($B$5:B1424,B1424,$AJ$5:AJ1424,AJ1424,$O$5:O1424,"&lt;&gt;Cancelled",$O$5:O1424,"&lt;&gt;Rescheduled")))</f>
        <v/>
      </c>
      <c r="AL1424" s="49">
        <f>IF(N(U1424)&lt;=0.005,"",COUNTIFS('JOBS'!$U$5:$U$1504,"&gt;0.005",'JOBS'!$B$5:$B$1504,"&lt;"&amp;B1424)+COUNTIFS($U$5:U1424,"&gt;0.005",$B$5:B1424,B1424))</f>
        <v/>
      </c>
    </row>
    <row r="1425">
      <c r="A1425" s="46" t="inlineStr">
        <is>
          <t>J-1421</t>
        </is>
      </c>
      <c r="B1425" s="47" t="n"/>
      <c r="C1425" s="94" t="n"/>
      <c r="D1425" s="38" t="n"/>
      <c r="E1425" s="38" t="n"/>
      <c r="F1425" s="38" t="n"/>
      <c r="G1425" s="38" t="n"/>
      <c r="H1425" s="38" t="n"/>
      <c r="I1425" s="57" t="n"/>
      <c r="J1425" s="95" t="n"/>
      <c r="K1425" s="95" t="n"/>
      <c r="L1425" s="48" t="n"/>
      <c r="M1425" s="96" t="n"/>
      <c r="N1425" s="48" t="n"/>
      <c r="O1425" s="38" t="n"/>
      <c r="P1425" s="38" t="n"/>
      <c r="Q1425" s="97">
        <f>IF(OR(F1425="",E1425=""),"",IFERROR(IF(INDEX('PROPERTIES'!$F$5:$F$404,MATCH(E1425,'PROPERTIES'!$B$5:$B$404,0))=0,"",ROUND((INDEX('PROPERTIES'!$F$5:$F$404,MATCH(E1425,'PROPERTIES'!$B$5:$B$404,0))/INDEX('PRICING'!$C$7:$C$16,MATCH(F1425,'PRICING'!$A$7:$A$16,0))+INDEX('PROPERTIES'!$G$5:$G$404,MATCH(E1425,'PROPERTIES'!$B$5:$B$404,0))*INDEX('PRICING'!$D$7:$D$16,MATCH(F1425,'PRICING'!$A$7:$A$16,0))/60+INDEX('PROPERTIES'!$H$5:$H$404,MATCH(E1425,'PROPERTIES'!$B$5:$B$404,0))*INDEX('PRICING'!$E$7:$E$16,MATCH(F1425,'PRICING'!$A$7:$A$16,0))/60+INDEX('PRICING'!$F$7:$F$16,MATCH(F1425,'PRICING'!$A$7:$A$16,0))/60),2)),""))</f>
        <v/>
      </c>
      <c r="R1425" s="97">
        <f>IF(B1425="","",IF(N(K1425)&gt;0,K1425,IF(N(J1425)&gt;0,J1425,N(Q1425))))</f>
        <v/>
      </c>
      <c r="S1425" s="55">
        <f>IF(L1425="","",ROUND(L1425*(1+N(M1425)),2))</f>
        <v/>
      </c>
      <c r="T1425" s="55">
        <f>IF(B1425="","",SUMIFS('REVENUE'!$C$5:$C$1504,'REVENUE'!$B$5:$B$1504,A1425))</f>
        <v/>
      </c>
      <c r="U1425" s="55">
        <f>IF(B1425="","",IF(O1425="Completed",MAX(0,N(S1425)-T1425),""))</f>
        <v/>
      </c>
      <c r="V1425" s="49">
        <f>IF(B1425="","",IF(O1425&lt;&gt;"Completed",IF(T1425&gt;0,"Deposit","—"),IF(U1425&lt;=0.005,"Paid",IF(T1425&gt;0,"Partial","Unpaid"))))</f>
        <v/>
      </c>
      <c r="W1425" s="55">
        <f>IF(B1425="","",IFERROR(1/(1/INDEX('STAFF &amp; TASKS'!$C$5:$C$24,MATCH(H1425,'STAFF &amp; TASKS'!$A$5:$A$24,0))),PayRate))</f>
        <v/>
      </c>
      <c r="X1425" s="55">
        <f>IF(B1425="","",IF(OR(O1425="Cancelled",O1425="No-Show"),"",ROUND(R1425*W1425*(1+Burden),2)))</f>
        <v/>
      </c>
      <c r="Y1425" s="55">
        <f>IF(B1425="","",IF(OR(O1425="Cancelled",O1425="No-Show"),"",IF(N1425&lt;&gt;"",N1425,ROUND(R1425*SupHr*IFERROR(INDEX('PRICING'!$G$7:$G$16,MATCH(F1425,'PRICING'!$A$7:$A$16,0)),1),2))))</f>
        <v/>
      </c>
      <c r="Z1425" s="98">
        <f>IF(B1425="","",SUMIFS('MILEAGE'!$J$5:$J$1504,'MILEAGE'!$B$5:$B$1504,A1425))</f>
        <v/>
      </c>
      <c r="AA1425" s="55">
        <f>IF(B1425="","",ROUND(Z1425*MileRate,2))</f>
        <v/>
      </c>
      <c r="AB1425" s="55">
        <f>IF(B1425="","",SUMIFS('REVENUE'!$J$5:$J$1504,'REVENUE'!$B$5:$B$1504,A1425))</f>
        <v/>
      </c>
      <c r="AC1425" s="55">
        <f>IF(L1425="","",IF(OR(O1425="Cancelled",O1425="No-Show"),"",L1425-N(X1425)-N(Y1425)-AA1425-AB1425))</f>
        <v/>
      </c>
      <c r="AD1425" s="99">
        <f>IF(OR(AC1425="",N(L1425)=0),"",AC1425/L1425)</f>
        <v/>
      </c>
      <c r="AE1425" s="55">
        <f>IF(OR(AC1425="",N(R1425)=0),"",L1425/R1425)</f>
        <v/>
      </c>
      <c r="AF1425" s="100">
        <f>IF(OR(N(K1425)=0,N(J1425)+N(Q1425)=0),"",K1425-IF(N(J1425)&gt;0,J1425,Q1425))</f>
        <v/>
      </c>
      <c r="AG1425" s="99">
        <f>IF(B1425="","",IFERROR(AVERAGEIFS('QUALITY CONTROL'!$M$5:$M$304,'QUALITY CONTROL'!$B$5:$B$304,A1425),""))</f>
        <v/>
      </c>
      <c r="AH1425" s="51">
        <f>IF(B1425="","",DATE(YEAR(B1425),MONTH(B1425),1))</f>
        <v/>
      </c>
      <c r="AI1425" s="49">
        <f>IF(D1425="","",IFERROR(INDEX('CUSTOMERS'!$E$5:$E$404,MATCH(D1425,'CUSTOMERS'!$B$5:$B$404,0)),""))</f>
        <v/>
      </c>
      <c r="AJ1425" s="49">
        <f>IF(B1425="","",N(C1425))</f>
        <v/>
      </c>
      <c r="AK1425" s="49">
        <f>IF(OR(B1425="",O1425="Cancelled",O1425="Rescheduled"),"",B1425&amp;"|"&amp;(COUNTIFS('JOBS'!$B$5:$B$1504,B1425,'JOBS'!$AJ$5:$AJ$1504,"&lt;"&amp;AJ1425,'JOBS'!$O$5:$O$1504,"&lt;&gt;Cancelled",'JOBS'!$O$5:$O$1504,"&lt;&gt;Rescheduled")+COUNTIFS($B$5:B1425,B1425,$AJ$5:AJ1425,AJ1425,$O$5:O1425,"&lt;&gt;Cancelled",$O$5:O1425,"&lt;&gt;Rescheduled")))</f>
        <v/>
      </c>
      <c r="AL1425" s="49">
        <f>IF(N(U1425)&lt;=0.005,"",COUNTIFS('JOBS'!$U$5:$U$1504,"&gt;0.005",'JOBS'!$B$5:$B$1504,"&lt;"&amp;B1425)+COUNTIFS($U$5:U1425,"&gt;0.005",$B$5:B1425,B1425))</f>
        <v/>
      </c>
    </row>
    <row r="1426">
      <c r="A1426" s="46" t="inlineStr">
        <is>
          <t>J-1422</t>
        </is>
      </c>
      <c r="B1426" s="47" t="n"/>
      <c r="C1426" s="94" t="n"/>
      <c r="D1426" s="38" t="n"/>
      <c r="E1426" s="38" t="n"/>
      <c r="F1426" s="38" t="n"/>
      <c r="G1426" s="38" t="n"/>
      <c r="H1426" s="38" t="n"/>
      <c r="I1426" s="57" t="n"/>
      <c r="J1426" s="95" t="n"/>
      <c r="K1426" s="95" t="n"/>
      <c r="L1426" s="48" t="n"/>
      <c r="M1426" s="96" t="n"/>
      <c r="N1426" s="48" t="n"/>
      <c r="O1426" s="38" t="n"/>
      <c r="P1426" s="38" t="n"/>
      <c r="Q1426" s="97">
        <f>IF(OR(F1426="",E1426=""),"",IFERROR(IF(INDEX('PROPERTIES'!$F$5:$F$404,MATCH(E1426,'PROPERTIES'!$B$5:$B$404,0))=0,"",ROUND((INDEX('PROPERTIES'!$F$5:$F$404,MATCH(E1426,'PROPERTIES'!$B$5:$B$404,0))/INDEX('PRICING'!$C$7:$C$16,MATCH(F1426,'PRICING'!$A$7:$A$16,0))+INDEX('PROPERTIES'!$G$5:$G$404,MATCH(E1426,'PROPERTIES'!$B$5:$B$404,0))*INDEX('PRICING'!$D$7:$D$16,MATCH(F1426,'PRICING'!$A$7:$A$16,0))/60+INDEX('PROPERTIES'!$H$5:$H$404,MATCH(E1426,'PROPERTIES'!$B$5:$B$404,0))*INDEX('PRICING'!$E$7:$E$16,MATCH(F1426,'PRICING'!$A$7:$A$16,0))/60+INDEX('PRICING'!$F$7:$F$16,MATCH(F1426,'PRICING'!$A$7:$A$16,0))/60),2)),""))</f>
        <v/>
      </c>
      <c r="R1426" s="97">
        <f>IF(B1426="","",IF(N(K1426)&gt;0,K1426,IF(N(J1426)&gt;0,J1426,N(Q1426))))</f>
        <v/>
      </c>
      <c r="S1426" s="55">
        <f>IF(L1426="","",ROUND(L1426*(1+N(M1426)),2))</f>
        <v/>
      </c>
      <c r="T1426" s="55">
        <f>IF(B1426="","",SUMIFS('REVENUE'!$C$5:$C$1504,'REVENUE'!$B$5:$B$1504,A1426))</f>
        <v/>
      </c>
      <c r="U1426" s="55">
        <f>IF(B1426="","",IF(O1426="Completed",MAX(0,N(S1426)-T1426),""))</f>
        <v/>
      </c>
      <c r="V1426" s="49">
        <f>IF(B1426="","",IF(O1426&lt;&gt;"Completed",IF(T1426&gt;0,"Deposit","—"),IF(U1426&lt;=0.005,"Paid",IF(T1426&gt;0,"Partial","Unpaid"))))</f>
        <v/>
      </c>
      <c r="W1426" s="55">
        <f>IF(B1426="","",IFERROR(1/(1/INDEX('STAFF &amp; TASKS'!$C$5:$C$24,MATCH(H1426,'STAFF &amp; TASKS'!$A$5:$A$24,0))),PayRate))</f>
        <v/>
      </c>
      <c r="X1426" s="55">
        <f>IF(B1426="","",IF(OR(O1426="Cancelled",O1426="No-Show"),"",ROUND(R1426*W1426*(1+Burden),2)))</f>
        <v/>
      </c>
      <c r="Y1426" s="55">
        <f>IF(B1426="","",IF(OR(O1426="Cancelled",O1426="No-Show"),"",IF(N1426&lt;&gt;"",N1426,ROUND(R1426*SupHr*IFERROR(INDEX('PRICING'!$G$7:$G$16,MATCH(F1426,'PRICING'!$A$7:$A$16,0)),1),2))))</f>
        <v/>
      </c>
      <c r="Z1426" s="98">
        <f>IF(B1426="","",SUMIFS('MILEAGE'!$J$5:$J$1504,'MILEAGE'!$B$5:$B$1504,A1426))</f>
        <v/>
      </c>
      <c r="AA1426" s="55">
        <f>IF(B1426="","",ROUND(Z1426*MileRate,2))</f>
        <v/>
      </c>
      <c r="AB1426" s="55">
        <f>IF(B1426="","",SUMIFS('REVENUE'!$J$5:$J$1504,'REVENUE'!$B$5:$B$1504,A1426))</f>
        <v/>
      </c>
      <c r="AC1426" s="55">
        <f>IF(L1426="","",IF(OR(O1426="Cancelled",O1426="No-Show"),"",L1426-N(X1426)-N(Y1426)-AA1426-AB1426))</f>
        <v/>
      </c>
      <c r="AD1426" s="99">
        <f>IF(OR(AC1426="",N(L1426)=0),"",AC1426/L1426)</f>
        <v/>
      </c>
      <c r="AE1426" s="55">
        <f>IF(OR(AC1426="",N(R1426)=0),"",L1426/R1426)</f>
        <v/>
      </c>
      <c r="AF1426" s="100">
        <f>IF(OR(N(K1426)=0,N(J1426)+N(Q1426)=0),"",K1426-IF(N(J1426)&gt;0,J1426,Q1426))</f>
        <v/>
      </c>
      <c r="AG1426" s="99">
        <f>IF(B1426="","",IFERROR(AVERAGEIFS('QUALITY CONTROL'!$M$5:$M$304,'QUALITY CONTROL'!$B$5:$B$304,A1426),""))</f>
        <v/>
      </c>
      <c r="AH1426" s="51">
        <f>IF(B1426="","",DATE(YEAR(B1426),MONTH(B1426),1))</f>
        <v/>
      </c>
      <c r="AI1426" s="49">
        <f>IF(D1426="","",IFERROR(INDEX('CUSTOMERS'!$E$5:$E$404,MATCH(D1426,'CUSTOMERS'!$B$5:$B$404,0)),""))</f>
        <v/>
      </c>
      <c r="AJ1426" s="49">
        <f>IF(B1426="","",N(C1426))</f>
        <v/>
      </c>
      <c r="AK1426" s="49">
        <f>IF(OR(B1426="",O1426="Cancelled",O1426="Rescheduled"),"",B1426&amp;"|"&amp;(COUNTIFS('JOBS'!$B$5:$B$1504,B1426,'JOBS'!$AJ$5:$AJ$1504,"&lt;"&amp;AJ1426,'JOBS'!$O$5:$O$1504,"&lt;&gt;Cancelled",'JOBS'!$O$5:$O$1504,"&lt;&gt;Rescheduled")+COUNTIFS($B$5:B1426,B1426,$AJ$5:AJ1426,AJ1426,$O$5:O1426,"&lt;&gt;Cancelled",$O$5:O1426,"&lt;&gt;Rescheduled")))</f>
        <v/>
      </c>
      <c r="AL1426" s="49">
        <f>IF(N(U1426)&lt;=0.005,"",COUNTIFS('JOBS'!$U$5:$U$1504,"&gt;0.005",'JOBS'!$B$5:$B$1504,"&lt;"&amp;B1426)+COUNTIFS($U$5:U1426,"&gt;0.005",$B$5:B1426,B1426))</f>
        <v/>
      </c>
    </row>
    <row r="1427">
      <c r="A1427" s="46" t="inlineStr">
        <is>
          <t>J-1423</t>
        </is>
      </c>
      <c r="B1427" s="47" t="n"/>
      <c r="C1427" s="94" t="n"/>
      <c r="D1427" s="38" t="n"/>
      <c r="E1427" s="38" t="n"/>
      <c r="F1427" s="38" t="n"/>
      <c r="G1427" s="38" t="n"/>
      <c r="H1427" s="38" t="n"/>
      <c r="I1427" s="57" t="n"/>
      <c r="J1427" s="95" t="n"/>
      <c r="K1427" s="95" t="n"/>
      <c r="L1427" s="48" t="n"/>
      <c r="M1427" s="96" t="n"/>
      <c r="N1427" s="48" t="n"/>
      <c r="O1427" s="38" t="n"/>
      <c r="P1427" s="38" t="n"/>
      <c r="Q1427" s="97">
        <f>IF(OR(F1427="",E1427=""),"",IFERROR(IF(INDEX('PROPERTIES'!$F$5:$F$404,MATCH(E1427,'PROPERTIES'!$B$5:$B$404,0))=0,"",ROUND((INDEX('PROPERTIES'!$F$5:$F$404,MATCH(E1427,'PROPERTIES'!$B$5:$B$404,0))/INDEX('PRICING'!$C$7:$C$16,MATCH(F1427,'PRICING'!$A$7:$A$16,0))+INDEX('PROPERTIES'!$G$5:$G$404,MATCH(E1427,'PROPERTIES'!$B$5:$B$404,0))*INDEX('PRICING'!$D$7:$D$16,MATCH(F1427,'PRICING'!$A$7:$A$16,0))/60+INDEX('PROPERTIES'!$H$5:$H$404,MATCH(E1427,'PROPERTIES'!$B$5:$B$404,0))*INDEX('PRICING'!$E$7:$E$16,MATCH(F1427,'PRICING'!$A$7:$A$16,0))/60+INDEX('PRICING'!$F$7:$F$16,MATCH(F1427,'PRICING'!$A$7:$A$16,0))/60),2)),""))</f>
        <v/>
      </c>
      <c r="R1427" s="97">
        <f>IF(B1427="","",IF(N(K1427)&gt;0,K1427,IF(N(J1427)&gt;0,J1427,N(Q1427))))</f>
        <v/>
      </c>
      <c r="S1427" s="55">
        <f>IF(L1427="","",ROUND(L1427*(1+N(M1427)),2))</f>
        <v/>
      </c>
      <c r="T1427" s="55">
        <f>IF(B1427="","",SUMIFS('REVENUE'!$C$5:$C$1504,'REVENUE'!$B$5:$B$1504,A1427))</f>
        <v/>
      </c>
      <c r="U1427" s="55">
        <f>IF(B1427="","",IF(O1427="Completed",MAX(0,N(S1427)-T1427),""))</f>
        <v/>
      </c>
      <c r="V1427" s="49">
        <f>IF(B1427="","",IF(O1427&lt;&gt;"Completed",IF(T1427&gt;0,"Deposit","—"),IF(U1427&lt;=0.005,"Paid",IF(T1427&gt;0,"Partial","Unpaid"))))</f>
        <v/>
      </c>
      <c r="W1427" s="55">
        <f>IF(B1427="","",IFERROR(1/(1/INDEX('STAFF &amp; TASKS'!$C$5:$C$24,MATCH(H1427,'STAFF &amp; TASKS'!$A$5:$A$24,0))),PayRate))</f>
        <v/>
      </c>
      <c r="X1427" s="55">
        <f>IF(B1427="","",IF(OR(O1427="Cancelled",O1427="No-Show"),"",ROUND(R1427*W1427*(1+Burden),2)))</f>
        <v/>
      </c>
      <c r="Y1427" s="55">
        <f>IF(B1427="","",IF(OR(O1427="Cancelled",O1427="No-Show"),"",IF(N1427&lt;&gt;"",N1427,ROUND(R1427*SupHr*IFERROR(INDEX('PRICING'!$G$7:$G$16,MATCH(F1427,'PRICING'!$A$7:$A$16,0)),1),2))))</f>
        <v/>
      </c>
      <c r="Z1427" s="98">
        <f>IF(B1427="","",SUMIFS('MILEAGE'!$J$5:$J$1504,'MILEAGE'!$B$5:$B$1504,A1427))</f>
        <v/>
      </c>
      <c r="AA1427" s="55">
        <f>IF(B1427="","",ROUND(Z1427*MileRate,2))</f>
        <v/>
      </c>
      <c r="AB1427" s="55">
        <f>IF(B1427="","",SUMIFS('REVENUE'!$J$5:$J$1504,'REVENUE'!$B$5:$B$1504,A1427))</f>
        <v/>
      </c>
      <c r="AC1427" s="55">
        <f>IF(L1427="","",IF(OR(O1427="Cancelled",O1427="No-Show"),"",L1427-N(X1427)-N(Y1427)-AA1427-AB1427))</f>
        <v/>
      </c>
      <c r="AD1427" s="99">
        <f>IF(OR(AC1427="",N(L1427)=0),"",AC1427/L1427)</f>
        <v/>
      </c>
      <c r="AE1427" s="55">
        <f>IF(OR(AC1427="",N(R1427)=0),"",L1427/R1427)</f>
        <v/>
      </c>
      <c r="AF1427" s="100">
        <f>IF(OR(N(K1427)=0,N(J1427)+N(Q1427)=0),"",K1427-IF(N(J1427)&gt;0,J1427,Q1427))</f>
        <v/>
      </c>
      <c r="AG1427" s="99">
        <f>IF(B1427="","",IFERROR(AVERAGEIFS('QUALITY CONTROL'!$M$5:$M$304,'QUALITY CONTROL'!$B$5:$B$304,A1427),""))</f>
        <v/>
      </c>
      <c r="AH1427" s="51">
        <f>IF(B1427="","",DATE(YEAR(B1427),MONTH(B1427),1))</f>
        <v/>
      </c>
      <c r="AI1427" s="49">
        <f>IF(D1427="","",IFERROR(INDEX('CUSTOMERS'!$E$5:$E$404,MATCH(D1427,'CUSTOMERS'!$B$5:$B$404,0)),""))</f>
        <v/>
      </c>
      <c r="AJ1427" s="49">
        <f>IF(B1427="","",N(C1427))</f>
        <v/>
      </c>
      <c r="AK1427" s="49">
        <f>IF(OR(B1427="",O1427="Cancelled",O1427="Rescheduled"),"",B1427&amp;"|"&amp;(COUNTIFS('JOBS'!$B$5:$B$1504,B1427,'JOBS'!$AJ$5:$AJ$1504,"&lt;"&amp;AJ1427,'JOBS'!$O$5:$O$1504,"&lt;&gt;Cancelled",'JOBS'!$O$5:$O$1504,"&lt;&gt;Rescheduled")+COUNTIFS($B$5:B1427,B1427,$AJ$5:AJ1427,AJ1427,$O$5:O1427,"&lt;&gt;Cancelled",$O$5:O1427,"&lt;&gt;Rescheduled")))</f>
        <v/>
      </c>
      <c r="AL1427" s="49">
        <f>IF(N(U1427)&lt;=0.005,"",COUNTIFS('JOBS'!$U$5:$U$1504,"&gt;0.005",'JOBS'!$B$5:$B$1504,"&lt;"&amp;B1427)+COUNTIFS($U$5:U1427,"&gt;0.005",$B$5:B1427,B1427))</f>
        <v/>
      </c>
    </row>
    <row r="1428">
      <c r="A1428" s="46" t="inlineStr">
        <is>
          <t>J-1424</t>
        </is>
      </c>
      <c r="B1428" s="47" t="n"/>
      <c r="C1428" s="94" t="n"/>
      <c r="D1428" s="38" t="n"/>
      <c r="E1428" s="38" t="n"/>
      <c r="F1428" s="38" t="n"/>
      <c r="G1428" s="38" t="n"/>
      <c r="H1428" s="38" t="n"/>
      <c r="I1428" s="57" t="n"/>
      <c r="J1428" s="95" t="n"/>
      <c r="K1428" s="95" t="n"/>
      <c r="L1428" s="48" t="n"/>
      <c r="M1428" s="96" t="n"/>
      <c r="N1428" s="48" t="n"/>
      <c r="O1428" s="38" t="n"/>
      <c r="P1428" s="38" t="n"/>
      <c r="Q1428" s="97">
        <f>IF(OR(F1428="",E1428=""),"",IFERROR(IF(INDEX('PROPERTIES'!$F$5:$F$404,MATCH(E1428,'PROPERTIES'!$B$5:$B$404,0))=0,"",ROUND((INDEX('PROPERTIES'!$F$5:$F$404,MATCH(E1428,'PROPERTIES'!$B$5:$B$404,0))/INDEX('PRICING'!$C$7:$C$16,MATCH(F1428,'PRICING'!$A$7:$A$16,0))+INDEX('PROPERTIES'!$G$5:$G$404,MATCH(E1428,'PROPERTIES'!$B$5:$B$404,0))*INDEX('PRICING'!$D$7:$D$16,MATCH(F1428,'PRICING'!$A$7:$A$16,0))/60+INDEX('PROPERTIES'!$H$5:$H$404,MATCH(E1428,'PROPERTIES'!$B$5:$B$404,0))*INDEX('PRICING'!$E$7:$E$16,MATCH(F1428,'PRICING'!$A$7:$A$16,0))/60+INDEX('PRICING'!$F$7:$F$16,MATCH(F1428,'PRICING'!$A$7:$A$16,0))/60),2)),""))</f>
        <v/>
      </c>
      <c r="R1428" s="97">
        <f>IF(B1428="","",IF(N(K1428)&gt;0,K1428,IF(N(J1428)&gt;0,J1428,N(Q1428))))</f>
        <v/>
      </c>
      <c r="S1428" s="55">
        <f>IF(L1428="","",ROUND(L1428*(1+N(M1428)),2))</f>
        <v/>
      </c>
      <c r="T1428" s="55">
        <f>IF(B1428="","",SUMIFS('REVENUE'!$C$5:$C$1504,'REVENUE'!$B$5:$B$1504,A1428))</f>
        <v/>
      </c>
      <c r="U1428" s="55">
        <f>IF(B1428="","",IF(O1428="Completed",MAX(0,N(S1428)-T1428),""))</f>
        <v/>
      </c>
      <c r="V1428" s="49">
        <f>IF(B1428="","",IF(O1428&lt;&gt;"Completed",IF(T1428&gt;0,"Deposit","—"),IF(U1428&lt;=0.005,"Paid",IF(T1428&gt;0,"Partial","Unpaid"))))</f>
        <v/>
      </c>
      <c r="W1428" s="55">
        <f>IF(B1428="","",IFERROR(1/(1/INDEX('STAFF &amp; TASKS'!$C$5:$C$24,MATCH(H1428,'STAFF &amp; TASKS'!$A$5:$A$24,0))),PayRate))</f>
        <v/>
      </c>
      <c r="X1428" s="55">
        <f>IF(B1428="","",IF(OR(O1428="Cancelled",O1428="No-Show"),"",ROUND(R1428*W1428*(1+Burden),2)))</f>
        <v/>
      </c>
      <c r="Y1428" s="55">
        <f>IF(B1428="","",IF(OR(O1428="Cancelled",O1428="No-Show"),"",IF(N1428&lt;&gt;"",N1428,ROUND(R1428*SupHr*IFERROR(INDEX('PRICING'!$G$7:$G$16,MATCH(F1428,'PRICING'!$A$7:$A$16,0)),1),2))))</f>
        <v/>
      </c>
      <c r="Z1428" s="98">
        <f>IF(B1428="","",SUMIFS('MILEAGE'!$J$5:$J$1504,'MILEAGE'!$B$5:$B$1504,A1428))</f>
        <v/>
      </c>
      <c r="AA1428" s="55">
        <f>IF(B1428="","",ROUND(Z1428*MileRate,2))</f>
        <v/>
      </c>
      <c r="AB1428" s="55">
        <f>IF(B1428="","",SUMIFS('REVENUE'!$J$5:$J$1504,'REVENUE'!$B$5:$B$1504,A1428))</f>
        <v/>
      </c>
      <c r="AC1428" s="55">
        <f>IF(L1428="","",IF(OR(O1428="Cancelled",O1428="No-Show"),"",L1428-N(X1428)-N(Y1428)-AA1428-AB1428))</f>
        <v/>
      </c>
      <c r="AD1428" s="99">
        <f>IF(OR(AC1428="",N(L1428)=0),"",AC1428/L1428)</f>
        <v/>
      </c>
      <c r="AE1428" s="55">
        <f>IF(OR(AC1428="",N(R1428)=0),"",L1428/R1428)</f>
        <v/>
      </c>
      <c r="AF1428" s="100">
        <f>IF(OR(N(K1428)=0,N(J1428)+N(Q1428)=0),"",K1428-IF(N(J1428)&gt;0,J1428,Q1428))</f>
        <v/>
      </c>
      <c r="AG1428" s="99">
        <f>IF(B1428="","",IFERROR(AVERAGEIFS('QUALITY CONTROL'!$M$5:$M$304,'QUALITY CONTROL'!$B$5:$B$304,A1428),""))</f>
        <v/>
      </c>
      <c r="AH1428" s="51">
        <f>IF(B1428="","",DATE(YEAR(B1428),MONTH(B1428),1))</f>
        <v/>
      </c>
      <c r="AI1428" s="49">
        <f>IF(D1428="","",IFERROR(INDEX('CUSTOMERS'!$E$5:$E$404,MATCH(D1428,'CUSTOMERS'!$B$5:$B$404,0)),""))</f>
        <v/>
      </c>
      <c r="AJ1428" s="49">
        <f>IF(B1428="","",N(C1428))</f>
        <v/>
      </c>
      <c r="AK1428" s="49">
        <f>IF(OR(B1428="",O1428="Cancelled",O1428="Rescheduled"),"",B1428&amp;"|"&amp;(COUNTIFS('JOBS'!$B$5:$B$1504,B1428,'JOBS'!$AJ$5:$AJ$1504,"&lt;"&amp;AJ1428,'JOBS'!$O$5:$O$1504,"&lt;&gt;Cancelled",'JOBS'!$O$5:$O$1504,"&lt;&gt;Rescheduled")+COUNTIFS($B$5:B1428,B1428,$AJ$5:AJ1428,AJ1428,$O$5:O1428,"&lt;&gt;Cancelled",$O$5:O1428,"&lt;&gt;Rescheduled")))</f>
        <v/>
      </c>
      <c r="AL1428" s="49">
        <f>IF(N(U1428)&lt;=0.005,"",COUNTIFS('JOBS'!$U$5:$U$1504,"&gt;0.005",'JOBS'!$B$5:$B$1504,"&lt;"&amp;B1428)+COUNTIFS($U$5:U1428,"&gt;0.005",$B$5:B1428,B1428))</f>
        <v/>
      </c>
    </row>
    <row r="1429">
      <c r="A1429" s="46" t="inlineStr">
        <is>
          <t>J-1425</t>
        </is>
      </c>
      <c r="B1429" s="47" t="n"/>
      <c r="C1429" s="94" t="n"/>
      <c r="D1429" s="38" t="n"/>
      <c r="E1429" s="38" t="n"/>
      <c r="F1429" s="38" t="n"/>
      <c r="G1429" s="38" t="n"/>
      <c r="H1429" s="38" t="n"/>
      <c r="I1429" s="57" t="n"/>
      <c r="J1429" s="95" t="n"/>
      <c r="K1429" s="95" t="n"/>
      <c r="L1429" s="48" t="n"/>
      <c r="M1429" s="96" t="n"/>
      <c r="N1429" s="48" t="n"/>
      <c r="O1429" s="38" t="n"/>
      <c r="P1429" s="38" t="n"/>
      <c r="Q1429" s="97">
        <f>IF(OR(F1429="",E1429=""),"",IFERROR(IF(INDEX('PROPERTIES'!$F$5:$F$404,MATCH(E1429,'PROPERTIES'!$B$5:$B$404,0))=0,"",ROUND((INDEX('PROPERTIES'!$F$5:$F$404,MATCH(E1429,'PROPERTIES'!$B$5:$B$404,0))/INDEX('PRICING'!$C$7:$C$16,MATCH(F1429,'PRICING'!$A$7:$A$16,0))+INDEX('PROPERTIES'!$G$5:$G$404,MATCH(E1429,'PROPERTIES'!$B$5:$B$404,0))*INDEX('PRICING'!$D$7:$D$16,MATCH(F1429,'PRICING'!$A$7:$A$16,0))/60+INDEX('PROPERTIES'!$H$5:$H$404,MATCH(E1429,'PROPERTIES'!$B$5:$B$404,0))*INDEX('PRICING'!$E$7:$E$16,MATCH(F1429,'PRICING'!$A$7:$A$16,0))/60+INDEX('PRICING'!$F$7:$F$16,MATCH(F1429,'PRICING'!$A$7:$A$16,0))/60),2)),""))</f>
        <v/>
      </c>
      <c r="R1429" s="97">
        <f>IF(B1429="","",IF(N(K1429)&gt;0,K1429,IF(N(J1429)&gt;0,J1429,N(Q1429))))</f>
        <v/>
      </c>
      <c r="S1429" s="55">
        <f>IF(L1429="","",ROUND(L1429*(1+N(M1429)),2))</f>
        <v/>
      </c>
      <c r="T1429" s="55">
        <f>IF(B1429="","",SUMIFS('REVENUE'!$C$5:$C$1504,'REVENUE'!$B$5:$B$1504,A1429))</f>
        <v/>
      </c>
      <c r="U1429" s="55">
        <f>IF(B1429="","",IF(O1429="Completed",MAX(0,N(S1429)-T1429),""))</f>
        <v/>
      </c>
      <c r="V1429" s="49">
        <f>IF(B1429="","",IF(O1429&lt;&gt;"Completed",IF(T1429&gt;0,"Deposit","—"),IF(U1429&lt;=0.005,"Paid",IF(T1429&gt;0,"Partial","Unpaid"))))</f>
        <v/>
      </c>
      <c r="W1429" s="55">
        <f>IF(B1429="","",IFERROR(1/(1/INDEX('STAFF &amp; TASKS'!$C$5:$C$24,MATCH(H1429,'STAFF &amp; TASKS'!$A$5:$A$24,0))),PayRate))</f>
        <v/>
      </c>
      <c r="X1429" s="55">
        <f>IF(B1429="","",IF(OR(O1429="Cancelled",O1429="No-Show"),"",ROUND(R1429*W1429*(1+Burden),2)))</f>
        <v/>
      </c>
      <c r="Y1429" s="55">
        <f>IF(B1429="","",IF(OR(O1429="Cancelled",O1429="No-Show"),"",IF(N1429&lt;&gt;"",N1429,ROUND(R1429*SupHr*IFERROR(INDEX('PRICING'!$G$7:$G$16,MATCH(F1429,'PRICING'!$A$7:$A$16,0)),1),2))))</f>
        <v/>
      </c>
      <c r="Z1429" s="98">
        <f>IF(B1429="","",SUMIFS('MILEAGE'!$J$5:$J$1504,'MILEAGE'!$B$5:$B$1504,A1429))</f>
        <v/>
      </c>
      <c r="AA1429" s="55">
        <f>IF(B1429="","",ROUND(Z1429*MileRate,2))</f>
        <v/>
      </c>
      <c r="AB1429" s="55">
        <f>IF(B1429="","",SUMIFS('REVENUE'!$J$5:$J$1504,'REVENUE'!$B$5:$B$1504,A1429))</f>
        <v/>
      </c>
      <c r="AC1429" s="55">
        <f>IF(L1429="","",IF(OR(O1429="Cancelled",O1429="No-Show"),"",L1429-N(X1429)-N(Y1429)-AA1429-AB1429))</f>
        <v/>
      </c>
      <c r="AD1429" s="99">
        <f>IF(OR(AC1429="",N(L1429)=0),"",AC1429/L1429)</f>
        <v/>
      </c>
      <c r="AE1429" s="55">
        <f>IF(OR(AC1429="",N(R1429)=0),"",L1429/R1429)</f>
        <v/>
      </c>
      <c r="AF1429" s="100">
        <f>IF(OR(N(K1429)=0,N(J1429)+N(Q1429)=0),"",K1429-IF(N(J1429)&gt;0,J1429,Q1429))</f>
        <v/>
      </c>
      <c r="AG1429" s="99">
        <f>IF(B1429="","",IFERROR(AVERAGEIFS('QUALITY CONTROL'!$M$5:$M$304,'QUALITY CONTROL'!$B$5:$B$304,A1429),""))</f>
        <v/>
      </c>
      <c r="AH1429" s="51">
        <f>IF(B1429="","",DATE(YEAR(B1429),MONTH(B1429),1))</f>
        <v/>
      </c>
      <c r="AI1429" s="49">
        <f>IF(D1429="","",IFERROR(INDEX('CUSTOMERS'!$E$5:$E$404,MATCH(D1429,'CUSTOMERS'!$B$5:$B$404,0)),""))</f>
        <v/>
      </c>
      <c r="AJ1429" s="49">
        <f>IF(B1429="","",N(C1429))</f>
        <v/>
      </c>
      <c r="AK1429" s="49">
        <f>IF(OR(B1429="",O1429="Cancelled",O1429="Rescheduled"),"",B1429&amp;"|"&amp;(COUNTIFS('JOBS'!$B$5:$B$1504,B1429,'JOBS'!$AJ$5:$AJ$1504,"&lt;"&amp;AJ1429,'JOBS'!$O$5:$O$1504,"&lt;&gt;Cancelled",'JOBS'!$O$5:$O$1504,"&lt;&gt;Rescheduled")+COUNTIFS($B$5:B1429,B1429,$AJ$5:AJ1429,AJ1429,$O$5:O1429,"&lt;&gt;Cancelled",$O$5:O1429,"&lt;&gt;Rescheduled")))</f>
        <v/>
      </c>
      <c r="AL1429" s="49">
        <f>IF(N(U1429)&lt;=0.005,"",COUNTIFS('JOBS'!$U$5:$U$1504,"&gt;0.005",'JOBS'!$B$5:$B$1504,"&lt;"&amp;B1429)+COUNTIFS($U$5:U1429,"&gt;0.005",$B$5:B1429,B1429))</f>
        <v/>
      </c>
    </row>
    <row r="1430">
      <c r="A1430" s="46" t="inlineStr">
        <is>
          <t>J-1426</t>
        </is>
      </c>
      <c r="B1430" s="47" t="n"/>
      <c r="C1430" s="94" t="n"/>
      <c r="D1430" s="38" t="n"/>
      <c r="E1430" s="38" t="n"/>
      <c r="F1430" s="38" t="n"/>
      <c r="G1430" s="38" t="n"/>
      <c r="H1430" s="38" t="n"/>
      <c r="I1430" s="57" t="n"/>
      <c r="J1430" s="95" t="n"/>
      <c r="K1430" s="95" t="n"/>
      <c r="L1430" s="48" t="n"/>
      <c r="M1430" s="96" t="n"/>
      <c r="N1430" s="48" t="n"/>
      <c r="O1430" s="38" t="n"/>
      <c r="P1430" s="38" t="n"/>
      <c r="Q1430" s="97">
        <f>IF(OR(F1430="",E1430=""),"",IFERROR(IF(INDEX('PROPERTIES'!$F$5:$F$404,MATCH(E1430,'PROPERTIES'!$B$5:$B$404,0))=0,"",ROUND((INDEX('PROPERTIES'!$F$5:$F$404,MATCH(E1430,'PROPERTIES'!$B$5:$B$404,0))/INDEX('PRICING'!$C$7:$C$16,MATCH(F1430,'PRICING'!$A$7:$A$16,0))+INDEX('PROPERTIES'!$G$5:$G$404,MATCH(E1430,'PROPERTIES'!$B$5:$B$404,0))*INDEX('PRICING'!$D$7:$D$16,MATCH(F1430,'PRICING'!$A$7:$A$16,0))/60+INDEX('PROPERTIES'!$H$5:$H$404,MATCH(E1430,'PROPERTIES'!$B$5:$B$404,0))*INDEX('PRICING'!$E$7:$E$16,MATCH(F1430,'PRICING'!$A$7:$A$16,0))/60+INDEX('PRICING'!$F$7:$F$16,MATCH(F1430,'PRICING'!$A$7:$A$16,0))/60),2)),""))</f>
        <v/>
      </c>
      <c r="R1430" s="97">
        <f>IF(B1430="","",IF(N(K1430)&gt;0,K1430,IF(N(J1430)&gt;0,J1430,N(Q1430))))</f>
        <v/>
      </c>
      <c r="S1430" s="55">
        <f>IF(L1430="","",ROUND(L1430*(1+N(M1430)),2))</f>
        <v/>
      </c>
      <c r="T1430" s="55">
        <f>IF(B1430="","",SUMIFS('REVENUE'!$C$5:$C$1504,'REVENUE'!$B$5:$B$1504,A1430))</f>
        <v/>
      </c>
      <c r="U1430" s="55">
        <f>IF(B1430="","",IF(O1430="Completed",MAX(0,N(S1430)-T1430),""))</f>
        <v/>
      </c>
      <c r="V1430" s="49">
        <f>IF(B1430="","",IF(O1430&lt;&gt;"Completed",IF(T1430&gt;0,"Deposit","—"),IF(U1430&lt;=0.005,"Paid",IF(T1430&gt;0,"Partial","Unpaid"))))</f>
        <v/>
      </c>
      <c r="W1430" s="55">
        <f>IF(B1430="","",IFERROR(1/(1/INDEX('STAFF &amp; TASKS'!$C$5:$C$24,MATCH(H1430,'STAFF &amp; TASKS'!$A$5:$A$24,0))),PayRate))</f>
        <v/>
      </c>
      <c r="X1430" s="55">
        <f>IF(B1430="","",IF(OR(O1430="Cancelled",O1430="No-Show"),"",ROUND(R1430*W1430*(1+Burden),2)))</f>
        <v/>
      </c>
      <c r="Y1430" s="55">
        <f>IF(B1430="","",IF(OR(O1430="Cancelled",O1430="No-Show"),"",IF(N1430&lt;&gt;"",N1430,ROUND(R1430*SupHr*IFERROR(INDEX('PRICING'!$G$7:$G$16,MATCH(F1430,'PRICING'!$A$7:$A$16,0)),1),2))))</f>
        <v/>
      </c>
      <c r="Z1430" s="98">
        <f>IF(B1430="","",SUMIFS('MILEAGE'!$J$5:$J$1504,'MILEAGE'!$B$5:$B$1504,A1430))</f>
        <v/>
      </c>
      <c r="AA1430" s="55">
        <f>IF(B1430="","",ROUND(Z1430*MileRate,2))</f>
        <v/>
      </c>
      <c r="AB1430" s="55">
        <f>IF(B1430="","",SUMIFS('REVENUE'!$J$5:$J$1504,'REVENUE'!$B$5:$B$1504,A1430))</f>
        <v/>
      </c>
      <c r="AC1430" s="55">
        <f>IF(L1430="","",IF(OR(O1430="Cancelled",O1430="No-Show"),"",L1430-N(X1430)-N(Y1430)-AA1430-AB1430))</f>
        <v/>
      </c>
      <c r="AD1430" s="99">
        <f>IF(OR(AC1430="",N(L1430)=0),"",AC1430/L1430)</f>
        <v/>
      </c>
      <c r="AE1430" s="55">
        <f>IF(OR(AC1430="",N(R1430)=0),"",L1430/R1430)</f>
        <v/>
      </c>
      <c r="AF1430" s="100">
        <f>IF(OR(N(K1430)=0,N(J1430)+N(Q1430)=0),"",K1430-IF(N(J1430)&gt;0,J1430,Q1430))</f>
        <v/>
      </c>
      <c r="AG1430" s="99">
        <f>IF(B1430="","",IFERROR(AVERAGEIFS('QUALITY CONTROL'!$M$5:$M$304,'QUALITY CONTROL'!$B$5:$B$304,A1430),""))</f>
        <v/>
      </c>
      <c r="AH1430" s="51">
        <f>IF(B1430="","",DATE(YEAR(B1430),MONTH(B1430),1))</f>
        <v/>
      </c>
      <c r="AI1430" s="49">
        <f>IF(D1430="","",IFERROR(INDEX('CUSTOMERS'!$E$5:$E$404,MATCH(D1430,'CUSTOMERS'!$B$5:$B$404,0)),""))</f>
        <v/>
      </c>
      <c r="AJ1430" s="49">
        <f>IF(B1430="","",N(C1430))</f>
        <v/>
      </c>
      <c r="AK1430" s="49">
        <f>IF(OR(B1430="",O1430="Cancelled",O1430="Rescheduled"),"",B1430&amp;"|"&amp;(COUNTIFS('JOBS'!$B$5:$B$1504,B1430,'JOBS'!$AJ$5:$AJ$1504,"&lt;"&amp;AJ1430,'JOBS'!$O$5:$O$1504,"&lt;&gt;Cancelled",'JOBS'!$O$5:$O$1504,"&lt;&gt;Rescheduled")+COUNTIFS($B$5:B1430,B1430,$AJ$5:AJ1430,AJ1430,$O$5:O1430,"&lt;&gt;Cancelled",$O$5:O1430,"&lt;&gt;Rescheduled")))</f>
        <v/>
      </c>
      <c r="AL1430" s="49">
        <f>IF(N(U1430)&lt;=0.005,"",COUNTIFS('JOBS'!$U$5:$U$1504,"&gt;0.005",'JOBS'!$B$5:$B$1504,"&lt;"&amp;B1430)+COUNTIFS($U$5:U1430,"&gt;0.005",$B$5:B1430,B1430))</f>
        <v/>
      </c>
    </row>
    <row r="1431">
      <c r="A1431" s="46" t="inlineStr">
        <is>
          <t>J-1427</t>
        </is>
      </c>
      <c r="B1431" s="47" t="n"/>
      <c r="C1431" s="94" t="n"/>
      <c r="D1431" s="38" t="n"/>
      <c r="E1431" s="38" t="n"/>
      <c r="F1431" s="38" t="n"/>
      <c r="G1431" s="38" t="n"/>
      <c r="H1431" s="38" t="n"/>
      <c r="I1431" s="57" t="n"/>
      <c r="J1431" s="95" t="n"/>
      <c r="K1431" s="95" t="n"/>
      <c r="L1431" s="48" t="n"/>
      <c r="M1431" s="96" t="n"/>
      <c r="N1431" s="48" t="n"/>
      <c r="O1431" s="38" t="n"/>
      <c r="P1431" s="38" t="n"/>
      <c r="Q1431" s="97">
        <f>IF(OR(F1431="",E1431=""),"",IFERROR(IF(INDEX('PROPERTIES'!$F$5:$F$404,MATCH(E1431,'PROPERTIES'!$B$5:$B$404,0))=0,"",ROUND((INDEX('PROPERTIES'!$F$5:$F$404,MATCH(E1431,'PROPERTIES'!$B$5:$B$404,0))/INDEX('PRICING'!$C$7:$C$16,MATCH(F1431,'PRICING'!$A$7:$A$16,0))+INDEX('PROPERTIES'!$G$5:$G$404,MATCH(E1431,'PROPERTIES'!$B$5:$B$404,0))*INDEX('PRICING'!$D$7:$D$16,MATCH(F1431,'PRICING'!$A$7:$A$16,0))/60+INDEX('PROPERTIES'!$H$5:$H$404,MATCH(E1431,'PROPERTIES'!$B$5:$B$404,0))*INDEX('PRICING'!$E$7:$E$16,MATCH(F1431,'PRICING'!$A$7:$A$16,0))/60+INDEX('PRICING'!$F$7:$F$16,MATCH(F1431,'PRICING'!$A$7:$A$16,0))/60),2)),""))</f>
        <v/>
      </c>
      <c r="R1431" s="97">
        <f>IF(B1431="","",IF(N(K1431)&gt;0,K1431,IF(N(J1431)&gt;0,J1431,N(Q1431))))</f>
        <v/>
      </c>
      <c r="S1431" s="55">
        <f>IF(L1431="","",ROUND(L1431*(1+N(M1431)),2))</f>
        <v/>
      </c>
      <c r="T1431" s="55">
        <f>IF(B1431="","",SUMIFS('REVENUE'!$C$5:$C$1504,'REVENUE'!$B$5:$B$1504,A1431))</f>
        <v/>
      </c>
      <c r="U1431" s="55">
        <f>IF(B1431="","",IF(O1431="Completed",MAX(0,N(S1431)-T1431),""))</f>
        <v/>
      </c>
      <c r="V1431" s="49">
        <f>IF(B1431="","",IF(O1431&lt;&gt;"Completed",IF(T1431&gt;0,"Deposit","—"),IF(U1431&lt;=0.005,"Paid",IF(T1431&gt;0,"Partial","Unpaid"))))</f>
        <v/>
      </c>
      <c r="W1431" s="55">
        <f>IF(B1431="","",IFERROR(1/(1/INDEX('STAFF &amp; TASKS'!$C$5:$C$24,MATCH(H1431,'STAFF &amp; TASKS'!$A$5:$A$24,0))),PayRate))</f>
        <v/>
      </c>
      <c r="X1431" s="55">
        <f>IF(B1431="","",IF(OR(O1431="Cancelled",O1431="No-Show"),"",ROUND(R1431*W1431*(1+Burden),2)))</f>
        <v/>
      </c>
      <c r="Y1431" s="55">
        <f>IF(B1431="","",IF(OR(O1431="Cancelled",O1431="No-Show"),"",IF(N1431&lt;&gt;"",N1431,ROUND(R1431*SupHr*IFERROR(INDEX('PRICING'!$G$7:$G$16,MATCH(F1431,'PRICING'!$A$7:$A$16,0)),1),2))))</f>
        <v/>
      </c>
      <c r="Z1431" s="98">
        <f>IF(B1431="","",SUMIFS('MILEAGE'!$J$5:$J$1504,'MILEAGE'!$B$5:$B$1504,A1431))</f>
        <v/>
      </c>
      <c r="AA1431" s="55">
        <f>IF(B1431="","",ROUND(Z1431*MileRate,2))</f>
        <v/>
      </c>
      <c r="AB1431" s="55">
        <f>IF(B1431="","",SUMIFS('REVENUE'!$J$5:$J$1504,'REVENUE'!$B$5:$B$1504,A1431))</f>
        <v/>
      </c>
      <c r="AC1431" s="55">
        <f>IF(L1431="","",IF(OR(O1431="Cancelled",O1431="No-Show"),"",L1431-N(X1431)-N(Y1431)-AA1431-AB1431))</f>
        <v/>
      </c>
      <c r="AD1431" s="99">
        <f>IF(OR(AC1431="",N(L1431)=0),"",AC1431/L1431)</f>
        <v/>
      </c>
      <c r="AE1431" s="55">
        <f>IF(OR(AC1431="",N(R1431)=0),"",L1431/R1431)</f>
        <v/>
      </c>
      <c r="AF1431" s="100">
        <f>IF(OR(N(K1431)=0,N(J1431)+N(Q1431)=0),"",K1431-IF(N(J1431)&gt;0,J1431,Q1431))</f>
        <v/>
      </c>
      <c r="AG1431" s="99">
        <f>IF(B1431="","",IFERROR(AVERAGEIFS('QUALITY CONTROL'!$M$5:$M$304,'QUALITY CONTROL'!$B$5:$B$304,A1431),""))</f>
        <v/>
      </c>
      <c r="AH1431" s="51">
        <f>IF(B1431="","",DATE(YEAR(B1431),MONTH(B1431),1))</f>
        <v/>
      </c>
      <c r="AI1431" s="49">
        <f>IF(D1431="","",IFERROR(INDEX('CUSTOMERS'!$E$5:$E$404,MATCH(D1431,'CUSTOMERS'!$B$5:$B$404,0)),""))</f>
        <v/>
      </c>
      <c r="AJ1431" s="49">
        <f>IF(B1431="","",N(C1431))</f>
        <v/>
      </c>
      <c r="AK1431" s="49">
        <f>IF(OR(B1431="",O1431="Cancelled",O1431="Rescheduled"),"",B1431&amp;"|"&amp;(COUNTIFS('JOBS'!$B$5:$B$1504,B1431,'JOBS'!$AJ$5:$AJ$1504,"&lt;"&amp;AJ1431,'JOBS'!$O$5:$O$1504,"&lt;&gt;Cancelled",'JOBS'!$O$5:$O$1504,"&lt;&gt;Rescheduled")+COUNTIFS($B$5:B1431,B1431,$AJ$5:AJ1431,AJ1431,$O$5:O1431,"&lt;&gt;Cancelled",$O$5:O1431,"&lt;&gt;Rescheduled")))</f>
        <v/>
      </c>
      <c r="AL1431" s="49">
        <f>IF(N(U1431)&lt;=0.005,"",COUNTIFS('JOBS'!$U$5:$U$1504,"&gt;0.005",'JOBS'!$B$5:$B$1504,"&lt;"&amp;B1431)+COUNTIFS($U$5:U1431,"&gt;0.005",$B$5:B1431,B1431))</f>
        <v/>
      </c>
    </row>
    <row r="1432">
      <c r="A1432" s="46" t="inlineStr">
        <is>
          <t>J-1428</t>
        </is>
      </c>
      <c r="B1432" s="47" t="n"/>
      <c r="C1432" s="94" t="n"/>
      <c r="D1432" s="38" t="n"/>
      <c r="E1432" s="38" t="n"/>
      <c r="F1432" s="38" t="n"/>
      <c r="G1432" s="38" t="n"/>
      <c r="H1432" s="38" t="n"/>
      <c r="I1432" s="57" t="n"/>
      <c r="J1432" s="95" t="n"/>
      <c r="K1432" s="95" t="n"/>
      <c r="L1432" s="48" t="n"/>
      <c r="M1432" s="96" t="n"/>
      <c r="N1432" s="48" t="n"/>
      <c r="O1432" s="38" t="n"/>
      <c r="P1432" s="38" t="n"/>
      <c r="Q1432" s="97">
        <f>IF(OR(F1432="",E1432=""),"",IFERROR(IF(INDEX('PROPERTIES'!$F$5:$F$404,MATCH(E1432,'PROPERTIES'!$B$5:$B$404,0))=0,"",ROUND((INDEX('PROPERTIES'!$F$5:$F$404,MATCH(E1432,'PROPERTIES'!$B$5:$B$404,0))/INDEX('PRICING'!$C$7:$C$16,MATCH(F1432,'PRICING'!$A$7:$A$16,0))+INDEX('PROPERTIES'!$G$5:$G$404,MATCH(E1432,'PROPERTIES'!$B$5:$B$404,0))*INDEX('PRICING'!$D$7:$D$16,MATCH(F1432,'PRICING'!$A$7:$A$16,0))/60+INDEX('PROPERTIES'!$H$5:$H$404,MATCH(E1432,'PROPERTIES'!$B$5:$B$404,0))*INDEX('PRICING'!$E$7:$E$16,MATCH(F1432,'PRICING'!$A$7:$A$16,0))/60+INDEX('PRICING'!$F$7:$F$16,MATCH(F1432,'PRICING'!$A$7:$A$16,0))/60),2)),""))</f>
        <v/>
      </c>
      <c r="R1432" s="97">
        <f>IF(B1432="","",IF(N(K1432)&gt;0,K1432,IF(N(J1432)&gt;0,J1432,N(Q1432))))</f>
        <v/>
      </c>
      <c r="S1432" s="55">
        <f>IF(L1432="","",ROUND(L1432*(1+N(M1432)),2))</f>
        <v/>
      </c>
      <c r="T1432" s="55">
        <f>IF(B1432="","",SUMIFS('REVENUE'!$C$5:$C$1504,'REVENUE'!$B$5:$B$1504,A1432))</f>
        <v/>
      </c>
      <c r="U1432" s="55">
        <f>IF(B1432="","",IF(O1432="Completed",MAX(0,N(S1432)-T1432),""))</f>
        <v/>
      </c>
      <c r="V1432" s="49">
        <f>IF(B1432="","",IF(O1432&lt;&gt;"Completed",IF(T1432&gt;0,"Deposit","—"),IF(U1432&lt;=0.005,"Paid",IF(T1432&gt;0,"Partial","Unpaid"))))</f>
        <v/>
      </c>
      <c r="W1432" s="55">
        <f>IF(B1432="","",IFERROR(1/(1/INDEX('STAFF &amp; TASKS'!$C$5:$C$24,MATCH(H1432,'STAFF &amp; TASKS'!$A$5:$A$24,0))),PayRate))</f>
        <v/>
      </c>
      <c r="X1432" s="55">
        <f>IF(B1432="","",IF(OR(O1432="Cancelled",O1432="No-Show"),"",ROUND(R1432*W1432*(1+Burden),2)))</f>
        <v/>
      </c>
      <c r="Y1432" s="55">
        <f>IF(B1432="","",IF(OR(O1432="Cancelled",O1432="No-Show"),"",IF(N1432&lt;&gt;"",N1432,ROUND(R1432*SupHr*IFERROR(INDEX('PRICING'!$G$7:$G$16,MATCH(F1432,'PRICING'!$A$7:$A$16,0)),1),2))))</f>
        <v/>
      </c>
      <c r="Z1432" s="98">
        <f>IF(B1432="","",SUMIFS('MILEAGE'!$J$5:$J$1504,'MILEAGE'!$B$5:$B$1504,A1432))</f>
        <v/>
      </c>
      <c r="AA1432" s="55">
        <f>IF(B1432="","",ROUND(Z1432*MileRate,2))</f>
        <v/>
      </c>
      <c r="AB1432" s="55">
        <f>IF(B1432="","",SUMIFS('REVENUE'!$J$5:$J$1504,'REVENUE'!$B$5:$B$1504,A1432))</f>
        <v/>
      </c>
      <c r="AC1432" s="55">
        <f>IF(L1432="","",IF(OR(O1432="Cancelled",O1432="No-Show"),"",L1432-N(X1432)-N(Y1432)-AA1432-AB1432))</f>
        <v/>
      </c>
      <c r="AD1432" s="99">
        <f>IF(OR(AC1432="",N(L1432)=0),"",AC1432/L1432)</f>
        <v/>
      </c>
      <c r="AE1432" s="55">
        <f>IF(OR(AC1432="",N(R1432)=0),"",L1432/R1432)</f>
        <v/>
      </c>
      <c r="AF1432" s="100">
        <f>IF(OR(N(K1432)=0,N(J1432)+N(Q1432)=0),"",K1432-IF(N(J1432)&gt;0,J1432,Q1432))</f>
        <v/>
      </c>
      <c r="AG1432" s="99">
        <f>IF(B1432="","",IFERROR(AVERAGEIFS('QUALITY CONTROL'!$M$5:$M$304,'QUALITY CONTROL'!$B$5:$B$304,A1432),""))</f>
        <v/>
      </c>
      <c r="AH1432" s="51">
        <f>IF(B1432="","",DATE(YEAR(B1432),MONTH(B1432),1))</f>
        <v/>
      </c>
      <c r="AI1432" s="49">
        <f>IF(D1432="","",IFERROR(INDEX('CUSTOMERS'!$E$5:$E$404,MATCH(D1432,'CUSTOMERS'!$B$5:$B$404,0)),""))</f>
        <v/>
      </c>
      <c r="AJ1432" s="49">
        <f>IF(B1432="","",N(C1432))</f>
        <v/>
      </c>
      <c r="AK1432" s="49">
        <f>IF(OR(B1432="",O1432="Cancelled",O1432="Rescheduled"),"",B1432&amp;"|"&amp;(COUNTIFS('JOBS'!$B$5:$B$1504,B1432,'JOBS'!$AJ$5:$AJ$1504,"&lt;"&amp;AJ1432,'JOBS'!$O$5:$O$1504,"&lt;&gt;Cancelled",'JOBS'!$O$5:$O$1504,"&lt;&gt;Rescheduled")+COUNTIFS($B$5:B1432,B1432,$AJ$5:AJ1432,AJ1432,$O$5:O1432,"&lt;&gt;Cancelled",$O$5:O1432,"&lt;&gt;Rescheduled")))</f>
        <v/>
      </c>
      <c r="AL1432" s="49">
        <f>IF(N(U1432)&lt;=0.005,"",COUNTIFS('JOBS'!$U$5:$U$1504,"&gt;0.005",'JOBS'!$B$5:$B$1504,"&lt;"&amp;B1432)+COUNTIFS($U$5:U1432,"&gt;0.005",$B$5:B1432,B1432))</f>
        <v/>
      </c>
    </row>
    <row r="1433">
      <c r="A1433" s="46" t="inlineStr">
        <is>
          <t>J-1429</t>
        </is>
      </c>
      <c r="B1433" s="47" t="n"/>
      <c r="C1433" s="94" t="n"/>
      <c r="D1433" s="38" t="n"/>
      <c r="E1433" s="38" t="n"/>
      <c r="F1433" s="38" t="n"/>
      <c r="G1433" s="38" t="n"/>
      <c r="H1433" s="38" t="n"/>
      <c r="I1433" s="57" t="n"/>
      <c r="J1433" s="95" t="n"/>
      <c r="K1433" s="95" t="n"/>
      <c r="L1433" s="48" t="n"/>
      <c r="M1433" s="96" t="n"/>
      <c r="N1433" s="48" t="n"/>
      <c r="O1433" s="38" t="n"/>
      <c r="P1433" s="38" t="n"/>
      <c r="Q1433" s="97">
        <f>IF(OR(F1433="",E1433=""),"",IFERROR(IF(INDEX('PROPERTIES'!$F$5:$F$404,MATCH(E1433,'PROPERTIES'!$B$5:$B$404,0))=0,"",ROUND((INDEX('PROPERTIES'!$F$5:$F$404,MATCH(E1433,'PROPERTIES'!$B$5:$B$404,0))/INDEX('PRICING'!$C$7:$C$16,MATCH(F1433,'PRICING'!$A$7:$A$16,0))+INDEX('PROPERTIES'!$G$5:$G$404,MATCH(E1433,'PROPERTIES'!$B$5:$B$404,0))*INDEX('PRICING'!$D$7:$D$16,MATCH(F1433,'PRICING'!$A$7:$A$16,0))/60+INDEX('PROPERTIES'!$H$5:$H$404,MATCH(E1433,'PROPERTIES'!$B$5:$B$404,0))*INDEX('PRICING'!$E$7:$E$16,MATCH(F1433,'PRICING'!$A$7:$A$16,0))/60+INDEX('PRICING'!$F$7:$F$16,MATCH(F1433,'PRICING'!$A$7:$A$16,0))/60),2)),""))</f>
        <v/>
      </c>
      <c r="R1433" s="97">
        <f>IF(B1433="","",IF(N(K1433)&gt;0,K1433,IF(N(J1433)&gt;0,J1433,N(Q1433))))</f>
        <v/>
      </c>
      <c r="S1433" s="55">
        <f>IF(L1433="","",ROUND(L1433*(1+N(M1433)),2))</f>
        <v/>
      </c>
      <c r="T1433" s="55">
        <f>IF(B1433="","",SUMIFS('REVENUE'!$C$5:$C$1504,'REVENUE'!$B$5:$B$1504,A1433))</f>
        <v/>
      </c>
      <c r="U1433" s="55">
        <f>IF(B1433="","",IF(O1433="Completed",MAX(0,N(S1433)-T1433),""))</f>
        <v/>
      </c>
      <c r="V1433" s="49">
        <f>IF(B1433="","",IF(O1433&lt;&gt;"Completed",IF(T1433&gt;0,"Deposit","—"),IF(U1433&lt;=0.005,"Paid",IF(T1433&gt;0,"Partial","Unpaid"))))</f>
        <v/>
      </c>
      <c r="W1433" s="55">
        <f>IF(B1433="","",IFERROR(1/(1/INDEX('STAFF &amp; TASKS'!$C$5:$C$24,MATCH(H1433,'STAFF &amp; TASKS'!$A$5:$A$24,0))),PayRate))</f>
        <v/>
      </c>
      <c r="X1433" s="55">
        <f>IF(B1433="","",IF(OR(O1433="Cancelled",O1433="No-Show"),"",ROUND(R1433*W1433*(1+Burden),2)))</f>
        <v/>
      </c>
      <c r="Y1433" s="55">
        <f>IF(B1433="","",IF(OR(O1433="Cancelled",O1433="No-Show"),"",IF(N1433&lt;&gt;"",N1433,ROUND(R1433*SupHr*IFERROR(INDEX('PRICING'!$G$7:$G$16,MATCH(F1433,'PRICING'!$A$7:$A$16,0)),1),2))))</f>
        <v/>
      </c>
      <c r="Z1433" s="98">
        <f>IF(B1433="","",SUMIFS('MILEAGE'!$J$5:$J$1504,'MILEAGE'!$B$5:$B$1504,A1433))</f>
        <v/>
      </c>
      <c r="AA1433" s="55">
        <f>IF(B1433="","",ROUND(Z1433*MileRate,2))</f>
        <v/>
      </c>
      <c r="AB1433" s="55">
        <f>IF(B1433="","",SUMIFS('REVENUE'!$J$5:$J$1504,'REVENUE'!$B$5:$B$1504,A1433))</f>
        <v/>
      </c>
      <c r="AC1433" s="55">
        <f>IF(L1433="","",IF(OR(O1433="Cancelled",O1433="No-Show"),"",L1433-N(X1433)-N(Y1433)-AA1433-AB1433))</f>
        <v/>
      </c>
      <c r="AD1433" s="99">
        <f>IF(OR(AC1433="",N(L1433)=0),"",AC1433/L1433)</f>
        <v/>
      </c>
      <c r="AE1433" s="55">
        <f>IF(OR(AC1433="",N(R1433)=0),"",L1433/R1433)</f>
        <v/>
      </c>
      <c r="AF1433" s="100">
        <f>IF(OR(N(K1433)=0,N(J1433)+N(Q1433)=0),"",K1433-IF(N(J1433)&gt;0,J1433,Q1433))</f>
        <v/>
      </c>
      <c r="AG1433" s="99">
        <f>IF(B1433="","",IFERROR(AVERAGEIFS('QUALITY CONTROL'!$M$5:$M$304,'QUALITY CONTROL'!$B$5:$B$304,A1433),""))</f>
        <v/>
      </c>
      <c r="AH1433" s="51">
        <f>IF(B1433="","",DATE(YEAR(B1433),MONTH(B1433),1))</f>
        <v/>
      </c>
      <c r="AI1433" s="49">
        <f>IF(D1433="","",IFERROR(INDEX('CUSTOMERS'!$E$5:$E$404,MATCH(D1433,'CUSTOMERS'!$B$5:$B$404,0)),""))</f>
        <v/>
      </c>
      <c r="AJ1433" s="49">
        <f>IF(B1433="","",N(C1433))</f>
        <v/>
      </c>
      <c r="AK1433" s="49">
        <f>IF(OR(B1433="",O1433="Cancelled",O1433="Rescheduled"),"",B1433&amp;"|"&amp;(COUNTIFS('JOBS'!$B$5:$B$1504,B1433,'JOBS'!$AJ$5:$AJ$1504,"&lt;"&amp;AJ1433,'JOBS'!$O$5:$O$1504,"&lt;&gt;Cancelled",'JOBS'!$O$5:$O$1504,"&lt;&gt;Rescheduled")+COUNTIFS($B$5:B1433,B1433,$AJ$5:AJ1433,AJ1433,$O$5:O1433,"&lt;&gt;Cancelled",$O$5:O1433,"&lt;&gt;Rescheduled")))</f>
        <v/>
      </c>
      <c r="AL1433" s="49">
        <f>IF(N(U1433)&lt;=0.005,"",COUNTIFS('JOBS'!$U$5:$U$1504,"&gt;0.005",'JOBS'!$B$5:$B$1504,"&lt;"&amp;B1433)+COUNTIFS($U$5:U1433,"&gt;0.005",$B$5:B1433,B1433))</f>
        <v/>
      </c>
    </row>
    <row r="1434">
      <c r="A1434" s="46" t="inlineStr">
        <is>
          <t>J-1430</t>
        </is>
      </c>
      <c r="B1434" s="47" t="n"/>
      <c r="C1434" s="94" t="n"/>
      <c r="D1434" s="38" t="n"/>
      <c r="E1434" s="38" t="n"/>
      <c r="F1434" s="38" t="n"/>
      <c r="G1434" s="38" t="n"/>
      <c r="H1434" s="38" t="n"/>
      <c r="I1434" s="57" t="n"/>
      <c r="J1434" s="95" t="n"/>
      <c r="K1434" s="95" t="n"/>
      <c r="L1434" s="48" t="n"/>
      <c r="M1434" s="96" t="n"/>
      <c r="N1434" s="48" t="n"/>
      <c r="O1434" s="38" t="n"/>
      <c r="P1434" s="38" t="n"/>
      <c r="Q1434" s="97">
        <f>IF(OR(F1434="",E1434=""),"",IFERROR(IF(INDEX('PROPERTIES'!$F$5:$F$404,MATCH(E1434,'PROPERTIES'!$B$5:$B$404,0))=0,"",ROUND((INDEX('PROPERTIES'!$F$5:$F$404,MATCH(E1434,'PROPERTIES'!$B$5:$B$404,0))/INDEX('PRICING'!$C$7:$C$16,MATCH(F1434,'PRICING'!$A$7:$A$16,0))+INDEX('PROPERTIES'!$G$5:$G$404,MATCH(E1434,'PROPERTIES'!$B$5:$B$404,0))*INDEX('PRICING'!$D$7:$D$16,MATCH(F1434,'PRICING'!$A$7:$A$16,0))/60+INDEX('PROPERTIES'!$H$5:$H$404,MATCH(E1434,'PROPERTIES'!$B$5:$B$404,0))*INDEX('PRICING'!$E$7:$E$16,MATCH(F1434,'PRICING'!$A$7:$A$16,0))/60+INDEX('PRICING'!$F$7:$F$16,MATCH(F1434,'PRICING'!$A$7:$A$16,0))/60),2)),""))</f>
        <v/>
      </c>
      <c r="R1434" s="97">
        <f>IF(B1434="","",IF(N(K1434)&gt;0,K1434,IF(N(J1434)&gt;0,J1434,N(Q1434))))</f>
        <v/>
      </c>
      <c r="S1434" s="55">
        <f>IF(L1434="","",ROUND(L1434*(1+N(M1434)),2))</f>
        <v/>
      </c>
      <c r="T1434" s="55">
        <f>IF(B1434="","",SUMIFS('REVENUE'!$C$5:$C$1504,'REVENUE'!$B$5:$B$1504,A1434))</f>
        <v/>
      </c>
      <c r="U1434" s="55">
        <f>IF(B1434="","",IF(O1434="Completed",MAX(0,N(S1434)-T1434),""))</f>
        <v/>
      </c>
      <c r="V1434" s="49">
        <f>IF(B1434="","",IF(O1434&lt;&gt;"Completed",IF(T1434&gt;0,"Deposit","—"),IF(U1434&lt;=0.005,"Paid",IF(T1434&gt;0,"Partial","Unpaid"))))</f>
        <v/>
      </c>
      <c r="W1434" s="55">
        <f>IF(B1434="","",IFERROR(1/(1/INDEX('STAFF &amp; TASKS'!$C$5:$C$24,MATCH(H1434,'STAFF &amp; TASKS'!$A$5:$A$24,0))),PayRate))</f>
        <v/>
      </c>
      <c r="X1434" s="55">
        <f>IF(B1434="","",IF(OR(O1434="Cancelled",O1434="No-Show"),"",ROUND(R1434*W1434*(1+Burden),2)))</f>
        <v/>
      </c>
      <c r="Y1434" s="55">
        <f>IF(B1434="","",IF(OR(O1434="Cancelled",O1434="No-Show"),"",IF(N1434&lt;&gt;"",N1434,ROUND(R1434*SupHr*IFERROR(INDEX('PRICING'!$G$7:$G$16,MATCH(F1434,'PRICING'!$A$7:$A$16,0)),1),2))))</f>
        <v/>
      </c>
      <c r="Z1434" s="98">
        <f>IF(B1434="","",SUMIFS('MILEAGE'!$J$5:$J$1504,'MILEAGE'!$B$5:$B$1504,A1434))</f>
        <v/>
      </c>
      <c r="AA1434" s="55">
        <f>IF(B1434="","",ROUND(Z1434*MileRate,2))</f>
        <v/>
      </c>
      <c r="AB1434" s="55">
        <f>IF(B1434="","",SUMIFS('REVENUE'!$J$5:$J$1504,'REVENUE'!$B$5:$B$1504,A1434))</f>
        <v/>
      </c>
      <c r="AC1434" s="55">
        <f>IF(L1434="","",IF(OR(O1434="Cancelled",O1434="No-Show"),"",L1434-N(X1434)-N(Y1434)-AA1434-AB1434))</f>
        <v/>
      </c>
      <c r="AD1434" s="99">
        <f>IF(OR(AC1434="",N(L1434)=0),"",AC1434/L1434)</f>
        <v/>
      </c>
      <c r="AE1434" s="55">
        <f>IF(OR(AC1434="",N(R1434)=0),"",L1434/R1434)</f>
        <v/>
      </c>
      <c r="AF1434" s="100">
        <f>IF(OR(N(K1434)=0,N(J1434)+N(Q1434)=0),"",K1434-IF(N(J1434)&gt;0,J1434,Q1434))</f>
        <v/>
      </c>
      <c r="AG1434" s="99">
        <f>IF(B1434="","",IFERROR(AVERAGEIFS('QUALITY CONTROL'!$M$5:$M$304,'QUALITY CONTROL'!$B$5:$B$304,A1434),""))</f>
        <v/>
      </c>
      <c r="AH1434" s="51">
        <f>IF(B1434="","",DATE(YEAR(B1434),MONTH(B1434),1))</f>
        <v/>
      </c>
      <c r="AI1434" s="49">
        <f>IF(D1434="","",IFERROR(INDEX('CUSTOMERS'!$E$5:$E$404,MATCH(D1434,'CUSTOMERS'!$B$5:$B$404,0)),""))</f>
        <v/>
      </c>
      <c r="AJ1434" s="49">
        <f>IF(B1434="","",N(C1434))</f>
        <v/>
      </c>
      <c r="AK1434" s="49">
        <f>IF(OR(B1434="",O1434="Cancelled",O1434="Rescheduled"),"",B1434&amp;"|"&amp;(COUNTIFS('JOBS'!$B$5:$B$1504,B1434,'JOBS'!$AJ$5:$AJ$1504,"&lt;"&amp;AJ1434,'JOBS'!$O$5:$O$1504,"&lt;&gt;Cancelled",'JOBS'!$O$5:$O$1504,"&lt;&gt;Rescheduled")+COUNTIFS($B$5:B1434,B1434,$AJ$5:AJ1434,AJ1434,$O$5:O1434,"&lt;&gt;Cancelled",$O$5:O1434,"&lt;&gt;Rescheduled")))</f>
        <v/>
      </c>
      <c r="AL1434" s="49">
        <f>IF(N(U1434)&lt;=0.005,"",COUNTIFS('JOBS'!$U$5:$U$1504,"&gt;0.005",'JOBS'!$B$5:$B$1504,"&lt;"&amp;B1434)+COUNTIFS($U$5:U1434,"&gt;0.005",$B$5:B1434,B1434))</f>
        <v/>
      </c>
    </row>
    <row r="1435">
      <c r="A1435" s="46" t="inlineStr">
        <is>
          <t>J-1431</t>
        </is>
      </c>
      <c r="B1435" s="47" t="n"/>
      <c r="C1435" s="94" t="n"/>
      <c r="D1435" s="38" t="n"/>
      <c r="E1435" s="38" t="n"/>
      <c r="F1435" s="38" t="n"/>
      <c r="G1435" s="38" t="n"/>
      <c r="H1435" s="38" t="n"/>
      <c r="I1435" s="57" t="n"/>
      <c r="J1435" s="95" t="n"/>
      <c r="K1435" s="95" t="n"/>
      <c r="L1435" s="48" t="n"/>
      <c r="M1435" s="96" t="n"/>
      <c r="N1435" s="48" t="n"/>
      <c r="O1435" s="38" t="n"/>
      <c r="P1435" s="38" t="n"/>
      <c r="Q1435" s="97">
        <f>IF(OR(F1435="",E1435=""),"",IFERROR(IF(INDEX('PROPERTIES'!$F$5:$F$404,MATCH(E1435,'PROPERTIES'!$B$5:$B$404,0))=0,"",ROUND((INDEX('PROPERTIES'!$F$5:$F$404,MATCH(E1435,'PROPERTIES'!$B$5:$B$404,0))/INDEX('PRICING'!$C$7:$C$16,MATCH(F1435,'PRICING'!$A$7:$A$16,0))+INDEX('PROPERTIES'!$G$5:$G$404,MATCH(E1435,'PROPERTIES'!$B$5:$B$404,0))*INDEX('PRICING'!$D$7:$D$16,MATCH(F1435,'PRICING'!$A$7:$A$16,0))/60+INDEX('PROPERTIES'!$H$5:$H$404,MATCH(E1435,'PROPERTIES'!$B$5:$B$404,0))*INDEX('PRICING'!$E$7:$E$16,MATCH(F1435,'PRICING'!$A$7:$A$16,0))/60+INDEX('PRICING'!$F$7:$F$16,MATCH(F1435,'PRICING'!$A$7:$A$16,0))/60),2)),""))</f>
        <v/>
      </c>
      <c r="R1435" s="97">
        <f>IF(B1435="","",IF(N(K1435)&gt;0,K1435,IF(N(J1435)&gt;0,J1435,N(Q1435))))</f>
        <v/>
      </c>
      <c r="S1435" s="55">
        <f>IF(L1435="","",ROUND(L1435*(1+N(M1435)),2))</f>
        <v/>
      </c>
      <c r="T1435" s="55">
        <f>IF(B1435="","",SUMIFS('REVENUE'!$C$5:$C$1504,'REVENUE'!$B$5:$B$1504,A1435))</f>
        <v/>
      </c>
      <c r="U1435" s="55">
        <f>IF(B1435="","",IF(O1435="Completed",MAX(0,N(S1435)-T1435),""))</f>
        <v/>
      </c>
      <c r="V1435" s="49">
        <f>IF(B1435="","",IF(O1435&lt;&gt;"Completed",IF(T1435&gt;0,"Deposit","—"),IF(U1435&lt;=0.005,"Paid",IF(T1435&gt;0,"Partial","Unpaid"))))</f>
        <v/>
      </c>
      <c r="W1435" s="55">
        <f>IF(B1435="","",IFERROR(1/(1/INDEX('STAFF &amp; TASKS'!$C$5:$C$24,MATCH(H1435,'STAFF &amp; TASKS'!$A$5:$A$24,0))),PayRate))</f>
        <v/>
      </c>
      <c r="X1435" s="55">
        <f>IF(B1435="","",IF(OR(O1435="Cancelled",O1435="No-Show"),"",ROUND(R1435*W1435*(1+Burden),2)))</f>
        <v/>
      </c>
      <c r="Y1435" s="55">
        <f>IF(B1435="","",IF(OR(O1435="Cancelled",O1435="No-Show"),"",IF(N1435&lt;&gt;"",N1435,ROUND(R1435*SupHr*IFERROR(INDEX('PRICING'!$G$7:$G$16,MATCH(F1435,'PRICING'!$A$7:$A$16,0)),1),2))))</f>
        <v/>
      </c>
      <c r="Z1435" s="98">
        <f>IF(B1435="","",SUMIFS('MILEAGE'!$J$5:$J$1504,'MILEAGE'!$B$5:$B$1504,A1435))</f>
        <v/>
      </c>
      <c r="AA1435" s="55">
        <f>IF(B1435="","",ROUND(Z1435*MileRate,2))</f>
        <v/>
      </c>
      <c r="AB1435" s="55">
        <f>IF(B1435="","",SUMIFS('REVENUE'!$J$5:$J$1504,'REVENUE'!$B$5:$B$1504,A1435))</f>
        <v/>
      </c>
      <c r="AC1435" s="55">
        <f>IF(L1435="","",IF(OR(O1435="Cancelled",O1435="No-Show"),"",L1435-N(X1435)-N(Y1435)-AA1435-AB1435))</f>
        <v/>
      </c>
      <c r="AD1435" s="99">
        <f>IF(OR(AC1435="",N(L1435)=0),"",AC1435/L1435)</f>
        <v/>
      </c>
      <c r="AE1435" s="55">
        <f>IF(OR(AC1435="",N(R1435)=0),"",L1435/R1435)</f>
        <v/>
      </c>
      <c r="AF1435" s="100">
        <f>IF(OR(N(K1435)=0,N(J1435)+N(Q1435)=0),"",K1435-IF(N(J1435)&gt;0,J1435,Q1435))</f>
        <v/>
      </c>
      <c r="AG1435" s="99">
        <f>IF(B1435="","",IFERROR(AVERAGEIFS('QUALITY CONTROL'!$M$5:$M$304,'QUALITY CONTROL'!$B$5:$B$304,A1435),""))</f>
        <v/>
      </c>
      <c r="AH1435" s="51">
        <f>IF(B1435="","",DATE(YEAR(B1435),MONTH(B1435),1))</f>
        <v/>
      </c>
      <c r="AI1435" s="49">
        <f>IF(D1435="","",IFERROR(INDEX('CUSTOMERS'!$E$5:$E$404,MATCH(D1435,'CUSTOMERS'!$B$5:$B$404,0)),""))</f>
        <v/>
      </c>
      <c r="AJ1435" s="49">
        <f>IF(B1435="","",N(C1435))</f>
        <v/>
      </c>
      <c r="AK1435" s="49">
        <f>IF(OR(B1435="",O1435="Cancelled",O1435="Rescheduled"),"",B1435&amp;"|"&amp;(COUNTIFS('JOBS'!$B$5:$B$1504,B1435,'JOBS'!$AJ$5:$AJ$1504,"&lt;"&amp;AJ1435,'JOBS'!$O$5:$O$1504,"&lt;&gt;Cancelled",'JOBS'!$O$5:$O$1504,"&lt;&gt;Rescheduled")+COUNTIFS($B$5:B1435,B1435,$AJ$5:AJ1435,AJ1435,$O$5:O1435,"&lt;&gt;Cancelled",$O$5:O1435,"&lt;&gt;Rescheduled")))</f>
        <v/>
      </c>
      <c r="AL1435" s="49">
        <f>IF(N(U1435)&lt;=0.005,"",COUNTIFS('JOBS'!$U$5:$U$1504,"&gt;0.005",'JOBS'!$B$5:$B$1504,"&lt;"&amp;B1435)+COUNTIFS($U$5:U1435,"&gt;0.005",$B$5:B1435,B1435))</f>
        <v/>
      </c>
    </row>
    <row r="1436">
      <c r="A1436" s="46" t="inlineStr">
        <is>
          <t>J-1432</t>
        </is>
      </c>
      <c r="B1436" s="47" t="n"/>
      <c r="C1436" s="94" t="n"/>
      <c r="D1436" s="38" t="n"/>
      <c r="E1436" s="38" t="n"/>
      <c r="F1436" s="38" t="n"/>
      <c r="G1436" s="38" t="n"/>
      <c r="H1436" s="38" t="n"/>
      <c r="I1436" s="57" t="n"/>
      <c r="J1436" s="95" t="n"/>
      <c r="K1436" s="95" t="n"/>
      <c r="L1436" s="48" t="n"/>
      <c r="M1436" s="96" t="n"/>
      <c r="N1436" s="48" t="n"/>
      <c r="O1436" s="38" t="n"/>
      <c r="P1436" s="38" t="n"/>
      <c r="Q1436" s="97">
        <f>IF(OR(F1436="",E1436=""),"",IFERROR(IF(INDEX('PROPERTIES'!$F$5:$F$404,MATCH(E1436,'PROPERTIES'!$B$5:$B$404,0))=0,"",ROUND((INDEX('PROPERTIES'!$F$5:$F$404,MATCH(E1436,'PROPERTIES'!$B$5:$B$404,0))/INDEX('PRICING'!$C$7:$C$16,MATCH(F1436,'PRICING'!$A$7:$A$16,0))+INDEX('PROPERTIES'!$G$5:$G$404,MATCH(E1436,'PROPERTIES'!$B$5:$B$404,0))*INDEX('PRICING'!$D$7:$D$16,MATCH(F1436,'PRICING'!$A$7:$A$16,0))/60+INDEX('PROPERTIES'!$H$5:$H$404,MATCH(E1436,'PROPERTIES'!$B$5:$B$404,0))*INDEX('PRICING'!$E$7:$E$16,MATCH(F1436,'PRICING'!$A$7:$A$16,0))/60+INDEX('PRICING'!$F$7:$F$16,MATCH(F1436,'PRICING'!$A$7:$A$16,0))/60),2)),""))</f>
        <v/>
      </c>
      <c r="R1436" s="97">
        <f>IF(B1436="","",IF(N(K1436)&gt;0,K1436,IF(N(J1436)&gt;0,J1436,N(Q1436))))</f>
        <v/>
      </c>
      <c r="S1436" s="55">
        <f>IF(L1436="","",ROUND(L1436*(1+N(M1436)),2))</f>
        <v/>
      </c>
      <c r="T1436" s="55">
        <f>IF(B1436="","",SUMIFS('REVENUE'!$C$5:$C$1504,'REVENUE'!$B$5:$B$1504,A1436))</f>
        <v/>
      </c>
      <c r="U1436" s="55">
        <f>IF(B1436="","",IF(O1436="Completed",MAX(0,N(S1436)-T1436),""))</f>
        <v/>
      </c>
      <c r="V1436" s="49">
        <f>IF(B1436="","",IF(O1436&lt;&gt;"Completed",IF(T1436&gt;0,"Deposit","—"),IF(U1436&lt;=0.005,"Paid",IF(T1436&gt;0,"Partial","Unpaid"))))</f>
        <v/>
      </c>
      <c r="W1436" s="55">
        <f>IF(B1436="","",IFERROR(1/(1/INDEX('STAFF &amp; TASKS'!$C$5:$C$24,MATCH(H1436,'STAFF &amp; TASKS'!$A$5:$A$24,0))),PayRate))</f>
        <v/>
      </c>
      <c r="X1436" s="55">
        <f>IF(B1436="","",IF(OR(O1436="Cancelled",O1436="No-Show"),"",ROUND(R1436*W1436*(1+Burden),2)))</f>
        <v/>
      </c>
      <c r="Y1436" s="55">
        <f>IF(B1436="","",IF(OR(O1436="Cancelled",O1436="No-Show"),"",IF(N1436&lt;&gt;"",N1436,ROUND(R1436*SupHr*IFERROR(INDEX('PRICING'!$G$7:$G$16,MATCH(F1436,'PRICING'!$A$7:$A$16,0)),1),2))))</f>
        <v/>
      </c>
      <c r="Z1436" s="98">
        <f>IF(B1436="","",SUMIFS('MILEAGE'!$J$5:$J$1504,'MILEAGE'!$B$5:$B$1504,A1436))</f>
        <v/>
      </c>
      <c r="AA1436" s="55">
        <f>IF(B1436="","",ROUND(Z1436*MileRate,2))</f>
        <v/>
      </c>
      <c r="AB1436" s="55">
        <f>IF(B1436="","",SUMIFS('REVENUE'!$J$5:$J$1504,'REVENUE'!$B$5:$B$1504,A1436))</f>
        <v/>
      </c>
      <c r="AC1436" s="55">
        <f>IF(L1436="","",IF(OR(O1436="Cancelled",O1436="No-Show"),"",L1436-N(X1436)-N(Y1436)-AA1436-AB1436))</f>
        <v/>
      </c>
      <c r="AD1436" s="99">
        <f>IF(OR(AC1436="",N(L1436)=0),"",AC1436/L1436)</f>
        <v/>
      </c>
      <c r="AE1436" s="55">
        <f>IF(OR(AC1436="",N(R1436)=0),"",L1436/R1436)</f>
        <v/>
      </c>
      <c r="AF1436" s="100">
        <f>IF(OR(N(K1436)=0,N(J1436)+N(Q1436)=0),"",K1436-IF(N(J1436)&gt;0,J1436,Q1436))</f>
        <v/>
      </c>
      <c r="AG1436" s="99">
        <f>IF(B1436="","",IFERROR(AVERAGEIFS('QUALITY CONTROL'!$M$5:$M$304,'QUALITY CONTROL'!$B$5:$B$304,A1436),""))</f>
        <v/>
      </c>
      <c r="AH1436" s="51">
        <f>IF(B1436="","",DATE(YEAR(B1436),MONTH(B1436),1))</f>
        <v/>
      </c>
      <c r="AI1436" s="49">
        <f>IF(D1436="","",IFERROR(INDEX('CUSTOMERS'!$E$5:$E$404,MATCH(D1436,'CUSTOMERS'!$B$5:$B$404,0)),""))</f>
        <v/>
      </c>
      <c r="AJ1436" s="49">
        <f>IF(B1436="","",N(C1436))</f>
        <v/>
      </c>
      <c r="AK1436" s="49">
        <f>IF(OR(B1436="",O1436="Cancelled",O1436="Rescheduled"),"",B1436&amp;"|"&amp;(COUNTIFS('JOBS'!$B$5:$B$1504,B1436,'JOBS'!$AJ$5:$AJ$1504,"&lt;"&amp;AJ1436,'JOBS'!$O$5:$O$1504,"&lt;&gt;Cancelled",'JOBS'!$O$5:$O$1504,"&lt;&gt;Rescheduled")+COUNTIFS($B$5:B1436,B1436,$AJ$5:AJ1436,AJ1436,$O$5:O1436,"&lt;&gt;Cancelled",$O$5:O1436,"&lt;&gt;Rescheduled")))</f>
        <v/>
      </c>
      <c r="AL1436" s="49">
        <f>IF(N(U1436)&lt;=0.005,"",COUNTIFS('JOBS'!$U$5:$U$1504,"&gt;0.005",'JOBS'!$B$5:$B$1504,"&lt;"&amp;B1436)+COUNTIFS($U$5:U1436,"&gt;0.005",$B$5:B1436,B1436))</f>
        <v/>
      </c>
    </row>
    <row r="1437">
      <c r="A1437" s="46" t="inlineStr">
        <is>
          <t>J-1433</t>
        </is>
      </c>
      <c r="B1437" s="47" t="n"/>
      <c r="C1437" s="94" t="n"/>
      <c r="D1437" s="38" t="n"/>
      <c r="E1437" s="38" t="n"/>
      <c r="F1437" s="38" t="n"/>
      <c r="G1437" s="38" t="n"/>
      <c r="H1437" s="38" t="n"/>
      <c r="I1437" s="57" t="n"/>
      <c r="J1437" s="95" t="n"/>
      <c r="K1437" s="95" t="n"/>
      <c r="L1437" s="48" t="n"/>
      <c r="M1437" s="96" t="n"/>
      <c r="N1437" s="48" t="n"/>
      <c r="O1437" s="38" t="n"/>
      <c r="P1437" s="38" t="n"/>
      <c r="Q1437" s="97">
        <f>IF(OR(F1437="",E1437=""),"",IFERROR(IF(INDEX('PROPERTIES'!$F$5:$F$404,MATCH(E1437,'PROPERTIES'!$B$5:$B$404,0))=0,"",ROUND((INDEX('PROPERTIES'!$F$5:$F$404,MATCH(E1437,'PROPERTIES'!$B$5:$B$404,0))/INDEX('PRICING'!$C$7:$C$16,MATCH(F1437,'PRICING'!$A$7:$A$16,0))+INDEX('PROPERTIES'!$G$5:$G$404,MATCH(E1437,'PROPERTIES'!$B$5:$B$404,0))*INDEX('PRICING'!$D$7:$D$16,MATCH(F1437,'PRICING'!$A$7:$A$16,0))/60+INDEX('PROPERTIES'!$H$5:$H$404,MATCH(E1437,'PROPERTIES'!$B$5:$B$404,0))*INDEX('PRICING'!$E$7:$E$16,MATCH(F1437,'PRICING'!$A$7:$A$16,0))/60+INDEX('PRICING'!$F$7:$F$16,MATCH(F1437,'PRICING'!$A$7:$A$16,0))/60),2)),""))</f>
        <v/>
      </c>
      <c r="R1437" s="97">
        <f>IF(B1437="","",IF(N(K1437)&gt;0,K1437,IF(N(J1437)&gt;0,J1437,N(Q1437))))</f>
        <v/>
      </c>
      <c r="S1437" s="55">
        <f>IF(L1437="","",ROUND(L1437*(1+N(M1437)),2))</f>
        <v/>
      </c>
      <c r="T1437" s="55">
        <f>IF(B1437="","",SUMIFS('REVENUE'!$C$5:$C$1504,'REVENUE'!$B$5:$B$1504,A1437))</f>
        <v/>
      </c>
      <c r="U1437" s="55">
        <f>IF(B1437="","",IF(O1437="Completed",MAX(0,N(S1437)-T1437),""))</f>
        <v/>
      </c>
      <c r="V1437" s="49">
        <f>IF(B1437="","",IF(O1437&lt;&gt;"Completed",IF(T1437&gt;0,"Deposit","—"),IF(U1437&lt;=0.005,"Paid",IF(T1437&gt;0,"Partial","Unpaid"))))</f>
        <v/>
      </c>
      <c r="W1437" s="55">
        <f>IF(B1437="","",IFERROR(1/(1/INDEX('STAFF &amp; TASKS'!$C$5:$C$24,MATCH(H1437,'STAFF &amp; TASKS'!$A$5:$A$24,0))),PayRate))</f>
        <v/>
      </c>
      <c r="X1437" s="55">
        <f>IF(B1437="","",IF(OR(O1437="Cancelled",O1437="No-Show"),"",ROUND(R1437*W1437*(1+Burden),2)))</f>
        <v/>
      </c>
      <c r="Y1437" s="55">
        <f>IF(B1437="","",IF(OR(O1437="Cancelled",O1437="No-Show"),"",IF(N1437&lt;&gt;"",N1437,ROUND(R1437*SupHr*IFERROR(INDEX('PRICING'!$G$7:$G$16,MATCH(F1437,'PRICING'!$A$7:$A$16,0)),1),2))))</f>
        <v/>
      </c>
      <c r="Z1437" s="98">
        <f>IF(B1437="","",SUMIFS('MILEAGE'!$J$5:$J$1504,'MILEAGE'!$B$5:$B$1504,A1437))</f>
        <v/>
      </c>
      <c r="AA1437" s="55">
        <f>IF(B1437="","",ROUND(Z1437*MileRate,2))</f>
        <v/>
      </c>
      <c r="AB1437" s="55">
        <f>IF(B1437="","",SUMIFS('REVENUE'!$J$5:$J$1504,'REVENUE'!$B$5:$B$1504,A1437))</f>
        <v/>
      </c>
      <c r="AC1437" s="55">
        <f>IF(L1437="","",IF(OR(O1437="Cancelled",O1437="No-Show"),"",L1437-N(X1437)-N(Y1437)-AA1437-AB1437))</f>
        <v/>
      </c>
      <c r="AD1437" s="99">
        <f>IF(OR(AC1437="",N(L1437)=0),"",AC1437/L1437)</f>
        <v/>
      </c>
      <c r="AE1437" s="55">
        <f>IF(OR(AC1437="",N(R1437)=0),"",L1437/R1437)</f>
        <v/>
      </c>
      <c r="AF1437" s="100">
        <f>IF(OR(N(K1437)=0,N(J1437)+N(Q1437)=0),"",K1437-IF(N(J1437)&gt;0,J1437,Q1437))</f>
        <v/>
      </c>
      <c r="AG1437" s="99">
        <f>IF(B1437="","",IFERROR(AVERAGEIFS('QUALITY CONTROL'!$M$5:$M$304,'QUALITY CONTROL'!$B$5:$B$304,A1437),""))</f>
        <v/>
      </c>
      <c r="AH1437" s="51">
        <f>IF(B1437="","",DATE(YEAR(B1437),MONTH(B1437),1))</f>
        <v/>
      </c>
      <c r="AI1437" s="49">
        <f>IF(D1437="","",IFERROR(INDEX('CUSTOMERS'!$E$5:$E$404,MATCH(D1437,'CUSTOMERS'!$B$5:$B$404,0)),""))</f>
        <v/>
      </c>
      <c r="AJ1437" s="49">
        <f>IF(B1437="","",N(C1437))</f>
        <v/>
      </c>
      <c r="AK1437" s="49">
        <f>IF(OR(B1437="",O1437="Cancelled",O1437="Rescheduled"),"",B1437&amp;"|"&amp;(COUNTIFS('JOBS'!$B$5:$B$1504,B1437,'JOBS'!$AJ$5:$AJ$1504,"&lt;"&amp;AJ1437,'JOBS'!$O$5:$O$1504,"&lt;&gt;Cancelled",'JOBS'!$O$5:$O$1504,"&lt;&gt;Rescheduled")+COUNTIFS($B$5:B1437,B1437,$AJ$5:AJ1437,AJ1437,$O$5:O1437,"&lt;&gt;Cancelled",$O$5:O1437,"&lt;&gt;Rescheduled")))</f>
        <v/>
      </c>
      <c r="AL1437" s="49">
        <f>IF(N(U1437)&lt;=0.005,"",COUNTIFS('JOBS'!$U$5:$U$1504,"&gt;0.005",'JOBS'!$B$5:$B$1504,"&lt;"&amp;B1437)+COUNTIFS($U$5:U1437,"&gt;0.005",$B$5:B1437,B1437))</f>
        <v/>
      </c>
    </row>
    <row r="1438">
      <c r="A1438" s="46" t="inlineStr">
        <is>
          <t>J-1434</t>
        </is>
      </c>
      <c r="B1438" s="47" t="n"/>
      <c r="C1438" s="94" t="n"/>
      <c r="D1438" s="38" t="n"/>
      <c r="E1438" s="38" t="n"/>
      <c r="F1438" s="38" t="n"/>
      <c r="G1438" s="38" t="n"/>
      <c r="H1438" s="38" t="n"/>
      <c r="I1438" s="57" t="n"/>
      <c r="J1438" s="95" t="n"/>
      <c r="K1438" s="95" t="n"/>
      <c r="L1438" s="48" t="n"/>
      <c r="M1438" s="96" t="n"/>
      <c r="N1438" s="48" t="n"/>
      <c r="O1438" s="38" t="n"/>
      <c r="P1438" s="38" t="n"/>
      <c r="Q1438" s="97">
        <f>IF(OR(F1438="",E1438=""),"",IFERROR(IF(INDEX('PROPERTIES'!$F$5:$F$404,MATCH(E1438,'PROPERTIES'!$B$5:$B$404,0))=0,"",ROUND((INDEX('PROPERTIES'!$F$5:$F$404,MATCH(E1438,'PROPERTIES'!$B$5:$B$404,0))/INDEX('PRICING'!$C$7:$C$16,MATCH(F1438,'PRICING'!$A$7:$A$16,0))+INDEX('PROPERTIES'!$G$5:$G$404,MATCH(E1438,'PROPERTIES'!$B$5:$B$404,0))*INDEX('PRICING'!$D$7:$D$16,MATCH(F1438,'PRICING'!$A$7:$A$16,0))/60+INDEX('PROPERTIES'!$H$5:$H$404,MATCH(E1438,'PROPERTIES'!$B$5:$B$404,0))*INDEX('PRICING'!$E$7:$E$16,MATCH(F1438,'PRICING'!$A$7:$A$16,0))/60+INDEX('PRICING'!$F$7:$F$16,MATCH(F1438,'PRICING'!$A$7:$A$16,0))/60),2)),""))</f>
        <v/>
      </c>
      <c r="R1438" s="97">
        <f>IF(B1438="","",IF(N(K1438)&gt;0,K1438,IF(N(J1438)&gt;0,J1438,N(Q1438))))</f>
        <v/>
      </c>
      <c r="S1438" s="55">
        <f>IF(L1438="","",ROUND(L1438*(1+N(M1438)),2))</f>
        <v/>
      </c>
      <c r="T1438" s="55">
        <f>IF(B1438="","",SUMIFS('REVENUE'!$C$5:$C$1504,'REVENUE'!$B$5:$B$1504,A1438))</f>
        <v/>
      </c>
      <c r="U1438" s="55">
        <f>IF(B1438="","",IF(O1438="Completed",MAX(0,N(S1438)-T1438),""))</f>
        <v/>
      </c>
      <c r="V1438" s="49">
        <f>IF(B1438="","",IF(O1438&lt;&gt;"Completed",IF(T1438&gt;0,"Deposit","—"),IF(U1438&lt;=0.005,"Paid",IF(T1438&gt;0,"Partial","Unpaid"))))</f>
        <v/>
      </c>
      <c r="W1438" s="55">
        <f>IF(B1438="","",IFERROR(1/(1/INDEX('STAFF &amp; TASKS'!$C$5:$C$24,MATCH(H1438,'STAFF &amp; TASKS'!$A$5:$A$24,0))),PayRate))</f>
        <v/>
      </c>
      <c r="X1438" s="55">
        <f>IF(B1438="","",IF(OR(O1438="Cancelled",O1438="No-Show"),"",ROUND(R1438*W1438*(1+Burden),2)))</f>
        <v/>
      </c>
      <c r="Y1438" s="55">
        <f>IF(B1438="","",IF(OR(O1438="Cancelled",O1438="No-Show"),"",IF(N1438&lt;&gt;"",N1438,ROUND(R1438*SupHr*IFERROR(INDEX('PRICING'!$G$7:$G$16,MATCH(F1438,'PRICING'!$A$7:$A$16,0)),1),2))))</f>
        <v/>
      </c>
      <c r="Z1438" s="98">
        <f>IF(B1438="","",SUMIFS('MILEAGE'!$J$5:$J$1504,'MILEAGE'!$B$5:$B$1504,A1438))</f>
        <v/>
      </c>
      <c r="AA1438" s="55">
        <f>IF(B1438="","",ROUND(Z1438*MileRate,2))</f>
        <v/>
      </c>
      <c r="AB1438" s="55">
        <f>IF(B1438="","",SUMIFS('REVENUE'!$J$5:$J$1504,'REVENUE'!$B$5:$B$1504,A1438))</f>
        <v/>
      </c>
      <c r="AC1438" s="55">
        <f>IF(L1438="","",IF(OR(O1438="Cancelled",O1438="No-Show"),"",L1438-N(X1438)-N(Y1438)-AA1438-AB1438))</f>
        <v/>
      </c>
      <c r="AD1438" s="99">
        <f>IF(OR(AC1438="",N(L1438)=0),"",AC1438/L1438)</f>
        <v/>
      </c>
      <c r="AE1438" s="55">
        <f>IF(OR(AC1438="",N(R1438)=0),"",L1438/R1438)</f>
        <v/>
      </c>
      <c r="AF1438" s="100">
        <f>IF(OR(N(K1438)=0,N(J1438)+N(Q1438)=0),"",K1438-IF(N(J1438)&gt;0,J1438,Q1438))</f>
        <v/>
      </c>
      <c r="AG1438" s="99">
        <f>IF(B1438="","",IFERROR(AVERAGEIFS('QUALITY CONTROL'!$M$5:$M$304,'QUALITY CONTROL'!$B$5:$B$304,A1438),""))</f>
        <v/>
      </c>
      <c r="AH1438" s="51">
        <f>IF(B1438="","",DATE(YEAR(B1438),MONTH(B1438),1))</f>
        <v/>
      </c>
      <c r="AI1438" s="49">
        <f>IF(D1438="","",IFERROR(INDEX('CUSTOMERS'!$E$5:$E$404,MATCH(D1438,'CUSTOMERS'!$B$5:$B$404,0)),""))</f>
        <v/>
      </c>
      <c r="AJ1438" s="49">
        <f>IF(B1438="","",N(C1438))</f>
        <v/>
      </c>
      <c r="AK1438" s="49">
        <f>IF(OR(B1438="",O1438="Cancelled",O1438="Rescheduled"),"",B1438&amp;"|"&amp;(COUNTIFS('JOBS'!$B$5:$B$1504,B1438,'JOBS'!$AJ$5:$AJ$1504,"&lt;"&amp;AJ1438,'JOBS'!$O$5:$O$1504,"&lt;&gt;Cancelled",'JOBS'!$O$5:$O$1504,"&lt;&gt;Rescheduled")+COUNTIFS($B$5:B1438,B1438,$AJ$5:AJ1438,AJ1438,$O$5:O1438,"&lt;&gt;Cancelled",$O$5:O1438,"&lt;&gt;Rescheduled")))</f>
        <v/>
      </c>
      <c r="AL1438" s="49">
        <f>IF(N(U1438)&lt;=0.005,"",COUNTIFS('JOBS'!$U$5:$U$1504,"&gt;0.005",'JOBS'!$B$5:$B$1504,"&lt;"&amp;B1438)+COUNTIFS($U$5:U1438,"&gt;0.005",$B$5:B1438,B1438))</f>
        <v/>
      </c>
    </row>
    <row r="1439">
      <c r="A1439" s="46" t="inlineStr">
        <is>
          <t>J-1435</t>
        </is>
      </c>
      <c r="B1439" s="47" t="n"/>
      <c r="C1439" s="94" t="n"/>
      <c r="D1439" s="38" t="n"/>
      <c r="E1439" s="38" t="n"/>
      <c r="F1439" s="38" t="n"/>
      <c r="G1439" s="38" t="n"/>
      <c r="H1439" s="38" t="n"/>
      <c r="I1439" s="57" t="n"/>
      <c r="J1439" s="95" t="n"/>
      <c r="K1439" s="95" t="n"/>
      <c r="L1439" s="48" t="n"/>
      <c r="M1439" s="96" t="n"/>
      <c r="N1439" s="48" t="n"/>
      <c r="O1439" s="38" t="n"/>
      <c r="P1439" s="38" t="n"/>
      <c r="Q1439" s="97">
        <f>IF(OR(F1439="",E1439=""),"",IFERROR(IF(INDEX('PROPERTIES'!$F$5:$F$404,MATCH(E1439,'PROPERTIES'!$B$5:$B$404,0))=0,"",ROUND((INDEX('PROPERTIES'!$F$5:$F$404,MATCH(E1439,'PROPERTIES'!$B$5:$B$404,0))/INDEX('PRICING'!$C$7:$C$16,MATCH(F1439,'PRICING'!$A$7:$A$16,0))+INDEX('PROPERTIES'!$G$5:$G$404,MATCH(E1439,'PROPERTIES'!$B$5:$B$404,0))*INDEX('PRICING'!$D$7:$D$16,MATCH(F1439,'PRICING'!$A$7:$A$16,0))/60+INDEX('PROPERTIES'!$H$5:$H$404,MATCH(E1439,'PROPERTIES'!$B$5:$B$404,0))*INDEX('PRICING'!$E$7:$E$16,MATCH(F1439,'PRICING'!$A$7:$A$16,0))/60+INDEX('PRICING'!$F$7:$F$16,MATCH(F1439,'PRICING'!$A$7:$A$16,0))/60),2)),""))</f>
        <v/>
      </c>
      <c r="R1439" s="97">
        <f>IF(B1439="","",IF(N(K1439)&gt;0,K1439,IF(N(J1439)&gt;0,J1439,N(Q1439))))</f>
        <v/>
      </c>
      <c r="S1439" s="55">
        <f>IF(L1439="","",ROUND(L1439*(1+N(M1439)),2))</f>
        <v/>
      </c>
      <c r="T1439" s="55">
        <f>IF(B1439="","",SUMIFS('REVENUE'!$C$5:$C$1504,'REVENUE'!$B$5:$B$1504,A1439))</f>
        <v/>
      </c>
      <c r="U1439" s="55">
        <f>IF(B1439="","",IF(O1439="Completed",MAX(0,N(S1439)-T1439),""))</f>
        <v/>
      </c>
      <c r="V1439" s="49">
        <f>IF(B1439="","",IF(O1439&lt;&gt;"Completed",IF(T1439&gt;0,"Deposit","—"),IF(U1439&lt;=0.005,"Paid",IF(T1439&gt;0,"Partial","Unpaid"))))</f>
        <v/>
      </c>
      <c r="W1439" s="55">
        <f>IF(B1439="","",IFERROR(1/(1/INDEX('STAFF &amp; TASKS'!$C$5:$C$24,MATCH(H1439,'STAFF &amp; TASKS'!$A$5:$A$24,0))),PayRate))</f>
        <v/>
      </c>
      <c r="X1439" s="55">
        <f>IF(B1439="","",IF(OR(O1439="Cancelled",O1439="No-Show"),"",ROUND(R1439*W1439*(1+Burden),2)))</f>
        <v/>
      </c>
      <c r="Y1439" s="55">
        <f>IF(B1439="","",IF(OR(O1439="Cancelled",O1439="No-Show"),"",IF(N1439&lt;&gt;"",N1439,ROUND(R1439*SupHr*IFERROR(INDEX('PRICING'!$G$7:$G$16,MATCH(F1439,'PRICING'!$A$7:$A$16,0)),1),2))))</f>
        <v/>
      </c>
      <c r="Z1439" s="98">
        <f>IF(B1439="","",SUMIFS('MILEAGE'!$J$5:$J$1504,'MILEAGE'!$B$5:$B$1504,A1439))</f>
        <v/>
      </c>
      <c r="AA1439" s="55">
        <f>IF(B1439="","",ROUND(Z1439*MileRate,2))</f>
        <v/>
      </c>
      <c r="AB1439" s="55">
        <f>IF(B1439="","",SUMIFS('REVENUE'!$J$5:$J$1504,'REVENUE'!$B$5:$B$1504,A1439))</f>
        <v/>
      </c>
      <c r="AC1439" s="55">
        <f>IF(L1439="","",IF(OR(O1439="Cancelled",O1439="No-Show"),"",L1439-N(X1439)-N(Y1439)-AA1439-AB1439))</f>
        <v/>
      </c>
      <c r="AD1439" s="99">
        <f>IF(OR(AC1439="",N(L1439)=0),"",AC1439/L1439)</f>
        <v/>
      </c>
      <c r="AE1439" s="55">
        <f>IF(OR(AC1439="",N(R1439)=0),"",L1439/R1439)</f>
        <v/>
      </c>
      <c r="AF1439" s="100">
        <f>IF(OR(N(K1439)=0,N(J1439)+N(Q1439)=0),"",K1439-IF(N(J1439)&gt;0,J1439,Q1439))</f>
        <v/>
      </c>
      <c r="AG1439" s="99">
        <f>IF(B1439="","",IFERROR(AVERAGEIFS('QUALITY CONTROL'!$M$5:$M$304,'QUALITY CONTROL'!$B$5:$B$304,A1439),""))</f>
        <v/>
      </c>
      <c r="AH1439" s="51">
        <f>IF(B1439="","",DATE(YEAR(B1439),MONTH(B1439),1))</f>
        <v/>
      </c>
      <c r="AI1439" s="49">
        <f>IF(D1439="","",IFERROR(INDEX('CUSTOMERS'!$E$5:$E$404,MATCH(D1439,'CUSTOMERS'!$B$5:$B$404,0)),""))</f>
        <v/>
      </c>
      <c r="AJ1439" s="49">
        <f>IF(B1439="","",N(C1439))</f>
        <v/>
      </c>
      <c r="AK1439" s="49">
        <f>IF(OR(B1439="",O1439="Cancelled",O1439="Rescheduled"),"",B1439&amp;"|"&amp;(COUNTIFS('JOBS'!$B$5:$B$1504,B1439,'JOBS'!$AJ$5:$AJ$1504,"&lt;"&amp;AJ1439,'JOBS'!$O$5:$O$1504,"&lt;&gt;Cancelled",'JOBS'!$O$5:$O$1504,"&lt;&gt;Rescheduled")+COUNTIFS($B$5:B1439,B1439,$AJ$5:AJ1439,AJ1439,$O$5:O1439,"&lt;&gt;Cancelled",$O$5:O1439,"&lt;&gt;Rescheduled")))</f>
        <v/>
      </c>
      <c r="AL1439" s="49">
        <f>IF(N(U1439)&lt;=0.005,"",COUNTIFS('JOBS'!$U$5:$U$1504,"&gt;0.005",'JOBS'!$B$5:$B$1504,"&lt;"&amp;B1439)+COUNTIFS($U$5:U1439,"&gt;0.005",$B$5:B1439,B1439))</f>
        <v/>
      </c>
    </row>
    <row r="1440">
      <c r="A1440" s="46" t="inlineStr">
        <is>
          <t>J-1436</t>
        </is>
      </c>
      <c r="B1440" s="47" t="n"/>
      <c r="C1440" s="94" t="n"/>
      <c r="D1440" s="38" t="n"/>
      <c r="E1440" s="38" t="n"/>
      <c r="F1440" s="38" t="n"/>
      <c r="G1440" s="38" t="n"/>
      <c r="H1440" s="38" t="n"/>
      <c r="I1440" s="57" t="n"/>
      <c r="J1440" s="95" t="n"/>
      <c r="K1440" s="95" t="n"/>
      <c r="L1440" s="48" t="n"/>
      <c r="M1440" s="96" t="n"/>
      <c r="N1440" s="48" t="n"/>
      <c r="O1440" s="38" t="n"/>
      <c r="P1440" s="38" t="n"/>
      <c r="Q1440" s="97">
        <f>IF(OR(F1440="",E1440=""),"",IFERROR(IF(INDEX('PROPERTIES'!$F$5:$F$404,MATCH(E1440,'PROPERTIES'!$B$5:$B$404,0))=0,"",ROUND((INDEX('PROPERTIES'!$F$5:$F$404,MATCH(E1440,'PROPERTIES'!$B$5:$B$404,0))/INDEX('PRICING'!$C$7:$C$16,MATCH(F1440,'PRICING'!$A$7:$A$16,0))+INDEX('PROPERTIES'!$G$5:$G$404,MATCH(E1440,'PROPERTIES'!$B$5:$B$404,0))*INDEX('PRICING'!$D$7:$D$16,MATCH(F1440,'PRICING'!$A$7:$A$16,0))/60+INDEX('PROPERTIES'!$H$5:$H$404,MATCH(E1440,'PROPERTIES'!$B$5:$B$404,0))*INDEX('PRICING'!$E$7:$E$16,MATCH(F1440,'PRICING'!$A$7:$A$16,0))/60+INDEX('PRICING'!$F$7:$F$16,MATCH(F1440,'PRICING'!$A$7:$A$16,0))/60),2)),""))</f>
        <v/>
      </c>
      <c r="R1440" s="97">
        <f>IF(B1440="","",IF(N(K1440)&gt;0,K1440,IF(N(J1440)&gt;0,J1440,N(Q1440))))</f>
        <v/>
      </c>
      <c r="S1440" s="55">
        <f>IF(L1440="","",ROUND(L1440*(1+N(M1440)),2))</f>
        <v/>
      </c>
      <c r="T1440" s="55">
        <f>IF(B1440="","",SUMIFS('REVENUE'!$C$5:$C$1504,'REVENUE'!$B$5:$B$1504,A1440))</f>
        <v/>
      </c>
      <c r="U1440" s="55">
        <f>IF(B1440="","",IF(O1440="Completed",MAX(0,N(S1440)-T1440),""))</f>
        <v/>
      </c>
      <c r="V1440" s="49">
        <f>IF(B1440="","",IF(O1440&lt;&gt;"Completed",IF(T1440&gt;0,"Deposit","—"),IF(U1440&lt;=0.005,"Paid",IF(T1440&gt;0,"Partial","Unpaid"))))</f>
        <v/>
      </c>
      <c r="W1440" s="55">
        <f>IF(B1440="","",IFERROR(1/(1/INDEX('STAFF &amp; TASKS'!$C$5:$C$24,MATCH(H1440,'STAFF &amp; TASKS'!$A$5:$A$24,0))),PayRate))</f>
        <v/>
      </c>
      <c r="X1440" s="55">
        <f>IF(B1440="","",IF(OR(O1440="Cancelled",O1440="No-Show"),"",ROUND(R1440*W1440*(1+Burden),2)))</f>
        <v/>
      </c>
      <c r="Y1440" s="55">
        <f>IF(B1440="","",IF(OR(O1440="Cancelled",O1440="No-Show"),"",IF(N1440&lt;&gt;"",N1440,ROUND(R1440*SupHr*IFERROR(INDEX('PRICING'!$G$7:$G$16,MATCH(F1440,'PRICING'!$A$7:$A$16,0)),1),2))))</f>
        <v/>
      </c>
      <c r="Z1440" s="98">
        <f>IF(B1440="","",SUMIFS('MILEAGE'!$J$5:$J$1504,'MILEAGE'!$B$5:$B$1504,A1440))</f>
        <v/>
      </c>
      <c r="AA1440" s="55">
        <f>IF(B1440="","",ROUND(Z1440*MileRate,2))</f>
        <v/>
      </c>
      <c r="AB1440" s="55">
        <f>IF(B1440="","",SUMIFS('REVENUE'!$J$5:$J$1504,'REVENUE'!$B$5:$B$1504,A1440))</f>
        <v/>
      </c>
      <c r="AC1440" s="55">
        <f>IF(L1440="","",IF(OR(O1440="Cancelled",O1440="No-Show"),"",L1440-N(X1440)-N(Y1440)-AA1440-AB1440))</f>
        <v/>
      </c>
      <c r="AD1440" s="99">
        <f>IF(OR(AC1440="",N(L1440)=0),"",AC1440/L1440)</f>
        <v/>
      </c>
      <c r="AE1440" s="55">
        <f>IF(OR(AC1440="",N(R1440)=0),"",L1440/R1440)</f>
        <v/>
      </c>
      <c r="AF1440" s="100">
        <f>IF(OR(N(K1440)=0,N(J1440)+N(Q1440)=0),"",K1440-IF(N(J1440)&gt;0,J1440,Q1440))</f>
        <v/>
      </c>
      <c r="AG1440" s="99">
        <f>IF(B1440="","",IFERROR(AVERAGEIFS('QUALITY CONTROL'!$M$5:$M$304,'QUALITY CONTROL'!$B$5:$B$304,A1440),""))</f>
        <v/>
      </c>
      <c r="AH1440" s="51">
        <f>IF(B1440="","",DATE(YEAR(B1440),MONTH(B1440),1))</f>
        <v/>
      </c>
      <c r="AI1440" s="49">
        <f>IF(D1440="","",IFERROR(INDEX('CUSTOMERS'!$E$5:$E$404,MATCH(D1440,'CUSTOMERS'!$B$5:$B$404,0)),""))</f>
        <v/>
      </c>
      <c r="AJ1440" s="49">
        <f>IF(B1440="","",N(C1440))</f>
        <v/>
      </c>
      <c r="AK1440" s="49">
        <f>IF(OR(B1440="",O1440="Cancelled",O1440="Rescheduled"),"",B1440&amp;"|"&amp;(COUNTIFS('JOBS'!$B$5:$B$1504,B1440,'JOBS'!$AJ$5:$AJ$1504,"&lt;"&amp;AJ1440,'JOBS'!$O$5:$O$1504,"&lt;&gt;Cancelled",'JOBS'!$O$5:$O$1504,"&lt;&gt;Rescheduled")+COUNTIFS($B$5:B1440,B1440,$AJ$5:AJ1440,AJ1440,$O$5:O1440,"&lt;&gt;Cancelled",$O$5:O1440,"&lt;&gt;Rescheduled")))</f>
        <v/>
      </c>
      <c r="AL1440" s="49">
        <f>IF(N(U1440)&lt;=0.005,"",COUNTIFS('JOBS'!$U$5:$U$1504,"&gt;0.005",'JOBS'!$B$5:$B$1504,"&lt;"&amp;B1440)+COUNTIFS($U$5:U1440,"&gt;0.005",$B$5:B1440,B1440))</f>
        <v/>
      </c>
    </row>
    <row r="1441">
      <c r="A1441" s="46" t="inlineStr">
        <is>
          <t>J-1437</t>
        </is>
      </c>
      <c r="B1441" s="47" t="n"/>
      <c r="C1441" s="94" t="n"/>
      <c r="D1441" s="38" t="n"/>
      <c r="E1441" s="38" t="n"/>
      <c r="F1441" s="38" t="n"/>
      <c r="G1441" s="38" t="n"/>
      <c r="H1441" s="38" t="n"/>
      <c r="I1441" s="57" t="n"/>
      <c r="J1441" s="95" t="n"/>
      <c r="K1441" s="95" t="n"/>
      <c r="L1441" s="48" t="n"/>
      <c r="M1441" s="96" t="n"/>
      <c r="N1441" s="48" t="n"/>
      <c r="O1441" s="38" t="n"/>
      <c r="P1441" s="38" t="n"/>
      <c r="Q1441" s="97">
        <f>IF(OR(F1441="",E1441=""),"",IFERROR(IF(INDEX('PROPERTIES'!$F$5:$F$404,MATCH(E1441,'PROPERTIES'!$B$5:$B$404,0))=0,"",ROUND((INDEX('PROPERTIES'!$F$5:$F$404,MATCH(E1441,'PROPERTIES'!$B$5:$B$404,0))/INDEX('PRICING'!$C$7:$C$16,MATCH(F1441,'PRICING'!$A$7:$A$16,0))+INDEX('PROPERTIES'!$G$5:$G$404,MATCH(E1441,'PROPERTIES'!$B$5:$B$404,0))*INDEX('PRICING'!$D$7:$D$16,MATCH(F1441,'PRICING'!$A$7:$A$16,0))/60+INDEX('PROPERTIES'!$H$5:$H$404,MATCH(E1441,'PROPERTIES'!$B$5:$B$404,0))*INDEX('PRICING'!$E$7:$E$16,MATCH(F1441,'PRICING'!$A$7:$A$16,0))/60+INDEX('PRICING'!$F$7:$F$16,MATCH(F1441,'PRICING'!$A$7:$A$16,0))/60),2)),""))</f>
        <v/>
      </c>
      <c r="R1441" s="97">
        <f>IF(B1441="","",IF(N(K1441)&gt;0,K1441,IF(N(J1441)&gt;0,J1441,N(Q1441))))</f>
        <v/>
      </c>
      <c r="S1441" s="55">
        <f>IF(L1441="","",ROUND(L1441*(1+N(M1441)),2))</f>
        <v/>
      </c>
      <c r="T1441" s="55">
        <f>IF(B1441="","",SUMIFS('REVENUE'!$C$5:$C$1504,'REVENUE'!$B$5:$B$1504,A1441))</f>
        <v/>
      </c>
      <c r="U1441" s="55">
        <f>IF(B1441="","",IF(O1441="Completed",MAX(0,N(S1441)-T1441),""))</f>
        <v/>
      </c>
      <c r="V1441" s="49">
        <f>IF(B1441="","",IF(O1441&lt;&gt;"Completed",IF(T1441&gt;0,"Deposit","—"),IF(U1441&lt;=0.005,"Paid",IF(T1441&gt;0,"Partial","Unpaid"))))</f>
        <v/>
      </c>
      <c r="W1441" s="55">
        <f>IF(B1441="","",IFERROR(1/(1/INDEX('STAFF &amp; TASKS'!$C$5:$C$24,MATCH(H1441,'STAFF &amp; TASKS'!$A$5:$A$24,0))),PayRate))</f>
        <v/>
      </c>
      <c r="X1441" s="55">
        <f>IF(B1441="","",IF(OR(O1441="Cancelled",O1441="No-Show"),"",ROUND(R1441*W1441*(1+Burden),2)))</f>
        <v/>
      </c>
      <c r="Y1441" s="55">
        <f>IF(B1441="","",IF(OR(O1441="Cancelled",O1441="No-Show"),"",IF(N1441&lt;&gt;"",N1441,ROUND(R1441*SupHr*IFERROR(INDEX('PRICING'!$G$7:$G$16,MATCH(F1441,'PRICING'!$A$7:$A$16,0)),1),2))))</f>
        <v/>
      </c>
      <c r="Z1441" s="98">
        <f>IF(B1441="","",SUMIFS('MILEAGE'!$J$5:$J$1504,'MILEAGE'!$B$5:$B$1504,A1441))</f>
        <v/>
      </c>
      <c r="AA1441" s="55">
        <f>IF(B1441="","",ROUND(Z1441*MileRate,2))</f>
        <v/>
      </c>
      <c r="AB1441" s="55">
        <f>IF(B1441="","",SUMIFS('REVENUE'!$J$5:$J$1504,'REVENUE'!$B$5:$B$1504,A1441))</f>
        <v/>
      </c>
      <c r="AC1441" s="55">
        <f>IF(L1441="","",IF(OR(O1441="Cancelled",O1441="No-Show"),"",L1441-N(X1441)-N(Y1441)-AA1441-AB1441))</f>
        <v/>
      </c>
      <c r="AD1441" s="99">
        <f>IF(OR(AC1441="",N(L1441)=0),"",AC1441/L1441)</f>
        <v/>
      </c>
      <c r="AE1441" s="55">
        <f>IF(OR(AC1441="",N(R1441)=0),"",L1441/R1441)</f>
        <v/>
      </c>
      <c r="AF1441" s="100">
        <f>IF(OR(N(K1441)=0,N(J1441)+N(Q1441)=0),"",K1441-IF(N(J1441)&gt;0,J1441,Q1441))</f>
        <v/>
      </c>
      <c r="AG1441" s="99">
        <f>IF(B1441="","",IFERROR(AVERAGEIFS('QUALITY CONTROL'!$M$5:$M$304,'QUALITY CONTROL'!$B$5:$B$304,A1441),""))</f>
        <v/>
      </c>
      <c r="AH1441" s="51">
        <f>IF(B1441="","",DATE(YEAR(B1441),MONTH(B1441),1))</f>
        <v/>
      </c>
      <c r="AI1441" s="49">
        <f>IF(D1441="","",IFERROR(INDEX('CUSTOMERS'!$E$5:$E$404,MATCH(D1441,'CUSTOMERS'!$B$5:$B$404,0)),""))</f>
        <v/>
      </c>
      <c r="AJ1441" s="49">
        <f>IF(B1441="","",N(C1441))</f>
        <v/>
      </c>
      <c r="AK1441" s="49">
        <f>IF(OR(B1441="",O1441="Cancelled",O1441="Rescheduled"),"",B1441&amp;"|"&amp;(COUNTIFS('JOBS'!$B$5:$B$1504,B1441,'JOBS'!$AJ$5:$AJ$1504,"&lt;"&amp;AJ1441,'JOBS'!$O$5:$O$1504,"&lt;&gt;Cancelled",'JOBS'!$O$5:$O$1504,"&lt;&gt;Rescheduled")+COUNTIFS($B$5:B1441,B1441,$AJ$5:AJ1441,AJ1441,$O$5:O1441,"&lt;&gt;Cancelled",$O$5:O1441,"&lt;&gt;Rescheduled")))</f>
        <v/>
      </c>
      <c r="AL1441" s="49">
        <f>IF(N(U1441)&lt;=0.005,"",COUNTIFS('JOBS'!$U$5:$U$1504,"&gt;0.005",'JOBS'!$B$5:$B$1504,"&lt;"&amp;B1441)+COUNTIFS($U$5:U1441,"&gt;0.005",$B$5:B1441,B1441))</f>
        <v/>
      </c>
    </row>
    <row r="1442">
      <c r="A1442" s="46" t="inlineStr">
        <is>
          <t>J-1438</t>
        </is>
      </c>
      <c r="B1442" s="47" t="n"/>
      <c r="C1442" s="94" t="n"/>
      <c r="D1442" s="38" t="n"/>
      <c r="E1442" s="38" t="n"/>
      <c r="F1442" s="38" t="n"/>
      <c r="G1442" s="38" t="n"/>
      <c r="H1442" s="38" t="n"/>
      <c r="I1442" s="57" t="n"/>
      <c r="J1442" s="95" t="n"/>
      <c r="K1442" s="95" t="n"/>
      <c r="L1442" s="48" t="n"/>
      <c r="M1442" s="96" t="n"/>
      <c r="N1442" s="48" t="n"/>
      <c r="O1442" s="38" t="n"/>
      <c r="P1442" s="38" t="n"/>
      <c r="Q1442" s="97">
        <f>IF(OR(F1442="",E1442=""),"",IFERROR(IF(INDEX('PROPERTIES'!$F$5:$F$404,MATCH(E1442,'PROPERTIES'!$B$5:$B$404,0))=0,"",ROUND((INDEX('PROPERTIES'!$F$5:$F$404,MATCH(E1442,'PROPERTIES'!$B$5:$B$404,0))/INDEX('PRICING'!$C$7:$C$16,MATCH(F1442,'PRICING'!$A$7:$A$16,0))+INDEX('PROPERTIES'!$G$5:$G$404,MATCH(E1442,'PROPERTIES'!$B$5:$B$404,0))*INDEX('PRICING'!$D$7:$D$16,MATCH(F1442,'PRICING'!$A$7:$A$16,0))/60+INDEX('PROPERTIES'!$H$5:$H$404,MATCH(E1442,'PROPERTIES'!$B$5:$B$404,0))*INDEX('PRICING'!$E$7:$E$16,MATCH(F1442,'PRICING'!$A$7:$A$16,0))/60+INDEX('PRICING'!$F$7:$F$16,MATCH(F1442,'PRICING'!$A$7:$A$16,0))/60),2)),""))</f>
        <v/>
      </c>
      <c r="R1442" s="97">
        <f>IF(B1442="","",IF(N(K1442)&gt;0,K1442,IF(N(J1442)&gt;0,J1442,N(Q1442))))</f>
        <v/>
      </c>
      <c r="S1442" s="55">
        <f>IF(L1442="","",ROUND(L1442*(1+N(M1442)),2))</f>
        <v/>
      </c>
      <c r="T1442" s="55">
        <f>IF(B1442="","",SUMIFS('REVENUE'!$C$5:$C$1504,'REVENUE'!$B$5:$B$1504,A1442))</f>
        <v/>
      </c>
      <c r="U1442" s="55">
        <f>IF(B1442="","",IF(O1442="Completed",MAX(0,N(S1442)-T1442),""))</f>
        <v/>
      </c>
      <c r="V1442" s="49">
        <f>IF(B1442="","",IF(O1442&lt;&gt;"Completed",IF(T1442&gt;0,"Deposit","—"),IF(U1442&lt;=0.005,"Paid",IF(T1442&gt;0,"Partial","Unpaid"))))</f>
        <v/>
      </c>
      <c r="W1442" s="55">
        <f>IF(B1442="","",IFERROR(1/(1/INDEX('STAFF &amp; TASKS'!$C$5:$C$24,MATCH(H1442,'STAFF &amp; TASKS'!$A$5:$A$24,0))),PayRate))</f>
        <v/>
      </c>
      <c r="X1442" s="55">
        <f>IF(B1442="","",IF(OR(O1442="Cancelled",O1442="No-Show"),"",ROUND(R1442*W1442*(1+Burden),2)))</f>
        <v/>
      </c>
      <c r="Y1442" s="55">
        <f>IF(B1442="","",IF(OR(O1442="Cancelled",O1442="No-Show"),"",IF(N1442&lt;&gt;"",N1442,ROUND(R1442*SupHr*IFERROR(INDEX('PRICING'!$G$7:$G$16,MATCH(F1442,'PRICING'!$A$7:$A$16,0)),1),2))))</f>
        <v/>
      </c>
      <c r="Z1442" s="98">
        <f>IF(B1442="","",SUMIFS('MILEAGE'!$J$5:$J$1504,'MILEAGE'!$B$5:$B$1504,A1442))</f>
        <v/>
      </c>
      <c r="AA1442" s="55">
        <f>IF(B1442="","",ROUND(Z1442*MileRate,2))</f>
        <v/>
      </c>
      <c r="AB1442" s="55">
        <f>IF(B1442="","",SUMIFS('REVENUE'!$J$5:$J$1504,'REVENUE'!$B$5:$B$1504,A1442))</f>
        <v/>
      </c>
      <c r="AC1442" s="55">
        <f>IF(L1442="","",IF(OR(O1442="Cancelled",O1442="No-Show"),"",L1442-N(X1442)-N(Y1442)-AA1442-AB1442))</f>
        <v/>
      </c>
      <c r="AD1442" s="99">
        <f>IF(OR(AC1442="",N(L1442)=0),"",AC1442/L1442)</f>
        <v/>
      </c>
      <c r="AE1442" s="55">
        <f>IF(OR(AC1442="",N(R1442)=0),"",L1442/R1442)</f>
        <v/>
      </c>
      <c r="AF1442" s="100">
        <f>IF(OR(N(K1442)=0,N(J1442)+N(Q1442)=0),"",K1442-IF(N(J1442)&gt;0,J1442,Q1442))</f>
        <v/>
      </c>
      <c r="AG1442" s="99">
        <f>IF(B1442="","",IFERROR(AVERAGEIFS('QUALITY CONTROL'!$M$5:$M$304,'QUALITY CONTROL'!$B$5:$B$304,A1442),""))</f>
        <v/>
      </c>
      <c r="AH1442" s="51">
        <f>IF(B1442="","",DATE(YEAR(B1442),MONTH(B1442),1))</f>
        <v/>
      </c>
      <c r="AI1442" s="49">
        <f>IF(D1442="","",IFERROR(INDEX('CUSTOMERS'!$E$5:$E$404,MATCH(D1442,'CUSTOMERS'!$B$5:$B$404,0)),""))</f>
        <v/>
      </c>
      <c r="AJ1442" s="49">
        <f>IF(B1442="","",N(C1442))</f>
        <v/>
      </c>
      <c r="AK1442" s="49">
        <f>IF(OR(B1442="",O1442="Cancelled",O1442="Rescheduled"),"",B1442&amp;"|"&amp;(COUNTIFS('JOBS'!$B$5:$B$1504,B1442,'JOBS'!$AJ$5:$AJ$1504,"&lt;"&amp;AJ1442,'JOBS'!$O$5:$O$1504,"&lt;&gt;Cancelled",'JOBS'!$O$5:$O$1504,"&lt;&gt;Rescheduled")+COUNTIFS($B$5:B1442,B1442,$AJ$5:AJ1442,AJ1442,$O$5:O1442,"&lt;&gt;Cancelled",$O$5:O1442,"&lt;&gt;Rescheduled")))</f>
        <v/>
      </c>
      <c r="AL1442" s="49">
        <f>IF(N(U1442)&lt;=0.005,"",COUNTIFS('JOBS'!$U$5:$U$1504,"&gt;0.005",'JOBS'!$B$5:$B$1504,"&lt;"&amp;B1442)+COUNTIFS($U$5:U1442,"&gt;0.005",$B$5:B1442,B1442))</f>
        <v/>
      </c>
    </row>
    <row r="1443">
      <c r="A1443" s="46" t="inlineStr">
        <is>
          <t>J-1439</t>
        </is>
      </c>
      <c r="B1443" s="47" t="n"/>
      <c r="C1443" s="94" t="n"/>
      <c r="D1443" s="38" t="n"/>
      <c r="E1443" s="38" t="n"/>
      <c r="F1443" s="38" t="n"/>
      <c r="G1443" s="38" t="n"/>
      <c r="H1443" s="38" t="n"/>
      <c r="I1443" s="57" t="n"/>
      <c r="J1443" s="95" t="n"/>
      <c r="K1443" s="95" t="n"/>
      <c r="L1443" s="48" t="n"/>
      <c r="M1443" s="96" t="n"/>
      <c r="N1443" s="48" t="n"/>
      <c r="O1443" s="38" t="n"/>
      <c r="P1443" s="38" t="n"/>
      <c r="Q1443" s="97">
        <f>IF(OR(F1443="",E1443=""),"",IFERROR(IF(INDEX('PROPERTIES'!$F$5:$F$404,MATCH(E1443,'PROPERTIES'!$B$5:$B$404,0))=0,"",ROUND((INDEX('PROPERTIES'!$F$5:$F$404,MATCH(E1443,'PROPERTIES'!$B$5:$B$404,0))/INDEX('PRICING'!$C$7:$C$16,MATCH(F1443,'PRICING'!$A$7:$A$16,0))+INDEX('PROPERTIES'!$G$5:$G$404,MATCH(E1443,'PROPERTIES'!$B$5:$B$404,0))*INDEX('PRICING'!$D$7:$D$16,MATCH(F1443,'PRICING'!$A$7:$A$16,0))/60+INDEX('PROPERTIES'!$H$5:$H$404,MATCH(E1443,'PROPERTIES'!$B$5:$B$404,0))*INDEX('PRICING'!$E$7:$E$16,MATCH(F1443,'PRICING'!$A$7:$A$16,0))/60+INDEX('PRICING'!$F$7:$F$16,MATCH(F1443,'PRICING'!$A$7:$A$16,0))/60),2)),""))</f>
        <v/>
      </c>
      <c r="R1443" s="97">
        <f>IF(B1443="","",IF(N(K1443)&gt;0,K1443,IF(N(J1443)&gt;0,J1443,N(Q1443))))</f>
        <v/>
      </c>
      <c r="S1443" s="55">
        <f>IF(L1443="","",ROUND(L1443*(1+N(M1443)),2))</f>
        <v/>
      </c>
      <c r="T1443" s="55">
        <f>IF(B1443="","",SUMIFS('REVENUE'!$C$5:$C$1504,'REVENUE'!$B$5:$B$1504,A1443))</f>
        <v/>
      </c>
      <c r="U1443" s="55">
        <f>IF(B1443="","",IF(O1443="Completed",MAX(0,N(S1443)-T1443),""))</f>
        <v/>
      </c>
      <c r="V1443" s="49">
        <f>IF(B1443="","",IF(O1443&lt;&gt;"Completed",IF(T1443&gt;0,"Deposit","—"),IF(U1443&lt;=0.005,"Paid",IF(T1443&gt;0,"Partial","Unpaid"))))</f>
        <v/>
      </c>
      <c r="W1443" s="55">
        <f>IF(B1443="","",IFERROR(1/(1/INDEX('STAFF &amp; TASKS'!$C$5:$C$24,MATCH(H1443,'STAFF &amp; TASKS'!$A$5:$A$24,0))),PayRate))</f>
        <v/>
      </c>
      <c r="X1443" s="55">
        <f>IF(B1443="","",IF(OR(O1443="Cancelled",O1443="No-Show"),"",ROUND(R1443*W1443*(1+Burden),2)))</f>
        <v/>
      </c>
      <c r="Y1443" s="55">
        <f>IF(B1443="","",IF(OR(O1443="Cancelled",O1443="No-Show"),"",IF(N1443&lt;&gt;"",N1443,ROUND(R1443*SupHr*IFERROR(INDEX('PRICING'!$G$7:$G$16,MATCH(F1443,'PRICING'!$A$7:$A$16,0)),1),2))))</f>
        <v/>
      </c>
      <c r="Z1443" s="98">
        <f>IF(B1443="","",SUMIFS('MILEAGE'!$J$5:$J$1504,'MILEAGE'!$B$5:$B$1504,A1443))</f>
        <v/>
      </c>
      <c r="AA1443" s="55">
        <f>IF(B1443="","",ROUND(Z1443*MileRate,2))</f>
        <v/>
      </c>
      <c r="AB1443" s="55">
        <f>IF(B1443="","",SUMIFS('REVENUE'!$J$5:$J$1504,'REVENUE'!$B$5:$B$1504,A1443))</f>
        <v/>
      </c>
      <c r="AC1443" s="55">
        <f>IF(L1443="","",IF(OR(O1443="Cancelled",O1443="No-Show"),"",L1443-N(X1443)-N(Y1443)-AA1443-AB1443))</f>
        <v/>
      </c>
      <c r="AD1443" s="99">
        <f>IF(OR(AC1443="",N(L1443)=0),"",AC1443/L1443)</f>
        <v/>
      </c>
      <c r="AE1443" s="55">
        <f>IF(OR(AC1443="",N(R1443)=0),"",L1443/R1443)</f>
        <v/>
      </c>
      <c r="AF1443" s="100">
        <f>IF(OR(N(K1443)=0,N(J1443)+N(Q1443)=0),"",K1443-IF(N(J1443)&gt;0,J1443,Q1443))</f>
        <v/>
      </c>
      <c r="AG1443" s="99">
        <f>IF(B1443="","",IFERROR(AVERAGEIFS('QUALITY CONTROL'!$M$5:$M$304,'QUALITY CONTROL'!$B$5:$B$304,A1443),""))</f>
        <v/>
      </c>
      <c r="AH1443" s="51">
        <f>IF(B1443="","",DATE(YEAR(B1443),MONTH(B1443),1))</f>
        <v/>
      </c>
      <c r="AI1443" s="49">
        <f>IF(D1443="","",IFERROR(INDEX('CUSTOMERS'!$E$5:$E$404,MATCH(D1443,'CUSTOMERS'!$B$5:$B$404,0)),""))</f>
        <v/>
      </c>
      <c r="AJ1443" s="49">
        <f>IF(B1443="","",N(C1443))</f>
        <v/>
      </c>
      <c r="AK1443" s="49">
        <f>IF(OR(B1443="",O1443="Cancelled",O1443="Rescheduled"),"",B1443&amp;"|"&amp;(COUNTIFS('JOBS'!$B$5:$B$1504,B1443,'JOBS'!$AJ$5:$AJ$1504,"&lt;"&amp;AJ1443,'JOBS'!$O$5:$O$1504,"&lt;&gt;Cancelled",'JOBS'!$O$5:$O$1504,"&lt;&gt;Rescheduled")+COUNTIFS($B$5:B1443,B1443,$AJ$5:AJ1443,AJ1443,$O$5:O1443,"&lt;&gt;Cancelled",$O$5:O1443,"&lt;&gt;Rescheduled")))</f>
        <v/>
      </c>
      <c r="AL1443" s="49">
        <f>IF(N(U1443)&lt;=0.005,"",COUNTIFS('JOBS'!$U$5:$U$1504,"&gt;0.005",'JOBS'!$B$5:$B$1504,"&lt;"&amp;B1443)+COUNTIFS($U$5:U1443,"&gt;0.005",$B$5:B1443,B1443))</f>
        <v/>
      </c>
    </row>
    <row r="1444">
      <c r="A1444" s="46" t="inlineStr">
        <is>
          <t>J-1440</t>
        </is>
      </c>
      <c r="B1444" s="47" t="n"/>
      <c r="C1444" s="94" t="n"/>
      <c r="D1444" s="38" t="n"/>
      <c r="E1444" s="38" t="n"/>
      <c r="F1444" s="38" t="n"/>
      <c r="G1444" s="38" t="n"/>
      <c r="H1444" s="38" t="n"/>
      <c r="I1444" s="57" t="n"/>
      <c r="J1444" s="95" t="n"/>
      <c r="K1444" s="95" t="n"/>
      <c r="L1444" s="48" t="n"/>
      <c r="M1444" s="96" t="n"/>
      <c r="N1444" s="48" t="n"/>
      <c r="O1444" s="38" t="n"/>
      <c r="P1444" s="38" t="n"/>
      <c r="Q1444" s="97">
        <f>IF(OR(F1444="",E1444=""),"",IFERROR(IF(INDEX('PROPERTIES'!$F$5:$F$404,MATCH(E1444,'PROPERTIES'!$B$5:$B$404,0))=0,"",ROUND((INDEX('PROPERTIES'!$F$5:$F$404,MATCH(E1444,'PROPERTIES'!$B$5:$B$404,0))/INDEX('PRICING'!$C$7:$C$16,MATCH(F1444,'PRICING'!$A$7:$A$16,0))+INDEX('PROPERTIES'!$G$5:$G$404,MATCH(E1444,'PROPERTIES'!$B$5:$B$404,0))*INDEX('PRICING'!$D$7:$D$16,MATCH(F1444,'PRICING'!$A$7:$A$16,0))/60+INDEX('PROPERTIES'!$H$5:$H$404,MATCH(E1444,'PROPERTIES'!$B$5:$B$404,0))*INDEX('PRICING'!$E$7:$E$16,MATCH(F1444,'PRICING'!$A$7:$A$16,0))/60+INDEX('PRICING'!$F$7:$F$16,MATCH(F1444,'PRICING'!$A$7:$A$16,0))/60),2)),""))</f>
        <v/>
      </c>
      <c r="R1444" s="97">
        <f>IF(B1444="","",IF(N(K1444)&gt;0,K1444,IF(N(J1444)&gt;0,J1444,N(Q1444))))</f>
        <v/>
      </c>
      <c r="S1444" s="55">
        <f>IF(L1444="","",ROUND(L1444*(1+N(M1444)),2))</f>
        <v/>
      </c>
      <c r="T1444" s="55">
        <f>IF(B1444="","",SUMIFS('REVENUE'!$C$5:$C$1504,'REVENUE'!$B$5:$B$1504,A1444))</f>
        <v/>
      </c>
      <c r="U1444" s="55">
        <f>IF(B1444="","",IF(O1444="Completed",MAX(0,N(S1444)-T1444),""))</f>
        <v/>
      </c>
      <c r="V1444" s="49">
        <f>IF(B1444="","",IF(O1444&lt;&gt;"Completed",IF(T1444&gt;0,"Deposit","—"),IF(U1444&lt;=0.005,"Paid",IF(T1444&gt;0,"Partial","Unpaid"))))</f>
        <v/>
      </c>
      <c r="W1444" s="55">
        <f>IF(B1444="","",IFERROR(1/(1/INDEX('STAFF &amp; TASKS'!$C$5:$C$24,MATCH(H1444,'STAFF &amp; TASKS'!$A$5:$A$24,0))),PayRate))</f>
        <v/>
      </c>
      <c r="X1444" s="55">
        <f>IF(B1444="","",IF(OR(O1444="Cancelled",O1444="No-Show"),"",ROUND(R1444*W1444*(1+Burden),2)))</f>
        <v/>
      </c>
      <c r="Y1444" s="55">
        <f>IF(B1444="","",IF(OR(O1444="Cancelled",O1444="No-Show"),"",IF(N1444&lt;&gt;"",N1444,ROUND(R1444*SupHr*IFERROR(INDEX('PRICING'!$G$7:$G$16,MATCH(F1444,'PRICING'!$A$7:$A$16,0)),1),2))))</f>
        <v/>
      </c>
      <c r="Z1444" s="98">
        <f>IF(B1444="","",SUMIFS('MILEAGE'!$J$5:$J$1504,'MILEAGE'!$B$5:$B$1504,A1444))</f>
        <v/>
      </c>
      <c r="AA1444" s="55">
        <f>IF(B1444="","",ROUND(Z1444*MileRate,2))</f>
        <v/>
      </c>
      <c r="AB1444" s="55">
        <f>IF(B1444="","",SUMIFS('REVENUE'!$J$5:$J$1504,'REVENUE'!$B$5:$B$1504,A1444))</f>
        <v/>
      </c>
      <c r="AC1444" s="55">
        <f>IF(L1444="","",IF(OR(O1444="Cancelled",O1444="No-Show"),"",L1444-N(X1444)-N(Y1444)-AA1444-AB1444))</f>
        <v/>
      </c>
      <c r="AD1444" s="99">
        <f>IF(OR(AC1444="",N(L1444)=0),"",AC1444/L1444)</f>
        <v/>
      </c>
      <c r="AE1444" s="55">
        <f>IF(OR(AC1444="",N(R1444)=0),"",L1444/R1444)</f>
        <v/>
      </c>
      <c r="AF1444" s="100">
        <f>IF(OR(N(K1444)=0,N(J1444)+N(Q1444)=0),"",K1444-IF(N(J1444)&gt;0,J1444,Q1444))</f>
        <v/>
      </c>
      <c r="AG1444" s="99">
        <f>IF(B1444="","",IFERROR(AVERAGEIFS('QUALITY CONTROL'!$M$5:$M$304,'QUALITY CONTROL'!$B$5:$B$304,A1444),""))</f>
        <v/>
      </c>
      <c r="AH1444" s="51">
        <f>IF(B1444="","",DATE(YEAR(B1444),MONTH(B1444),1))</f>
        <v/>
      </c>
      <c r="AI1444" s="49">
        <f>IF(D1444="","",IFERROR(INDEX('CUSTOMERS'!$E$5:$E$404,MATCH(D1444,'CUSTOMERS'!$B$5:$B$404,0)),""))</f>
        <v/>
      </c>
      <c r="AJ1444" s="49">
        <f>IF(B1444="","",N(C1444))</f>
        <v/>
      </c>
      <c r="AK1444" s="49">
        <f>IF(OR(B1444="",O1444="Cancelled",O1444="Rescheduled"),"",B1444&amp;"|"&amp;(COUNTIFS('JOBS'!$B$5:$B$1504,B1444,'JOBS'!$AJ$5:$AJ$1504,"&lt;"&amp;AJ1444,'JOBS'!$O$5:$O$1504,"&lt;&gt;Cancelled",'JOBS'!$O$5:$O$1504,"&lt;&gt;Rescheduled")+COUNTIFS($B$5:B1444,B1444,$AJ$5:AJ1444,AJ1444,$O$5:O1444,"&lt;&gt;Cancelled",$O$5:O1444,"&lt;&gt;Rescheduled")))</f>
        <v/>
      </c>
      <c r="AL1444" s="49">
        <f>IF(N(U1444)&lt;=0.005,"",COUNTIFS('JOBS'!$U$5:$U$1504,"&gt;0.005",'JOBS'!$B$5:$B$1504,"&lt;"&amp;B1444)+COUNTIFS($U$5:U1444,"&gt;0.005",$B$5:B1444,B1444))</f>
        <v/>
      </c>
    </row>
    <row r="1445">
      <c r="A1445" s="46" t="inlineStr">
        <is>
          <t>J-1441</t>
        </is>
      </c>
      <c r="B1445" s="47" t="n"/>
      <c r="C1445" s="94" t="n"/>
      <c r="D1445" s="38" t="n"/>
      <c r="E1445" s="38" t="n"/>
      <c r="F1445" s="38" t="n"/>
      <c r="G1445" s="38" t="n"/>
      <c r="H1445" s="38" t="n"/>
      <c r="I1445" s="57" t="n"/>
      <c r="J1445" s="95" t="n"/>
      <c r="K1445" s="95" t="n"/>
      <c r="L1445" s="48" t="n"/>
      <c r="M1445" s="96" t="n"/>
      <c r="N1445" s="48" t="n"/>
      <c r="O1445" s="38" t="n"/>
      <c r="P1445" s="38" t="n"/>
      <c r="Q1445" s="97">
        <f>IF(OR(F1445="",E1445=""),"",IFERROR(IF(INDEX('PROPERTIES'!$F$5:$F$404,MATCH(E1445,'PROPERTIES'!$B$5:$B$404,0))=0,"",ROUND((INDEX('PROPERTIES'!$F$5:$F$404,MATCH(E1445,'PROPERTIES'!$B$5:$B$404,0))/INDEX('PRICING'!$C$7:$C$16,MATCH(F1445,'PRICING'!$A$7:$A$16,0))+INDEX('PROPERTIES'!$G$5:$G$404,MATCH(E1445,'PROPERTIES'!$B$5:$B$404,0))*INDEX('PRICING'!$D$7:$D$16,MATCH(F1445,'PRICING'!$A$7:$A$16,0))/60+INDEX('PROPERTIES'!$H$5:$H$404,MATCH(E1445,'PROPERTIES'!$B$5:$B$404,0))*INDEX('PRICING'!$E$7:$E$16,MATCH(F1445,'PRICING'!$A$7:$A$16,0))/60+INDEX('PRICING'!$F$7:$F$16,MATCH(F1445,'PRICING'!$A$7:$A$16,0))/60),2)),""))</f>
        <v/>
      </c>
      <c r="R1445" s="97">
        <f>IF(B1445="","",IF(N(K1445)&gt;0,K1445,IF(N(J1445)&gt;0,J1445,N(Q1445))))</f>
        <v/>
      </c>
      <c r="S1445" s="55">
        <f>IF(L1445="","",ROUND(L1445*(1+N(M1445)),2))</f>
        <v/>
      </c>
      <c r="T1445" s="55">
        <f>IF(B1445="","",SUMIFS('REVENUE'!$C$5:$C$1504,'REVENUE'!$B$5:$B$1504,A1445))</f>
        <v/>
      </c>
      <c r="U1445" s="55">
        <f>IF(B1445="","",IF(O1445="Completed",MAX(0,N(S1445)-T1445),""))</f>
        <v/>
      </c>
      <c r="V1445" s="49">
        <f>IF(B1445="","",IF(O1445&lt;&gt;"Completed",IF(T1445&gt;0,"Deposit","—"),IF(U1445&lt;=0.005,"Paid",IF(T1445&gt;0,"Partial","Unpaid"))))</f>
        <v/>
      </c>
      <c r="W1445" s="55">
        <f>IF(B1445="","",IFERROR(1/(1/INDEX('STAFF &amp; TASKS'!$C$5:$C$24,MATCH(H1445,'STAFF &amp; TASKS'!$A$5:$A$24,0))),PayRate))</f>
        <v/>
      </c>
      <c r="X1445" s="55">
        <f>IF(B1445="","",IF(OR(O1445="Cancelled",O1445="No-Show"),"",ROUND(R1445*W1445*(1+Burden),2)))</f>
        <v/>
      </c>
      <c r="Y1445" s="55">
        <f>IF(B1445="","",IF(OR(O1445="Cancelled",O1445="No-Show"),"",IF(N1445&lt;&gt;"",N1445,ROUND(R1445*SupHr*IFERROR(INDEX('PRICING'!$G$7:$G$16,MATCH(F1445,'PRICING'!$A$7:$A$16,0)),1),2))))</f>
        <v/>
      </c>
      <c r="Z1445" s="98">
        <f>IF(B1445="","",SUMIFS('MILEAGE'!$J$5:$J$1504,'MILEAGE'!$B$5:$B$1504,A1445))</f>
        <v/>
      </c>
      <c r="AA1445" s="55">
        <f>IF(B1445="","",ROUND(Z1445*MileRate,2))</f>
        <v/>
      </c>
      <c r="AB1445" s="55">
        <f>IF(B1445="","",SUMIFS('REVENUE'!$J$5:$J$1504,'REVENUE'!$B$5:$B$1504,A1445))</f>
        <v/>
      </c>
      <c r="AC1445" s="55">
        <f>IF(L1445="","",IF(OR(O1445="Cancelled",O1445="No-Show"),"",L1445-N(X1445)-N(Y1445)-AA1445-AB1445))</f>
        <v/>
      </c>
      <c r="AD1445" s="99">
        <f>IF(OR(AC1445="",N(L1445)=0),"",AC1445/L1445)</f>
        <v/>
      </c>
      <c r="AE1445" s="55">
        <f>IF(OR(AC1445="",N(R1445)=0),"",L1445/R1445)</f>
        <v/>
      </c>
      <c r="AF1445" s="100">
        <f>IF(OR(N(K1445)=0,N(J1445)+N(Q1445)=0),"",K1445-IF(N(J1445)&gt;0,J1445,Q1445))</f>
        <v/>
      </c>
      <c r="AG1445" s="99">
        <f>IF(B1445="","",IFERROR(AVERAGEIFS('QUALITY CONTROL'!$M$5:$M$304,'QUALITY CONTROL'!$B$5:$B$304,A1445),""))</f>
        <v/>
      </c>
      <c r="AH1445" s="51">
        <f>IF(B1445="","",DATE(YEAR(B1445),MONTH(B1445),1))</f>
        <v/>
      </c>
      <c r="AI1445" s="49">
        <f>IF(D1445="","",IFERROR(INDEX('CUSTOMERS'!$E$5:$E$404,MATCH(D1445,'CUSTOMERS'!$B$5:$B$404,0)),""))</f>
        <v/>
      </c>
      <c r="AJ1445" s="49">
        <f>IF(B1445="","",N(C1445))</f>
        <v/>
      </c>
      <c r="AK1445" s="49">
        <f>IF(OR(B1445="",O1445="Cancelled",O1445="Rescheduled"),"",B1445&amp;"|"&amp;(COUNTIFS('JOBS'!$B$5:$B$1504,B1445,'JOBS'!$AJ$5:$AJ$1504,"&lt;"&amp;AJ1445,'JOBS'!$O$5:$O$1504,"&lt;&gt;Cancelled",'JOBS'!$O$5:$O$1504,"&lt;&gt;Rescheduled")+COUNTIFS($B$5:B1445,B1445,$AJ$5:AJ1445,AJ1445,$O$5:O1445,"&lt;&gt;Cancelled",$O$5:O1445,"&lt;&gt;Rescheduled")))</f>
        <v/>
      </c>
      <c r="AL1445" s="49">
        <f>IF(N(U1445)&lt;=0.005,"",COUNTIFS('JOBS'!$U$5:$U$1504,"&gt;0.005",'JOBS'!$B$5:$B$1504,"&lt;"&amp;B1445)+COUNTIFS($U$5:U1445,"&gt;0.005",$B$5:B1445,B1445))</f>
        <v/>
      </c>
    </row>
    <row r="1446">
      <c r="A1446" s="46" t="inlineStr">
        <is>
          <t>J-1442</t>
        </is>
      </c>
      <c r="B1446" s="47" t="n"/>
      <c r="C1446" s="94" t="n"/>
      <c r="D1446" s="38" t="n"/>
      <c r="E1446" s="38" t="n"/>
      <c r="F1446" s="38" t="n"/>
      <c r="G1446" s="38" t="n"/>
      <c r="H1446" s="38" t="n"/>
      <c r="I1446" s="57" t="n"/>
      <c r="J1446" s="95" t="n"/>
      <c r="K1446" s="95" t="n"/>
      <c r="L1446" s="48" t="n"/>
      <c r="M1446" s="96" t="n"/>
      <c r="N1446" s="48" t="n"/>
      <c r="O1446" s="38" t="n"/>
      <c r="P1446" s="38" t="n"/>
      <c r="Q1446" s="97">
        <f>IF(OR(F1446="",E1446=""),"",IFERROR(IF(INDEX('PROPERTIES'!$F$5:$F$404,MATCH(E1446,'PROPERTIES'!$B$5:$B$404,0))=0,"",ROUND((INDEX('PROPERTIES'!$F$5:$F$404,MATCH(E1446,'PROPERTIES'!$B$5:$B$404,0))/INDEX('PRICING'!$C$7:$C$16,MATCH(F1446,'PRICING'!$A$7:$A$16,0))+INDEX('PROPERTIES'!$G$5:$G$404,MATCH(E1446,'PROPERTIES'!$B$5:$B$404,0))*INDEX('PRICING'!$D$7:$D$16,MATCH(F1446,'PRICING'!$A$7:$A$16,0))/60+INDEX('PROPERTIES'!$H$5:$H$404,MATCH(E1446,'PROPERTIES'!$B$5:$B$404,0))*INDEX('PRICING'!$E$7:$E$16,MATCH(F1446,'PRICING'!$A$7:$A$16,0))/60+INDEX('PRICING'!$F$7:$F$16,MATCH(F1446,'PRICING'!$A$7:$A$16,0))/60),2)),""))</f>
        <v/>
      </c>
      <c r="R1446" s="97">
        <f>IF(B1446="","",IF(N(K1446)&gt;0,K1446,IF(N(J1446)&gt;0,J1446,N(Q1446))))</f>
        <v/>
      </c>
      <c r="S1446" s="55">
        <f>IF(L1446="","",ROUND(L1446*(1+N(M1446)),2))</f>
        <v/>
      </c>
      <c r="T1446" s="55">
        <f>IF(B1446="","",SUMIFS('REVENUE'!$C$5:$C$1504,'REVENUE'!$B$5:$B$1504,A1446))</f>
        <v/>
      </c>
      <c r="U1446" s="55">
        <f>IF(B1446="","",IF(O1446="Completed",MAX(0,N(S1446)-T1446),""))</f>
        <v/>
      </c>
      <c r="V1446" s="49">
        <f>IF(B1446="","",IF(O1446&lt;&gt;"Completed",IF(T1446&gt;0,"Deposit","—"),IF(U1446&lt;=0.005,"Paid",IF(T1446&gt;0,"Partial","Unpaid"))))</f>
        <v/>
      </c>
      <c r="W1446" s="55">
        <f>IF(B1446="","",IFERROR(1/(1/INDEX('STAFF &amp; TASKS'!$C$5:$C$24,MATCH(H1446,'STAFF &amp; TASKS'!$A$5:$A$24,0))),PayRate))</f>
        <v/>
      </c>
      <c r="X1446" s="55">
        <f>IF(B1446="","",IF(OR(O1446="Cancelled",O1446="No-Show"),"",ROUND(R1446*W1446*(1+Burden),2)))</f>
        <v/>
      </c>
      <c r="Y1446" s="55">
        <f>IF(B1446="","",IF(OR(O1446="Cancelled",O1446="No-Show"),"",IF(N1446&lt;&gt;"",N1446,ROUND(R1446*SupHr*IFERROR(INDEX('PRICING'!$G$7:$G$16,MATCH(F1446,'PRICING'!$A$7:$A$16,0)),1),2))))</f>
        <v/>
      </c>
      <c r="Z1446" s="98">
        <f>IF(B1446="","",SUMIFS('MILEAGE'!$J$5:$J$1504,'MILEAGE'!$B$5:$B$1504,A1446))</f>
        <v/>
      </c>
      <c r="AA1446" s="55">
        <f>IF(B1446="","",ROUND(Z1446*MileRate,2))</f>
        <v/>
      </c>
      <c r="AB1446" s="55">
        <f>IF(B1446="","",SUMIFS('REVENUE'!$J$5:$J$1504,'REVENUE'!$B$5:$B$1504,A1446))</f>
        <v/>
      </c>
      <c r="AC1446" s="55">
        <f>IF(L1446="","",IF(OR(O1446="Cancelled",O1446="No-Show"),"",L1446-N(X1446)-N(Y1446)-AA1446-AB1446))</f>
        <v/>
      </c>
      <c r="AD1446" s="99">
        <f>IF(OR(AC1446="",N(L1446)=0),"",AC1446/L1446)</f>
        <v/>
      </c>
      <c r="AE1446" s="55">
        <f>IF(OR(AC1446="",N(R1446)=0),"",L1446/R1446)</f>
        <v/>
      </c>
      <c r="AF1446" s="100">
        <f>IF(OR(N(K1446)=0,N(J1446)+N(Q1446)=0),"",K1446-IF(N(J1446)&gt;0,J1446,Q1446))</f>
        <v/>
      </c>
      <c r="AG1446" s="99">
        <f>IF(B1446="","",IFERROR(AVERAGEIFS('QUALITY CONTROL'!$M$5:$M$304,'QUALITY CONTROL'!$B$5:$B$304,A1446),""))</f>
        <v/>
      </c>
      <c r="AH1446" s="51">
        <f>IF(B1446="","",DATE(YEAR(B1446),MONTH(B1446),1))</f>
        <v/>
      </c>
      <c r="AI1446" s="49">
        <f>IF(D1446="","",IFERROR(INDEX('CUSTOMERS'!$E$5:$E$404,MATCH(D1446,'CUSTOMERS'!$B$5:$B$404,0)),""))</f>
        <v/>
      </c>
      <c r="AJ1446" s="49">
        <f>IF(B1446="","",N(C1446))</f>
        <v/>
      </c>
      <c r="AK1446" s="49">
        <f>IF(OR(B1446="",O1446="Cancelled",O1446="Rescheduled"),"",B1446&amp;"|"&amp;(COUNTIFS('JOBS'!$B$5:$B$1504,B1446,'JOBS'!$AJ$5:$AJ$1504,"&lt;"&amp;AJ1446,'JOBS'!$O$5:$O$1504,"&lt;&gt;Cancelled",'JOBS'!$O$5:$O$1504,"&lt;&gt;Rescheduled")+COUNTIFS($B$5:B1446,B1446,$AJ$5:AJ1446,AJ1446,$O$5:O1446,"&lt;&gt;Cancelled",$O$5:O1446,"&lt;&gt;Rescheduled")))</f>
        <v/>
      </c>
      <c r="AL1446" s="49">
        <f>IF(N(U1446)&lt;=0.005,"",COUNTIFS('JOBS'!$U$5:$U$1504,"&gt;0.005",'JOBS'!$B$5:$B$1504,"&lt;"&amp;B1446)+COUNTIFS($U$5:U1446,"&gt;0.005",$B$5:B1446,B1446))</f>
        <v/>
      </c>
    </row>
    <row r="1447">
      <c r="A1447" s="46" t="inlineStr">
        <is>
          <t>J-1443</t>
        </is>
      </c>
      <c r="B1447" s="47" t="n"/>
      <c r="C1447" s="94" t="n"/>
      <c r="D1447" s="38" t="n"/>
      <c r="E1447" s="38" t="n"/>
      <c r="F1447" s="38" t="n"/>
      <c r="G1447" s="38" t="n"/>
      <c r="H1447" s="38" t="n"/>
      <c r="I1447" s="57" t="n"/>
      <c r="J1447" s="95" t="n"/>
      <c r="K1447" s="95" t="n"/>
      <c r="L1447" s="48" t="n"/>
      <c r="M1447" s="96" t="n"/>
      <c r="N1447" s="48" t="n"/>
      <c r="O1447" s="38" t="n"/>
      <c r="P1447" s="38" t="n"/>
      <c r="Q1447" s="97">
        <f>IF(OR(F1447="",E1447=""),"",IFERROR(IF(INDEX('PROPERTIES'!$F$5:$F$404,MATCH(E1447,'PROPERTIES'!$B$5:$B$404,0))=0,"",ROUND((INDEX('PROPERTIES'!$F$5:$F$404,MATCH(E1447,'PROPERTIES'!$B$5:$B$404,0))/INDEX('PRICING'!$C$7:$C$16,MATCH(F1447,'PRICING'!$A$7:$A$16,0))+INDEX('PROPERTIES'!$G$5:$G$404,MATCH(E1447,'PROPERTIES'!$B$5:$B$404,0))*INDEX('PRICING'!$D$7:$D$16,MATCH(F1447,'PRICING'!$A$7:$A$16,0))/60+INDEX('PROPERTIES'!$H$5:$H$404,MATCH(E1447,'PROPERTIES'!$B$5:$B$404,0))*INDEX('PRICING'!$E$7:$E$16,MATCH(F1447,'PRICING'!$A$7:$A$16,0))/60+INDEX('PRICING'!$F$7:$F$16,MATCH(F1447,'PRICING'!$A$7:$A$16,0))/60),2)),""))</f>
        <v/>
      </c>
      <c r="R1447" s="97">
        <f>IF(B1447="","",IF(N(K1447)&gt;0,K1447,IF(N(J1447)&gt;0,J1447,N(Q1447))))</f>
        <v/>
      </c>
      <c r="S1447" s="55">
        <f>IF(L1447="","",ROUND(L1447*(1+N(M1447)),2))</f>
        <v/>
      </c>
      <c r="T1447" s="55">
        <f>IF(B1447="","",SUMIFS('REVENUE'!$C$5:$C$1504,'REVENUE'!$B$5:$B$1504,A1447))</f>
        <v/>
      </c>
      <c r="U1447" s="55">
        <f>IF(B1447="","",IF(O1447="Completed",MAX(0,N(S1447)-T1447),""))</f>
        <v/>
      </c>
      <c r="V1447" s="49">
        <f>IF(B1447="","",IF(O1447&lt;&gt;"Completed",IF(T1447&gt;0,"Deposit","—"),IF(U1447&lt;=0.005,"Paid",IF(T1447&gt;0,"Partial","Unpaid"))))</f>
        <v/>
      </c>
      <c r="W1447" s="55">
        <f>IF(B1447="","",IFERROR(1/(1/INDEX('STAFF &amp; TASKS'!$C$5:$C$24,MATCH(H1447,'STAFF &amp; TASKS'!$A$5:$A$24,0))),PayRate))</f>
        <v/>
      </c>
      <c r="X1447" s="55">
        <f>IF(B1447="","",IF(OR(O1447="Cancelled",O1447="No-Show"),"",ROUND(R1447*W1447*(1+Burden),2)))</f>
        <v/>
      </c>
      <c r="Y1447" s="55">
        <f>IF(B1447="","",IF(OR(O1447="Cancelled",O1447="No-Show"),"",IF(N1447&lt;&gt;"",N1447,ROUND(R1447*SupHr*IFERROR(INDEX('PRICING'!$G$7:$G$16,MATCH(F1447,'PRICING'!$A$7:$A$16,0)),1),2))))</f>
        <v/>
      </c>
      <c r="Z1447" s="98">
        <f>IF(B1447="","",SUMIFS('MILEAGE'!$J$5:$J$1504,'MILEAGE'!$B$5:$B$1504,A1447))</f>
        <v/>
      </c>
      <c r="AA1447" s="55">
        <f>IF(B1447="","",ROUND(Z1447*MileRate,2))</f>
        <v/>
      </c>
      <c r="AB1447" s="55">
        <f>IF(B1447="","",SUMIFS('REVENUE'!$J$5:$J$1504,'REVENUE'!$B$5:$B$1504,A1447))</f>
        <v/>
      </c>
      <c r="AC1447" s="55">
        <f>IF(L1447="","",IF(OR(O1447="Cancelled",O1447="No-Show"),"",L1447-N(X1447)-N(Y1447)-AA1447-AB1447))</f>
        <v/>
      </c>
      <c r="AD1447" s="99">
        <f>IF(OR(AC1447="",N(L1447)=0),"",AC1447/L1447)</f>
        <v/>
      </c>
      <c r="AE1447" s="55">
        <f>IF(OR(AC1447="",N(R1447)=0),"",L1447/R1447)</f>
        <v/>
      </c>
      <c r="AF1447" s="100">
        <f>IF(OR(N(K1447)=0,N(J1447)+N(Q1447)=0),"",K1447-IF(N(J1447)&gt;0,J1447,Q1447))</f>
        <v/>
      </c>
      <c r="AG1447" s="99">
        <f>IF(B1447="","",IFERROR(AVERAGEIFS('QUALITY CONTROL'!$M$5:$M$304,'QUALITY CONTROL'!$B$5:$B$304,A1447),""))</f>
        <v/>
      </c>
      <c r="AH1447" s="51">
        <f>IF(B1447="","",DATE(YEAR(B1447),MONTH(B1447),1))</f>
        <v/>
      </c>
      <c r="AI1447" s="49">
        <f>IF(D1447="","",IFERROR(INDEX('CUSTOMERS'!$E$5:$E$404,MATCH(D1447,'CUSTOMERS'!$B$5:$B$404,0)),""))</f>
        <v/>
      </c>
      <c r="AJ1447" s="49">
        <f>IF(B1447="","",N(C1447))</f>
        <v/>
      </c>
      <c r="AK1447" s="49">
        <f>IF(OR(B1447="",O1447="Cancelled",O1447="Rescheduled"),"",B1447&amp;"|"&amp;(COUNTIFS('JOBS'!$B$5:$B$1504,B1447,'JOBS'!$AJ$5:$AJ$1504,"&lt;"&amp;AJ1447,'JOBS'!$O$5:$O$1504,"&lt;&gt;Cancelled",'JOBS'!$O$5:$O$1504,"&lt;&gt;Rescheduled")+COUNTIFS($B$5:B1447,B1447,$AJ$5:AJ1447,AJ1447,$O$5:O1447,"&lt;&gt;Cancelled",$O$5:O1447,"&lt;&gt;Rescheduled")))</f>
        <v/>
      </c>
      <c r="AL1447" s="49">
        <f>IF(N(U1447)&lt;=0.005,"",COUNTIFS('JOBS'!$U$5:$U$1504,"&gt;0.005",'JOBS'!$B$5:$B$1504,"&lt;"&amp;B1447)+COUNTIFS($U$5:U1447,"&gt;0.005",$B$5:B1447,B1447))</f>
        <v/>
      </c>
    </row>
    <row r="1448">
      <c r="A1448" s="46" t="inlineStr">
        <is>
          <t>J-1444</t>
        </is>
      </c>
      <c r="B1448" s="47" t="n"/>
      <c r="C1448" s="94" t="n"/>
      <c r="D1448" s="38" t="n"/>
      <c r="E1448" s="38" t="n"/>
      <c r="F1448" s="38" t="n"/>
      <c r="G1448" s="38" t="n"/>
      <c r="H1448" s="38" t="n"/>
      <c r="I1448" s="57" t="n"/>
      <c r="J1448" s="95" t="n"/>
      <c r="K1448" s="95" t="n"/>
      <c r="L1448" s="48" t="n"/>
      <c r="M1448" s="96" t="n"/>
      <c r="N1448" s="48" t="n"/>
      <c r="O1448" s="38" t="n"/>
      <c r="P1448" s="38" t="n"/>
      <c r="Q1448" s="97">
        <f>IF(OR(F1448="",E1448=""),"",IFERROR(IF(INDEX('PROPERTIES'!$F$5:$F$404,MATCH(E1448,'PROPERTIES'!$B$5:$B$404,0))=0,"",ROUND((INDEX('PROPERTIES'!$F$5:$F$404,MATCH(E1448,'PROPERTIES'!$B$5:$B$404,0))/INDEX('PRICING'!$C$7:$C$16,MATCH(F1448,'PRICING'!$A$7:$A$16,0))+INDEX('PROPERTIES'!$G$5:$G$404,MATCH(E1448,'PROPERTIES'!$B$5:$B$404,0))*INDEX('PRICING'!$D$7:$D$16,MATCH(F1448,'PRICING'!$A$7:$A$16,0))/60+INDEX('PROPERTIES'!$H$5:$H$404,MATCH(E1448,'PROPERTIES'!$B$5:$B$404,0))*INDEX('PRICING'!$E$7:$E$16,MATCH(F1448,'PRICING'!$A$7:$A$16,0))/60+INDEX('PRICING'!$F$7:$F$16,MATCH(F1448,'PRICING'!$A$7:$A$16,0))/60),2)),""))</f>
        <v/>
      </c>
      <c r="R1448" s="97">
        <f>IF(B1448="","",IF(N(K1448)&gt;0,K1448,IF(N(J1448)&gt;0,J1448,N(Q1448))))</f>
        <v/>
      </c>
      <c r="S1448" s="55">
        <f>IF(L1448="","",ROUND(L1448*(1+N(M1448)),2))</f>
        <v/>
      </c>
      <c r="T1448" s="55">
        <f>IF(B1448="","",SUMIFS('REVENUE'!$C$5:$C$1504,'REVENUE'!$B$5:$B$1504,A1448))</f>
        <v/>
      </c>
      <c r="U1448" s="55">
        <f>IF(B1448="","",IF(O1448="Completed",MAX(0,N(S1448)-T1448),""))</f>
        <v/>
      </c>
      <c r="V1448" s="49">
        <f>IF(B1448="","",IF(O1448&lt;&gt;"Completed",IF(T1448&gt;0,"Deposit","—"),IF(U1448&lt;=0.005,"Paid",IF(T1448&gt;0,"Partial","Unpaid"))))</f>
        <v/>
      </c>
      <c r="W1448" s="55">
        <f>IF(B1448="","",IFERROR(1/(1/INDEX('STAFF &amp; TASKS'!$C$5:$C$24,MATCH(H1448,'STAFF &amp; TASKS'!$A$5:$A$24,0))),PayRate))</f>
        <v/>
      </c>
      <c r="X1448" s="55">
        <f>IF(B1448="","",IF(OR(O1448="Cancelled",O1448="No-Show"),"",ROUND(R1448*W1448*(1+Burden),2)))</f>
        <v/>
      </c>
      <c r="Y1448" s="55">
        <f>IF(B1448="","",IF(OR(O1448="Cancelled",O1448="No-Show"),"",IF(N1448&lt;&gt;"",N1448,ROUND(R1448*SupHr*IFERROR(INDEX('PRICING'!$G$7:$G$16,MATCH(F1448,'PRICING'!$A$7:$A$16,0)),1),2))))</f>
        <v/>
      </c>
      <c r="Z1448" s="98">
        <f>IF(B1448="","",SUMIFS('MILEAGE'!$J$5:$J$1504,'MILEAGE'!$B$5:$B$1504,A1448))</f>
        <v/>
      </c>
      <c r="AA1448" s="55">
        <f>IF(B1448="","",ROUND(Z1448*MileRate,2))</f>
        <v/>
      </c>
      <c r="AB1448" s="55">
        <f>IF(B1448="","",SUMIFS('REVENUE'!$J$5:$J$1504,'REVENUE'!$B$5:$B$1504,A1448))</f>
        <v/>
      </c>
      <c r="AC1448" s="55">
        <f>IF(L1448="","",IF(OR(O1448="Cancelled",O1448="No-Show"),"",L1448-N(X1448)-N(Y1448)-AA1448-AB1448))</f>
        <v/>
      </c>
      <c r="AD1448" s="99">
        <f>IF(OR(AC1448="",N(L1448)=0),"",AC1448/L1448)</f>
        <v/>
      </c>
      <c r="AE1448" s="55">
        <f>IF(OR(AC1448="",N(R1448)=0),"",L1448/R1448)</f>
        <v/>
      </c>
      <c r="AF1448" s="100">
        <f>IF(OR(N(K1448)=0,N(J1448)+N(Q1448)=0),"",K1448-IF(N(J1448)&gt;0,J1448,Q1448))</f>
        <v/>
      </c>
      <c r="AG1448" s="99">
        <f>IF(B1448="","",IFERROR(AVERAGEIFS('QUALITY CONTROL'!$M$5:$M$304,'QUALITY CONTROL'!$B$5:$B$304,A1448),""))</f>
        <v/>
      </c>
      <c r="AH1448" s="51">
        <f>IF(B1448="","",DATE(YEAR(B1448),MONTH(B1448),1))</f>
        <v/>
      </c>
      <c r="AI1448" s="49">
        <f>IF(D1448="","",IFERROR(INDEX('CUSTOMERS'!$E$5:$E$404,MATCH(D1448,'CUSTOMERS'!$B$5:$B$404,0)),""))</f>
        <v/>
      </c>
      <c r="AJ1448" s="49">
        <f>IF(B1448="","",N(C1448))</f>
        <v/>
      </c>
      <c r="AK1448" s="49">
        <f>IF(OR(B1448="",O1448="Cancelled",O1448="Rescheduled"),"",B1448&amp;"|"&amp;(COUNTIFS('JOBS'!$B$5:$B$1504,B1448,'JOBS'!$AJ$5:$AJ$1504,"&lt;"&amp;AJ1448,'JOBS'!$O$5:$O$1504,"&lt;&gt;Cancelled",'JOBS'!$O$5:$O$1504,"&lt;&gt;Rescheduled")+COUNTIFS($B$5:B1448,B1448,$AJ$5:AJ1448,AJ1448,$O$5:O1448,"&lt;&gt;Cancelled",$O$5:O1448,"&lt;&gt;Rescheduled")))</f>
        <v/>
      </c>
      <c r="AL1448" s="49">
        <f>IF(N(U1448)&lt;=0.005,"",COUNTIFS('JOBS'!$U$5:$U$1504,"&gt;0.005",'JOBS'!$B$5:$B$1504,"&lt;"&amp;B1448)+COUNTIFS($U$5:U1448,"&gt;0.005",$B$5:B1448,B1448))</f>
        <v/>
      </c>
    </row>
    <row r="1449">
      <c r="A1449" s="46" t="inlineStr">
        <is>
          <t>J-1445</t>
        </is>
      </c>
      <c r="B1449" s="47" t="n"/>
      <c r="C1449" s="94" t="n"/>
      <c r="D1449" s="38" t="n"/>
      <c r="E1449" s="38" t="n"/>
      <c r="F1449" s="38" t="n"/>
      <c r="G1449" s="38" t="n"/>
      <c r="H1449" s="38" t="n"/>
      <c r="I1449" s="57" t="n"/>
      <c r="J1449" s="95" t="n"/>
      <c r="K1449" s="95" t="n"/>
      <c r="L1449" s="48" t="n"/>
      <c r="M1449" s="96" t="n"/>
      <c r="N1449" s="48" t="n"/>
      <c r="O1449" s="38" t="n"/>
      <c r="P1449" s="38" t="n"/>
      <c r="Q1449" s="97">
        <f>IF(OR(F1449="",E1449=""),"",IFERROR(IF(INDEX('PROPERTIES'!$F$5:$F$404,MATCH(E1449,'PROPERTIES'!$B$5:$B$404,0))=0,"",ROUND((INDEX('PROPERTIES'!$F$5:$F$404,MATCH(E1449,'PROPERTIES'!$B$5:$B$404,0))/INDEX('PRICING'!$C$7:$C$16,MATCH(F1449,'PRICING'!$A$7:$A$16,0))+INDEX('PROPERTIES'!$G$5:$G$404,MATCH(E1449,'PROPERTIES'!$B$5:$B$404,0))*INDEX('PRICING'!$D$7:$D$16,MATCH(F1449,'PRICING'!$A$7:$A$16,0))/60+INDEX('PROPERTIES'!$H$5:$H$404,MATCH(E1449,'PROPERTIES'!$B$5:$B$404,0))*INDEX('PRICING'!$E$7:$E$16,MATCH(F1449,'PRICING'!$A$7:$A$16,0))/60+INDEX('PRICING'!$F$7:$F$16,MATCH(F1449,'PRICING'!$A$7:$A$16,0))/60),2)),""))</f>
        <v/>
      </c>
      <c r="R1449" s="97">
        <f>IF(B1449="","",IF(N(K1449)&gt;0,K1449,IF(N(J1449)&gt;0,J1449,N(Q1449))))</f>
        <v/>
      </c>
      <c r="S1449" s="55">
        <f>IF(L1449="","",ROUND(L1449*(1+N(M1449)),2))</f>
        <v/>
      </c>
      <c r="T1449" s="55">
        <f>IF(B1449="","",SUMIFS('REVENUE'!$C$5:$C$1504,'REVENUE'!$B$5:$B$1504,A1449))</f>
        <v/>
      </c>
      <c r="U1449" s="55">
        <f>IF(B1449="","",IF(O1449="Completed",MAX(0,N(S1449)-T1449),""))</f>
        <v/>
      </c>
      <c r="V1449" s="49">
        <f>IF(B1449="","",IF(O1449&lt;&gt;"Completed",IF(T1449&gt;0,"Deposit","—"),IF(U1449&lt;=0.005,"Paid",IF(T1449&gt;0,"Partial","Unpaid"))))</f>
        <v/>
      </c>
      <c r="W1449" s="55">
        <f>IF(B1449="","",IFERROR(1/(1/INDEX('STAFF &amp; TASKS'!$C$5:$C$24,MATCH(H1449,'STAFF &amp; TASKS'!$A$5:$A$24,0))),PayRate))</f>
        <v/>
      </c>
      <c r="X1449" s="55">
        <f>IF(B1449="","",IF(OR(O1449="Cancelled",O1449="No-Show"),"",ROUND(R1449*W1449*(1+Burden),2)))</f>
        <v/>
      </c>
      <c r="Y1449" s="55">
        <f>IF(B1449="","",IF(OR(O1449="Cancelled",O1449="No-Show"),"",IF(N1449&lt;&gt;"",N1449,ROUND(R1449*SupHr*IFERROR(INDEX('PRICING'!$G$7:$G$16,MATCH(F1449,'PRICING'!$A$7:$A$16,0)),1),2))))</f>
        <v/>
      </c>
      <c r="Z1449" s="98">
        <f>IF(B1449="","",SUMIFS('MILEAGE'!$J$5:$J$1504,'MILEAGE'!$B$5:$B$1504,A1449))</f>
        <v/>
      </c>
      <c r="AA1449" s="55">
        <f>IF(B1449="","",ROUND(Z1449*MileRate,2))</f>
        <v/>
      </c>
      <c r="AB1449" s="55">
        <f>IF(B1449="","",SUMIFS('REVENUE'!$J$5:$J$1504,'REVENUE'!$B$5:$B$1504,A1449))</f>
        <v/>
      </c>
      <c r="AC1449" s="55">
        <f>IF(L1449="","",IF(OR(O1449="Cancelled",O1449="No-Show"),"",L1449-N(X1449)-N(Y1449)-AA1449-AB1449))</f>
        <v/>
      </c>
      <c r="AD1449" s="99">
        <f>IF(OR(AC1449="",N(L1449)=0),"",AC1449/L1449)</f>
        <v/>
      </c>
      <c r="AE1449" s="55">
        <f>IF(OR(AC1449="",N(R1449)=0),"",L1449/R1449)</f>
        <v/>
      </c>
      <c r="AF1449" s="100">
        <f>IF(OR(N(K1449)=0,N(J1449)+N(Q1449)=0),"",K1449-IF(N(J1449)&gt;0,J1449,Q1449))</f>
        <v/>
      </c>
      <c r="AG1449" s="99">
        <f>IF(B1449="","",IFERROR(AVERAGEIFS('QUALITY CONTROL'!$M$5:$M$304,'QUALITY CONTROL'!$B$5:$B$304,A1449),""))</f>
        <v/>
      </c>
      <c r="AH1449" s="51">
        <f>IF(B1449="","",DATE(YEAR(B1449),MONTH(B1449),1))</f>
        <v/>
      </c>
      <c r="AI1449" s="49">
        <f>IF(D1449="","",IFERROR(INDEX('CUSTOMERS'!$E$5:$E$404,MATCH(D1449,'CUSTOMERS'!$B$5:$B$404,0)),""))</f>
        <v/>
      </c>
      <c r="AJ1449" s="49">
        <f>IF(B1449="","",N(C1449))</f>
        <v/>
      </c>
      <c r="AK1449" s="49">
        <f>IF(OR(B1449="",O1449="Cancelled",O1449="Rescheduled"),"",B1449&amp;"|"&amp;(COUNTIFS('JOBS'!$B$5:$B$1504,B1449,'JOBS'!$AJ$5:$AJ$1504,"&lt;"&amp;AJ1449,'JOBS'!$O$5:$O$1504,"&lt;&gt;Cancelled",'JOBS'!$O$5:$O$1504,"&lt;&gt;Rescheduled")+COUNTIFS($B$5:B1449,B1449,$AJ$5:AJ1449,AJ1449,$O$5:O1449,"&lt;&gt;Cancelled",$O$5:O1449,"&lt;&gt;Rescheduled")))</f>
        <v/>
      </c>
      <c r="AL1449" s="49">
        <f>IF(N(U1449)&lt;=0.005,"",COUNTIFS('JOBS'!$U$5:$U$1504,"&gt;0.005",'JOBS'!$B$5:$B$1504,"&lt;"&amp;B1449)+COUNTIFS($U$5:U1449,"&gt;0.005",$B$5:B1449,B1449))</f>
        <v/>
      </c>
    </row>
    <row r="1450">
      <c r="A1450" s="46" t="inlineStr">
        <is>
          <t>J-1446</t>
        </is>
      </c>
      <c r="B1450" s="47" t="n"/>
      <c r="C1450" s="94" t="n"/>
      <c r="D1450" s="38" t="n"/>
      <c r="E1450" s="38" t="n"/>
      <c r="F1450" s="38" t="n"/>
      <c r="G1450" s="38" t="n"/>
      <c r="H1450" s="38" t="n"/>
      <c r="I1450" s="57" t="n"/>
      <c r="J1450" s="95" t="n"/>
      <c r="K1450" s="95" t="n"/>
      <c r="L1450" s="48" t="n"/>
      <c r="M1450" s="96" t="n"/>
      <c r="N1450" s="48" t="n"/>
      <c r="O1450" s="38" t="n"/>
      <c r="P1450" s="38" t="n"/>
      <c r="Q1450" s="97">
        <f>IF(OR(F1450="",E1450=""),"",IFERROR(IF(INDEX('PROPERTIES'!$F$5:$F$404,MATCH(E1450,'PROPERTIES'!$B$5:$B$404,0))=0,"",ROUND((INDEX('PROPERTIES'!$F$5:$F$404,MATCH(E1450,'PROPERTIES'!$B$5:$B$404,0))/INDEX('PRICING'!$C$7:$C$16,MATCH(F1450,'PRICING'!$A$7:$A$16,0))+INDEX('PROPERTIES'!$G$5:$G$404,MATCH(E1450,'PROPERTIES'!$B$5:$B$404,0))*INDEX('PRICING'!$D$7:$D$16,MATCH(F1450,'PRICING'!$A$7:$A$16,0))/60+INDEX('PROPERTIES'!$H$5:$H$404,MATCH(E1450,'PROPERTIES'!$B$5:$B$404,0))*INDEX('PRICING'!$E$7:$E$16,MATCH(F1450,'PRICING'!$A$7:$A$16,0))/60+INDEX('PRICING'!$F$7:$F$16,MATCH(F1450,'PRICING'!$A$7:$A$16,0))/60),2)),""))</f>
        <v/>
      </c>
      <c r="R1450" s="97">
        <f>IF(B1450="","",IF(N(K1450)&gt;0,K1450,IF(N(J1450)&gt;0,J1450,N(Q1450))))</f>
        <v/>
      </c>
      <c r="S1450" s="55">
        <f>IF(L1450="","",ROUND(L1450*(1+N(M1450)),2))</f>
        <v/>
      </c>
      <c r="T1450" s="55">
        <f>IF(B1450="","",SUMIFS('REVENUE'!$C$5:$C$1504,'REVENUE'!$B$5:$B$1504,A1450))</f>
        <v/>
      </c>
      <c r="U1450" s="55">
        <f>IF(B1450="","",IF(O1450="Completed",MAX(0,N(S1450)-T1450),""))</f>
        <v/>
      </c>
      <c r="V1450" s="49">
        <f>IF(B1450="","",IF(O1450&lt;&gt;"Completed",IF(T1450&gt;0,"Deposit","—"),IF(U1450&lt;=0.005,"Paid",IF(T1450&gt;0,"Partial","Unpaid"))))</f>
        <v/>
      </c>
      <c r="W1450" s="55">
        <f>IF(B1450="","",IFERROR(1/(1/INDEX('STAFF &amp; TASKS'!$C$5:$C$24,MATCH(H1450,'STAFF &amp; TASKS'!$A$5:$A$24,0))),PayRate))</f>
        <v/>
      </c>
      <c r="X1450" s="55">
        <f>IF(B1450="","",IF(OR(O1450="Cancelled",O1450="No-Show"),"",ROUND(R1450*W1450*(1+Burden),2)))</f>
        <v/>
      </c>
      <c r="Y1450" s="55">
        <f>IF(B1450="","",IF(OR(O1450="Cancelled",O1450="No-Show"),"",IF(N1450&lt;&gt;"",N1450,ROUND(R1450*SupHr*IFERROR(INDEX('PRICING'!$G$7:$G$16,MATCH(F1450,'PRICING'!$A$7:$A$16,0)),1),2))))</f>
        <v/>
      </c>
      <c r="Z1450" s="98">
        <f>IF(B1450="","",SUMIFS('MILEAGE'!$J$5:$J$1504,'MILEAGE'!$B$5:$B$1504,A1450))</f>
        <v/>
      </c>
      <c r="AA1450" s="55">
        <f>IF(B1450="","",ROUND(Z1450*MileRate,2))</f>
        <v/>
      </c>
      <c r="AB1450" s="55">
        <f>IF(B1450="","",SUMIFS('REVENUE'!$J$5:$J$1504,'REVENUE'!$B$5:$B$1504,A1450))</f>
        <v/>
      </c>
      <c r="AC1450" s="55">
        <f>IF(L1450="","",IF(OR(O1450="Cancelled",O1450="No-Show"),"",L1450-N(X1450)-N(Y1450)-AA1450-AB1450))</f>
        <v/>
      </c>
      <c r="AD1450" s="99">
        <f>IF(OR(AC1450="",N(L1450)=0),"",AC1450/L1450)</f>
        <v/>
      </c>
      <c r="AE1450" s="55">
        <f>IF(OR(AC1450="",N(R1450)=0),"",L1450/R1450)</f>
        <v/>
      </c>
      <c r="AF1450" s="100">
        <f>IF(OR(N(K1450)=0,N(J1450)+N(Q1450)=0),"",K1450-IF(N(J1450)&gt;0,J1450,Q1450))</f>
        <v/>
      </c>
      <c r="AG1450" s="99">
        <f>IF(B1450="","",IFERROR(AVERAGEIFS('QUALITY CONTROL'!$M$5:$M$304,'QUALITY CONTROL'!$B$5:$B$304,A1450),""))</f>
        <v/>
      </c>
      <c r="AH1450" s="51">
        <f>IF(B1450="","",DATE(YEAR(B1450),MONTH(B1450),1))</f>
        <v/>
      </c>
      <c r="AI1450" s="49">
        <f>IF(D1450="","",IFERROR(INDEX('CUSTOMERS'!$E$5:$E$404,MATCH(D1450,'CUSTOMERS'!$B$5:$B$404,0)),""))</f>
        <v/>
      </c>
      <c r="AJ1450" s="49">
        <f>IF(B1450="","",N(C1450))</f>
        <v/>
      </c>
      <c r="AK1450" s="49">
        <f>IF(OR(B1450="",O1450="Cancelled",O1450="Rescheduled"),"",B1450&amp;"|"&amp;(COUNTIFS('JOBS'!$B$5:$B$1504,B1450,'JOBS'!$AJ$5:$AJ$1504,"&lt;"&amp;AJ1450,'JOBS'!$O$5:$O$1504,"&lt;&gt;Cancelled",'JOBS'!$O$5:$O$1504,"&lt;&gt;Rescheduled")+COUNTIFS($B$5:B1450,B1450,$AJ$5:AJ1450,AJ1450,$O$5:O1450,"&lt;&gt;Cancelled",$O$5:O1450,"&lt;&gt;Rescheduled")))</f>
        <v/>
      </c>
      <c r="AL1450" s="49">
        <f>IF(N(U1450)&lt;=0.005,"",COUNTIFS('JOBS'!$U$5:$U$1504,"&gt;0.005",'JOBS'!$B$5:$B$1504,"&lt;"&amp;B1450)+COUNTIFS($U$5:U1450,"&gt;0.005",$B$5:B1450,B1450))</f>
        <v/>
      </c>
    </row>
    <row r="1451">
      <c r="A1451" s="46" t="inlineStr">
        <is>
          <t>J-1447</t>
        </is>
      </c>
      <c r="B1451" s="47" t="n"/>
      <c r="C1451" s="94" t="n"/>
      <c r="D1451" s="38" t="n"/>
      <c r="E1451" s="38" t="n"/>
      <c r="F1451" s="38" t="n"/>
      <c r="G1451" s="38" t="n"/>
      <c r="H1451" s="38" t="n"/>
      <c r="I1451" s="57" t="n"/>
      <c r="J1451" s="95" t="n"/>
      <c r="K1451" s="95" t="n"/>
      <c r="L1451" s="48" t="n"/>
      <c r="M1451" s="96" t="n"/>
      <c r="N1451" s="48" t="n"/>
      <c r="O1451" s="38" t="n"/>
      <c r="P1451" s="38" t="n"/>
      <c r="Q1451" s="97">
        <f>IF(OR(F1451="",E1451=""),"",IFERROR(IF(INDEX('PROPERTIES'!$F$5:$F$404,MATCH(E1451,'PROPERTIES'!$B$5:$B$404,0))=0,"",ROUND((INDEX('PROPERTIES'!$F$5:$F$404,MATCH(E1451,'PROPERTIES'!$B$5:$B$404,0))/INDEX('PRICING'!$C$7:$C$16,MATCH(F1451,'PRICING'!$A$7:$A$16,0))+INDEX('PROPERTIES'!$G$5:$G$404,MATCH(E1451,'PROPERTIES'!$B$5:$B$404,0))*INDEX('PRICING'!$D$7:$D$16,MATCH(F1451,'PRICING'!$A$7:$A$16,0))/60+INDEX('PROPERTIES'!$H$5:$H$404,MATCH(E1451,'PROPERTIES'!$B$5:$B$404,0))*INDEX('PRICING'!$E$7:$E$16,MATCH(F1451,'PRICING'!$A$7:$A$16,0))/60+INDEX('PRICING'!$F$7:$F$16,MATCH(F1451,'PRICING'!$A$7:$A$16,0))/60),2)),""))</f>
        <v/>
      </c>
      <c r="R1451" s="97">
        <f>IF(B1451="","",IF(N(K1451)&gt;0,K1451,IF(N(J1451)&gt;0,J1451,N(Q1451))))</f>
        <v/>
      </c>
      <c r="S1451" s="55">
        <f>IF(L1451="","",ROUND(L1451*(1+N(M1451)),2))</f>
        <v/>
      </c>
      <c r="T1451" s="55">
        <f>IF(B1451="","",SUMIFS('REVENUE'!$C$5:$C$1504,'REVENUE'!$B$5:$B$1504,A1451))</f>
        <v/>
      </c>
      <c r="U1451" s="55">
        <f>IF(B1451="","",IF(O1451="Completed",MAX(0,N(S1451)-T1451),""))</f>
        <v/>
      </c>
      <c r="V1451" s="49">
        <f>IF(B1451="","",IF(O1451&lt;&gt;"Completed",IF(T1451&gt;0,"Deposit","—"),IF(U1451&lt;=0.005,"Paid",IF(T1451&gt;0,"Partial","Unpaid"))))</f>
        <v/>
      </c>
      <c r="W1451" s="55">
        <f>IF(B1451="","",IFERROR(1/(1/INDEX('STAFF &amp; TASKS'!$C$5:$C$24,MATCH(H1451,'STAFF &amp; TASKS'!$A$5:$A$24,0))),PayRate))</f>
        <v/>
      </c>
      <c r="X1451" s="55">
        <f>IF(B1451="","",IF(OR(O1451="Cancelled",O1451="No-Show"),"",ROUND(R1451*W1451*(1+Burden),2)))</f>
        <v/>
      </c>
      <c r="Y1451" s="55">
        <f>IF(B1451="","",IF(OR(O1451="Cancelled",O1451="No-Show"),"",IF(N1451&lt;&gt;"",N1451,ROUND(R1451*SupHr*IFERROR(INDEX('PRICING'!$G$7:$G$16,MATCH(F1451,'PRICING'!$A$7:$A$16,0)),1),2))))</f>
        <v/>
      </c>
      <c r="Z1451" s="98">
        <f>IF(B1451="","",SUMIFS('MILEAGE'!$J$5:$J$1504,'MILEAGE'!$B$5:$B$1504,A1451))</f>
        <v/>
      </c>
      <c r="AA1451" s="55">
        <f>IF(B1451="","",ROUND(Z1451*MileRate,2))</f>
        <v/>
      </c>
      <c r="AB1451" s="55">
        <f>IF(B1451="","",SUMIFS('REVENUE'!$J$5:$J$1504,'REVENUE'!$B$5:$B$1504,A1451))</f>
        <v/>
      </c>
      <c r="AC1451" s="55">
        <f>IF(L1451="","",IF(OR(O1451="Cancelled",O1451="No-Show"),"",L1451-N(X1451)-N(Y1451)-AA1451-AB1451))</f>
        <v/>
      </c>
      <c r="AD1451" s="99">
        <f>IF(OR(AC1451="",N(L1451)=0),"",AC1451/L1451)</f>
        <v/>
      </c>
      <c r="AE1451" s="55">
        <f>IF(OR(AC1451="",N(R1451)=0),"",L1451/R1451)</f>
        <v/>
      </c>
      <c r="AF1451" s="100">
        <f>IF(OR(N(K1451)=0,N(J1451)+N(Q1451)=0),"",K1451-IF(N(J1451)&gt;0,J1451,Q1451))</f>
        <v/>
      </c>
      <c r="AG1451" s="99">
        <f>IF(B1451="","",IFERROR(AVERAGEIFS('QUALITY CONTROL'!$M$5:$M$304,'QUALITY CONTROL'!$B$5:$B$304,A1451),""))</f>
        <v/>
      </c>
      <c r="AH1451" s="51">
        <f>IF(B1451="","",DATE(YEAR(B1451),MONTH(B1451),1))</f>
        <v/>
      </c>
      <c r="AI1451" s="49">
        <f>IF(D1451="","",IFERROR(INDEX('CUSTOMERS'!$E$5:$E$404,MATCH(D1451,'CUSTOMERS'!$B$5:$B$404,0)),""))</f>
        <v/>
      </c>
      <c r="AJ1451" s="49">
        <f>IF(B1451="","",N(C1451))</f>
        <v/>
      </c>
      <c r="AK1451" s="49">
        <f>IF(OR(B1451="",O1451="Cancelled",O1451="Rescheduled"),"",B1451&amp;"|"&amp;(COUNTIFS('JOBS'!$B$5:$B$1504,B1451,'JOBS'!$AJ$5:$AJ$1504,"&lt;"&amp;AJ1451,'JOBS'!$O$5:$O$1504,"&lt;&gt;Cancelled",'JOBS'!$O$5:$O$1504,"&lt;&gt;Rescheduled")+COUNTIFS($B$5:B1451,B1451,$AJ$5:AJ1451,AJ1451,$O$5:O1451,"&lt;&gt;Cancelled",$O$5:O1451,"&lt;&gt;Rescheduled")))</f>
        <v/>
      </c>
      <c r="AL1451" s="49">
        <f>IF(N(U1451)&lt;=0.005,"",COUNTIFS('JOBS'!$U$5:$U$1504,"&gt;0.005",'JOBS'!$B$5:$B$1504,"&lt;"&amp;B1451)+COUNTIFS($U$5:U1451,"&gt;0.005",$B$5:B1451,B1451))</f>
        <v/>
      </c>
    </row>
    <row r="1452">
      <c r="A1452" s="46" t="inlineStr">
        <is>
          <t>J-1448</t>
        </is>
      </c>
      <c r="B1452" s="47" t="n"/>
      <c r="C1452" s="94" t="n"/>
      <c r="D1452" s="38" t="n"/>
      <c r="E1452" s="38" t="n"/>
      <c r="F1452" s="38" t="n"/>
      <c r="G1452" s="38" t="n"/>
      <c r="H1452" s="38" t="n"/>
      <c r="I1452" s="57" t="n"/>
      <c r="J1452" s="95" t="n"/>
      <c r="K1452" s="95" t="n"/>
      <c r="L1452" s="48" t="n"/>
      <c r="M1452" s="96" t="n"/>
      <c r="N1452" s="48" t="n"/>
      <c r="O1452" s="38" t="n"/>
      <c r="P1452" s="38" t="n"/>
      <c r="Q1452" s="97">
        <f>IF(OR(F1452="",E1452=""),"",IFERROR(IF(INDEX('PROPERTIES'!$F$5:$F$404,MATCH(E1452,'PROPERTIES'!$B$5:$B$404,0))=0,"",ROUND((INDEX('PROPERTIES'!$F$5:$F$404,MATCH(E1452,'PROPERTIES'!$B$5:$B$404,0))/INDEX('PRICING'!$C$7:$C$16,MATCH(F1452,'PRICING'!$A$7:$A$16,0))+INDEX('PROPERTIES'!$G$5:$G$404,MATCH(E1452,'PROPERTIES'!$B$5:$B$404,0))*INDEX('PRICING'!$D$7:$D$16,MATCH(F1452,'PRICING'!$A$7:$A$16,0))/60+INDEX('PROPERTIES'!$H$5:$H$404,MATCH(E1452,'PROPERTIES'!$B$5:$B$404,0))*INDEX('PRICING'!$E$7:$E$16,MATCH(F1452,'PRICING'!$A$7:$A$16,0))/60+INDEX('PRICING'!$F$7:$F$16,MATCH(F1452,'PRICING'!$A$7:$A$16,0))/60),2)),""))</f>
        <v/>
      </c>
      <c r="R1452" s="97">
        <f>IF(B1452="","",IF(N(K1452)&gt;0,K1452,IF(N(J1452)&gt;0,J1452,N(Q1452))))</f>
        <v/>
      </c>
      <c r="S1452" s="55">
        <f>IF(L1452="","",ROUND(L1452*(1+N(M1452)),2))</f>
        <v/>
      </c>
      <c r="T1452" s="55">
        <f>IF(B1452="","",SUMIFS('REVENUE'!$C$5:$C$1504,'REVENUE'!$B$5:$B$1504,A1452))</f>
        <v/>
      </c>
      <c r="U1452" s="55">
        <f>IF(B1452="","",IF(O1452="Completed",MAX(0,N(S1452)-T1452),""))</f>
        <v/>
      </c>
      <c r="V1452" s="49">
        <f>IF(B1452="","",IF(O1452&lt;&gt;"Completed",IF(T1452&gt;0,"Deposit","—"),IF(U1452&lt;=0.005,"Paid",IF(T1452&gt;0,"Partial","Unpaid"))))</f>
        <v/>
      </c>
      <c r="W1452" s="55">
        <f>IF(B1452="","",IFERROR(1/(1/INDEX('STAFF &amp; TASKS'!$C$5:$C$24,MATCH(H1452,'STAFF &amp; TASKS'!$A$5:$A$24,0))),PayRate))</f>
        <v/>
      </c>
      <c r="X1452" s="55">
        <f>IF(B1452="","",IF(OR(O1452="Cancelled",O1452="No-Show"),"",ROUND(R1452*W1452*(1+Burden),2)))</f>
        <v/>
      </c>
      <c r="Y1452" s="55">
        <f>IF(B1452="","",IF(OR(O1452="Cancelled",O1452="No-Show"),"",IF(N1452&lt;&gt;"",N1452,ROUND(R1452*SupHr*IFERROR(INDEX('PRICING'!$G$7:$G$16,MATCH(F1452,'PRICING'!$A$7:$A$16,0)),1),2))))</f>
        <v/>
      </c>
      <c r="Z1452" s="98">
        <f>IF(B1452="","",SUMIFS('MILEAGE'!$J$5:$J$1504,'MILEAGE'!$B$5:$B$1504,A1452))</f>
        <v/>
      </c>
      <c r="AA1452" s="55">
        <f>IF(B1452="","",ROUND(Z1452*MileRate,2))</f>
        <v/>
      </c>
      <c r="AB1452" s="55">
        <f>IF(B1452="","",SUMIFS('REVENUE'!$J$5:$J$1504,'REVENUE'!$B$5:$B$1504,A1452))</f>
        <v/>
      </c>
      <c r="AC1452" s="55">
        <f>IF(L1452="","",IF(OR(O1452="Cancelled",O1452="No-Show"),"",L1452-N(X1452)-N(Y1452)-AA1452-AB1452))</f>
        <v/>
      </c>
      <c r="AD1452" s="99">
        <f>IF(OR(AC1452="",N(L1452)=0),"",AC1452/L1452)</f>
        <v/>
      </c>
      <c r="AE1452" s="55">
        <f>IF(OR(AC1452="",N(R1452)=0),"",L1452/R1452)</f>
        <v/>
      </c>
      <c r="AF1452" s="100">
        <f>IF(OR(N(K1452)=0,N(J1452)+N(Q1452)=0),"",K1452-IF(N(J1452)&gt;0,J1452,Q1452))</f>
        <v/>
      </c>
      <c r="AG1452" s="99">
        <f>IF(B1452="","",IFERROR(AVERAGEIFS('QUALITY CONTROL'!$M$5:$M$304,'QUALITY CONTROL'!$B$5:$B$304,A1452),""))</f>
        <v/>
      </c>
      <c r="AH1452" s="51">
        <f>IF(B1452="","",DATE(YEAR(B1452),MONTH(B1452),1))</f>
        <v/>
      </c>
      <c r="AI1452" s="49">
        <f>IF(D1452="","",IFERROR(INDEX('CUSTOMERS'!$E$5:$E$404,MATCH(D1452,'CUSTOMERS'!$B$5:$B$404,0)),""))</f>
        <v/>
      </c>
      <c r="AJ1452" s="49">
        <f>IF(B1452="","",N(C1452))</f>
        <v/>
      </c>
      <c r="AK1452" s="49">
        <f>IF(OR(B1452="",O1452="Cancelled",O1452="Rescheduled"),"",B1452&amp;"|"&amp;(COUNTIFS('JOBS'!$B$5:$B$1504,B1452,'JOBS'!$AJ$5:$AJ$1504,"&lt;"&amp;AJ1452,'JOBS'!$O$5:$O$1504,"&lt;&gt;Cancelled",'JOBS'!$O$5:$O$1504,"&lt;&gt;Rescheduled")+COUNTIFS($B$5:B1452,B1452,$AJ$5:AJ1452,AJ1452,$O$5:O1452,"&lt;&gt;Cancelled",$O$5:O1452,"&lt;&gt;Rescheduled")))</f>
        <v/>
      </c>
      <c r="AL1452" s="49">
        <f>IF(N(U1452)&lt;=0.005,"",COUNTIFS('JOBS'!$U$5:$U$1504,"&gt;0.005",'JOBS'!$B$5:$B$1504,"&lt;"&amp;B1452)+COUNTIFS($U$5:U1452,"&gt;0.005",$B$5:B1452,B1452))</f>
        <v/>
      </c>
    </row>
    <row r="1453">
      <c r="A1453" s="46" t="inlineStr">
        <is>
          <t>J-1449</t>
        </is>
      </c>
      <c r="B1453" s="47" t="n"/>
      <c r="C1453" s="94" t="n"/>
      <c r="D1453" s="38" t="n"/>
      <c r="E1453" s="38" t="n"/>
      <c r="F1453" s="38" t="n"/>
      <c r="G1453" s="38" t="n"/>
      <c r="H1453" s="38" t="n"/>
      <c r="I1453" s="57" t="n"/>
      <c r="J1453" s="95" t="n"/>
      <c r="K1453" s="95" t="n"/>
      <c r="L1453" s="48" t="n"/>
      <c r="M1453" s="96" t="n"/>
      <c r="N1453" s="48" t="n"/>
      <c r="O1453" s="38" t="n"/>
      <c r="P1453" s="38" t="n"/>
      <c r="Q1453" s="97">
        <f>IF(OR(F1453="",E1453=""),"",IFERROR(IF(INDEX('PROPERTIES'!$F$5:$F$404,MATCH(E1453,'PROPERTIES'!$B$5:$B$404,0))=0,"",ROUND((INDEX('PROPERTIES'!$F$5:$F$404,MATCH(E1453,'PROPERTIES'!$B$5:$B$404,0))/INDEX('PRICING'!$C$7:$C$16,MATCH(F1453,'PRICING'!$A$7:$A$16,0))+INDEX('PROPERTIES'!$G$5:$G$404,MATCH(E1453,'PROPERTIES'!$B$5:$B$404,0))*INDEX('PRICING'!$D$7:$D$16,MATCH(F1453,'PRICING'!$A$7:$A$16,0))/60+INDEX('PROPERTIES'!$H$5:$H$404,MATCH(E1453,'PROPERTIES'!$B$5:$B$404,0))*INDEX('PRICING'!$E$7:$E$16,MATCH(F1453,'PRICING'!$A$7:$A$16,0))/60+INDEX('PRICING'!$F$7:$F$16,MATCH(F1453,'PRICING'!$A$7:$A$16,0))/60),2)),""))</f>
        <v/>
      </c>
      <c r="R1453" s="97">
        <f>IF(B1453="","",IF(N(K1453)&gt;0,K1453,IF(N(J1453)&gt;0,J1453,N(Q1453))))</f>
        <v/>
      </c>
      <c r="S1453" s="55">
        <f>IF(L1453="","",ROUND(L1453*(1+N(M1453)),2))</f>
        <v/>
      </c>
      <c r="T1453" s="55">
        <f>IF(B1453="","",SUMIFS('REVENUE'!$C$5:$C$1504,'REVENUE'!$B$5:$B$1504,A1453))</f>
        <v/>
      </c>
      <c r="U1453" s="55">
        <f>IF(B1453="","",IF(O1453="Completed",MAX(0,N(S1453)-T1453),""))</f>
        <v/>
      </c>
      <c r="V1453" s="49">
        <f>IF(B1453="","",IF(O1453&lt;&gt;"Completed",IF(T1453&gt;0,"Deposit","—"),IF(U1453&lt;=0.005,"Paid",IF(T1453&gt;0,"Partial","Unpaid"))))</f>
        <v/>
      </c>
      <c r="W1453" s="55">
        <f>IF(B1453="","",IFERROR(1/(1/INDEX('STAFF &amp; TASKS'!$C$5:$C$24,MATCH(H1453,'STAFF &amp; TASKS'!$A$5:$A$24,0))),PayRate))</f>
        <v/>
      </c>
      <c r="X1453" s="55">
        <f>IF(B1453="","",IF(OR(O1453="Cancelled",O1453="No-Show"),"",ROUND(R1453*W1453*(1+Burden),2)))</f>
        <v/>
      </c>
      <c r="Y1453" s="55">
        <f>IF(B1453="","",IF(OR(O1453="Cancelled",O1453="No-Show"),"",IF(N1453&lt;&gt;"",N1453,ROUND(R1453*SupHr*IFERROR(INDEX('PRICING'!$G$7:$G$16,MATCH(F1453,'PRICING'!$A$7:$A$16,0)),1),2))))</f>
        <v/>
      </c>
      <c r="Z1453" s="98">
        <f>IF(B1453="","",SUMIFS('MILEAGE'!$J$5:$J$1504,'MILEAGE'!$B$5:$B$1504,A1453))</f>
        <v/>
      </c>
      <c r="AA1453" s="55">
        <f>IF(B1453="","",ROUND(Z1453*MileRate,2))</f>
        <v/>
      </c>
      <c r="AB1453" s="55">
        <f>IF(B1453="","",SUMIFS('REVENUE'!$J$5:$J$1504,'REVENUE'!$B$5:$B$1504,A1453))</f>
        <v/>
      </c>
      <c r="AC1453" s="55">
        <f>IF(L1453="","",IF(OR(O1453="Cancelled",O1453="No-Show"),"",L1453-N(X1453)-N(Y1453)-AA1453-AB1453))</f>
        <v/>
      </c>
      <c r="AD1453" s="99">
        <f>IF(OR(AC1453="",N(L1453)=0),"",AC1453/L1453)</f>
        <v/>
      </c>
      <c r="AE1453" s="55">
        <f>IF(OR(AC1453="",N(R1453)=0),"",L1453/R1453)</f>
        <v/>
      </c>
      <c r="AF1453" s="100">
        <f>IF(OR(N(K1453)=0,N(J1453)+N(Q1453)=0),"",K1453-IF(N(J1453)&gt;0,J1453,Q1453))</f>
        <v/>
      </c>
      <c r="AG1453" s="99">
        <f>IF(B1453="","",IFERROR(AVERAGEIFS('QUALITY CONTROL'!$M$5:$M$304,'QUALITY CONTROL'!$B$5:$B$304,A1453),""))</f>
        <v/>
      </c>
      <c r="AH1453" s="51">
        <f>IF(B1453="","",DATE(YEAR(B1453),MONTH(B1453),1))</f>
        <v/>
      </c>
      <c r="AI1453" s="49">
        <f>IF(D1453="","",IFERROR(INDEX('CUSTOMERS'!$E$5:$E$404,MATCH(D1453,'CUSTOMERS'!$B$5:$B$404,0)),""))</f>
        <v/>
      </c>
      <c r="AJ1453" s="49">
        <f>IF(B1453="","",N(C1453))</f>
        <v/>
      </c>
      <c r="AK1453" s="49">
        <f>IF(OR(B1453="",O1453="Cancelled",O1453="Rescheduled"),"",B1453&amp;"|"&amp;(COUNTIFS('JOBS'!$B$5:$B$1504,B1453,'JOBS'!$AJ$5:$AJ$1504,"&lt;"&amp;AJ1453,'JOBS'!$O$5:$O$1504,"&lt;&gt;Cancelled",'JOBS'!$O$5:$O$1504,"&lt;&gt;Rescheduled")+COUNTIFS($B$5:B1453,B1453,$AJ$5:AJ1453,AJ1453,$O$5:O1453,"&lt;&gt;Cancelled",$O$5:O1453,"&lt;&gt;Rescheduled")))</f>
        <v/>
      </c>
      <c r="AL1453" s="49">
        <f>IF(N(U1453)&lt;=0.005,"",COUNTIFS('JOBS'!$U$5:$U$1504,"&gt;0.005",'JOBS'!$B$5:$B$1504,"&lt;"&amp;B1453)+COUNTIFS($U$5:U1453,"&gt;0.005",$B$5:B1453,B1453))</f>
        <v/>
      </c>
    </row>
    <row r="1454">
      <c r="A1454" s="46" t="inlineStr">
        <is>
          <t>J-1450</t>
        </is>
      </c>
      <c r="B1454" s="47" t="n"/>
      <c r="C1454" s="94" t="n"/>
      <c r="D1454" s="38" t="n"/>
      <c r="E1454" s="38" t="n"/>
      <c r="F1454" s="38" t="n"/>
      <c r="G1454" s="38" t="n"/>
      <c r="H1454" s="38" t="n"/>
      <c r="I1454" s="57" t="n"/>
      <c r="J1454" s="95" t="n"/>
      <c r="K1454" s="95" t="n"/>
      <c r="L1454" s="48" t="n"/>
      <c r="M1454" s="96" t="n"/>
      <c r="N1454" s="48" t="n"/>
      <c r="O1454" s="38" t="n"/>
      <c r="P1454" s="38" t="n"/>
      <c r="Q1454" s="97">
        <f>IF(OR(F1454="",E1454=""),"",IFERROR(IF(INDEX('PROPERTIES'!$F$5:$F$404,MATCH(E1454,'PROPERTIES'!$B$5:$B$404,0))=0,"",ROUND((INDEX('PROPERTIES'!$F$5:$F$404,MATCH(E1454,'PROPERTIES'!$B$5:$B$404,0))/INDEX('PRICING'!$C$7:$C$16,MATCH(F1454,'PRICING'!$A$7:$A$16,0))+INDEX('PROPERTIES'!$G$5:$G$404,MATCH(E1454,'PROPERTIES'!$B$5:$B$404,0))*INDEX('PRICING'!$D$7:$D$16,MATCH(F1454,'PRICING'!$A$7:$A$16,0))/60+INDEX('PROPERTIES'!$H$5:$H$404,MATCH(E1454,'PROPERTIES'!$B$5:$B$404,0))*INDEX('PRICING'!$E$7:$E$16,MATCH(F1454,'PRICING'!$A$7:$A$16,0))/60+INDEX('PRICING'!$F$7:$F$16,MATCH(F1454,'PRICING'!$A$7:$A$16,0))/60),2)),""))</f>
        <v/>
      </c>
      <c r="R1454" s="97">
        <f>IF(B1454="","",IF(N(K1454)&gt;0,K1454,IF(N(J1454)&gt;0,J1454,N(Q1454))))</f>
        <v/>
      </c>
      <c r="S1454" s="55">
        <f>IF(L1454="","",ROUND(L1454*(1+N(M1454)),2))</f>
        <v/>
      </c>
      <c r="T1454" s="55">
        <f>IF(B1454="","",SUMIFS('REVENUE'!$C$5:$C$1504,'REVENUE'!$B$5:$B$1504,A1454))</f>
        <v/>
      </c>
      <c r="U1454" s="55">
        <f>IF(B1454="","",IF(O1454="Completed",MAX(0,N(S1454)-T1454),""))</f>
        <v/>
      </c>
      <c r="V1454" s="49">
        <f>IF(B1454="","",IF(O1454&lt;&gt;"Completed",IF(T1454&gt;0,"Deposit","—"),IF(U1454&lt;=0.005,"Paid",IF(T1454&gt;0,"Partial","Unpaid"))))</f>
        <v/>
      </c>
      <c r="W1454" s="55">
        <f>IF(B1454="","",IFERROR(1/(1/INDEX('STAFF &amp; TASKS'!$C$5:$C$24,MATCH(H1454,'STAFF &amp; TASKS'!$A$5:$A$24,0))),PayRate))</f>
        <v/>
      </c>
      <c r="X1454" s="55">
        <f>IF(B1454="","",IF(OR(O1454="Cancelled",O1454="No-Show"),"",ROUND(R1454*W1454*(1+Burden),2)))</f>
        <v/>
      </c>
      <c r="Y1454" s="55">
        <f>IF(B1454="","",IF(OR(O1454="Cancelled",O1454="No-Show"),"",IF(N1454&lt;&gt;"",N1454,ROUND(R1454*SupHr*IFERROR(INDEX('PRICING'!$G$7:$G$16,MATCH(F1454,'PRICING'!$A$7:$A$16,0)),1),2))))</f>
        <v/>
      </c>
      <c r="Z1454" s="98">
        <f>IF(B1454="","",SUMIFS('MILEAGE'!$J$5:$J$1504,'MILEAGE'!$B$5:$B$1504,A1454))</f>
        <v/>
      </c>
      <c r="AA1454" s="55">
        <f>IF(B1454="","",ROUND(Z1454*MileRate,2))</f>
        <v/>
      </c>
      <c r="AB1454" s="55">
        <f>IF(B1454="","",SUMIFS('REVENUE'!$J$5:$J$1504,'REVENUE'!$B$5:$B$1504,A1454))</f>
        <v/>
      </c>
      <c r="AC1454" s="55">
        <f>IF(L1454="","",IF(OR(O1454="Cancelled",O1454="No-Show"),"",L1454-N(X1454)-N(Y1454)-AA1454-AB1454))</f>
        <v/>
      </c>
      <c r="AD1454" s="99">
        <f>IF(OR(AC1454="",N(L1454)=0),"",AC1454/L1454)</f>
        <v/>
      </c>
      <c r="AE1454" s="55">
        <f>IF(OR(AC1454="",N(R1454)=0),"",L1454/R1454)</f>
        <v/>
      </c>
      <c r="AF1454" s="100">
        <f>IF(OR(N(K1454)=0,N(J1454)+N(Q1454)=0),"",K1454-IF(N(J1454)&gt;0,J1454,Q1454))</f>
        <v/>
      </c>
      <c r="AG1454" s="99">
        <f>IF(B1454="","",IFERROR(AVERAGEIFS('QUALITY CONTROL'!$M$5:$M$304,'QUALITY CONTROL'!$B$5:$B$304,A1454),""))</f>
        <v/>
      </c>
      <c r="AH1454" s="51">
        <f>IF(B1454="","",DATE(YEAR(B1454),MONTH(B1454),1))</f>
        <v/>
      </c>
      <c r="AI1454" s="49">
        <f>IF(D1454="","",IFERROR(INDEX('CUSTOMERS'!$E$5:$E$404,MATCH(D1454,'CUSTOMERS'!$B$5:$B$404,0)),""))</f>
        <v/>
      </c>
      <c r="AJ1454" s="49">
        <f>IF(B1454="","",N(C1454))</f>
        <v/>
      </c>
      <c r="AK1454" s="49">
        <f>IF(OR(B1454="",O1454="Cancelled",O1454="Rescheduled"),"",B1454&amp;"|"&amp;(COUNTIFS('JOBS'!$B$5:$B$1504,B1454,'JOBS'!$AJ$5:$AJ$1504,"&lt;"&amp;AJ1454,'JOBS'!$O$5:$O$1504,"&lt;&gt;Cancelled",'JOBS'!$O$5:$O$1504,"&lt;&gt;Rescheduled")+COUNTIFS($B$5:B1454,B1454,$AJ$5:AJ1454,AJ1454,$O$5:O1454,"&lt;&gt;Cancelled",$O$5:O1454,"&lt;&gt;Rescheduled")))</f>
        <v/>
      </c>
      <c r="AL1454" s="49">
        <f>IF(N(U1454)&lt;=0.005,"",COUNTIFS('JOBS'!$U$5:$U$1504,"&gt;0.005",'JOBS'!$B$5:$B$1504,"&lt;"&amp;B1454)+COUNTIFS($U$5:U1454,"&gt;0.005",$B$5:B1454,B1454))</f>
        <v/>
      </c>
    </row>
    <row r="1455">
      <c r="A1455" s="46" t="inlineStr">
        <is>
          <t>J-1451</t>
        </is>
      </c>
      <c r="B1455" s="47" t="n"/>
      <c r="C1455" s="94" t="n"/>
      <c r="D1455" s="38" t="n"/>
      <c r="E1455" s="38" t="n"/>
      <c r="F1455" s="38" t="n"/>
      <c r="G1455" s="38" t="n"/>
      <c r="H1455" s="38" t="n"/>
      <c r="I1455" s="57" t="n"/>
      <c r="J1455" s="95" t="n"/>
      <c r="K1455" s="95" t="n"/>
      <c r="L1455" s="48" t="n"/>
      <c r="M1455" s="96" t="n"/>
      <c r="N1455" s="48" t="n"/>
      <c r="O1455" s="38" t="n"/>
      <c r="P1455" s="38" t="n"/>
      <c r="Q1455" s="97">
        <f>IF(OR(F1455="",E1455=""),"",IFERROR(IF(INDEX('PROPERTIES'!$F$5:$F$404,MATCH(E1455,'PROPERTIES'!$B$5:$B$404,0))=0,"",ROUND((INDEX('PROPERTIES'!$F$5:$F$404,MATCH(E1455,'PROPERTIES'!$B$5:$B$404,0))/INDEX('PRICING'!$C$7:$C$16,MATCH(F1455,'PRICING'!$A$7:$A$16,0))+INDEX('PROPERTIES'!$G$5:$G$404,MATCH(E1455,'PROPERTIES'!$B$5:$B$404,0))*INDEX('PRICING'!$D$7:$D$16,MATCH(F1455,'PRICING'!$A$7:$A$16,0))/60+INDEX('PROPERTIES'!$H$5:$H$404,MATCH(E1455,'PROPERTIES'!$B$5:$B$404,0))*INDEX('PRICING'!$E$7:$E$16,MATCH(F1455,'PRICING'!$A$7:$A$16,0))/60+INDEX('PRICING'!$F$7:$F$16,MATCH(F1455,'PRICING'!$A$7:$A$16,0))/60),2)),""))</f>
        <v/>
      </c>
      <c r="R1455" s="97">
        <f>IF(B1455="","",IF(N(K1455)&gt;0,K1455,IF(N(J1455)&gt;0,J1455,N(Q1455))))</f>
        <v/>
      </c>
      <c r="S1455" s="55">
        <f>IF(L1455="","",ROUND(L1455*(1+N(M1455)),2))</f>
        <v/>
      </c>
      <c r="T1455" s="55">
        <f>IF(B1455="","",SUMIFS('REVENUE'!$C$5:$C$1504,'REVENUE'!$B$5:$B$1504,A1455))</f>
        <v/>
      </c>
      <c r="U1455" s="55">
        <f>IF(B1455="","",IF(O1455="Completed",MAX(0,N(S1455)-T1455),""))</f>
        <v/>
      </c>
      <c r="V1455" s="49">
        <f>IF(B1455="","",IF(O1455&lt;&gt;"Completed",IF(T1455&gt;0,"Deposit","—"),IF(U1455&lt;=0.005,"Paid",IF(T1455&gt;0,"Partial","Unpaid"))))</f>
        <v/>
      </c>
      <c r="W1455" s="55">
        <f>IF(B1455="","",IFERROR(1/(1/INDEX('STAFF &amp; TASKS'!$C$5:$C$24,MATCH(H1455,'STAFF &amp; TASKS'!$A$5:$A$24,0))),PayRate))</f>
        <v/>
      </c>
      <c r="X1455" s="55">
        <f>IF(B1455="","",IF(OR(O1455="Cancelled",O1455="No-Show"),"",ROUND(R1455*W1455*(1+Burden),2)))</f>
        <v/>
      </c>
      <c r="Y1455" s="55">
        <f>IF(B1455="","",IF(OR(O1455="Cancelled",O1455="No-Show"),"",IF(N1455&lt;&gt;"",N1455,ROUND(R1455*SupHr*IFERROR(INDEX('PRICING'!$G$7:$G$16,MATCH(F1455,'PRICING'!$A$7:$A$16,0)),1),2))))</f>
        <v/>
      </c>
      <c r="Z1455" s="98">
        <f>IF(B1455="","",SUMIFS('MILEAGE'!$J$5:$J$1504,'MILEAGE'!$B$5:$B$1504,A1455))</f>
        <v/>
      </c>
      <c r="AA1455" s="55">
        <f>IF(B1455="","",ROUND(Z1455*MileRate,2))</f>
        <v/>
      </c>
      <c r="AB1455" s="55">
        <f>IF(B1455="","",SUMIFS('REVENUE'!$J$5:$J$1504,'REVENUE'!$B$5:$B$1504,A1455))</f>
        <v/>
      </c>
      <c r="AC1455" s="55">
        <f>IF(L1455="","",IF(OR(O1455="Cancelled",O1455="No-Show"),"",L1455-N(X1455)-N(Y1455)-AA1455-AB1455))</f>
        <v/>
      </c>
      <c r="AD1455" s="99">
        <f>IF(OR(AC1455="",N(L1455)=0),"",AC1455/L1455)</f>
        <v/>
      </c>
      <c r="AE1455" s="55">
        <f>IF(OR(AC1455="",N(R1455)=0),"",L1455/R1455)</f>
        <v/>
      </c>
      <c r="AF1455" s="100">
        <f>IF(OR(N(K1455)=0,N(J1455)+N(Q1455)=0),"",K1455-IF(N(J1455)&gt;0,J1455,Q1455))</f>
        <v/>
      </c>
      <c r="AG1455" s="99">
        <f>IF(B1455="","",IFERROR(AVERAGEIFS('QUALITY CONTROL'!$M$5:$M$304,'QUALITY CONTROL'!$B$5:$B$304,A1455),""))</f>
        <v/>
      </c>
      <c r="AH1455" s="51">
        <f>IF(B1455="","",DATE(YEAR(B1455),MONTH(B1455),1))</f>
        <v/>
      </c>
      <c r="AI1455" s="49">
        <f>IF(D1455="","",IFERROR(INDEX('CUSTOMERS'!$E$5:$E$404,MATCH(D1455,'CUSTOMERS'!$B$5:$B$404,0)),""))</f>
        <v/>
      </c>
      <c r="AJ1455" s="49">
        <f>IF(B1455="","",N(C1455))</f>
        <v/>
      </c>
      <c r="AK1455" s="49">
        <f>IF(OR(B1455="",O1455="Cancelled",O1455="Rescheduled"),"",B1455&amp;"|"&amp;(COUNTIFS('JOBS'!$B$5:$B$1504,B1455,'JOBS'!$AJ$5:$AJ$1504,"&lt;"&amp;AJ1455,'JOBS'!$O$5:$O$1504,"&lt;&gt;Cancelled",'JOBS'!$O$5:$O$1504,"&lt;&gt;Rescheduled")+COUNTIFS($B$5:B1455,B1455,$AJ$5:AJ1455,AJ1455,$O$5:O1455,"&lt;&gt;Cancelled",$O$5:O1455,"&lt;&gt;Rescheduled")))</f>
        <v/>
      </c>
      <c r="AL1455" s="49">
        <f>IF(N(U1455)&lt;=0.005,"",COUNTIFS('JOBS'!$U$5:$U$1504,"&gt;0.005",'JOBS'!$B$5:$B$1504,"&lt;"&amp;B1455)+COUNTIFS($U$5:U1455,"&gt;0.005",$B$5:B1455,B1455))</f>
        <v/>
      </c>
    </row>
    <row r="1456">
      <c r="A1456" s="46" t="inlineStr">
        <is>
          <t>J-1452</t>
        </is>
      </c>
      <c r="B1456" s="47" t="n"/>
      <c r="C1456" s="94" t="n"/>
      <c r="D1456" s="38" t="n"/>
      <c r="E1456" s="38" t="n"/>
      <c r="F1456" s="38" t="n"/>
      <c r="G1456" s="38" t="n"/>
      <c r="H1456" s="38" t="n"/>
      <c r="I1456" s="57" t="n"/>
      <c r="J1456" s="95" t="n"/>
      <c r="K1456" s="95" t="n"/>
      <c r="L1456" s="48" t="n"/>
      <c r="M1456" s="96" t="n"/>
      <c r="N1456" s="48" t="n"/>
      <c r="O1456" s="38" t="n"/>
      <c r="P1456" s="38" t="n"/>
      <c r="Q1456" s="97">
        <f>IF(OR(F1456="",E1456=""),"",IFERROR(IF(INDEX('PROPERTIES'!$F$5:$F$404,MATCH(E1456,'PROPERTIES'!$B$5:$B$404,0))=0,"",ROUND((INDEX('PROPERTIES'!$F$5:$F$404,MATCH(E1456,'PROPERTIES'!$B$5:$B$404,0))/INDEX('PRICING'!$C$7:$C$16,MATCH(F1456,'PRICING'!$A$7:$A$16,0))+INDEX('PROPERTIES'!$G$5:$G$404,MATCH(E1456,'PROPERTIES'!$B$5:$B$404,0))*INDEX('PRICING'!$D$7:$D$16,MATCH(F1456,'PRICING'!$A$7:$A$16,0))/60+INDEX('PROPERTIES'!$H$5:$H$404,MATCH(E1456,'PROPERTIES'!$B$5:$B$404,0))*INDEX('PRICING'!$E$7:$E$16,MATCH(F1456,'PRICING'!$A$7:$A$16,0))/60+INDEX('PRICING'!$F$7:$F$16,MATCH(F1456,'PRICING'!$A$7:$A$16,0))/60),2)),""))</f>
        <v/>
      </c>
      <c r="R1456" s="97">
        <f>IF(B1456="","",IF(N(K1456)&gt;0,K1456,IF(N(J1456)&gt;0,J1456,N(Q1456))))</f>
        <v/>
      </c>
      <c r="S1456" s="55">
        <f>IF(L1456="","",ROUND(L1456*(1+N(M1456)),2))</f>
        <v/>
      </c>
      <c r="T1456" s="55">
        <f>IF(B1456="","",SUMIFS('REVENUE'!$C$5:$C$1504,'REVENUE'!$B$5:$B$1504,A1456))</f>
        <v/>
      </c>
      <c r="U1456" s="55">
        <f>IF(B1456="","",IF(O1456="Completed",MAX(0,N(S1456)-T1456),""))</f>
        <v/>
      </c>
      <c r="V1456" s="49">
        <f>IF(B1456="","",IF(O1456&lt;&gt;"Completed",IF(T1456&gt;0,"Deposit","—"),IF(U1456&lt;=0.005,"Paid",IF(T1456&gt;0,"Partial","Unpaid"))))</f>
        <v/>
      </c>
      <c r="W1456" s="55">
        <f>IF(B1456="","",IFERROR(1/(1/INDEX('STAFF &amp; TASKS'!$C$5:$C$24,MATCH(H1456,'STAFF &amp; TASKS'!$A$5:$A$24,0))),PayRate))</f>
        <v/>
      </c>
      <c r="X1456" s="55">
        <f>IF(B1456="","",IF(OR(O1456="Cancelled",O1456="No-Show"),"",ROUND(R1456*W1456*(1+Burden),2)))</f>
        <v/>
      </c>
      <c r="Y1456" s="55">
        <f>IF(B1456="","",IF(OR(O1456="Cancelled",O1456="No-Show"),"",IF(N1456&lt;&gt;"",N1456,ROUND(R1456*SupHr*IFERROR(INDEX('PRICING'!$G$7:$G$16,MATCH(F1456,'PRICING'!$A$7:$A$16,0)),1),2))))</f>
        <v/>
      </c>
      <c r="Z1456" s="98">
        <f>IF(B1456="","",SUMIFS('MILEAGE'!$J$5:$J$1504,'MILEAGE'!$B$5:$B$1504,A1456))</f>
        <v/>
      </c>
      <c r="AA1456" s="55">
        <f>IF(B1456="","",ROUND(Z1456*MileRate,2))</f>
        <v/>
      </c>
      <c r="AB1456" s="55">
        <f>IF(B1456="","",SUMIFS('REVENUE'!$J$5:$J$1504,'REVENUE'!$B$5:$B$1504,A1456))</f>
        <v/>
      </c>
      <c r="AC1456" s="55">
        <f>IF(L1456="","",IF(OR(O1456="Cancelled",O1456="No-Show"),"",L1456-N(X1456)-N(Y1456)-AA1456-AB1456))</f>
        <v/>
      </c>
      <c r="AD1456" s="99">
        <f>IF(OR(AC1456="",N(L1456)=0),"",AC1456/L1456)</f>
        <v/>
      </c>
      <c r="AE1456" s="55">
        <f>IF(OR(AC1456="",N(R1456)=0),"",L1456/R1456)</f>
        <v/>
      </c>
      <c r="AF1456" s="100">
        <f>IF(OR(N(K1456)=0,N(J1456)+N(Q1456)=0),"",K1456-IF(N(J1456)&gt;0,J1456,Q1456))</f>
        <v/>
      </c>
      <c r="AG1456" s="99">
        <f>IF(B1456="","",IFERROR(AVERAGEIFS('QUALITY CONTROL'!$M$5:$M$304,'QUALITY CONTROL'!$B$5:$B$304,A1456),""))</f>
        <v/>
      </c>
      <c r="AH1456" s="51">
        <f>IF(B1456="","",DATE(YEAR(B1456),MONTH(B1456),1))</f>
        <v/>
      </c>
      <c r="AI1456" s="49">
        <f>IF(D1456="","",IFERROR(INDEX('CUSTOMERS'!$E$5:$E$404,MATCH(D1456,'CUSTOMERS'!$B$5:$B$404,0)),""))</f>
        <v/>
      </c>
      <c r="AJ1456" s="49">
        <f>IF(B1456="","",N(C1456))</f>
        <v/>
      </c>
      <c r="AK1456" s="49">
        <f>IF(OR(B1456="",O1456="Cancelled",O1456="Rescheduled"),"",B1456&amp;"|"&amp;(COUNTIFS('JOBS'!$B$5:$B$1504,B1456,'JOBS'!$AJ$5:$AJ$1504,"&lt;"&amp;AJ1456,'JOBS'!$O$5:$O$1504,"&lt;&gt;Cancelled",'JOBS'!$O$5:$O$1504,"&lt;&gt;Rescheduled")+COUNTIFS($B$5:B1456,B1456,$AJ$5:AJ1456,AJ1456,$O$5:O1456,"&lt;&gt;Cancelled",$O$5:O1456,"&lt;&gt;Rescheduled")))</f>
        <v/>
      </c>
      <c r="AL1456" s="49">
        <f>IF(N(U1456)&lt;=0.005,"",COUNTIFS('JOBS'!$U$5:$U$1504,"&gt;0.005",'JOBS'!$B$5:$B$1504,"&lt;"&amp;B1456)+COUNTIFS($U$5:U1456,"&gt;0.005",$B$5:B1456,B1456))</f>
        <v/>
      </c>
    </row>
    <row r="1457">
      <c r="A1457" s="46" t="inlineStr">
        <is>
          <t>J-1453</t>
        </is>
      </c>
      <c r="B1457" s="47" t="n"/>
      <c r="C1457" s="94" t="n"/>
      <c r="D1457" s="38" t="n"/>
      <c r="E1457" s="38" t="n"/>
      <c r="F1457" s="38" t="n"/>
      <c r="G1457" s="38" t="n"/>
      <c r="H1457" s="38" t="n"/>
      <c r="I1457" s="57" t="n"/>
      <c r="J1457" s="95" t="n"/>
      <c r="K1457" s="95" t="n"/>
      <c r="L1457" s="48" t="n"/>
      <c r="M1457" s="96" t="n"/>
      <c r="N1457" s="48" t="n"/>
      <c r="O1457" s="38" t="n"/>
      <c r="P1457" s="38" t="n"/>
      <c r="Q1457" s="97">
        <f>IF(OR(F1457="",E1457=""),"",IFERROR(IF(INDEX('PROPERTIES'!$F$5:$F$404,MATCH(E1457,'PROPERTIES'!$B$5:$B$404,0))=0,"",ROUND((INDEX('PROPERTIES'!$F$5:$F$404,MATCH(E1457,'PROPERTIES'!$B$5:$B$404,0))/INDEX('PRICING'!$C$7:$C$16,MATCH(F1457,'PRICING'!$A$7:$A$16,0))+INDEX('PROPERTIES'!$G$5:$G$404,MATCH(E1457,'PROPERTIES'!$B$5:$B$404,0))*INDEX('PRICING'!$D$7:$D$16,MATCH(F1457,'PRICING'!$A$7:$A$16,0))/60+INDEX('PROPERTIES'!$H$5:$H$404,MATCH(E1457,'PROPERTIES'!$B$5:$B$404,0))*INDEX('PRICING'!$E$7:$E$16,MATCH(F1457,'PRICING'!$A$7:$A$16,0))/60+INDEX('PRICING'!$F$7:$F$16,MATCH(F1457,'PRICING'!$A$7:$A$16,0))/60),2)),""))</f>
        <v/>
      </c>
      <c r="R1457" s="97">
        <f>IF(B1457="","",IF(N(K1457)&gt;0,K1457,IF(N(J1457)&gt;0,J1457,N(Q1457))))</f>
        <v/>
      </c>
      <c r="S1457" s="55">
        <f>IF(L1457="","",ROUND(L1457*(1+N(M1457)),2))</f>
        <v/>
      </c>
      <c r="T1457" s="55">
        <f>IF(B1457="","",SUMIFS('REVENUE'!$C$5:$C$1504,'REVENUE'!$B$5:$B$1504,A1457))</f>
        <v/>
      </c>
      <c r="U1457" s="55">
        <f>IF(B1457="","",IF(O1457="Completed",MAX(0,N(S1457)-T1457),""))</f>
        <v/>
      </c>
      <c r="V1457" s="49">
        <f>IF(B1457="","",IF(O1457&lt;&gt;"Completed",IF(T1457&gt;0,"Deposit","—"),IF(U1457&lt;=0.005,"Paid",IF(T1457&gt;0,"Partial","Unpaid"))))</f>
        <v/>
      </c>
      <c r="W1457" s="55">
        <f>IF(B1457="","",IFERROR(1/(1/INDEX('STAFF &amp; TASKS'!$C$5:$C$24,MATCH(H1457,'STAFF &amp; TASKS'!$A$5:$A$24,0))),PayRate))</f>
        <v/>
      </c>
      <c r="X1457" s="55">
        <f>IF(B1457="","",IF(OR(O1457="Cancelled",O1457="No-Show"),"",ROUND(R1457*W1457*(1+Burden),2)))</f>
        <v/>
      </c>
      <c r="Y1457" s="55">
        <f>IF(B1457="","",IF(OR(O1457="Cancelled",O1457="No-Show"),"",IF(N1457&lt;&gt;"",N1457,ROUND(R1457*SupHr*IFERROR(INDEX('PRICING'!$G$7:$G$16,MATCH(F1457,'PRICING'!$A$7:$A$16,0)),1),2))))</f>
        <v/>
      </c>
      <c r="Z1457" s="98">
        <f>IF(B1457="","",SUMIFS('MILEAGE'!$J$5:$J$1504,'MILEAGE'!$B$5:$B$1504,A1457))</f>
        <v/>
      </c>
      <c r="AA1457" s="55">
        <f>IF(B1457="","",ROUND(Z1457*MileRate,2))</f>
        <v/>
      </c>
      <c r="AB1457" s="55">
        <f>IF(B1457="","",SUMIFS('REVENUE'!$J$5:$J$1504,'REVENUE'!$B$5:$B$1504,A1457))</f>
        <v/>
      </c>
      <c r="AC1457" s="55">
        <f>IF(L1457="","",IF(OR(O1457="Cancelled",O1457="No-Show"),"",L1457-N(X1457)-N(Y1457)-AA1457-AB1457))</f>
        <v/>
      </c>
      <c r="AD1457" s="99">
        <f>IF(OR(AC1457="",N(L1457)=0),"",AC1457/L1457)</f>
        <v/>
      </c>
      <c r="AE1457" s="55">
        <f>IF(OR(AC1457="",N(R1457)=0),"",L1457/R1457)</f>
        <v/>
      </c>
      <c r="AF1457" s="100">
        <f>IF(OR(N(K1457)=0,N(J1457)+N(Q1457)=0),"",K1457-IF(N(J1457)&gt;0,J1457,Q1457))</f>
        <v/>
      </c>
      <c r="AG1457" s="99">
        <f>IF(B1457="","",IFERROR(AVERAGEIFS('QUALITY CONTROL'!$M$5:$M$304,'QUALITY CONTROL'!$B$5:$B$304,A1457),""))</f>
        <v/>
      </c>
      <c r="AH1457" s="51">
        <f>IF(B1457="","",DATE(YEAR(B1457),MONTH(B1457),1))</f>
        <v/>
      </c>
      <c r="AI1457" s="49">
        <f>IF(D1457="","",IFERROR(INDEX('CUSTOMERS'!$E$5:$E$404,MATCH(D1457,'CUSTOMERS'!$B$5:$B$404,0)),""))</f>
        <v/>
      </c>
      <c r="AJ1457" s="49">
        <f>IF(B1457="","",N(C1457))</f>
        <v/>
      </c>
      <c r="AK1457" s="49">
        <f>IF(OR(B1457="",O1457="Cancelled",O1457="Rescheduled"),"",B1457&amp;"|"&amp;(COUNTIFS('JOBS'!$B$5:$B$1504,B1457,'JOBS'!$AJ$5:$AJ$1504,"&lt;"&amp;AJ1457,'JOBS'!$O$5:$O$1504,"&lt;&gt;Cancelled",'JOBS'!$O$5:$O$1504,"&lt;&gt;Rescheduled")+COUNTIFS($B$5:B1457,B1457,$AJ$5:AJ1457,AJ1457,$O$5:O1457,"&lt;&gt;Cancelled",$O$5:O1457,"&lt;&gt;Rescheduled")))</f>
        <v/>
      </c>
      <c r="AL1457" s="49">
        <f>IF(N(U1457)&lt;=0.005,"",COUNTIFS('JOBS'!$U$5:$U$1504,"&gt;0.005",'JOBS'!$B$5:$B$1504,"&lt;"&amp;B1457)+COUNTIFS($U$5:U1457,"&gt;0.005",$B$5:B1457,B1457))</f>
        <v/>
      </c>
    </row>
    <row r="1458">
      <c r="A1458" s="46" t="inlineStr">
        <is>
          <t>J-1454</t>
        </is>
      </c>
      <c r="B1458" s="47" t="n"/>
      <c r="C1458" s="94" t="n"/>
      <c r="D1458" s="38" t="n"/>
      <c r="E1458" s="38" t="n"/>
      <c r="F1458" s="38" t="n"/>
      <c r="G1458" s="38" t="n"/>
      <c r="H1458" s="38" t="n"/>
      <c r="I1458" s="57" t="n"/>
      <c r="J1458" s="95" t="n"/>
      <c r="K1458" s="95" t="n"/>
      <c r="L1458" s="48" t="n"/>
      <c r="M1458" s="96" t="n"/>
      <c r="N1458" s="48" t="n"/>
      <c r="O1458" s="38" t="n"/>
      <c r="P1458" s="38" t="n"/>
      <c r="Q1458" s="97">
        <f>IF(OR(F1458="",E1458=""),"",IFERROR(IF(INDEX('PROPERTIES'!$F$5:$F$404,MATCH(E1458,'PROPERTIES'!$B$5:$B$404,0))=0,"",ROUND((INDEX('PROPERTIES'!$F$5:$F$404,MATCH(E1458,'PROPERTIES'!$B$5:$B$404,0))/INDEX('PRICING'!$C$7:$C$16,MATCH(F1458,'PRICING'!$A$7:$A$16,0))+INDEX('PROPERTIES'!$G$5:$G$404,MATCH(E1458,'PROPERTIES'!$B$5:$B$404,0))*INDEX('PRICING'!$D$7:$D$16,MATCH(F1458,'PRICING'!$A$7:$A$16,0))/60+INDEX('PROPERTIES'!$H$5:$H$404,MATCH(E1458,'PROPERTIES'!$B$5:$B$404,0))*INDEX('PRICING'!$E$7:$E$16,MATCH(F1458,'PRICING'!$A$7:$A$16,0))/60+INDEX('PRICING'!$F$7:$F$16,MATCH(F1458,'PRICING'!$A$7:$A$16,0))/60),2)),""))</f>
        <v/>
      </c>
      <c r="R1458" s="97">
        <f>IF(B1458="","",IF(N(K1458)&gt;0,K1458,IF(N(J1458)&gt;0,J1458,N(Q1458))))</f>
        <v/>
      </c>
      <c r="S1458" s="55">
        <f>IF(L1458="","",ROUND(L1458*(1+N(M1458)),2))</f>
        <v/>
      </c>
      <c r="T1458" s="55">
        <f>IF(B1458="","",SUMIFS('REVENUE'!$C$5:$C$1504,'REVENUE'!$B$5:$B$1504,A1458))</f>
        <v/>
      </c>
      <c r="U1458" s="55">
        <f>IF(B1458="","",IF(O1458="Completed",MAX(0,N(S1458)-T1458),""))</f>
        <v/>
      </c>
      <c r="V1458" s="49">
        <f>IF(B1458="","",IF(O1458&lt;&gt;"Completed",IF(T1458&gt;0,"Deposit","—"),IF(U1458&lt;=0.005,"Paid",IF(T1458&gt;0,"Partial","Unpaid"))))</f>
        <v/>
      </c>
      <c r="W1458" s="55">
        <f>IF(B1458="","",IFERROR(1/(1/INDEX('STAFF &amp; TASKS'!$C$5:$C$24,MATCH(H1458,'STAFF &amp; TASKS'!$A$5:$A$24,0))),PayRate))</f>
        <v/>
      </c>
      <c r="X1458" s="55">
        <f>IF(B1458="","",IF(OR(O1458="Cancelled",O1458="No-Show"),"",ROUND(R1458*W1458*(1+Burden),2)))</f>
        <v/>
      </c>
      <c r="Y1458" s="55">
        <f>IF(B1458="","",IF(OR(O1458="Cancelled",O1458="No-Show"),"",IF(N1458&lt;&gt;"",N1458,ROUND(R1458*SupHr*IFERROR(INDEX('PRICING'!$G$7:$G$16,MATCH(F1458,'PRICING'!$A$7:$A$16,0)),1),2))))</f>
        <v/>
      </c>
      <c r="Z1458" s="98">
        <f>IF(B1458="","",SUMIFS('MILEAGE'!$J$5:$J$1504,'MILEAGE'!$B$5:$B$1504,A1458))</f>
        <v/>
      </c>
      <c r="AA1458" s="55">
        <f>IF(B1458="","",ROUND(Z1458*MileRate,2))</f>
        <v/>
      </c>
      <c r="AB1458" s="55">
        <f>IF(B1458="","",SUMIFS('REVENUE'!$J$5:$J$1504,'REVENUE'!$B$5:$B$1504,A1458))</f>
        <v/>
      </c>
      <c r="AC1458" s="55">
        <f>IF(L1458="","",IF(OR(O1458="Cancelled",O1458="No-Show"),"",L1458-N(X1458)-N(Y1458)-AA1458-AB1458))</f>
        <v/>
      </c>
      <c r="AD1458" s="99">
        <f>IF(OR(AC1458="",N(L1458)=0),"",AC1458/L1458)</f>
        <v/>
      </c>
      <c r="AE1458" s="55">
        <f>IF(OR(AC1458="",N(R1458)=0),"",L1458/R1458)</f>
        <v/>
      </c>
      <c r="AF1458" s="100">
        <f>IF(OR(N(K1458)=0,N(J1458)+N(Q1458)=0),"",K1458-IF(N(J1458)&gt;0,J1458,Q1458))</f>
        <v/>
      </c>
      <c r="AG1458" s="99">
        <f>IF(B1458="","",IFERROR(AVERAGEIFS('QUALITY CONTROL'!$M$5:$M$304,'QUALITY CONTROL'!$B$5:$B$304,A1458),""))</f>
        <v/>
      </c>
      <c r="AH1458" s="51">
        <f>IF(B1458="","",DATE(YEAR(B1458),MONTH(B1458),1))</f>
        <v/>
      </c>
      <c r="AI1458" s="49">
        <f>IF(D1458="","",IFERROR(INDEX('CUSTOMERS'!$E$5:$E$404,MATCH(D1458,'CUSTOMERS'!$B$5:$B$404,0)),""))</f>
        <v/>
      </c>
      <c r="AJ1458" s="49">
        <f>IF(B1458="","",N(C1458))</f>
        <v/>
      </c>
      <c r="AK1458" s="49">
        <f>IF(OR(B1458="",O1458="Cancelled",O1458="Rescheduled"),"",B1458&amp;"|"&amp;(COUNTIFS('JOBS'!$B$5:$B$1504,B1458,'JOBS'!$AJ$5:$AJ$1504,"&lt;"&amp;AJ1458,'JOBS'!$O$5:$O$1504,"&lt;&gt;Cancelled",'JOBS'!$O$5:$O$1504,"&lt;&gt;Rescheduled")+COUNTIFS($B$5:B1458,B1458,$AJ$5:AJ1458,AJ1458,$O$5:O1458,"&lt;&gt;Cancelled",$O$5:O1458,"&lt;&gt;Rescheduled")))</f>
        <v/>
      </c>
      <c r="AL1458" s="49">
        <f>IF(N(U1458)&lt;=0.005,"",COUNTIFS('JOBS'!$U$5:$U$1504,"&gt;0.005",'JOBS'!$B$5:$B$1504,"&lt;"&amp;B1458)+COUNTIFS($U$5:U1458,"&gt;0.005",$B$5:B1458,B1458))</f>
        <v/>
      </c>
    </row>
    <row r="1459">
      <c r="A1459" s="46" t="inlineStr">
        <is>
          <t>J-1455</t>
        </is>
      </c>
      <c r="B1459" s="47" t="n"/>
      <c r="C1459" s="94" t="n"/>
      <c r="D1459" s="38" t="n"/>
      <c r="E1459" s="38" t="n"/>
      <c r="F1459" s="38" t="n"/>
      <c r="G1459" s="38" t="n"/>
      <c r="H1459" s="38" t="n"/>
      <c r="I1459" s="57" t="n"/>
      <c r="J1459" s="95" t="n"/>
      <c r="K1459" s="95" t="n"/>
      <c r="L1459" s="48" t="n"/>
      <c r="M1459" s="96" t="n"/>
      <c r="N1459" s="48" t="n"/>
      <c r="O1459" s="38" t="n"/>
      <c r="P1459" s="38" t="n"/>
      <c r="Q1459" s="97">
        <f>IF(OR(F1459="",E1459=""),"",IFERROR(IF(INDEX('PROPERTIES'!$F$5:$F$404,MATCH(E1459,'PROPERTIES'!$B$5:$B$404,0))=0,"",ROUND((INDEX('PROPERTIES'!$F$5:$F$404,MATCH(E1459,'PROPERTIES'!$B$5:$B$404,0))/INDEX('PRICING'!$C$7:$C$16,MATCH(F1459,'PRICING'!$A$7:$A$16,0))+INDEX('PROPERTIES'!$G$5:$G$404,MATCH(E1459,'PROPERTIES'!$B$5:$B$404,0))*INDEX('PRICING'!$D$7:$D$16,MATCH(F1459,'PRICING'!$A$7:$A$16,0))/60+INDEX('PROPERTIES'!$H$5:$H$404,MATCH(E1459,'PROPERTIES'!$B$5:$B$404,0))*INDEX('PRICING'!$E$7:$E$16,MATCH(F1459,'PRICING'!$A$7:$A$16,0))/60+INDEX('PRICING'!$F$7:$F$16,MATCH(F1459,'PRICING'!$A$7:$A$16,0))/60),2)),""))</f>
        <v/>
      </c>
      <c r="R1459" s="97">
        <f>IF(B1459="","",IF(N(K1459)&gt;0,K1459,IF(N(J1459)&gt;0,J1459,N(Q1459))))</f>
        <v/>
      </c>
      <c r="S1459" s="55">
        <f>IF(L1459="","",ROUND(L1459*(1+N(M1459)),2))</f>
        <v/>
      </c>
      <c r="T1459" s="55">
        <f>IF(B1459="","",SUMIFS('REVENUE'!$C$5:$C$1504,'REVENUE'!$B$5:$B$1504,A1459))</f>
        <v/>
      </c>
      <c r="U1459" s="55">
        <f>IF(B1459="","",IF(O1459="Completed",MAX(0,N(S1459)-T1459),""))</f>
        <v/>
      </c>
      <c r="V1459" s="49">
        <f>IF(B1459="","",IF(O1459&lt;&gt;"Completed",IF(T1459&gt;0,"Deposit","—"),IF(U1459&lt;=0.005,"Paid",IF(T1459&gt;0,"Partial","Unpaid"))))</f>
        <v/>
      </c>
      <c r="W1459" s="55">
        <f>IF(B1459="","",IFERROR(1/(1/INDEX('STAFF &amp; TASKS'!$C$5:$C$24,MATCH(H1459,'STAFF &amp; TASKS'!$A$5:$A$24,0))),PayRate))</f>
        <v/>
      </c>
      <c r="X1459" s="55">
        <f>IF(B1459="","",IF(OR(O1459="Cancelled",O1459="No-Show"),"",ROUND(R1459*W1459*(1+Burden),2)))</f>
        <v/>
      </c>
      <c r="Y1459" s="55">
        <f>IF(B1459="","",IF(OR(O1459="Cancelled",O1459="No-Show"),"",IF(N1459&lt;&gt;"",N1459,ROUND(R1459*SupHr*IFERROR(INDEX('PRICING'!$G$7:$G$16,MATCH(F1459,'PRICING'!$A$7:$A$16,0)),1),2))))</f>
        <v/>
      </c>
      <c r="Z1459" s="98">
        <f>IF(B1459="","",SUMIFS('MILEAGE'!$J$5:$J$1504,'MILEAGE'!$B$5:$B$1504,A1459))</f>
        <v/>
      </c>
      <c r="AA1459" s="55">
        <f>IF(B1459="","",ROUND(Z1459*MileRate,2))</f>
        <v/>
      </c>
      <c r="AB1459" s="55">
        <f>IF(B1459="","",SUMIFS('REVENUE'!$J$5:$J$1504,'REVENUE'!$B$5:$B$1504,A1459))</f>
        <v/>
      </c>
      <c r="AC1459" s="55">
        <f>IF(L1459="","",IF(OR(O1459="Cancelled",O1459="No-Show"),"",L1459-N(X1459)-N(Y1459)-AA1459-AB1459))</f>
        <v/>
      </c>
      <c r="AD1459" s="99">
        <f>IF(OR(AC1459="",N(L1459)=0),"",AC1459/L1459)</f>
        <v/>
      </c>
      <c r="AE1459" s="55">
        <f>IF(OR(AC1459="",N(R1459)=0),"",L1459/R1459)</f>
        <v/>
      </c>
      <c r="AF1459" s="100">
        <f>IF(OR(N(K1459)=0,N(J1459)+N(Q1459)=0),"",K1459-IF(N(J1459)&gt;0,J1459,Q1459))</f>
        <v/>
      </c>
      <c r="AG1459" s="99">
        <f>IF(B1459="","",IFERROR(AVERAGEIFS('QUALITY CONTROL'!$M$5:$M$304,'QUALITY CONTROL'!$B$5:$B$304,A1459),""))</f>
        <v/>
      </c>
      <c r="AH1459" s="51">
        <f>IF(B1459="","",DATE(YEAR(B1459),MONTH(B1459),1))</f>
        <v/>
      </c>
      <c r="AI1459" s="49">
        <f>IF(D1459="","",IFERROR(INDEX('CUSTOMERS'!$E$5:$E$404,MATCH(D1459,'CUSTOMERS'!$B$5:$B$404,0)),""))</f>
        <v/>
      </c>
      <c r="AJ1459" s="49">
        <f>IF(B1459="","",N(C1459))</f>
        <v/>
      </c>
      <c r="AK1459" s="49">
        <f>IF(OR(B1459="",O1459="Cancelled",O1459="Rescheduled"),"",B1459&amp;"|"&amp;(COUNTIFS('JOBS'!$B$5:$B$1504,B1459,'JOBS'!$AJ$5:$AJ$1504,"&lt;"&amp;AJ1459,'JOBS'!$O$5:$O$1504,"&lt;&gt;Cancelled",'JOBS'!$O$5:$O$1504,"&lt;&gt;Rescheduled")+COUNTIFS($B$5:B1459,B1459,$AJ$5:AJ1459,AJ1459,$O$5:O1459,"&lt;&gt;Cancelled",$O$5:O1459,"&lt;&gt;Rescheduled")))</f>
        <v/>
      </c>
      <c r="AL1459" s="49">
        <f>IF(N(U1459)&lt;=0.005,"",COUNTIFS('JOBS'!$U$5:$U$1504,"&gt;0.005",'JOBS'!$B$5:$B$1504,"&lt;"&amp;B1459)+COUNTIFS($U$5:U1459,"&gt;0.005",$B$5:B1459,B1459))</f>
        <v/>
      </c>
    </row>
    <row r="1460">
      <c r="A1460" s="46" t="inlineStr">
        <is>
          <t>J-1456</t>
        </is>
      </c>
      <c r="B1460" s="47" t="n"/>
      <c r="C1460" s="94" t="n"/>
      <c r="D1460" s="38" t="n"/>
      <c r="E1460" s="38" t="n"/>
      <c r="F1460" s="38" t="n"/>
      <c r="G1460" s="38" t="n"/>
      <c r="H1460" s="38" t="n"/>
      <c r="I1460" s="57" t="n"/>
      <c r="J1460" s="95" t="n"/>
      <c r="K1460" s="95" t="n"/>
      <c r="L1460" s="48" t="n"/>
      <c r="M1460" s="96" t="n"/>
      <c r="N1460" s="48" t="n"/>
      <c r="O1460" s="38" t="n"/>
      <c r="P1460" s="38" t="n"/>
      <c r="Q1460" s="97">
        <f>IF(OR(F1460="",E1460=""),"",IFERROR(IF(INDEX('PROPERTIES'!$F$5:$F$404,MATCH(E1460,'PROPERTIES'!$B$5:$B$404,0))=0,"",ROUND((INDEX('PROPERTIES'!$F$5:$F$404,MATCH(E1460,'PROPERTIES'!$B$5:$B$404,0))/INDEX('PRICING'!$C$7:$C$16,MATCH(F1460,'PRICING'!$A$7:$A$16,0))+INDEX('PROPERTIES'!$G$5:$G$404,MATCH(E1460,'PROPERTIES'!$B$5:$B$404,0))*INDEX('PRICING'!$D$7:$D$16,MATCH(F1460,'PRICING'!$A$7:$A$16,0))/60+INDEX('PROPERTIES'!$H$5:$H$404,MATCH(E1460,'PROPERTIES'!$B$5:$B$404,0))*INDEX('PRICING'!$E$7:$E$16,MATCH(F1460,'PRICING'!$A$7:$A$16,0))/60+INDEX('PRICING'!$F$7:$F$16,MATCH(F1460,'PRICING'!$A$7:$A$16,0))/60),2)),""))</f>
        <v/>
      </c>
      <c r="R1460" s="97">
        <f>IF(B1460="","",IF(N(K1460)&gt;0,K1460,IF(N(J1460)&gt;0,J1460,N(Q1460))))</f>
        <v/>
      </c>
      <c r="S1460" s="55">
        <f>IF(L1460="","",ROUND(L1460*(1+N(M1460)),2))</f>
        <v/>
      </c>
      <c r="T1460" s="55">
        <f>IF(B1460="","",SUMIFS('REVENUE'!$C$5:$C$1504,'REVENUE'!$B$5:$B$1504,A1460))</f>
        <v/>
      </c>
      <c r="U1460" s="55">
        <f>IF(B1460="","",IF(O1460="Completed",MAX(0,N(S1460)-T1460),""))</f>
        <v/>
      </c>
      <c r="V1460" s="49">
        <f>IF(B1460="","",IF(O1460&lt;&gt;"Completed",IF(T1460&gt;0,"Deposit","—"),IF(U1460&lt;=0.005,"Paid",IF(T1460&gt;0,"Partial","Unpaid"))))</f>
        <v/>
      </c>
      <c r="W1460" s="55">
        <f>IF(B1460="","",IFERROR(1/(1/INDEX('STAFF &amp; TASKS'!$C$5:$C$24,MATCH(H1460,'STAFF &amp; TASKS'!$A$5:$A$24,0))),PayRate))</f>
        <v/>
      </c>
      <c r="X1460" s="55">
        <f>IF(B1460="","",IF(OR(O1460="Cancelled",O1460="No-Show"),"",ROUND(R1460*W1460*(1+Burden),2)))</f>
        <v/>
      </c>
      <c r="Y1460" s="55">
        <f>IF(B1460="","",IF(OR(O1460="Cancelled",O1460="No-Show"),"",IF(N1460&lt;&gt;"",N1460,ROUND(R1460*SupHr*IFERROR(INDEX('PRICING'!$G$7:$G$16,MATCH(F1460,'PRICING'!$A$7:$A$16,0)),1),2))))</f>
        <v/>
      </c>
      <c r="Z1460" s="98">
        <f>IF(B1460="","",SUMIFS('MILEAGE'!$J$5:$J$1504,'MILEAGE'!$B$5:$B$1504,A1460))</f>
        <v/>
      </c>
      <c r="AA1460" s="55">
        <f>IF(B1460="","",ROUND(Z1460*MileRate,2))</f>
        <v/>
      </c>
      <c r="AB1460" s="55">
        <f>IF(B1460="","",SUMIFS('REVENUE'!$J$5:$J$1504,'REVENUE'!$B$5:$B$1504,A1460))</f>
        <v/>
      </c>
      <c r="AC1460" s="55">
        <f>IF(L1460="","",IF(OR(O1460="Cancelled",O1460="No-Show"),"",L1460-N(X1460)-N(Y1460)-AA1460-AB1460))</f>
        <v/>
      </c>
      <c r="AD1460" s="99">
        <f>IF(OR(AC1460="",N(L1460)=0),"",AC1460/L1460)</f>
        <v/>
      </c>
      <c r="AE1460" s="55">
        <f>IF(OR(AC1460="",N(R1460)=0),"",L1460/R1460)</f>
        <v/>
      </c>
      <c r="AF1460" s="100">
        <f>IF(OR(N(K1460)=0,N(J1460)+N(Q1460)=0),"",K1460-IF(N(J1460)&gt;0,J1460,Q1460))</f>
        <v/>
      </c>
      <c r="AG1460" s="99">
        <f>IF(B1460="","",IFERROR(AVERAGEIFS('QUALITY CONTROL'!$M$5:$M$304,'QUALITY CONTROL'!$B$5:$B$304,A1460),""))</f>
        <v/>
      </c>
      <c r="AH1460" s="51">
        <f>IF(B1460="","",DATE(YEAR(B1460),MONTH(B1460),1))</f>
        <v/>
      </c>
      <c r="AI1460" s="49">
        <f>IF(D1460="","",IFERROR(INDEX('CUSTOMERS'!$E$5:$E$404,MATCH(D1460,'CUSTOMERS'!$B$5:$B$404,0)),""))</f>
        <v/>
      </c>
      <c r="AJ1460" s="49">
        <f>IF(B1460="","",N(C1460))</f>
        <v/>
      </c>
      <c r="AK1460" s="49">
        <f>IF(OR(B1460="",O1460="Cancelled",O1460="Rescheduled"),"",B1460&amp;"|"&amp;(COUNTIFS('JOBS'!$B$5:$B$1504,B1460,'JOBS'!$AJ$5:$AJ$1504,"&lt;"&amp;AJ1460,'JOBS'!$O$5:$O$1504,"&lt;&gt;Cancelled",'JOBS'!$O$5:$O$1504,"&lt;&gt;Rescheduled")+COUNTIFS($B$5:B1460,B1460,$AJ$5:AJ1460,AJ1460,$O$5:O1460,"&lt;&gt;Cancelled",$O$5:O1460,"&lt;&gt;Rescheduled")))</f>
        <v/>
      </c>
      <c r="AL1460" s="49">
        <f>IF(N(U1460)&lt;=0.005,"",COUNTIFS('JOBS'!$U$5:$U$1504,"&gt;0.005",'JOBS'!$B$5:$B$1504,"&lt;"&amp;B1460)+COUNTIFS($U$5:U1460,"&gt;0.005",$B$5:B1460,B1460))</f>
        <v/>
      </c>
    </row>
    <row r="1461">
      <c r="A1461" s="46" t="inlineStr">
        <is>
          <t>J-1457</t>
        </is>
      </c>
      <c r="B1461" s="47" t="n"/>
      <c r="C1461" s="94" t="n"/>
      <c r="D1461" s="38" t="n"/>
      <c r="E1461" s="38" t="n"/>
      <c r="F1461" s="38" t="n"/>
      <c r="G1461" s="38" t="n"/>
      <c r="H1461" s="38" t="n"/>
      <c r="I1461" s="57" t="n"/>
      <c r="J1461" s="95" t="n"/>
      <c r="K1461" s="95" t="n"/>
      <c r="L1461" s="48" t="n"/>
      <c r="M1461" s="96" t="n"/>
      <c r="N1461" s="48" t="n"/>
      <c r="O1461" s="38" t="n"/>
      <c r="P1461" s="38" t="n"/>
      <c r="Q1461" s="97">
        <f>IF(OR(F1461="",E1461=""),"",IFERROR(IF(INDEX('PROPERTIES'!$F$5:$F$404,MATCH(E1461,'PROPERTIES'!$B$5:$B$404,0))=0,"",ROUND((INDEX('PROPERTIES'!$F$5:$F$404,MATCH(E1461,'PROPERTIES'!$B$5:$B$404,0))/INDEX('PRICING'!$C$7:$C$16,MATCH(F1461,'PRICING'!$A$7:$A$16,0))+INDEX('PROPERTIES'!$G$5:$G$404,MATCH(E1461,'PROPERTIES'!$B$5:$B$404,0))*INDEX('PRICING'!$D$7:$D$16,MATCH(F1461,'PRICING'!$A$7:$A$16,0))/60+INDEX('PROPERTIES'!$H$5:$H$404,MATCH(E1461,'PROPERTIES'!$B$5:$B$404,0))*INDEX('PRICING'!$E$7:$E$16,MATCH(F1461,'PRICING'!$A$7:$A$16,0))/60+INDEX('PRICING'!$F$7:$F$16,MATCH(F1461,'PRICING'!$A$7:$A$16,0))/60),2)),""))</f>
        <v/>
      </c>
      <c r="R1461" s="97">
        <f>IF(B1461="","",IF(N(K1461)&gt;0,K1461,IF(N(J1461)&gt;0,J1461,N(Q1461))))</f>
        <v/>
      </c>
      <c r="S1461" s="55">
        <f>IF(L1461="","",ROUND(L1461*(1+N(M1461)),2))</f>
        <v/>
      </c>
      <c r="T1461" s="55">
        <f>IF(B1461="","",SUMIFS('REVENUE'!$C$5:$C$1504,'REVENUE'!$B$5:$B$1504,A1461))</f>
        <v/>
      </c>
      <c r="U1461" s="55">
        <f>IF(B1461="","",IF(O1461="Completed",MAX(0,N(S1461)-T1461),""))</f>
        <v/>
      </c>
      <c r="V1461" s="49">
        <f>IF(B1461="","",IF(O1461&lt;&gt;"Completed",IF(T1461&gt;0,"Deposit","—"),IF(U1461&lt;=0.005,"Paid",IF(T1461&gt;0,"Partial","Unpaid"))))</f>
        <v/>
      </c>
      <c r="W1461" s="55">
        <f>IF(B1461="","",IFERROR(1/(1/INDEX('STAFF &amp; TASKS'!$C$5:$C$24,MATCH(H1461,'STAFF &amp; TASKS'!$A$5:$A$24,0))),PayRate))</f>
        <v/>
      </c>
      <c r="X1461" s="55">
        <f>IF(B1461="","",IF(OR(O1461="Cancelled",O1461="No-Show"),"",ROUND(R1461*W1461*(1+Burden),2)))</f>
        <v/>
      </c>
      <c r="Y1461" s="55">
        <f>IF(B1461="","",IF(OR(O1461="Cancelled",O1461="No-Show"),"",IF(N1461&lt;&gt;"",N1461,ROUND(R1461*SupHr*IFERROR(INDEX('PRICING'!$G$7:$G$16,MATCH(F1461,'PRICING'!$A$7:$A$16,0)),1),2))))</f>
        <v/>
      </c>
      <c r="Z1461" s="98">
        <f>IF(B1461="","",SUMIFS('MILEAGE'!$J$5:$J$1504,'MILEAGE'!$B$5:$B$1504,A1461))</f>
        <v/>
      </c>
      <c r="AA1461" s="55">
        <f>IF(B1461="","",ROUND(Z1461*MileRate,2))</f>
        <v/>
      </c>
      <c r="AB1461" s="55">
        <f>IF(B1461="","",SUMIFS('REVENUE'!$J$5:$J$1504,'REVENUE'!$B$5:$B$1504,A1461))</f>
        <v/>
      </c>
      <c r="AC1461" s="55">
        <f>IF(L1461="","",IF(OR(O1461="Cancelled",O1461="No-Show"),"",L1461-N(X1461)-N(Y1461)-AA1461-AB1461))</f>
        <v/>
      </c>
      <c r="AD1461" s="99">
        <f>IF(OR(AC1461="",N(L1461)=0),"",AC1461/L1461)</f>
        <v/>
      </c>
      <c r="AE1461" s="55">
        <f>IF(OR(AC1461="",N(R1461)=0),"",L1461/R1461)</f>
        <v/>
      </c>
      <c r="AF1461" s="100">
        <f>IF(OR(N(K1461)=0,N(J1461)+N(Q1461)=0),"",K1461-IF(N(J1461)&gt;0,J1461,Q1461))</f>
        <v/>
      </c>
      <c r="AG1461" s="99">
        <f>IF(B1461="","",IFERROR(AVERAGEIFS('QUALITY CONTROL'!$M$5:$M$304,'QUALITY CONTROL'!$B$5:$B$304,A1461),""))</f>
        <v/>
      </c>
      <c r="AH1461" s="51">
        <f>IF(B1461="","",DATE(YEAR(B1461),MONTH(B1461),1))</f>
        <v/>
      </c>
      <c r="AI1461" s="49">
        <f>IF(D1461="","",IFERROR(INDEX('CUSTOMERS'!$E$5:$E$404,MATCH(D1461,'CUSTOMERS'!$B$5:$B$404,0)),""))</f>
        <v/>
      </c>
      <c r="AJ1461" s="49">
        <f>IF(B1461="","",N(C1461))</f>
        <v/>
      </c>
      <c r="AK1461" s="49">
        <f>IF(OR(B1461="",O1461="Cancelled",O1461="Rescheduled"),"",B1461&amp;"|"&amp;(COUNTIFS('JOBS'!$B$5:$B$1504,B1461,'JOBS'!$AJ$5:$AJ$1504,"&lt;"&amp;AJ1461,'JOBS'!$O$5:$O$1504,"&lt;&gt;Cancelled",'JOBS'!$O$5:$O$1504,"&lt;&gt;Rescheduled")+COUNTIFS($B$5:B1461,B1461,$AJ$5:AJ1461,AJ1461,$O$5:O1461,"&lt;&gt;Cancelled",$O$5:O1461,"&lt;&gt;Rescheduled")))</f>
        <v/>
      </c>
      <c r="AL1461" s="49">
        <f>IF(N(U1461)&lt;=0.005,"",COUNTIFS('JOBS'!$U$5:$U$1504,"&gt;0.005",'JOBS'!$B$5:$B$1504,"&lt;"&amp;B1461)+COUNTIFS($U$5:U1461,"&gt;0.005",$B$5:B1461,B1461))</f>
        <v/>
      </c>
    </row>
    <row r="1462">
      <c r="A1462" s="46" t="inlineStr">
        <is>
          <t>J-1458</t>
        </is>
      </c>
      <c r="B1462" s="47" t="n"/>
      <c r="C1462" s="94" t="n"/>
      <c r="D1462" s="38" t="n"/>
      <c r="E1462" s="38" t="n"/>
      <c r="F1462" s="38" t="n"/>
      <c r="G1462" s="38" t="n"/>
      <c r="H1462" s="38" t="n"/>
      <c r="I1462" s="57" t="n"/>
      <c r="J1462" s="95" t="n"/>
      <c r="K1462" s="95" t="n"/>
      <c r="L1462" s="48" t="n"/>
      <c r="M1462" s="96" t="n"/>
      <c r="N1462" s="48" t="n"/>
      <c r="O1462" s="38" t="n"/>
      <c r="P1462" s="38" t="n"/>
      <c r="Q1462" s="97">
        <f>IF(OR(F1462="",E1462=""),"",IFERROR(IF(INDEX('PROPERTIES'!$F$5:$F$404,MATCH(E1462,'PROPERTIES'!$B$5:$B$404,0))=0,"",ROUND((INDEX('PROPERTIES'!$F$5:$F$404,MATCH(E1462,'PROPERTIES'!$B$5:$B$404,0))/INDEX('PRICING'!$C$7:$C$16,MATCH(F1462,'PRICING'!$A$7:$A$16,0))+INDEX('PROPERTIES'!$G$5:$G$404,MATCH(E1462,'PROPERTIES'!$B$5:$B$404,0))*INDEX('PRICING'!$D$7:$D$16,MATCH(F1462,'PRICING'!$A$7:$A$16,0))/60+INDEX('PROPERTIES'!$H$5:$H$404,MATCH(E1462,'PROPERTIES'!$B$5:$B$404,0))*INDEX('PRICING'!$E$7:$E$16,MATCH(F1462,'PRICING'!$A$7:$A$16,0))/60+INDEX('PRICING'!$F$7:$F$16,MATCH(F1462,'PRICING'!$A$7:$A$16,0))/60),2)),""))</f>
        <v/>
      </c>
      <c r="R1462" s="97">
        <f>IF(B1462="","",IF(N(K1462)&gt;0,K1462,IF(N(J1462)&gt;0,J1462,N(Q1462))))</f>
        <v/>
      </c>
      <c r="S1462" s="55">
        <f>IF(L1462="","",ROUND(L1462*(1+N(M1462)),2))</f>
        <v/>
      </c>
      <c r="T1462" s="55">
        <f>IF(B1462="","",SUMIFS('REVENUE'!$C$5:$C$1504,'REVENUE'!$B$5:$B$1504,A1462))</f>
        <v/>
      </c>
      <c r="U1462" s="55">
        <f>IF(B1462="","",IF(O1462="Completed",MAX(0,N(S1462)-T1462),""))</f>
        <v/>
      </c>
      <c r="V1462" s="49">
        <f>IF(B1462="","",IF(O1462&lt;&gt;"Completed",IF(T1462&gt;0,"Deposit","—"),IF(U1462&lt;=0.005,"Paid",IF(T1462&gt;0,"Partial","Unpaid"))))</f>
        <v/>
      </c>
      <c r="W1462" s="55">
        <f>IF(B1462="","",IFERROR(1/(1/INDEX('STAFF &amp; TASKS'!$C$5:$C$24,MATCH(H1462,'STAFF &amp; TASKS'!$A$5:$A$24,0))),PayRate))</f>
        <v/>
      </c>
      <c r="X1462" s="55">
        <f>IF(B1462="","",IF(OR(O1462="Cancelled",O1462="No-Show"),"",ROUND(R1462*W1462*(1+Burden),2)))</f>
        <v/>
      </c>
      <c r="Y1462" s="55">
        <f>IF(B1462="","",IF(OR(O1462="Cancelled",O1462="No-Show"),"",IF(N1462&lt;&gt;"",N1462,ROUND(R1462*SupHr*IFERROR(INDEX('PRICING'!$G$7:$G$16,MATCH(F1462,'PRICING'!$A$7:$A$16,0)),1),2))))</f>
        <v/>
      </c>
      <c r="Z1462" s="98">
        <f>IF(B1462="","",SUMIFS('MILEAGE'!$J$5:$J$1504,'MILEAGE'!$B$5:$B$1504,A1462))</f>
        <v/>
      </c>
      <c r="AA1462" s="55">
        <f>IF(B1462="","",ROUND(Z1462*MileRate,2))</f>
        <v/>
      </c>
      <c r="AB1462" s="55">
        <f>IF(B1462="","",SUMIFS('REVENUE'!$J$5:$J$1504,'REVENUE'!$B$5:$B$1504,A1462))</f>
        <v/>
      </c>
      <c r="AC1462" s="55">
        <f>IF(L1462="","",IF(OR(O1462="Cancelled",O1462="No-Show"),"",L1462-N(X1462)-N(Y1462)-AA1462-AB1462))</f>
        <v/>
      </c>
      <c r="AD1462" s="99">
        <f>IF(OR(AC1462="",N(L1462)=0),"",AC1462/L1462)</f>
        <v/>
      </c>
      <c r="AE1462" s="55">
        <f>IF(OR(AC1462="",N(R1462)=0),"",L1462/R1462)</f>
        <v/>
      </c>
      <c r="AF1462" s="100">
        <f>IF(OR(N(K1462)=0,N(J1462)+N(Q1462)=0),"",K1462-IF(N(J1462)&gt;0,J1462,Q1462))</f>
        <v/>
      </c>
      <c r="AG1462" s="99">
        <f>IF(B1462="","",IFERROR(AVERAGEIFS('QUALITY CONTROL'!$M$5:$M$304,'QUALITY CONTROL'!$B$5:$B$304,A1462),""))</f>
        <v/>
      </c>
      <c r="AH1462" s="51">
        <f>IF(B1462="","",DATE(YEAR(B1462),MONTH(B1462),1))</f>
        <v/>
      </c>
      <c r="AI1462" s="49">
        <f>IF(D1462="","",IFERROR(INDEX('CUSTOMERS'!$E$5:$E$404,MATCH(D1462,'CUSTOMERS'!$B$5:$B$404,0)),""))</f>
        <v/>
      </c>
      <c r="AJ1462" s="49">
        <f>IF(B1462="","",N(C1462))</f>
        <v/>
      </c>
      <c r="AK1462" s="49">
        <f>IF(OR(B1462="",O1462="Cancelled",O1462="Rescheduled"),"",B1462&amp;"|"&amp;(COUNTIFS('JOBS'!$B$5:$B$1504,B1462,'JOBS'!$AJ$5:$AJ$1504,"&lt;"&amp;AJ1462,'JOBS'!$O$5:$O$1504,"&lt;&gt;Cancelled",'JOBS'!$O$5:$O$1504,"&lt;&gt;Rescheduled")+COUNTIFS($B$5:B1462,B1462,$AJ$5:AJ1462,AJ1462,$O$5:O1462,"&lt;&gt;Cancelled",$O$5:O1462,"&lt;&gt;Rescheduled")))</f>
        <v/>
      </c>
      <c r="AL1462" s="49">
        <f>IF(N(U1462)&lt;=0.005,"",COUNTIFS('JOBS'!$U$5:$U$1504,"&gt;0.005",'JOBS'!$B$5:$B$1504,"&lt;"&amp;B1462)+COUNTIFS($U$5:U1462,"&gt;0.005",$B$5:B1462,B1462))</f>
        <v/>
      </c>
    </row>
    <row r="1463">
      <c r="A1463" s="46" t="inlineStr">
        <is>
          <t>J-1459</t>
        </is>
      </c>
      <c r="B1463" s="47" t="n"/>
      <c r="C1463" s="94" t="n"/>
      <c r="D1463" s="38" t="n"/>
      <c r="E1463" s="38" t="n"/>
      <c r="F1463" s="38" t="n"/>
      <c r="G1463" s="38" t="n"/>
      <c r="H1463" s="38" t="n"/>
      <c r="I1463" s="57" t="n"/>
      <c r="J1463" s="95" t="n"/>
      <c r="K1463" s="95" t="n"/>
      <c r="L1463" s="48" t="n"/>
      <c r="M1463" s="96" t="n"/>
      <c r="N1463" s="48" t="n"/>
      <c r="O1463" s="38" t="n"/>
      <c r="P1463" s="38" t="n"/>
      <c r="Q1463" s="97">
        <f>IF(OR(F1463="",E1463=""),"",IFERROR(IF(INDEX('PROPERTIES'!$F$5:$F$404,MATCH(E1463,'PROPERTIES'!$B$5:$B$404,0))=0,"",ROUND((INDEX('PROPERTIES'!$F$5:$F$404,MATCH(E1463,'PROPERTIES'!$B$5:$B$404,0))/INDEX('PRICING'!$C$7:$C$16,MATCH(F1463,'PRICING'!$A$7:$A$16,0))+INDEX('PROPERTIES'!$G$5:$G$404,MATCH(E1463,'PROPERTIES'!$B$5:$B$404,0))*INDEX('PRICING'!$D$7:$D$16,MATCH(F1463,'PRICING'!$A$7:$A$16,0))/60+INDEX('PROPERTIES'!$H$5:$H$404,MATCH(E1463,'PROPERTIES'!$B$5:$B$404,0))*INDEX('PRICING'!$E$7:$E$16,MATCH(F1463,'PRICING'!$A$7:$A$16,0))/60+INDEX('PRICING'!$F$7:$F$16,MATCH(F1463,'PRICING'!$A$7:$A$16,0))/60),2)),""))</f>
        <v/>
      </c>
      <c r="R1463" s="97">
        <f>IF(B1463="","",IF(N(K1463)&gt;0,K1463,IF(N(J1463)&gt;0,J1463,N(Q1463))))</f>
        <v/>
      </c>
      <c r="S1463" s="55">
        <f>IF(L1463="","",ROUND(L1463*(1+N(M1463)),2))</f>
        <v/>
      </c>
      <c r="T1463" s="55">
        <f>IF(B1463="","",SUMIFS('REVENUE'!$C$5:$C$1504,'REVENUE'!$B$5:$B$1504,A1463))</f>
        <v/>
      </c>
      <c r="U1463" s="55">
        <f>IF(B1463="","",IF(O1463="Completed",MAX(0,N(S1463)-T1463),""))</f>
        <v/>
      </c>
      <c r="V1463" s="49">
        <f>IF(B1463="","",IF(O1463&lt;&gt;"Completed",IF(T1463&gt;0,"Deposit","—"),IF(U1463&lt;=0.005,"Paid",IF(T1463&gt;0,"Partial","Unpaid"))))</f>
        <v/>
      </c>
      <c r="W1463" s="55">
        <f>IF(B1463="","",IFERROR(1/(1/INDEX('STAFF &amp; TASKS'!$C$5:$C$24,MATCH(H1463,'STAFF &amp; TASKS'!$A$5:$A$24,0))),PayRate))</f>
        <v/>
      </c>
      <c r="X1463" s="55">
        <f>IF(B1463="","",IF(OR(O1463="Cancelled",O1463="No-Show"),"",ROUND(R1463*W1463*(1+Burden),2)))</f>
        <v/>
      </c>
      <c r="Y1463" s="55">
        <f>IF(B1463="","",IF(OR(O1463="Cancelled",O1463="No-Show"),"",IF(N1463&lt;&gt;"",N1463,ROUND(R1463*SupHr*IFERROR(INDEX('PRICING'!$G$7:$G$16,MATCH(F1463,'PRICING'!$A$7:$A$16,0)),1),2))))</f>
        <v/>
      </c>
      <c r="Z1463" s="98">
        <f>IF(B1463="","",SUMIFS('MILEAGE'!$J$5:$J$1504,'MILEAGE'!$B$5:$B$1504,A1463))</f>
        <v/>
      </c>
      <c r="AA1463" s="55">
        <f>IF(B1463="","",ROUND(Z1463*MileRate,2))</f>
        <v/>
      </c>
      <c r="AB1463" s="55">
        <f>IF(B1463="","",SUMIFS('REVENUE'!$J$5:$J$1504,'REVENUE'!$B$5:$B$1504,A1463))</f>
        <v/>
      </c>
      <c r="AC1463" s="55">
        <f>IF(L1463="","",IF(OR(O1463="Cancelled",O1463="No-Show"),"",L1463-N(X1463)-N(Y1463)-AA1463-AB1463))</f>
        <v/>
      </c>
      <c r="AD1463" s="99">
        <f>IF(OR(AC1463="",N(L1463)=0),"",AC1463/L1463)</f>
        <v/>
      </c>
      <c r="AE1463" s="55">
        <f>IF(OR(AC1463="",N(R1463)=0),"",L1463/R1463)</f>
        <v/>
      </c>
      <c r="AF1463" s="100">
        <f>IF(OR(N(K1463)=0,N(J1463)+N(Q1463)=0),"",K1463-IF(N(J1463)&gt;0,J1463,Q1463))</f>
        <v/>
      </c>
      <c r="AG1463" s="99">
        <f>IF(B1463="","",IFERROR(AVERAGEIFS('QUALITY CONTROL'!$M$5:$M$304,'QUALITY CONTROL'!$B$5:$B$304,A1463),""))</f>
        <v/>
      </c>
      <c r="AH1463" s="51">
        <f>IF(B1463="","",DATE(YEAR(B1463),MONTH(B1463),1))</f>
        <v/>
      </c>
      <c r="AI1463" s="49">
        <f>IF(D1463="","",IFERROR(INDEX('CUSTOMERS'!$E$5:$E$404,MATCH(D1463,'CUSTOMERS'!$B$5:$B$404,0)),""))</f>
        <v/>
      </c>
      <c r="AJ1463" s="49">
        <f>IF(B1463="","",N(C1463))</f>
        <v/>
      </c>
      <c r="AK1463" s="49">
        <f>IF(OR(B1463="",O1463="Cancelled",O1463="Rescheduled"),"",B1463&amp;"|"&amp;(COUNTIFS('JOBS'!$B$5:$B$1504,B1463,'JOBS'!$AJ$5:$AJ$1504,"&lt;"&amp;AJ1463,'JOBS'!$O$5:$O$1504,"&lt;&gt;Cancelled",'JOBS'!$O$5:$O$1504,"&lt;&gt;Rescheduled")+COUNTIFS($B$5:B1463,B1463,$AJ$5:AJ1463,AJ1463,$O$5:O1463,"&lt;&gt;Cancelled",$O$5:O1463,"&lt;&gt;Rescheduled")))</f>
        <v/>
      </c>
      <c r="AL1463" s="49">
        <f>IF(N(U1463)&lt;=0.005,"",COUNTIFS('JOBS'!$U$5:$U$1504,"&gt;0.005",'JOBS'!$B$5:$B$1504,"&lt;"&amp;B1463)+COUNTIFS($U$5:U1463,"&gt;0.005",$B$5:B1463,B1463))</f>
        <v/>
      </c>
    </row>
    <row r="1464">
      <c r="A1464" s="46" t="inlineStr">
        <is>
          <t>J-1460</t>
        </is>
      </c>
      <c r="B1464" s="47" t="n"/>
      <c r="C1464" s="94" t="n"/>
      <c r="D1464" s="38" t="n"/>
      <c r="E1464" s="38" t="n"/>
      <c r="F1464" s="38" t="n"/>
      <c r="G1464" s="38" t="n"/>
      <c r="H1464" s="38" t="n"/>
      <c r="I1464" s="57" t="n"/>
      <c r="J1464" s="95" t="n"/>
      <c r="K1464" s="95" t="n"/>
      <c r="L1464" s="48" t="n"/>
      <c r="M1464" s="96" t="n"/>
      <c r="N1464" s="48" t="n"/>
      <c r="O1464" s="38" t="n"/>
      <c r="P1464" s="38" t="n"/>
      <c r="Q1464" s="97">
        <f>IF(OR(F1464="",E1464=""),"",IFERROR(IF(INDEX('PROPERTIES'!$F$5:$F$404,MATCH(E1464,'PROPERTIES'!$B$5:$B$404,0))=0,"",ROUND((INDEX('PROPERTIES'!$F$5:$F$404,MATCH(E1464,'PROPERTIES'!$B$5:$B$404,0))/INDEX('PRICING'!$C$7:$C$16,MATCH(F1464,'PRICING'!$A$7:$A$16,0))+INDEX('PROPERTIES'!$G$5:$G$404,MATCH(E1464,'PROPERTIES'!$B$5:$B$404,0))*INDEX('PRICING'!$D$7:$D$16,MATCH(F1464,'PRICING'!$A$7:$A$16,0))/60+INDEX('PROPERTIES'!$H$5:$H$404,MATCH(E1464,'PROPERTIES'!$B$5:$B$404,0))*INDEX('PRICING'!$E$7:$E$16,MATCH(F1464,'PRICING'!$A$7:$A$16,0))/60+INDEX('PRICING'!$F$7:$F$16,MATCH(F1464,'PRICING'!$A$7:$A$16,0))/60),2)),""))</f>
        <v/>
      </c>
      <c r="R1464" s="97">
        <f>IF(B1464="","",IF(N(K1464)&gt;0,K1464,IF(N(J1464)&gt;0,J1464,N(Q1464))))</f>
        <v/>
      </c>
      <c r="S1464" s="55">
        <f>IF(L1464="","",ROUND(L1464*(1+N(M1464)),2))</f>
        <v/>
      </c>
      <c r="T1464" s="55">
        <f>IF(B1464="","",SUMIFS('REVENUE'!$C$5:$C$1504,'REVENUE'!$B$5:$B$1504,A1464))</f>
        <v/>
      </c>
      <c r="U1464" s="55">
        <f>IF(B1464="","",IF(O1464="Completed",MAX(0,N(S1464)-T1464),""))</f>
        <v/>
      </c>
      <c r="V1464" s="49">
        <f>IF(B1464="","",IF(O1464&lt;&gt;"Completed",IF(T1464&gt;0,"Deposit","—"),IF(U1464&lt;=0.005,"Paid",IF(T1464&gt;0,"Partial","Unpaid"))))</f>
        <v/>
      </c>
      <c r="W1464" s="55">
        <f>IF(B1464="","",IFERROR(1/(1/INDEX('STAFF &amp; TASKS'!$C$5:$C$24,MATCH(H1464,'STAFF &amp; TASKS'!$A$5:$A$24,0))),PayRate))</f>
        <v/>
      </c>
      <c r="X1464" s="55">
        <f>IF(B1464="","",IF(OR(O1464="Cancelled",O1464="No-Show"),"",ROUND(R1464*W1464*(1+Burden),2)))</f>
        <v/>
      </c>
      <c r="Y1464" s="55">
        <f>IF(B1464="","",IF(OR(O1464="Cancelled",O1464="No-Show"),"",IF(N1464&lt;&gt;"",N1464,ROUND(R1464*SupHr*IFERROR(INDEX('PRICING'!$G$7:$G$16,MATCH(F1464,'PRICING'!$A$7:$A$16,0)),1),2))))</f>
        <v/>
      </c>
      <c r="Z1464" s="98">
        <f>IF(B1464="","",SUMIFS('MILEAGE'!$J$5:$J$1504,'MILEAGE'!$B$5:$B$1504,A1464))</f>
        <v/>
      </c>
      <c r="AA1464" s="55">
        <f>IF(B1464="","",ROUND(Z1464*MileRate,2))</f>
        <v/>
      </c>
      <c r="AB1464" s="55">
        <f>IF(B1464="","",SUMIFS('REVENUE'!$J$5:$J$1504,'REVENUE'!$B$5:$B$1504,A1464))</f>
        <v/>
      </c>
      <c r="AC1464" s="55">
        <f>IF(L1464="","",IF(OR(O1464="Cancelled",O1464="No-Show"),"",L1464-N(X1464)-N(Y1464)-AA1464-AB1464))</f>
        <v/>
      </c>
      <c r="AD1464" s="99">
        <f>IF(OR(AC1464="",N(L1464)=0),"",AC1464/L1464)</f>
        <v/>
      </c>
      <c r="AE1464" s="55">
        <f>IF(OR(AC1464="",N(R1464)=0),"",L1464/R1464)</f>
        <v/>
      </c>
      <c r="AF1464" s="100">
        <f>IF(OR(N(K1464)=0,N(J1464)+N(Q1464)=0),"",K1464-IF(N(J1464)&gt;0,J1464,Q1464))</f>
        <v/>
      </c>
      <c r="AG1464" s="99">
        <f>IF(B1464="","",IFERROR(AVERAGEIFS('QUALITY CONTROL'!$M$5:$M$304,'QUALITY CONTROL'!$B$5:$B$304,A1464),""))</f>
        <v/>
      </c>
      <c r="AH1464" s="51">
        <f>IF(B1464="","",DATE(YEAR(B1464),MONTH(B1464),1))</f>
        <v/>
      </c>
      <c r="AI1464" s="49">
        <f>IF(D1464="","",IFERROR(INDEX('CUSTOMERS'!$E$5:$E$404,MATCH(D1464,'CUSTOMERS'!$B$5:$B$404,0)),""))</f>
        <v/>
      </c>
      <c r="AJ1464" s="49">
        <f>IF(B1464="","",N(C1464))</f>
        <v/>
      </c>
      <c r="AK1464" s="49">
        <f>IF(OR(B1464="",O1464="Cancelled",O1464="Rescheduled"),"",B1464&amp;"|"&amp;(COUNTIFS('JOBS'!$B$5:$B$1504,B1464,'JOBS'!$AJ$5:$AJ$1504,"&lt;"&amp;AJ1464,'JOBS'!$O$5:$O$1504,"&lt;&gt;Cancelled",'JOBS'!$O$5:$O$1504,"&lt;&gt;Rescheduled")+COUNTIFS($B$5:B1464,B1464,$AJ$5:AJ1464,AJ1464,$O$5:O1464,"&lt;&gt;Cancelled",$O$5:O1464,"&lt;&gt;Rescheduled")))</f>
        <v/>
      </c>
      <c r="AL1464" s="49">
        <f>IF(N(U1464)&lt;=0.005,"",COUNTIFS('JOBS'!$U$5:$U$1504,"&gt;0.005",'JOBS'!$B$5:$B$1504,"&lt;"&amp;B1464)+COUNTIFS($U$5:U1464,"&gt;0.005",$B$5:B1464,B1464))</f>
        <v/>
      </c>
    </row>
    <row r="1465">
      <c r="A1465" s="46" t="inlineStr">
        <is>
          <t>J-1461</t>
        </is>
      </c>
      <c r="B1465" s="47" t="n"/>
      <c r="C1465" s="94" t="n"/>
      <c r="D1465" s="38" t="n"/>
      <c r="E1465" s="38" t="n"/>
      <c r="F1465" s="38" t="n"/>
      <c r="G1465" s="38" t="n"/>
      <c r="H1465" s="38" t="n"/>
      <c r="I1465" s="57" t="n"/>
      <c r="J1465" s="95" t="n"/>
      <c r="K1465" s="95" t="n"/>
      <c r="L1465" s="48" t="n"/>
      <c r="M1465" s="96" t="n"/>
      <c r="N1465" s="48" t="n"/>
      <c r="O1465" s="38" t="n"/>
      <c r="P1465" s="38" t="n"/>
      <c r="Q1465" s="97">
        <f>IF(OR(F1465="",E1465=""),"",IFERROR(IF(INDEX('PROPERTIES'!$F$5:$F$404,MATCH(E1465,'PROPERTIES'!$B$5:$B$404,0))=0,"",ROUND((INDEX('PROPERTIES'!$F$5:$F$404,MATCH(E1465,'PROPERTIES'!$B$5:$B$404,0))/INDEX('PRICING'!$C$7:$C$16,MATCH(F1465,'PRICING'!$A$7:$A$16,0))+INDEX('PROPERTIES'!$G$5:$G$404,MATCH(E1465,'PROPERTIES'!$B$5:$B$404,0))*INDEX('PRICING'!$D$7:$D$16,MATCH(F1465,'PRICING'!$A$7:$A$16,0))/60+INDEX('PROPERTIES'!$H$5:$H$404,MATCH(E1465,'PROPERTIES'!$B$5:$B$404,0))*INDEX('PRICING'!$E$7:$E$16,MATCH(F1465,'PRICING'!$A$7:$A$16,0))/60+INDEX('PRICING'!$F$7:$F$16,MATCH(F1465,'PRICING'!$A$7:$A$16,0))/60),2)),""))</f>
        <v/>
      </c>
      <c r="R1465" s="97">
        <f>IF(B1465="","",IF(N(K1465)&gt;0,K1465,IF(N(J1465)&gt;0,J1465,N(Q1465))))</f>
        <v/>
      </c>
      <c r="S1465" s="55">
        <f>IF(L1465="","",ROUND(L1465*(1+N(M1465)),2))</f>
        <v/>
      </c>
      <c r="T1465" s="55">
        <f>IF(B1465="","",SUMIFS('REVENUE'!$C$5:$C$1504,'REVENUE'!$B$5:$B$1504,A1465))</f>
        <v/>
      </c>
      <c r="U1465" s="55">
        <f>IF(B1465="","",IF(O1465="Completed",MAX(0,N(S1465)-T1465),""))</f>
        <v/>
      </c>
      <c r="V1465" s="49">
        <f>IF(B1465="","",IF(O1465&lt;&gt;"Completed",IF(T1465&gt;0,"Deposit","—"),IF(U1465&lt;=0.005,"Paid",IF(T1465&gt;0,"Partial","Unpaid"))))</f>
        <v/>
      </c>
      <c r="W1465" s="55">
        <f>IF(B1465="","",IFERROR(1/(1/INDEX('STAFF &amp; TASKS'!$C$5:$C$24,MATCH(H1465,'STAFF &amp; TASKS'!$A$5:$A$24,0))),PayRate))</f>
        <v/>
      </c>
      <c r="X1465" s="55">
        <f>IF(B1465="","",IF(OR(O1465="Cancelled",O1465="No-Show"),"",ROUND(R1465*W1465*(1+Burden),2)))</f>
        <v/>
      </c>
      <c r="Y1465" s="55">
        <f>IF(B1465="","",IF(OR(O1465="Cancelled",O1465="No-Show"),"",IF(N1465&lt;&gt;"",N1465,ROUND(R1465*SupHr*IFERROR(INDEX('PRICING'!$G$7:$G$16,MATCH(F1465,'PRICING'!$A$7:$A$16,0)),1),2))))</f>
        <v/>
      </c>
      <c r="Z1465" s="98">
        <f>IF(B1465="","",SUMIFS('MILEAGE'!$J$5:$J$1504,'MILEAGE'!$B$5:$B$1504,A1465))</f>
        <v/>
      </c>
      <c r="AA1465" s="55">
        <f>IF(B1465="","",ROUND(Z1465*MileRate,2))</f>
        <v/>
      </c>
      <c r="AB1465" s="55">
        <f>IF(B1465="","",SUMIFS('REVENUE'!$J$5:$J$1504,'REVENUE'!$B$5:$B$1504,A1465))</f>
        <v/>
      </c>
      <c r="AC1465" s="55">
        <f>IF(L1465="","",IF(OR(O1465="Cancelled",O1465="No-Show"),"",L1465-N(X1465)-N(Y1465)-AA1465-AB1465))</f>
        <v/>
      </c>
      <c r="AD1465" s="99">
        <f>IF(OR(AC1465="",N(L1465)=0),"",AC1465/L1465)</f>
        <v/>
      </c>
      <c r="AE1465" s="55">
        <f>IF(OR(AC1465="",N(R1465)=0),"",L1465/R1465)</f>
        <v/>
      </c>
      <c r="AF1465" s="100">
        <f>IF(OR(N(K1465)=0,N(J1465)+N(Q1465)=0),"",K1465-IF(N(J1465)&gt;0,J1465,Q1465))</f>
        <v/>
      </c>
      <c r="AG1465" s="99">
        <f>IF(B1465="","",IFERROR(AVERAGEIFS('QUALITY CONTROL'!$M$5:$M$304,'QUALITY CONTROL'!$B$5:$B$304,A1465),""))</f>
        <v/>
      </c>
      <c r="AH1465" s="51">
        <f>IF(B1465="","",DATE(YEAR(B1465),MONTH(B1465),1))</f>
        <v/>
      </c>
      <c r="AI1465" s="49">
        <f>IF(D1465="","",IFERROR(INDEX('CUSTOMERS'!$E$5:$E$404,MATCH(D1465,'CUSTOMERS'!$B$5:$B$404,0)),""))</f>
        <v/>
      </c>
      <c r="AJ1465" s="49">
        <f>IF(B1465="","",N(C1465))</f>
        <v/>
      </c>
      <c r="AK1465" s="49">
        <f>IF(OR(B1465="",O1465="Cancelled",O1465="Rescheduled"),"",B1465&amp;"|"&amp;(COUNTIFS('JOBS'!$B$5:$B$1504,B1465,'JOBS'!$AJ$5:$AJ$1504,"&lt;"&amp;AJ1465,'JOBS'!$O$5:$O$1504,"&lt;&gt;Cancelled",'JOBS'!$O$5:$O$1504,"&lt;&gt;Rescheduled")+COUNTIFS($B$5:B1465,B1465,$AJ$5:AJ1465,AJ1465,$O$5:O1465,"&lt;&gt;Cancelled",$O$5:O1465,"&lt;&gt;Rescheduled")))</f>
        <v/>
      </c>
      <c r="AL1465" s="49">
        <f>IF(N(U1465)&lt;=0.005,"",COUNTIFS('JOBS'!$U$5:$U$1504,"&gt;0.005",'JOBS'!$B$5:$B$1504,"&lt;"&amp;B1465)+COUNTIFS($U$5:U1465,"&gt;0.005",$B$5:B1465,B1465))</f>
        <v/>
      </c>
    </row>
    <row r="1466">
      <c r="A1466" s="46" t="inlineStr">
        <is>
          <t>J-1462</t>
        </is>
      </c>
      <c r="B1466" s="47" t="n"/>
      <c r="C1466" s="94" t="n"/>
      <c r="D1466" s="38" t="n"/>
      <c r="E1466" s="38" t="n"/>
      <c r="F1466" s="38" t="n"/>
      <c r="G1466" s="38" t="n"/>
      <c r="H1466" s="38" t="n"/>
      <c r="I1466" s="57" t="n"/>
      <c r="J1466" s="95" t="n"/>
      <c r="K1466" s="95" t="n"/>
      <c r="L1466" s="48" t="n"/>
      <c r="M1466" s="96" t="n"/>
      <c r="N1466" s="48" t="n"/>
      <c r="O1466" s="38" t="n"/>
      <c r="P1466" s="38" t="n"/>
      <c r="Q1466" s="97">
        <f>IF(OR(F1466="",E1466=""),"",IFERROR(IF(INDEX('PROPERTIES'!$F$5:$F$404,MATCH(E1466,'PROPERTIES'!$B$5:$B$404,0))=0,"",ROUND((INDEX('PROPERTIES'!$F$5:$F$404,MATCH(E1466,'PROPERTIES'!$B$5:$B$404,0))/INDEX('PRICING'!$C$7:$C$16,MATCH(F1466,'PRICING'!$A$7:$A$16,0))+INDEX('PROPERTIES'!$G$5:$G$404,MATCH(E1466,'PROPERTIES'!$B$5:$B$404,0))*INDEX('PRICING'!$D$7:$D$16,MATCH(F1466,'PRICING'!$A$7:$A$16,0))/60+INDEX('PROPERTIES'!$H$5:$H$404,MATCH(E1466,'PROPERTIES'!$B$5:$B$404,0))*INDEX('PRICING'!$E$7:$E$16,MATCH(F1466,'PRICING'!$A$7:$A$16,0))/60+INDEX('PRICING'!$F$7:$F$16,MATCH(F1466,'PRICING'!$A$7:$A$16,0))/60),2)),""))</f>
        <v/>
      </c>
      <c r="R1466" s="97">
        <f>IF(B1466="","",IF(N(K1466)&gt;0,K1466,IF(N(J1466)&gt;0,J1466,N(Q1466))))</f>
        <v/>
      </c>
      <c r="S1466" s="55">
        <f>IF(L1466="","",ROUND(L1466*(1+N(M1466)),2))</f>
        <v/>
      </c>
      <c r="T1466" s="55">
        <f>IF(B1466="","",SUMIFS('REVENUE'!$C$5:$C$1504,'REVENUE'!$B$5:$B$1504,A1466))</f>
        <v/>
      </c>
      <c r="U1466" s="55">
        <f>IF(B1466="","",IF(O1466="Completed",MAX(0,N(S1466)-T1466),""))</f>
        <v/>
      </c>
      <c r="V1466" s="49">
        <f>IF(B1466="","",IF(O1466&lt;&gt;"Completed",IF(T1466&gt;0,"Deposit","—"),IF(U1466&lt;=0.005,"Paid",IF(T1466&gt;0,"Partial","Unpaid"))))</f>
        <v/>
      </c>
      <c r="W1466" s="55">
        <f>IF(B1466="","",IFERROR(1/(1/INDEX('STAFF &amp; TASKS'!$C$5:$C$24,MATCH(H1466,'STAFF &amp; TASKS'!$A$5:$A$24,0))),PayRate))</f>
        <v/>
      </c>
      <c r="X1466" s="55">
        <f>IF(B1466="","",IF(OR(O1466="Cancelled",O1466="No-Show"),"",ROUND(R1466*W1466*(1+Burden),2)))</f>
        <v/>
      </c>
      <c r="Y1466" s="55">
        <f>IF(B1466="","",IF(OR(O1466="Cancelled",O1466="No-Show"),"",IF(N1466&lt;&gt;"",N1466,ROUND(R1466*SupHr*IFERROR(INDEX('PRICING'!$G$7:$G$16,MATCH(F1466,'PRICING'!$A$7:$A$16,0)),1),2))))</f>
        <v/>
      </c>
      <c r="Z1466" s="98">
        <f>IF(B1466="","",SUMIFS('MILEAGE'!$J$5:$J$1504,'MILEAGE'!$B$5:$B$1504,A1466))</f>
        <v/>
      </c>
      <c r="AA1466" s="55">
        <f>IF(B1466="","",ROUND(Z1466*MileRate,2))</f>
        <v/>
      </c>
      <c r="AB1466" s="55">
        <f>IF(B1466="","",SUMIFS('REVENUE'!$J$5:$J$1504,'REVENUE'!$B$5:$B$1504,A1466))</f>
        <v/>
      </c>
      <c r="AC1466" s="55">
        <f>IF(L1466="","",IF(OR(O1466="Cancelled",O1466="No-Show"),"",L1466-N(X1466)-N(Y1466)-AA1466-AB1466))</f>
        <v/>
      </c>
      <c r="AD1466" s="99">
        <f>IF(OR(AC1466="",N(L1466)=0),"",AC1466/L1466)</f>
        <v/>
      </c>
      <c r="AE1466" s="55">
        <f>IF(OR(AC1466="",N(R1466)=0),"",L1466/R1466)</f>
        <v/>
      </c>
      <c r="AF1466" s="100">
        <f>IF(OR(N(K1466)=0,N(J1466)+N(Q1466)=0),"",K1466-IF(N(J1466)&gt;0,J1466,Q1466))</f>
        <v/>
      </c>
      <c r="AG1466" s="99">
        <f>IF(B1466="","",IFERROR(AVERAGEIFS('QUALITY CONTROL'!$M$5:$M$304,'QUALITY CONTROL'!$B$5:$B$304,A1466),""))</f>
        <v/>
      </c>
      <c r="AH1466" s="51">
        <f>IF(B1466="","",DATE(YEAR(B1466),MONTH(B1466),1))</f>
        <v/>
      </c>
      <c r="AI1466" s="49">
        <f>IF(D1466="","",IFERROR(INDEX('CUSTOMERS'!$E$5:$E$404,MATCH(D1466,'CUSTOMERS'!$B$5:$B$404,0)),""))</f>
        <v/>
      </c>
      <c r="AJ1466" s="49">
        <f>IF(B1466="","",N(C1466))</f>
        <v/>
      </c>
      <c r="AK1466" s="49">
        <f>IF(OR(B1466="",O1466="Cancelled",O1466="Rescheduled"),"",B1466&amp;"|"&amp;(COUNTIFS('JOBS'!$B$5:$B$1504,B1466,'JOBS'!$AJ$5:$AJ$1504,"&lt;"&amp;AJ1466,'JOBS'!$O$5:$O$1504,"&lt;&gt;Cancelled",'JOBS'!$O$5:$O$1504,"&lt;&gt;Rescheduled")+COUNTIFS($B$5:B1466,B1466,$AJ$5:AJ1466,AJ1466,$O$5:O1466,"&lt;&gt;Cancelled",$O$5:O1466,"&lt;&gt;Rescheduled")))</f>
        <v/>
      </c>
      <c r="AL1466" s="49">
        <f>IF(N(U1466)&lt;=0.005,"",COUNTIFS('JOBS'!$U$5:$U$1504,"&gt;0.005",'JOBS'!$B$5:$B$1504,"&lt;"&amp;B1466)+COUNTIFS($U$5:U1466,"&gt;0.005",$B$5:B1466,B1466))</f>
        <v/>
      </c>
    </row>
    <row r="1467">
      <c r="A1467" s="46" t="inlineStr">
        <is>
          <t>J-1463</t>
        </is>
      </c>
      <c r="B1467" s="47" t="n"/>
      <c r="C1467" s="94" t="n"/>
      <c r="D1467" s="38" t="n"/>
      <c r="E1467" s="38" t="n"/>
      <c r="F1467" s="38" t="n"/>
      <c r="G1467" s="38" t="n"/>
      <c r="H1467" s="38" t="n"/>
      <c r="I1467" s="57" t="n"/>
      <c r="J1467" s="95" t="n"/>
      <c r="K1467" s="95" t="n"/>
      <c r="L1467" s="48" t="n"/>
      <c r="M1467" s="96" t="n"/>
      <c r="N1467" s="48" t="n"/>
      <c r="O1467" s="38" t="n"/>
      <c r="P1467" s="38" t="n"/>
      <c r="Q1467" s="97">
        <f>IF(OR(F1467="",E1467=""),"",IFERROR(IF(INDEX('PROPERTIES'!$F$5:$F$404,MATCH(E1467,'PROPERTIES'!$B$5:$B$404,0))=0,"",ROUND((INDEX('PROPERTIES'!$F$5:$F$404,MATCH(E1467,'PROPERTIES'!$B$5:$B$404,0))/INDEX('PRICING'!$C$7:$C$16,MATCH(F1467,'PRICING'!$A$7:$A$16,0))+INDEX('PROPERTIES'!$G$5:$G$404,MATCH(E1467,'PROPERTIES'!$B$5:$B$404,0))*INDEX('PRICING'!$D$7:$D$16,MATCH(F1467,'PRICING'!$A$7:$A$16,0))/60+INDEX('PROPERTIES'!$H$5:$H$404,MATCH(E1467,'PROPERTIES'!$B$5:$B$404,0))*INDEX('PRICING'!$E$7:$E$16,MATCH(F1467,'PRICING'!$A$7:$A$16,0))/60+INDEX('PRICING'!$F$7:$F$16,MATCH(F1467,'PRICING'!$A$7:$A$16,0))/60),2)),""))</f>
        <v/>
      </c>
      <c r="R1467" s="97">
        <f>IF(B1467="","",IF(N(K1467)&gt;0,K1467,IF(N(J1467)&gt;0,J1467,N(Q1467))))</f>
        <v/>
      </c>
      <c r="S1467" s="55">
        <f>IF(L1467="","",ROUND(L1467*(1+N(M1467)),2))</f>
        <v/>
      </c>
      <c r="T1467" s="55">
        <f>IF(B1467="","",SUMIFS('REVENUE'!$C$5:$C$1504,'REVENUE'!$B$5:$B$1504,A1467))</f>
        <v/>
      </c>
      <c r="U1467" s="55">
        <f>IF(B1467="","",IF(O1467="Completed",MAX(0,N(S1467)-T1467),""))</f>
        <v/>
      </c>
      <c r="V1467" s="49">
        <f>IF(B1467="","",IF(O1467&lt;&gt;"Completed",IF(T1467&gt;0,"Deposit","—"),IF(U1467&lt;=0.005,"Paid",IF(T1467&gt;0,"Partial","Unpaid"))))</f>
        <v/>
      </c>
      <c r="W1467" s="55">
        <f>IF(B1467="","",IFERROR(1/(1/INDEX('STAFF &amp; TASKS'!$C$5:$C$24,MATCH(H1467,'STAFF &amp; TASKS'!$A$5:$A$24,0))),PayRate))</f>
        <v/>
      </c>
      <c r="X1467" s="55">
        <f>IF(B1467="","",IF(OR(O1467="Cancelled",O1467="No-Show"),"",ROUND(R1467*W1467*(1+Burden),2)))</f>
        <v/>
      </c>
      <c r="Y1467" s="55">
        <f>IF(B1467="","",IF(OR(O1467="Cancelled",O1467="No-Show"),"",IF(N1467&lt;&gt;"",N1467,ROUND(R1467*SupHr*IFERROR(INDEX('PRICING'!$G$7:$G$16,MATCH(F1467,'PRICING'!$A$7:$A$16,0)),1),2))))</f>
        <v/>
      </c>
      <c r="Z1467" s="98">
        <f>IF(B1467="","",SUMIFS('MILEAGE'!$J$5:$J$1504,'MILEAGE'!$B$5:$B$1504,A1467))</f>
        <v/>
      </c>
      <c r="AA1467" s="55">
        <f>IF(B1467="","",ROUND(Z1467*MileRate,2))</f>
        <v/>
      </c>
      <c r="AB1467" s="55">
        <f>IF(B1467="","",SUMIFS('REVENUE'!$J$5:$J$1504,'REVENUE'!$B$5:$B$1504,A1467))</f>
        <v/>
      </c>
      <c r="AC1467" s="55">
        <f>IF(L1467="","",IF(OR(O1467="Cancelled",O1467="No-Show"),"",L1467-N(X1467)-N(Y1467)-AA1467-AB1467))</f>
        <v/>
      </c>
      <c r="AD1467" s="99">
        <f>IF(OR(AC1467="",N(L1467)=0),"",AC1467/L1467)</f>
        <v/>
      </c>
      <c r="AE1467" s="55">
        <f>IF(OR(AC1467="",N(R1467)=0),"",L1467/R1467)</f>
        <v/>
      </c>
      <c r="AF1467" s="100">
        <f>IF(OR(N(K1467)=0,N(J1467)+N(Q1467)=0),"",K1467-IF(N(J1467)&gt;0,J1467,Q1467))</f>
        <v/>
      </c>
      <c r="AG1467" s="99">
        <f>IF(B1467="","",IFERROR(AVERAGEIFS('QUALITY CONTROL'!$M$5:$M$304,'QUALITY CONTROL'!$B$5:$B$304,A1467),""))</f>
        <v/>
      </c>
      <c r="AH1467" s="51">
        <f>IF(B1467="","",DATE(YEAR(B1467),MONTH(B1467),1))</f>
        <v/>
      </c>
      <c r="AI1467" s="49">
        <f>IF(D1467="","",IFERROR(INDEX('CUSTOMERS'!$E$5:$E$404,MATCH(D1467,'CUSTOMERS'!$B$5:$B$404,0)),""))</f>
        <v/>
      </c>
      <c r="AJ1467" s="49">
        <f>IF(B1467="","",N(C1467))</f>
        <v/>
      </c>
      <c r="AK1467" s="49">
        <f>IF(OR(B1467="",O1467="Cancelled",O1467="Rescheduled"),"",B1467&amp;"|"&amp;(COUNTIFS('JOBS'!$B$5:$B$1504,B1467,'JOBS'!$AJ$5:$AJ$1504,"&lt;"&amp;AJ1467,'JOBS'!$O$5:$O$1504,"&lt;&gt;Cancelled",'JOBS'!$O$5:$O$1504,"&lt;&gt;Rescheduled")+COUNTIFS($B$5:B1467,B1467,$AJ$5:AJ1467,AJ1467,$O$5:O1467,"&lt;&gt;Cancelled",$O$5:O1467,"&lt;&gt;Rescheduled")))</f>
        <v/>
      </c>
      <c r="AL1467" s="49">
        <f>IF(N(U1467)&lt;=0.005,"",COUNTIFS('JOBS'!$U$5:$U$1504,"&gt;0.005",'JOBS'!$B$5:$B$1504,"&lt;"&amp;B1467)+COUNTIFS($U$5:U1467,"&gt;0.005",$B$5:B1467,B1467))</f>
        <v/>
      </c>
    </row>
    <row r="1468">
      <c r="A1468" s="46" t="inlineStr">
        <is>
          <t>J-1464</t>
        </is>
      </c>
      <c r="B1468" s="47" t="n"/>
      <c r="C1468" s="94" t="n"/>
      <c r="D1468" s="38" t="n"/>
      <c r="E1468" s="38" t="n"/>
      <c r="F1468" s="38" t="n"/>
      <c r="G1468" s="38" t="n"/>
      <c r="H1468" s="38" t="n"/>
      <c r="I1468" s="57" t="n"/>
      <c r="J1468" s="95" t="n"/>
      <c r="K1468" s="95" t="n"/>
      <c r="L1468" s="48" t="n"/>
      <c r="M1468" s="96" t="n"/>
      <c r="N1468" s="48" t="n"/>
      <c r="O1468" s="38" t="n"/>
      <c r="P1468" s="38" t="n"/>
      <c r="Q1468" s="97">
        <f>IF(OR(F1468="",E1468=""),"",IFERROR(IF(INDEX('PROPERTIES'!$F$5:$F$404,MATCH(E1468,'PROPERTIES'!$B$5:$B$404,0))=0,"",ROUND((INDEX('PROPERTIES'!$F$5:$F$404,MATCH(E1468,'PROPERTIES'!$B$5:$B$404,0))/INDEX('PRICING'!$C$7:$C$16,MATCH(F1468,'PRICING'!$A$7:$A$16,0))+INDEX('PROPERTIES'!$G$5:$G$404,MATCH(E1468,'PROPERTIES'!$B$5:$B$404,0))*INDEX('PRICING'!$D$7:$D$16,MATCH(F1468,'PRICING'!$A$7:$A$16,0))/60+INDEX('PROPERTIES'!$H$5:$H$404,MATCH(E1468,'PROPERTIES'!$B$5:$B$404,0))*INDEX('PRICING'!$E$7:$E$16,MATCH(F1468,'PRICING'!$A$7:$A$16,0))/60+INDEX('PRICING'!$F$7:$F$16,MATCH(F1468,'PRICING'!$A$7:$A$16,0))/60),2)),""))</f>
        <v/>
      </c>
      <c r="R1468" s="97">
        <f>IF(B1468="","",IF(N(K1468)&gt;0,K1468,IF(N(J1468)&gt;0,J1468,N(Q1468))))</f>
        <v/>
      </c>
      <c r="S1468" s="55">
        <f>IF(L1468="","",ROUND(L1468*(1+N(M1468)),2))</f>
        <v/>
      </c>
      <c r="T1468" s="55">
        <f>IF(B1468="","",SUMIFS('REVENUE'!$C$5:$C$1504,'REVENUE'!$B$5:$B$1504,A1468))</f>
        <v/>
      </c>
      <c r="U1468" s="55">
        <f>IF(B1468="","",IF(O1468="Completed",MAX(0,N(S1468)-T1468),""))</f>
        <v/>
      </c>
      <c r="V1468" s="49">
        <f>IF(B1468="","",IF(O1468&lt;&gt;"Completed",IF(T1468&gt;0,"Deposit","—"),IF(U1468&lt;=0.005,"Paid",IF(T1468&gt;0,"Partial","Unpaid"))))</f>
        <v/>
      </c>
      <c r="W1468" s="55">
        <f>IF(B1468="","",IFERROR(1/(1/INDEX('STAFF &amp; TASKS'!$C$5:$C$24,MATCH(H1468,'STAFF &amp; TASKS'!$A$5:$A$24,0))),PayRate))</f>
        <v/>
      </c>
      <c r="X1468" s="55">
        <f>IF(B1468="","",IF(OR(O1468="Cancelled",O1468="No-Show"),"",ROUND(R1468*W1468*(1+Burden),2)))</f>
        <v/>
      </c>
      <c r="Y1468" s="55">
        <f>IF(B1468="","",IF(OR(O1468="Cancelled",O1468="No-Show"),"",IF(N1468&lt;&gt;"",N1468,ROUND(R1468*SupHr*IFERROR(INDEX('PRICING'!$G$7:$G$16,MATCH(F1468,'PRICING'!$A$7:$A$16,0)),1),2))))</f>
        <v/>
      </c>
      <c r="Z1468" s="98">
        <f>IF(B1468="","",SUMIFS('MILEAGE'!$J$5:$J$1504,'MILEAGE'!$B$5:$B$1504,A1468))</f>
        <v/>
      </c>
      <c r="AA1468" s="55">
        <f>IF(B1468="","",ROUND(Z1468*MileRate,2))</f>
        <v/>
      </c>
      <c r="AB1468" s="55">
        <f>IF(B1468="","",SUMIFS('REVENUE'!$J$5:$J$1504,'REVENUE'!$B$5:$B$1504,A1468))</f>
        <v/>
      </c>
      <c r="AC1468" s="55">
        <f>IF(L1468="","",IF(OR(O1468="Cancelled",O1468="No-Show"),"",L1468-N(X1468)-N(Y1468)-AA1468-AB1468))</f>
        <v/>
      </c>
      <c r="AD1468" s="99">
        <f>IF(OR(AC1468="",N(L1468)=0),"",AC1468/L1468)</f>
        <v/>
      </c>
      <c r="AE1468" s="55">
        <f>IF(OR(AC1468="",N(R1468)=0),"",L1468/R1468)</f>
        <v/>
      </c>
      <c r="AF1468" s="100">
        <f>IF(OR(N(K1468)=0,N(J1468)+N(Q1468)=0),"",K1468-IF(N(J1468)&gt;0,J1468,Q1468))</f>
        <v/>
      </c>
      <c r="AG1468" s="99">
        <f>IF(B1468="","",IFERROR(AVERAGEIFS('QUALITY CONTROL'!$M$5:$M$304,'QUALITY CONTROL'!$B$5:$B$304,A1468),""))</f>
        <v/>
      </c>
      <c r="AH1468" s="51">
        <f>IF(B1468="","",DATE(YEAR(B1468),MONTH(B1468),1))</f>
        <v/>
      </c>
      <c r="AI1468" s="49">
        <f>IF(D1468="","",IFERROR(INDEX('CUSTOMERS'!$E$5:$E$404,MATCH(D1468,'CUSTOMERS'!$B$5:$B$404,0)),""))</f>
        <v/>
      </c>
      <c r="AJ1468" s="49">
        <f>IF(B1468="","",N(C1468))</f>
        <v/>
      </c>
      <c r="AK1468" s="49">
        <f>IF(OR(B1468="",O1468="Cancelled",O1468="Rescheduled"),"",B1468&amp;"|"&amp;(COUNTIFS('JOBS'!$B$5:$B$1504,B1468,'JOBS'!$AJ$5:$AJ$1504,"&lt;"&amp;AJ1468,'JOBS'!$O$5:$O$1504,"&lt;&gt;Cancelled",'JOBS'!$O$5:$O$1504,"&lt;&gt;Rescheduled")+COUNTIFS($B$5:B1468,B1468,$AJ$5:AJ1468,AJ1468,$O$5:O1468,"&lt;&gt;Cancelled",$O$5:O1468,"&lt;&gt;Rescheduled")))</f>
        <v/>
      </c>
      <c r="AL1468" s="49">
        <f>IF(N(U1468)&lt;=0.005,"",COUNTIFS('JOBS'!$U$5:$U$1504,"&gt;0.005",'JOBS'!$B$5:$B$1504,"&lt;"&amp;B1468)+COUNTIFS($U$5:U1468,"&gt;0.005",$B$5:B1468,B1468))</f>
        <v/>
      </c>
    </row>
    <row r="1469">
      <c r="A1469" s="46" t="inlineStr">
        <is>
          <t>J-1465</t>
        </is>
      </c>
      <c r="B1469" s="47" t="n"/>
      <c r="C1469" s="94" t="n"/>
      <c r="D1469" s="38" t="n"/>
      <c r="E1469" s="38" t="n"/>
      <c r="F1469" s="38" t="n"/>
      <c r="G1469" s="38" t="n"/>
      <c r="H1469" s="38" t="n"/>
      <c r="I1469" s="57" t="n"/>
      <c r="J1469" s="95" t="n"/>
      <c r="K1469" s="95" t="n"/>
      <c r="L1469" s="48" t="n"/>
      <c r="M1469" s="96" t="n"/>
      <c r="N1469" s="48" t="n"/>
      <c r="O1469" s="38" t="n"/>
      <c r="P1469" s="38" t="n"/>
      <c r="Q1469" s="97">
        <f>IF(OR(F1469="",E1469=""),"",IFERROR(IF(INDEX('PROPERTIES'!$F$5:$F$404,MATCH(E1469,'PROPERTIES'!$B$5:$B$404,0))=0,"",ROUND((INDEX('PROPERTIES'!$F$5:$F$404,MATCH(E1469,'PROPERTIES'!$B$5:$B$404,0))/INDEX('PRICING'!$C$7:$C$16,MATCH(F1469,'PRICING'!$A$7:$A$16,0))+INDEX('PROPERTIES'!$G$5:$G$404,MATCH(E1469,'PROPERTIES'!$B$5:$B$404,0))*INDEX('PRICING'!$D$7:$D$16,MATCH(F1469,'PRICING'!$A$7:$A$16,0))/60+INDEX('PROPERTIES'!$H$5:$H$404,MATCH(E1469,'PROPERTIES'!$B$5:$B$404,0))*INDEX('PRICING'!$E$7:$E$16,MATCH(F1469,'PRICING'!$A$7:$A$16,0))/60+INDEX('PRICING'!$F$7:$F$16,MATCH(F1469,'PRICING'!$A$7:$A$16,0))/60),2)),""))</f>
        <v/>
      </c>
      <c r="R1469" s="97">
        <f>IF(B1469="","",IF(N(K1469)&gt;0,K1469,IF(N(J1469)&gt;0,J1469,N(Q1469))))</f>
        <v/>
      </c>
      <c r="S1469" s="55">
        <f>IF(L1469="","",ROUND(L1469*(1+N(M1469)),2))</f>
        <v/>
      </c>
      <c r="T1469" s="55">
        <f>IF(B1469="","",SUMIFS('REVENUE'!$C$5:$C$1504,'REVENUE'!$B$5:$B$1504,A1469))</f>
        <v/>
      </c>
      <c r="U1469" s="55">
        <f>IF(B1469="","",IF(O1469="Completed",MAX(0,N(S1469)-T1469),""))</f>
        <v/>
      </c>
      <c r="V1469" s="49">
        <f>IF(B1469="","",IF(O1469&lt;&gt;"Completed",IF(T1469&gt;0,"Deposit","—"),IF(U1469&lt;=0.005,"Paid",IF(T1469&gt;0,"Partial","Unpaid"))))</f>
        <v/>
      </c>
      <c r="W1469" s="55">
        <f>IF(B1469="","",IFERROR(1/(1/INDEX('STAFF &amp; TASKS'!$C$5:$C$24,MATCH(H1469,'STAFF &amp; TASKS'!$A$5:$A$24,0))),PayRate))</f>
        <v/>
      </c>
      <c r="X1469" s="55">
        <f>IF(B1469="","",IF(OR(O1469="Cancelled",O1469="No-Show"),"",ROUND(R1469*W1469*(1+Burden),2)))</f>
        <v/>
      </c>
      <c r="Y1469" s="55">
        <f>IF(B1469="","",IF(OR(O1469="Cancelled",O1469="No-Show"),"",IF(N1469&lt;&gt;"",N1469,ROUND(R1469*SupHr*IFERROR(INDEX('PRICING'!$G$7:$G$16,MATCH(F1469,'PRICING'!$A$7:$A$16,0)),1),2))))</f>
        <v/>
      </c>
      <c r="Z1469" s="98">
        <f>IF(B1469="","",SUMIFS('MILEAGE'!$J$5:$J$1504,'MILEAGE'!$B$5:$B$1504,A1469))</f>
        <v/>
      </c>
      <c r="AA1469" s="55">
        <f>IF(B1469="","",ROUND(Z1469*MileRate,2))</f>
        <v/>
      </c>
      <c r="AB1469" s="55">
        <f>IF(B1469="","",SUMIFS('REVENUE'!$J$5:$J$1504,'REVENUE'!$B$5:$B$1504,A1469))</f>
        <v/>
      </c>
      <c r="AC1469" s="55">
        <f>IF(L1469="","",IF(OR(O1469="Cancelled",O1469="No-Show"),"",L1469-N(X1469)-N(Y1469)-AA1469-AB1469))</f>
        <v/>
      </c>
      <c r="AD1469" s="99">
        <f>IF(OR(AC1469="",N(L1469)=0),"",AC1469/L1469)</f>
        <v/>
      </c>
      <c r="AE1469" s="55">
        <f>IF(OR(AC1469="",N(R1469)=0),"",L1469/R1469)</f>
        <v/>
      </c>
      <c r="AF1469" s="100">
        <f>IF(OR(N(K1469)=0,N(J1469)+N(Q1469)=0),"",K1469-IF(N(J1469)&gt;0,J1469,Q1469))</f>
        <v/>
      </c>
      <c r="AG1469" s="99">
        <f>IF(B1469="","",IFERROR(AVERAGEIFS('QUALITY CONTROL'!$M$5:$M$304,'QUALITY CONTROL'!$B$5:$B$304,A1469),""))</f>
        <v/>
      </c>
      <c r="AH1469" s="51">
        <f>IF(B1469="","",DATE(YEAR(B1469),MONTH(B1469),1))</f>
        <v/>
      </c>
      <c r="AI1469" s="49">
        <f>IF(D1469="","",IFERROR(INDEX('CUSTOMERS'!$E$5:$E$404,MATCH(D1469,'CUSTOMERS'!$B$5:$B$404,0)),""))</f>
        <v/>
      </c>
      <c r="AJ1469" s="49">
        <f>IF(B1469="","",N(C1469))</f>
        <v/>
      </c>
      <c r="AK1469" s="49">
        <f>IF(OR(B1469="",O1469="Cancelled",O1469="Rescheduled"),"",B1469&amp;"|"&amp;(COUNTIFS('JOBS'!$B$5:$B$1504,B1469,'JOBS'!$AJ$5:$AJ$1504,"&lt;"&amp;AJ1469,'JOBS'!$O$5:$O$1504,"&lt;&gt;Cancelled",'JOBS'!$O$5:$O$1504,"&lt;&gt;Rescheduled")+COUNTIFS($B$5:B1469,B1469,$AJ$5:AJ1469,AJ1469,$O$5:O1469,"&lt;&gt;Cancelled",$O$5:O1469,"&lt;&gt;Rescheduled")))</f>
        <v/>
      </c>
      <c r="AL1469" s="49">
        <f>IF(N(U1469)&lt;=0.005,"",COUNTIFS('JOBS'!$U$5:$U$1504,"&gt;0.005",'JOBS'!$B$5:$B$1504,"&lt;"&amp;B1469)+COUNTIFS($U$5:U1469,"&gt;0.005",$B$5:B1469,B1469))</f>
        <v/>
      </c>
    </row>
    <row r="1470">
      <c r="A1470" s="46" t="inlineStr">
        <is>
          <t>J-1466</t>
        </is>
      </c>
      <c r="B1470" s="47" t="n"/>
      <c r="C1470" s="94" t="n"/>
      <c r="D1470" s="38" t="n"/>
      <c r="E1470" s="38" t="n"/>
      <c r="F1470" s="38" t="n"/>
      <c r="G1470" s="38" t="n"/>
      <c r="H1470" s="38" t="n"/>
      <c r="I1470" s="57" t="n"/>
      <c r="J1470" s="95" t="n"/>
      <c r="K1470" s="95" t="n"/>
      <c r="L1470" s="48" t="n"/>
      <c r="M1470" s="96" t="n"/>
      <c r="N1470" s="48" t="n"/>
      <c r="O1470" s="38" t="n"/>
      <c r="P1470" s="38" t="n"/>
      <c r="Q1470" s="97">
        <f>IF(OR(F1470="",E1470=""),"",IFERROR(IF(INDEX('PROPERTIES'!$F$5:$F$404,MATCH(E1470,'PROPERTIES'!$B$5:$B$404,0))=0,"",ROUND((INDEX('PROPERTIES'!$F$5:$F$404,MATCH(E1470,'PROPERTIES'!$B$5:$B$404,0))/INDEX('PRICING'!$C$7:$C$16,MATCH(F1470,'PRICING'!$A$7:$A$16,0))+INDEX('PROPERTIES'!$G$5:$G$404,MATCH(E1470,'PROPERTIES'!$B$5:$B$404,0))*INDEX('PRICING'!$D$7:$D$16,MATCH(F1470,'PRICING'!$A$7:$A$16,0))/60+INDEX('PROPERTIES'!$H$5:$H$404,MATCH(E1470,'PROPERTIES'!$B$5:$B$404,0))*INDEX('PRICING'!$E$7:$E$16,MATCH(F1470,'PRICING'!$A$7:$A$16,0))/60+INDEX('PRICING'!$F$7:$F$16,MATCH(F1470,'PRICING'!$A$7:$A$16,0))/60),2)),""))</f>
        <v/>
      </c>
      <c r="R1470" s="97">
        <f>IF(B1470="","",IF(N(K1470)&gt;0,K1470,IF(N(J1470)&gt;0,J1470,N(Q1470))))</f>
        <v/>
      </c>
      <c r="S1470" s="55">
        <f>IF(L1470="","",ROUND(L1470*(1+N(M1470)),2))</f>
        <v/>
      </c>
      <c r="T1470" s="55">
        <f>IF(B1470="","",SUMIFS('REVENUE'!$C$5:$C$1504,'REVENUE'!$B$5:$B$1504,A1470))</f>
        <v/>
      </c>
      <c r="U1470" s="55">
        <f>IF(B1470="","",IF(O1470="Completed",MAX(0,N(S1470)-T1470),""))</f>
        <v/>
      </c>
      <c r="V1470" s="49">
        <f>IF(B1470="","",IF(O1470&lt;&gt;"Completed",IF(T1470&gt;0,"Deposit","—"),IF(U1470&lt;=0.005,"Paid",IF(T1470&gt;0,"Partial","Unpaid"))))</f>
        <v/>
      </c>
      <c r="W1470" s="55">
        <f>IF(B1470="","",IFERROR(1/(1/INDEX('STAFF &amp; TASKS'!$C$5:$C$24,MATCH(H1470,'STAFF &amp; TASKS'!$A$5:$A$24,0))),PayRate))</f>
        <v/>
      </c>
      <c r="X1470" s="55">
        <f>IF(B1470="","",IF(OR(O1470="Cancelled",O1470="No-Show"),"",ROUND(R1470*W1470*(1+Burden),2)))</f>
        <v/>
      </c>
      <c r="Y1470" s="55">
        <f>IF(B1470="","",IF(OR(O1470="Cancelled",O1470="No-Show"),"",IF(N1470&lt;&gt;"",N1470,ROUND(R1470*SupHr*IFERROR(INDEX('PRICING'!$G$7:$G$16,MATCH(F1470,'PRICING'!$A$7:$A$16,0)),1),2))))</f>
        <v/>
      </c>
      <c r="Z1470" s="98">
        <f>IF(B1470="","",SUMIFS('MILEAGE'!$J$5:$J$1504,'MILEAGE'!$B$5:$B$1504,A1470))</f>
        <v/>
      </c>
      <c r="AA1470" s="55">
        <f>IF(B1470="","",ROUND(Z1470*MileRate,2))</f>
        <v/>
      </c>
      <c r="AB1470" s="55">
        <f>IF(B1470="","",SUMIFS('REVENUE'!$J$5:$J$1504,'REVENUE'!$B$5:$B$1504,A1470))</f>
        <v/>
      </c>
      <c r="AC1470" s="55">
        <f>IF(L1470="","",IF(OR(O1470="Cancelled",O1470="No-Show"),"",L1470-N(X1470)-N(Y1470)-AA1470-AB1470))</f>
        <v/>
      </c>
      <c r="AD1470" s="99">
        <f>IF(OR(AC1470="",N(L1470)=0),"",AC1470/L1470)</f>
        <v/>
      </c>
      <c r="AE1470" s="55">
        <f>IF(OR(AC1470="",N(R1470)=0),"",L1470/R1470)</f>
        <v/>
      </c>
      <c r="AF1470" s="100">
        <f>IF(OR(N(K1470)=0,N(J1470)+N(Q1470)=0),"",K1470-IF(N(J1470)&gt;0,J1470,Q1470))</f>
        <v/>
      </c>
      <c r="AG1470" s="99">
        <f>IF(B1470="","",IFERROR(AVERAGEIFS('QUALITY CONTROL'!$M$5:$M$304,'QUALITY CONTROL'!$B$5:$B$304,A1470),""))</f>
        <v/>
      </c>
      <c r="AH1470" s="51">
        <f>IF(B1470="","",DATE(YEAR(B1470),MONTH(B1470),1))</f>
        <v/>
      </c>
      <c r="AI1470" s="49">
        <f>IF(D1470="","",IFERROR(INDEX('CUSTOMERS'!$E$5:$E$404,MATCH(D1470,'CUSTOMERS'!$B$5:$B$404,0)),""))</f>
        <v/>
      </c>
      <c r="AJ1470" s="49">
        <f>IF(B1470="","",N(C1470))</f>
        <v/>
      </c>
      <c r="AK1470" s="49">
        <f>IF(OR(B1470="",O1470="Cancelled",O1470="Rescheduled"),"",B1470&amp;"|"&amp;(COUNTIFS('JOBS'!$B$5:$B$1504,B1470,'JOBS'!$AJ$5:$AJ$1504,"&lt;"&amp;AJ1470,'JOBS'!$O$5:$O$1504,"&lt;&gt;Cancelled",'JOBS'!$O$5:$O$1504,"&lt;&gt;Rescheduled")+COUNTIFS($B$5:B1470,B1470,$AJ$5:AJ1470,AJ1470,$O$5:O1470,"&lt;&gt;Cancelled",$O$5:O1470,"&lt;&gt;Rescheduled")))</f>
        <v/>
      </c>
      <c r="AL1470" s="49">
        <f>IF(N(U1470)&lt;=0.005,"",COUNTIFS('JOBS'!$U$5:$U$1504,"&gt;0.005",'JOBS'!$B$5:$B$1504,"&lt;"&amp;B1470)+COUNTIFS($U$5:U1470,"&gt;0.005",$B$5:B1470,B1470))</f>
        <v/>
      </c>
    </row>
    <row r="1471">
      <c r="A1471" s="46" t="inlineStr">
        <is>
          <t>J-1467</t>
        </is>
      </c>
      <c r="B1471" s="47" t="n"/>
      <c r="C1471" s="94" t="n"/>
      <c r="D1471" s="38" t="n"/>
      <c r="E1471" s="38" t="n"/>
      <c r="F1471" s="38" t="n"/>
      <c r="G1471" s="38" t="n"/>
      <c r="H1471" s="38" t="n"/>
      <c r="I1471" s="57" t="n"/>
      <c r="J1471" s="95" t="n"/>
      <c r="K1471" s="95" t="n"/>
      <c r="L1471" s="48" t="n"/>
      <c r="M1471" s="96" t="n"/>
      <c r="N1471" s="48" t="n"/>
      <c r="O1471" s="38" t="n"/>
      <c r="P1471" s="38" t="n"/>
      <c r="Q1471" s="97">
        <f>IF(OR(F1471="",E1471=""),"",IFERROR(IF(INDEX('PROPERTIES'!$F$5:$F$404,MATCH(E1471,'PROPERTIES'!$B$5:$B$404,0))=0,"",ROUND((INDEX('PROPERTIES'!$F$5:$F$404,MATCH(E1471,'PROPERTIES'!$B$5:$B$404,0))/INDEX('PRICING'!$C$7:$C$16,MATCH(F1471,'PRICING'!$A$7:$A$16,0))+INDEX('PROPERTIES'!$G$5:$G$404,MATCH(E1471,'PROPERTIES'!$B$5:$B$404,0))*INDEX('PRICING'!$D$7:$D$16,MATCH(F1471,'PRICING'!$A$7:$A$16,0))/60+INDEX('PROPERTIES'!$H$5:$H$404,MATCH(E1471,'PROPERTIES'!$B$5:$B$404,0))*INDEX('PRICING'!$E$7:$E$16,MATCH(F1471,'PRICING'!$A$7:$A$16,0))/60+INDEX('PRICING'!$F$7:$F$16,MATCH(F1471,'PRICING'!$A$7:$A$16,0))/60),2)),""))</f>
        <v/>
      </c>
      <c r="R1471" s="97">
        <f>IF(B1471="","",IF(N(K1471)&gt;0,K1471,IF(N(J1471)&gt;0,J1471,N(Q1471))))</f>
        <v/>
      </c>
      <c r="S1471" s="55">
        <f>IF(L1471="","",ROUND(L1471*(1+N(M1471)),2))</f>
        <v/>
      </c>
      <c r="T1471" s="55">
        <f>IF(B1471="","",SUMIFS('REVENUE'!$C$5:$C$1504,'REVENUE'!$B$5:$B$1504,A1471))</f>
        <v/>
      </c>
      <c r="U1471" s="55">
        <f>IF(B1471="","",IF(O1471="Completed",MAX(0,N(S1471)-T1471),""))</f>
        <v/>
      </c>
      <c r="V1471" s="49">
        <f>IF(B1471="","",IF(O1471&lt;&gt;"Completed",IF(T1471&gt;0,"Deposit","—"),IF(U1471&lt;=0.005,"Paid",IF(T1471&gt;0,"Partial","Unpaid"))))</f>
        <v/>
      </c>
      <c r="W1471" s="55">
        <f>IF(B1471="","",IFERROR(1/(1/INDEX('STAFF &amp; TASKS'!$C$5:$C$24,MATCH(H1471,'STAFF &amp; TASKS'!$A$5:$A$24,0))),PayRate))</f>
        <v/>
      </c>
      <c r="X1471" s="55">
        <f>IF(B1471="","",IF(OR(O1471="Cancelled",O1471="No-Show"),"",ROUND(R1471*W1471*(1+Burden),2)))</f>
        <v/>
      </c>
      <c r="Y1471" s="55">
        <f>IF(B1471="","",IF(OR(O1471="Cancelled",O1471="No-Show"),"",IF(N1471&lt;&gt;"",N1471,ROUND(R1471*SupHr*IFERROR(INDEX('PRICING'!$G$7:$G$16,MATCH(F1471,'PRICING'!$A$7:$A$16,0)),1),2))))</f>
        <v/>
      </c>
      <c r="Z1471" s="98">
        <f>IF(B1471="","",SUMIFS('MILEAGE'!$J$5:$J$1504,'MILEAGE'!$B$5:$B$1504,A1471))</f>
        <v/>
      </c>
      <c r="AA1471" s="55">
        <f>IF(B1471="","",ROUND(Z1471*MileRate,2))</f>
        <v/>
      </c>
      <c r="AB1471" s="55">
        <f>IF(B1471="","",SUMIFS('REVENUE'!$J$5:$J$1504,'REVENUE'!$B$5:$B$1504,A1471))</f>
        <v/>
      </c>
      <c r="AC1471" s="55">
        <f>IF(L1471="","",IF(OR(O1471="Cancelled",O1471="No-Show"),"",L1471-N(X1471)-N(Y1471)-AA1471-AB1471))</f>
        <v/>
      </c>
      <c r="AD1471" s="99">
        <f>IF(OR(AC1471="",N(L1471)=0),"",AC1471/L1471)</f>
        <v/>
      </c>
      <c r="AE1471" s="55">
        <f>IF(OR(AC1471="",N(R1471)=0),"",L1471/R1471)</f>
        <v/>
      </c>
      <c r="AF1471" s="100">
        <f>IF(OR(N(K1471)=0,N(J1471)+N(Q1471)=0),"",K1471-IF(N(J1471)&gt;0,J1471,Q1471))</f>
        <v/>
      </c>
      <c r="AG1471" s="99">
        <f>IF(B1471="","",IFERROR(AVERAGEIFS('QUALITY CONTROL'!$M$5:$M$304,'QUALITY CONTROL'!$B$5:$B$304,A1471),""))</f>
        <v/>
      </c>
      <c r="AH1471" s="51">
        <f>IF(B1471="","",DATE(YEAR(B1471),MONTH(B1471),1))</f>
        <v/>
      </c>
      <c r="AI1471" s="49">
        <f>IF(D1471="","",IFERROR(INDEX('CUSTOMERS'!$E$5:$E$404,MATCH(D1471,'CUSTOMERS'!$B$5:$B$404,0)),""))</f>
        <v/>
      </c>
      <c r="AJ1471" s="49">
        <f>IF(B1471="","",N(C1471))</f>
        <v/>
      </c>
      <c r="AK1471" s="49">
        <f>IF(OR(B1471="",O1471="Cancelled",O1471="Rescheduled"),"",B1471&amp;"|"&amp;(COUNTIFS('JOBS'!$B$5:$B$1504,B1471,'JOBS'!$AJ$5:$AJ$1504,"&lt;"&amp;AJ1471,'JOBS'!$O$5:$O$1504,"&lt;&gt;Cancelled",'JOBS'!$O$5:$O$1504,"&lt;&gt;Rescheduled")+COUNTIFS($B$5:B1471,B1471,$AJ$5:AJ1471,AJ1471,$O$5:O1471,"&lt;&gt;Cancelled",$O$5:O1471,"&lt;&gt;Rescheduled")))</f>
        <v/>
      </c>
      <c r="AL1471" s="49">
        <f>IF(N(U1471)&lt;=0.005,"",COUNTIFS('JOBS'!$U$5:$U$1504,"&gt;0.005",'JOBS'!$B$5:$B$1504,"&lt;"&amp;B1471)+COUNTIFS($U$5:U1471,"&gt;0.005",$B$5:B1471,B1471))</f>
        <v/>
      </c>
    </row>
    <row r="1472">
      <c r="A1472" s="46" t="inlineStr">
        <is>
          <t>J-1468</t>
        </is>
      </c>
      <c r="B1472" s="47" t="n"/>
      <c r="C1472" s="94" t="n"/>
      <c r="D1472" s="38" t="n"/>
      <c r="E1472" s="38" t="n"/>
      <c r="F1472" s="38" t="n"/>
      <c r="G1472" s="38" t="n"/>
      <c r="H1472" s="38" t="n"/>
      <c r="I1472" s="57" t="n"/>
      <c r="J1472" s="95" t="n"/>
      <c r="K1472" s="95" t="n"/>
      <c r="L1472" s="48" t="n"/>
      <c r="M1472" s="96" t="n"/>
      <c r="N1472" s="48" t="n"/>
      <c r="O1472" s="38" t="n"/>
      <c r="P1472" s="38" t="n"/>
      <c r="Q1472" s="97">
        <f>IF(OR(F1472="",E1472=""),"",IFERROR(IF(INDEX('PROPERTIES'!$F$5:$F$404,MATCH(E1472,'PROPERTIES'!$B$5:$B$404,0))=0,"",ROUND((INDEX('PROPERTIES'!$F$5:$F$404,MATCH(E1472,'PROPERTIES'!$B$5:$B$404,0))/INDEX('PRICING'!$C$7:$C$16,MATCH(F1472,'PRICING'!$A$7:$A$16,0))+INDEX('PROPERTIES'!$G$5:$G$404,MATCH(E1472,'PROPERTIES'!$B$5:$B$404,0))*INDEX('PRICING'!$D$7:$D$16,MATCH(F1472,'PRICING'!$A$7:$A$16,0))/60+INDEX('PROPERTIES'!$H$5:$H$404,MATCH(E1472,'PROPERTIES'!$B$5:$B$404,0))*INDEX('PRICING'!$E$7:$E$16,MATCH(F1472,'PRICING'!$A$7:$A$16,0))/60+INDEX('PRICING'!$F$7:$F$16,MATCH(F1472,'PRICING'!$A$7:$A$16,0))/60),2)),""))</f>
        <v/>
      </c>
      <c r="R1472" s="97">
        <f>IF(B1472="","",IF(N(K1472)&gt;0,K1472,IF(N(J1472)&gt;0,J1472,N(Q1472))))</f>
        <v/>
      </c>
      <c r="S1472" s="55">
        <f>IF(L1472="","",ROUND(L1472*(1+N(M1472)),2))</f>
        <v/>
      </c>
      <c r="T1472" s="55">
        <f>IF(B1472="","",SUMIFS('REVENUE'!$C$5:$C$1504,'REVENUE'!$B$5:$B$1504,A1472))</f>
        <v/>
      </c>
      <c r="U1472" s="55">
        <f>IF(B1472="","",IF(O1472="Completed",MAX(0,N(S1472)-T1472),""))</f>
        <v/>
      </c>
      <c r="V1472" s="49">
        <f>IF(B1472="","",IF(O1472&lt;&gt;"Completed",IF(T1472&gt;0,"Deposit","—"),IF(U1472&lt;=0.005,"Paid",IF(T1472&gt;0,"Partial","Unpaid"))))</f>
        <v/>
      </c>
      <c r="W1472" s="55">
        <f>IF(B1472="","",IFERROR(1/(1/INDEX('STAFF &amp; TASKS'!$C$5:$C$24,MATCH(H1472,'STAFF &amp; TASKS'!$A$5:$A$24,0))),PayRate))</f>
        <v/>
      </c>
      <c r="X1472" s="55">
        <f>IF(B1472="","",IF(OR(O1472="Cancelled",O1472="No-Show"),"",ROUND(R1472*W1472*(1+Burden),2)))</f>
        <v/>
      </c>
      <c r="Y1472" s="55">
        <f>IF(B1472="","",IF(OR(O1472="Cancelled",O1472="No-Show"),"",IF(N1472&lt;&gt;"",N1472,ROUND(R1472*SupHr*IFERROR(INDEX('PRICING'!$G$7:$G$16,MATCH(F1472,'PRICING'!$A$7:$A$16,0)),1),2))))</f>
        <v/>
      </c>
      <c r="Z1472" s="98">
        <f>IF(B1472="","",SUMIFS('MILEAGE'!$J$5:$J$1504,'MILEAGE'!$B$5:$B$1504,A1472))</f>
        <v/>
      </c>
      <c r="AA1472" s="55">
        <f>IF(B1472="","",ROUND(Z1472*MileRate,2))</f>
        <v/>
      </c>
      <c r="AB1472" s="55">
        <f>IF(B1472="","",SUMIFS('REVENUE'!$J$5:$J$1504,'REVENUE'!$B$5:$B$1504,A1472))</f>
        <v/>
      </c>
      <c r="AC1472" s="55">
        <f>IF(L1472="","",IF(OR(O1472="Cancelled",O1472="No-Show"),"",L1472-N(X1472)-N(Y1472)-AA1472-AB1472))</f>
        <v/>
      </c>
      <c r="AD1472" s="99">
        <f>IF(OR(AC1472="",N(L1472)=0),"",AC1472/L1472)</f>
        <v/>
      </c>
      <c r="AE1472" s="55">
        <f>IF(OR(AC1472="",N(R1472)=0),"",L1472/R1472)</f>
        <v/>
      </c>
      <c r="AF1472" s="100">
        <f>IF(OR(N(K1472)=0,N(J1472)+N(Q1472)=0),"",K1472-IF(N(J1472)&gt;0,J1472,Q1472))</f>
        <v/>
      </c>
      <c r="AG1472" s="99">
        <f>IF(B1472="","",IFERROR(AVERAGEIFS('QUALITY CONTROL'!$M$5:$M$304,'QUALITY CONTROL'!$B$5:$B$304,A1472),""))</f>
        <v/>
      </c>
      <c r="AH1472" s="51">
        <f>IF(B1472="","",DATE(YEAR(B1472),MONTH(B1472),1))</f>
        <v/>
      </c>
      <c r="AI1472" s="49">
        <f>IF(D1472="","",IFERROR(INDEX('CUSTOMERS'!$E$5:$E$404,MATCH(D1472,'CUSTOMERS'!$B$5:$B$404,0)),""))</f>
        <v/>
      </c>
      <c r="AJ1472" s="49">
        <f>IF(B1472="","",N(C1472))</f>
        <v/>
      </c>
      <c r="AK1472" s="49">
        <f>IF(OR(B1472="",O1472="Cancelled",O1472="Rescheduled"),"",B1472&amp;"|"&amp;(COUNTIFS('JOBS'!$B$5:$B$1504,B1472,'JOBS'!$AJ$5:$AJ$1504,"&lt;"&amp;AJ1472,'JOBS'!$O$5:$O$1504,"&lt;&gt;Cancelled",'JOBS'!$O$5:$O$1504,"&lt;&gt;Rescheduled")+COUNTIFS($B$5:B1472,B1472,$AJ$5:AJ1472,AJ1472,$O$5:O1472,"&lt;&gt;Cancelled",$O$5:O1472,"&lt;&gt;Rescheduled")))</f>
        <v/>
      </c>
      <c r="AL1472" s="49">
        <f>IF(N(U1472)&lt;=0.005,"",COUNTIFS('JOBS'!$U$5:$U$1504,"&gt;0.005",'JOBS'!$B$5:$B$1504,"&lt;"&amp;B1472)+COUNTIFS($U$5:U1472,"&gt;0.005",$B$5:B1472,B1472))</f>
        <v/>
      </c>
    </row>
    <row r="1473">
      <c r="A1473" s="46" t="inlineStr">
        <is>
          <t>J-1469</t>
        </is>
      </c>
      <c r="B1473" s="47" t="n"/>
      <c r="C1473" s="94" t="n"/>
      <c r="D1473" s="38" t="n"/>
      <c r="E1473" s="38" t="n"/>
      <c r="F1473" s="38" t="n"/>
      <c r="G1473" s="38" t="n"/>
      <c r="H1473" s="38" t="n"/>
      <c r="I1473" s="57" t="n"/>
      <c r="J1473" s="95" t="n"/>
      <c r="K1473" s="95" t="n"/>
      <c r="L1473" s="48" t="n"/>
      <c r="M1473" s="96" t="n"/>
      <c r="N1473" s="48" t="n"/>
      <c r="O1473" s="38" t="n"/>
      <c r="P1473" s="38" t="n"/>
      <c r="Q1473" s="97">
        <f>IF(OR(F1473="",E1473=""),"",IFERROR(IF(INDEX('PROPERTIES'!$F$5:$F$404,MATCH(E1473,'PROPERTIES'!$B$5:$B$404,0))=0,"",ROUND((INDEX('PROPERTIES'!$F$5:$F$404,MATCH(E1473,'PROPERTIES'!$B$5:$B$404,0))/INDEX('PRICING'!$C$7:$C$16,MATCH(F1473,'PRICING'!$A$7:$A$16,0))+INDEX('PROPERTIES'!$G$5:$G$404,MATCH(E1473,'PROPERTIES'!$B$5:$B$404,0))*INDEX('PRICING'!$D$7:$D$16,MATCH(F1473,'PRICING'!$A$7:$A$16,0))/60+INDEX('PROPERTIES'!$H$5:$H$404,MATCH(E1473,'PROPERTIES'!$B$5:$B$404,0))*INDEX('PRICING'!$E$7:$E$16,MATCH(F1473,'PRICING'!$A$7:$A$16,0))/60+INDEX('PRICING'!$F$7:$F$16,MATCH(F1473,'PRICING'!$A$7:$A$16,0))/60),2)),""))</f>
        <v/>
      </c>
      <c r="R1473" s="97">
        <f>IF(B1473="","",IF(N(K1473)&gt;0,K1473,IF(N(J1473)&gt;0,J1473,N(Q1473))))</f>
        <v/>
      </c>
      <c r="S1473" s="55">
        <f>IF(L1473="","",ROUND(L1473*(1+N(M1473)),2))</f>
        <v/>
      </c>
      <c r="T1473" s="55">
        <f>IF(B1473="","",SUMIFS('REVENUE'!$C$5:$C$1504,'REVENUE'!$B$5:$B$1504,A1473))</f>
        <v/>
      </c>
      <c r="U1473" s="55">
        <f>IF(B1473="","",IF(O1473="Completed",MAX(0,N(S1473)-T1473),""))</f>
        <v/>
      </c>
      <c r="V1473" s="49">
        <f>IF(B1473="","",IF(O1473&lt;&gt;"Completed",IF(T1473&gt;0,"Deposit","—"),IF(U1473&lt;=0.005,"Paid",IF(T1473&gt;0,"Partial","Unpaid"))))</f>
        <v/>
      </c>
      <c r="W1473" s="55">
        <f>IF(B1473="","",IFERROR(1/(1/INDEX('STAFF &amp; TASKS'!$C$5:$C$24,MATCH(H1473,'STAFF &amp; TASKS'!$A$5:$A$24,0))),PayRate))</f>
        <v/>
      </c>
      <c r="X1473" s="55">
        <f>IF(B1473="","",IF(OR(O1473="Cancelled",O1473="No-Show"),"",ROUND(R1473*W1473*(1+Burden),2)))</f>
        <v/>
      </c>
      <c r="Y1473" s="55">
        <f>IF(B1473="","",IF(OR(O1473="Cancelled",O1473="No-Show"),"",IF(N1473&lt;&gt;"",N1473,ROUND(R1473*SupHr*IFERROR(INDEX('PRICING'!$G$7:$G$16,MATCH(F1473,'PRICING'!$A$7:$A$16,0)),1),2))))</f>
        <v/>
      </c>
      <c r="Z1473" s="98">
        <f>IF(B1473="","",SUMIFS('MILEAGE'!$J$5:$J$1504,'MILEAGE'!$B$5:$B$1504,A1473))</f>
        <v/>
      </c>
      <c r="AA1473" s="55">
        <f>IF(B1473="","",ROUND(Z1473*MileRate,2))</f>
        <v/>
      </c>
      <c r="AB1473" s="55">
        <f>IF(B1473="","",SUMIFS('REVENUE'!$J$5:$J$1504,'REVENUE'!$B$5:$B$1504,A1473))</f>
        <v/>
      </c>
      <c r="AC1473" s="55">
        <f>IF(L1473="","",IF(OR(O1473="Cancelled",O1473="No-Show"),"",L1473-N(X1473)-N(Y1473)-AA1473-AB1473))</f>
        <v/>
      </c>
      <c r="AD1473" s="99">
        <f>IF(OR(AC1473="",N(L1473)=0),"",AC1473/L1473)</f>
        <v/>
      </c>
      <c r="AE1473" s="55">
        <f>IF(OR(AC1473="",N(R1473)=0),"",L1473/R1473)</f>
        <v/>
      </c>
      <c r="AF1473" s="100">
        <f>IF(OR(N(K1473)=0,N(J1473)+N(Q1473)=0),"",K1473-IF(N(J1473)&gt;0,J1473,Q1473))</f>
        <v/>
      </c>
      <c r="AG1473" s="99">
        <f>IF(B1473="","",IFERROR(AVERAGEIFS('QUALITY CONTROL'!$M$5:$M$304,'QUALITY CONTROL'!$B$5:$B$304,A1473),""))</f>
        <v/>
      </c>
      <c r="AH1473" s="51">
        <f>IF(B1473="","",DATE(YEAR(B1473),MONTH(B1473),1))</f>
        <v/>
      </c>
      <c r="AI1473" s="49">
        <f>IF(D1473="","",IFERROR(INDEX('CUSTOMERS'!$E$5:$E$404,MATCH(D1473,'CUSTOMERS'!$B$5:$B$404,0)),""))</f>
        <v/>
      </c>
      <c r="AJ1473" s="49">
        <f>IF(B1473="","",N(C1473))</f>
        <v/>
      </c>
      <c r="AK1473" s="49">
        <f>IF(OR(B1473="",O1473="Cancelled",O1473="Rescheduled"),"",B1473&amp;"|"&amp;(COUNTIFS('JOBS'!$B$5:$B$1504,B1473,'JOBS'!$AJ$5:$AJ$1504,"&lt;"&amp;AJ1473,'JOBS'!$O$5:$O$1504,"&lt;&gt;Cancelled",'JOBS'!$O$5:$O$1504,"&lt;&gt;Rescheduled")+COUNTIFS($B$5:B1473,B1473,$AJ$5:AJ1473,AJ1473,$O$5:O1473,"&lt;&gt;Cancelled",$O$5:O1473,"&lt;&gt;Rescheduled")))</f>
        <v/>
      </c>
      <c r="AL1473" s="49">
        <f>IF(N(U1473)&lt;=0.005,"",COUNTIFS('JOBS'!$U$5:$U$1504,"&gt;0.005",'JOBS'!$B$5:$B$1504,"&lt;"&amp;B1473)+COUNTIFS($U$5:U1473,"&gt;0.005",$B$5:B1473,B1473))</f>
        <v/>
      </c>
    </row>
    <row r="1474">
      <c r="A1474" s="46" t="inlineStr">
        <is>
          <t>J-1470</t>
        </is>
      </c>
      <c r="B1474" s="47" t="n"/>
      <c r="C1474" s="94" t="n"/>
      <c r="D1474" s="38" t="n"/>
      <c r="E1474" s="38" t="n"/>
      <c r="F1474" s="38" t="n"/>
      <c r="G1474" s="38" t="n"/>
      <c r="H1474" s="38" t="n"/>
      <c r="I1474" s="57" t="n"/>
      <c r="J1474" s="95" t="n"/>
      <c r="K1474" s="95" t="n"/>
      <c r="L1474" s="48" t="n"/>
      <c r="M1474" s="96" t="n"/>
      <c r="N1474" s="48" t="n"/>
      <c r="O1474" s="38" t="n"/>
      <c r="P1474" s="38" t="n"/>
      <c r="Q1474" s="97">
        <f>IF(OR(F1474="",E1474=""),"",IFERROR(IF(INDEX('PROPERTIES'!$F$5:$F$404,MATCH(E1474,'PROPERTIES'!$B$5:$B$404,0))=0,"",ROUND((INDEX('PROPERTIES'!$F$5:$F$404,MATCH(E1474,'PROPERTIES'!$B$5:$B$404,0))/INDEX('PRICING'!$C$7:$C$16,MATCH(F1474,'PRICING'!$A$7:$A$16,0))+INDEX('PROPERTIES'!$G$5:$G$404,MATCH(E1474,'PROPERTIES'!$B$5:$B$404,0))*INDEX('PRICING'!$D$7:$D$16,MATCH(F1474,'PRICING'!$A$7:$A$16,0))/60+INDEX('PROPERTIES'!$H$5:$H$404,MATCH(E1474,'PROPERTIES'!$B$5:$B$404,0))*INDEX('PRICING'!$E$7:$E$16,MATCH(F1474,'PRICING'!$A$7:$A$16,0))/60+INDEX('PRICING'!$F$7:$F$16,MATCH(F1474,'PRICING'!$A$7:$A$16,0))/60),2)),""))</f>
        <v/>
      </c>
      <c r="R1474" s="97">
        <f>IF(B1474="","",IF(N(K1474)&gt;0,K1474,IF(N(J1474)&gt;0,J1474,N(Q1474))))</f>
        <v/>
      </c>
      <c r="S1474" s="55">
        <f>IF(L1474="","",ROUND(L1474*(1+N(M1474)),2))</f>
        <v/>
      </c>
      <c r="T1474" s="55">
        <f>IF(B1474="","",SUMIFS('REVENUE'!$C$5:$C$1504,'REVENUE'!$B$5:$B$1504,A1474))</f>
        <v/>
      </c>
      <c r="U1474" s="55">
        <f>IF(B1474="","",IF(O1474="Completed",MAX(0,N(S1474)-T1474),""))</f>
        <v/>
      </c>
      <c r="V1474" s="49">
        <f>IF(B1474="","",IF(O1474&lt;&gt;"Completed",IF(T1474&gt;0,"Deposit","—"),IF(U1474&lt;=0.005,"Paid",IF(T1474&gt;0,"Partial","Unpaid"))))</f>
        <v/>
      </c>
      <c r="W1474" s="55">
        <f>IF(B1474="","",IFERROR(1/(1/INDEX('STAFF &amp; TASKS'!$C$5:$C$24,MATCH(H1474,'STAFF &amp; TASKS'!$A$5:$A$24,0))),PayRate))</f>
        <v/>
      </c>
      <c r="X1474" s="55">
        <f>IF(B1474="","",IF(OR(O1474="Cancelled",O1474="No-Show"),"",ROUND(R1474*W1474*(1+Burden),2)))</f>
        <v/>
      </c>
      <c r="Y1474" s="55">
        <f>IF(B1474="","",IF(OR(O1474="Cancelled",O1474="No-Show"),"",IF(N1474&lt;&gt;"",N1474,ROUND(R1474*SupHr*IFERROR(INDEX('PRICING'!$G$7:$G$16,MATCH(F1474,'PRICING'!$A$7:$A$16,0)),1),2))))</f>
        <v/>
      </c>
      <c r="Z1474" s="98">
        <f>IF(B1474="","",SUMIFS('MILEAGE'!$J$5:$J$1504,'MILEAGE'!$B$5:$B$1504,A1474))</f>
        <v/>
      </c>
      <c r="AA1474" s="55">
        <f>IF(B1474="","",ROUND(Z1474*MileRate,2))</f>
        <v/>
      </c>
      <c r="AB1474" s="55">
        <f>IF(B1474="","",SUMIFS('REVENUE'!$J$5:$J$1504,'REVENUE'!$B$5:$B$1504,A1474))</f>
        <v/>
      </c>
      <c r="AC1474" s="55">
        <f>IF(L1474="","",IF(OR(O1474="Cancelled",O1474="No-Show"),"",L1474-N(X1474)-N(Y1474)-AA1474-AB1474))</f>
        <v/>
      </c>
      <c r="AD1474" s="99">
        <f>IF(OR(AC1474="",N(L1474)=0),"",AC1474/L1474)</f>
        <v/>
      </c>
      <c r="AE1474" s="55">
        <f>IF(OR(AC1474="",N(R1474)=0),"",L1474/R1474)</f>
        <v/>
      </c>
      <c r="AF1474" s="100">
        <f>IF(OR(N(K1474)=0,N(J1474)+N(Q1474)=0),"",K1474-IF(N(J1474)&gt;0,J1474,Q1474))</f>
        <v/>
      </c>
      <c r="AG1474" s="99">
        <f>IF(B1474="","",IFERROR(AVERAGEIFS('QUALITY CONTROL'!$M$5:$M$304,'QUALITY CONTROL'!$B$5:$B$304,A1474),""))</f>
        <v/>
      </c>
      <c r="AH1474" s="51">
        <f>IF(B1474="","",DATE(YEAR(B1474),MONTH(B1474),1))</f>
        <v/>
      </c>
      <c r="AI1474" s="49">
        <f>IF(D1474="","",IFERROR(INDEX('CUSTOMERS'!$E$5:$E$404,MATCH(D1474,'CUSTOMERS'!$B$5:$B$404,0)),""))</f>
        <v/>
      </c>
      <c r="AJ1474" s="49">
        <f>IF(B1474="","",N(C1474))</f>
        <v/>
      </c>
      <c r="AK1474" s="49">
        <f>IF(OR(B1474="",O1474="Cancelled",O1474="Rescheduled"),"",B1474&amp;"|"&amp;(COUNTIFS('JOBS'!$B$5:$B$1504,B1474,'JOBS'!$AJ$5:$AJ$1504,"&lt;"&amp;AJ1474,'JOBS'!$O$5:$O$1504,"&lt;&gt;Cancelled",'JOBS'!$O$5:$O$1504,"&lt;&gt;Rescheduled")+COUNTIFS($B$5:B1474,B1474,$AJ$5:AJ1474,AJ1474,$O$5:O1474,"&lt;&gt;Cancelled",$O$5:O1474,"&lt;&gt;Rescheduled")))</f>
        <v/>
      </c>
      <c r="AL1474" s="49">
        <f>IF(N(U1474)&lt;=0.005,"",COUNTIFS('JOBS'!$U$5:$U$1504,"&gt;0.005",'JOBS'!$B$5:$B$1504,"&lt;"&amp;B1474)+COUNTIFS($U$5:U1474,"&gt;0.005",$B$5:B1474,B1474))</f>
        <v/>
      </c>
    </row>
    <row r="1475">
      <c r="A1475" s="46" t="inlineStr">
        <is>
          <t>J-1471</t>
        </is>
      </c>
      <c r="B1475" s="47" t="n"/>
      <c r="C1475" s="94" t="n"/>
      <c r="D1475" s="38" t="n"/>
      <c r="E1475" s="38" t="n"/>
      <c r="F1475" s="38" t="n"/>
      <c r="G1475" s="38" t="n"/>
      <c r="H1475" s="38" t="n"/>
      <c r="I1475" s="57" t="n"/>
      <c r="J1475" s="95" t="n"/>
      <c r="K1475" s="95" t="n"/>
      <c r="L1475" s="48" t="n"/>
      <c r="M1475" s="96" t="n"/>
      <c r="N1475" s="48" t="n"/>
      <c r="O1475" s="38" t="n"/>
      <c r="P1475" s="38" t="n"/>
      <c r="Q1475" s="97">
        <f>IF(OR(F1475="",E1475=""),"",IFERROR(IF(INDEX('PROPERTIES'!$F$5:$F$404,MATCH(E1475,'PROPERTIES'!$B$5:$B$404,0))=0,"",ROUND((INDEX('PROPERTIES'!$F$5:$F$404,MATCH(E1475,'PROPERTIES'!$B$5:$B$404,0))/INDEX('PRICING'!$C$7:$C$16,MATCH(F1475,'PRICING'!$A$7:$A$16,0))+INDEX('PROPERTIES'!$G$5:$G$404,MATCH(E1475,'PROPERTIES'!$B$5:$B$404,0))*INDEX('PRICING'!$D$7:$D$16,MATCH(F1475,'PRICING'!$A$7:$A$16,0))/60+INDEX('PROPERTIES'!$H$5:$H$404,MATCH(E1475,'PROPERTIES'!$B$5:$B$404,0))*INDEX('PRICING'!$E$7:$E$16,MATCH(F1475,'PRICING'!$A$7:$A$16,0))/60+INDEX('PRICING'!$F$7:$F$16,MATCH(F1475,'PRICING'!$A$7:$A$16,0))/60),2)),""))</f>
        <v/>
      </c>
      <c r="R1475" s="97">
        <f>IF(B1475="","",IF(N(K1475)&gt;0,K1475,IF(N(J1475)&gt;0,J1475,N(Q1475))))</f>
        <v/>
      </c>
      <c r="S1475" s="55">
        <f>IF(L1475="","",ROUND(L1475*(1+N(M1475)),2))</f>
        <v/>
      </c>
      <c r="T1475" s="55">
        <f>IF(B1475="","",SUMIFS('REVENUE'!$C$5:$C$1504,'REVENUE'!$B$5:$B$1504,A1475))</f>
        <v/>
      </c>
      <c r="U1475" s="55">
        <f>IF(B1475="","",IF(O1475="Completed",MAX(0,N(S1475)-T1475),""))</f>
        <v/>
      </c>
      <c r="V1475" s="49">
        <f>IF(B1475="","",IF(O1475&lt;&gt;"Completed",IF(T1475&gt;0,"Deposit","—"),IF(U1475&lt;=0.005,"Paid",IF(T1475&gt;0,"Partial","Unpaid"))))</f>
        <v/>
      </c>
      <c r="W1475" s="55">
        <f>IF(B1475="","",IFERROR(1/(1/INDEX('STAFF &amp; TASKS'!$C$5:$C$24,MATCH(H1475,'STAFF &amp; TASKS'!$A$5:$A$24,0))),PayRate))</f>
        <v/>
      </c>
      <c r="X1475" s="55">
        <f>IF(B1475="","",IF(OR(O1475="Cancelled",O1475="No-Show"),"",ROUND(R1475*W1475*(1+Burden),2)))</f>
        <v/>
      </c>
      <c r="Y1475" s="55">
        <f>IF(B1475="","",IF(OR(O1475="Cancelled",O1475="No-Show"),"",IF(N1475&lt;&gt;"",N1475,ROUND(R1475*SupHr*IFERROR(INDEX('PRICING'!$G$7:$G$16,MATCH(F1475,'PRICING'!$A$7:$A$16,0)),1),2))))</f>
        <v/>
      </c>
      <c r="Z1475" s="98">
        <f>IF(B1475="","",SUMIFS('MILEAGE'!$J$5:$J$1504,'MILEAGE'!$B$5:$B$1504,A1475))</f>
        <v/>
      </c>
      <c r="AA1475" s="55">
        <f>IF(B1475="","",ROUND(Z1475*MileRate,2))</f>
        <v/>
      </c>
      <c r="AB1475" s="55">
        <f>IF(B1475="","",SUMIFS('REVENUE'!$J$5:$J$1504,'REVENUE'!$B$5:$B$1504,A1475))</f>
        <v/>
      </c>
      <c r="AC1475" s="55">
        <f>IF(L1475="","",IF(OR(O1475="Cancelled",O1475="No-Show"),"",L1475-N(X1475)-N(Y1475)-AA1475-AB1475))</f>
        <v/>
      </c>
      <c r="AD1475" s="99">
        <f>IF(OR(AC1475="",N(L1475)=0),"",AC1475/L1475)</f>
        <v/>
      </c>
      <c r="AE1475" s="55">
        <f>IF(OR(AC1475="",N(R1475)=0),"",L1475/R1475)</f>
        <v/>
      </c>
      <c r="AF1475" s="100">
        <f>IF(OR(N(K1475)=0,N(J1475)+N(Q1475)=0),"",K1475-IF(N(J1475)&gt;0,J1475,Q1475))</f>
        <v/>
      </c>
      <c r="AG1475" s="99">
        <f>IF(B1475="","",IFERROR(AVERAGEIFS('QUALITY CONTROL'!$M$5:$M$304,'QUALITY CONTROL'!$B$5:$B$304,A1475),""))</f>
        <v/>
      </c>
      <c r="AH1475" s="51">
        <f>IF(B1475="","",DATE(YEAR(B1475),MONTH(B1475),1))</f>
        <v/>
      </c>
      <c r="AI1475" s="49">
        <f>IF(D1475="","",IFERROR(INDEX('CUSTOMERS'!$E$5:$E$404,MATCH(D1475,'CUSTOMERS'!$B$5:$B$404,0)),""))</f>
        <v/>
      </c>
      <c r="AJ1475" s="49">
        <f>IF(B1475="","",N(C1475))</f>
        <v/>
      </c>
      <c r="AK1475" s="49">
        <f>IF(OR(B1475="",O1475="Cancelled",O1475="Rescheduled"),"",B1475&amp;"|"&amp;(COUNTIFS('JOBS'!$B$5:$B$1504,B1475,'JOBS'!$AJ$5:$AJ$1504,"&lt;"&amp;AJ1475,'JOBS'!$O$5:$O$1504,"&lt;&gt;Cancelled",'JOBS'!$O$5:$O$1504,"&lt;&gt;Rescheduled")+COUNTIFS($B$5:B1475,B1475,$AJ$5:AJ1475,AJ1475,$O$5:O1475,"&lt;&gt;Cancelled",$O$5:O1475,"&lt;&gt;Rescheduled")))</f>
        <v/>
      </c>
      <c r="AL1475" s="49">
        <f>IF(N(U1475)&lt;=0.005,"",COUNTIFS('JOBS'!$U$5:$U$1504,"&gt;0.005",'JOBS'!$B$5:$B$1504,"&lt;"&amp;B1475)+COUNTIFS($U$5:U1475,"&gt;0.005",$B$5:B1475,B1475))</f>
        <v/>
      </c>
    </row>
    <row r="1476">
      <c r="A1476" s="46" t="inlineStr">
        <is>
          <t>J-1472</t>
        </is>
      </c>
      <c r="B1476" s="47" t="n"/>
      <c r="C1476" s="94" t="n"/>
      <c r="D1476" s="38" t="n"/>
      <c r="E1476" s="38" t="n"/>
      <c r="F1476" s="38" t="n"/>
      <c r="G1476" s="38" t="n"/>
      <c r="H1476" s="38" t="n"/>
      <c r="I1476" s="57" t="n"/>
      <c r="J1476" s="95" t="n"/>
      <c r="K1476" s="95" t="n"/>
      <c r="L1476" s="48" t="n"/>
      <c r="M1476" s="96" t="n"/>
      <c r="N1476" s="48" t="n"/>
      <c r="O1476" s="38" t="n"/>
      <c r="P1476" s="38" t="n"/>
      <c r="Q1476" s="97">
        <f>IF(OR(F1476="",E1476=""),"",IFERROR(IF(INDEX('PROPERTIES'!$F$5:$F$404,MATCH(E1476,'PROPERTIES'!$B$5:$B$404,0))=0,"",ROUND((INDEX('PROPERTIES'!$F$5:$F$404,MATCH(E1476,'PROPERTIES'!$B$5:$B$404,0))/INDEX('PRICING'!$C$7:$C$16,MATCH(F1476,'PRICING'!$A$7:$A$16,0))+INDEX('PROPERTIES'!$G$5:$G$404,MATCH(E1476,'PROPERTIES'!$B$5:$B$404,0))*INDEX('PRICING'!$D$7:$D$16,MATCH(F1476,'PRICING'!$A$7:$A$16,0))/60+INDEX('PROPERTIES'!$H$5:$H$404,MATCH(E1476,'PROPERTIES'!$B$5:$B$404,0))*INDEX('PRICING'!$E$7:$E$16,MATCH(F1476,'PRICING'!$A$7:$A$16,0))/60+INDEX('PRICING'!$F$7:$F$16,MATCH(F1476,'PRICING'!$A$7:$A$16,0))/60),2)),""))</f>
        <v/>
      </c>
      <c r="R1476" s="97">
        <f>IF(B1476="","",IF(N(K1476)&gt;0,K1476,IF(N(J1476)&gt;0,J1476,N(Q1476))))</f>
        <v/>
      </c>
      <c r="S1476" s="55">
        <f>IF(L1476="","",ROUND(L1476*(1+N(M1476)),2))</f>
        <v/>
      </c>
      <c r="T1476" s="55">
        <f>IF(B1476="","",SUMIFS('REVENUE'!$C$5:$C$1504,'REVENUE'!$B$5:$B$1504,A1476))</f>
        <v/>
      </c>
      <c r="U1476" s="55">
        <f>IF(B1476="","",IF(O1476="Completed",MAX(0,N(S1476)-T1476),""))</f>
        <v/>
      </c>
      <c r="V1476" s="49">
        <f>IF(B1476="","",IF(O1476&lt;&gt;"Completed",IF(T1476&gt;0,"Deposit","—"),IF(U1476&lt;=0.005,"Paid",IF(T1476&gt;0,"Partial","Unpaid"))))</f>
        <v/>
      </c>
      <c r="W1476" s="55">
        <f>IF(B1476="","",IFERROR(1/(1/INDEX('STAFF &amp; TASKS'!$C$5:$C$24,MATCH(H1476,'STAFF &amp; TASKS'!$A$5:$A$24,0))),PayRate))</f>
        <v/>
      </c>
      <c r="X1476" s="55">
        <f>IF(B1476="","",IF(OR(O1476="Cancelled",O1476="No-Show"),"",ROUND(R1476*W1476*(1+Burden),2)))</f>
        <v/>
      </c>
      <c r="Y1476" s="55">
        <f>IF(B1476="","",IF(OR(O1476="Cancelled",O1476="No-Show"),"",IF(N1476&lt;&gt;"",N1476,ROUND(R1476*SupHr*IFERROR(INDEX('PRICING'!$G$7:$G$16,MATCH(F1476,'PRICING'!$A$7:$A$16,0)),1),2))))</f>
        <v/>
      </c>
      <c r="Z1476" s="98">
        <f>IF(B1476="","",SUMIFS('MILEAGE'!$J$5:$J$1504,'MILEAGE'!$B$5:$B$1504,A1476))</f>
        <v/>
      </c>
      <c r="AA1476" s="55">
        <f>IF(B1476="","",ROUND(Z1476*MileRate,2))</f>
        <v/>
      </c>
      <c r="AB1476" s="55">
        <f>IF(B1476="","",SUMIFS('REVENUE'!$J$5:$J$1504,'REVENUE'!$B$5:$B$1504,A1476))</f>
        <v/>
      </c>
      <c r="AC1476" s="55">
        <f>IF(L1476="","",IF(OR(O1476="Cancelled",O1476="No-Show"),"",L1476-N(X1476)-N(Y1476)-AA1476-AB1476))</f>
        <v/>
      </c>
      <c r="AD1476" s="99">
        <f>IF(OR(AC1476="",N(L1476)=0),"",AC1476/L1476)</f>
        <v/>
      </c>
      <c r="AE1476" s="55">
        <f>IF(OR(AC1476="",N(R1476)=0),"",L1476/R1476)</f>
        <v/>
      </c>
      <c r="AF1476" s="100">
        <f>IF(OR(N(K1476)=0,N(J1476)+N(Q1476)=0),"",K1476-IF(N(J1476)&gt;0,J1476,Q1476))</f>
        <v/>
      </c>
      <c r="AG1476" s="99">
        <f>IF(B1476="","",IFERROR(AVERAGEIFS('QUALITY CONTROL'!$M$5:$M$304,'QUALITY CONTROL'!$B$5:$B$304,A1476),""))</f>
        <v/>
      </c>
      <c r="AH1476" s="51">
        <f>IF(B1476="","",DATE(YEAR(B1476),MONTH(B1476),1))</f>
        <v/>
      </c>
      <c r="AI1476" s="49">
        <f>IF(D1476="","",IFERROR(INDEX('CUSTOMERS'!$E$5:$E$404,MATCH(D1476,'CUSTOMERS'!$B$5:$B$404,0)),""))</f>
        <v/>
      </c>
      <c r="AJ1476" s="49">
        <f>IF(B1476="","",N(C1476))</f>
        <v/>
      </c>
      <c r="AK1476" s="49">
        <f>IF(OR(B1476="",O1476="Cancelled",O1476="Rescheduled"),"",B1476&amp;"|"&amp;(COUNTIFS('JOBS'!$B$5:$B$1504,B1476,'JOBS'!$AJ$5:$AJ$1504,"&lt;"&amp;AJ1476,'JOBS'!$O$5:$O$1504,"&lt;&gt;Cancelled",'JOBS'!$O$5:$O$1504,"&lt;&gt;Rescheduled")+COUNTIFS($B$5:B1476,B1476,$AJ$5:AJ1476,AJ1476,$O$5:O1476,"&lt;&gt;Cancelled",$O$5:O1476,"&lt;&gt;Rescheduled")))</f>
        <v/>
      </c>
      <c r="AL1476" s="49">
        <f>IF(N(U1476)&lt;=0.005,"",COUNTIFS('JOBS'!$U$5:$U$1504,"&gt;0.005",'JOBS'!$B$5:$B$1504,"&lt;"&amp;B1476)+COUNTIFS($U$5:U1476,"&gt;0.005",$B$5:B1476,B1476))</f>
        <v/>
      </c>
    </row>
    <row r="1477">
      <c r="A1477" s="46" t="inlineStr">
        <is>
          <t>J-1473</t>
        </is>
      </c>
      <c r="B1477" s="47" t="n"/>
      <c r="C1477" s="94" t="n"/>
      <c r="D1477" s="38" t="n"/>
      <c r="E1477" s="38" t="n"/>
      <c r="F1477" s="38" t="n"/>
      <c r="G1477" s="38" t="n"/>
      <c r="H1477" s="38" t="n"/>
      <c r="I1477" s="57" t="n"/>
      <c r="J1477" s="95" t="n"/>
      <c r="K1477" s="95" t="n"/>
      <c r="L1477" s="48" t="n"/>
      <c r="M1477" s="96" t="n"/>
      <c r="N1477" s="48" t="n"/>
      <c r="O1477" s="38" t="n"/>
      <c r="P1477" s="38" t="n"/>
      <c r="Q1477" s="97">
        <f>IF(OR(F1477="",E1477=""),"",IFERROR(IF(INDEX('PROPERTIES'!$F$5:$F$404,MATCH(E1477,'PROPERTIES'!$B$5:$B$404,0))=0,"",ROUND((INDEX('PROPERTIES'!$F$5:$F$404,MATCH(E1477,'PROPERTIES'!$B$5:$B$404,0))/INDEX('PRICING'!$C$7:$C$16,MATCH(F1477,'PRICING'!$A$7:$A$16,0))+INDEX('PROPERTIES'!$G$5:$G$404,MATCH(E1477,'PROPERTIES'!$B$5:$B$404,0))*INDEX('PRICING'!$D$7:$D$16,MATCH(F1477,'PRICING'!$A$7:$A$16,0))/60+INDEX('PROPERTIES'!$H$5:$H$404,MATCH(E1477,'PROPERTIES'!$B$5:$B$404,0))*INDEX('PRICING'!$E$7:$E$16,MATCH(F1477,'PRICING'!$A$7:$A$16,0))/60+INDEX('PRICING'!$F$7:$F$16,MATCH(F1477,'PRICING'!$A$7:$A$16,0))/60),2)),""))</f>
        <v/>
      </c>
      <c r="R1477" s="97">
        <f>IF(B1477="","",IF(N(K1477)&gt;0,K1477,IF(N(J1477)&gt;0,J1477,N(Q1477))))</f>
        <v/>
      </c>
      <c r="S1477" s="55">
        <f>IF(L1477="","",ROUND(L1477*(1+N(M1477)),2))</f>
        <v/>
      </c>
      <c r="T1477" s="55">
        <f>IF(B1477="","",SUMIFS('REVENUE'!$C$5:$C$1504,'REVENUE'!$B$5:$B$1504,A1477))</f>
        <v/>
      </c>
      <c r="U1477" s="55">
        <f>IF(B1477="","",IF(O1477="Completed",MAX(0,N(S1477)-T1477),""))</f>
        <v/>
      </c>
      <c r="V1477" s="49">
        <f>IF(B1477="","",IF(O1477&lt;&gt;"Completed",IF(T1477&gt;0,"Deposit","—"),IF(U1477&lt;=0.005,"Paid",IF(T1477&gt;0,"Partial","Unpaid"))))</f>
        <v/>
      </c>
      <c r="W1477" s="55">
        <f>IF(B1477="","",IFERROR(1/(1/INDEX('STAFF &amp; TASKS'!$C$5:$C$24,MATCH(H1477,'STAFF &amp; TASKS'!$A$5:$A$24,0))),PayRate))</f>
        <v/>
      </c>
      <c r="X1477" s="55">
        <f>IF(B1477="","",IF(OR(O1477="Cancelled",O1477="No-Show"),"",ROUND(R1477*W1477*(1+Burden),2)))</f>
        <v/>
      </c>
      <c r="Y1477" s="55">
        <f>IF(B1477="","",IF(OR(O1477="Cancelled",O1477="No-Show"),"",IF(N1477&lt;&gt;"",N1477,ROUND(R1477*SupHr*IFERROR(INDEX('PRICING'!$G$7:$G$16,MATCH(F1477,'PRICING'!$A$7:$A$16,0)),1),2))))</f>
        <v/>
      </c>
      <c r="Z1477" s="98">
        <f>IF(B1477="","",SUMIFS('MILEAGE'!$J$5:$J$1504,'MILEAGE'!$B$5:$B$1504,A1477))</f>
        <v/>
      </c>
      <c r="AA1477" s="55">
        <f>IF(B1477="","",ROUND(Z1477*MileRate,2))</f>
        <v/>
      </c>
      <c r="AB1477" s="55">
        <f>IF(B1477="","",SUMIFS('REVENUE'!$J$5:$J$1504,'REVENUE'!$B$5:$B$1504,A1477))</f>
        <v/>
      </c>
      <c r="AC1477" s="55">
        <f>IF(L1477="","",IF(OR(O1477="Cancelled",O1477="No-Show"),"",L1477-N(X1477)-N(Y1477)-AA1477-AB1477))</f>
        <v/>
      </c>
      <c r="AD1477" s="99">
        <f>IF(OR(AC1477="",N(L1477)=0),"",AC1477/L1477)</f>
        <v/>
      </c>
      <c r="AE1477" s="55">
        <f>IF(OR(AC1477="",N(R1477)=0),"",L1477/R1477)</f>
        <v/>
      </c>
      <c r="AF1477" s="100">
        <f>IF(OR(N(K1477)=0,N(J1477)+N(Q1477)=0),"",K1477-IF(N(J1477)&gt;0,J1477,Q1477))</f>
        <v/>
      </c>
      <c r="AG1477" s="99">
        <f>IF(B1477="","",IFERROR(AVERAGEIFS('QUALITY CONTROL'!$M$5:$M$304,'QUALITY CONTROL'!$B$5:$B$304,A1477),""))</f>
        <v/>
      </c>
      <c r="AH1477" s="51">
        <f>IF(B1477="","",DATE(YEAR(B1477),MONTH(B1477),1))</f>
        <v/>
      </c>
      <c r="AI1477" s="49">
        <f>IF(D1477="","",IFERROR(INDEX('CUSTOMERS'!$E$5:$E$404,MATCH(D1477,'CUSTOMERS'!$B$5:$B$404,0)),""))</f>
        <v/>
      </c>
      <c r="AJ1477" s="49">
        <f>IF(B1477="","",N(C1477))</f>
        <v/>
      </c>
      <c r="AK1477" s="49">
        <f>IF(OR(B1477="",O1477="Cancelled",O1477="Rescheduled"),"",B1477&amp;"|"&amp;(COUNTIFS('JOBS'!$B$5:$B$1504,B1477,'JOBS'!$AJ$5:$AJ$1504,"&lt;"&amp;AJ1477,'JOBS'!$O$5:$O$1504,"&lt;&gt;Cancelled",'JOBS'!$O$5:$O$1504,"&lt;&gt;Rescheduled")+COUNTIFS($B$5:B1477,B1477,$AJ$5:AJ1477,AJ1477,$O$5:O1477,"&lt;&gt;Cancelled",$O$5:O1477,"&lt;&gt;Rescheduled")))</f>
        <v/>
      </c>
      <c r="AL1477" s="49">
        <f>IF(N(U1477)&lt;=0.005,"",COUNTIFS('JOBS'!$U$5:$U$1504,"&gt;0.005",'JOBS'!$B$5:$B$1504,"&lt;"&amp;B1477)+COUNTIFS($U$5:U1477,"&gt;0.005",$B$5:B1477,B1477))</f>
        <v/>
      </c>
    </row>
    <row r="1478">
      <c r="A1478" s="46" t="inlineStr">
        <is>
          <t>J-1474</t>
        </is>
      </c>
      <c r="B1478" s="47" t="n"/>
      <c r="C1478" s="94" t="n"/>
      <c r="D1478" s="38" t="n"/>
      <c r="E1478" s="38" t="n"/>
      <c r="F1478" s="38" t="n"/>
      <c r="G1478" s="38" t="n"/>
      <c r="H1478" s="38" t="n"/>
      <c r="I1478" s="57" t="n"/>
      <c r="J1478" s="95" t="n"/>
      <c r="K1478" s="95" t="n"/>
      <c r="L1478" s="48" t="n"/>
      <c r="M1478" s="96" t="n"/>
      <c r="N1478" s="48" t="n"/>
      <c r="O1478" s="38" t="n"/>
      <c r="P1478" s="38" t="n"/>
      <c r="Q1478" s="97">
        <f>IF(OR(F1478="",E1478=""),"",IFERROR(IF(INDEX('PROPERTIES'!$F$5:$F$404,MATCH(E1478,'PROPERTIES'!$B$5:$B$404,0))=0,"",ROUND((INDEX('PROPERTIES'!$F$5:$F$404,MATCH(E1478,'PROPERTIES'!$B$5:$B$404,0))/INDEX('PRICING'!$C$7:$C$16,MATCH(F1478,'PRICING'!$A$7:$A$16,0))+INDEX('PROPERTIES'!$G$5:$G$404,MATCH(E1478,'PROPERTIES'!$B$5:$B$404,0))*INDEX('PRICING'!$D$7:$D$16,MATCH(F1478,'PRICING'!$A$7:$A$16,0))/60+INDEX('PROPERTIES'!$H$5:$H$404,MATCH(E1478,'PROPERTIES'!$B$5:$B$404,0))*INDEX('PRICING'!$E$7:$E$16,MATCH(F1478,'PRICING'!$A$7:$A$16,0))/60+INDEX('PRICING'!$F$7:$F$16,MATCH(F1478,'PRICING'!$A$7:$A$16,0))/60),2)),""))</f>
        <v/>
      </c>
      <c r="R1478" s="97">
        <f>IF(B1478="","",IF(N(K1478)&gt;0,K1478,IF(N(J1478)&gt;0,J1478,N(Q1478))))</f>
        <v/>
      </c>
      <c r="S1478" s="55">
        <f>IF(L1478="","",ROUND(L1478*(1+N(M1478)),2))</f>
        <v/>
      </c>
      <c r="T1478" s="55">
        <f>IF(B1478="","",SUMIFS('REVENUE'!$C$5:$C$1504,'REVENUE'!$B$5:$B$1504,A1478))</f>
        <v/>
      </c>
      <c r="U1478" s="55">
        <f>IF(B1478="","",IF(O1478="Completed",MAX(0,N(S1478)-T1478),""))</f>
        <v/>
      </c>
      <c r="V1478" s="49">
        <f>IF(B1478="","",IF(O1478&lt;&gt;"Completed",IF(T1478&gt;0,"Deposit","—"),IF(U1478&lt;=0.005,"Paid",IF(T1478&gt;0,"Partial","Unpaid"))))</f>
        <v/>
      </c>
      <c r="W1478" s="55">
        <f>IF(B1478="","",IFERROR(1/(1/INDEX('STAFF &amp; TASKS'!$C$5:$C$24,MATCH(H1478,'STAFF &amp; TASKS'!$A$5:$A$24,0))),PayRate))</f>
        <v/>
      </c>
      <c r="X1478" s="55">
        <f>IF(B1478="","",IF(OR(O1478="Cancelled",O1478="No-Show"),"",ROUND(R1478*W1478*(1+Burden),2)))</f>
        <v/>
      </c>
      <c r="Y1478" s="55">
        <f>IF(B1478="","",IF(OR(O1478="Cancelled",O1478="No-Show"),"",IF(N1478&lt;&gt;"",N1478,ROUND(R1478*SupHr*IFERROR(INDEX('PRICING'!$G$7:$G$16,MATCH(F1478,'PRICING'!$A$7:$A$16,0)),1),2))))</f>
        <v/>
      </c>
      <c r="Z1478" s="98">
        <f>IF(B1478="","",SUMIFS('MILEAGE'!$J$5:$J$1504,'MILEAGE'!$B$5:$B$1504,A1478))</f>
        <v/>
      </c>
      <c r="AA1478" s="55">
        <f>IF(B1478="","",ROUND(Z1478*MileRate,2))</f>
        <v/>
      </c>
      <c r="AB1478" s="55">
        <f>IF(B1478="","",SUMIFS('REVENUE'!$J$5:$J$1504,'REVENUE'!$B$5:$B$1504,A1478))</f>
        <v/>
      </c>
      <c r="AC1478" s="55">
        <f>IF(L1478="","",IF(OR(O1478="Cancelled",O1478="No-Show"),"",L1478-N(X1478)-N(Y1478)-AA1478-AB1478))</f>
        <v/>
      </c>
      <c r="AD1478" s="99">
        <f>IF(OR(AC1478="",N(L1478)=0),"",AC1478/L1478)</f>
        <v/>
      </c>
      <c r="AE1478" s="55">
        <f>IF(OR(AC1478="",N(R1478)=0),"",L1478/R1478)</f>
        <v/>
      </c>
      <c r="AF1478" s="100">
        <f>IF(OR(N(K1478)=0,N(J1478)+N(Q1478)=0),"",K1478-IF(N(J1478)&gt;0,J1478,Q1478))</f>
        <v/>
      </c>
      <c r="AG1478" s="99">
        <f>IF(B1478="","",IFERROR(AVERAGEIFS('QUALITY CONTROL'!$M$5:$M$304,'QUALITY CONTROL'!$B$5:$B$304,A1478),""))</f>
        <v/>
      </c>
      <c r="AH1478" s="51">
        <f>IF(B1478="","",DATE(YEAR(B1478),MONTH(B1478),1))</f>
        <v/>
      </c>
      <c r="AI1478" s="49">
        <f>IF(D1478="","",IFERROR(INDEX('CUSTOMERS'!$E$5:$E$404,MATCH(D1478,'CUSTOMERS'!$B$5:$B$404,0)),""))</f>
        <v/>
      </c>
      <c r="AJ1478" s="49">
        <f>IF(B1478="","",N(C1478))</f>
        <v/>
      </c>
      <c r="AK1478" s="49">
        <f>IF(OR(B1478="",O1478="Cancelled",O1478="Rescheduled"),"",B1478&amp;"|"&amp;(COUNTIFS('JOBS'!$B$5:$B$1504,B1478,'JOBS'!$AJ$5:$AJ$1504,"&lt;"&amp;AJ1478,'JOBS'!$O$5:$O$1504,"&lt;&gt;Cancelled",'JOBS'!$O$5:$O$1504,"&lt;&gt;Rescheduled")+COUNTIFS($B$5:B1478,B1478,$AJ$5:AJ1478,AJ1478,$O$5:O1478,"&lt;&gt;Cancelled",$O$5:O1478,"&lt;&gt;Rescheduled")))</f>
        <v/>
      </c>
      <c r="AL1478" s="49">
        <f>IF(N(U1478)&lt;=0.005,"",COUNTIFS('JOBS'!$U$5:$U$1504,"&gt;0.005",'JOBS'!$B$5:$B$1504,"&lt;"&amp;B1478)+COUNTIFS($U$5:U1478,"&gt;0.005",$B$5:B1478,B1478))</f>
        <v/>
      </c>
    </row>
    <row r="1479">
      <c r="A1479" s="46" t="inlineStr">
        <is>
          <t>J-1475</t>
        </is>
      </c>
      <c r="B1479" s="47" t="n"/>
      <c r="C1479" s="94" t="n"/>
      <c r="D1479" s="38" t="n"/>
      <c r="E1479" s="38" t="n"/>
      <c r="F1479" s="38" t="n"/>
      <c r="G1479" s="38" t="n"/>
      <c r="H1479" s="38" t="n"/>
      <c r="I1479" s="57" t="n"/>
      <c r="J1479" s="95" t="n"/>
      <c r="K1479" s="95" t="n"/>
      <c r="L1479" s="48" t="n"/>
      <c r="M1479" s="96" t="n"/>
      <c r="N1479" s="48" t="n"/>
      <c r="O1479" s="38" t="n"/>
      <c r="P1479" s="38" t="n"/>
      <c r="Q1479" s="97">
        <f>IF(OR(F1479="",E1479=""),"",IFERROR(IF(INDEX('PROPERTIES'!$F$5:$F$404,MATCH(E1479,'PROPERTIES'!$B$5:$B$404,0))=0,"",ROUND((INDEX('PROPERTIES'!$F$5:$F$404,MATCH(E1479,'PROPERTIES'!$B$5:$B$404,0))/INDEX('PRICING'!$C$7:$C$16,MATCH(F1479,'PRICING'!$A$7:$A$16,0))+INDEX('PROPERTIES'!$G$5:$G$404,MATCH(E1479,'PROPERTIES'!$B$5:$B$404,0))*INDEX('PRICING'!$D$7:$D$16,MATCH(F1479,'PRICING'!$A$7:$A$16,0))/60+INDEX('PROPERTIES'!$H$5:$H$404,MATCH(E1479,'PROPERTIES'!$B$5:$B$404,0))*INDEX('PRICING'!$E$7:$E$16,MATCH(F1479,'PRICING'!$A$7:$A$16,0))/60+INDEX('PRICING'!$F$7:$F$16,MATCH(F1479,'PRICING'!$A$7:$A$16,0))/60),2)),""))</f>
        <v/>
      </c>
      <c r="R1479" s="97">
        <f>IF(B1479="","",IF(N(K1479)&gt;0,K1479,IF(N(J1479)&gt;0,J1479,N(Q1479))))</f>
        <v/>
      </c>
      <c r="S1479" s="55">
        <f>IF(L1479="","",ROUND(L1479*(1+N(M1479)),2))</f>
        <v/>
      </c>
      <c r="T1479" s="55">
        <f>IF(B1479="","",SUMIFS('REVENUE'!$C$5:$C$1504,'REVENUE'!$B$5:$B$1504,A1479))</f>
        <v/>
      </c>
      <c r="U1479" s="55">
        <f>IF(B1479="","",IF(O1479="Completed",MAX(0,N(S1479)-T1479),""))</f>
        <v/>
      </c>
      <c r="V1479" s="49">
        <f>IF(B1479="","",IF(O1479&lt;&gt;"Completed",IF(T1479&gt;0,"Deposit","—"),IF(U1479&lt;=0.005,"Paid",IF(T1479&gt;0,"Partial","Unpaid"))))</f>
        <v/>
      </c>
      <c r="W1479" s="55">
        <f>IF(B1479="","",IFERROR(1/(1/INDEX('STAFF &amp; TASKS'!$C$5:$C$24,MATCH(H1479,'STAFF &amp; TASKS'!$A$5:$A$24,0))),PayRate))</f>
        <v/>
      </c>
      <c r="X1479" s="55">
        <f>IF(B1479="","",IF(OR(O1479="Cancelled",O1479="No-Show"),"",ROUND(R1479*W1479*(1+Burden),2)))</f>
        <v/>
      </c>
      <c r="Y1479" s="55">
        <f>IF(B1479="","",IF(OR(O1479="Cancelled",O1479="No-Show"),"",IF(N1479&lt;&gt;"",N1479,ROUND(R1479*SupHr*IFERROR(INDEX('PRICING'!$G$7:$G$16,MATCH(F1479,'PRICING'!$A$7:$A$16,0)),1),2))))</f>
        <v/>
      </c>
      <c r="Z1479" s="98">
        <f>IF(B1479="","",SUMIFS('MILEAGE'!$J$5:$J$1504,'MILEAGE'!$B$5:$B$1504,A1479))</f>
        <v/>
      </c>
      <c r="AA1479" s="55">
        <f>IF(B1479="","",ROUND(Z1479*MileRate,2))</f>
        <v/>
      </c>
      <c r="AB1479" s="55">
        <f>IF(B1479="","",SUMIFS('REVENUE'!$J$5:$J$1504,'REVENUE'!$B$5:$B$1504,A1479))</f>
        <v/>
      </c>
      <c r="AC1479" s="55">
        <f>IF(L1479="","",IF(OR(O1479="Cancelled",O1479="No-Show"),"",L1479-N(X1479)-N(Y1479)-AA1479-AB1479))</f>
        <v/>
      </c>
      <c r="AD1479" s="99">
        <f>IF(OR(AC1479="",N(L1479)=0),"",AC1479/L1479)</f>
        <v/>
      </c>
      <c r="AE1479" s="55">
        <f>IF(OR(AC1479="",N(R1479)=0),"",L1479/R1479)</f>
        <v/>
      </c>
      <c r="AF1479" s="100">
        <f>IF(OR(N(K1479)=0,N(J1479)+N(Q1479)=0),"",K1479-IF(N(J1479)&gt;0,J1479,Q1479))</f>
        <v/>
      </c>
      <c r="AG1479" s="99">
        <f>IF(B1479="","",IFERROR(AVERAGEIFS('QUALITY CONTROL'!$M$5:$M$304,'QUALITY CONTROL'!$B$5:$B$304,A1479),""))</f>
        <v/>
      </c>
      <c r="AH1479" s="51">
        <f>IF(B1479="","",DATE(YEAR(B1479),MONTH(B1479),1))</f>
        <v/>
      </c>
      <c r="AI1479" s="49">
        <f>IF(D1479="","",IFERROR(INDEX('CUSTOMERS'!$E$5:$E$404,MATCH(D1479,'CUSTOMERS'!$B$5:$B$404,0)),""))</f>
        <v/>
      </c>
      <c r="AJ1479" s="49">
        <f>IF(B1479="","",N(C1479))</f>
        <v/>
      </c>
      <c r="AK1479" s="49">
        <f>IF(OR(B1479="",O1479="Cancelled",O1479="Rescheduled"),"",B1479&amp;"|"&amp;(COUNTIFS('JOBS'!$B$5:$B$1504,B1479,'JOBS'!$AJ$5:$AJ$1504,"&lt;"&amp;AJ1479,'JOBS'!$O$5:$O$1504,"&lt;&gt;Cancelled",'JOBS'!$O$5:$O$1504,"&lt;&gt;Rescheduled")+COUNTIFS($B$5:B1479,B1479,$AJ$5:AJ1479,AJ1479,$O$5:O1479,"&lt;&gt;Cancelled",$O$5:O1479,"&lt;&gt;Rescheduled")))</f>
        <v/>
      </c>
      <c r="AL1479" s="49">
        <f>IF(N(U1479)&lt;=0.005,"",COUNTIFS('JOBS'!$U$5:$U$1504,"&gt;0.005",'JOBS'!$B$5:$B$1504,"&lt;"&amp;B1479)+COUNTIFS($U$5:U1479,"&gt;0.005",$B$5:B1479,B1479))</f>
        <v/>
      </c>
    </row>
    <row r="1480">
      <c r="A1480" s="46" t="inlineStr">
        <is>
          <t>J-1476</t>
        </is>
      </c>
      <c r="B1480" s="47" t="n"/>
      <c r="C1480" s="94" t="n"/>
      <c r="D1480" s="38" t="n"/>
      <c r="E1480" s="38" t="n"/>
      <c r="F1480" s="38" t="n"/>
      <c r="G1480" s="38" t="n"/>
      <c r="H1480" s="38" t="n"/>
      <c r="I1480" s="57" t="n"/>
      <c r="J1480" s="95" t="n"/>
      <c r="K1480" s="95" t="n"/>
      <c r="L1480" s="48" t="n"/>
      <c r="M1480" s="96" t="n"/>
      <c r="N1480" s="48" t="n"/>
      <c r="O1480" s="38" t="n"/>
      <c r="P1480" s="38" t="n"/>
      <c r="Q1480" s="97">
        <f>IF(OR(F1480="",E1480=""),"",IFERROR(IF(INDEX('PROPERTIES'!$F$5:$F$404,MATCH(E1480,'PROPERTIES'!$B$5:$B$404,0))=0,"",ROUND((INDEX('PROPERTIES'!$F$5:$F$404,MATCH(E1480,'PROPERTIES'!$B$5:$B$404,0))/INDEX('PRICING'!$C$7:$C$16,MATCH(F1480,'PRICING'!$A$7:$A$16,0))+INDEX('PROPERTIES'!$G$5:$G$404,MATCH(E1480,'PROPERTIES'!$B$5:$B$404,0))*INDEX('PRICING'!$D$7:$D$16,MATCH(F1480,'PRICING'!$A$7:$A$16,0))/60+INDEX('PROPERTIES'!$H$5:$H$404,MATCH(E1480,'PROPERTIES'!$B$5:$B$404,0))*INDEX('PRICING'!$E$7:$E$16,MATCH(F1480,'PRICING'!$A$7:$A$16,0))/60+INDEX('PRICING'!$F$7:$F$16,MATCH(F1480,'PRICING'!$A$7:$A$16,0))/60),2)),""))</f>
        <v/>
      </c>
      <c r="R1480" s="97">
        <f>IF(B1480="","",IF(N(K1480)&gt;0,K1480,IF(N(J1480)&gt;0,J1480,N(Q1480))))</f>
        <v/>
      </c>
      <c r="S1480" s="55">
        <f>IF(L1480="","",ROUND(L1480*(1+N(M1480)),2))</f>
        <v/>
      </c>
      <c r="T1480" s="55">
        <f>IF(B1480="","",SUMIFS('REVENUE'!$C$5:$C$1504,'REVENUE'!$B$5:$B$1504,A1480))</f>
        <v/>
      </c>
      <c r="U1480" s="55">
        <f>IF(B1480="","",IF(O1480="Completed",MAX(0,N(S1480)-T1480),""))</f>
        <v/>
      </c>
      <c r="V1480" s="49">
        <f>IF(B1480="","",IF(O1480&lt;&gt;"Completed",IF(T1480&gt;0,"Deposit","—"),IF(U1480&lt;=0.005,"Paid",IF(T1480&gt;0,"Partial","Unpaid"))))</f>
        <v/>
      </c>
      <c r="W1480" s="55">
        <f>IF(B1480="","",IFERROR(1/(1/INDEX('STAFF &amp; TASKS'!$C$5:$C$24,MATCH(H1480,'STAFF &amp; TASKS'!$A$5:$A$24,0))),PayRate))</f>
        <v/>
      </c>
      <c r="X1480" s="55">
        <f>IF(B1480="","",IF(OR(O1480="Cancelled",O1480="No-Show"),"",ROUND(R1480*W1480*(1+Burden),2)))</f>
        <v/>
      </c>
      <c r="Y1480" s="55">
        <f>IF(B1480="","",IF(OR(O1480="Cancelled",O1480="No-Show"),"",IF(N1480&lt;&gt;"",N1480,ROUND(R1480*SupHr*IFERROR(INDEX('PRICING'!$G$7:$G$16,MATCH(F1480,'PRICING'!$A$7:$A$16,0)),1),2))))</f>
        <v/>
      </c>
      <c r="Z1480" s="98">
        <f>IF(B1480="","",SUMIFS('MILEAGE'!$J$5:$J$1504,'MILEAGE'!$B$5:$B$1504,A1480))</f>
        <v/>
      </c>
      <c r="AA1480" s="55">
        <f>IF(B1480="","",ROUND(Z1480*MileRate,2))</f>
        <v/>
      </c>
      <c r="AB1480" s="55">
        <f>IF(B1480="","",SUMIFS('REVENUE'!$J$5:$J$1504,'REVENUE'!$B$5:$B$1504,A1480))</f>
        <v/>
      </c>
      <c r="AC1480" s="55">
        <f>IF(L1480="","",IF(OR(O1480="Cancelled",O1480="No-Show"),"",L1480-N(X1480)-N(Y1480)-AA1480-AB1480))</f>
        <v/>
      </c>
      <c r="AD1480" s="99">
        <f>IF(OR(AC1480="",N(L1480)=0),"",AC1480/L1480)</f>
        <v/>
      </c>
      <c r="AE1480" s="55">
        <f>IF(OR(AC1480="",N(R1480)=0),"",L1480/R1480)</f>
        <v/>
      </c>
      <c r="AF1480" s="100">
        <f>IF(OR(N(K1480)=0,N(J1480)+N(Q1480)=0),"",K1480-IF(N(J1480)&gt;0,J1480,Q1480))</f>
        <v/>
      </c>
      <c r="AG1480" s="99">
        <f>IF(B1480="","",IFERROR(AVERAGEIFS('QUALITY CONTROL'!$M$5:$M$304,'QUALITY CONTROL'!$B$5:$B$304,A1480),""))</f>
        <v/>
      </c>
      <c r="AH1480" s="51">
        <f>IF(B1480="","",DATE(YEAR(B1480),MONTH(B1480),1))</f>
        <v/>
      </c>
      <c r="AI1480" s="49">
        <f>IF(D1480="","",IFERROR(INDEX('CUSTOMERS'!$E$5:$E$404,MATCH(D1480,'CUSTOMERS'!$B$5:$B$404,0)),""))</f>
        <v/>
      </c>
      <c r="AJ1480" s="49">
        <f>IF(B1480="","",N(C1480))</f>
        <v/>
      </c>
      <c r="AK1480" s="49">
        <f>IF(OR(B1480="",O1480="Cancelled",O1480="Rescheduled"),"",B1480&amp;"|"&amp;(COUNTIFS('JOBS'!$B$5:$B$1504,B1480,'JOBS'!$AJ$5:$AJ$1504,"&lt;"&amp;AJ1480,'JOBS'!$O$5:$O$1504,"&lt;&gt;Cancelled",'JOBS'!$O$5:$O$1504,"&lt;&gt;Rescheduled")+COUNTIFS($B$5:B1480,B1480,$AJ$5:AJ1480,AJ1480,$O$5:O1480,"&lt;&gt;Cancelled",$O$5:O1480,"&lt;&gt;Rescheduled")))</f>
        <v/>
      </c>
      <c r="AL1480" s="49">
        <f>IF(N(U1480)&lt;=0.005,"",COUNTIFS('JOBS'!$U$5:$U$1504,"&gt;0.005",'JOBS'!$B$5:$B$1504,"&lt;"&amp;B1480)+COUNTIFS($U$5:U1480,"&gt;0.005",$B$5:B1480,B1480))</f>
        <v/>
      </c>
    </row>
    <row r="1481">
      <c r="A1481" s="46" t="inlineStr">
        <is>
          <t>J-1477</t>
        </is>
      </c>
      <c r="B1481" s="47" t="n"/>
      <c r="C1481" s="94" t="n"/>
      <c r="D1481" s="38" t="n"/>
      <c r="E1481" s="38" t="n"/>
      <c r="F1481" s="38" t="n"/>
      <c r="G1481" s="38" t="n"/>
      <c r="H1481" s="38" t="n"/>
      <c r="I1481" s="57" t="n"/>
      <c r="J1481" s="95" t="n"/>
      <c r="K1481" s="95" t="n"/>
      <c r="L1481" s="48" t="n"/>
      <c r="M1481" s="96" t="n"/>
      <c r="N1481" s="48" t="n"/>
      <c r="O1481" s="38" t="n"/>
      <c r="P1481" s="38" t="n"/>
      <c r="Q1481" s="97">
        <f>IF(OR(F1481="",E1481=""),"",IFERROR(IF(INDEX('PROPERTIES'!$F$5:$F$404,MATCH(E1481,'PROPERTIES'!$B$5:$B$404,0))=0,"",ROUND((INDEX('PROPERTIES'!$F$5:$F$404,MATCH(E1481,'PROPERTIES'!$B$5:$B$404,0))/INDEX('PRICING'!$C$7:$C$16,MATCH(F1481,'PRICING'!$A$7:$A$16,0))+INDEX('PROPERTIES'!$G$5:$G$404,MATCH(E1481,'PROPERTIES'!$B$5:$B$404,0))*INDEX('PRICING'!$D$7:$D$16,MATCH(F1481,'PRICING'!$A$7:$A$16,0))/60+INDEX('PROPERTIES'!$H$5:$H$404,MATCH(E1481,'PROPERTIES'!$B$5:$B$404,0))*INDEX('PRICING'!$E$7:$E$16,MATCH(F1481,'PRICING'!$A$7:$A$16,0))/60+INDEX('PRICING'!$F$7:$F$16,MATCH(F1481,'PRICING'!$A$7:$A$16,0))/60),2)),""))</f>
        <v/>
      </c>
      <c r="R1481" s="97">
        <f>IF(B1481="","",IF(N(K1481)&gt;0,K1481,IF(N(J1481)&gt;0,J1481,N(Q1481))))</f>
        <v/>
      </c>
      <c r="S1481" s="55">
        <f>IF(L1481="","",ROUND(L1481*(1+N(M1481)),2))</f>
        <v/>
      </c>
      <c r="T1481" s="55">
        <f>IF(B1481="","",SUMIFS('REVENUE'!$C$5:$C$1504,'REVENUE'!$B$5:$B$1504,A1481))</f>
        <v/>
      </c>
      <c r="U1481" s="55">
        <f>IF(B1481="","",IF(O1481="Completed",MAX(0,N(S1481)-T1481),""))</f>
        <v/>
      </c>
      <c r="V1481" s="49">
        <f>IF(B1481="","",IF(O1481&lt;&gt;"Completed",IF(T1481&gt;0,"Deposit","—"),IF(U1481&lt;=0.005,"Paid",IF(T1481&gt;0,"Partial","Unpaid"))))</f>
        <v/>
      </c>
      <c r="W1481" s="55">
        <f>IF(B1481="","",IFERROR(1/(1/INDEX('STAFF &amp; TASKS'!$C$5:$C$24,MATCH(H1481,'STAFF &amp; TASKS'!$A$5:$A$24,0))),PayRate))</f>
        <v/>
      </c>
      <c r="X1481" s="55">
        <f>IF(B1481="","",IF(OR(O1481="Cancelled",O1481="No-Show"),"",ROUND(R1481*W1481*(1+Burden),2)))</f>
        <v/>
      </c>
      <c r="Y1481" s="55">
        <f>IF(B1481="","",IF(OR(O1481="Cancelled",O1481="No-Show"),"",IF(N1481&lt;&gt;"",N1481,ROUND(R1481*SupHr*IFERROR(INDEX('PRICING'!$G$7:$G$16,MATCH(F1481,'PRICING'!$A$7:$A$16,0)),1),2))))</f>
        <v/>
      </c>
      <c r="Z1481" s="98">
        <f>IF(B1481="","",SUMIFS('MILEAGE'!$J$5:$J$1504,'MILEAGE'!$B$5:$B$1504,A1481))</f>
        <v/>
      </c>
      <c r="AA1481" s="55">
        <f>IF(B1481="","",ROUND(Z1481*MileRate,2))</f>
        <v/>
      </c>
      <c r="AB1481" s="55">
        <f>IF(B1481="","",SUMIFS('REVENUE'!$J$5:$J$1504,'REVENUE'!$B$5:$B$1504,A1481))</f>
        <v/>
      </c>
      <c r="AC1481" s="55">
        <f>IF(L1481="","",IF(OR(O1481="Cancelled",O1481="No-Show"),"",L1481-N(X1481)-N(Y1481)-AA1481-AB1481))</f>
        <v/>
      </c>
      <c r="AD1481" s="99">
        <f>IF(OR(AC1481="",N(L1481)=0),"",AC1481/L1481)</f>
        <v/>
      </c>
      <c r="AE1481" s="55">
        <f>IF(OR(AC1481="",N(R1481)=0),"",L1481/R1481)</f>
        <v/>
      </c>
      <c r="AF1481" s="100">
        <f>IF(OR(N(K1481)=0,N(J1481)+N(Q1481)=0),"",K1481-IF(N(J1481)&gt;0,J1481,Q1481))</f>
        <v/>
      </c>
      <c r="AG1481" s="99">
        <f>IF(B1481="","",IFERROR(AVERAGEIFS('QUALITY CONTROL'!$M$5:$M$304,'QUALITY CONTROL'!$B$5:$B$304,A1481),""))</f>
        <v/>
      </c>
      <c r="AH1481" s="51">
        <f>IF(B1481="","",DATE(YEAR(B1481),MONTH(B1481),1))</f>
        <v/>
      </c>
      <c r="AI1481" s="49">
        <f>IF(D1481="","",IFERROR(INDEX('CUSTOMERS'!$E$5:$E$404,MATCH(D1481,'CUSTOMERS'!$B$5:$B$404,0)),""))</f>
        <v/>
      </c>
      <c r="AJ1481" s="49">
        <f>IF(B1481="","",N(C1481))</f>
        <v/>
      </c>
      <c r="AK1481" s="49">
        <f>IF(OR(B1481="",O1481="Cancelled",O1481="Rescheduled"),"",B1481&amp;"|"&amp;(COUNTIFS('JOBS'!$B$5:$B$1504,B1481,'JOBS'!$AJ$5:$AJ$1504,"&lt;"&amp;AJ1481,'JOBS'!$O$5:$O$1504,"&lt;&gt;Cancelled",'JOBS'!$O$5:$O$1504,"&lt;&gt;Rescheduled")+COUNTIFS($B$5:B1481,B1481,$AJ$5:AJ1481,AJ1481,$O$5:O1481,"&lt;&gt;Cancelled",$O$5:O1481,"&lt;&gt;Rescheduled")))</f>
        <v/>
      </c>
      <c r="AL1481" s="49">
        <f>IF(N(U1481)&lt;=0.005,"",COUNTIFS('JOBS'!$U$5:$U$1504,"&gt;0.005",'JOBS'!$B$5:$B$1504,"&lt;"&amp;B1481)+COUNTIFS($U$5:U1481,"&gt;0.005",$B$5:B1481,B1481))</f>
        <v/>
      </c>
    </row>
    <row r="1482">
      <c r="A1482" s="46" t="inlineStr">
        <is>
          <t>J-1478</t>
        </is>
      </c>
      <c r="B1482" s="47" t="n"/>
      <c r="C1482" s="94" t="n"/>
      <c r="D1482" s="38" t="n"/>
      <c r="E1482" s="38" t="n"/>
      <c r="F1482" s="38" t="n"/>
      <c r="G1482" s="38" t="n"/>
      <c r="H1482" s="38" t="n"/>
      <c r="I1482" s="57" t="n"/>
      <c r="J1482" s="95" t="n"/>
      <c r="K1482" s="95" t="n"/>
      <c r="L1482" s="48" t="n"/>
      <c r="M1482" s="96" t="n"/>
      <c r="N1482" s="48" t="n"/>
      <c r="O1482" s="38" t="n"/>
      <c r="P1482" s="38" t="n"/>
      <c r="Q1482" s="97">
        <f>IF(OR(F1482="",E1482=""),"",IFERROR(IF(INDEX('PROPERTIES'!$F$5:$F$404,MATCH(E1482,'PROPERTIES'!$B$5:$B$404,0))=0,"",ROUND((INDEX('PROPERTIES'!$F$5:$F$404,MATCH(E1482,'PROPERTIES'!$B$5:$B$404,0))/INDEX('PRICING'!$C$7:$C$16,MATCH(F1482,'PRICING'!$A$7:$A$16,0))+INDEX('PROPERTIES'!$G$5:$G$404,MATCH(E1482,'PROPERTIES'!$B$5:$B$404,0))*INDEX('PRICING'!$D$7:$D$16,MATCH(F1482,'PRICING'!$A$7:$A$16,0))/60+INDEX('PROPERTIES'!$H$5:$H$404,MATCH(E1482,'PROPERTIES'!$B$5:$B$404,0))*INDEX('PRICING'!$E$7:$E$16,MATCH(F1482,'PRICING'!$A$7:$A$16,0))/60+INDEX('PRICING'!$F$7:$F$16,MATCH(F1482,'PRICING'!$A$7:$A$16,0))/60),2)),""))</f>
        <v/>
      </c>
      <c r="R1482" s="97">
        <f>IF(B1482="","",IF(N(K1482)&gt;0,K1482,IF(N(J1482)&gt;0,J1482,N(Q1482))))</f>
        <v/>
      </c>
      <c r="S1482" s="55">
        <f>IF(L1482="","",ROUND(L1482*(1+N(M1482)),2))</f>
        <v/>
      </c>
      <c r="T1482" s="55">
        <f>IF(B1482="","",SUMIFS('REVENUE'!$C$5:$C$1504,'REVENUE'!$B$5:$B$1504,A1482))</f>
        <v/>
      </c>
      <c r="U1482" s="55">
        <f>IF(B1482="","",IF(O1482="Completed",MAX(0,N(S1482)-T1482),""))</f>
        <v/>
      </c>
      <c r="V1482" s="49">
        <f>IF(B1482="","",IF(O1482&lt;&gt;"Completed",IF(T1482&gt;0,"Deposit","—"),IF(U1482&lt;=0.005,"Paid",IF(T1482&gt;0,"Partial","Unpaid"))))</f>
        <v/>
      </c>
      <c r="W1482" s="55">
        <f>IF(B1482="","",IFERROR(1/(1/INDEX('STAFF &amp; TASKS'!$C$5:$C$24,MATCH(H1482,'STAFF &amp; TASKS'!$A$5:$A$24,0))),PayRate))</f>
        <v/>
      </c>
      <c r="X1482" s="55">
        <f>IF(B1482="","",IF(OR(O1482="Cancelled",O1482="No-Show"),"",ROUND(R1482*W1482*(1+Burden),2)))</f>
        <v/>
      </c>
      <c r="Y1482" s="55">
        <f>IF(B1482="","",IF(OR(O1482="Cancelled",O1482="No-Show"),"",IF(N1482&lt;&gt;"",N1482,ROUND(R1482*SupHr*IFERROR(INDEX('PRICING'!$G$7:$G$16,MATCH(F1482,'PRICING'!$A$7:$A$16,0)),1),2))))</f>
        <v/>
      </c>
      <c r="Z1482" s="98">
        <f>IF(B1482="","",SUMIFS('MILEAGE'!$J$5:$J$1504,'MILEAGE'!$B$5:$B$1504,A1482))</f>
        <v/>
      </c>
      <c r="AA1482" s="55">
        <f>IF(B1482="","",ROUND(Z1482*MileRate,2))</f>
        <v/>
      </c>
      <c r="AB1482" s="55">
        <f>IF(B1482="","",SUMIFS('REVENUE'!$J$5:$J$1504,'REVENUE'!$B$5:$B$1504,A1482))</f>
        <v/>
      </c>
      <c r="AC1482" s="55">
        <f>IF(L1482="","",IF(OR(O1482="Cancelled",O1482="No-Show"),"",L1482-N(X1482)-N(Y1482)-AA1482-AB1482))</f>
        <v/>
      </c>
      <c r="AD1482" s="99">
        <f>IF(OR(AC1482="",N(L1482)=0),"",AC1482/L1482)</f>
        <v/>
      </c>
      <c r="AE1482" s="55">
        <f>IF(OR(AC1482="",N(R1482)=0),"",L1482/R1482)</f>
        <v/>
      </c>
      <c r="AF1482" s="100">
        <f>IF(OR(N(K1482)=0,N(J1482)+N(Q1482)=0),"",K1482-IF(N(J1482)&gt;0,J1482,Q1482))</f>
        <v/>
      </c>
      <c r="AG1482" s="99">
        <f>IF(B1482="","",IFERROR(AVERAGEIFS('QUALITY CONTROL'!$M$5:$M$304,'QUALITY CONTROL'!$B$5:$B$304,A1482),""))</f>
        <v/>
      </c>
      <c r="AH1482" s="51">
        <f>IF(B1482="","",DATE(YEAR(B1482),MONTH(B1482),1))</f>
        <v/>
      </c>
      <c r="AI1482" s="49">
        <f>IF(D1482="","",IFERROR(INDEX('CUSTOMERS'!$E$5:$E$404,MATCH(D1482,'CUSTOMERS'!$B$5:$B$404,0)),""))</f>
        <v/>
      </c>
      <c r="AJ1482" s="49">
        <f>IF(B1482="","",N(C1482))</f>
        <v/>
      </c>
      <c r="AK1482" s="49">
        <f>IF(OR(B1482="",O1482="Cancelled",O1482="Rescheduled"),"",B1482&amp;"|"&amp;(COUNTIFS('JOBS'!$B$5:$B$1504,B1482,'JOBS'!$AJ$5:$AJ$1504,"&lt;"&amp;AJ1482,'JOBS'!$O$5:$O$1504,"&lt;&gt;Cancelled",'JOBS'!$O$5:$O$1504,"&lt;&gt;Rescheduled")+COUNTIFS($B$5:B1482,B1482,$AJ$5:AJ1482,AJ1482,$O$5:O1482,"&lt;&gt;Cancelled",$O$5:O1482,"&lt;&gt;Rescheduled")))</f>
        <v/>
      </c>
      <c r="AL1482" s="49">
        <f>IF(N(U1482)&lt;=0.005,"",COUNTIFS('JOBS'!$U$5:$U$1504,"&gt;0.005",'JOBS'!$B$5:$B$1504,"&lt;"&amp;B1482)+COUNTIFS($U$5:U1482,"&gt;0.005",$B$5:B1482,B1482))</f>
        <v/>
      </c>
    </row>
    <row r="1483">
      <c r="A1483" s="46" t="inlineStr">
        <is>
          <t>J-1479</t>
        </is>
      </c>
      <c r="B1483" s="47" t="n"/>
      <c r="C1483" s="94" t="n"/>
      <c r="D1483" s="38" t="n"/>
      <c r="E1483" s="38" t="n"/>
      <c r="F1483" s="38" t="n"/>
      <c r="G1483" s="38" t="n"/>
      <c r="H1483" s="38" t="n"/>
      <c r="I1483" s="57" t="n"/>
      <c r="J1483" s="95" t="n"/>
      <c r="K1483" s="95" t="n"/>
      <c r="L1483" s="48" t="n"/>
      <c r="M1483" s="96" t="n"/>
      <c r="N1483" s="48" t="n"/>
      <c r="O1483" s="38" t="n"/>
      <c r="P1483" s="38" t="n"/>
      <c r="Q1483" s="97">
        <f>IF(OR(F1483="",E1483=""),"",IFERROR(IF(INDEX('PROPERTIES'!$F$5:$F$404,MATCH(E1483,'PROPERTIES'!$B$5:$B$404,0))=0,"",ROUND((INDEX('PROPERTIES'!$F$5:$F$404,MATCH(E1483,'PROPERTIES'!$B$5:$B$404,0))/INDEX('PRICING'!$C$7:$C$16,MATCH(F1483,'PRICING'!$A$7:$A$16,0))+INDEX('PROPERTIES'!$G$5:$G$404,MATCH(E1483,'PROPERTIES'!$B$5:$B$404,0))*INDEX('PRICING'!$D$7:$D$16,MATCH(F1483,'PRICING'!$A$7:$A$16,0))/60+INDEX('PROPERTIES'!$H$5:$H$404,MATCH(E1483,'PROPERTIES'!$B$5:$B$404,0))*INDEX('PRICING'!$E$7:$E$16,MATCH(F1483,'PRICING'!$A$7:$A$16,0))/60+INDEX('PRICING'!$F$7:$F$16,MATCH(F1483,'PRICING'!$A$7:$A$16,0))/60),2)),""))</f>
        <v/>
      </c>
      <c r="R1483" s="97">
        <f>IF(B1483="","",IF(N(K1483)&gt;0,K1483,IF(N(J1483)&gt;0,J1483,N(Q1483))))</f>
        <v/>
      </c>
      <c r="S1483" s="55">
        <f>IF(L1483="","",ROUND(L1483*(1+N(M1483)),2))</f>
        <v/>
      </c>
      <c r="T1483" s="55">
        <f>IF(B1483="","",SUMIFS('REVENUE'!$C$5:$C$1504,'REVENUE'!$B$5:$B$1504,A1483))</f>
        <v/>
      </c>
      <c r="U1483" s="55">
        <f>IF(B1483="","",IF(O1483="Completed",MAX(0,N(S1483)-T1483),""))</f>
        <v/>
      </c>
      <c r="V1483" s="49">
        <f>IF(B1483="","",IF(O1483&lt;&gt;"Completed",IF(T1483&gt;0,"Deposit","—"),IF(U1483&lt;=0.005,"Paid",IF(T1483&gt;0,"Partial","Unpaid"))))</f>
        <v/>
      </c>
      <c r="W1483" s="55">
        <f>IF(B1483="","",IFERROR(1/(1/INDEX('STAFF &amp; TASKS'!$C$5:$C$24,MATCH(H1483,'STAFF &amp; TASKS'!$A$5:$A$24,0))),PayRate))</f>
        <v/>
      </c>
      <c r="X1483" s="55">
        <f>IF(B1483="","",IF(OR(O1483="Cancelled",O1483="No-Show"),"",ROUND(R1483*W1483*(1+Burden),2)))</f>
        <v/>
      </c>
      <c r="Y1483" s="55">
        <f>IF(B1483="","",IF(OR(O1483="Cancelled",O1483="No-Show"),"",IF(N1483&lt;&gt;"",N1483,ROUND(R1483*SupHr*IFERROR(INDEX('PRICING'!$G$7:$G$16,MATCH(F1483,'PRICING'!$A$7:$A$16,0)),1),2))))</f>
        <v/>
      </c>
      <c r="Z1483" s="98">
        <f>IF(B1483="","",SUMIFS('MILEAGE'!$J$5:$J$1504,'MILEAGE'!$B$5:$B$1504,A1483))</f>
        <v/>
      </c>
      <c r="AA1483" s="55">
        <f>IF(B1483="","",ROUND(Z1483*MileRate,2))</f>
        <v/>
      </c>
      <c r="AB1483" s="55">
        <f>IF(B1483="","",SUMIFS('REVENUE'!$J$5:$J$1504,'REVENUE'!$B$5:$B$1504,A1483))</f>
        <v/>
      </c>
      <c r="AC1483" s="55">
        <f>IF(L1483="","",IF(OR(O1483="Cancelled",O1483="No-Show"),"",L1483-N(X1483)-N(Y1483)-AA1483-AB1483))</f>
        <v/>
      </c>
      <c r="AD1483" s="99">
        <f>IF(OR(AC1483="",N(L1483)=0),"",AC1483/L1483)</f>
        <v/>
      </c>
      <c r="AE1483" s="55">
        <f>IF(OR(AC1483="",N(R1483)=0),"",L1483/R1483)</f>
        <v/>
      </c>
      <c r="AF1483" s="100">
        <f>IF(OR(N(K1483)=0,N(J1483)+N(Q1483)=0),"",K1483-IF(N(J1483)&gt;0,J1483,Q1483))</f>
        <v/>
      </c>
      <c r="AG1483" s="99">
        <f>IF(B1483="","",IFERROR(AVERAGEIFS('QUALITY CONTROL'!$M$5:$M$304,'QUALITY CONTROL'!$B$5:$B$304,A1483),""))</f>
        <v/>
      </c>
      <c r="AH1483" s="51">
        <f>IF(B1483="","",DATE(YEAR(B1483),MONTH(B1483),1))</f>
        <v/>
      </c>
      <c r="AI1483" s="49">
        <f>IF(D1483="","",IFERROR(INDEX('CUSTOMERS'!$E$5:$E$404,MATCH(D1483,'CUSTOMERS'!$B$5:$B$404,0)),""))</f>
        <v/>
      </c>
      <c r="AJ1483" s="49">
        <f>IF(B1483="","",N(C1483))</f>
        <v/>
      </c>
      <c r="AK1483" s="49">
        <f>IF(OR(B1483="",O1483="Cancelled",O1483="Rescheduled"),"",B1483&amp;"|"&amp;(COUNTIFS('JOBS'!$B$5:$B$1504,B1483,'JOBS'!$AJ$5:$AJ$1504,"&lt;"&amp;AJ1483,'JOBS'!$O$5:$O$1504,"&lt;&gt;Cancelled",'JOBS'!$O$5:$O$1504,"&lt;&gt;Rescheduled")+COUNTIFS($B$5:B1483,B1483,$AJ$5:AJ1483,AJ1483,$O$5:O1483,"&lt;&gt;Cancelled",$O$5:O1483,"&lt;&gt;Rescheduled")))</f>
        <v/>
      </c>
      <c r="AL1483" s="49">
        <f>IF(N(U1483)&lt;=0.005,"",COUNTIFS('JOBS'!$U$5:$U$1504,"&gt;0.005",'JOBS'!$B$5:$B$1504,"&lt;"&amp;B1483)+COUNTIFS($U$5:U1483,"&gt;0.005",$B$5:B1483,B1483))</f>
        <v/>
      </c>
    </row>
    <row r="1484">
      <c r="A1484" s="46" t="inlineStr">
        <is>
          <t>J-1480</t>
        </is>
      </c>
      <c r="B1484" s="47" t="n"/>
      <c r="C1484" s="94" t="n"/>
      <c r="D1484" s="38" t="n"/>
      <c r="E1484" s="38" t="n"/>
      <c r="F1484" s="38" t="n"/>
      <c r="G1484" s="38" t="n"/>
      <c r="H1484" s="38" t="n"/>
      <c r="I1484" s="57" t="n"/>
      <c r="J1484" s="95" t="n"/>
      <c r="K1484" s="95" t="n"/>
      <c r="L1484" s="48" t="n"/>
      <c r="M1484" s="96" t="n"/>
      <c r="N1484" s="48" t="n"/>
      <c r="O1484" s="38" t="n"/>
      <c r="P1484" s="38" t="n"/>
      <c r="Q1484" s="97">
        <f>IF(OR(F1484="",E1484=""),"",IFERROR(IF(INDEX('PROPERTIES'!$F$5:$F$404,MATCH(E1484,'PROPERTIES'!$B$5:$B$404,0))=0,"",ROUND((INDEX('PROPERTIES'!$F$5:$F$404,MATCH(E1484,'PROPERTIES'!$B$5:$B$404,0))/INDEX('PRICING'!$C$7:$C$16,MATCH(F1484,'PRICING'!$A$7:$A$16,0))+INDEX('PROPERTIES'!$G$5:$G$404,MATCH(E1484,'PROPERTIES'!$B$5:$B$404,0))*INDEX('PRICING'!$D$7:$D$16,MATCH(F1484,'PRICING'!$A$7:$A$16,0))/60+INDEX('PROPERTIES'!$H$5:$H$404,MATCH(E1484,'PROPERTIES'!$B$5:$B$404,0))*INDEX('PRICING'!$E$7:$E$16,MATCH(F1484,'PRICING'!$A$7:$A$16,0))/60+INDEX('PRICING'!$F$7:$F$16,MATCH(F1484,'PRICING'!$A$7:$A$16,0))/60),2)),""))</f>
        <v/>
      </c>
      <c r="R1484" s="97">
        <f>IF(B1484="","",IF(N(K1484)&gt;0,K1484,IF(N(J1484)&gt;0,J1484,N(Q1484))))</f>
        <v/>
      </c>
      <c r="S1484" s="55">
        <f>IF(L1484="","",ROUND(L1484*(1+N(M1484)),2))</f>
        <v/>
      </c>
      <c r="T1484" s="55">
        <f>IF(B1484="","",SUMIFS('REVENUE'!$C$5:$C$1504,'REVENUE'!$B$5:$B$1504,A1484))</f>
        <v/>
      </c>
      <c r="U1484" s="55">
        <f>IF(B1484="","",IF(O1484="Completed",MAX(0,N(S1484)-T1484),""))</f>
        <v/>
      </c>
      <c r="V1484" s="49">
        <f>IF(B1484="","",IF(O1484&lt;&gt;"Completed",IF(T1484&gt;0,"Deposit","—"),IF(U1484&lt;=0.005,"Paid",IF(T1484&gt;0,"Partial","Unpaid"))))</f>
        <v/>
      </c>
      <c r="W1484" s="55">
        <f>IF(B1484="","",IFERROR(1/(1/INDEX('STAFF &amp; TASKS'!$C$5:$C$24,MATCH(H1484,'STAFF &amp; TASKS'!$A$5:$A$24,0))),PayRate))</f>
        <v/>
      </c>
      <c r="X1484" s="55">
        <f>IF(B1484="","",IF(OR(O1484="Cancelled",O1484="No-Show"),"",ROUND(R1484*W1484*(1+Burden),2)))</f>
        <v/>
      </c>
      <c r="Y1484" s="55">
        <f>IF(B1484="","",IF(OR(O1484="Cancelled",O1484="No-Show"),"",IF(N1484&lt;&gt;"",N1484,ROUND(R1484*SupHr*IFERROR(INDEX('PRICING'!$G$7:$G$16,MATCH(F1484,'PRICING'!$A$7:$A$16,0)),1),2))))</f>
        <v/>
      </c>
      <c r="Z1484" s="98">
        <f>IF(B1484="","",SUMIFS('MILEAGE'!$J$5:$J$1504,'MILEAGE'!$B$5:$B$1504,A1484))</f>
        <v/>
      </c>
      <c r="AA1484" s="55">
        <f>IF(B1484="","",ROUND(Z1484*MileRate,2))</f>
        <v/>
      </c>
      <c r="AB1484" s="55">
        <f>IF(B1484="","",SUMIFS('REVENUE'!$J$5:$J$1504,'REVENUE'!$B$5:$B$1504,A1484))</f>
        <v/>
      </c>
      <c r="AC1484" s="55">
        <f>IF(L1484="","",IF(OR(O1484="Cancelled",O1484="No-Show"),"",L1484-N(X1484)-N(Y1484)-AA1484-AB1484))</f>
        <v/>
      </c>
      <c r="AD1484" s="99">
        <f>IF(OR(AC1484="",N(L1484)=0),"",AC1484/L1484)</f>
        <v/>
      </c>
      <c r="AE1484" s="55">
        <f>IF(OR(AC1484="",N(R1484)=0),"",L1484/R1484)</f>
        <v/>
      </c>
      <c r="AF1484" s="100">
        <f>IF(OR(N(K1484)=0,N(J1484)+N(Q1484)=0),"",K1484-IF(N(J1484)&gt;0,J1484,Q1484))</f>
        <v/>
      </c>
      <c r="AG1484" s="99">
        <f>IF(B1484="","",IFERROR(AVERAGEIFS('QUALITY CONTROL'!$M$5:$M$304,'QUALITY CONTROL'!$B$5:$B$304,A1484),""))</f>
        <v/>
      </c>
      <c r="AH1484" s="51">
        <f>IF(B1484="","",DATE(YEAR(B1484),MONTH(B1484),1))</f>
        <v/>
      </c>
      <c r="AI1484" s="49">
        <f>IF(D1484="","",IFERROR(INDEX('CUSTOMERS'!$E$5:$E$404,MATCH(D1484,'CUSTOMERS'!$B$5:$B$404,0)),""))</f>
        <v/>
      </c>
      <c r="AJ1484" s="49">
        <f>IF(B1484="","",N(C1484))</f>
        <v/>
      </c>
      <c r="AK1484" s="49">
        <f>IF(OR(B1484="",O1484="Cancelled",O1484="Rescheduled"),"",B1484&amp;"|"&amp;(COUNTIFS('JOBS'!$B$5:$B$1504,B1484,'JOBS'!$AJ$5:$AJ$1504,"&lt;"&amp;AJ1484,'JOBS'!$O$5:$O$1504,"&lt;&gt;Cancelled",'JOBS'!$O$5:$O$1504,"&lt;&gt;Rescheduled")+COUNTIFS($B$5:B1484,B1484,$AJ$5:AJ1484,AJ1484,$O$5:O1484,"&lt;&gt;Cancelled",$O$5:O1484,"&lt;&gt;Rescheduled")))</f>
        <v/>
      </c>
      <c r="AL1484" s="49">
        <f>IF(N(U1484)&lt;=0.005,"",COUNTIFS('JOBS'!$U$5:$U$1504,"&gt;0.005",'JOBS'!$B$5:$B$1504,"&lt;"&amp;B1484)+COUNTIFS($U$5:U1484,"&gt;0.005",$B$5:B1484,B1484))</f>
        <v/>
      </c>
    </row>
    <row r="1485">
      <c r="A1485" s="46" t="inlineStr">
        <is>
          <t>J-1481</t>
        </is>
      </c>
      <c r="B1485" s="47" t="n"/>
      <c r="C1485" s="94" t="n"/>
      <c r="D1485" s="38" t="n"/>
      <c r="E1485" s="38" t="n"/>
      <c r="F1485" s="38" t="n"/>
      <c r="G1485" s="38" t="n"/>
      <c r="H1485" s="38" t="n"/>
      <c r="I1485" s="57" t="n"/>
      <c r="J1485" s="95" t="n"/>
      <c r="K1485" s="95" t="n"/>
      <c r="L1485" s="48" t="n"/>
      <c r="M1485" s="96" t="n"/>
      <c r="N1485" s="48" t="n"/>
      <c r="O1485" s="38" t="n"/>
      <c r="P1485" s="38" t="n"/>
      <c r="Q1485" s="97">
        <f>IF(OR(F1485="",E1485=""),"",IFERROR(IF(INDEX('PROPERTIES'!$F$5:$F$404,MATCH(E1485,'PROPERTIES'!$B$5:$B$404,0))=0,"",ROUND((INDEX('PROPERTIES'!$F$5:$F$404,MATCH(E1485,'PROPERTIES'!$B$5:$B$404,0))/INDEX('PRICING'!$C$7:$C$16,MATCH(F1485,'PRICING'!$A$7:$A$16,0))+INDEX('PROPERTIES'!$G$5:$G$404,MATCH(E1485,'PROPERTIES'!$B$5:$B$404,0))*INDEX('PRICING'!$D$7:$D$16,MATCH(F1485,'PRICING'!$A$7:$A$16,0))/60+INDEX('PROPERTIES'!$H$5:$H$404,MATCH(E1485,'PROPERTIES'!$B$5:$B$404,0))*INDEX('PRICING'!$E$7:$E$16,MATCH(F1485,'PRICING'!$A$7:$A$16,0))/60+INDEX('PRICING'!$F$7:$F$16,MATCH(F1485,'PRICING'!$A$7:$A$16,0))/60),2)),""))</f>
        <v/>
      </c>
      <c r="R1485" s="97">
        <f>IF(B1485="","",IF(N(K1485)&gt;0,K1485,IF(N(J1485)&gt;0,J1485,N(Q1485))))</f>
        <v/>
      </c>
      <c r="S1485" s="55">
        <f>IF(L1485="","",ROUND(L1485*(1+N(M1485)),2))</f>
        <v/>
      </c>
      <c r="T1485" s="55">
        <f>IF(B1485="","",SUMIFS('REVENUE'!$C$5:$C$1504,'REVENUE'!$B$5:$B$1504,A1485))</f>
        <v/>
      </c>
      <c r="U1485" s="55">
        <f>IF(B1485="","",IF(O1485="Completed",MAX(0,N(S1485)-T1485),""))</f>
        <v/>
      </c>
      <c r="V1485" s="49">
        <f>IF(B1485="","",IF(O1485&lt;&gt;"Completed",IF(T1485&gt;0,"Deposit","—"),IF(U1485&lt;=0.005,"Paid",IF(T1485&gt;0,"Partial","Unpaid"))))</f>
        <v/>
      </c>
      <c r="W1485" s="55">
        <f>IF(B1485="","",IFERROR(1/(1/INDEX('STAFF &amp; TASKS'!$C$5:$C$24,MATCH(H1485,'STAFF &amp; TASKS'!$A$5:$A$24,0))),PayRate))</f>
        <v/>
      </c>
      <c r="X1485" s="55">
        <f>IF(B1485="","",IF(OR(O1485="Cancelled",O1485="No-Show"),"",ROUND(R1485*W1485*(1+Burden),2)))</f>
        <v/>
      </c>
      <c r="Y1485" s="55">
        <f>IF(B1485="","",IF(OR(O1485="Cancelled",O1485="No-Show"),"",IF(N1485&lt;&gt;"",N1485,ROUND(R1485*SupHr*IFERROR(INDEX('PRICING'!$G$7:$G$16,MATCH(F1485,'PRICING'!$A$7:$A$16,0)),1),2))))</f>
        <v/>
      </c>
      <c r="Z1485" s="98">
        <f>IF(B1485="","",SUMIFS('MILEAGE'!$J$5:$J$1504,'MILEAGE'!$B$5:$B$1504,A1485))</f>
        <v/>
      </c>
      <c r="AA1485" s="55">
        <f>IF(B1485="","",ROUND(Z1485*MileRate,2))</f>
        <v/>
      </c>
      <c r="AB1485" s="55">
        <f>IF(B1485="","",SUMIFS('REVENUE'!$J$5:$J$1504,'REVENUE'!$B$5:$B$1504,A1485))</f>
        <v/>
      </c>
      <c r="AC1485" s="55">
        <f>IF(L1485="","",IF(OR(O1485="Cancelled",O1485="No-Show"),"",L1485-N(X1485)-N(Y1485)-AA1485-AB1485))</f>
        <v/>
      </c>
      <c r="AD1485" s="99">
        <f>IF(OR(AC1485="",N(L1485)=0),"",AC1485/L1485)</f>
        <v/>
      </c>
      <c r="AE1485" s="55">
        <f>IF(OR(AC1485="",N(R1485)=0),"",L1485/R1485)</f>
        <v/>
      </c>
      <c r="AF1485" s="100">
        <f>IF(OR(N(K1485)=0,N(J1485)+N(Q1485)=0),"",K1485-IF(N(J1485)&gt;0,J1485,Q1485))</f>
        <v/>
      </c>
      <c r="AG1485" s="99">
        <f>IF(B1485="","",IFERROR(AVERAGEIFS('QUALITY CONTROL'!$M$5:$M$304,'QUALITY CONTROL'!$B$5:$B$304,A1485),""))</f>
        <v/>
      </c>
      <c r="AH1485" s="51">
        <f>IF(B1485="","",DATE(YEAR(B1485),MONTH(B1485),1))</f>
        <v/>
      </c>
      <c r="AI1485" s="49">
        <f>IF(D1485="","",IFERROR(INDEX('CUSTOMERS'!$E$5:$E$404,MATCH(D1485,'CUSTOMERS'!$B$5:$B$404,0)),""))</f>
        <v/>
      </c>
      <c r="AJ1485" s="49">
        <f>IF(B1485="","",N(C1485))</f>
        <v/>
      </c>
      <c r="AK1485" s="49">
        <f>IF(OR(B1485="",O1485="Cancelled",O1485="Rescheduled"),"",B1485&amp;"|"&amp;(COUNTIFS('JOBS'!$B$5:$B$1504,B1485,'JOBS'!$AJ$5:$AJ$1504,"&lt;"&amp;AJ1485,'JOBS'!$O$5:$O$1504,"&lt;&gt;Cancelled",'JOBS'!$O$5:$O$1504,"&lt;&gt;Rescheduled")+COUNTIFS($B$5:B1485,B1485,$AJ$5:AJ1485,AJ1485,$O$5:O1485,"&lt;&gt;Cancelled",$O$5:O1485,"&lt;&gt;Rescheduled")))</f>
        <v/>
      </c>
      <c r="AL1485" s="49">
        <f>IF(N(U1485)&lt;=0.005,"",COUNTIFS('JOBS'!$U$5:$U$1504,"&gt;0.005",'JOBS'!$B$5:$B$1504,"&lt;"&amp;B1485)+COUNTIFS($U$5:U1485,"&gt;0.005",$B$5:B1485,B1485))</f>
        <v/>
      </c>
    </row>
    <row r="1486">
      <c r="A1486" s="46" t="inlineStr">
        <is>
          <t>J-1482</t>
        </is>
      </c>
      <c r="B1486" s="47" t="n"/>
      <c r="C1486" s="94" t="n"/>
      <c r="D1486" s="38" t="n"/>
      <c r="E1486" s="38" t="n"/>
      <c r="F1486" s="38" t="n"/>
      <c r="G1486" s="38" t="n"/>
      <c r="H1486" s="38" t="n"/>
      <c r="I1486" s="57" t="n"/>
      <c r="J1486" s="95" t="n"/>
      <c r="K1486" s="95" t="n"/>
      <c r="L1486" s="48" t="n"/>
      <c r="M1486" s="96" t="n"/>
      <c r="N1486" s="48" t="n"/>
      <c r="O1486" s="38" t="n"/>
      <c r="P1486" s="38" t="n"/>
      <c r="Q1486" s="97">
        <f>IF(OR(F1486="",E1486=""),"",IFERROR(IF(INDEX('PROPERTIES'!$F$5:$F$404,MATCH(E1486,'PROPERTIES'!$B$5:$B$404,0))=0,"",ROUND((INDEX('PROPERTIES'!$F$5:$F$404,MATCH(E1486,'PROPERTIES'!$B$5:$B$404,0))/INDEX('PRICING'!$C$7:$C$16,MATCH(F1486,'PRICING'!$A$7:$A$16,0))+INDEX('PROPERTIES'!$G$5:$G$404,MATCH(E1486,'PROPERTIES'!$B$5:$B$404,0))*INDEX('PRICING'!$D$7:$D$16,MATCH(F1486,'PRICING'!$A$7:$A$16,0))/60+INDEX('PROPERTIES'!$H$5:$H$404,MATCH(E1486,'PROPERTIES'!$B$5:$B$404,0))*INDEX('PRICING'!$E$7:$E$16,MATCH(F1486,'PRICING'!$A$7:$A$16,0))/60+INDEX('PRICING'!$F$7:$F$16,MATCH(F1486,'PRICING'!$A$7:$A$16,0))/60),2)),""))</f>
        <v/>
      </c>
      <c r="R1486" s="97">
        <f>IF(B1486="","",IF(N(K1486)&gt;0,K1486,IF(N(J1486)&gt;0,J1486,N(Q1486))))</f>
        <v/>
      </c>
      <c r="S1486" s="55">
        <f>IF(L1486="","",ROUND(L1486*(1+N(M1486)),2))</f>
        <v/>
      </c>
      <c r="T1486" s="55">
        <f>IF(B1486="","",SUMIFS('REVENUE'!$C$5:$C$1504,'REVENUE'!$B$5:$B$1504,A1486))</f>
        <v/>
      </c>
      <c r="U1486" s="55">
        <f>IF(B1486="","",IF(O1486="Completed",MAX(0,N(S1486)-T1486),""))</f>
        <v/>
      </c>
      <c r="V1486" s="49">
        <f>IF(B1486="","",IF(O1486&lt;&gt;"Completed",IF(T1486&gt;0,"Deposit","—"),IF(U1486&lt;=0.005,"Paid",IF(T1486&gt;0,"Partial","Unpaid"))))</f>
        <v/>
      </c>
      <c r="W1486" s="55">
        <f>IF(B1486="","",IFERROR(1/(1/INDEX('STAFF &amp; TASKS'!$C$5:$C$24,MATCH(H1486,'STAFF &amp; TASKS'!$A$5:$A$24,0))),PayRate))</f>
        <v/>
      </c>
      <c r="X1486" s="55">
        <f>IF(B1486="","",IF(OR(O1486="Cancelled",O1486="No-Show"),"",ROUND(R1486*W1486*(1+Burden),2)))</f>
        <v/>
      </c>
      <c r="Y1486" s="55">
        <f>IF(B1486="","",IF(OR(O1486="Cancelled",O1486="No-Show"),"",IF(N1486&lt;&gt;"",N1486,ROUND(R1486*SupHr*IFERROR(INDEX('PRICING'!$G$7:$G$16,MATCH(F1486,'PRICING'!$A$7:$A$16,0)),1),2))))</f>
        <v/>
      </c>
      <c r="Z1486" s="98">
        <f>IF(B1486="","",SUMIFS('MILEAGE'!$J$5:$J$1504,'MILEAGE'!$B$5:$B$1504,A1486))</f>
        <v/>
      </c>
      <c r="AA1486" s="55">
        <f>IF(B1486="","",ROUND(Z1486*MileRate,2))</f>
        <v/>
      </c>
      <c r="AB1486" s="55">
        <f>IF(B1486="","",SUMIFS('REVENUE'!$J$5:$J$1504,'REVENUE'!$B$5:$B$1504,A1486))</f>
        <v/>
      </c>
      <c r="AC1486" s="55">
        <f>IF(L1486="","",IF(OR(O1486="Cancelled",O1486="No-Show"),"",L1486-N(X1486)-N(Y1486)-AA1486-AB1486))</f>
        <v/>
      </c>
      <c r="AD1486" s="99">
        <f>IF(OR(AC1486="",N(L1486)=0),"",AC1486/L1486)</f>
        <v/>
      </c>
      <c r="AE1486" s="55">
        <f>IF(OR(AC1486="",N(R1486)=0),"",L1486/R1486)</f>
        <v/>
      </c>
      <c r="AF1486" s="100">
        <f>IF(OR(N(K1486)=0,N(J1486)+N(Q1486)=0),"",K1486-IF(N(J1486)&gt;0,J1486,Q1486))</f>
        <v/>
      </c>
      <c r="AG1486" s="99">
        <f>IF(B1486="","",IFERROR(AVERAGEIFS('QUALITY CONTROL'!$M$5:$M$304,'QUALITY CONTROL'!$B$5:$B$304,A1486),""))</f>
        <v/>
      </c>
      <c r="AH1486" s="51">
        <f>IF(B1486="","",DATE(YEAR(B1486),MONTH(B1486),1))</f>
        <v/>
      </c>
      <c r="AI1486" s="49">
        <f>IF(D1486="","",IFERROR(INDEX('CUSTOMERS'!$E$5:$E$404,MATCH(D1486,'CUSTOMERS'!$B$5:$B$404,0)),""))</f>
        <v/>
      </c>
      <c r="AJ1486" s="49">
        <f>IF(B1486="","",N(C1486))</f>
        <v/>
      </c>
      <c r="AK1486" s="49">
        <f>IF(OR(B1486="",O1486="Cancelled",O1486="Rescheduled"),"",B1486&amp;"|"&amp;(COUNTIFS('JOBS'!$B$5:$B$1504,B1486,'JOBS'!$AJ$5:$AJ$1504,"&lt;"&amp;AJ1486,'JOBS'!$O$5:$O$1504,"&lt;&gt;Cancelled",'JOBS'!$O$5:$O$1504,"&lt;&gt;Rescheduled")+COUNTIFS($B$5:B1486,B1486,$AJ$5:AJ1486,AJ1486,$O$5:O1486,"&lt;&gt;Cancelled",$O$5:O1486,"&lt;&gt;Rescheduled")))</f>
        <v/>
      </c>
      <c r="AL1486" s="49">
        <f>IF(N(U1486)&lt;=0.005,"",COUNTIFS('JOBS'!$U$5:$U$1504,"&gt;0.005",'JOBS'!$B$5:$B$1504,"&lt;"&amp;B1486)+COUNTIFS($U$5:U1486,"&gt;0.005",$B$5:B1486,B1486))</f>
        <v/>
      </c>
    </row>
    <row r="1487">
      <c r="A1487" s="46" t="inlineStr">
        <is>
          <t>J-1483</t>
        </is>
      </c>
      <c r="B1487" s="47" t="n"/>
      <c r="C1487" s="94" t="n"/>
      <c r="D1487" s="38" t="n"/>
      <c r="E1487" s="38" t="n"/>
      <c r="F1487" s="38" t="n"/>
      <c r="G1487" s="38" t="n"/>
      <c r="H1487" s="38" t="n"/>
      <c r="I1487" s="57" t="n"/>
      <c r="J1487" s="95" t="n"/>
      <c r="K1487" s="95" t="n"/>
      <c r="L1487" s="48" t="n"/>
      <c r="M1487" s="96" t="n"/>
      <c r="N1487" s="48" t="n"/>
      <c r="O1487" s="38" t="n"/>
      <c r="P1487" s="38" t="n"/>
      <c r="Q1487" s="97">
        <f>IF(OR(F1487="",E1487=""),"",IFERROR(IF(INDEX('PROPERTIES'!$F$5:$F$404,MATCH(E1487,'PROPERTIES'!$B$5:$B$404,0))=0,"",ROUND((INDEX('PROPERTIES'!$F$5:$F$404,MATCH(E1487,'PROPERTIES'!$B$5:$B$404,0))/INDEX('PRICING'!$C$7:$C$16,MATCH(F1487,'PRICING'!$A$7:$A$16,0))+INDEX('PROPERTIES'!$G$5:$G$404,MATCH(E1487,'PROPERTIES'!$B$5:$B$404,0))*INDEX('PRICING'!$D$7:$D$16,MATCH(F1487,'PRICING'!$A$7:$A$16,0))/60+INDEX('PROPERTIES'!$H$5:$H$404,MATCH(E1487,'PROPERTIES'!$B$5:$B$404,0))*INDEX('PRICING'!$E$7:$E$16,MATCH(F1487,'PRICING'!$A$7:$A$16,0))/60+INDEX('PRICING'!$F$7:$F$16,MATCH(F1487,'PRICING'!$A$7:$A$16,0))/60),2)),""))</f>
        <v/>
      </c>
      <c r="R1487" s="97">
        <f>IF(B1487="","",IF(N(K1487)&gt;0,K1487,IF(N(J1487)&gt;0,J1487,N(Q1487))))</f>
        <v/>
      </c>
      <c r="S1487" s="55">
        <f>IF(L1487="","",ROUND(L1487*(1+N(M1487)),2))</f>
        <v/>
      </c>
      <c r="T1487" s="55">
        <f>IF(B1487="","",SUMIFS('REVENUE'!$C$5:$C$1504,'REVENUE'!$B$5:$B$1504,A1487))</f>
        <v/>
      </c>
      <c r="U1487" s="55">
        <f>IF(B1487="","",IF(O1487="Completed",MAX(0,N(S1487)-T1487),""))</f>
        <v/>
      </c>
      <c r="V1487" s="49">
        <f>IF(B1487="","",IF(O1487&lt;&gt;"Completed",IF(T1487&gt;0,"Deposit","—"),IF(U1487&lt;=0.005,"Paid",IF(T1487&gt;0,"Partial","Unpaid"))))</f>
        <v/>
      </c>
      <c r="W1487" s="55">
        <f>IF(B1487="","",IFERROR(1/(1/INDEX('STAFF &amp; TASKS'!$C$5:$C$24,MATCH(H1487,'STAFF &amp; TASKS'!$A$5:$A$24,0))),PayRate))</f>
        <v/>
      </c>
      <c r="X1487" s="55">
        <f>IF(B1487="","",IF(OR(O1487="Cancelled",O1487="No-Show"),"",ROUND(R1487*W1487*(1+Burden),2)))</f>
        <v/>
      </c>
      <c r="Y1487" s="55">
        <f>IF(B1487="","",IF(OR(O1487="Cancelled",O1487="No-Show"),"",IF(N1487&lt;&gt;"",N1487,ROUND(R1487*SupHr*IFERROR(INDEX('PRICING'!$G$7:$G$16,MATCH(F1487,'PRICING'!$A$7:$A$16,0)),1),2))))</f>
        <v/>
      </c>
      <c r="Z1487" s="98">
        <f>IF(B1487="","",SUMIFS('MILEAGE'!$J$5:$J$1504,'MILEAGE'!$B$5:$B$1504,A1487))</f>
        <v/>
      </c>
      <c r="AA1487" s="55">
        <f>IF(B1487="","",ROUND(Z1487*MileRate,2))</f>
        <v/>
      </c>
      <c r="AB1487" s="55">
        <f>IF(B1487="","",SUMIFS('REVENUE'!$J$5:$J$1504,'REVENUE'!$B$5:$B$1504,A1487))</f>
        <v/>
      </c>
      <c r="AC1487" s="55">
        <f>IF(L1487="","",IF(OR(O1487="Cancelled",O1487="No-Show"),"",L1487-N(X1487)-N(Y1487)-AA1487-AB1487))</f>
        <v/>
      </c>
      <c r="AD1487" s="99">
        <f>IF(OR(AC1487="",N(L1487)=0),"",AC1487/L1487)</f>
        <v/>
      </c>
      <c r="AE1487" s="55">
        <f>IF(OR(AC1487="",N(R1487)=0),"",L1487/R1487)</f>
        <v/>
      </c>
      <c r="AF1487" s="100">
        <f>IF(OR(N(K1487)=0,N(J1487)+N(Q1487)=0),"",K1487-IF(N(J1487)&gt;0,J1487,Q1487))</f>
        <v/>
      </c>
      <c r="AG1487" s="99">
        <f>IF(B1487="","",IFERROR(AVERAGEIFS('QUALITY CONTROL'!$M$5:$M$304,'QUALITY CONTROL'!$B$5:$B$304,A1487),""))</f>
        <v/>
      </c>
      <c r="AH1487" s="51">
        <f>IF(B1487="","",DATE(YEAR(B1487),MONTH(B1487),1))</f>
        <v/>
      </c>
      <c r="AI1487" s="49">
        <f>IF(D1487="","",IFERROR(INDEX('CUSTOMERS'!$E$5:$E$404,MATCH(D1487,'CUSTOMERS'!$B$5:$B$404,0)),""))</f>
        <v/>
      </c>
      <c r="AJ1487" s="49">
        <f>IF(B1487="","",N(C1487))</f>
        <v/>
      </c>
      <c r="AK1487" s="49">
        <f>IF(OR(B1487="",O1487="Cancelled",O1487="Rescheduled"),"",B1487&amp;"|"&amp;(COUNTIFS('JOBS'!$B$5:$B$1504,B1487,'JOBS'!$AJ$5:$AJ$1504,"&lt;"&amp;AJ1487,'JOBS'!$O$5:$O$1504,"&lt;&gt;Cancelled",'JOBS'!$O$5:$O$1504,"&lt;&gt;Rescheduled")+COUNTIFS($B$5:B1487,B1487,$AJ$5:AJ1487,AJ1487,$O$5:O1487,"&lt;&gt;Cancelled",$O$5:O1487,"&lt;&gt;Rescheduled")))</f>
        <v/>
      </c>
      <c r="AL1487" s="49">
        <f>IF(N(U1487)&lt;=0.005,"",COUNTIFS('JOBS'!$U$5:$U$1504,"&gt;0.005",'JOBS'!$B$5:$B$1504,"&lt;"&amp;B1487)+COUNTIFS($U$5:U1487,"&gt;0.005",$B$5:B1487,B1487))</f>
        <v/>
      </c>
    </row>
    <row r="1488">
      <c r="A1488" s="46" t="inlineStr">
        <is>
          <t>J-1484</t>
        </is>
      </c>
      <c r="B1488" s="47" t="n"/>
      <c r="C1488" s="94" t="n"/>
      <c r="D1488" s="38" t="n"/>
      <c r="E1488" s="38" t="n"/>
      <c r="F1488" s="38" t="n"/>
      <c r="G1488" s="38" t="n"/>
      <c r="H1488" s="38" t="n"/>
      <c r="I1488" s="57" t="n"/>
      <c r="J1488" s="95" t="n"/>
      <c r="K1488" s="95" t="n"/>
      <c r="L1488" s="48" t="n"/>
      <c r="M1488" s="96" t="n"/>
      <c r="N1488" s="48" t="n"/>
      <c r="O1488" s="38" t="n"/>
      <c r="P1488" s="38" t="n"/>
      <c r="Q1488" s="97">
        <f>IF(OR(F1488="",E1488=""),"",IFERROR(IF(INDEX('PROPERTIES'!$F$5:$F$404,MATCH(E1488,'PROPERTIES'!$B$5:$B$404,0))=0,"",ROUND((INDEX('PROPERTIES'!$F$5:$F$404,MATCH(E1488,'PROPERTIES'!$B$5:$B$404,0))/INDEX('PRICING'!$C$7:$C$16,MATCH(F1488,'PRICING'!$A$7:$A$16,0))+INDEX('PROPERTIES'!$G$5:$G$404,MATCH(E1488,'PROPERTIES'!$B$5:$B$404,0))*INDEX('PRICING'!$D$7:$D$16,MATCH(F1488,'PRICING'!$A$7:$A$16,0))/60+INDEX('PROPERTIES'!$H$5:$H$404,MATCH(E1488,'PROPERTIES'!$B$5:$B$404,0))*INDEX('PRICING'!$E$7:$E$16,MATCH(F1488,'PRICING'!$A$7:$A$16,0))/60+INDEX('PRICING'!$F$7:$F$16,MATCH(F1488,'PRICING'!$A$7:$A$16,0))/60),2)),""))</f>
        <v/>
      </c>
      <c r="R1488" s="97">
        <f>IF(B1488="","",IF(N(K1488)&gt;0,K1488,IF(N(J1488)&gt;0,J1488,N(Q1488))))</f>
        <v/>
      </c>
      <c r="S1488" s="55">
        <f>IF(L1488="","",ROUND(L1488*(1+N(M1488)),2))</f>
        <v/>
      </c>
      <c r="T1488" s="55">
        <f>IF(B1488="","",SUMIFS('REVENUE'!$C$5:$C$1504,'REVENUE'!$B$5:$B$1504,A1488))</f>
        <v/>
      </c>
      <c r="U1488" s="55">
        <f>IF(B1488="","",IF(O1488="Completed",MAX(0,N(S1488)-T1488),""))</f>
        <v/>
      </c>
      <c r="V1488" s="49">
        <f>IF(B1488="","",IF(O1488&lt;&gt;"Completed",IF(T1488&gt;0,"Deposit","—"),IF(U1488&lt;=0.005,"Paid",IF(T1488&gt;0,"Partial","Unpaid"))))</f>
        <v/>
      </c>
      <c r="W1488" s="55">
        <f>IF(B1488="","",IFERROR(1/(1/INDEX('STAFF &amp; TASKS'!$C$5:$C$24,MATCH(H1488,'STAFF &amp; TASKS'!$A$5:$A$24,0))),PayRate))</f>
        <v/>
      </c>
      <c r="X1488" s="55">
        <f>IF(B1488="","",IF(OR(O1488="Cancelled",O1488="No-Show"),"",ROUND(R1488*W1488*(1+Burden),2)))</f>
        <v/>
      </c>
      <c r="Y1488" s="55">
        <f>IF(B1488="","",IF(OR(O1488="Cancelled",O1488="No-Show"),"",IF(N1488&lt;&gt;"",N1488,ROUND(R1488*SupHr*IFERROR(INDEX('PRICING'!$G$7:$G$16,MATCH(F1488,'PRICING'!$A$7:$A$16,0)),1),2))))</f>
        <v/>
      </c>
      <c r="Z1488" s="98">
        <f>IF(B1488="","",SUMIFS('MILEAGE'!$J$5:$J$1504,'MILEAGE'!$B$5:$B$1504,A1488))</f>
        <v/>
      </c>
      <c r="AA1488" s="55">
        <f>IF(B1488="","",ROUND(Z1488*MileRate,2))</f>
        <v/>
      </c>
      <c r="AB1488" s="55">
        <f>IF(B1488="","",SUMIFS('REVENUE'!$J$5:$J$1504,'REVENUE'!$B$5:$B$1504,A1488))</f>
        <v/>
      </c>
      <c r="AC1488" s="55">
        <f>IF(L1488="","",IF(OR(O1488="Cancelled",O1488="No-Show"),"",L1488-N(X1488)-N(Y1488)-AA1488-AB1488))</f>
        <v/>
      </c>
      <c r="AD1488" s="99">
        <f>IF(OR(AC1488="",N(L1488)=0),"",AC1488/L1488)</f>
        <v/>
      </c>
      <c r="AE1488" s="55">
        <f>IF(OR(AC1488="",N(R1488)=0),"",L1488/R1488)</f>
        <v/>
      </c>
      <c r="AF1488" s="100">
        <f>IF(OR(N(K1488)=0,N(J1488)+N(Q1488)=0),"",K1488-IF(N(J1488)&gt;0,J1488,Q1488))</f>
        <v/>
      </c>
      <c r="AG1488" s="99">
        <f>IF(B1488="","",IFERROR(AVERAGEIFS('QUALITY CONTROL'!$M$5:$M$304,'QUALITY CONTROL'!$B$5:$B$304,A1488),""))</f>
        <v/>
      </c>
      <c r="AH1488" s="51">
        <f>IF(B1488="","",DATE(YEAR(B1488),MONTH(B1488),1))</f>
        <v/>
      </c>
      <c r="AI1488" s="49">
        <f>IF(D1488="","",IFERROR(INDEX('CUSTOMERS'!$E$5:$E$404,MATCH(D1488,'CUSTOMERS'!$B$5:$B$404,0)),""))</f>
        <v/>
      </c>
      <c r="AJ1488" s="49">
        <f>IF(B1488="","",N(C1488))</f>
        <v/>
      </c>
      <c r="AK1488" s="49">
        <f>IF(OR(B1488="",O1488="Cancelled",O1488="Rescheduled"),"",B1488&amp;"|"&amp;(COUNTIFS('JOBS'!$B$5:$B$1504,B1488,'JOBS'!$AJ$5:$AJ$1504,"&lt;"&amp;AJ1488,'JOBS'!$O$5:$O$1504,"&lt;&gt;Cancelled",'JOBS'!$O$5:$O$1504,"&lt;&gt;Rescheduled")+COUNTIFS($B$5:B1488,B1488,$AJ$5:AJ1488,AJ1488,$O$5:O1488,"&lt;&gt;Cancelled",$O$5:O1488,"&lt;&gt;Rescheduled")))</f>
        <v/>
      </c>
      <c r="AL1488" s="49">
        <f>IF(N(U1488)&lt;=0.005,"",COUNTIFS('JOBS'!$U$5:$U$1504,"&gt;0.005",'JOBS'!$B$5:$B$1504,"&lt;"&amp;B1488)+COUNTIFS($U$5:U1488,"&gt;0.005",$B$5:B1488,B1488))</f>
        <v/>
      </c>
    </row>
    <row r="1489">
      <c r="A1489" s="46" t="inlineStr">
        <is>
          <t>J-1485</t>
        </is>
      </c>
      <c r="B1489" s="47" t="n"/>
      <c r="C1489" s="94" t="n"/>
      <c r="D1489" s="38" t="n"/>
      <c r="E1489" s="38" t="n"/>
      <c r="F1489" s="38" t="n"/>
      <c r="G1489" s="38" t="n"/>
      <c r="H1489" s="38" t="n"/>
      <c r="I1489" s="57" t="n"/>
      <c r="J1489" s="95" t="n"/>
      <c r="K1489" s="95" t="n"/>
      <c r="L1489" s="48" t="n"/>
      <c r="M1489" s="96" t="n"/>
      <c r="N1489" s="48" t="n"/>
      <c r="O1489" s="38" t="n"/>
      <c r="P1489" s="38" t="n"/>
      <c r="Q1489" s="97">
        <f>IF(OR(F1489="",E1489=""),"",IFERROR(IF(INDEX('PROPERTIES'!$F$5:$F$404,MATCH(E1489,'PROPERTIES'!$B$5:$B$404,0))=0,"",ROUND((INDEX('PROPERTIES'!$F$5:$F$404,MATCH(E1489,'PROPERTIES'!$B$5:$B$404,0))/INDEX('PRICING'!$C$7:$C$16,MATCH(F1489,'PRICING'!$A$7:$A$16,0))+INDEX('PROPERTIES'!$G$5:$G$404,MATCH(E1489,'PROPERTIES'!$B$5:$B$404,0))*INDEX('PRICING'!$D$7:$D$16,MATCH(F1489,'PRICING'!$A$7:$A$16,0))/60+INDEX('PROPERTIES'!$H$5:$H$404,MATCH(E1489,'PROPERTIES'!$B$5:$B$404,0))*INDEX('PRICING'!$E$7:$E$16,MATCH(F1489,'PRICING'!$A$7:$A$16,0))/60+INDEX('PRICING'!$F$7:$F$16,MATCH(F1489,'PRICING'!$A$7:$A$16,0))/60),2)),""))</f>
        <v/>
      </c>
      <c r="R1489" s="97">
        <f>IF(B1489="","",IF(N(K1489)&gt;0,K1489,IF(N(J1489)&gt;0,J1489,N(Q1489))))</f>
        <v/>
      </c>
      <c r="S1489" s="55">
        <f>IF(L1489="","",ROUND(L1489*(1+N(M1489)),2))</f>
        <v/>
      </c>
      <c r="T1489" s="55">
        <f>IF(B1489="","",SUMIFS('REVENUE'!$C$5:$C$1504,'REVENUE'!$B$5:$B$1504,A1489))</f>
        <v/>
      </c>
      <c r="U1489" s="55">
        <f>IF(B1489="","",IF(O1489="Completed",MAX(0,N(S1489)-T1489),""))</f>
        <v/>
      </c>
      <c r="V1489" s="49">
        <f>IF(B1489="","",IF(O1489&lt;&gt;"Completed",IF(T1489&gt;0,"Deposit","—"),IF(U1489&lt;=0.005,"Paid",IF(T1489&gt;0,"Partial","Unpaid"))))</f>
        <v/>
      </c>
      <c r="W1489" s="55">
        <f>IF(B1489="","",IFERROR(1/(1/INDEX('STAFF &amp; TASKS'!$C$5:$C$24,MATCH(H1489,'STAFF &amp; TASKS'!$A$5:$A$24,0))),PayRate))</f>
        <v/>
      </c>
      <c r="X1489" s="55">
        <f>IF(B1489="","",IF(OR(O1489="Cancelled",O1489="No-Show"),"",ROUND(R1489*W1489*(1+Burden),2)))</f>
        <v/>
      </c>
      <c r="Y1489" s="55">
        <f>IF(B1489="","",IF(OR(O1489="Cancelled",O1489="No-Show"),"",IF(N1489&lt;&gt;"",N1489,ROUND(R1489*SupHr*IFERROR(INDEX('PRICING'!$G$7:$G$16,MATCH(F1489,'PRICING'!$A$7:$A$16,0)),1),2))))</f>
        <v/>
      </c>
      <c r="Z1489" s="98">
        <f>IF(B1489="","",SUMIFS('MILEAGE'!$J$5:$J$1504,'MILEAGE'!$B$5:$B$1504,A1489))</f>
        <v/>
      </c>
      <c r="AA1489" s="55">
        <f>IF(B1489="","",ROUND(Z1489*MileRate,2))</f>
        <v/>
      </c>
      <c r="AB1489" s="55">
        <f>IF(B1489="","",SUMIFS('REVENUE'!$J$5:$J$1504,'REVENUE'!$B$5:$B$1504,A1489))</f>
        <v/>
      </c>
      <c r="AC1489" s="55">
        <f>IF(L1489="","",IF(OR(O1489="Cancelled",O1489="No-Show"),"",L1489-N(X1489)-N(Y1489)-AA1489-AB1489))</f>
        <v/>
      </c>
      <c r="AD1489" s="99">
        <f>IF(OR(AC1489="",N(L1489)=0),"",AC1489/L1489)</f>
        <v/>
      </c>
      <c r="AE1489" s="55">
        <f>IF(OR(AC1489="",N(R1489)=0),"",L1489/R1489)</f>
        <v/>
      </c>
      <c r="AF1489" s="100">
        <f>IF(OR(N(K1489)=0,N(J1489)+N(Q1489)=0),"",K1489-IF(N(J1489)&gt;0,J1489,Q1489))</f>
        <v/>
      </c>
      <c r="AG1489" s="99">
        <f>IF(B1489="","",IFERROR(AVERAGEIFS('QUALITY CONTROL'!$M$5:$M$304,'QUALITY CONTROL'!$B$5:$B$304,A1489),""))</f>
        <v/>
      </c>
      <c r="AH1489" s="51">
        <f>IF(B1489="","",DATE(YEAR(B1489),MONTH(B1489),1))</f>
        <v/>
      </c>
      <c r="AI1489" s="49">
        <f>IF(D1489="","",IFERROR(INDEX('CUSTOMERS'!$E$5:$E$404,MATCH(D1489,'CUSTOMERS'!$B$5:$B$404,0)),""))</f>
        <v/>
      </c>
      <c r="AJ1489" s="49">
        <f>IF(B1489="","",N(C1489))</f>
        <v/>
      </c>
      <c r="AK1489" s="49">
        <f>IF(OR(B1489="",O1489="Cancelled",O1489="Rescheduled"),"",B1489&amp;"|"&amp;(COUNTIFS('JOBS'!$B$5:$B$1504,B1489,'JOBS'!$AJ$5:$AJ$1504,"&lt;"&amp;AJ1489,'JOBS'!$O$5:$O$1504,"&lt;&gt;Cancelled",'JOBS'!$O$5:$O$1504,"&lt;&gt;Rescheduled")+COUNTIFS($B$5:B1489,B1489,$AJ$5:AJ1489,AJ1489,$O$5:O1489,"&lt;&gt;Cancelled",$O$5:O1489,"&lt;&gt;Rescheduled")))</f>
        <v/>
      </c>
      <c r="AL1489" s="49">
        <f>IF(N(U1489)&lt;=0.005,"",COUNTIFS('JOBS'!$U$5:$U$1504,"&gt;0.005",'JOBS'!$B$5:$B$1504,"&lt;"&amp;B1489)+COUNTIFS($U$5:U1489,"&gt;0.005",$B$5:B1489,B1489))</f>
        <v/>
      </c>
    </row>
    <row r="1490">
      <c r="A1490" s="46" t="inlineStr">
        <is>
          <t>J-1486</t>
        </is>
      </c>
      <c r="B1490" s="47" t="n"/>
      <c r="C1490" s="94" t="n"/>
      <c r="D1490" s="38" t="n"/>
      <c r="E1490" s="38" t="n"/>
      <c r="F1490" s="38" t="n"/>
      <c r="G1490" s="38" t="n"/>
      <c r="H1490" s="38" t="n"/>
      <c r="I1490" s="57" t="n"/>
      <c r="J1490" s="95" t="n"/>
      <c r="K1490" s="95" t="n"/>
      <c r="L1490" s="48" t="n"/>
      <c r="M1490" s="96" t="n"/>
      <c r="N1490" s="48" t="n"/>
      <c r="O1490" s="38" t="n"/>
      <c r="P1490" s="38" t="n"/>
      <c r="Q1490" s="97">
        <f>IF(OR(F1490="",E1490=""),"",IFERROR(IF(INDEX('PROPERTIES'!$F$5:$F$404,MATCH(E1490,'PROPERTIES'!$B$5:$B$404,0))=0,"",ROUND((INDEX('PROPERTIES'!$F$5:$F$404,MATCH(E1490,'PROPERTIES'!$B$5:$B$404,0))/INDEX('PRICING'!$C$7:$C$16,MATCH(F1490,'PRICING'!$A$7:$A$16,0))+INDEX('PROPERTIES'!$G$5:$G$404,MATCH(E1490,'PROPERTIES'!$B$5:$B$404,0))*INDEX('PRICING'!$D$7:$D$16,MATCH(F1490,'PRICING'!$A$7:$A$16,0))/60+INDEX('PROPERTIES'!$H$5:$H$404,MATCH(E1490,'PROPERTIES'!$B$5:$B$404,0))*INDEX('PRICING'!$E$7:$E$16,MATCH(F1490,'PRICING'!$A$7:$A$16,0))/60+INDEX('PRICING'!$F$7:$F$16,MATCH(F1490,'PRICING'!$A$7:$A$16,0))/60),2)),""))</f>
        <v/>
      </c>
      <c r="R1490" s="97">
        <f>IF(B1490="","",IF(N(K1490)&gt;0,K1490,IF(N(J1490)&gt;0,J1490,N(Q1490))))</f>
        <v/>
      </c>
      <c r="S1490" s="55">
        <f>IF(L1490="","",ROUND(L1490*(1+N(M1490)),2))</f>
        <v/>
      </c>
      <c r="T1490" s="55">
        <f>IF(B1490="","",SUMIFS('REVENUE'!$C$5:$C$1504,'REVENUE'!$B$5:$B$1504,A1490))</f>
        <v/>
      </c>
      <c r="U1490" s="55">
        <f>IF(B1490="","",IF(O1490="Completed",MAX(0,N(S1490)-T1490),""))</f>
        <v/>
      </c>
      <c r="V1490" s="49">
        <f>IF(B1490="","",IF(O1490&lt;&gt;"Completed",IF(T1490&gt;0,"Deposit","—"),IF(U1490&lt;=0.005,"Paid",IF(T1490&gt;0,"Partial","Unpaid"))))</f>
        <v/>
      </c>
      <c r="W1490" s="55">
        <f>IF(B1490="","",IFERROR(1/(1/INDEX('STAFF &amp; TASKS'!$C$5:$C$24,MATCH(H1490,'STAFF &amp; TASKS'!$A$5:$A$24,0))),PayRate))</f>
        <v/>
      </c>
      <c r="X1490" s="55">
        <f>IF(B1490="","",IF(OR(O1490="Cancelled",O1490="No-Show"),"",ROUND(R1490*W1490*(1+Burden),2)))</f>
        <v/>
      </c>
      <c r="Y1490" s="55">
        <f>IF(B1490="","",IF(OR(O1490="Cancelled",O1490="No-Show"),"",IF(N1490&lt;&gt;"",N1490,ROUND(R1490*SupHr*IFERROR(INDEX('PRICING'!$G$7:$G$16,MATCH(F1490,'PRICING'!$A$7:$A$16,0)),1),2))))</f>
        <v/>
      </c>
      <c r="Z1490" s="98">
        <f>IF(B1490="","",SUMIFS('MILEAGE'!$J$5:$J$1504,'MILEAGE'!$B$5:$B$1504,A1490))</f>
        <v/>
      </c>
      <c r="AA1490" s="55">
        <f>IF(B1490="","",ROUND(Z1490*MileRate,2))</f>
        <v/>
      </c>
      <c r="AB1490" s="55">
        <f>IF(B1490="","",SUMIFS('REVENUE'!$J$5:$J$1504,'REVENUE'!$B$5:$B$1504,A1490))</f>
        <v/>
      </c>
      <c r="AC1490" s="55">
        <f>IF(L1490="","",IF(OR(O1490="Cancelled",O1490="No-Show"),"",L1490-N(X1490)-N(Y1490)-AA1490-AB1490))</f>
        <v/>
      </c>
      <c r="AD1490" s="99">
        <f>IF(OR(AC1490="",N(L1490)=0),"",AC1490/L1490)</f>
        <v/>
      </c>
      <c r="AE1490" s="55">
        <f>IF(OR(AC1490="",N(R1490)=0),"",L1490/R1490)</f>
        <v/>
      </c>
      <c r="AF1490" s="100">
        <f>IF(OR(N(K1490)=0,N(J1490)+N(Q1490)=0),"",K1490-IF(N(J1490)&gt;0,J1490,Q1490))</f>
        <v/>
      </c>
      <c r="AG1490" s="99">
        <f>IF(B1490="","",IFERROR(AVERAGEIFS('QUALITY CONTROL'!$M$5:$M$304,'QUALITY CONTROL'!$B$5:$B$304,A1490),""))</f>
        <v/>
      </c>
      <c r="AH1490" s="51">
        <f>IF(B1490="","",DATE(YEAR(B1490),MONTH(B1490),1))</f>
        <v/>
      </c>
      <c r="AI1490" s="49">
        <f>IF(D1490="","",IFERROR(INDEX('CUSTOMERS'!$E$5:$E$404,MATCH(D1490,'CUSTOMERS'!$B$5:$B$404,0)),""))</f>
        <v/>
      </c>
      <c r="AJ1490" s="49">
        <f>IF(B1490="","",N(C1490))</f>
        <v/>
      </c>
      <c r="AK1490" s="49">
        <f>IF(OR(B1490="",O1490="Cancelled",O1490="Rescheduled"),"",B1490&amp;"|"&amp;(COUNTIFS('JOBS'!$B$5:$B$1504,B1490,'JOBS'!$AJ$5:$AJ$1504,"&lt;"&amp;AJ1490,'JOBS'!$O$5:$O$1504,"&lt;&gt;Cancelled",'JOBS'!$O$5:$O$1504,"&lt;&gt;Rescheduled")+COUNTIFS($B$5:B1490,B1490,$AJ$5:AJ1490,AJ1490,$O$5:O1490,"&lt;&gt;Cancelled",$O$5:O1490,"&lt;&gt;Rescheduled")))</f>
        <v/>
      </c>
      <c r="AL1490" s="49">
        <f>IF(N(U1490)&lt;=0.005,"",COUNTIFS('JOBS'!$U$5:$U$1504,"&gt;0.005",'JOBS'!$B$5:$B$1504,"&lt;"&amp;B1490)+COUNTIFS($U$5:U1490,"&gt;0.005",$B$5:B1490,B1490))</f>
        <v/>
      </c>
    </row>
    <row r="1491">
      <c r="A1491" s="46" t="inlineStr">
        <is>
          <t>J-1487</t>
        </is>
      </c>
      <c r="B1491" s="47" t="n"/>
      <c r="C1491" s="94" t="n"/>
      <c r="D1491" s="38" t="n"/>
      <c r="E1491" s="38" t="n"/>
      <c r="F1491" s="38" t="n"/>
      <c r="G1491" s="38" t="n"/>
      <c r="H1491" s="38" t="n"/>
      <c r="I1491" s="57" t="n"/>
      <c r="J1491" s="95" t="n"/>
      <c r="K1491" s="95" t="n"/>
      <c r="L1491" s="48" t="n"/>
      <c r="M1491" s="96" t="n"/>
      <c r="N1491" s="48" t="n"/>
      <c r="O1491" s="38" t="n"/>
      <c r="P1491" s="38" t="n"/>
      <c r="Q1491" s="97">
        <f>IF(OR(F1491="",E1491=""),"",IFERROR(IF(INDEX('PROPERTIES'!$F$5:$F$404,MATCH(E1491,'PROPERTIES'!$B$5:$B$404,0))=0,"",ROUND((INDEX('PROPERTIES'!$F$5:$F$404,MATCH(E1491,'PROPERTIES'!$B$5:$B$404,0))/INDEX('PRICING'!$C$7:$C$16,MATCH(F1491,'PRICING'!$A$7:$A$16,0))+INDEX('PROPERTIES'!$G$5:$G$404,MATCH(E1491,'PROPERTIES'!$B$5:$B$404,0))*INDEX('PRICING'!$D$7:$D$16,MATCH(F1491,'PRICING'!$A$7:$A$16,0))/60+INDEX('PROPERTIES'!$H$5:$H$404,MATCH(E1491,'PROPERTIES'!$B$5:$B$404,0))*INDEX('PRICING'!$E$7:$E$16,MATCH(F1491,'PRICING'!$A$7:$A$16,0))/60+INDEX('PRICING'!$F$7:$F$16,MATCH(F1491,'PRICING'!$A$7:$A$16,0))/60),2)),""))</f>
        <v/>
      </c>
      <c r="R1491" s="97">
        <f>IF(B1491="","",IF(N(K1491)&gt;0,K1491,IF(N(J1491)&gt;0,J1491,N(Q1491))))</f>
        <v/>
      </c>
      <c r="S1491" s="55">
        <f>IF(L1491="","",ROUND(L1491*(1+N(M1491)),2))</f>
        <v/>
      </c>
      <c r="T1491" s="55">
        <f>IF(B1491="","",SUMIFS('REVENUE'!$C$5:$C$1504,'REVENUE'!$B$5:$B$1504,A1491))</f>
        <v/>
      </c>
      <c r="U1491" s="55">
        <f>IF(B1491="","",IF(O1491="Completed",MAX(0,N(S1491)-T1491),""))</f>
        <v/>
      </c>
      <c r="V1491" s="49">
        <f>IF(B1491="","",IF(O1491&lt;&gt;"Completed",IF(T1491&gt;0,"Deposit","—"),IF(U1491&lt;=0.005,"Paid",IF(T1491&gt;0,"Partial","Unpaid"))))</f>
        <v/>
      </c>
      <c r="W1491" s="55">
        <f>IF(B1491="","",IFERROR(1/(1/INDEX('STAFF &amp; TASKS'!$C$5:$C$24,MATCH(H1491,'STAFF &amp; TASKS'!$A$5:$A$24,0))),PayRate))</f>
        <v/>
      </c>
      <c r="X1491" s="55">
        <f>IF(B1491="","",IF(OR(O1491="Cancelled",O1491="No-Show"),"",ROUND(R1491*W1491*(1+Burden),2)))</f>
        <v/>
      </c>
      <c r="Y1491" s="55">
        <f>IF(B1491="","",IF(OR(O1491="Cancelled",O1491="No-Show"),"",IF(N1491&lt;&gt;"",N1491,ROUND(R1491*SupHr*IFERROR(INDEX('PRICING'!$G$7:$G$16,MATCH(F1491,'PRICING'!$A$7:$A$16,0)),1),2))))</f>
        <v/>
      </c>
      <c r="Z1491" s="98">
        <f>IF(B1491="","",SUMIFS('MILEAGE'!$J$5:$J$1504,'MILEAGE'!$B$5:$B$1504,A1491))</f>
        <v/>
      </c>
      <c r="AA1491" s="55">
        <f>IF(B1491="","",ROUND(Z1491*MileRate,2))</f>
        <v/>
      </c>
      <c r="AB1491" s="55">
        <f>IF(B1491="","",SUMIFS('REVENUE'!$J$5:$J$1504,'REVENUE'!$B$5:$B$1504,A1491))</f>
        <v/>
      </c>
      <c r="AC1491" s="55">
        <f>IF(L1491="","",IF(OR(O1491="Cancelled",O1491="No-Show"),"",L1491-N(X1491)-N(Y1491)-AA1491-AB1491))</f>
        <v/>
      </c>
      <c r="AD1491" s="99">
        <f>IF(OR(AC1491="",N(L1491)=0),"",AC1491/L1491)</f>
        <v/>
      </c>
      <c r="AE1491" s="55">
        <f>IF(OR(AC1491="",N(R1491)=0),"",L1491/R1491)</f>
        <v/>
      </c>
      <c r="AF1491" s="100">
        <f>IF(OR(N(K1491)=0,N(J1491)+N(Q1491)=0),"",K1491-IF(N(J1491)&gt;0,J1491,Q1491))</f>
        <v/>
      </c>
      <c r="AG1491" s="99">
        <f>IF(B1491="","",IFERROR(AVERAGEIFS('QUALITY CONTROL'!$M$5:$M$304,'QUALITY CONTROL'!$B$5:$B$304,A1491),""))</f>
        <v/>
      </c>
      <c r="AH1491" s="51">
        <f>IF(B1491="","",DATE(YEAR(B1491),MONTH(B1491),1))</f>
        <v/>
      </c>
      <c r="AI1491" s="49">
        <f>IF(D1491="","",IFERROR(INDEX('CUSTOMERS'!$E$5:$E$404,MATCH(D1491,'CUSTOMERS'!$B$5:$B$404,0)),""))</f>
        <v/>
      </c>
      <c r="AJ1491" s="49">
        <f>IF(B1491="","",N(C1491))</f>
        <v/>
      </c>
      <c r="AK1491" s="49">
        <f>IF(OR(B1491="",O1491="Cancelled",O1491="Rescheduled"),"",B1491&amp;"|"&amp;(COUNTIFS('JOBS'!$B$5:$B$1504,B1491,'JOBS'!$AJ$5:$AJ$1504,"&lt;"&amp;AJ1491,'JOBS'!$O$5:$O$1504,"&lt;&gt;Cancelled",'JOBS'!$O$5:$O$1504,"&lt;&gt;Rescheduled")+COUNTIFS($B$5:B1491,B1491,$AJ$5:AJ1491,AJ1491,$O$5:O1491,"&lt;&gt;Cancelled",$O$5:O1491,"&lt;&gt;Rescheduled")))</f>
        <v/>
      </c>
      <c r="AL1491" s="49">
        <f>IF(N(U1491)&lt;=0.005,"",COUNTIFS('JOBS'!$U$5:$U$1504,"&gt;0.005",'JOBS'!$B$5:$B$1504,"&lt;"&amp;B1491)+COUNTIFS($U$5:U1491,"&gt;0.005",$B$5:B1491,B1491))</f>
        <v/>
      </c>
    </row>
    <row r="1492">
      <c r="A1492" s="46" t="inlineStr">
        <is>
          <t>J-1488</t>
        </is>
      </c>
      <c r="B1492" s="47" t="n"/>
      <c r="C1492" s="94" t="n"/>
      <c r="D1492" s="38" t="n"/>
      <c r="E1492" s="38" t="n"/>
      <c r="F1492" s="38" t="n"/>
      <c r="G1492" s="38" t="n"/>
      <c r="H1492" s="38" t="n"/>
      <c r="I1492" s="57" t="n"/>
      <c r="J1492" s="95" t="n"/>
      <c r="K1492" s="95" t="n"/>
      <c r="L1492" s="48" t="n"/>
      <c r="M1492" s="96" t="n"/>
      <c r="N1492" s="48" t="n"/>
      <c r="O1492" s="38" t="n"/>
      <c r="P1492" s="38" t="n"/>
      <c r="Q1492" s="97">
        <f>IF(OR(F1492="",E1492=""),"",IFERROR(IF(INDEX('PROPERTIES'!$F$5:$F$404,MATCH(E1492,'PROPERTIES'!$B$5:$B$404,0))=0,"",ROUND((INDEX('PROPERTIES'!$F$5:$F$404,MATCH(E1492,'PROPERTIES'!$B$5:$B$404,0))/INDEX('PRICING'!$C$7:$C$16,MATCH(F1492,'PRICING'!$A$7:$A$16,0))+INDEX('PROPERTIES'!$G$5:$G$404,MATCH(E1492,'PROPERTIES'!$B$5:$B$404,0))*INDEX('PRICING'!$D$7:$D$16,MATCH(F1492,'PRICING'!$A$7:$A$16,0))/60+INDEX('PROPERTIES'!$H$5:$H$404,MATCH(E1492,'PROPERTIES'!$B$5:$B$404,0))*INDEX('PRICING'!$E$7:$E$16,MATCH(F1492,'PRICING'!$A$7:$A$16,0))/60+INDEX('PRICING'!$F$7:$F$16,MATCH(F1492,'PRICING'!$A$7:$A$16,0))/60),2)),""))</f>
        <v/>
      </c>
      <c r="R1492" s="97">
        <f>IF(B1492="","",IF(N(K1492)&gt;0,K1492,IF(N(J1492)&gt;0,J1492,N(Q1492))))</f>
        <v/>
      </c>
      <c r="S1492" s="55">
        <f>IF(L1492="","",ROUND(L1492*(1+N(M1492)),2))</f>
        <v/>
      </c>
      <c r="T1492" s="55">
        <f>IF(B1492="","",SUMIFS('REVENUE'!$C$5:$C$1504,'REVENUE'!$B$5:$B$1504,A1492))</f>
        <v/>
      </c>
      <c r="U1492" s="55">
        <f>IF(B1492="","",IF(O1492="Completed",MAX(0,N(S1492)-T1492),""))</f>
        <v/>
      </c>
      <c r="V1492" s="49">
        <f>IF(B1492="","",IF(O1492&lt;&gt;"Completed",IF(T1492&gt;0,"Deposit","—"),IF(U1492&lt;=0.005,"Paid",IF(T1492&gt;0,"Partial","Unpaid"))))</f>
        <v/>
      </c>
      <c r="W1492" s="55">
        <f>IF(B1492="","",IFERROR(1/(1/INDEX('STAFF &amp; TASKS'!$C$5:$C$24,MATCH(H1492,'STAFF &amp; TASKS'!$A$5:$A$24,0))),PayRate))</f>
        <v/>
      </c>
      <c r="X1492" s="55">
        <f>IF(B1492="","",IF(OR(O1492="Cancelled",O1492="No-Show"),"",ROUND(R1492*W1492*(1+Burden),2)))</f>
        <v/>
      </c>
      <c r="Y1492" s="55">
        <f>IF(B1492="","",IF(OR(O1492="Cancelled",O1492="No-Show"),"",IF(N1492&lt;&gt;"",N1492,ROUND(R1492*SupHr*IFERROR(INDEX('PRICING'!$G$7:$G$16,MATCH(F1492,'PRICING'!$A$7:$A$16,0)),1),2))))</f>
        <v/>
      </c>
      <c r="Z1492" s="98">
        <f>IF(B1492="","",SUMIFS('MILEAGE'!$J$5:$J$1504,'MILEAGE'!$B$5:$B$1504,A1492))</f>
        <v/>
      </c>
      <c r="AA1492" s="55">
        <f>IF(B1492="","",ROUND(Z1492*MileRate,2))</f>
        <v/>
      </c>
      <c r="AB1492" s="55">
        <f>IF(B1492="","",SUMIFS('REVENUE'!$J$5:$J$1504,'REVENUE'!$B$5:$B$1504,A1492))</f>
        <v/>
      </c>
      <c r="AC1492" s="55">
        <f>IF(L1492="","",IF(OR(O1492="Cancelled",O1492="No-Show"),"",L1492-N(X1492)-N(Y1492)-AA1492-AB1492))</f>
        <v/>
      </c>
      <c r="AD1492" s="99">
        <f>IF(OR(AC1492="",N(L1492)=0),"",AC1492/L1492)</f>
        <v/>
      </c>
      <c r="AE1492" s="55">
        <f>IF(OR(AC1492="",N(R1492)=0),"",L1492/R1492)</f>
        <v/>
      </c>
      <c r="AF1492" s="100">
        <f>IF(OR(N(K1492)=0,N(J1492)+N(Q1492)=0),"",K1492-IF(N(J1492)&gt;0,J1492,Q1492))</f>
        <v/>
      </c>
      <c r="AG1492" s="99">
        <f>IF(B1492="","",IFERROR(AVERAGEIFS('QUALITY CONTROL'!$M$5:$M$304,'QUALITY CONTROL'!$B$5:$B$304,A1492),""))</f>
        <v/>
      </c>
      <c r="AH1492" s="51">
        <f>IF(B1492="","",DATE(YEAR(B1492),MONTH(B1492),1))</f>
        <v/>
      </c>
      <c r="AI1492" s="49">
        <f>IF(D1492="","",IFERROR(INDEX('CUSTOMERS'!$E$5:$E$404,MATCH(D1492,'CUSTOMERS'!$B$5:$B$404,0)),""))</f>
        <v/>
      </c>
      <c r="AJ1492" s="49">
        <f>IF(B1492="","",N(C1492))</f>
        <v/>
      </c>
      <c r="AK1492" s="49">
        <f>IF(OR(B1492="",O1492="Cancelled",O1492="Rescheduled"),"",B1492&amp;"|"&amp;(COUNTIFS('JOBS'!$B$5:$B$1504,B1492,'JOBS'!$AJ$5:$AJ$1504,"&lt;"&amp;AJ1492,'JOBS'!$O$5:$O$1504,"&lt;&gt;Cancelled",'JOBS'!$O$5:$O$1504,"&lt;&gt;Rescheduled")+COUNTIFS($B$5:B1492,B1492,$AJ$5:AJ1492,AJ1492,$O$5:O1492,"&lt;&gt;Cancelled",$O$5:O1492,"&lt;&gt;Rescheduled")))</f>
        <v/>
      </c>
      <c r="AL1492" s="49">
        <f>IF(N(U1492)&lt;=0.005,"",COUNTIFS('JOBS'!$U$5:$U$1504,"&gt;0.005",'JOBS'!$B$5:$B$1504,"&lt;"&amp;B1492)+COUNTIFS($U$5:U1492,"&gt;0.005",$B$5:B1492,B1492))</f>
        <v/>
      </c>
    </row>
    <row r="1493">
      <c r="A1493" s="46" t="inlineStr">
        <is>
          <t>J-1489</t>
        </is>
      </c>
      <c r="B1493" s="47" t="n"/>
      <c r="C1493" s="94" t="n"/>
      <c r="D1493" s="38" t="n"/>
      <c r="E1493" s="38" t="n"/>
      <c r="F1493" s="38" t="n"/>
      <c r="G1493" s="38" t="n"/>
      <c r="H1493" s="38" t="n"/>
      <c r="I1493" s="57" t="n"/>
      <c r="J1493" s="95" t="n"/>
      <c r="K1493" s="95" t="n"/>
      <c r="L1493" s="48" t="n"/>
      <c r="M1493" s="96" t="n"/>
      <c r="N1493" s="48" t="n"/>
      <c r="O1493" s="38" t="n"/>
      <c r="P1493" s="38" t="n"/>
      <c r="Q1493" s="97">
        <f>IF(OR(F1493="",E1493=""),"",IFERROR(IF(INDEX('PROPERTIES'!$F$5:$F$404,MATCH(E1493,'PROPERTIES'!$B$5:$B$404,0))=0,"",ROUND((INDEX('PROPERTIES'!$F$5:$F$404,MATCH(E1493,'PROPERTIES'!$B$5:$B$404,0))/INDEX('PRICING'!$C$7:$C$16,MATCH(F1493,'PRICING'!$A$7:$A$16,0))+INDEX('PROPERTIES'!$G$5:$G$404,MATCH(E1493,'PROPERTIES'!$B$5:$B$404,0))*INDEX('PRICING'!$D$7:$D$16,MATCH(F1493,'PRICING'!$A$7:$A$16,0))/60+INDEX('PROPERTIES'!$H$5:$H$404,MATCH(E1493,'PROPERTIES'!$B$5:$B$404,0))*INDEX('PRICING'!$E$7:$E$16,MATCH(F1493,'PRICING'!$A$7:$A$16,0))/60+INDEX('PRICING'!$F$7:$F$16,MATCH(F1493,'PRICING'!$A$7:$A$16,0))/60),2)),""))</f>
        <v/>
      </c>
      <c r="R1493" s="97">
        <f>IF(B1493="","",IF(N(K1493)&gt;0,K1493,IF(N(J1493)&gt;0,J1493,N(Q1493))))</f>
        <v/>
      </c>
      <c r="S1493" s="55">
        <f>IF(L1493="","",ROUND(L1493*(1+N(M1493)),2))</f>
        <v/>
      </c>
      <c r="T1493" s="55">
        <f>IF(B1493="","",SUMIFS('REVENUE'!$C$5:$C$1504,'REVENUE'!$B$5:$B$1504,A1493))</f>
        <v/>
      </c>
      <c r="U1493" s="55">
        <f>IF(B1493="","",IF(O1493="Completed",MAX(0,N(S1493)-T1493),""))</f>
        <v/>
      </c>
      <c r="V1493" s="49">
        <f>IF(B1493="","",IF(O1493&lt;&gt;"Completed",IF(T1493&gt;0,"Deposit","—"),IF(U1493&lt;=0.005,"Paid",IF(T1493&gt;0,"Partial","Unpaid"))))</f>
        <v/>
      </c>
      <c r="W1493" s="55">
        <f>IF(B1493="","",IFERROR(1/(1/INDEX('STAFF &amp; TASKS'!$C$5:$C$24,MATCH(H1493,'STAFF &amp; TASKS'!$A$5:$A$24,0))),PayRate))</f>
        <v/>
      </c>
      <c r="X1493" s="55">
        <f>IF(B1493="","",IF(OR(O1493="Cancelled",O1493="No-Show"),"",ROUND(R1493*W1493*(1+Burden),2)))</f>
        <v/>
      </c>
      <c r="Y1493" s="55">
        <f>IF(B1493="","",IF(OR(O1493="Cancelled",O1493="No-Show"),"",IF(N1493&lt;&gt;"",N1493,ROUND(R1493*SupHr*IFERROR(INDEX('PRICING'!$G$7:$G$16,MATCH(F1493,'PRICING'!$A$7:$A$16,0)),1),2))))</f>
        <v/>
      </c>
      <c r="Z1493" s="98">
        <f>IF(B1493="","",SUMIFS('MILEAGE'!$J$5:$J$1504,'MILEAGE'!$B$5:$B$1504,A1493))</f>
        <v/>
      </c>
      <c r="AA1493" s="55">
        <f>IF(B1493="","",ROUND(Z1493*MileRate,2))</f>
        <v/>
      </c>
      <c r="AB1493" s="55">
        <f>IF(B1493="","",SUMIFS('REVENUE'!$J$5:$J$1504,'REVENUE'!$B$5:$B$1504,A1493))</f>
        <v/>
      </c>
      <c r="AC1493" s="55">
        <f>IF(L1493="","",IF(OR(O1493="Cancelled",O1493="No-Show"),"",L1493-N(X1493)-N(Y1493)-AA1493-AB1493))</f>
        <v/>
      </c>
      <c r="AD1493" s="99">
        <f>IF(OR(AC1493="",N(L1493)=0),"",AC1493/L1493)</f>
        <v/>
      </c>
      <c r="AE1493" s="55">
        <f>IF(OR(AC1493="",N(R1493)=0),"",L1493/R1493)</f>
        <v/>
      </c>
      <c r="AF1493" s="100">
        <f>IF(OR(N(K1493)=0,N(J1493)+N(Q1493)=0),"",K1493-IF(N(J1493)&gt;0,J1493,Q1493))</f>
        <v/>
      </c>
      <c r="AG1493" s="99">
        <f>IF(B1493="","",IFERROR(AVERAGEIFS('QUALITY CONTROL'!$M$5:$M$304,'QUALITY CONTROL'!$B$5:$B$304,A1493),""))</f>
        <v/>
      </c>
      <c r="AH1493" s="51">
        <f>IF(B1493="","",DATE(YEAR(B1493),MONTH(B1493),1))</f>
        <v/>
      </c>
      <c r="AI1493" s="49">
        <f>IF(D1493="","",IFERROR(INDEX('CUSTOMERS'!$E$5:$E$404,MATCH(D1493,'CUSTOMERS'!$B$5:$B$404,0)),""))</f>
        <v/>
      </c>
      <c r="AJ1493" s="49">
        <f>IF(B1493="","",N(C1493))</f>
        <v/>
      </c>
      <c r="AK1493" s="49">
        <f>IF(OR(B1493="",O1493="Cancelled",O1493="Rescheduled"),"",B1493&amp;"|"&amp;(COUNTIFS('JOBS'!$B$5:$B$1504,B1493,'JOBS'!$AJ$5:$AJ$1504,"&lt;"&amp;AJ1493,'JOBS'!$O$5:$O$1504,"&lt;&gt;Cancelled",'JOBS'!$O$5:$O$1504,"&lt;&gt;Rescheduled")+COUNTIFS($B$5:B1493,B1493,$AJ$5:AJ1493,AJ1493,$O$5:O1493,"&lt;&gt;Cancelled",$O$5:O1493,"&lt;&gt;Rescheduled")))</f>
        <v/>
      </c>
      <c r="AL1493" s="49">
        <f>IF(N(U1493)&lt;=0.005,"",COUNTIFS('JOBS'!$U$5:$U$1504,"&gt;0.005",'JOBS'!$B$5:$B$1504,"&lt;"&amp;B1493)+COUNTIFS($U$5:U1493,"&gt;0.005",$B$5:B1493,B1493))</f>
        <v/>
      </c>
    </row>
    <row r="1494">
      <c r="A1494" s="46" t="inlineStr">
        <is>
          <t>J-1490</t>
        </is>
      </c>
      <c r="B1494" s="47" t="n"/>
      <c r="C1494" s="94" t="n"/>
      <c r="D1494" s="38" t="n"/>
      <c r="E1494" s="38" t="n"/>
      <c r="F1494" s="38" t="n"/>
      <c r="G1494" s="38" t="n"/>
      <c r="H1494" s="38" t="n"/>
      <c r="I1494" s="57" t="n"/>
      <c r="J1494" s="95" t="n"/>
      <c r="K1494" s="95" t="n"/>
      <c r="L1494" s="48" t="n"/>
      <c r="M1494" s="96" t="n"/>
      <c r="N1494" s="48" t="n"/>
      <c r="O1494" s="38" t="n"/>
      <c r="P1494" s="38" t="n"/>
      <c r="Q1494" s="97">
        <f>IF(OR(F1494="",E1494=""),"",IFERROR(IF(INDEX('PROPERTIES'!$F$5:$F$404,MATCH(E1494,'PROPERTIES'!$B$5:$B$404,0))=0,"",ROUND((INDEX('PROPERTIES'!$F$5:$F$404,MATCH(E1494,'PROPERTIES'!$B$5:$B$404,0))/INDEX('PRICING'!$C$7:$C$16,MATCH(F1494,'PRICING'!$A$7:$A$16,0))+INDEX('PROPERTIES'!$G$5:$G$404,MATCH(E1494,'PROPERTIES'!$B$5:$B$404,0))*INDEX('PRICING'!$D$7:$D$16,MATCH(F1494,'PRICING'!$A$7:$A$16,0))/60+INDEX('PROPERTIES'!$H$5:$H$404,MATCH(E1494,'PROPERTIES'!$B$5:$B$404,0))*INDEX('PRICING'!$E$7:$E$16,MATCH(F1494,'PRICING'!$A$7:$A$16,0))/60+INDEX('PRICING'!$F$7:$F$16,MATCH(F1494,'PRICING'!$A$7:$A$16,0))/60),2)),""))</f>
        <v/>
      </c>
      <c r="R1494" s="97">
        <f>IF(B1494="","",IF(N(K1494)&gt;0,K1494,IF(N(J1494)&gt;0,J1494,N(Q1494))))</f>
        <v/>
      </c>
      <c r="S1494" s="55">
        <f>IF(L1494="","",ROUND(L1494*(1+N(M1494)),2))</f>
        <v/>
      </c>
      <c r="T1494" s="55">
        <f>IF(B1494="","",SUMIFS('REVENUE'!$C$5:$C$1504,'REVENUE'!$B$5:$B$1504,A1494))</f>
        <v/>
      </c>
      <c r="U1494" s="55">
        <f>IF(B1494="","",IF(O1494="Completed",MAX(0,N(S1494)-T1494),""))</f>
        <v/>
      </c>
      <c r="V1494" s="49">
        <f>IF(B1494="","",IF(O1494&lt;&gt;"Completed",IF(T1494&gt;0,"Deposit","—"),IF(U1494&lt;=0.005,"Paid",IF(T1494&gt;0,"Partial","Unpaid"))))</f>
        <v/>
      </c>
      <c r="W1494" s="55">
        <f>IF(B1494="","",IFERROR(1/(1/INDEX('STAFF &amp; TASKS'!$C$5:$C$24,MATCH(H1494,'STAFF &amp; TASKS'!$A$5:$A$24,0))),PayRate))</f>
        <v/>
      </c>
      <c r="X1494" s="55">
        <f>IF(B1494="","",IF(OR(O1494="Cancelled",O1494="No-Show"),"",ROUND(R1494*W1494*(1+Burden),2)))</f>
        <v/>
      </c>
      <c r="Y1494" s="55">
        <f>IF(B1494="","",IF(OR(O1494="Cancelled",O1494="No-Show"),"",IF(N1494&lt;&gt;"",N1494,ROUND(R1494*SupHr*IFERROR(INDEX('PRICING'!$G$7:$G$16,MATCH(F1494,'PRICING'!$A$7:$A$16,0)),1),2))))</f>
        <v/>
      </c>
      <c r="Z1494" s="98">
        <f>IF(B1494="","",SUMIFS('MILEAGE'!$J$5:$J$1504,'MILEAGE'!$B$5:$B$1504,A1494))</f>
        <v/>
      </c>
      <c r="AA1494" s="55">
        <f>IF(B1494="","",ROUND(Z1494*MileRate,2))</f>
        <v/>
      </c>
      <c r="AB1494" s="55">
        <f>IF(B1494="","",SUMIFS('REVENUE'!$J$5:$J$1504,'REVENUE'!$B$5:$B$1504,A1494))</f>
        <v/>
      </c>
      <c r="AC1494" s="55">
        <f>IF(L1494="","",IF(OR(O1494="Cancelled",O1494="No-Show"),"",L1494-N(X1494)-N(Y1494)-AA1494-AB1494))</f>
        <v/>
      </c>
      <c r="AD1494" s="99">
        <f>IF(OR(AC1494="",N(L1494)=0),"",AC1494/L1494)</f>
        <v/>
      </c>
      <c r="AE1494" s="55">
        <f>IF(OR(AC1494="",N(R1494)=0),"",L1494/R1494)</f>
        <v/>
      </c>
      <c r="AF1494" s="100">
        <f>IF(OR(N(K1494)=0,N(J1494)+N(Q1494)=0),"",K1494-IF(N(J1494)&gt;0,J1494,Q1494))</f>
        <v/>
      </c>
      <c r="AG1494" s="99">
        <f>IF(B1494="","",IFERROR(AVERAGEIFS('QUALITY CONTROL'!$M$5:$M$304,'QUALITY CONTROL'!$B$5:$B$304,A1494),""))</f>
        <v/>
      </c>
      <c r="AH1494" s="51">
        <f>IF(B1494="","",DATE(YEAR(B1494),MONTH(B1494),1))</f>
        <v/>
      </c>
      <c r="AI1494" s="49">
        <f>IF(D1494="","",IFERROR(INDEX('CUSTOMERS'!$E$5:$E$404,MATCH(D1494,'CUSTOMERS'!$B$5:$B$404,0)),""))</f>
        <v/>
      </c>
      <c r="AJ1494" s="49">
        <f>IF(B1494="","",N(C1494))</f>
        <v/>
      </c>
      <c r="AK1494" s="49">
        <f>IF(OR(B1494="",O1494="Cancelled",O1494="Rescheduled"),"",B1494&amp;"|"&amp;(COUNTIFS('JOBS'!$B$5:$B$1504,B1494,'JOBS'!$AJ$5:$AJ$1504,"&lt;"&amp;AJ1494,'JOBS'!$O$5:$O$1504,"&lt;&gt;Cancelled",'JOBS'!$O$5:$O$1504,"&lt;&gt;Rescheduled")+COUNTIFS($B$5:B1494,B1494,$AJ$5:AJ1494,AJ1494,$O$5:O1494,"&lt;&gt;Cancelled",$O$5:O1494,"&lt;&gt;Rescheduled")))</f>
        <v/>
      </c>
      <c r="AL1494" s="49">
        <f>IF(N(U1494)&lt;=0.005,"",COUNTIFS('JOBS'!$U$5:$U$1504,"&gt;0.005",'JOBS'!$B$5:$B$1504,"&lt;"&amp;B1494)+COUNTIFS($U$5:U1494,"&gt;0.005",$B$5:B1494,B1494))</f>
        <v/>
      </c>
    </row>
    <row r="1495">
      <c r="A1495" s="46" t="inlineStr">
        <is>
          <t>J-1491</t>
        </is>
      </c>
      <c r="B1495" s="47" t="n"/>
      <c r="C1495" s="94" t="n"/>
      <c r="D1495" s="38" t="n"/>
      <c r="E1495" s="38" t="n"/>
      <c r="F1495" s="38" t="n"/>
      <c r="G1495" s="38" t="n"/>
      <c r="H1495" s="38" t="n"/>
      <c r="I1495" s="57" t="n"/>
      <c r="J1495" s="95" t="n"/>
      <c r="K1495" s="95" t="n"/>
      <c r="L1495" s="48" t="n"/>
      <c r="M1495" s="96" t="n"/>
      <c r="N1495" s="48" t="n"/>
      <c r="O1495" s="38" t="n"/>
      <c r="P1495" s="38" t="n"/>
      <c r="Q1495" s="97">
        <f>IF(OR(F1495="",E1495=""),"",IFERROR(IF(INDEX('PROPERTIES'!$F$5:$F$404,MATCH(E1495,'PROPERTIES'!$B$5:$B$404,0))=0,"",ROUND((INDEX('PROPERTIES'!$F$5:$F$404,MATCH(E1495,'PROPERTIES'!$B$5:$B$404,0))/INDEX('PRICING'!$C$7:$C$16,MATCH(F1495,'PRICING'!$A$7:$A$16,0))+INDEX('PROPERTIES'!$G$5:$G$404,MATCH(E1495,'PROPERTIES'!$B$5:$B$404,0))*INDEX('PRICING'!$D$7:$D$16,MATCH(F1495,'PRICING'!$A$7:$A$16,0))/60+INDEX('PROPERTIES'!$H$5:$H$404,MATCH(E1495,'PROPERTIES'!$B$5:$B$404,0))*INDEX('PRICING'!$E$7:$E$16,MATCH(F1495,'PRICING'!$A$7:$A$16,0))/60+INDEX('PRICING'!$F$7:$F$16,MATCH(F1495,'PRICING'!$A$7:$A$16,0))/60),2)),""))</f>
        <v/>
      </c>
      <c r="R1495" s="97">
        <f>IF(B1495="","",IF(N(K1495)&gt;0,K1495,IF(N(J1495)&gt;0,J1495,N(Q1495))))</f>
        <v/>
      </c>
      <c r="S1495" s="55">
        <f>IF(L1495="","",ROUND(L1495*(1+N(M1495)),2))</f>
        <v/>
      </c>
      <c r="T1495" s="55">
        <f>IF(B1495="","",SUMIFS('REVENUE'!$C$5:$C$1504,'REVENUE'!$B$5:$B$1504,A1495))</f>
        <v/>
      </c>
      <c r="U1495" s="55">
        <f>IF(B1495="","",IF(O1495="Completed",MAX(0,N(S1495)-T1495),""))</f>
        <v/>
      </c>
      <c r="V1495" s="49">
        <f>IF(B1495="","",IF(O1495&lt;&gt;"Completed",IF(T1495&gt;0,"Deposit","—"),IF(U1495&lt;=0.005,"Paid",IF(T1495&gt;0,"Partial","Unpaid"))))</f>
        <v/>
      </c>
      <c r="W1495" s="55">
        <f>IF(B1495="","",IFERROR(1/(1/INDEX('STAFF &amp; TASKS'!$C$5:$C$24,MATCH(H1495,'STAFF &amp; TASKS'!$A$5:$A$24,0))),PayRate))</f>
        <v/>
      </c>
      <c r="X1495" s="55">
        <f>IF(B1495="","",IF(OR(O1495="Cancelled",O1495="No-Show"),"",ROUND(R1495*W1495*(1+Burden),2)))</f>
        <v/>
      </c>
      <c r="Y1495" s="55">
        <f>IF(B1495="","",IF(OR(O1495="Cancelled",O1495="No-Show"),"",IF(N1495&lt;&gt;"",N1495,ROUND(R1495*SupHr*IFERROR(INDEX('PRICING'!$G$7:$G$16,MATCH(F1495,'PRICING'!$A$7:$A$16,0)),1),2))))</f>
        <v/>
      </c>
      <c r="Z1495" s="98">
        <f>IF(B1495="","",SUMIFS('MILEAGE'!$J$5:$J$1504,'MILEAGE'!$B$5:$B$1504,A1495))</f>
        <v/>
      </c>
      <c r="AA1495" s="55">
        <f>IF(B1495="","",ROUND(Z1495*MileRate,2))</f>
        <v/>
      </c>
      <c r="AB1495" s="55">
        <f>IF(B1495="","",SUMIFS('REVENUE'!$J$5:$J$1504,'REVENUE'!$B$5:$B$1504,A1495))</f>
        <v/>
      </c>
      <c r="AC1495" s="55">
        <f>IF(L1495="","",IF(OR(O1495="Cancelled",O1495="No-Show"),"",L1495-N(X1495)-N(Y1495)-AA1495-AB1495))</f>
        <v/>
      </c>
      <c r="AD1495" s="99">
        <f>IF(OR(AC1495="",N(L1495)=0),"",AC1495/L1495)</f>
        <v/>
      </c>
      <c r="AE1495" s="55">
        <f>IF(OR(AC1495="",N(R1495)=0),"",L1495/R1495)</f>
        <v/>
      </c>
      <c r="AF1495" s="100">
        <f>IF(OR(N(K1495)=0,N(J1495)+N(Q1495)=0),"",K1495-IF(N(J1495)&gt;0,J1495,Q1495))</f>
        <v/>
      </c>
      <c r="AG1495" s="99">
        <f>IF(B1495="","",IFERROR(AVERAGEIFS('QUALITY CONTROL'!$M$5:$M$304,'QUALITY CONTROL'!$B$5:$B$304,A1495),""))</f>
        <v/>
      </c>
      <c r="AH1495" s="51">
        <f>IF(B1495="","",DATE(YEAR(B1495),MONTH(B1495),1))</f>
        <v/>
      </c>
      <c r="AI1495" s="49">
        <f>IF(D1495="","",IFERROR(INDEX('CUSTOMERS'!$E$5:$E$404,MATCH(D1495,'CUSTOMERS'!$B$5:$B$404,0)),""))</f>
        <v/>
      </c>
      <c r="AJ1495" s="49">
        <f>IF(B1495="","",N(C1495))</f>
        <v/>
      </c>
      <c r="AK1495" s="49">
        <f>IF(OR(B1495="",O1495="Cancelled",O1495="Rescheduled"),"",B1495&amp;"|"&amp;(COUNTIFS('JOBS'!$B$5:$B$1504,B1495,'JOBS'!$AJ$5:$AJ$1504,"&lt;"&amp;AJ1495,'JOBS'!$O$5:$O$1504,"&lt;&gt;Cancelled",'JOBS'!$O$5:$O$1504,"&lt;&gt;Rescheduled")+COUNTIFS($B$5:B1495,B1495,$AJ$5:AJ1495,AJ1495,$O$5:O1495,"&lt;&gt;Cancelled",$O$5:O1495,"&lt;&gt;Rescheduled")))</f>
        <v/>
      </c>
      <c r="AL1495" s="49">
        <f>IF(N(U1495)&lt;=0.005,"",COUNTIFS('JOBS'!$U$5:$U$1504,"&gt;0.005",'JOBS'!$B$5:$B$1504,"&lt;"&amp;B1495)+COUNTIFS($U$5:U1495,"&gt;0.005",$B$5:B1495,B1495))</f>
        <v/>
      </c>
    </row>
    <row r="1496">
      <c r="A1496" s="46" t="inlineStr">
        <is>
          <t>J-1492</t>
        </is>
      </c>
      <c r="B1496" s="47" t="n"/>
      <c r="C1496" s="94" t="n"/>
      <c r="D1496" s="38" t="n"/>
      <c r="E1496" s="38" t="n"/>
      <c r="F1496" s="38" t="n"/>
      <c r="G1496" s="38" t="n"/>
      <c r="H1496" s="38" t="n"/>
      <c r="I1496" s="57" t="n"/>
      <c r="J1496" s="95" t="n"/>
      <c r="K1496" s="95" t="n"/>
      <c r="L1496" s="48" t="n"/>
      <c r="M1496" s="96" t="n"/>
      <c r="N1496" s="48" t="n"/>
      <c r="O1496" s="38" t="n"/>
      <c r="P1496" s="38" t="n"/>
      <c r="Q1496" s="97">
        <f>IF(OR(F1496="",E1496=""),"",IFERROR(IF(INDEX('PROPERTIES'!$F$5:$F$404,MATCH(E1496,'PROPERTIES'!$B$5:$B$404,0))=0,"",ROUND((INDEX('PROPERTIES'!$F$5:$F$404,MATCH(E1496,'PROPERTIES'!$B$5:$B$404,0))/INDEX('PRICING'!$C$7:$C$16,MATCH(F1496,'PRICING'!$A$7:$A$16,0))+INDEX('PROPERTIES'!$G$5:$G$404,MATCH(E1496,'PROPERTIES'!$B$5:$B$404,0))*INDEX('PRICING'!$D$7:$D$16,MATCH(F1496,'PRICING'!$A$7:$A$16,0))/60+INDEX('PROPERTIES'!$H$5:$H$404,MATCH(E1496,'PROPERTIES'!$B$5:$B$404,0))*INDEX('PRICING'!$E$7:$E$16,MATCH(F1496,'PRICING'!$A$7:$A$16,0))/60+INDEX('PRICING'!$F$7:$F$16,MATCH(F1496,'PRICING'!$A$7:$A$16,0))/60),2)),""))</f>
        <v/>
      </c>
      <c r="R1496" s="97">
        <f>IF(B1496="","",IF(N(K1496)&gt;0,K1496,IF(N(J1496)&gt;0,J1496,N(Q1496))))</f>
        <v/>
      </c>
      <c r="S1496" s="55">
        <f>IF(L1496="","",ROUND(L1496*(1+N(M1496)),2))</f>
        <v/>
      </c>
      <c r="T1496" s="55">
        <f>IF(B1496="","",SUMIFS('REVENUE'!$C$5:$C$1504,'REVENUE'!$B$5:$B$1504,A1496))</f>
        <v/>
      </c>
      <c r="U1496" s="55">
        <f>IF(B1496="","",IF(O1496="Completed",MAX(0,N(S1496)-T1496),""))</f>
        <v/>
      </c>
      <c r="V1496" s="49">
        <f>IF(B1496="","",IF(O1496&lt;&gt;"Completed",IF(T1496&gt;0,"Deposit","—"),IF(U1496&lt;=0.005,"Paid",IF(T1496&gt;0,"Partial","Unpaid"))))</f>
        <v/>
      </c>
      <c r="W1496" s="55">
        <f>IF(B1496="","",IFERROR(1/(1/INDEX('STAFF &amp; TASKS'!$C$5:$C$24,MATCH(H1496,'STAFF &amp; TASKS'!$A$5:$A$24,0))),PayRate))</f>
        <v/>
      </c>
      <c r="X1496" s="55">
        <f>IF(B1496="","",IF(OR(O1496="Cancelled",O1496="No-Show"),"",ROUND(R1496*W1496*(1+Burden),2)))</f>
        <v/>
      </c>
      <c r="Y1496" s="55">
        <f>IF(B1496="","",IF(OR(O1496="Cancelled",O1496="No-Show"),"",IF(N1496&lt;&gt;"",N1496,ROUND(R1496*SupHr*IFERROR(INDEX('PRICING'!$G$7:$G$16,MATCH(F1496,'PRICING'!$A$7:$A$16,0)),1),2))))</f>
        <v/>
      </c>
      <c r="Z1496" s="98">
        <f>IF(B1496="","",SUMIFS('MILEAGE'!$J$5:$J$1504,'MILEAGE'!$B$5:$B$1504,A1496))</f>
        <v/>
      </c>
      <c r="AA1496" s="55">
        <f>IF(B1496="","",ROUND(Z1496*MileRate,2))</f>
        <v/>
      </c>
      <c r="AB1496" s="55">
        <f>IF(B1496="","",SUMIFS('REVENUE'!$J$5:$J$1504,'REVENUE'!$B$5:$B$1504,A1496))</f>
        <v/>
      </c>
      <c r="AC1496" s="55">
        <f>IF(L1496="","",IF(OR(O1496="Cancelled",O1496="No-Show"),"",L1496-N(X1496)-N(Y1496)-AA1496-AB1496))</f>
        <v/>
      </c>
      <c r="AD1496" s="99">
        <f>IF(OR(AC1496="",N(L1496)=0),"",AC1496/L1496)</f>
        <v/>
      </c>
      <c r="AE1496" s="55">
        <f>IF(OR(AC1496="",N(R1496)=0),"",L1496/R1496)</f>
        <v/>
      </c>
      <c r="AF1496" s="100">
        <f>IF(OR(N(K1496)=0,N(J1496)+N(Q1496)=0),"",K1496-IF(N(J1496)&gt;0,J1496,Q1496))</f>
        <v/>
      </c>
      <c r="AG1496" s="99">
        <f>IF(B1496="","",IFERROR(AVERAGEIFS('QUALITY CONTROL'!$M$5:$M$304,'QUALITY CONTROL'!$B$5:$B$304,A1496),""))</f>
        <v/>
      </c>
      <c r="AH1496" s="51">
        <f>IF(B1496="","",DATE(YEAR(B1496),MONTH(B1496),1))</f>
        <v/>
      </c>
      <c r="AI1496" s="49">
        <f>IF(D1496="","",IFERROR(INDEX('CUSTOMERS'!$E$5:$E$404,MATCH(D1496,'CUSTOMERS'!$B$5:$B$404,0)),""))</f>
        <v/>
      </c>
      <c r="AJ1496" s="49">
        <f>IF(B1496="","",N(C1496))</f>
        <v/>
      </c>
      <c r="AK1496" s="49">
        <f>IF(OR(B1496="",O1496="Cancelled",O1496="Rescheduled"),"",B1496&amp;"|"&amp;(COUNTIFS('JOBS'!$B$5:$B$1504,B1496,'JOBS'!$AJ$5:$AJ$1504,"&lt;"&amp;AJ1496,'JOBS'!$O$5:$O$1504,"&lt;&gt;Cancelled",'JOBS'!$O$5:$O$1504,"&lt;&gt;Rescheduled")+COUNTIFS($B$5:B1496,B1496,$AJ$5:AJ1496,AJ1496,$O$5:O1496,"&lt;&gt;Cancelled",$O$5:O1496,"&lt;&gt;Rescheduled")))</f>
        <v/>
      </c>
      <c r="AL1496" s="49">
        <f>IF(N(U1496)&lt;=0.005,"",COUNTIFS('JOBS'!$U$5:$U$1504,"&gt;0.005",'JOBS'!$B$5:$B$1504,"&lt;"&amp;B1496)+COUNTIFS($U$5:U1496,"&gt;0.005",$B$5:B1496,B1496))</f>
        <v/>
      </c>
    </row>
    <row r="1497">
      <c r="A1497" s="46" t="inlineStr">
        <is>
          <t>J-1493</t>
        </is>
      </c>
      <c r="B1497" s="47" t="n"/>
      <c r="C1497" s="94" t="n"/>
      <c r="D1497" s="38" t="n"/>
      <c r="E1497" s="38" t="n"/>
      <c r="F1497" s="38" t="n"/>
      <c r="G1497" s="38" t="n"/>
      <c r="H1497" s="38" t="n"/>
      <c r="I1497" s="57" t="n"/>
      <c r="J1497" s="95" t="n"/>
      <c r="K1497" s="95" t="n"/>
      <c r="L1497" s="48" t="n"/>
      <c r="M1497" s="96" t="n"/>
      <c r="N1497" s="48" t="n"/>
      <c r="O1497" s="38" t="n"/>
      <c r="P1497" s="38" t="n"/>
      <c r="Q1497" s="97">
        <f>IF(OR(F1497="",E1497=""),"",IFERROR(IF(INDEX('PROPERTIES'!$F$5:$F$404,MATCH(E1497,'PROPERTIES'!$B$5:$B$404,0))=0,"",ROUND((INDEX('PROPERTIES'!$F$5:$F$404,MATCH(E1497,'PROPERTIES'!$B$5:$B$404,0))/INDEX('PRICING'!$C$7:$C$16,MATCH(F1497,'PRICING'!$A$7:$A$16,0))+INDEX('PROPERTIES'!$G$5:$G$404,MATCH(E1497,'PROPERTIES'!$B$5:$B$404,0))*INDEX('PRICING'!$D$7:$D$16,MATCH(F1497,'PRICING'!$A$7:$A$16,0))/60+INDEX('PROPERTIES'!$H$5:$H$404,MATCH(E1497,'PROPERTIES'!$B$5:$B$404,0))*INDEX('PRICING'!$E$7:$E$16,MATCH(F1497,'PRICING'!$A$7:$A$16,0))/60+INDEX('PRICING'!$F$7:$F$16,MATCH(F1497,'PRICING'!$A$7:$A$16,0))/60),2)),""))</f>
        <v/>
      </c>
      <c r="R1497" s="97">
        <f>IF(B1497="","",IF(N(K1497)&gt;0,K1497,IF(N(J1497)&gt;0,J1497,N(Q1497))))</f>
        <v/>
      </c>
      <c r="S1497" s="55">
        <f>IF(L1497="","",ROUND(L1497*(1+N(M1497)),2))</f>
        <v/>
      </c>
      <c r="T1497" s="55">
        <f>IF(B1497="","",SUMIFS('REVENUE'!$C$5:$C$1504,'REVENUE'!$B$5:$B$1504,A1497))</f>
        <v/>
      </c>
      <c r="U1497" s="55">
        <f>IF(B1497="","",IF(O1497="Completed",MAX(0,N(S1497)-T1497),""))</f>
        <v/>
      </c>
      <c r="V1497" s="49">
        <f>IF(B1497="","",IF(O1497&lt;&gt;"Completed",IF(T1497&gt;0,"Deposit","—"),IF(U1497&lt;=0.005,"Paid",IF(T1497&gt;0,"Partial","Unpaid"))))</f>
        <v/>
      </c>
      <c r="W1497" s="55">
        <f>IF(B1497="","",IFERROR(1/(1/INDEX('STAFF &amp; TASKS'!$C$5:$C$24,MATCH(H1497,'STAFF &amp; TASKS'!$A$5:$A$24,0))),PayRate))</f>
        <v/>
      </c>
      <c r="X1497" s="55">
        <f>IF(B1497="","",IF(OR(O1497="Cancelled",O1497="No-Show"),"",ROUND(R1497*W1497*(1+Burden),2)))</f>
        <v/>
      </c>
      <c r="Y1497" s="55">
        <f>IF(B1497="","",IF(OR(O1497="Cancelled",O1497="No-Show"),"",IF(N1497&lt;&gt;"",N1497,ROUND(R1497*SupHr*IFERROR(INDEX('PRICING'!$G$7:$G$16,MATCH(F1497,'PRICING'!$A$7:$A$16,0)),1),2))))</f>
        <v/>
      </c>
      <c r="Z1497" s="98">
        <f>IF(B1497="","",SUMIFS('MILEAGE'!$J$5:$J$1504,'MILEAGE'!$B$5:$B$1504,A1497))</f>
        <v/>
      </c>
      <c r="AA1497" s="55">
        <f>IF(B1497="","",ROUND(Z1497*MileRate,2))</f>
        <v/>
      </c>
      <c r="AB1497" s="55">
        <f>IF(B1497="","",SUMIFS('REVENUE'!$J$5:$J$1504,'REVENUE'!$B$5:$B$1504,A1497))</f>
        <v/>
      </c>
      <c r="AC1497" s="55">
        <f>IF(L1497="","",IF(OR(O1497="Cancelled",O1497="No-Show"),"",L1497-N(X1497)-N(Y1497)-AA1497-AB1497))</f>
        <v/>
      </c>
      <c r="AD1497" s="99">
        <f>IF(OR(AC1497="",N(L1497)=0),"",AC1497/L1497)</f>
        <v/>
      </c>
      <c r="AE1497" s="55">
        <f>IF(OR(AC1497="",N(R1497)=0),"",L1497/R1497)</f>
        <v/>
      </c>
      <c r="AF1497" s="100">
        <f>IF(OR(N(K1497)=0,N(J1497)+N(Q1497)=0),"",K1497-IF(N(J1497)&gt;0,J1497,Q1497))</f>
        <v/>
      </c>
      <c r="AG1497" s="99">
        <f>IF(B1497="","",IFERROR(AVERAGEIFS('QUALITY CONTROL'!$M$5:$M$304,'QUALITY CONTROL'!$B$5:$B$304,A1497),""))</f>
        <v/>
      </c>
      <c r="AH1497" s="51">
        <f>IF(B1497="","",DATE(YEAR(B1497),MONTH(B1497),1))</f>
        <v/>
      </c>
      <c r="AI1497" s="49">
        <f>IF(D1497="","",IFERROR(INDEX('CUSTOMERS'!$E$5:$E$404,MATCH(D1497,'CUSTOMERS'!$B$5:$B$404,0)),""))</f>
        <v/>
      </c>
      <c r="AJ1497" s="49">
        <f>IF(B1497="","",N(C1497))</f>
        <v/>
      </c>
      <c r="AK1497" s="49">
        <f>IF(OR(B1497="",O1497="Cancelled",O1497="Rescheduled"),"",B1497&amp;"|"&amp;(COUNTIFS('JOBS'!$B$5:$B$1504,B1497,'JOBS'!$AJ$5:$AJ$1504,"&lt;"&amp;AJ1497,'JOBS'!$O$5:$O$1504,"&lt;&gt;Cancelled",'JOBS'!$O$5:$O$1504,"&lt;&gt;Rescheduled")+COUNTIFS($B$5:B1497,B1497,$AJ$5:AJ1497,AJ1497,$O$5:O1497,"&lt;&gt;Cancelled",$O$5:O1497,"&lt;&gt;Rescheduled")))</f>
        <v/>
      </c>
      <c r="AL1497" s="49">
        <f>IF(N(U1497)&lt;=0.005,"",COUNTIFS('JOBS'!$U$5:$U$1504,"&gt;0.005",'JOBS'!$B$5:$B$1504,"&lt;"&amp;B1497)+COUNTIFS($U$5:U1497,"&gt;0.005",$B$5:B1497,B1497))</f>
        <v/>
      </c>
    </row>
    <row r="1498">
      <c r="A1498" s="46" t="inlineStr">
        <is>
          <t>J-1494</t>
        </is>
      </c>
      <c r="B1498" s="47" t="n"/>
      <c r="C1498" s="94" t="n"/>
      <c r="D1498" s="38" t="n"/>
      <c r="E1498" s="38" t="n"/>
      <c r="F1498" s="38" t="n"/>
      <c r="G1498" s="38" t="n"/>
      <c r="H1498" s="38" t="n"/>
      <c r="I1498" s="57" t="n"/>
      <c r="J1498" s="95" t="n"/>
      <c r="K1498" s="95" t="n"/>
      <c r="L1498" s="48" t="n"/>
      <c r="M1498" s="96" t="n"/>
      <c r="N1498" s="48" t="n"/>
      <c r="O1498" s="38" t="n"/>
      <c r="P1498" s="38" t="n"/>
      <c r="Q1498" s="97">
        <f>IF(OR(F1498="",E1498=""),"",IFERROR(IF(INDEX('PROPERTIES'!$F$5:$F$404,MATCH(E1498,'PROPERTIES'!$B$5:$B$404,0))=0,"",ROUND((INDEX('PROPERTIES'!$F$5:$F$404,MATCH(E1498,'PROPERTIES'!$B$5:$B$404,0))/INDEX('PRICING'!$C$7:$C$16,MATCH(F1498,'PRICING'!$A$7:$A$16,0))+INDEX('PROPERTIES'!$G$5:$G$404,MATCH(E1498,'PROPERTIES'!$B$5:$B$404,0))*INDEX('PRICING'!$D$7:$D$16,MATCH(F1498,'PRICING'!$A$7:$A$16,0))/60+INDEX('PROPERTIES'!$H$5:$H$404,MATCH(E1498,'PROPERTIES'!$B$5:$B$404,0))*INDEX('PRICING'!$E$7:$E$16,MATCH(F1498,'PRICING'!$A$7:$A$16,0))/60+INDEX('PRICING'!$F$7:$F$16,MATCH(F1498,'PRICING'!$A$7:$A$16,0))/60),2)),""))</f>
        <v/>
      </c>
      <c r="R1498" s="97">
        <f>IF(B1498="","",IF(N(K1498)&gt;0,K1498,IF(N(J1498)&gt;0,J1498,N(Q1498))))</f>
        <v/>
      </c>
      <c r="S1498" s="55">
        <f>IF(L1498="","",ROUND(L1498*(1+N(M1498)),2))</f>
        <v/>
      </c>
      <c r="T1498" s="55">
        <f>IF(B1498="","",SUMIFS('REVENUE'!$C$5:$C$1504,'REVENUE'!$B$5:$B$1504,A1498))</f>
        <v/>
      </c>
      <c r="U1498" s="55">
        <f>IF(B1498="","",IF(O1498="Completed",MAX(0,N(S1498)-T1498),""))</f>
        <v/>
      </c>
      <c r="V1498" s="49">
        <f>IF(B1498="","",IF(O1498&lt;&gt;"Completed",IF(T1498&gt;0,"Deposit","—"),IF(U1498&lt;=0.005,"Paid",IF(T1498&gt;0,"Partial","Unpaid"))))</f>
        <v/>
      </c>
      <c r="W1498" s="55">
        <f>IF(B1498="","",IFERROR(1/(1/INDEX('STAFF &amp; TASKS'!$C$5:$C$24,MATCH(H1498,'STAFF &amp; TASKS'!$A$5:$A$24,0))),PayRate))</f>
        <v/>
      </c>
      <c r="X1498" s="55">
        <f>IF(B1498="","",IF(OR(O1498="Cancelled",O1498="No-Show"),"",ROUND(R1498*W1498*(1+Burden),2)))</f>
        <v/>
      </c>
      <c r="Y1498" s="55">
        <f>IF(B1498="","",IF(OR(O1498="Cancelled",O1498="No-Show"),"",IF(N1498&lt;&gt;"",N1498,ROUND(R1498*SupHr*IFERROR(INDEX('PRICING'!$G$7:$G$16,MATCH(F1498,'PRICING'!$A$7:$A$16,0)),1),2))))</f>
        <v/>
      </c>
      <c r="Z1498" s="98">
        <f>IF(B1498="","",SUMIFS('MILEAGE'!$J$5:$J$1504,'MILEAGE'!$B$5:$B$1504,A1498))</f>
        <v/>
      </c>
      <c r="AA1498" s="55">
        <f>IF(B1498="","",ROUND(Z1498*MileRate,2))</f>
        <v/>
      </c>
      <c r="AB1498" s="55">
        <f>IF(B1498="","",SUMIFS('REVENUE'!$J$5:$J$1504,'REVENUE'!$B$5:$B$1504,A1498))</f>
        <v/>
      </c>
      <c r="AC1498" s="55">
        <f>IF(L1498="","",IF(OR(O1498="Cancelled",O1498="No-Show"),"",L1498-N(X1498)-N(Y1498)-AA1498-AB1498))</f>
        <v/>
      </c>
      <c r="AD1498" s="99">
        <f>IF(OR(AC1498="",N(L1498)=0),"",AC1498/L1498)</f>
        <v/>
      </c>
      <c r="AE1498" s="55">
        <f>IF(OR(AC1498="",N(R1498)=0),"",L1498/R1498)</f>
        <v/>
      </c>
      <c r="AF1498" s="100">
        <f>IF(OR(N(K1498)=0,N(J1498)+N(Q1498)=0),"",K1498-IF(N(J1498)&gt;0,J1498,Q1498))</f>
        <v/>
      </c>
      <c r="AG1498" s="99">
        <f>IF(B1498="","",IFERROR(AVERAGEIFS('QUALITY CONTROL'!$M$5:$M$304,'QUALITY CONTROL'!$B$5:$B$304,A1498),""))</f>
        <v/>
      </c>
      <c r="AH1498" s="51">
        <f>IF(B1498="","",DATE(YEAR(B1498),MONTH(B1498),1))</f>
        <v/>
      </c>
      <c r="AI1498" s="49">
        <f>IF(D1498="","",IFERROR(INDEX('CUSTOMERS'!$E$5:$E$404,MATCH(D1498,'CUSTOMERS'!$B$5:$B$404,0)),""))</f>
        <v/>
      </c>
      <c r="AJ1498" s="49">
        <f>IF(B1498="","",N(C1498))</f>
        <v/>
      </c>
      <c r="AK1498" s="49">
        <f>IF(OR(B1498="",O1498="Cancelled",O1498="Rescheduled"),"",B1498&amp;"|"&amp;(COUNTIFS('JOBS'!$B$5:$B$1504,B1498,'JOBS'!$AJ$5:$AJ$1504,"&lt;"&amp;AJ1498,'JOBS'!$O$5:$O$1504,"&lt;&gt;Cancelled",'JOBS'!$O$5:$O$1504,"&lt;&gt;Rescheduled")+COUNTIFS($B$5:B1498,B1498,$AJ$5:AJ1498,AJ1498,$O$5:O1498,"&lt;&gt;Cancelled",$O$5:O1498,"&lt;&gt;Rescheduled")))</f>
        <v/>
      </c>
      <c r="AL1498" s="49">
        <f>IF(N(U1498)&lt;=0.005,"",COUNTIFS('JOBS'!$U$5:$U$1504,"&gt;0.005",'JOBS'!$B$5:$B$1504,"&lt;"&amp;B1498)+COUNTIFS($U$5:U1498,"&gt;0.005",$B$5:B1498,B1498))</f>
        <v/>
      </c>
    </row>
    <row r="1499">
      <c r="A1499" s="46" t="inlineStr">
        <is>
          <t>J-1495</t>
        </is>
      </c>
      <c r="B1499" s="47" t="n"/>
      <c r="C1499" s="94" t="n"/>
      <c r="D1499" s="38" t="n"/>
      <c r="E1499" s="38" t="n"/>
      <c r="F1499" s="38" t="n"/>
      <c r="G1499" s="38" t="n"/>
      <c r="H1499" s="38" t="n"/>
      <c r="I1499" s="57" t="n"/>
      <c r="J1499" s="95" t="n"/>
      <c r="K1499" s="95" t="n"/>
      <c r="L1499" s="48" t="n"/>
      <c r="M1499" s="96" t="n"/>
      <c r="N1499" s="48" t="n"/>
      <c r="O1499" s="38" t="n"/>
      <c r="P1499" s="38" t="n"/>
      <c r="Q1499" s="97">
        <f>IF(OR(F1499="",E1499=""),"",IFERROR(IF(INDEX('PROPERTIES'!$F$5:$F$404,MATCH(E1499,'PROPERTIES'!$B$5:$B$404,0))=0,"",ROUND((INDEX('PROPERTIES'!$F$5:$F$404,MATCH(E1499,'PROPERTIES'!$B$5:$B$404,0))/INDEX('PRICING'!$C$7:$C$16,MATCH(F1499,'PRICING'!$A$7:$A$16,0))+INDEX('PROPERTIES'!$G$5:$G$404,MATCH(E1499,'PROPERTIES'!$B$5:$B$404,0))*INDEX('PRICING'!$D$7:$D$16,MATCH(F1499,'PRICING'!$A$7:$A$16,0))/60+INDEX('PROPERTIES'!$H$5:$H$404,MATCH(E1499,'PROPERTIES'!$B$5:$B$404,0))*INDEX('PRICING'!$E$7:$E$16,MATCH(F1499,'PRICING'!$A$7:$A$16,0))/60+INDEX('PRICING'!$F$7:$F$16,MATCH(F1499,'PRICING'!$A$7:$A$16,0))/60),2)),""))</f>
        <v/>
      </c>
      <c r="R1499" s="97">
        <f>IF(B1499="","",IF(N(K1499)&gt;0,K1499,IF(N(J1499)&gt;0,J1499,N(Q1499))))</f>
        <v/>
      </c>
      <c r="S1499" s="55">
        <f>IF(L1499="","",ROUND(L1499*(1+N(M1499)),2))</f>
        <v/>
      </c>
      <c r="T1499" s="55">
        <f>IF(B1499="","",SUMIFS('REVENUE'!$C$5:$C$1504,'REVENUE'!$B$5:$B$1504,A1499))</f>
        <v/>
      </c>
      <c r="U1499" s="55">
        <f>IF(B1499="","",IF(O1499="Completed",MAX(0,N(S1499)-T1499),""))</f>
        <v/>
      </c>
      <c r="V1499" s="49">
        <f>IF(B1499="","",IF(O1499&lt;&gt;"Completed",IF(T1499&gt;0,"Deposit","—"),IF(U1499&lt;=0.005,"Paid",IF(T1499&gt;0,"Partial","Unpaid"))))</f>
        <v/>
      </c>
      <c r="W1499" s="55">
        <f>IF(B1499="","",IFERROR(1/(1/INDEX('STAFF &amp; TASKS'!$C$5:$C$24,MATCH(H1499,'STAFF &amp; TASKS'!$A$5:$A$24,0))),PayRate))</f>
        <v/>
      </c>
      <c r="X1499" s="55">
        <f>IF(B1499="","",IF(OR(O1499="Cancelled",O1499="No-Show"),"",ROUND(R1499*W1499*(1+Burden),2)))</f>
        <v/>
      </c>
      <c r="Y1499" s="55">
        <f>IF(B1499="","",IF(OR(O1499="Cancelled",O1499="No-Show"),"",IF(N1499&lt;&gt;"",N1499,ROUND(R1499*SupHr*IFERROR(INDEX('PRICING'!$G$7:$G$16,MATCH(F1499,'PRICING'!$A$7:$A$16,0)),1),2))))</f>
        <v/>
      </c>
      <c r="Z1499" s="98">
        <f>IF(B1499="","",SUMIFS('MILEAGE'!$J$5:$J$1504,'MILEAGE'!$B$5:$B$1504,A1499))</f>
        <v/>
      </c>
      <c r="AA1499" s="55">
        <f>IF(B1499="","",ROUND(Z1499*MileRate,2))</f>
        <v/>
      </c>
      <c r="AB1499" s="55">
        <f>IF(B1499="","",SUMIFS('REVENUE'!$J$5:$J$1504,'REVENUE'!$B$5:$B$1504,A1499))</f>
        <v/>
      </c>
      <c r="AC1499" s="55">
        <f>IF(L1499="","",IF(OR(O1499="Cancelled",O1499="No-Show"),"",L1499-N(X1499)-N(Y1499)-AA1499-AB1499))</f>
        <v/>
      </c>
      <c r="AD1499" s="99">
        <f>IF(OR(AC1499="",N(L1499)=0),"",AC1499/L1499)</f>
        <v/>
      </c>
      <c r="AE1499" s="55">
        <f>IF(OR(AC1499="",N(R1499)=0),"",L1499/R1499)</f>
        <v/>
      </c>
      <c r="AF1499" s="100">
        <f>IF(OR(N(K1499)=0,N(J1499)+N(Q1499)=0),"",K1499-IF(N(J1499)&gt;0,J1499,Q1499))</f>
        <v/>
      </c>
      <c r="AG1499" s="99">
        <f>IF(B1499="","",IFERROR(AVERAGEIFS('QUALITY CONTROL'!$M$5:$M$304,'QUALITY CONTROL'!$B$5:$B$304,A1499),""))</f>
        <v/>
      </c>
      <c r="AH1499" s="51">
        <f>IF(B1499="","",DATE(YEAR(B1499),MONTH(B1499),1))</f>
        <v/>
      </c>
      <c r="AI1499" s="49">
        <f>IF(D1499="","",IFERROR(INDEX('CUSTOMERS'!$E$5:$E$404,MATCH(D1499,'CUSTOMERS'!$B$5:$B$404,0)),""))</f>
        <v/>
      </c>
      <c r="AJ1499" s="49">
        <f>IF(B1499="","",N(C1499))</f>
        <v/>
      </c>
      <c r="AK1499" s="49">
        <f>IF(OR(B1499="",O1499="Cancelled",O1499="Rescheduled"),"",B1499&amp;"|"&amp;(COUNTIFS('JOBS'!$B$5:$B$1504,B1499,'JOBS'!$AJ$5:$AJ$1504,"&lt;"&amp;AJ1499,'JOBS'!$O$5:$O$1504,"&lt;&gt;Cancelled",'JOBS'!$O$5:$O$1504,"&lt;&gt;Rescheduled")+COUNTIFS($B$5:B1499,B1499,$AJ$5:AJ1499,AJ1499,$O$5:O1499,"&lt;&gt;Cancelled",$O$5:O1499,"&lt;&gt;Rescheduled")))</f>
        <v/>
      </c>
      <c r="AL1499" s="49">
        <f>IF(N(U1499)&lt;=0.005,"",COUNTIFS('JOBS'!$U$5:$U$1504,"&gt;0.005",'JOBS'!$B$5:$B$1504,"&lt;"&amp;B1499)+COUNTIFS($U$5:U1499,"&gt;0.005",$B$5:B1499,B1499))</f>
        <v/>
      </c>
    </row>
    <row r="1500">
      <c r="A1500" s="46" t="inlineStr">
        <is>
          <t>J-1496</t>
        </is>
      </c>
      <c r="B1500" s="47" t="n"/>
      <c r="C1500" s="94" t="n"/>
      <c r="D1500" s="38" t="n"/>
      <c r="E1500" s="38" t="n"/>
      <c r="F1500" s="38" t="n"/>
      <c r="G1500" s="38" t="n"/>
      <c r="H1500" s="38" t="n"/>
      <c r="I1500" s="57" t="n"/>
      <c r="J1500" s="95" t="n"/>
      <c r="K1500" s="95" t="n"/>
      <c r="L1500" s="48" t="n"/>
      <c r="M1500" s="96" t="n"/>
      <c r="N1500" s="48" t="n"/>
      <c r="O1500" s="38" t="n"/>
      <c r="P1500" s="38" t="n"/>
      <c r="Q1500" s="97">
        <f>IF(OR(F1500="",E1500=""),"",IFERROR(IF(INDEX('PROPERTIES'!$F$5:$F$404,MATCH(E1500,'PROPERTIES'!$B$5:$B$404,0))=0,"",ROUND((INDEX('PROPERTIES'!$F$5:$F$404,MATCH(E1500,'PROPERTIES'!$B$5:$B$404,0))/INDEX('PRICING'!$C$7:$C$16,MATCH(F1500,'PRICING'!$A$7:$A$16,0))+INDEX('PROPERTIES'!$G$5:$G$404,MATCH(E1500,'PROPERTIES'!$B$5:$B$404,0))*INDEX('PRICING'!$D$7:$D$16,MATCH(F1500,'PRICING'!$A$7:$A$16,0))/60+INDEX('PROPERTIES'!$H$5:$H$404,MATCH(E1500,'PROPERTIES'!$B$5:$B$404,0))*INDEX('PRICING'!$E$7:$E$16,MATCH(F1500,'PRICING'!$A$7:$A$16,0))/60+INDEX('PRICING'!$F$7:$F$16,MATCH(F1500,'PRICING'!$A$7:$A$16,0))/60),2)),""))</f>
        <v/>
      </c>
      <c r="R1500" s="97">
        <f>IF(B1500="","",IF(N(K1500)&gt;0,K1500,IF(N(J1500)&gt;0,J1500,N(Q1500))))</f>
        <v/>
      </c>
      <c r="S1500" s="55">
        <f>IF(L1500="","",ROUND(L1500*(1+N(M1500)),2))</f>
        <v/>
      </c>
      <c r="T1500" s="55">
        <f>IF(B1500="","",SUMIFS('REVENUE'!$C$5:$C$1504,'REVENUE'!$B$5:$B$1504,A1500))</f>
        <v/>
      </c>
      <c r="U1500" s="55">
        <f>IF(B1500="","",IF(O1500="Completed",MAX(0,N(S1500)-T1500),""))</f>
        <v/>
      </c>
      <c r="V1500" s="49">
        <f>IF(B1500="","",IF(O1500&lt;&gt;"Completed",IF(T1500&gt;0,"Deposit","—"),IF(U1500&lt;=0.005,"Paid",IF(T1500&gt;0,"Partial","Unpaid"))))</f>
        <v/>
      </c>
      <c r="W1500" s="55">
        <f>IF(B1500="","",IFERROR(1/(1/INDEX('STAFF &amp; TASKS'!$C$5:$C$24,MATCH(H1500,'STAFF &amp; TASKS'!$A$5:$A$24,0))),PayRate))</f>
        <v/>
      </c>
      <c r="X1500" s="55">
        <f>IF(B1500="","",IF(OR(O1500="Cancelled",O1500="No-Show"),"",ROUND(R1500*W1500*(1+Burden),2)))</f>
        <v/>
      </c>
      <c r="Y1500" s="55">
        <f>IF(B1500="","",IF(OR(O1500="Cancelled",O1500="No-Show"),"",IF(N1500&lt;&gt;"",N1500,ROUND(R1500*SupHr*IFERROR(INDEX('PRICING'!$G$7:$G$16,MATCH(F1500,'PRICING'!$A$7:$A$16,0)),1),2))))</f>
        <v/>
      </c>
      <c r="Z1500" s="98">
        <f>IF(B1500="","",SUMIFS('MILEAGE'!$J$5:$J$1504,'MILEAGE'!$B$5:$B$1504,A1500))</f>
        <v/>
      </c>
      <c r="AA1500" s="55">
        <f>IF(B1500="","",ROUND(Z1500*MileRate,2))</f>
        <v/>
      </c>
      <c r="AB1500" s="55">
        <f>IF(B1500="","",SUMIFS('REVENUE'!$J$5:$J$1504,'REVENUE'!$B$5:$B$1504,A1500))</f>
        <v/>
      </c>
      <c r="AC1500" s="55">
        <f>IF(L1500="","",IF(OR(O1500="Cancelled",O1500="No-Show"),"",L1500-N(X1500)-N(Y1500)-AA1500-AB1500))</f>
        <v/>
      </c>
      <c r="AD1500" s="99">
        <f>IF(OR(AC1500="",N(L1500)=0),"",AC1500/L1500)</f>
        <v/>
      </c>
      <c r="AE1500" s="55">
        <f>IF(OR(AC1500="",N(R1500)=0),"",L1500/R1500)</f>
        <v/>
      </c>
      <c r="AF1500" s="100">
        <f>IF(OR(N(K1500)=0,N(J1500)+N(Q1500)=0),"",K1500-IF(N(J1500)&gt;0,J1500,Q1500))</f>
        <v/>
      </c>
      <c r="AG1500" s="99">
        <f>IF(B1500="","",IFERROR(AVERAGEIFS('QUALITY CONTROL'!$M$5:$M$304,'QUALITY CONTROL'!$B$5:$B$304,A1500),""))</f>
        <v/>
      </c>
      <c r="AH1500" s="51">
        <f>IF(B1500="","",DATE(YEAR(B1500),MONTH(B1500),1))</f>
        <v/>
      </c>
      <c r="AI1500" s="49">
        <f>IF(D1500="","",IFERROR(INDEX('CUSTOMERS'!$E$5:$E$404,MATCH(D1500,'CUSTOMERS'!$B$5:$B$404,0)),""))</f>
        <v/>
      </c>
      <c r="AJ1500" s="49">
        <f>IF(B1500="","",N(C1500))</f>
        <v/>
      </c>
      <c r="AK1500" s="49">
        <f>IF(OR(B1500="",O1500="Cancelled",O1500="Rescheduled"),"",B1500&amp;"|"&amp;(COUNTIFS('JOBS'!$B$5:$B$1504,B1500,'JOBS'!$AJ$5:$AJ$1504,"&lt;"&amp;AJ1500,'JOBS'!$O$5:$O$1504,"&lt;&gt;Cancelled",'JOBS'!$O$5:$O$1504,"&lt;&gt;Rescheduled")+COUNTIFS($B$5:B1500,B1500,$AJ$5:AJ1500,AJ1500,$O$5:O1500,"&lt;&gt;Cancelled",$O$5:O1500,"&lt;&gt;Rescheduled")))</f>
        <v/>
      </c>
      <c r="AL1500" s="49">
        <f>IF(N(U1500)&lt;=0.005,"",COUNTIFS('JOBS'!$U$5:$U$1504,"&gt;0.005",'JOBS'!$B$5:$B$1504,"&lt;"&amp;B1500)+COUNTIFS($U$5:U1500,"&gt;0.005",$B$5:B1500,B1500))</f>
        <v/>
      </c>
    </row>
    <row r="1501">
      <c r="A1501" s="46" t="inlineStr">
        <is>
          <t>J-1497</t>
        </is>
      </c>
      <c r="B1501" s="47" t="n"/>
      <c r="C1501" s="94" t="n"/>
      <c r="D1501" s="38" t="n"/>
      <c r="E1501" s="38" t="n"/>
      <c r="F1501" s="38" t="n"/>
      <c r="G1501" s="38" t="n"/>
      <c r="H1501" s="38" t="n"/>
      <c r="I1501" s="57" t="n"/>
      <c r="J1501" s="95" t="n"/>
      <c r="K1501" s="95" t="n"/>
      <c r="L1501" s="48" t="n"/>
      <c r="M1501" s="96" t="n"/>
      <c r="N1501" s="48" t="n"/>
      <c r="O1501" s="38" t="n"/>
      <c r="P1501" s="38" t="n"/>
      <c r="Q1501" s="97">
        <f>IF(OR(F1501="",E1501=""),"",IFERROR(IF(INDEX('PROPERTIES'!$F$5:$F$404,MATCH(E1501,'PROPERTIES'!$B$5:$B$404,0))=0,"",ROUND((INDEX('PROPERTIES'!$F$5:$F$404,MATCH(E1501,'PROPERTIES'!$B$5:$B$404,0))/INDEX('PRICING'!$C$7:$C$16,MATCH(F1501,'PRICING'!$A$7:$A$16,0))+INDEX('PROPERTIES'!$G$5:$G$404,MATCH(E1501,'PROPERTIES'!$B$5:$B$404,0))*INDEX('PRICING'!$D$7:$D$16,MATCH(F1501,'PRICING'!$A$7:$A$16,0))/60+INDEX('PROPERTIES'!$H$5:$H$404,MATCH(E1501,'PROPERTIES'!$B$5:$B$404,0))*INDEX('PRICING'!$E$7:$E$16,MATCH(F1501,'PRICING'!$A$7:$A$16,0))/60+INDEX('PRICING'!$F$7:$F$16,MATCH(F1501,'PRICING'!$A$7:$A$16,0))/60),2)),""))</f>
        <v/>
      </c>
      <c r="R1501" s="97">
        <f>IF(B1501="","",IF(N(K1501)&gt;0,K1501,IF(N(J1501)&gt;0,J1501,N(Q1501))))</f>
        <v/>
      </c>
      <c r="S1501" s="55">
        <f>IF(L1501="","",ROUND(L1501*(1+N(M1501)),2))</f>
        <v/>
      </c>
      <c r="T1501" s="55">
        <f>IF(B1501="","",SUMIFS('REVENUE'!$C$5:$C$1504,'REVENUE'!$B$5:$B$1504,A1501))</f>
        <v/>
      </c>
      <c r="U1501" s="55">
        <f>IF(B1501="","",IF(O1501="Completed",MAX(0,N(S1501)-T1501),""))</f>
        <v/>
      </c>
      <c r="V1501" s="49">
        <f>IF(B1501="","",IF(O1501&lt;&gt;"Completed",IF(T1501&gt;0,"Deposit","—"),IF(U1501&lt;=0.005,"Paid",IF(T1501&gt;0,"Partial","Unpaid"))))</f>
        <v/>
      </c>
      <c r="W1501" s="55">
        <f>IF(B1501="","",IFERROR(1/(1/INDEX('STAFF &amp; TASKS'!$C$5:$C$24,MATCH(H1501,'STAFF &amp; TASKS'!$A$5:$A$24,0))),PayRate))</f>
        <v/>
      </c>
      <c r="X1501" s="55">
        <f>IF(B1501="","",IF(OR(O1501="Cancelled",O1501="No-Show"),"",ROUND(R1501*W1501*(1+Burden),2)))</f>
        <v/>
      </c>
      <c r="Y1501" s="55">
        <f>IF(B1501="","",IF(OR(O1501="Cancelled",O1501="No-Show"),"",IF(N1501&lt;&gt;"",N1501,ROUND(R1501*SupHr*IFERROR(INDEX('PRICING'!$G$7:$G$16,MATCH(F1501,'PRICING'!$A$7:$A$16,0)),1),2))))</f>
        <v/>
      </c>
      <c r="Z1501" s="98">
        <f>IF(B1501="","",SUMIFS('MILEAGE'!$J$5:$J$1504,'MILEAGE'!$B$5:$B$1504,A1501))</f>
        <v/>
      </c>
      <c r="AA1501" s="55">
        <f>IF(B1501="","",ROUND(Z1501*MileRate,2))</f>
        <v/>
      </c>
      <c r="AB1501" s="55">
        <f>IF(B1501="","",SUMIFS('REVENUE'!$J$5:$J$1504,'REVENUE'!$B$5:$B$1504,A1501))</f>
        <v/>
      </c>
      <c r="AC1501" s="55">
        <f>IF(L1501="","",IF(OR(O1501="Cancelled",O1501="No-Show"),"",L1501-N(X1501)-N(Y1501)-AA1501-AB1501))</f>
        <v/>
      </c>
      <c r="AD1501" s="99">
        <f>IF(OR(AC1501="",N(L1501)=0),"",AC1501/L1501)</f>
        <v/>
      </c>
      <c r="AE1501" s="55">
        <f>IF(OR(AC1501="",N(R1501)=0),"",L1501/R1501)</f>
        <v/>
      </c>
      <c r="AF1501" s="100">
        <f>IF(OR(N(K1501)=0,N(J1501)+N(Q1501)=0),"",K1501-IF(N(J1501)&gt;0,J1501,Q1501))</f>
        <v/>
      </c>
      <c r="AG1501" s="99">
        <f>IF(B1501="","",IFERROR(AVERAGEIFS('QUALITY CONTROL'!$M$5:$M$304,'QUALITY CONTROL'!$B$5:$B$304,A1501),""))</f>
        <v/>
      </c>
      <c r="AH1501" s="51">
        <f>IF(B1501="","",DATE(YEAR(B1501),MONTH(B1501),1))</f>
        <v/>
      </c>
      <c r="AI1501" s="49">
        <f>IF(D1501="","",IFERROR(INDEX('CUSTOMERS'!$E$5:$E$404,MATCH(D1501,'CUSTOMERS'!$B$5:$B$404,0)),""))</f>
        <v/>
      </c>
      <c r="AJ1501" s="49">
        <f>IF(B1501="","",N(C1501))</f>
        <v/>
      </c>
      <c r="AK1501" s="49">
        <f>IF(OR(B1501="",O1501="Cancelled",O1501="Rescheduled"),"",B1501&amp;"|"&amp;(COUNTIFS('JOBS'!$B$5:$B$1504,B1501,'JOBS'!$AJ$5:$AJ$1504,"&lt;"&amp;AJ1501,'JOBS'!$O$5:$O$1504,"&lt;&gt;Cancelled",'JOBS'!$O$5:$O$1504,"&lt;&gt;Rescheduled")+COUNTIFS($B$5:B1501,B1501,$AJ$5:AJ1501,AJ1501,$O$5:O1501,"&lt;&gt;Cancelled",$O$5:O1501,"&lt;&gt;Rescheduled")))</f>
        <v/>
      </c>
      <c r="AL1501" s="49">
        <f>IF(N(U1501)&lt;=0.005,"",COUNTIFS('JOBS'!$U$5:$U$1504,"&gt;0.005",'JOBS'!$B$5:$B$1504,"&lt;"&amp;B1501)+COUNTIFS($U$5:U1501,"&gt;0.005",$B$5:B1501,B1501))</f>
        <v/>
      </c>
    </row>
    <row r="1502">
      <c r="A1502" s="46" t="inlineStr">
        <is>
          <t>J-1498</t>
        </is>
      </c>
      <c r="B1502" s="47" t="n"/>
      <c r="C1502" s="94" t="n"/>
      <c r="D1502" s="38" t="n"/>
      <c r="E1502" s="38" t="n"/>
      <c r="F1502" s="38" t="n"/>
      <c r="G1502" s="38" t="n"/>
      <c r="H1502" s="38" t="n"/>
      <c r="I1502" s="57" t="n"/>
      <c r="J1502" s="95" t="n"/>
      <c r="K1502" s="95" t="n"/>
      <c r="L1502" s="48" t="n"/>
      <c r="M1502" s="96" t="n"/>
      <c r="N1502" s="48" t="n"/>
      <c r="O1502" s="38" t="n"/>
      <c r="P1502" s="38" t="n"/>
      <c r="Q1502" s="97">
        <f>IF(OR(F1502="",E1502=""),"",IFERROR(IF(INDEX('PROPERTIES'!$F$5:$F$404,MATCH(E1502,'PROPERTIES'!$B$5:$B$404,0))=0,"",ROUND((INDEX('PROPERTIES'!$F$5:$F$404,MATCH(E1502,'PROPERTIES'!$B$5:$B$404,0))/INDEX('PRICING'!$C$7:$C$16,MATCH(F1502,'PRICING'!$A$7:$A$16,0))+INDEX('PROPERTIES'!$G$5:$G$404,MATCH(E1502,'PROPERTIES'!$B$5:$B$404,0))*INDEX('PRICING'!$D$7:$D$16,MATCH(F1502,'PRICING'!$A$7:$A$16,0))/60+INDEX('PROPERTIES'!$H$5:$H$404,MATCH(E1502,'PROPERTIES'!$B$5:$B$404,0))*INDEX('PRICING'!$E$7:$E$16,MATCH(F1502,'PRICING'!$A$7:$A$16,0))/60+INDEX('PRICING'!$F$7:$F$16,MATCH(F1502,'PRICING'!$A$7:$A$16,0))/60),2)),""))</f>
        <v/>
      </c>
      <c r="R1502" s="97">
        <f>IF(B1502="","",IF(N(K1502)&gt;0,K1502,IF(N(J1502)&gt;0,J1502,N(Q1502))))</f>
        <v/>
      </c>
      <c r="S1502" s="55">
        <f>IF(L1502="","",ROUND(L1502*(1+N(M1502)),2))</f>
        <v/>
      </c>
      <c r="T1502" s="55">
        <f>IF(B1502="","",SUMIFS('REVENUE'!$C$5:$C$1504,'REVENUE'!$B$5:$B$1504,A1502))</f>
        <v/>
      </c>
      <c r="U1502" s="55">
        <f>IF(B1502="","",IF(O1502="Completed",MAX(0,N(S1502)-T1502),""))</f>
        <v/>
      </c>
      <c r="V1502" s="49">
        <f>IF(B1502="","",IF(O1502&lt;&gt;"Completed",IF(T1502&gt;0,"Deposit","—"),IF(U1502&lt;=0.005,"Paid",IF(T1502&gt;0,"Partial","Unpaid"))))</f>
        <v/>
      </c>
      <c r="W1502" s="55">
        <f>IF(B1502="","",IFERROR(1/(1/INDEX('STAFF &amp; TASKS'!$C$5:$C$24,MATCH(H1502,'STAFF &amp; TASKS'!$A$5:$A$24,0))),PayRate))</f>
        <v/>
      </c>
      <c r="X1502" s="55">
        <f>IF(B1502="","",IF(OR(O1502="Cancelled",O1502="No-Show"),"",ROUND(R1502*W1502*(1+Burden),2)))</f>
        <v/>
      </c>
      <c r="Y1502" s="55">
        <f>IF(B1502="","",IF(OR(O1502="Cancelled",O1502="No-Show"),"",IF(N1502&lt;&gt;"",N1502,ROUND(R1502*SupHr*IFERROR(INDEX('PRICING'!$G$7:$G$16,MATCH(F1502,'PRICING'!$A$7:$A$16,0)),1),2))))</f>
        <v/>
      </c>
      <c r="Z1502" s="98">
        <f>IF(B1502="","",SUMIFS('MILEAGE'!$J$5:$J$1504,'MILEAGE'!$B$5:$B$1504,A1502))</f>
        <v/>
      </c>
      <c r="AA1502" s="55">
        <f>IF(B1502="","",ROUND(Z1502*MileRate,2))</f>
        <v/>
      </c>
      <c r="AB1502" s="55">
        <f>IF(B1502="","",SUMIFS('REVENUE'!$J$5:$J$1504,'REVENUE'!$B$5:$B$1504,A1502))</f>
        <v/>
      </c>
      <c r="AC1502" s="55">
        <f>IF(L1502="","",IF(OR(O1502="Cancelled",O1502="No-Show"),"",L1502-N(X1502)-N(Y1502)-AA1502-AB1502))</f>
        <v/>
      </c>
      <c r="AD1502" s="99">
        <f>IF(OR(AC1502="",N(L1502)=0),"",AC1502/L1502)</f>
        <v/>
      </c>
      <c r="AE1502" s="55">
        <f>IF(OR(AC1502="",N(R1502)=0),"",L1502/R1502)</f>
        <v/>
      </c>
      <c r="AF1502" s="100">
        <f>IF(OR(N(K1502)=0,N(J1502)+N(Q1502)=0),"",K1502-IF(N(J1502)&gt;0,J1502,Q1502))</f>
        <v/>
      </c>
      <c r="AG1502" s="99">
        <f>IF(B1502="","",IFERROR(AVERAGEIFS('QUALITY CONTROL'!$M$5:$M$304,'QUALITY CONTROL'!$B$5:$B$304,A1502),""))</f>
        <v/>
      </c>
      <c r="AH1502" s="51">
        <f>IF(B1502="","",DATE(YEAR(B1502),MONTH(B1502),1))</f>
        <v/>
      </c>
      <c r="AI1502" s="49">
        <f>IF(D1502="","",IFERROR(INDEX('CUSTOMERS'!$E$5:$E$404,MATCH(D1502,'CUSTOMERS'!$B$5:$B$404,0)),""))</f>
        <v/>
      </c>
      <c r="AJ1502" s="49">
        <f>IF(B1502="","",N(C1502))</f>
        <v/>
      </c>
      <c r="AK1502" s="49">
        <f>IF(OR(B1502="",O1502="Cancelled",O1502="Rescheduled"),"",B1502&amp;"|"&amp;(COUNTIFS('JOBS'!$B$5:$B$1504,B1502,'JOBS'!$AJ$5:$AJ$1504,"&lt;"&amp;AJ1502,'JOBS'!$O$5:$O$1504,"&lt;&gt;Cancelled",'JOBS'!$O$5:$O$1504,"&lt;&gt;Rescheduled")+COUNTIFS($B$5:B1502,B1502,$AJ$5:AJ1502,AJ1502,$O$5:O1502,"&lt;&gt;Cancelled",$O$5:O1502,"&lt;&gt;Rescheduled")))</f>
        <v/>
      </c>
      <c r="AL1502" s="49">
        <f>IF(N(U1502)&lt;=0.005,"",COUNTIFS('JOBS'!$U$5:$U$1504,"&gt;0.005",'JOBS'!$B$5:$B$1504,"&lt;"&amp;B1502)+COUNTIFS($U$5:U1502,"&gt;0.005",$B$5:B1502,B1502))</f>
        <v/>
      </c>
    </row>
    <row r="1503">
      <c r="A1503" s="46" t="inlineStr">
        <is>
          <t>J-1499</t>
        </is>
      </c>
      <c r="B1503" s="47" t="n"/>
      <c r="C1503" s="94" t="n"/>
      <c r="D1503" s="38" t="n"/>
      <c r="E1503" s="38" t="n"/>
      <c r="F1503" s="38" t="n"/>
      <c r="G1503" s="38" t="n"/>
      <c r="H1503" s="38" t="n"/>
      <c r="I1503" s="57" t="n"/>
      <c r="J1503" s="95" t="n"/>
      <c r="K1503" s="95" t="n"/>
      <c r="L1503" s="48" t="n"/>
      <c r="M1503" s="96" t="n"/>
      <c r="N1503" s="48" t="n"/>
      <c r="O1503" s="38" t="n"/>
      <c r="P1503" s="38" t="n"/>
      <c r="Q1503" s="97">
        <f>IF(OR(F1503="",E1503=""),"",IFERROR(IF(INDEX('PROPERTIES'!$F$5:$F$404,MATCH(E1503,'PROPERTIES'!$B$5:$B$404,0))=0,"",ROUND((INDEX('PROPERTIES'!$F$5:$F$404,MATCH(E1503,'PROPERTIES'!$B$5:$B$404,0))/INDEX('PRICING'!$C$7:$C$16,MATCH(F1503,'PRICING'!$A$7:$A$16,0))+INDEX('PROPERTIES'!$G$5:$G$404,MATCH(E1503,'PROPERTIES'!$B$5:$B$404,0))*INDEX('PRICING'!$D$7:$D$16,MATCH(F1503,'PRICING'!$A$7:$A$16,0))/60+INDEX('PROPERTIES'!$H$5:$H$404,MATCH(E1503,'PROPERTIES'!$B$5:$B$404,0))*INDEX('PRICING'!$E$7:$E$16,MATCH(F1503,'PRICING'!$A$7:$A$16,0))/60+INDEX('PRICING'!$F$7:$F$16,MATCH(F1503,'PRICING'!$A$7:$A$16,0))/60),2)),""))</f>
        <v/>
      </c>
      <c r="R1503" s="97">
        <f>IF(B1503="","",IF(N(K1503)&gt;0,K1503,IF(N(J1503)&gt;0,J1503,N(Q1503))))</f>
        <v/>
      </c>
      <c r="S1503" s="55">
        <f>IF(L1503="","",ROUND(L1503*(1+N(M1503)),2))</f>
        <v/>
      </c>
      <c r="T1503" s="55">
        <f>IF(B1503="","",SUMIFS('REVENUE'!$C$5:$C$1504,'REVENUE'!$B$5:$B$1504,A1503))</f>
        <v/>
      </c>
      <c r="U1503" s="55">
        <f>IF(B1503="","",IF(O1503="Completed",MAX(0,N(S1503)-T1503),""))</f>
        <v/>
      </c>
      <c r="V1503" s="49">
        <f>IF(B1503="","",IF(O1503&lt;&gt;"Completed",IF(T1503&gt;0,"Deposit","—"),IF(U1503&lt;=0.005,"Paid",IF(T1503&gt;0,"Partial","Unpaid"))))</f>
        <v/>
      </c>
      <c r="W1503" s="55">
        <f>IF(B1503="","",IFERROR(1/(1/INDEX('STAFF &amp; TASKS'!$C$5:$C$24,MATCH(H1503,'STAFF &amp; TASKS'!$A$5:$A$24,0))),PayRate))</f>
        <v/>
      </c>
      <c r="X1503" s="55">
        <f>IF(B1503="","",IF(OR(O1503="Cancelled",O1503="No-Show"),"",ROUND(R1503*W1503*(1+Burden),2)))</f>
        <v/>
      </c>
      <c r="Y1503" s="55">
        <f>IF(B1503="","",IF(OR(O1503="Cancelled",O1503="No-Show"),"",IF(N1503&lt;&gt;"",N1503,ROUND(R1503*SupHr*IFERROR(INDEX('PRICING'!$G$7:$G$16,MATCH(F1503,'PRICING'!$A$7:$A$16,0)),1),2))))</f>
        <v/>
      </c>
      <c r="Z1503" s="98">
        <f>IF(B1503="","",SUMIFS('MILEAGE'!$J$5:$J$1504,'MILEAGE'!$B$5:$B$1504,A1503))</f>
        <v/>
      </c>
      <c r="AA1503" s="55">
        <f>IF(B1503="","",ROUND(Z1503*MileRate,2))</f>
        <v/>
      </c>
      <c r="AB1503" s="55">
        <f>IF(B1503="","",SUMIFS('REVENUE'!$J$5:$J$1504,'REVENUE'!$B$5:$B$1504,A1503))</f>
        <v/>
      </c>
      <c r="AC1503" s="55">
        <f>IF(L1503="","",IF(OR(O1503="Cancelled",O1503="No-Show"),"",L1503-N(X1503)-N(Y1503)-AA1503-AB1503))</f>
        <v/>
      </c>
      <c r="AD1503" s="99">
        <f>IF(OR(AC1503="",N(L1503)=0),"",AC1503/L1503)</f>
        <v/>
      </c>
      <c r="AE1503" s="55">
        <f>IF(OR(AC1503="",N(R1503)=0),"",L1503/R1503)</f>
        <v/>
      </c>
      <c r="AF1503" s="100">
        <f>IF(OR(N(K1503)=0,N(J1503)+N(Q1503)=0),"",K1503-IF(N(J1503)&gt;0,J1503,Q1503))</f>
        <v/>
      </c>
      <c r="AG1503" s="99">
        <f>IF(B1503="","",IFERROR(AVERAGEIFS('QUALITY CONTROL'!$M$5:$M$304,'QUALITY CONTROL'!$B$5:$B$304,A1503),""))</f>
        <v/>
      </c>
      <c r="AH1503" s="51">
        <f>IF(B1503="","",DATE(YEAR(B1503),MONTH(B1503),1))</f>
        <v/>
      </c>
      <c r="AI1503" s="49">
        <f>IF(D1503="","",IFERROR(INDEX('CUSTOMERS'!$E$5:$E$404,MATCH(D1503,'CUSTOMERS'!$B$5:$B$404,0)),""))</f>
        <v/>
      </c>
      <c r="AJ1503" s="49">
        <f>IF(B1503="","",N(C1503))</f>
        <v/>
      </c>
      <c r="AK1503" s="49">
        <f>IF(OR(B1503="",O1503="Cancelled",O1503="Rescheduled"),"",B1503&amp;"|"&amp;(COUNTIFS('JOBS'!$B$5:$B$1504,B1503,'JOBS'!$AJ$5:$AJ$1504,"&lt;"&amp;AJ1503,'JOBS'!$O$5:$O$1504,"&lt;&gt;Cancelled",'JOBS'!$O$5:$O$1504,"&lt;&gt;Rescheduled")+COUNTIFS($B$5:B1503,B1503,$AJ$5:AJ1503,AJ1503,$O$5:O1503,"&lt;&gt;Cancelled",$O$5:O1503,"&lt;&gt;Rescheduled")))</f>
        <v/>
      </c>
      <c r="AL1503" s="49">
        <f>IF(N(U1503)&lt;=0.005,"",COUNTIFS('JOBS'!$U$5:$U$1504,"&gt;0.005",'JOBS'!$B$5:$B$1504,"&lt;"&amp;B1503)+COUNTIFS($U$5:U1503,"&gt;0.005",$B$5:B1503,B1503))</f>
        <v/>
      </c>
    </row>
    <row r="1504">
      <c r="A1504" s="46" t="inlineStr">
        <is>
          <t>J-1500</t>
        </is>
      </c>
      <c r="B1504" s="47" t="n"/>
      <c r="C1504" s="94" t="n"/>
      <c r="D1504" s="38" t="n"/>
      <c r="E1504" s="38" t="n"/>
      <c r="F1504" s="38" t="n"/>
      <c r="G1504" s="38" t="n"/>
      <c r="H1504" s="38" t="n"/>
      <c r="I1504" s="57" t="n"/>
      <c r="J1504" s="95" t="n"/>
      <c r="K1504" s="95" t="n"/>
      <c r="L1504" s="48" t="n"/>
      <c r="M1504" s="96" t="n"/>
      <c r="N1504" s="48" t="n"/>
      <c r="O1504" s="38" t="n"/>
      <c r="P1504" s="38" t="n"/>
      <c r="Q1504" s="97">
        <f>IF(OR(F1504="",E1504=""),"",IFERROR(IF(INDEX('PROPERTIES'!$F$5:$F$404,MATCH(E1504,'PROPERTIES'!$B$5:$B$404,0))=0,"",ROUND((INDEX('PROPERTIES'!$F$5:$F$404,MATCH(E1504,'PROPERTIES'!$B$5:$B$404,0))/INDEX('PRICING'!$C$7:$C$16,MATCH(F1504,'PRICING'!$A$7:$A$16,0))+INDEX('PROPERTIES'!$G$5:$G$404,MATCH(E1504,'PROPERTIES'!$B$5:$B$404,0))*INDEX('PRICING'!$D$7:$D$16,MATCH(F1504,'PRICING'!$A$7:$A$16,0))/60+INDEX('PROPERTIES'!$H$5:$H$404,MATCH(E1504,'PROPERTIES'!$B$5:$B$404,0))*INDEX('PRICING'!$E$7:$E$16,MATCH(F1504,'PRICING'!$A$7:$A$16,0))/60+INDEX('PRICING'!$F$7:$F$16,MATCH(F1504,'PRICING'!$A$7:$A$16,0))/60),2)),""))</f>
        <v/>
      </c>
      <c r="R1504" s="97">
        <f>IF(B1504="","",IF(N(K1504)&gt;0,K1504,IF(N(J1504)&gt;0,J1504,N(Q1504))))</f>
        <v/>
      </c>
      <c r="S1504" s="55">
        <f>IF(L1504="","",ROUND(L1504*(1+N(M1504)),2))</f>
        <v/>
      </c>
      <c r="T1504" s="55">
        <f>IF(B1504="","",SUMIFS('REVENUE'!$C$5:$C$1504,'REVENUE'!$B$5:$B$1504,A1504))</f>
        <v/>
      </c>
      <c r="U1504" s="55">
        <f>IF(B1504="","",IF(O1504="Completed",MAX(0,N(S1504)-T1504),""))</f>
        <v/>
      </c>
      <c r="V1504" s="49">
        <f>IF(B1504="","",IF(O1504&lt;&gt;"Completed",IF(T1504&gt;0,"Deposit","—"),IF(U1504&lt;=0.005,"Paid",IF(T1504&gt;0,"Partial","Unpaid"))))</f>
        <v/>
      </c>
      <c r="W1504" s="55">
        <f>IF(B1504="","",IFERROR(1/(1/INDEX('STAFF &amp; TASKS'!$C$5:$C$24,MATCH(H1504,'STAFF &amp; TASKS'!$A$5:$A$24,0))),PayRate))</f>
        <v/>
      </c>
      <c r="X1504" s="55">
        <f>IF(B1504="","",IF(OR(O1504="Cancelled",O1504="No-Show"),"",ROUND(R1504*W1504*(1+Burden),2)))</f>
        <v/>
      </c>
      <c r="Y1504" s="55">
        <f>IF(B1504="","",IF(OR(O1504="Cancelled",O1504="No-Show"),"",IF(N1504&lt;&gt;"",N1504,ROUND(R1504*SupHr*IFERROR(INDEX('PRICING'!$G$7:$G$16,MATCH(F1504,'PRICING'!$A$7:$A$16,0)),1),2))))</f>
        <v/>
      </c>
      <c r="Z1504" s="98">
        <f>IF(B1504="","",SUMIFS('MILEAGE'!$J$5:$J$1504,'MILEAGE'!$B$5:$B$1504,A1504))</f>
        <v/>
      </c>
      <c r="AA1504" s="55">
        <f>IF(B1504="","",ROUND(Z1504*MileRate,2))</f>
        <v/>
      </c>
      <c r="AB1504" s="55">
        <f>IF(B1504="","",SUMIFS('REVENUE'!$J$5:$J$1504,'REVENUE'!$B$5:$B$1504,A1504))</f>
        <v/>
      </c>
      <c r="AC1504" s="55">
        <f>IF(L1504="","",IF(OR(O1504="Cancelled",O1504="No-Show"),"",L1504-N(X1504)-N(Y1504)-AA1504-AB1504))</f>
        <v/>
      </c>
      <c r="AD1504" s="99">
        <f>IF(OR(AC1504="",N(L1504)=0),"",AC1504/L1504)</f>
        <v/>
      </c>
      <c r="AE1504" s="55">
        <f>IF(OR(AC1504="",N(R1504)=0),"",L1504/R1504)</f>
        <v/>
      </c>
      <c r="AF1504" s="100">
        <f>IF(OR(N(K1504)=0,N(J1504)+N(Q1504)=0),"",K1504-IF(N(J1504)&gt;0,J1504,Q1504))</f>
        <v/>
      </c>
      <c r="AG1504" s="99">
        <f>IF(B1504="","",IFERROR(AVERAGEIFS('QUALITY CONTROL'!$M$5:$M$304,'QUALITY CONTROL'!$B$5:$B$304,A1504),""))</f>
        <v/>
      </c>
      <c r="AH1504" s="51">
        <f>IF(B1504="","",DATE(YEAR(B1504),MONTH(B1504),1))</f>
        <v/>
      </c>
      <c r="AI1504" s="49">
        <f>IF(D1504="","",IFERROR(INDEX('CUSTOMERS'!$E$5:$E$404,MATCH(D1504,'CUSTOMERS'!$B$5:$B$404,0)),""))</f>
        <v/>
      </c>
      <c r="AJ1504" s="49">
        <f>IF(B1504="","",N(C1504))</f>
        <v/>
      </c>
      <c r="AK1504" s="49">
        <f>IF(OR(B1504="",O1504="Cancelled",O1504="Rescheduled"),"",B1504&amp;"|"&amp;(COUNTIFS('JOBS'!$B$5:$B$1504,B1504,'JOBS'!$AJ$5:$AJ$1504,"&lt;"&amp;AJ1504,'JOBS'!$O$5:$O$1504,"&lt;&gt;Cancelled",'JOBS'!$O$5:$O$1504,"&lt;&gt;Rescheduled")+COUNTIFS($B$5:B1504,B1504,$AJ$5:AJ1504,AJ1504,$O$5:O1504,"&lt;&gt;Cancelled",$O$5:O1504,"&lt;&gt;Rescheduled")))</f>
        <v/>
      </c>
      <c r="AL1504" s="49">
        <f>IF(N(U1504)&lt;=0.005,"",COUNTIFS('JOBS'!$U$5:$U$1504,"&gt;0.005",'JOBS'!$B$5:$B$1504,"&lt;"&amp;B1504)+COUNTIFS($U$5:U1504,"&gt;0.005",$B$5:B1504,B1504))</f>
        <v/>
      </c>
    </row>
  </sheetData>
  <autoFilter ref="A4:AL1504"/>
  <mergeCells count="2">
    <mergeCell ref="A1:AL1"/>
    <mergeCell ref="A2:AL2"/>
  </mergeCells>
  <conditionalFormatting sqref="O5:O1504">
    <cfRule type="expression" priority="1" dxfId="3">
      <formula>O5="Completed"</formula>
    </cfRule>
    <cfRule type="expression" priority="2" dxfId="1">
      <formula>O5="Scheduled"</formula>
    </cfRule>
    <cfRule type="expression" priority="3" dxfId="4">
      <formula>O5="Cancelled"</formula>
    </cfRule>
    <cfRule type="expression" priority="4" dxfId="0">
      <formula>O5="No-Show"</formula>
    </cfRule>
    <cfRule type="expression" priority="5" dxfId="2">
      <formula>O5="Rescheduled"</formula>
    </cfRule>
  </conditionalFormatting>
  <conditionalFormatting sqref="V5:V1504">
    <cfRule type="expression" priority="6" dxfId="0">
      <formula>V5="Unpaid"</formula>
    </cfRule>
    <cfRule type="expression" priority="7" dxfId="2">
      <formula>V5="Partial"</formula>
    </cfRule>
    <cfRule type="expression" priority="8" dxfId="3">
      <formula>V5="Paid"</formula>
    </cfRule>
  </conditionalFormatting>
  <conditionalFormatting sqref="AD5:AD1504">
    <cfRule type="expression" priority="9" dxfId="0">
      <formula>AND(AD5&lt;&gt;"",AD5&lt;0)</formula>
    </cfRule>
    <cfRule type="expression" priority="10" dxfId="2">
      <formula>AND(AD5&lt;&gt;"",AD5&lt;TargetMargin)</formula>
    </cfRule>
  </conditionalFormatting>
  <dataValidations count="6">
    <dataValidation sqref="D5:D1504" showDropDown="0" showInputMessage="0" showErrorMessage="0" allowBlank="1" type="list">
      <formula1>='CUSTOMERS'!$B$5:$B$404</formula1>
    </dataValidation>
    <dataValidation sqref="E5:E1504" showDropDown="0" showInputMessage="0" showErrorMessage="0" allowBlank="1" type="list">
      <formula1>='PROPERTIES'!$B$5:$B$404</formula1>
    </dataValidation>
    <dataValidation sqref="F5:F1504" showDropDown="0" showInputMessage="0" showErrorMessage="0" allowBlank="1" type="list">
      <formula1>='PRICING'!$A$7:$A$16</formula1>
    </dataValidation>
    <dataValidation sqref="G5:G1504" showDropDown="0" showInputMessage="0" showErrorMessage="0" allowBlank="1" type="list">
      <formula1>='RECURRING'!$A$5:$A$154</formula1>
    </dataValidation>
    <dataValidation sqref="H5:H1504" showDropDown="0" showInputMessage="0" showErrorMessage="0" allowBlank="1" type="list">
      <formula1>='STAFF &amp; TASKS'!$A$5:$A$24</formula1>
    </dataValidation>
    <dataValidation sqref="O5:O1504" showDropDown="0" showInputMessage="0" showErrorMessage="0" allowBlank="1" type="list">
      <formula1>='SETTINGS'!$I$5:$I$9</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2BB3A3"/>
    <outlinePr summaryBelow="1" summaryRight="1"/>
    <pageSetUpPr fitToPage="1"/>
  </sheetPr>
  <dimension ref="A1:U1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4" customWidth="1" min="3" max="3"/>
    <col width="17" customWidth="1" min="4" max="4"/>
    <col width="13" customWidth="1" min="5" max="5"/>
    <col width="13" customWidth="1" min="6" max="6"/>
    <col width="15" customWidth="1" min="7" max="7"/>
    <col width="13" customWidth="1" min="8" max="8"/>
    <col width="16" customWidth="1" min="9" max="9"/>
    <col width="13" customWidth="1" min="10" max="10"/>
    <col width="24" customWidth="1" min="11" max="11"/>
    <col width="13" customWidth="1" min="12" max="12"/>
    <col width="13" customWidth="1" min="13" max="13"/>
    <col width="13" customWidth="1" min="14" max="14"/>
    <col width="13" customWidth="1" min="15" max="15"/>
    <col width="13" customWidth="1" min="16" max="16"/>
    <col width="17" customWidth="1" min="17" max="17"/>
    <col width="13" customWidth="1" min="18" max="18"/>
    <col width="13" customWidth="1" min="19" max="19"/>
    <col width="13" customWidth="1" min="20" max="20"/>
    <col width="13" customWidth="1" min="21" max="21"/>
  </cols>
  <sheetData>
    <row r="1" ht="34" customHeight="1">
      <c r="A1" s="42" t="inlineStr">
        <is>
          <t>RECURRING JOBS</t>
        </is>
      </c>
      <c r="B1" s="1" t="n"/>
      <c r="C1" s="1" t="n"/>
      <c r="D1" s="1" t="n"/>
      <c r="E1" s="1" t="n"/>
      <c r="F1" s="1" t="n"/>
      <c r="G1" s="1" t="n"/>
      <c r="H1" s="1" t="n"/>
      <c r="I1" s="1" t="n"/>
      <c r="J1" s="1" t="n"/>
      <c r="K1" s="1" t="n"/>
      <c r="L1" s="1" t="n"/>
      <c r="M1" s="1" t="n"/>
      <c r="N1" s="1" t="n"/>
      <c r="O1" s="1" t="n"/>
      <c r="P1" s="1" t="n"/>
      <c r="Q1" s="1" t="n"/>
      <c r="R1" s="1" t="n"/>
      <c r="S1" s="1" t="n"/>
      <c r="T1" s="1" t="n"/>
      <c r="U1" s="1" t="n"/>
    </row>
    <row r="2" ht="30" customHeight="1">
      <c r="A2" s="43" t="inlineStr">
        <is>
          <t>One row per recurring plan. When you book a visit in JOBS, choose this Plan ID. Next due date, booking status and recurring revenue update automatically.</t>
        </is>
      </c>
    </row>
    <row r="3" ht="18" customHeight="1">
      <c r="A3" s="24" t="inlineStr">
        <is>
          <t>← Start Here</t>
        </is>
      </c>
      <c r="B3" s="24" t="inlineStr">
        <is>
          <t>Dashboard →</t>
        </is>
      </c>
    </row>
    <row r="4" ht="42" customHeight="1">
      <c r="A4" s="44" t="inlineStr">
        <is>
          <t>Plan ID</t>
        </is>
      </c>
      <c r="B4" s="44" t="inlineStr">
        <is>
          <t>Customer</t>
        </is>
      </c>
      <c r="C4" s="44" t="inlineStr">
        <is>
          <t>Property</t>
        </is>
      </c>
      <c r="D4" s="44" t="inlineStr">
        <is>
          <t>Service</t>
        </is>
      </c>
      <c r="E4" s="44" t="inlineStr">
        <is>
          <t>Frequency</t>
        </is>
      </c>
      <c r="F4" s="44" t="inlineStr">
        <is>
          <t>Price per Visit</t>
        </is>
      </c>
      <c r="G4" s="44" t="inlineStr">
        <is>
          <t>Usual Worker</t>
        </is>
      </c>
      <c r="H4" s="44" t="inlineStr">
        <is>
          <t>Start Date</t>
        </is>
      </c>
      <c r="I4" s="44" t="inlineStr">
        <is>
          <t>Preferred Day / Time</t>
        </is>
      </c>
      <c r="J4" s="44" t="inlineStr">
        <is>
          <t>Plan Status</t>
        </is>
      </c>
      <c r="K4" s="44" t="inlineStr">
        <is>
          <t>Notes</t>
        </is>
      </c>
      <c r="L4" s="45" t="inlineStr">
        <is>
          <t>Visits Completed ⚙</t>
        </is>
      </c>
      <c r="M4" s="45" t="inlineStr">
        <is>
          <t>Last Visit ⚙</t>
        </is>
      </c>
      <c r="N4" s="45" t="inlineStr">
        <is>
          <t>Next Booked Visit ⚙</t>
        </is>
      </c>
      <c r="O4" s="45" t="inlineStr">
        <is>
          <t>Next Visit Due ⚙</t>
        </is>
      </c>
      <c r="P4" s="45" t="inlineStr">
        <is>
          <t>Days Until Due ⚙</t>
        </is>
      </c>
      <c r="Q4" s="45" t="inlineStr">
        <is>
          <t>Booking Status ⚙</t>
        </is>
      </c>
      <c r="R4" s="45" t="inlineStr">
        <is>
          <t>Monthly Value ⚙</t>
        </is>
      </c>
      <c r="S4" s="45" t="inlineStr">
        <is>
          <t>Annual Value ⚙</t>
        </is>
      </c>
      <c r="T4" s="45" t="inlineStr">
        <is>
          <t>Needs Booking (1/0) ⚙</t>
        </is>
      </c>
      <c r="U4" s="45" t="inlineStr">
        <is>
          <t>Booking Order ⚙</t>
        </is>
      </c>
    </row>
    <row r="5">
      <c r="A5" s="46" t="inlineStr">
        <is>
          <t>R-001</t>
        </is>
      </c>
      <c r="B5" s="38" t="inlineStr">
        <is>
          <t>Lane Ivers</t>
        </is>
      </c>
      <c r="C5" s="38" t="inlineStr">
        <is>
          <t>497 Aspen Drive, Sampletown</t>
        </is>
      </c>
      <c r="D5" s="38" t="inlineStr">
        <is>
          <t>Standard Clean</t>
        </is>
      </c>
      <c r="E5" s="38" t="inlineStr">
        <is>
          <t>Weekly</t>
        </is>
      </c>
      <c r="F5" s="48" t="n">
        <v>175</v>
      </c>
      <c r="G5" s="38" t="inlineStr">
        <is>
          <t>Maria Lopez</t>
        </is>
      </c>
      <c r="H5" s="47" t="n">
        <v>46056</v>
      </c>
      <c r="I5" s="38" t="inlineStr">
        <is>
          <t>Tuesday PM</t>
        </is>
      </c>
      <c r="J5" s="38" t="inlineStr">
        <is>
          <t>Active</t>
        </is>
      </c>
      <c r="K5" s="38" t="inlineStr">
        <is>
          <t>Started with deep clean</t>
        </is>
      </c>
      <c r="L5" s="53">
        <f>IF(B5="","",COUNTIFS('JOBS'!$G$5:$G$1504,A5,'JOBS'!$O$5:$O$1504,"Completed"))</f>
        <v/>
      </c>
      <c r="M5" s="52">
        <f>IF(B5="","",IF(_xlfn.MAXIFS('JOBS'!$B$5:$B$1504,'JOBS'!$G$5:$G$1504,A5,'JOBS'!$O$5:$O$1504,"Completed")=0,"",_xlfn.MAXIFS('JOBS'!$B$5:$B$1504,'JOBS'!$G$5:$G$1504,A5,'JOBS'!$O$5:$O$1504,"Completed")))</f>
        <v/>
      </c>
      <c r="N5" s="52">
        <f>IF(B5="","",IF(_xlfn.MINIFS('JOBS'!$B$5:$B$1504,'JOBS'!$G$5:$G$1504,A5,'JOBS'!$O$5:$O$1504,"Scheduled",'JOBS'!$B$5:$B$1504,"&gt;="&amp;AsOf)=0,"",_xlfn.MINIFS('JOBS'!$B$5:$B$1504,'JOBS'!$G$5:$G$1504,A5,'JOBS'!$O$5:$O$1504,"Scheduled",'JOBS'!$B$5:$B$1504,"&gt;="&amp;AsOf)))</f>
        <v/>
      </c>
      <c r="O5" s="52">
        <f>IF(B5="","",IF(N5&lt;&gt;"",N5,IF(M5="",IF(H5="","",H5),IF(E5="Monthly",EDATE(M5,1),M5+IFERROR(INDEX('PRICING'!$C$28:$C$33,MATCH(E5,'PRICING'!$A$28:$A$33,0)),14)))))</f>
        <v/>
      </c>
      <c r="P5" s="101">
        <f>IF(O5="","",O5-AsOf)</f>
        <v/>
      </c>
      <c r="Q5" s="49">
        <f>IF(B5="","",IF(J5&lt;&gt;"Active","—",IF(N5&lt;&gt;"","Booked",IF(O5="","Set start date",IF(O5&lt;AsOf,"Overdue — book now",IF(O5&lt;=AsOf+7,"Due this week — book","Upcoming"))))))</f>
        <v/>
      </c>
      <c r="R5" s="54">
        <f>IF(B5="","",IF(J5="Active",N(F5)*IFERROR(INDEX('PRICING'!$D$28:$D$33,MATCH(E5,'PRICING'!$A$28:$A$33,0)),0),0))</f>
        <v/>
      </c>
      <c r="S5" s="54">
        <f>IF(B5="","",R5*12)</f>
        <v/>
      </c>
      <c r="T5" s="49">
        <f>IF(B5="","",IF(OR(Q5="Overdue — book now",Q5="Due this week — book"),1,0))</f>
        <v/>
      </c>
      <c r="U5" s="49">
        <f>IF(N(T5)&lt;&gt;1,"",COUNTIFS('RECURRING'!$T$5:$T$154,1,'RECURRING'!$O$5:$O$154,"&lt;"&amp;O5)+COUNTIFS($T$5:T5,1,$O$5:O5,O5))</f>
        <v/>
      </c>
    </row>
    <row r="6">
      <c r="A6" s="46" t="inlineStr">
        <is>
          <t>R-002</t>
        </is>
      </c>
      <c r="B6" s="38" t="inlineStr">
        <is>
          <t>Logan Porter</t>
        </is>
      </c>
      <c r="C6" s="38" t="inlineStr">
        <is>
          <t>675 Aspen Drive, Lakeview (fictional)</t>
        </is>
      </c>
      <c r="D6" s="38" t="inlineStr">
        <is>
          <t>Standard Clean</t>
        </is>
      </c>
      <c r="E6" s="38" t="inlineStr">
        <is>
          <t>Biweekly</t>
        </is>
      </c>
      <c r="F6" s="48" t="n">
        <v>220</v>
      </c>
      <c r="G6" s="38" t="inlineStr">
        <is>
          <t>Dana Whitfield</t>
        </is>
      </c>
      <c r="H6" s="47" t="n">
        <v>46113</v>
      </c>
      <c r="I6" s="38" t="inlineStr">
        <is>
          <t>Wednesday AM</t>
        </is>
      </c>
      <c r="J6" s="38" t="inlineStr">
        <is>
          <t>Active</t>
        </is>
      </c>
      <c r="K6" s="38" t="inlineStr">
        <is>
          <t>Started with deep clean</t>
        </is>
      </c>
      <c r="L6" s="53">
        <f>IF(B6="","",COUNTIFS('JOBS'!$G$5:$G$1504,A6,'JOBS'!$O$5:$O$1504,"Completed"))</f>
        <v/>
      </c>
      <c r="M6" s="52">
        <f>IF(B6="","",IF(_xlfn.MAXIFS('JOBS'!$B$5:$B$1504,'JOBS'!$G$5:$G$1504,A6,'JOBS'!$O$5:$O$1504,"Completed")=0,"",_xlfn.MAXIFS('JOBS'!$B$5:$B$1504,'JOBS'!$G$5:$G$1504,A6,'JOBS'!$O$5:$O$1504,"Completed")))</f>
        <v/>
      </c>
      <c r="N6" s="52">
        <f>IF(B6="","",IF(_xlfn.MINIFS('JOBS'!$B$5:$B$1504,'JOBS'!$G$5:$G$1504,A6,'JOBS'!$O$5:$O$1504,"Scheduled",'JOBS'!$B$5:$B$1504,"&gt;="&amp;AsOf)=0,"",_xlfn.MINIFS('JOBS'!$B$5:$B$1504,'JOBS'!$G$5:$G$1504,A6,'JOBS'!$O$5:$O$1504,"Scheduled",'JOBS'!$B$5:$B$1504,"&gt;="&amp;AsOf)))</f>
        <v/>
      </c>
      <c r="O6" s="52">
        <f>IF(B6="","",IF(N6&lt;&gt;"",N6,IF(M6="",IF(H6="","",H6),IF(E6="Monthly",EDATE(M6,1),M6+IFERROR(INDEX('PRICING'!$C$28:$C$33,MATCH(E6,'PRICING'!$A$28:$A$33,0)),14)))))</f>
        <v/>
      </c>
      <c r="P6" s="101">
        <f>IF(O6="","",O6-AsOf)</f>
        <v/>
      </c>
      <c r="Q6" s="49">
        <f>IF(B6="","",IF(J6&lt;&gt;"Active","—",IF(N6&lt;&gt;"","Booked",IF(O6="","Set start date",IF(O6&lt;AsOf,"Overdue — book now",IF(O6&lt;=AsOf+7,"Due this week — book","Upcoming"))))))</f>
        <v/>
      </c>
      <c r="R6" s="54">
        <f>IF(B6="","",IF(J6="Active",N(F6)*IFERROR(INDEX('PRICING'!$D$28:$D$33,MATCH(E6,'PRICING'!$A$28:$A$33,0)),0),0))</f>
        <v/>
      </c>
      <c r="S6" s="54">
        <f>IF(B6="","",R6*12)</f>
        <v/>
      </c>
      <c r="T6" s="49">
        <f>IF(B6="","",IF(OR(Q6="Overdue — book now",Q6="Due this week — book"),1,0))</f>
        <v/>
      </c>
      <c r="U6" s="49">
        <f>IF(N(T6)&lt;&gt;1,"",COUNTIFS('RECURRING'!$T$5:$T$154,1,'RECURRING'!$O$5:$O$154,"&lt;"&amp;O6)+COUNTIFS($T$5:T6,1,$O$5:O6,O6))</f>
        <v/>
      </c>
    </row>
    <row r="7">
      <c r="A7" s="46" t="inlineStr">
        <is>
          <t>R-003</t>
        </is>
      </c>
      <c r="B7" s="38" t="inlineStr">
        <is>
          <t>Devon Hayes</t>
        </is>
      </c>
      <c r="C7" s="38" t="inlineStr">
        <is>
          <t>461 Hawthorn Road, Lakeview (fictional)</t>
        </is>
      </c>
      <c r="D7" s="38" t="inlineStr">
        <is>
          <t>Standard Clean</t>
        </is>
      </c>
      <c r="E7" s="38" t="inlineStr">
        <is>
          <t>Biweekly</t>
        </is>
      </c>
      <c r="F7" s="48" t="n">
        <v>220</v>
      </c>
      <c r="G7" s="38" t="inlineStr">
        <is>
          <t>Maria Lopez</t>
        </is>
      </c>
      <c r="H7" s="47" t="n">
        <v>46171</v>
      </c>
      <c r="I7" s="38" t="inlineStr">
        <is>
          <t>Friday PM</t>
        </is>
      </c>
      <c r="J7" s="38" t="inlineStr">
        <is>
          <t>Active</t>
        </is>
      </c>
      <c r="K7" s="38" t="inlineStr">
        <is>
          <t>Started with deep clean</t>
        </is>
      </c>
      <c r="L7" s="53">
        <f>IF(B7="","",COUNTIFS('JOBS'!$G$5:$G$1504,A7,'JOBS'!$O$5:$O$1504,"Completed"))</f>
        <v/>
      </c>
      <c r="M7" s="52">
        <f>IF(B7="","",IF(_xlfn.MAXIFS('JOBS'!$B$5:$B$1504,'JOBS'!$G$5:$G$1504,A7,'JOBS'!$O$5:$O$1504,"Completed")=0,"",_xlfn.MAXIFS('JOBS'!$B$5:$B$1504,'JOBS'!$G$5:$G$1504,A7,'JOBS'!$O$5:$O$1504,"Completed")))</f>
        <v/>
      </c>
      <c r="N7" s="52">
        <f>IF(B7="","",IF(_xlfn.MINIFS('JOBS'!$B$5:$B$1504,'JOBS'!$G$5:$G$1504,A7,'JOBS'!$O$5:$O$1504,"Scheduled",'JOBS'!$B$5:$B$1504,"&gt;="&amp;AsOf)=0,"",_xlfn.MINIFS('JOBS'!$B$5:$B$1504,'JOBS'!$G$5:$G$1504,A7,'JOBS'!$O$5:$O$1504,"Scheduled",'JOBS'!$B$5:$B$1504,"&gt;="&amp;AsOf)))</f>
        <v/>
      </c>
      <c r="O7" s="52">
        <f>IF(B7="","",IF(N7&lt;&gt;"",N7,IF(M7="",IF(H7="","",H7),IF(E7="Monthly",EDATE(M7,1),M7+IFERROR(INDEX('PRICING'!$C$28:$C$33,MATCH(E7,'PRICING'!$A$28:$A$33,0)),14)))))</f>
        <v/>
      </c>
      <c r="P7" s="101">
        <f>IF(O7="","",O7-AsOf)</f>
        <v/>
      </c>
      <c r="Q7" s="49">
        <f>IF(B7="","",IF(J7&lt;&gt;"Active","—",IF(N7&lt;&gt;"","Booked",IF(O7="","Set start date",IF(O7&lt;AsOf,"Overdue — book now",IF(O7&lt;=AsOf+7,"Due this week — book","Upcoming"))))))</f>
        <v/>
      </c>
      <c r="R7" s="54">
        <f>IF(B7="","",IF(J7="Active",N(F7)*IFERROR(INDEX('PRICING'!$D$28:$D$33,MATCH(E7,'PRICING'!$A$28:$A$33,0)),0),0))</f>
        <v/>
      </c>
      <c r="S7" s="54">
        <f>IF(B7="","",R7*12)</f>
        <v/>
      </c>
      <c r="T7" s="49">
        <f>IF(B7="","",IF(OR(Q7="Overdue — book now",Q7="Due this week — book"),1,0))</f>
        <v/>
      </c>
      <c r="U7" s="49">
        <f>IF(N(T7)&lt;&gt;1,"",COUNTIFS('RECURRING'!$T$5:$T$154,1,'RECURRING'!$O$5:$O$154,"&lt;"&amp;O7)+COUNTIFS($T$5:T7,1,$O$5:O7,O7))</f>
        <v/>
      </c>
    </row>
    <row r="8">
      <c r="A8" s="46" t="inlineStr">
        <is>
          <t>R-004</t>
        </is>
      </c>
      <c r="B8" s="38" t="inlineStr">
        <is>
          <t>Noel Collins</t>
        </is>
      </c>
      <c r="C8" s="38" t="inlineStr">
        <is>
          <t>964 Cedar Court, Lakeview (fictional)</t>
        </is>
      </c>
      <c r="D8" s="38" t="inlineStr">
        <is>
          <t>Standard Clean</t>
        </is>
      </c>
      <c r="E8" s="38" t="inlineStr">
        <is>
          <t>Biweekly</t>
        </is>
      </c>
      <c r="F8" s="48" t="n">
        <v>245</v>
      </c>
      <c r="G8" s="38" t="inlineStr">
        <is>
          <t>Dana Whitfield</t>
        </is>
      </c>
      <c r="H8" s="47" t="n">
        <v>46116</v>
      </c>
      <c r="I8" s="38" t="inlineStr">
        <is>
          <t>Saturday AM</t>
        </is>
      </c>
      <c r="J8" s="38" t="inlineStr">
        <is>
          <t>Paused</t>
        </is>
      </c>
      <c r="K8" s="38" t="inlineStr">
        <is>
          <t>Started with deep clean</t>
        </is>
      </c>
      <c r="L8" s="53">
        <f>IF(B8="","",COUNTIFS('JOBS'!$G$5:$G$1504,A8,'JOBS'!$O$5:$O$1504,"Completed"))</f>
        <v/>
      </c>
      <c r="M8" s="52">
        <f>IF(B8="","",IF(_xlfn.MAXIFS('JOBS'!$B$5:$B$1504,'JOBS'!$G$5:$G$1504,A8,'JOBS'!$O$5:$O$1504,"Completed")=0,"",_xlfn.MAXIFS('JOBS'!$B$5:$B$1504,'JOBS'!$G$5:$G$1504,A8,'JOBS'!$O$5:$O$1504,"Completed")))</f>
        <v/>
      </c>
      <c r="N8" s="52">
        <f>IF(B8="","",IF(_xlfn.MINIFS('JOBS'!$B$5:$B$1504,'JOBS'!$G$5:$G$1504,A8,'JOBS'!$O$5:$O$1504,"Scheduled",'JOBS'!$B$5:$B$1504,"&gt;="&amp;AsOf)=0,"",_xlfn.MINIFS('JOBS'!$B$5:$B$1504,'JOBS'!$G$5:$G$1504,A8,'JOBS'!$O$5:$O$1504,"Scheduled",'JOBS'!$B$5:$B$1504,"&gt;="&amp;AsOf)))</f>
        <v/>
      </c>
      <c r="O8" s="52">
        <f>IF(B8="","",IF(N8&lt;&gt;"",N8,IF(M8="",IF(H8="","",H8),IF(E8="Monthly",EDATE(M8,1),M8+IFERROR(INDEX('PRICING'!$C$28:$C$33,MATCH(E8,'PRICING'!$A$28:$A$33,0)),14)))))</f>
        <v/>
      </c>
      <c r="P8" s="101">
        <f>IF(O8="","",O8-AsOf)</f>
        <v/>
      </c>
      <c r="Q8" s="49">
        <f>IF(B8="","",IF(J8&lt;&gt;"Active","—",IF(N8&lt;&gt;"","Booked",IF(O8="","Set start date",IF(O8&lt;AsOf,"Overdue — book now",IF(O8&lt;=AsOf+7,"Due this week — book","Upcoming"))))))</f>
        <v/>
      </c>
      <c r="R8" s="54">
        <f>IF(B8="","",IF(J8="Active",N(F8)*IFERROR(INDEX('PRICING'!$D$28:$D$33,MATCH(E8,'PRICING'!$A$28:$A$33,0)),0),0))</f>
        <v/>
      </c>
      <c r="S8" s="54">
        <f>IF(B8="","",R8*12)</f>
        <v/>
      </c>
      <c r="T8" s="49">
        <f>IF(B8="","",IF(OR(Q8="Overdue — book now",Q8="Due this week — book"),1,0))</f>
        <v/>
      </c>
      <c r="U8" s="49">
        <f>IF(N(T8)&lt;&gt;1,"",COUNTIFS('RECURRING'!$T$5:$T$154,1,'RECURRING'!$O$5:$O$154,"&lt;"&amp;O8)+COUNTIFS($T$5:T8,1,$O$5:O8,O8))</f>
        <v/>
      </c>
    </row>
    <row r="9">
      <c r="A9" s="46" t="inlineStr">
        <is>
          <t>R-005</t>
        </is>
      </c>
      <c r="B9" s="38" t="inlineStr">
        <is>
          <t>Rowan Foxworth</t>
        </is>
      </c>
      <c r="C9" s="38" t="inlineStr">
        <is>
          <t>876 Magnolia Circle, North Sampletown</t>
        </is>
      </c>
      <c r="D9" s="38" t="inlineStr">
        <is>
          <t>Standard Clean</t>
        </is>
      </c>
      <c r="E9" s="38" t="inlineStr">
        <is>
          <t>Biweekly</t>
        </is>
      </c>
      <c r="F9" s="48" t="n">
        <v>220</v>
      </c>
      <c r="G9" s="38" t="inlineStr">
        <is>
          <t>Maria Lopez</t>
        </is>
      </c>
      <c r="H9" s="47" t="n">
        <v>46101</v>
      </c>
      <c r="I9" s="38" t="inlineStr">
        <is>
          <t>Friday PM</t>
        </is>
      </c>
      <c r="J9" s="38" t="inlineStr">
        <is>
          <t>Active</t>
        </is>
      </c>
      <c r="K9" s="38" t="inlineStr">
        <is>
          <t>Started with deep clean</t>
        </is>
      </c>
      <c r="L9" s="53">
        <f>IF(B9="","",COUNTIFS('JOBS'!$G$5:$G$1504,A9,'JOBS'!$O$5:$O$1504,"Completed"))</f>
        <v/>
      </c>
      <c r="M9" s="52">
        <f>IF(B9="","",IF(_xlfn.MAXIFS('JOBS'!$B$5:$B$1504,'JOBS'!$G$5:$G$1504,A9,'JOBS'!$O$5:$O$1504,"Completed")=0,"",_xlfn.MAXIFS('JOBS'!$B$5:$B$1504,'JOBS'!$G$5:$G$1504,A9,'JOBS'!$O$5:$O$1504,"Completed")))</f>
        <v/>
      </c>
      <c r="N9" s="52">
        <f>IF(B9="","",IF(_xlfn.MINIFS('JOBS'!$B$5:$B$1504,'JOBS'!$G$5:$G$1504,A9,'JOBS'!$O$5:$O$1504,"Scheduled",'JOBS'!$B$5:$B$1504,"&gt;="&amp;AsOf)=0,"",_xlfn.MINIFS('JOBS'!$B$5:$B$1504,'JOBS'!$G$5:$G$1504,A9,'JOBS'!$O$5:$O$1504,"Scheduled",'JOBS'!$B$5:$B$1504,"&gt;="&amp;AsOf)))</f>
        <v/>
      </c>
      <c r="O9" s="52">
        <f>IF(B9="","",IF(N9&lt;&gt;"",N9,IF(M9="",IF(H9="","",H9),IF(E9="Monthly",EDATE(M9,1),M9+IFERROR(INDEX('PRICING'!$C$28:$C$33,MATCH(E9,'PRICING'!$A$28:$A$33,0)),14)))))</f>
        <v/>
      </c>
      <c r="P9" s="101">
        <f>IF(O9="","",O9-AsOf)</f>
        <v/>
      </c>
      <c r="Q9" s="49">
        <f>IF(B9="","",IF(J9&lt;&gt;"Active","—",IF(N9&lt;&gt;"","Booked",IF(O9="","Set start date",IF(O9&lt;AsOf,"Overdue — book now",IF(O9&lt;=AsOf+7,"Due this week — book","Upcoming"))))))</f>
        <v/>
      </c>
      <c r="R9" s="54">
        <f>IF(B9="","",IF(J9="Active",N(F9)*IFERROR(INDEX('PRICING'!$D$28:$D$33,MATCH(E9,'PRICING'!$A$28:$A$33,0)),0),0))</f>
        <v/>
      </c>
      <c r="S9" s="54">
        <f>IF(B9="","",R9*12)</f>
        <v/>
      </c>
      <c r="T9" s="49">
        <f>IF(B9="","",IF(OR(Q9="Overdue — book now",Q9="Due this week — book"),1,0))</f>
        <v/>
      </c>
      <c r="U9" s="49">
        <f>IF(N(T9)&lt;&gt;1,"",COUNTIFS('RECURRING'!$T$5:$T$154,1,'RECURRING'!$O$5:$O$154,"&lt;"&amp;O9)+COUNTIFS($T$5:T9,1,$O$5:O9,O9))</f>
        <v/>
      </c>
    </row>
    <row r="10">
      <c r="A10" s="46" t="inlineStr">
        <is>
          <t>R-006</t>
        </is>
      </c>
      <c r="B10" s="38" t="inlineStr">
        <is>
          <t>Dana Collins</t>
        </is>
      </c>
      <c r="C10" s="38" t="inlineStr">
        <is>
          <t>84 Hawthorn Road, Lakeview (fictional)</t>
        </is>
      </c>
      <c r="D10" s="38" t="inlineStr">
        <is>
          <t>Standard Clean</t>
        </is>
      </c>
      <c r="E10" s="38" t="inlineStr">
        <is>
          <t>Every 4 weeks</t>
        </is>
      </c>
      <c r="F10" s="48" t="n">
        <v>195</v>
      </c>
      <c r="G10" s="38" t="inlineStr">
        <is>
          <t>Dana Whitfield</t>
        </is>
      </c>
      <c r="H10" s="47" t="n">
        <v>46038</v>
      </c>
      <c r="I10" s="38" t="inlineStr">
        <is>
          <t>Friday AM</t>
        </is>
      </c>
      <c r="J10" s="38" t="inlineStr">
        <is>
          <t>Active</t>
        </is>
      </c>
      <c r="K10" s="38" t="inlineStr">
        <is>
          <t>Started with deep clean</t>
        </is>
      </c>
      <c r="L10" s="53">
        <f>IF(B10="","",COUNTIFS('JOBS'!$G$5:$G$1504,A10,'JOBS'!$O$5:$O$1504,"Completed"))</f>
        <v/>
      </c>
      <c r="M10" s="52">
        <f>IF(B10="","",IF(_xlfn.MAXIFS('JOBS'!$B$5:$B$1504,'JOBS'!$G$5:$G$1504,A10,'JOBS'!$O$5:$O$1504,"Completed")=0,"",_xlfn.MAXIFS('JOBS'!$B$5:$B$1504,'JOBS'!$G$5:$G$1504,A10,'JOBS'!$O$5:$O$1504,"Completed")))</f>
        <v/>
      </c>
      <c r="N10" s="52">
        <f>IF(B10="","",IF(_xlfn.MINIFS('JOBS'!$B$5:$B$1504,'JOBS'!$G$5:$G$1504,A10,'JOBS'!$O$5:$O$1504,"Scheduled",'JOBS'!$B$5:$B$1504,"&gt;="&amp;AsOf)=0,"",_xlfn.MINIFS('JOBS'!$B$5:$B$1504,'JOBS'!$G$5:$G$1504,A10,'JOBS'!$O$5:$O$1504,"Scheduled",'JOBS'!$B$5:$B$1504,"&gt;="&amp;AsOf)))</f>
        <v/>
      </c>
      <c r="O10" s="52">
        <f>IF(B10="","",IF(N10&lt;&gt;"",N10,IF(M10="",IF(H10="","",H10),IF(E10="Monthly",EDATE(M10,1),M10+IFERROR(INDEX('PRICING'!$C$28:$C$33,MATCH(E10,'PRICING'!$A$28:$A$33,0)),14)))))</f>
        <v/>
      </c>
      <c r="P10" s="101">
        <f>IF(O10="","",O10-AsOf)</f>
        <v/>
      </c>
      <c r="Q10" s="49">
        <f>IF(B10="","",IF(J10&lt;&gt;"Active","—",IF(N10&lt;&gt;"","Booked",IF(O10="","Set start date",IF(O10&lt;AsOf,"Overdue — book now",IF(O10&lt;=AsOf+7,"Due this week — book","Upcoming"))))))</f>
        <v/>
      </c>
      <c r="R10" s="54">
        <f>IF(B10="","",IF(J10="Active",N(F10)*IFERROR(INDEX('PRICING'!$D$28:$D$33,MATCH(E10,'PRICING'!$A$28:$A$33,0)),0),0))</f>
        <v/>
      </c>
      <c r="S10" s="54">
        <f>IF(B10="","",R10*12)</f>
        <v/>
      </c>
      <c r="T10" s="49">
        <f>IF(B10="","",IF(OR(Q10="Overdue — book now",Q10="Due this week — book"),1,0))</f>
        <v/>
      </c>
      <c r="U10" s="49">
        <f>IF(N(T10)&lt;&gt;1,"",COUNTIFS('RECURRING'!$T$5:$T$154,1,'RECURRING'!$O$5:$O$154,"&lt;"&amp;O10)+COUNTIFS($T$5:T10,1,$O$5:O10,O10))</f>
        <v/>
      </c>
    </row>
    <row r="11">
      <c r="A11" s="46" t="inlineStr">
        <is>
          <t>R-007</t>
        </is>
      </c>
      <c r="B11" s="38" t="inlineStr">
        <is>
          <t>Finley Quigley</t>
        </is>
      </c>
      <c r="C11" s="38" t="inlineStr">
        <is>
          <t>21 Maple Avenue, North Sampletown</t>
        </is>
      </c>
      <c r="D11" s="38" t="inlineStr">
        <is>
          <t>Standard Clean</t>
        </is>
      </c>
      <c r="E11" s="38" t="inlineStr">
        <is>
          <t>Biweekly</t>
        </is>
      </c>
      <c r="F11" s="48" t="n">
        <v>110</v>
      </c>
      <c r="G11" s="38" t="inlineStr">
        <is>
          <t>Maria Lopez</t>
        </is>
      </c>
      <c r="H11" s="47" t="n">
        <v>46123</v>
      </c>
      <c r="I11" s="38" t="inlineStr">
        <is>
          <t>Saturday PM</t>
        </is>
      </c>
      <c r="J11" s="38" t="inlineStr">
        <is>
          <t>Active</t>
        </is>
      </c>
      <c r="K11" s="38" t="inlineStr">
        <is>
          <t>Started with deep clean</t>
        </is>
      </c>
      <c r="L11" s="53">
        <f>IF(B11="","",COUNTIFS('JOBS'!$G$5:$G$1504,A11,'JOBS'!$O$5:$O$1504,"Completed"))</f>
        <v/>
      </c>
      <c r="M11" s="52">
        <f>IF(B11="","",IF(_xlfn.MAXIFS('JOBS'!$B$5:$B$1504,'JOBS'!$G$5:$G$1504,A11,'JOBS'!$O$5:$O$1504,"Completed")=0,"",_xlfn.MAXIFS('JOBS'!$B$5:$B$1504,'JOBS'!$G$5:$G$1504,A11,'JOBS'!$O$5:$O$1504,"Completed")))</f>
        <v/>
      </c>
      <c r="N11" s="52">
        <f>IF(B11="","",IF(_xlfn.MINIFS('JOBS'!$B$5:$B$1504,'JOBS'!$G$5:$G$1504,A11,'JOBS'!$O$5:$O$1504,"Scheduled",'JOBS'!$B$5:$B$1504,"&gt;="&amp;AsOf)=0,"",_xlfn.MINIFS('JOBS'!$B$5:$B$1504,'JOBS'!$G$5:$G$1504,A11,'JOBS'!$O$5:$O$1504,"Scheduled",'JOBS'!$B$5:$B$1504,"&gt;="&amp;AsOf)))</f>
        <v/>
      </c>
      <c r="O11" s="52">
        <f>IF(B11="","",IF(N11&lt;&gt;"",N11,IF(M11="",IF(H11="","",H11),IF(E11="Monthly",EDATE(M11,1),M11+IFERROR(INDEX('PRICING'!$C$28:$C$33,MATCH(E11,'PRICING'!$A$28:$A$33,0)),14)))))</f>
        <v/>
      </c>
      <c r="P11" s="101">
        <f>IF(O11="","",O11-AsOf)</f>
        <v/>
      </c>
      <c r="Q11" s="49">
        <f>IF(B11="","",IF(J11&lt;&gt;"Active","—",IF(N11&lt;&gt;"","Booked",IF(O11="","Set start date",IF(O11&lt;AsOf,"Overdue — book now",IF(O11&lt;=AsOf+7,"Due this week — book","Upcoming"))))))</f>
        <v/>
      </c>
      <c r="R11" s="54">
        <f>IF(B11="","",IF(J11="Active",N(F11)*IFERROR(INDEX('PRICING'!$D$28:$D$33,MATCH(E11,'PRICING'!$A$28:$A$33,0)),0),0))</f>
        <v/>
      </c>
      <c r="S11" s="54">
        <f>IF(B11="","",R11*12)</f>
        <v/>
      </c>
      <c r="T11" s="49">
        <f>IF(B11="","",IF(OR(Q11="Overdue — book now",Q11="Due this week — book"),1,0))</f>
        <v/>
      </c>
      <c r="U11" s="49">
        <f>IF(N(T11)&lt;&gt;1,"",COUNTIFS('RECURRING'!$T$5:$T$154,1,'RECURRING'!$O$5:$O$154,"&lt;"&amp;O11)+COUNTIFS($T$5:T11,1,$O$5:O11,O11))</f>
        <v/>
      </c>
    </row>
    <row r="12">
      <c r="A12" s="46" t="inlineStr">
        <is>
          <t>R-008</t>
        </is>
      </c>
      <c r="B12" s="38" t="inlineStr">
        <is>
          <t>Dana Ivers</t>
        </is>
      </c>
      <c r="C12" s="38" t="inlineStr">
        <is>
          <t>129 Elm Terrace, North Sampletown</t>
        </is>
      </c>
      <c r="D12" s="38" t="inlineStr">
        <is>
          <t>Standard Clean</t>
        </is>
      </c>
      <c r="E12" s="38" t="inlineStr">
        <is>
          <t>Weekly</t>
        </is>
      </c>
      <c r="F12" s="48" t="n">
        <v>255</v>
      </c>
      <c r="G12" s="38" t="inlineStr">
        <is>
          <t>Dana Whitfield</t>
        </is>
      </c>
      <c r="H12" s="47" t="n">
        <v>46163</v>
      </c>
      <c r="I12" s="38" t="inlineStr">
        <is>
          <t>Thursday AM</t>
        </is>
      </c>
      <c r="J12" s="38" t="inlineStr">
        <is>
          <t>Ended</t>
        </is>
      </c>
      <c r="K12" s="38" t="inlineStr">
        <is>
          <t>Started with deep clean</t>
        </is>
      </c>
      <c r="L12" s="53">
        <f>IF(B12="","",COUNTIFS('JOBS'!$G$5:$G$1504,A12,'JOBS'!$O$5:$O$1504,"Completed"))</f>
        <v/>
      </c>
      <c r="M12" s="52">
        <f>IF(B12="","",IF(_xlfn.MAXIFS('JOBS'!$B$5:$B$1504,'JOBS'!$G$5:$G$1504,A12,'JOBS'!$O$5:$O$1504,"Completed")=0,"",_xlfn.MAXIFS('JOBS'!$B$5:$B$1504,'JOBS'!$G$5:$G$1504,A12,'JOBS'!$O$5:$O$1504,"Completed")))</f>
        <v/>
      </c>
      <c r="N12" s="52">
        <f>IF(B12="","",IF(_xlfn.MINIFS('JOBS'!$B$5:$B$1504,'JOBS'!$G$5:$G$1504,A12,'JOBS'!$O$5:$O$1504,"Scheduled",'JOBS'!$B$5:$B$1504,"&gt;="&amp;AsOf)=0,"",_xlfn.MINIFS('JOBS'!$B$5:$B$1504,'JOBS'!$G$5:$G$1504,A12,'JOBS'!$O$5:$O$1504,"Scheduled",'JOBS'!$B$5:$B$1504,"&gt;="&amp;AsOf)))</f>
        <v/>
      </c>
      <c r="O12" s="52">
        <f>IF(B12="","",IF(N12&lt;&gt;"",N12,IF(M12="",IF(H12="","",H12),IF(E12="Monthly",EDATE(M12,1),M12+IFERROR(INDEX('PRICING'!$C$28:$C$33,MATCH(E12,'PRICING'!$A$28:$A$33,0)),14)))))</f>
        <v/>
      </c>
      <c r="P12" s="101">
        <f>IF(O12="","",O12-AsOf)</f>
        <v/>
      </c>
      <c r="Q12" s="49">
        <f>IF(B12="","",IF(J12&lt;&gt;"Active","—",IF(N12&lt;&gt;"","Booked",IF(O12="","Set start date",IF(O12&lt;AsOf,"Overdue — book now",IF(O12&lt;=AsOf+7,"Due this week — book","Upcoming"))))))</f>
        <v/>
      </c>
      <c r="R12" s="54">
        <f>IF(B12="","",IF(J12="Active",N(F12)*IFERROR(INDEX('PRICING'!$D$28:$D$33,MATCH(E12,'PRICING'!$A$28:$A$33,0)),0),0))</f>
        <v/>
      </c>
      <c r="S12" s="54">
        <f>IF(B12="","",R12*12)</f>
        <v/>
      </c>
      <c r="T12" s="49">
        <f>IF(B12="","",IF(OR(Q12="Overdue — book now",Q12="Due this week — book"),1,0))</f>
        <v/>
      </c>
      <c r="U12" s="49">
        <f>IF(N(T12)&lt;&gt;1,"",COUNTIFS('RECURRING'!$T$5:$T$154,1,'RECURRING'!$O$5:$O$154,"&lt;"&amp;O12)+COUNTIFS($T$5:T12,1,$O$5:O12,O12))</f>
        <v/>
      </c>
    </row>
    <row r="13">
      <c r="A13" s="46" t="inlineStr">
        <is>
          <t>R-009</t>
        </is>
      </c>
      <c r="B13" s="38" t="inlineStr">
        <is>
          <t>Taylor Quigley</t>
        </is>
      </c>
      <c r="C13" s="38" t="inlineStr">
        <is>
          <t>667 Willow Way, Sampletown</t>
        </is>
      </c>
      <c r="D13" s="38" t="inlineStr">
        <is>
          <t>Standard Clean</t>
        </is>
      </c>
      <c r="E13" s="38" t="inlineStr">
        <is>
          <t>Every 4 weeks</t>
        </is>
      </c>
      <c r="F13" s="48" t="n">
        <v>145</v>
      </c>
      <c r="G13" s="38" t="inlineStr">
        <is>
          <t>Maria Lopez</t>
        </is>
      </c>
      <c r="H13" s="47" t="n">
        <v>46055</v>
      </c>
      <c r="I13" s="38" t="inlineStr">
        <is>
          <t>Monday PM</t>
        </is>
      </c>
      <c r="J13" s="38" t="inlineStr">
        <is>
          <t>Active</t>
        </is>
      </c>
      <c r="K13" s="38" t="inlineStr">
        <is>
          <t>Started with deep clean</t>
        </is>
      </c>
      <c r="L13" s="53">
        <f>IF(B13="","",COUNTIFS('JOBS'!$G$5:$G$1504,A13,'JOBS'!$O$5:$O$1504,"Completed"))</f>
        <v/>
      </c>
      <c r="M13" s="52">
        <f>IF(B13="","",IF(_xlfn.MAXIFS('JOBS'!$B$5:$B$1504,'JOBS'!$G$5:$G$1504,A13,'JOBS'!$O$5:$O$1504,"Completed")=0,"",_xlfn.MAXIFS('JOBS'!$B$5:$B$1504,'JOBS'!$G$5:$G$1504,A13,'JOBS'!$O$5:$O$1504,"Completed")))</f>
        <v/>
      </c>
      <c r="N13" s="52">
        <f>IF(B13="","",IF(_xlfn.MINIFS('JOBS'!$B$5:$B$1504,'JOBS'!$G$5:$G$1504,A13,'JOBS'!$O$5:$O$1504,"Scheduled",'JOBS'!$B$5:$B$1504,"&gt;="&amp;AsOf)=0,"",_xlfn.MINIFS('JOBS'!$B$5:$B$1504,'JOBS'!$G$5:$G$1504,A13,'JOBS'!$O$5:$O$1504,"Scheduled",'JOBS'!$B$5:$B$1504,"&gt;="&amp;AsOf)))</f>
        <v/>
      </c>
      <c r="O13" s="52">
        <f>IF(B13="","",IF(N13&lt;&gt;"",N13,IF(M13="",IF(H13="","",H13),IF(E13="Monthly",EDATE(M13,1),M13+IFERROR(INDEX('PRICING'!$C$28:$C$33,MATCH(E13,'PRICING'!$A$28:$A$33,0)),14)))))</f>
        <v/>
      </c>
      <c r="P13" s="101">
        <f>IF(O13="","",O13-AsOf)</f>
        <v/>
      </c>
      <c r="Q13" s="49">
        <f>IF(B13="","",IF(J13&lt;&gt;"Active","—",IF(N13&lt;&gt;"","Booked",IF(O13="","Set start date",IF(O13&lt;AsOf,"Overdue — book now",IF(O13&lt;=AsOf+7,"Due this week — book","Upcoming"))))))</f>
        <v/>
      </c>
      <c r="R13" s="54">
        <f>IF(B13="","",IF(J13="Active",N(F13)*IFERROR(INDEX('PRICING'!$D$28:$D$33,MATCH(E13,'PRICING'!$A$28:$A$33,0)),0),0))</f>
        <v/>
      </c>
      <c r="S13" s="54">
        <f>IF(B13="","",R13*12)</f>
        <v/>
      </c>
      <c r="T13" s="49">
        <f>IF(B13="","",IF(OR(Q13="Overdue — book now",Q13="Due this week — book"),1,0))</f>
        <v/>
      </c>
      <c r="U13" s="49">
        <f>IF(N(T13)&lt;&gt;1,"",COUNTIFS('RECURRING'!$T$5:$T$154,1,'RECURRING'!$O$5:$O$154,"&lt;"&amp;O13)+COUNTIFS($T$5:T13,1,$O$5:O13,O13))</f>
        <v/>
      </c>
    </row>
    <row r="14">
      <c r="A14" s="46" t="inlineStr">
        <is>
          <t>R-010</t>
        </is>
      </c>
      <c r="B14" s="38" t="inlineStr">
        <is>
          <t>Lane Northcott</t>
        </is>
      </c>
      <c r="C14" s="38" t="inlineStr">
        <is>
          <t>102 Hawthorn Road, Lakeview (fictional)</t>
        </is>
      </c>
      <c r="D14" s="38" t="inlineStr">
        <is>
          <t>Standard Clean</t>
        </is>
      </c>
      <c r="E14" s="38" t="inlineStr">
        <is>
          <t>Monthly</t>
        </is>
      </c>
      <c r="F14" s="48" t="n">
        <v>150</v>
      </c>
      <c r="G14" s="38" t="inlineStr">
        <is>
          <t>Dana Whitfield</t>
        </is>
      </c>
      <c r="H14" s="47" t="n">
        <v>46043</v>
      </c>
      <c r="I14" s="38" t="inlineStr">
        <is>
          <t>Wednesday AM</t>
        </is>
      </c>
      <c r="J14" s="38" t="inlineStr">
        <is>
          <t>Active</t>
        </is>
      </c>
      <c r="K14" s="38" t="inlineStr">
        <is>
          <t>Started with deep clean</t>
        </is>
      </c>
      <c r="L14" s="53">
        <f>IF(B14="","",COUNTIFS('JOBS'!$G$5:$G$1504,A14,'JOBS'!$O$5:$O$1504,"Completed"))</f>
        <v/>
      </c>
      <c r="M14" s="52">
        <f>IF(B14="","",IF(_xlfn.MAXIFS('JOBS'!$B$5:$B$1504,'JOBS'!$G$5:$G$1504,A14,'JOBS'!$O$5:$O$1504,"Completed")=0,"",_xlfn.MAXIFS('JOBS'!$B$5:$B$1504,'JOBS'!$G$5:$G$1504,A14,'JOBS'!$O$5:$O$1504,"Completed")))</f>
        <v/>
      </c>
      <c r="N14" s="52">
        <f>IF(B14="","",IF(_xlfn.MINIFS('JOBS'!$B$5:$B$1504,'JOBS'!$G$5:$G$1504,A14,'JOBS'!$O$5:$O$1504,"Scheduled",'JOBS'!$B$5:$B$1504,"&gt;="&amp;AsOf)=0,"",_xlfn.MINIFS('JOBS'!$B$5:$B$1504,'JOBS'!$G$5:$G$1504,A14,'JOBS'!$O$5:$O$1504,"Scheduled",'JOBS'!$B$5:$B$1504,"&gt;="&amp;AsOf)))</f>
        <v/>
      </c>
      <c r="O14" s="52">
        <f>IF(B14="","",IF(N14&lt;&gt;"",N14,IF(M14="",IF(H14="","",H14),IF(E14="Monthly",EDATE(M14,1),M14+IFERROR(INDEX('PRICING'!$C$28:$C$33,MATCH(E14,'PRICING'!$A$28:$A$33,0)),14)))))</f>
        <v/>
      </c>
      <c r="P14" s="101">
        <f>IF(O14="","",O14-AsOf)</f>
        <v/>
      </c>
      <c r="Q14" s="49">
        <f>IF(B14="","",IF(J14&lt;&gt;"Active","—",IF(N14&lt;&gt;"","Booked",IF(O14="","Set start date",IF(O14&lt;AsOf,"Overdue — book now",IF(O14&lt;=AsOf+7,"Due this week — book","Upcoming"))))))</f>
        <v/>
      </c>
      <c r="R14" s="54">
        <f>IF(B14="","",IF(J14="Active",N(F14)*IFERROR(INDEX('PRICING'!$D$28:$D$33,MATCH(E14,'PRICING'!$A$28:$A$33,0)),0),0))</f>
        <v/>
      </c>
      <c r="S14" s="54">
        <f>IF(B14="","",R14*12)</f>
        <v/>
      </c>
      <c r="T14" s="49">
        <f>IF(B14="","",IF(OR(Q14="Overdue — book now",Q14="Due this week — book"),1,0))</f>
        <v/>
      </c>
      <c r="U14" s="49">
        <f>IF(N(T14)&lt;&gt;1,"",COUNTIFS('RECURRING'!$T$5:$T$154,1,'RECURRING'!$O$5:$O$154,"&lt;"&amp;O14)+COUNTIFS($T$5:T14,1,$O$5:O14,O14))</f>
        <v/>
      </c>
    </row>
    <row r="15">
      <c r="A15" s="46" t="inlineStr">
        <is>
          <t>R-011</t>
        </is>
      </c>
      <c r="B15" s="38" t="inlineStr">
        <is>
          <t>Brightside Dental Studio (sample)</t>
        </is>
      </c>
      <c r="C15" s="38" t="inlineStr">
        <is>
          <t>738 Cedar Court, North Sampletown</t>
        </is>
      </c>
      <c r="D15" s="38" t="inlineStr">
        <is>
          <t>Commercial Clean</t>
        </is>
      </c>
      <c r="E15" s="38" t="inlineStr">
        <is>
          <t>Weekly</t>
        </is>
      </c>
      <c r="F15" s="48" t="n">
        <v>100</v>
      </c>
      <c r="G15" s="38" t="inlineStr">
        <is>
          <t>Kevin Osei</t>
        </is>
      </c>
      <c r="H15" s="47" t="n">
        <v>46059</v>
      </c>
      <c r="I15" s="38" t="inlineStr">
        <is>
          <t>Friday PM</t>
        </is>
      </c>
      <c r="J15" s="38" t="inlineStr">
        <is>
          <t>Active</t>
        </is>
      </c>
      <c r="K15" s="38" t="inlineStr">
        <is>
          <t>After 6 PM</t>
        </is>
      </c>
      <c r="L15" s="53">
        <f>IF(B15="","",COUNTIFS('JOBS'!$G$5:$G$1504,A15,'JOBS'!$O$5:$O$1504,"Completed"))</f>
        <v/>
      </c>
      <c r="M15" s="52">
        <f>IF(B15="","",IF(_xlfn.MAXIFS('JOBS'!$B$5:$B$1504,'JOBS'!$G$5:$G$1504,A15,'JOBS'!$O$5:$O$1504,"Completed")=0,"",_xlfn.MAXIFS('JOBS'!$B$5:$B$1504,'JOBS'!$G$5:$G$1504,A15,'JOBS'!$O$5:$O$1504,"Completed")))</f>
        <v/>
      </c>
      <c r="N15" s="52">
        <f>IF(B15="","",IF(_xlfn.MINIFS('JOBS'!$B$5:$B$1504,'JOBS'!$G$5:$G$1504,A15,'JOBS'!$O$5:$O$1504,"Scheduled",'JOBS'!$B$5:$B$1504,"&gt;="&amp;AsOf)=0,"",_xlfn.MINIFS('JOBS'!$B$5:$B$1504,'JOBS'!$G$5:$G$1504,A15,'JOBS'!$O$5:$O$1504,"Scheduled",'JOBS'!$B$5:$B$1504,"&gt;="&amp;AsOf)))</f>
        <v/>
      </c>
      <c r="O15" s="52">
        <f>IF(B15="","",IF(N15&lt;&gt;"",N15,IF(M15="",IF(H15="","",H15),IF(E15="Monthly",EDATE(M15,1),M15+IFERROR(INDEX('PRICING'!$C$28:$C$33,MATCH(E15,'PRICING'!$A$28:$A$33,0)),14)))))</f>
        <v/>
      </c>
      <c r="P15" s="101">
        <f>IF(O15="","",O15-AsOf)</f>
        <v/>
      </c>
      <c r="Q15" s="49">
        <f>IF(B15="","",IF(J15&lt;&gt;"Active","—",IF(N15&lt;&gt;"","Booked",IF(O15="","Set start date",IF(O15&lt;AsOf,"Overdue — book now",IF(O15&lt;=AsOf+7,"Due this week — book","Upcoming"))))))</f>
        <v/>
      </c>
      <c r="R15" s="54">
        <f>IF(B15="","",IF(J15="Active",N(F15)*IFERROR(INDEX('PRICING'!$D$28:$D$33,MATCH(E15,'PRICING'!$A$28:$A$33,0)),0),0))</f>
        <v/>
      </c>
      <c r="S15" s="54">
        <f>IF(B15="","",R15*12)</f>
        <v/>
      </c>
      <c r="T15" s="49">
        <f>IF(B15="","",IF(OR(Q15="Overdue — book now",Q15="Due this week — book"),1,0))</f>
        <v/>
      </c>
      <c r="U15" s="49">
        <f>IF(N(T15)&lt;&gt;1,"",COUNTIFS('RECURRING'!$T$5:$T$154,1,'RECURRING'!$O$5:$O$154,"&lt;"&amp;O15)+COUNTIFS($T$5:T15,1,$O$5:O15,O15))</f>
        <v/>
      </c>
    </row>
    <row r="16">
      <c r="A16" s="46" t="inlineStr">
        <is>
          <t>R-012</t>
        </is>
      </c>
      <c r="B16" s="38" t="inlineStr">
        <is>
          <t>Oakview Office Suites (sample)</t>
        </is>
      </c>
      <c r="C16" s="38" t="inlineStr">
        <is>
          <t>957 Hawthorn Road, North Sampletown</t>
        </is>
      </c>
      <c r="D16" s="38" t="inlineStr">
        <is>
          <t>Commercial Clean</t>
        </is>
      </c>
      <c r="E16" s="38" t="inlineStr">
        <is>
          <t>Weekly</t>
        </is>
      </c>
      <c r="F16" s="48" t="n">
        <v>140</v>
      </c>
      <c r="G16" s="38" t="inlineStr">
        <is>
          <t>Kevin Osei</t>
        </is>
      </c>
      <c r="H16" s="47" t="n">
        <v>46115</v>
      </c>
      <c r="I16" s="38" t="inlineStr">
        <is>
          <t>Friday AM</t>
        </is>
      </c>
      <c r="J16" s="38" t="inlineStr">
        <is>
          <t>Active</t>
        </is>
      </c>
      <c r="K16" s="38" t="inlineStr">
        <is>
          <t>After 6 PM</t>
        </is>
      </c>
      <c r="L16" s="53">
        <f>IF(B16="","",COUNTIFS('JOBS'!$G$5:$G$1504,A16,'JOBS'!$O$5:$O$1504,"Completed"))</f>
        <v/>
      </c>
      <c r="M16" s="52">
        <f>IF(B16="","",IF(_xlfn.MAXIFS('JOBS'!$B$5:$B$1504,'JOBS'!$G$5:$G$1504,A16,'JOBS'!$O$5:$O$1504,"Completed")=0,"",_xlfn.MAXIFS('JOBS'!$B$5:$B$1504,'JOBS'!$G$5:$G$1504,A16,'JOBS'!$O$5:$O$1504,"Completed")))</f>
        <v/>
      </c>
      <c r="N16" s="52">
        <f>IF(B16="","",IF(_xlfn.MINIFS('JOBS'!$B$5:$B$1504,'JOBS'!$G$5:$G$1504,A16,'JOBS'!$O$5:$O$1504,"Scheduled",'JOBS'!$B$5:$B$1504,"&gt;="&amp;AsOf)=0,"",_xlfn.MINIFS('JOBS'!$B$5:$B$1504,'JOBS'!$G$5:$G$1504,A16,'JOBS'!$O$5:$O$1504,"Scheduled",'JOBS'!$B$5:$B$1504,"&gt;="&amp;AsOf)))</f>
        <v/>
      </c>
      <c r="O16" s="52">
        <f>IF(B16="","",IF(N16&lt;&gt;"",N16,IF(M16="",IF(H16="","",H16),IF(E16="Monthly",EDATE(M16,1),M16+IFERROR(INDEX('PRICING'!$C$28:$C$33,MATCH(E16,'PRICING'!$A$28:$A$33,0)),14)))))</f>
        <v/>
      </c>
      <c r="P16" s="101">
        <f>IF(O16="","",O16-AsOf)</f>
        <v/>
      </c>
      <c r="Q16" s="49">
        <f>IF(B16="","",IF(J16&lt;&gt;"Active","—",IF(N16&lt;&gt;"","Booked",IF(O16="","Set start date",IF(O16&lt;AsOf,"Overdue — book now",IF(O16&lt;=AsOf+7,"Due this week — book","Upcoming"))))))</f>
        <v/>
      </c>
      <c r="R16" s="54">
        <f>IF(B16="","",IF(J16="Active",N(F16)*IFERROR(INDEX('PRICING'!$D$28:$D$33,MATCH(E16,'PRICING'!$A$28:$A$33,0)),0),0))</f>
        <v/>
      </c>
      <c r="S16" s="54">
        <f>IF(B16="","",R16*12)</f>
        <v/>
      </c>
      <c r="T16" s="49">
        <f>IF(B16="","",IF(OR(Q16="Overdue — book now",Q16="Due this week — book"),1,0))</f>
        <v/>
      </c>
      <c r="U16" s="49">
        <f>IF(N(T16)&lt;&gt;1,"",COUNTIFS('RECURRING'!$T$5:$T$154,1,'RECURRING'!$O$5:$O$154,"&lt;"&amp;O16)+COUNTIFS($T$5:T16,1,$O$5:O16,O16))</f>
        <v/>
      </c>
    </row>
    <row r="17">
      <c r="A17" s="46" t="inlineStr">
        <is>
          <t>R-013</t>
        </is>
      </c>
      <c r="B17" s="38" t="n"/>
      <c r="C17" s="38" t="n"/>
      <c r="D17" s="38" t="n"/>
      <c r="E17" s="38" t="n"/>
      <c r="F17" s="48" t="n"/>
      <c r="G17" s="38" t="n"/>
      <c r="H17" s="47" t="n"/>
      <c r="I17" s="38" t="n"/>
      <c r="J17" s="38" t="n"/>
      <c r="K17" s="38" t="n"/>
      <c r="L17" s="53">
        <f>IF(B17="","",COUNTIFS('JOBS'!$G$5:$G$1504,A17,'JOBS'!$O$5:$O$1504,"Completed"))</f>
        <v/>
      </c>
      <c r="M17" s="52">
        <f>IF(B17="","",IF(_xlfn.MAXIFS('JOBS'!$B$5:$B$1504,'JOBS'!$G$5:$G$1504,A17,'JOBS'!$O$5:$O$1504,"Completed")=0,"",_xlfn.MAXIFS('JOBS'!$B$5:$B$1504,'JOBS'!$G$5:$G$1504,A17,'JOBS'!$O$5:$O$1504,"Completed")))</f>
        <v/>
      </c>
      <c r="N17" s="52">
        <f>IF(B17="","",IF(_xlfn.MINIFS('JOBS'!$B$5:$B$1504,'JOBS'!$G$5:$G$1504,A17,'JOBS'!$O$5:$O$1504,"Scheduled",'JOBS'!$B$5:$B$1504,"&gt;="&amp;AsOf)=0,"",_xlfn.MINIFS('JOBS'!$B$5:$B$1504,'JOBS'!$G$5:$G$1504,A17,'JOBS'!$O$5:$O$1504,"Scheduled",'JOBS'!$B$5:$B$1504,"&gt;="&amp;AsOf)))</f>
        <v/>
      </c>
      <c r="O17" s="52">
        <f>IF(B17="","",IF(N17&lt;&gt;"",N17,IF(M17="",IF(H17="","",H17),IF(E17="Monthly",EDATE(M17,1),M17+IFERROR(INDEX('PRICING'!$C$28:$C$33,MATCH(E17,'PRICING'!$A$28:$A$33,0)),14)))))</f>
        <v/>
      </c>
      <c r="P17" s="101">
        <f>IF(O17="","",O17-AsOf)</f>
        <v/>
      </c>
      <c r="Q17" s="49">
        <f>IF(B17="","",IF(J17&lt;&gt;"Active","—",IF(N17&lt;&gt;"","Booked",IF(O17="","Set start date",IF(O17&lt;AsOf,"Overdue — book now",IF(O17&lt;=AsOf+7,"Due this week — book","Upcoming"))))))</f>
        <v/>
      </c>
      <c r="R17" s="54">
        <f>IF(B17="","",IF(J17="Active",N(F17)*IFERROR(INDEX('PRICING'!$D$28:$D$33,MATCH(E17,'PRICING'!$A$28:$A$33,0)),0),0))</f>
        <v/>
      </c>
      <c r="S17" s="54">
        <f>IF(B17="","",R17*12)</f>
        <v/>
      </c>
      <c r="T17" s="49">
        <f>IF(B17="","",IF(OR(Q17="Overdue — book now",Q17="Due this week — book"),1,0))</f>
        <v/>
      </c>
      <c r="U17" s="49">
        <f>IF(N(T17)&lt;&gt;1,"",COUNTIFS('RECURRING'!$T$5:$T$154,1,'RECURRING'!$O$5:$O$154,"&lt;"&amp;O17)+COUNTIFS($T$5:T17,1,$O$5:O17,O17))</f>
        <v/>
      </c>
    </row>
    <row r="18">
      <c r="A18" s="46" t="inlineStr">
        <is>
          <t>R-014</t>
        </is>
      </c>
      <c r="B18" s="38" t="n"/>
      <c r="C18" s="38" t="n"/>
      <c r="D18" s="38" t="n"/>
      <c r="E18" s="38" t="n"/>
      <c r="F18" s="48" t="n"/>
      <c r="G18" s="38" t="n"/>
      <c r="H18" s="47" t="n"/>
      <c r="I18" s="38" t="n"/>
      <c r="J18" s="38" t="n"/>
      <c r="K18" s="38" t="n"/>
      <c r="L18" s="53">
        <f>IF(B18="","",COUNTIFS('JOBS'!$G$5:$G$1504,A18,'JOBS'!$O$5:$O$1504,"Completed"))</f>
        <v/>
      </c>
      <c r="M18" s="52">
        <f>IF(B18="","",IF(_xlfn.MAXIFS('JOBS'!$B$5:$B$1504,'JOBS'!$G$5:$G$1504,A18,'JOBS'!$O$5:$O$1504,"Completed")=0,"",_xlfn.MAXIFS('JOBS'!$B$5:$B$1504,'JOBS'!$G$5:$G$1504,A18,'JOBS'!$O$5:$O$1504,"Completed")))</f>
        <v/>
      </c>
      <c r="N18" s="52">
        <f>IF(B18="","",IF(_xlfn.MINIFS('JOBS'!$B$5:$B$1504,'JOBS'!$G$5:$G$1504,A18,'JOBS'!$O$5:$O$1504,"Scheduled",'JOBS'!$B$5:$B$1504,"&gt;="&amp;AsOf)=0,"",_xlfn.MINIFS('JOBS'!$B$5:$B$1504,'JOBS'!$G$5:$G$1504,A18,'JOBS'!$O$5:$O$1504,"Scheduled",'JOBS'!$B$5:$B$1504,"&gt;="&amp;AsOf)))</f>
        <v/>
      </c>
      <c r="O18" s="52">
        <f>IF(B18="","",IF(N18&lt;&gt;"",N18,IF(M18="",IF(H18="","",H18),IF(E18="Monthly",EDATE(M18,1),M18+IFERROR(INDEX('PRICING'!$C$28:$C$33,MATCH(E18,'PRICING'!$A$28:$A$33,0)),14)))))</f>
        <v/>
      </c>
      <c r="P18" s="101">
        <f>IF(O18="","",O18-AsOf)</f>
        <v/>
      </c>
      <c r="Q18" s="49">
        <f>IF(B18="","",IF(J18&lt;&gt;"Active","—",IF(N18&lt;&gt;"","Booked",IF(O18="","Set start date",IF(O18&lt;AsOf,"Overdue — book now",IF(O18&lt;=AsOf+7,"Due this week — book","Upcoming"))))))</f>
        <v/>
      </c>
      <c r="R18" s="54">
        <f>IF(B18="","",IF(J18="Active",N(F18)*IFERROR(INDEX('PRICING'!$D$28:$D$33,MATCH(E18,'PRICING'!$A$28:$A$33,0)),0),0))</f>
        <v/>
      </c>
      <c r="S18" s="54">
        <f>IF(B18="","",R18*12)</f>
        <v/>
      </c>
      <c r="T18" s="49">
        <f>IF(B18="","",IF(OR(Q18="Overdue — book now",Q18="Due this week — book"),1,0))</f>
        <v/>
      </c>
      <c r="U18" s="49">
        <f>IF(N(T18)&lt;&gt;1,"",COUNTIFS('RECURRING'!$T$5:$T$154,1,'RECURRING'!$O$5:$O$154,"&lt;"&amp;O18)+COUNTIFS($T$5:T18,1,$O$5:O18,O18))</f>
        <v/>
      </c>
    </row>
    <row r="19">
      <c r="A19" s="46" t="inlineStr">
        <is>
          <t>R-015</t>
        </is>
      </c>
      <c r="B19" s="38" t="n"/>
      <c r="C19" s="38" t="n"/>
      <c r="D19" s="38" t="n"/>
      <c r="E19" s="38" t="n"/>
      <c r="F19" s="48" t="n"/>
      <c r="G19" s="38" t="n"/>
      <c r="H19" s="47" t="n"/>
      <c r="I19" s="38" t="n"/>
      <c r="J19" s="38" t="n"/>
      <c r="K19" s="38" t="n"/>
      <c r="L19" s="53">
        <f>IF(B19="","",COUNTIFS('JOBS'!$G$5:$G$1504,A19,'JOBS'!$O$5:$O$1504,"Completed"))</f>
        <v/>
      </c>
      <c r="M19" s="52">
        <f>IF(B19="","",IF(_xlfn.MAXIFS('JOBS'!$B$5:$B$1504,'JOBS'!$G$5:$G$1504,A19,'JOBS'!$O$5:$O$1504,"Completed")=0,"",_xlfn.MAXIFS('JOBS'!$B$5:$B$1504,'JOBS'!$G$5:$G$1504,A19,'JOBS'!$O$5:$O$1504,"Completed")))</f>
        <v/>
      </c>
      <c r="N19" s="52">
        <f>IF(B19="","",IF(_xlfn.MINIFS('JOBS'!$B$5:$B$1504,'JOBS'!$G$5:$G$1504,A19,'JOBS'!$O$5:$O$1504,"Scheduled",'JOBS'!$B$5:$B$1504,"&gt;="&amp;AsOf)=0,"",_xlfn.MINIFS('JOBS'!$B$5:$B$1504,'JOBS'!$G$5:$G$1504,A19,'JOBS'!$O$5:$O$1504,"Scheduled",'JOBS'!$B$5:$B$1504,"&gt;="&amp;AsOf)))</f>
        <v/>
      </c>
      <c r="O19" s="52">
        <f>IF(B19="","",IF(N19&lt;&gt;"",N19,IF(M19="",IF(H19="","",H19),IF(E19="Monthly",EDATE(M19,1),M19+IFERROR(INDEX('PRICING'!$C$28:$C$33,MATCH(E19,'PRICING'!$A$28:$A$33,0)),14)))))</f>
        <v/>
      </c>
      <c r="P19" s="101">
        <f>IF(O19="","",O19-AsOf)</f>
        <v/>
      </c>
      <c r="Q19" s="49">
        <f>IF(B19="","",IF(J19&lt;&gt;"Active","—",IF(N19&lt;&gt;"","Booked",IF(O19="","Set start date",IF(O19&lt;AsOf,"Overdue — book now",IF(O19&lt;=AsOf+7,"Due this week — book","Upcoming"))))))</f>
        <v/>
      </c>
      <c r="R19" s="54">
        <f>IF(B19="","",IF(J19="Active",N(F19)*IFERROR(INDEX('PRICING'!$D$28:$D$33,MATCH(E19,'PRICING'!$A$28:$A$33,0)),0),0))</f>
        <v/>
      </c>
      <c r="S19" s="54">
        <f>IF(B19="","",R19*12)</f>
        <v/>
      </c>
      <c r="T19" s="49">
        <f>IF(B19="","",IF(OR(Q19="Overdue — book now",Q19="Due this week — book"),1,0))</f>
        <v/>
      </c>
      <c r="U19" s="49">
        <f>IF(N(T19)&lt;&gt;1,"",COUNTIFS('RECURRING'!$T$5:$T$154,1,'RECURRING'!$O$5:$O$154,"&lt;"&amp;O19)+COUNTIFS($T$5:T19,1,$O$5:O19,O19))</f>
        <v/>
      </c>
    </row>
    <row r="20">
      <c r="A20" s="46" t="inlineStr">
        <is>
          <t>R-016</t>
        </is>
      </c>
      <c r="B20" s="38" t="n"/>
      <c r="C20" s="38" t="n"/>
      <c r="D20" s="38" t="n"/>
      <c r="E20" s="38" t="n"/>
      <c r="F20" s="48" t="n"/>
      <c r="G20" s="38" t="n"/>
      <c r="H20" s="47" t="n"/>
      <c r="I20" s="38" t="n"/>
      <c r="J20" s="38" t="n"/>
      <c r="K20" s="38" t="n"/>
      <c r="L20" s="53">
        <f>IF(B20="","",COUNTIFS('JOBS'!$G$5:$G$1504,A20,'JOBS'!$O$5:$O$1504,"Completed"))</f>
        <v/>
      </c>
      <c r="M20" s="52">
        <f>IF(B20="","",IF(_xlfn.MAXIFS('JOBS'!$B$5:$B$1504,'JOBS'!$G$5:$G$1504,A20,'JOBS'!$O$5:$O$1504,"Completed")=0,"",_xlfn.MAXIFS('JOBS'!$B$5:$B$1504,'JOBS'!$G$5:$G$1504,A20,'JOBS'!$O$5:$O$1504,"Completed")))</f>
        <v/>
      </c>
      <c r="N20" s="52">
        <f>IF(B20="","",IF(_xlfn.MINIFS('JOBS'!$B$5:$B$1504,'JOBS'!$G$5:$G$1504,A20,'JOBS'!$O$5:$O$1504,"Scheduled",'JOBS'!$B$5:$B$1504,"&gt;="&amp;AsOf)=0,"",_xlfn.MINIFS('JOBS'!$B$5:$B$1504,'JOBS'!$G$5:$G$1504,A20,'JOBS'!$O$5:$O$1504,"Scheduled",'JOBS'!$B$5:$B$1504,"&gt;="&amp;AsOf)))</f>
        <v/>
      </c>
      <c r="O20" s="52">
        <f>IF(B20="","",IF(N20&lt;&gt;"",N20,IF(M20="",IF(H20="","",H20),IF(E20="Monthly",EDATE(M20,1),M20+IFERROR(INDEX('PRICING'!$C$28:$C$33,MATCH(E20,'PRICING'!$A$28:$A$33,0)),14)))))</f>
        <v/>
      </c>
      <c r="P20" s="101">
        <f>IF(O20="","",O20-AsOf)</f>
        <v/>
      </c>
      <c r="Q20" s="49">
        <f>IF(B20="","",IF(J20&lt;&gt;"Active","—",IF(N20&lt;&gt;"","Booked",IF(O20="","Set start date",IF(O20&lt;AsOf,"Overdue — book now",IF(O20&lt;=AsOf+7,"Due this week — book","Upcoming"))))))</f>
        <v/>
      </c>
      <c r="R20" s="54">
        <f>IF(B20="","",IF(J20="Active",N(F20)*IFERROR(INDEX('PRICING'!$D$28:$D$33,MATCH(E20,'PRICING'!$A$28:$A$33,0)),0),0))</f>
        <v/>
      </c>
      <c r="S20" s="54">
        <f>IF(B20="","",R20*12)</f>
        <v/>
      </c>
      <c r="T20" s="49">
        <f>IF(B20="","",IF(OR(Q20="Overdue — book now",Q20="Due this week — book"),1,0))</f>
        <v/>
      </c>
      <c r="U20" s="49">
        <f>IF(N(T20)&lt;&gt;1,"",COUNTIFS('RECURRING'!$T$5:$T$154,1,'RECURRING'!$O$5:$O$154,"&lt;"&amp;O20)+COUNTIFS($T$5:T20,1,$O$5:O20,O20))</f>
        <v/>
      </c>
    </row>
    <row r="21">
      <c r="A21" s="46" t="inlineStr">
        <is>
          <t>R-017</t>
        </is>
      </c>
      <c r="B21" s="38" t="n"/>
      <c r="C21" s="38" t="n"/>
      <c r="D21" s="38" t="n"/>
      <c r="E21" s="38" t="n"/>
      <c r="F21" s="48" t="n"/>
      <c r="G21" s="38" t="n"/>
      <c r="H21" s="47" t="n"/>
      <c r="I21" s="38" t="n"/>
      <c r="J21" s="38" t="n"/>
      <c r="K21" s="38" t="n"/>
      <c r="L21" s="53">
        <f>IF(B21="","",COUNTIFS('JOBS'!$G$5:$G$1504,A21,'JOBS'!$O$5:$O$1504,"Completed"))</f>
        <v/>
      </c>
      <c r="M21" s="52">
        <f>IF(B21="","",IF(_xlfn.MAXIFS('JOBS'!$B$5:$B$1504,'JOBS'!$G$5:$G$1504,A21,'JOBS'!$O$5:$O$1504,"Completed")=0,"",_xlfn.MAXIFS('JOBS'!$B$5:$B$1504,'JOBS'!$G$5:$G$1504,A21,'JOBS'!$O$5:$O$1504,"Completed")))</f>
        <v/>
      </c>
      <c r="N21" s="52">
        <f>IF(B21="","",IF(_xlfn.MINIFS('JOBS'!$B$5:$B$1504,'JOBS'!$G$5:$G$1504,A21,'JOBS'!$O$5:$O$1504,"Scheduled",'JOBS'!$B$5:$B$1504,"&gt;="&amp;AsOf)=0,"",_xlfn.MINIFS('JOBS'!$B$5:$B$1504,'JOBS'!$G$5:$G$1504,A21,'JOBS'!$O$5:$O$1504,"Scheduled",'JOBS'!$B$5:$B$1504,"&gt;="&amp;AsOf)))</f>
        <v/>
      </c>
      <c r="O21" s="52">
        <f>IF(B21="","",IF(N21&lt;&gt;"",N21,IF(M21="",IF(H21="","",H21),IF(E21="Monthly",EDATE(M21,1),M21+IFERROR(INDEX('PRICING'!$C$28:$C$33,MATCH(E21,'PRICING'!$A$28:$A$33,0)),14)))))</f>
        <v/>
      </c>
      <c r="P21" s="101">
        <f>IF(O21="","",O21-AsOf)</f>
        <v/>
      </c>
      <c r="Q21" s="49">
        <f>IF(B21="","",IF(J21&lt;&gt;"Active","—",IF(N21&lt;&gt;"","Booked",IF(O21="","Set start date",IF(O21&lt;AsOf,"Overdue — book now",IF(O21&lt;=AsOf+7,"Due this week — book","Upcoming"))))))</f>
        <v/>
      </c>
      <c r="R21" s="54">
        <f>IF(B21="","",IF(J21="Active",N(F21)*IFERROR(INDEX('PRICING'!$D$28:$D$33,MATCH(E21,'PRICING'!$A$28:$A$33,0)),0),0))</f>
        <v/>
      </c>
      <c r="S21" s="54">
        <f>IF(B21="","",R21*12)</f>
        <v/>
      </c>
      <c r="T21" s="49">
        <f>IF(B21="","",IF(OR(Q21="Overdue — book now",Q21="Due this week — book"),1,0))</f>
        <v/>
      </c>
      <c r="U21" s="49">
        <f>IF(N(T21)&lt;&gt;1,"",COUNTIFS('RECURRING'!$T$5:$T$154,1,'RECURRING'!$O$5:$O$154,"&lt;"&amp;O21)+COUNTIFS($T$5:T21,1,$O$5:O21,O21))</f>
        <v/>
      </c>
    </row>
    <row r="22">
      <c r="A22" s="46" t="inlineStr">
        <is>
          <t>R-018</t>
        </is>
      </c>
      <c r="B22" s="38" t="n"/>
      <c r="C22" s="38" t="n"/>
      <c r="D22" s="38" t="n"/>
      <c r="E22" s="38" t="n"/>
      <c r="F22" s="48" t="n"/>
      <c r="G22" s="38" t="n"/>
      <c r="H22" s="47" t="n"/>
      <c r="I22" s="38" t="n"/>
      <c r="J22" s="38" t="n"/>
      <c r="K22" s="38" t="n"/>
      <c r="L22" s="53">
        <f>IF(B22="","",COUNTIFS('JOBS'!$G$5:$G$1504,A22,'JOBS'!$O$5:$O$1504,"Completed"))</f>
        <v/>
      </c>
      <c r="M22" s="52">
        <f>IF(B22="","",IF(_xlfn.MAXIFS('JOBS'!$B$5:$B$1504,'JOBS'!$G$5:$G$1504,A22,'JOBS'!$O$5:$O$1504,"Completed")=0,"",_xlfn.MAXIFS('JOBS'!$B$5:$B$1504,'JOBS'!$G$5:$G$1504,A22,'JOBS'!$O$5:$O$1504,"Completed")))</f>
        <v/>
      </c>
      <c r="N22" s="52">
        <f>IF(B22="","",IF(_xlfn.MINIFS('JOBS'!$B$5:$B$1504,'JOBS'!$G$5:$G$1504,A22,'JOBS'!$O$5:$O$1504,"Scheduled",'JOBS'!$B$5:$B$1504,"&gt;="&amp;AsOf)=0,"",_xlfn.MINIFS('JOBS'!$B$5:$B$1504,'JOBS'!$G$5:$G$1504,A22,'JOBS'!$O$5:$O$1504,"Scheduled",'JOBS'!$B$5:$B$1504,"&gt;="&amp;AsOf)))</f>
        <v/>
      </c>
      <c r="O22" s="52">
        <f>IF(B22="","",IF(N22&lt;&gt;"",N22,IF(M22="",IF(H22="","",H22),IF(E22="Monthly",EDATE(M22,1),M22+IFERROR(INDEX('PRICING'!$C$28:$C$33,MATCH(E22,'PRICING'!$A$28:$A$33,0)),14)))))</f>
        <v/>
      </c>
      <c r="P22" s="101">
        <f>IF(O22="","",O22-AsOf)</f>
        <v/>
      </c>
      <c r="Q22" s="49">
        <f>IF(B22="","",IF(J22&lt;&gt;"Active","—",IF(N22&lt;&gt;"","Booked",IF(O22="","Set start date",IF(O22&lt;AsOf,"Overdue — book now",IF(O22&lt;=AsOf+7,"Due this week — book","Upcoming"))))))</f>
        <v/>
      </c>
      <c r="R22" s="54">
        <f>IF(B22="","",IF(J22="Active",N(F22)*IFERROR(INDEX('PRICING'!$D$28:$D$33,MATCH(E22,'PRICING'!$A$28:$A$33,0)),0),0))</f>
        <v/>
      </c>
      <c r="S22" s="54">
        <f>IF(B22="","",R22*12)</f>
        <v/>
      </c>
      <c r="T22" s="49">
        <f>IF(B22="","",IF(OR(Q22="Overdue — book now",Q22="Due this week — book"),1,0))</f>
        <v/>
      </c>
      <c r="U22" s="49">
        <f>IF(N(T22)&lt;&gt;1,"",COUNTIFS('RECURRING'!$T$5:$T$154,1,'RECURRING'!$O$5:$O$154,"&lt;"&amp;O22)+COUNTIFS($T$5:T22,1,$O$5:O22,O22))</f>
        <v/>
      </c>
    </row>
    <row r="23">
      <c r="A23" s="46" t="inlineStr">
        <is>
          <t>R-019</t>
        </is>
      </c>
      <c r="B23" s="38" t="n"/>
      <c r="C23" s="38" t="n"/>
      <c r="D23" s="38" t="n"/>
      <c r="E23" s="38" t="n"/>
      <c r="F23" s="48" t="n"/>
      <c r="G23" s="38" t="n"/>
      <c r="H23" s="47" t="n"/>
      <c r="I23" s="38" t="n"/>
      <c r="J23" s="38" t="n"/>
      <c r="K23" s="38" t="n"/>
      <c r="L23" s="53">
        <f>IF(B23="","",COUNTIFS('JOBS'!$G$5:$G$1504,A23,'JOBS'!$O$5:$O$1504,"Completed"))</f>
        <v/>
      </c>
      <c r="M23" s="52">
        <f>IF(B23="","",IF(_xlfn.MAXIFS('JOBS'!$B$5:$B$1504,'JOBS'!$G$5:$G$1504,A23,'JOBS'!$O$5:$O$1504,"Completed")=0,"",_xlfn.MAXIFS('JOBS'!$B$5:$B$1504,'JOBS'!$G$5:$G$1504,A23,'JOBS'!$O$5:$O$1504,"Completed")))</f>
        <v/>
      </c>
      <c r="N23" s="52">
        <f>IF(B23="","",IF(_xlfn.MINIFS('JOBS'!$B$5:$B$1504,'JOBS'!$G$5:$G$1504,A23,'JOBS'!$O$5:$O$1504,"Scheduled",'JOBS'!$B$5:$B$1504,"&gt;="&amp;AsOf)=0,"",_xlfn.MINIFS('JOBS'!$B$5:$B$1504,'JOBS'!$G$5:$G$1504,A23,'JOBS'!$O$5:$O$1504,"Scheduled",'JOBS'!$B$5:$B$1504,"&gt;="&amp;AsOf)))</f>
        <v/>
      </c>
      <c r="O23" s="52">
        <f>IF(B23="","",IF(N23&lt;&gt;"",N23,IF(M23="",IF(H23="","",H23),IF(E23="Monthly",EDATE(M23,1),M23+IFERROR(INDEX('PRICING'!$C$28:$C$33,MATCH(E23,'PRICING'!$A$28:$A$33,0)),14)))))</f>
        <v/>
      </c>
      <c r="P23" s="101">
        <f>IF(O23="","",O23-AsOf)</f>
        <v/>
      </c>
      <c r="Q23" s="49">
        <f>IF(B23="","",IF(J23&lt;&gt;"Active","—",IF(N23&lt;&gt;"","Booked",IF(O23="","Set start date",IF(O23&lt;AsOf,"Overdue — book now",IF(O23&lt;=AsOf+7,"Due this week — book","Upcoming"))))))</f>
        <v/>
      </c>
      <c r="R23" s="54">
        <f>IF(B23="","",IF(J23="Active",N(F23)*IFERROR(INDEX('PRICING'!$D$28:$D$33,MATCH(E23,'PRICING'!$A$28:$A$33,0)),0),0))</f>
        <v/>
      </c>
      <c r="S23" s="54">
        <f>IF(B23="","",R23*12)</f>
        <v/>
      </c>
      <c r="T23" s="49">
        <f>IF(B23="","",IF(OR(Q23="Overdue — book now",Q23="Due this week — book"),1,0))</f>
        <v/>
      </c>
      <c r="U23" s="49">
        <f>IF(N(T23)&lt;&gt;1,"",COUNTIFS('RECURRING'!$T$5:$T$154,1,'RECURRING'!$O$5:$O$154,"&lt;"&amp;O23)+COUNTIFS($T$5:T23,1,$O$5:O23,O23))</f>
        <v/>
      </c>
    </row>
    <row r="24">
      <c r="A24" s="46" t="inlineStr">
        <is>
          <t>R-020</t>
        </is>
      </c>
      <c r="B24" s="38" t="n"/>
      <c r="C24" s="38" t="n"/>
      <c r="D24" s="38" t="n"/>
      <c r="E24" s="38" t="n"/>
      <c r="F24" s="48" t="n"/>
      <c r="G24" s="38" t="n"/>
      <c r="H24" s="47" t="n"/>
      <c r="I24" s="38" t="n"/>
      <c r="J24" s="38" t="n"/>
      <c r="K24" s="38" t="n"/>
      <c r="L24" s="53">
        <f>IF(B24="","",COUNTIFS('JOBS'!$G$5:$G$1504,A24,'JOBS'!$O$5:$O$1504,"Completed"))</f>
        <v/>
      </c>
      <c r="M24" s="52">
        <f>IF(B24="","",IF(_xlfn.MAXIFS('JOBS'!$B$5:$B$1504,'JOBS'!$G$5:$G$1504,A24,'JOBS'!$O$5:$O$1504,"Completed")=0,"",_xlfn.MAXIFS('JOBS'!$B$5:$B$1504,'JOBS'!$G$5:$G$1504,A24,'JOBS'!$O$5:$O$1504,"Completed")))</f>
        <v/>
      </c>
      <c r="N24" s="52">
        <f>IF(B24="","",IF(_xlfn.MINIFS('JOBS'!$B$5:$B$1504,'JOBS'!$G$5:$G$1504,A24,'JOBS'!$O$5:$O$1504,"Scheduled",'JOBS'!$B$5:$B$1504,"&gt;="&amp;AsOf)=0,"",_xlfn.MINIFS('JOBS'!$B$5:$B$1504,'JOBS'!$G$5:$G$1504,A24,'JOBS'!$O$5:$O$1504,"Scheduled",'JOBS'!$B$5:$B$1504,"&gt;="&amp;AsOf)))</f>
        <v/>
      </c>
      <c r="O24" s="52">
        <f>IF(B24="","",IF(N24&lt;&gt;"",N24,IF(M24="",IF(H24="","",H24),IF(E24="Monthly",EDATE(M24,1),M24+IFERROR(INDEX('PRICING'!$C$28:$C$33,MATCH(E24,'PRICING'!$A$28:$A$33,0)),14)))))</f>
        <v/>
      </c>
      <c r="P24" s="101">
        <f>IF(O24="","",O24-AsOf)</f>
        <v/>
      </c>
      <c r="Q24" s="49">
        <f>IF(B24="","",IF(J24&lt;&gt;"Active","—",IF(N24&lt;&gt;"","Booked",IF(O24="","Set start date",IF(O24&lt;AsOf,"Overdue — book now",IF(O24&lt;=AsOf+7,"Due this week — book","Upcoming"))))))</f>
        <v/>
      </c>
      <c r="R24" s="54">
        <f>IF(B24="","",IF(J24="Active",N(F24)*IFERROR(INDEX('PRICING'!$D$28:$D$33,MATCH(E24,'PRICING'!$A$28:$A$33,0)),0),0))</f>
        <v/>
      </c>
      <c r="S24" s="54">
        <f>IF(B24="","",R24*12)</f>
        <v/>
      </c>
      <c r="T24" s="49">
        <f>IF(B24="","",IF(OR(Q24="Overdue — book now",Q24="Due this week — book"),1,0))</f>
        <v/>
      </c>
      <c r="U24" s="49">
        <f>IF(N(T24)&lt;&gt;1,"",COUNTIFS('RECURRING'!$T$5:$T$154,1,'RECURRING'!$O$5:$O$154,"&lt;"&amp;O24)+COUNTIFS($T$5:T24,1,$O$5:O24,O24))</f>
        <v/>
      </c>
    </row>
    <row r="25">
      <c r="A25" s="46" t="inlineStr">
        <is>
          <t>R-021</t>
        </is>
      </c>
      <c r="B25" s="38" t="n"/>
      <c r="C25" s="38" t="n"/>
      <c r="D25" s="38" t="n"/>
      <c r="E25" s="38" t="n"/>
      <c r="F25" s="48" t="n"/>
      <c r="G25" s="38" t="n"/>
      <c r="H25" s="47" t="n"/>
      <c r="I25" s="38" t="n"/>
      <c r="J25" s="38" t="n"/>
      <c r="K25" s="38" t="n"/>
      <c r="L25" s="53">
        <f>IF(B25="","",COUNTIFS('JOBS'!$G$5:$G$1504,A25,'JOBS'!$O$5:$O$1504,"Completed"))</f>
        <v/>
      </c>
      <c r="M25" s="52">
        <f>IF(B25="","",IF(_xlfn.MAXIFS('JOBS'!$B$5:$B$1504,'JOBS'!$G$5:$G$1504,A25,'JOBS'!$O$5:$O$1504,"Completed")=0,"",_xlfn.MAXIFS('JOBS'!$B$5:$B$1504,'JOBS'!$G$5:$G$1504,A25,'JOBS'!$O$5:$O$1504,"Completed")))</f>
        <v/>
      </c>
      <c r="N25" s="52">
        <f>IF(B25="","",IF(_xlfn.MINIFS('JOBS'!$B$5:$B$1504,'JOBS'!$G$5:$G$1504,A25,'JOBS'!$O$5:$O$1504,"Scheduled",'JOBS'!$B$5:$B$1504,"&gt;="&amp;AsOf)=0,"",_xlfn.MINIFS('JOBS'!$B$5:$B$1504,'JOBS'!$G$5:$G$1504,A25,'JOBS'!$O$5:$O$1504,"Scheduled",'JOBS'!$B$5:$B$1504,"&gt;="&amp;AsOf)))</f>
        <v/>
      </c>
      <c r="O25" s="52">
        <f>IF(B25="","",IF(N25&lt;&gt;"",N25,IF(M25="",IF(H25="","",H25),IF(E25="Monthly",EDATE(M25,1),M25+IFERROR(INDEX('PRICING'!$C$28:$C$33,MATCH(E25,'PRICING'!$A$28:$A$33,0)),14)))))</f>
        <v/>
      </c>
      <c r="P25" s="101">
        <f>IF(O25="","",O25-AsOf)</f>
        <v/>
      </c>
      <c r="Q25" s="49">
        <f>IF(B25="","",IF(J25&lt;&gt;"Active","—",IF(N25&lt;&gt;"","Booked",IF(O25="","Set start date",IF(O25&lt;AsOf,"Overdue — book now",IF(O25&lt;=AsOf+7,"Due this week — book","Upcoming"))))))</f>
        <v/>
      </c>
      <c r="R25" s="54">
        <f>IF(B25="","",IF(J25="Active",N(F25)*IFERROR(INDEX('PRICING'!$D$28:$D$33,MATCH(E25,'PRICING'!$A$28:$A$33,0)),0),0))</f>
        <v/>
      </c>
      <c r="S25" s="54">
        <f>IF(B25="","",R25*12)</f>
        <v/>
      </c>
      <c r="T25" s="49">
        <f>IF(B25="","",IF(OR(Q25="Overdue — book now",Q25="Due this week — book"),1,0))</f>
        <v/>
      </c>
      <c r="U25" s="49">
        <f>IF(N(T25)&lt;&gt;1,"",COUNTIFS('RECURRING'!$T$5:$T$154,1,'RECURRING'!$O$5:$O$154,"&lt;"&amp;O25)+COUNTIFS($T$5:T25,1,$O$5:O25,O25))</f>
        <v/>
      </c>
    </row>
    <row r="26">
      <c r="A26" s="46" t="inlineStr">
        <is>
          <t>R-022</t>
        </is>
      </c>
      <c r="B26" s="38" t="n"/>
      <c r="C26" s="38" t="n"/>
      <c r="D26" s="38" t="n"/>
      <c r="E26" s="38" t="n"/>
      <c r="F26" s="48" t="n"/>
      <c r="G26" s="38" t="n"/>
      <c r="H26" s="47" t="n"/>
      <c r="I26" s="38" t="n"/>
      <c r="J26" s="38" t="n"/>
      <c r="K26" s="38" t="n"/>
      <c r="L26" s="53">
        <f>IF(B26="","",COUNTIFS('JOBS'!$G$5:$G$1504,A26,'JOBS'!$O$5:$O$1504,"Completed"))</f>
        <v/>
      </c>
      <c r="M26" s="52">
        <f>IF(B26="","",IF(_xlfn.MAXIFS('JOBS'!$B$5:$B$1504,'JOBS'!$G$5:$G$1504,A26,'JOBS'!$O$5:$O$1504,"Completed")=0,"",_xlfn.MAXIFS('JOBS'!$B$5:$B$1504,'JOBS'!$G$5:$G$1504,A26,'JOBS'!$O$5:$O$1504,"Completed")))</f>
        <v/>
      </c>
      <c r="N26" s="52">
        <f>IF(B26="","",IF(_xlfn.MINIFS('JOBS'!$B$5:$B$1504,'JOBS'!$G$5:$G$1504,A26,'JOBS'!$O$5:$O$1504,"Scheduled",'JOBS'!$B$5:$B$1504,"&gt;="&amp;AsOf)=0,"",_xlfn.MINIFS('JOBS'!$B$5:$B$1504,'JOBS'!$G$5:$G$1504,A26,'JOBS'!$O$5:$O$1504,"Scheduled",'JOBS'!$B$5:$B$1504,"&gt;="&amp;AsOf)))</f>
        <v/>
      </c>
      <c r="O26" s="52">
        <f>IF(B26="","",IF(N26&lt;&gt;"",N26,IF(M26="",IF(H26="","",H26),IF(E26="Monthly",EDATE(M26,1),M26+IFERROR(INDEX('PRICING'!$C$28:$C$33,MATCH(E26,'PRICING'!$A$28:$A$33,0)),14)))))</f>
        <v/>
      </c>
      <c r="P26" s="101">
        <f>IF(O26="","",O26-AsOf)</f>
        <v/>
      </c>
      <c r="Q26" s="49">
        <f>IF(B26="","",IF(J26&lt;&gt;"Active","—",IF(N26&lt;&gt;"","Booked",IF(O26="","Set start date",IF(O26&lt;AsOf,"Overdue — book now",IF(O26&lt;=AsOf+7,"Due this week — book","Upcoming"))))))</f>
        <v/>
      </c>
      <c r="R26" s="54">
        <f>IF(B26="","",IF(J26="Active",N(F26)*IFERROR(INDEX('PRICING'!$D$28:$D$33,MATCH(E26,'PRICING'!$A$28:$A$33,0)),0),0))</f>
        <v/>
      </c>
      <c r="S26" s="54">
        <f>IF(B26="","",R26*12)</f>
        <v/>
      </c>
      <c r="T26" s="49">
        <f>IF(B26="","",IF(OR(Q26="Overdue — book now",Q26="Due this week — book"),1,0))</f>
        <v/>
      </c>
      <c r="U26" s="49">
        <f>IF(N(T26)&lt;&gt;1,"",COUNTIFS('RECURRING'!$T$5:$T$154,1,'RECURRING'!$O$5:$O$154,"&lt;"&amp;O26)+COUNTIFS($T$5:T26,1,$O$5:O26,O26))</f>
        <v/>
      </c>
    </row>
    <row r="27">
      <c r="A27" s="46" t="inlineStr">
        <is>
          <t>R-023</t>
        </is>
      </c>
      <c r="B27" s="38" t="n"/>
      <c r="C27" s="38" t="n"/>
      <c r="D27" s="38" t="n"/>
      <c r="E27" s="38" t="n"/>
      <c r="F27" s="48" t="n"/>
      <c r="G27" s="38" t="n"/>
      <c r="H27" s="47" t="n"/>
      <c r="I27" s="38" t="n"/>
      <c r="J27" s="38" t="n"/>
      <c r="K27" s="38" t="n"/>
      <c r="L27" s="53">
        <f>IF(B27="","",COUNTIFS('JOBS'!$G$5:$G$1504,A27,'JOBS'!$O$5:$O$1504,"Completed"))</f>
        <v/>
      </c>
      <c r="M27" s="52">
        <f>IF(B27="","",IF(_xlfn.MAXIFS('JOBS'!$B$5:$B$1504,'JOBS'!$G$5:$G$1504,A27,'JOBS'!$O$5:$O$1504,"Completed")=0,"",_xlfn.MAXIFS('JOBS'!$B$5:$B$1504,'JOBS'!$G$5:$G$1504,A27,'JOBS'!$O$5:$O$1504,"Completed")))</f>
        <v/>
      </c>
      <c r="N27" s="52">
        <f>IF(B27="","",IF(_xlfn.MINIFS('JOBS'!$B$5:$B$1504,'JOBS'!$G$5:$G$1504,A27,'JOBS'!$O$5:$O$1504,"Scheduled",'JOBS'!$B$5:$B$1504,"&gt;="&amp;AsOf)=0,"",_xlfn.MINIFS('JOBS'!$B$5:$B$1504,'JOBS'!$G$5:$G$1504,A27,'JOBS'!$O$5:$O$1504,"Scheduled",'JOBS'!$B$5:$B$1504,"&gt;="&amp;AsOf)))</f>
        <v/>
      </c>
      <c r="O27" s="52">
        <f>IF(B27="","",IF(N27&lt;&gt;"",N27,IF(M27="",IF(H27="","",H27),IF(E27="Monthly",EDATE(M27,1),M27+IFERROR(INDEX('PRICING'!$C$28:$C$33,MATCH(E27,'PRICING'!$A$28:$A$33,0)),14)))))</f>
        <v/>
      </c>
      <c r="P27" s="101">
        <f>IF(O27="","",O27-AsOf)</f>
        <v/>
      </c>
      <c r="Q27" s="49">
        <f>IF(B27="","",IF(J27&lt;&gt;"Active","—",IF(N27&lt;&gt;"","Booked",IF(O27="","Set start date",IF(O27&lt;AsOf,"Overdue — book now",IF(O27&lt;=AsOf+7,"Due this week — book","Upcoming"))))))</f>
        <v/>
      </c>
      <c r="R27" s="54">
        <f>IF(B27="","",IF(J27="Active",N(F27)*IFERROR(INDEX('PRICING'!$D$28:$D$33,MATCH(E27,'PRICING'!$A$28:$A$33,0)),0),0))</f>
        <v/>
      </c>
      <c r="S27" s="54">
        <f>IF(B27="","",R27*12)</f>
        <v/>
      </c>
      <c r="T27" s="49">
        <f>IF(B27="","",IF(OR(Q27="Overdue — book now",Q27="Due this week — book"),1,0))</f>
        <v/>
      </c>
      <c r="U27" s="49">
        <f>IF(N(T27)&lt;&gt;1,"",COUNTIFS('RECURRING'!$T$5:$T$154,1,'RECURRING'!$O$5:$O$154,"&lt;"&amp;O27)+COUNTIFS($T$5:T27,1,$O$5:O27,O27))</f>
        <v/>
      </c>
    </row>
    <row r="28">
      <c r="A28" s="46" t="inlineStr">
        <is>
          <t>R-024</t>
        </is>
      </c>
      <c r="B28" s="38" t="n"/>
      <c r="C28" s="38" t="n"/>
      <c r="D28" s="38" t="n"/>
      <c r="E28" s="38" t="n"/>
      <c r="F28" s="48" t="n"/>
      <c r="G28" s="38" t="n"/>
      <c r="H28" s="47" t="n"/>
      <c r="I28" s="38" t="n"/>
      <c r="J28" s="38" t="n"/>
      <c r="K28" s="38" t="n"/>
      <c r="L28" s="53">
        <f>IF(B28="","",COUNTIFS('JOBS'!$G$5:$G$1504,A28,'JOBS'!$O$5:$O$1504,"Completed"))</f>
        <v/>
      </c>
      <c r="M28" s="52">
        <f>IF(B28="","",IF(_xlfn.MAXIFS('JOBS'!$B$5:$B$1504,'JOBS'!$G$5:$G$1504,A28,'JOBS'!$O$5:$O$1504,"Completed")=0,"",_xlfn.MAXIFS('JOBS'!$B$5:$B$1504,'JOBS'!$G$5:$G$1504,A28,'JOBS'!$O$5:$O$1504,"Completed")))</f>
        <v/>
      </c>
      <c r="N28" s="52">
        <f>IF(B28="","",IF(_xlfn.MINIFS('JOBS'!$B$5:$B$1504,'JOBS'!$G$5:$G$1504,A28,'JOBS'!$O$5:$O$1504,"Scheduled",'JOBS'!$B$5:$B$1504,"&gt;="&amp;AsOf)=0,"",_xlfn.MINIFS('JOBS'!$B$5:$B$1504,'JOBS'!$G$5:$G$1504,A28,'JOBS'!$O$5:$O$1504,"Scheduled",'JOBS'!$B$5:$B$1504,"&gt;="&amp;AsOf)))</f>
        <v/>
      </c>
      <c r="O28" s="52">
        <f>IF(B28="","",IF(N28&lt;&gt;"",N28,IF(M28="",IF(H28="","",H28),IF(E28="Monthly",EDATE(M28,1),M28+IFERROR(INDEX('PRICING'!$C$28:$C$33,MATCH(E28,'PRICING'!$A$28:$A$33,0)),14)))))</f>
        <v/>
      </c>
      <c r="P28" s="101">
        <f>IF(O28="","",O28-AsOf)</f>
        <v/>
      </c>
      <c r="Q28" s="49">
        <f>IF(B28="","",IF(J28&lt;&gt;"Active","—",IF(N28&lt;&gt;"","Booked",IF(O28="","Set start date",IF(O28&lt;AsOf,"Overdue — book now",IF(O28&lt;=AsOf+7,"Due this week — book","Upcoming"))))))</f>
        <v/>
      </c>
      <c r="R28" s="54">
        <f>IF(B28="","",IF(J28="Active",N(F28)*IFERROR(INDEX('PRICING'!$D$28:$D$33,MATCH(E28,'PRICING'!$A$28:$A$33,0)),0),0))</f>
        <v/>
      </c>
      <c r="S28" s="54">
        <f>IF(B28="","",R28*12)</f>
        <v/>
      </c>
      <c r="T28" s="49">
        <f>IF(B28="","",IF(OR(Q28="Overdue — book now",Q28="Due this week — book"),1,0))</f>
        <v/>
      </c>
      <c r="U28" s="49">
        <f>IF(N(T28)&lt;&gt;1,"",COUNTIFS('RECURRING'!$T$5:$T$154,1,'RECURRING'!$O$5:$O$154,"&lt;"&amp;O28)+COUNTIFS($T$5:T28,1,$O$5:O28,O28))</f>
        <v/>
      </c>
    </row>
    <row r="29">
      <c r="A29" s="46" t="inlineStr">
        <is>
          <t>R-025</t>
        </is>
      </c>
      <c r="B29" s="38" t="n"/>
      <c r="C29" s="38" t="n"/>
      <c r="D29" s="38" t="n"/>
      <c r="E29" s="38" t="n"/>
      <c r="F29" s="48" t="n"/>
      <c r="G29" s="38" t="n"/>
      <c r="H29" s="47" t="n"/>
      <c r="I29" s="38" t="n"/>
      <c r="J29" s="38" t="n"/>
      <c r="K29" s="38" t="n"/>
      <c r="L29" s="53">
        <f>IF(B29="","",COUNTIFS('JOBS'!$G$5:$G$1504,A29,'JOBS'!$O$5:$O$1504,"Completed"))</f>
        <v/>
      </c>
      <c r="M29" s="52">
        <f>IF(B29="","",IF(_xlfn.MAXIFS('JOBS'!$B$5:$B$1504,'JOBS'!$G$5:$G$1504,A29,'JOBS'!$O$5:$O$1504,"Completed")=0,"",_xlfn.MAXIFS('JOBS'!$B$5:$B$1504,'JOBS'!$G$5:$G$1504,A29,'JOBS'!$O$5:$O$1504,"Completed")))</f>
        <v/>
      </c>
      <c r="N29" s="52">
        <f>IF(B29="","",IF(_xlfn.MINIFS('JOBS'!$B$5:$B$1504,'JOBS'!$G$5:$G$1504,A29,'JOBS'!$O$5:$O$1504,"Scheduled",'JOBS'!$B$5:$B$1504,"&gt;="&amp;AsOf)=0,"",_xlfn.MINIFS('JOBS'!$B$5:$B$1504,'JOBS'!$G$5:$G$1504,A29,'JOBS'!$O$5:$O$1504,"Scheduled",'JOBS'!$B$5:$B$1504,"&gt;="&amp;AsOf)))</f>
        <v/>
      </c>
      <c r="O29" s="52">
        <f>IF(B29="","",IF(N29&lt;&gt;"",N29,IF(M29="",IF(H29="","",H29),IF(E29="Monthly",EDATE(M29,1),M29+IFERROR(INDEX('PRICING'!$C$28:$C$33,MATCH(E29,'PRICING'!$A$28:$A$33,0)),14)))))</f>
        <v/>
      </c>
      <c r="P29" s="101">
        <f>IF(O29="","",O29-AsOf)</f>
        <v/>
      </c>
      <c r="Q29" s="49">
        <f>IF(B29="","",IF(J29&lt;&gt;"Active","—",IF(N29&lt;&gt;"","Booked",IF(O29="","Set start date",IF(O29&lt;AsOf,"Overdue — book now",IF(O29&lt;=AsOf+7,"Due this week — book","Upcoming"))))))</f>
        <v/>
      </c>
      <c r="R29" s="54">
        <f>IF(B29="","",IF(J29="Active",N(F29)*IFERROR(INDEX('PRICING'!$D$28:$D$33,MATCH(E29,'PRICING'!$A$28:$A$33,0)),0),0))</f>
        <v/>
      </c>
      <c r="S29" s="54">
        <f>IF(B29="","",R29*12)</f>
        <v/>
      </c>
      <c r="T29" s="49">
        <f>IF(B29="","",IF(OR(Q29="Overdue — book now",Q29="Due this week — book"),1,0))</f>
        <v/>
      </c>
      <c r="U29" s="49">
        <f>IF(N(T29)&lt;&gt;1,"",COUNTIFS('RECURRING'!$T$5:$T$154,1,'RECURRING'!$O$5:$O$154,"&lt;"&amp;O29)+COUNTIFS($T$5:T29,1,$O$5:O29,O29))</f>
        <v/>
      </c>
    </row>
    <row r="30">
      <c r="A30" s="46" t="inlineStr">
        <is>
          <t>R-026</t>
        </is>
      </c>
      <c r="B30" s="38" t="n"/>
      <c r="C30" s="38" t="n"/>
      <c r="D30" s="38" t="n"/>
      <c r="E30" s="38" t="n"/>
      <c r="F30" s="48" t="n"/>
      <c r="G30" s="38" t="n"/>
      <c r="H30" s="47" t="n"/>
      <c r="I30" s="38" t="n"/>
      <c r="J30" s="38" t="n"/>
      <c r="K30" s="38" t="n"/>
      <c r="L30" s="53">
        <f>IF(B30="","",COUNTIFS('JOBS'!$G$5:$G$1504,A30,'JOBS'!$O$5:$O$1504,"Completed"))</f>
        <v/>
      </c>
      <c r="M30" s="52">
        <f>IF(B30="","",IF(_xlfn.MAXIFS('JOBS'!$B$5:$B$1504,'JOBS'!$G$5:$G$1504,A30,'JOBS'!$O$5:$O$1504,"Completed")=0,"",_xlfn.MAXIFS('JOBS'!$B$5:$B$1504,'JOBS'!$G$5:$G$1504,A30,'JOBS'!$O$5:$O$1504,"Completed")))</f>
        <v/>
      </c>
      <c r="N30" s="52">
        <f>IF(B30="","",IF(_xlfn.MINIFS('JOBS'!$B$5:$B$1504,'JOBS'!$G$5:$G$1504,A30,'JOBS'!$O$5:$O$1504,"Scheduled",'JOBS'!$B$5:$B$1504,"&gt;="&amp;AsOf)=0,"",_xlfn.MINIFS('JOBS'!$B$5:$B$1504,'JOBS'!$G$5:$G$1504,A30,'JOBS'!$O$5:$O$1504,"Scheduled",'JOBS'!$B$5:$B$1504,"&gt;="&amp;AsOf)))</f>
        <v/>
      </c>
      <c r="O30" s="52">
        <f>IF(B30="","",IF(N30&lt;&gt;"",N30,IF(M30="",IF(H30="","",H30),IF(E30="Monthly",EDATE(M30,1),M30+IFERROR(INDEX('PRICING'!$C$28:$C$33,MATCH(E30,'PRICING'!$A$28:$A$33,0)),14)))))</f>
        <v/>
      </c>
      <c r="P30" s="101">
        <f>IF(O30="","",O30-AsOf)</f>
        <v/>
      </c>
      <c r="Q30" s="49">
        <f>IF(B30="","",IF(J30&lt;&gt;"Active","—",IF(N30&lt;&gt;"","Booked",IF(O30="","Set start date",IF(O30&lt;AsOf,"Overdue — book now",IF(O30&lt;=AsOf+7,"Due this week — book","Upcoming"))))))</f>
        <v/>
      </c>
      <c r="R30" s="54">
        <f>IF(B30="","",IF(J30="Active",N(F30)*IFERROR(INDEX('PRICING'!$D$28:$D$33,MATCH(E30,'PRICING'!$A$28:$A$33,0)),0),0))</f>
        <v/>
      </c>
      <c r="S30" s="54">
        <f>IF(B30="","",R30*12)</f>
        <v/>
      </c>
      <c r="T30" s="49">
        <f>IF(B30="","",IF(OR(Q30="Overdue — book now",Q30="Due this week — book"),1,0))</f>
        <v/>
      </c>
      <c r="U30" s="49">
        <f>IF(N(T30)&lt;&gt;1,"",COUNTIFS('RECURRING'!$T$5:$T$154,1,'RECURRING'!$O$5:$O$154,"&lt;"&amp;O30)+COUNTIFS($T$5:T30,1,$O$5:O30,O30))</f>
        <v/>
      </c>
    </row>
    <row r="31">
      <c r="A31" s="46" t="inlineStr">
        <is>
          <t>R-027</t>
        </is>
      </c>
      <c r="B31" s="38" t="n"/>
      <c r="C31" s="38" t="n"/>
      <c r="D31" s="38" t="n"/>
      <c r="E31" s="38" t="n"/>
      <c r="F31" s="48" t="n"/>
      <c r="G31" s="38" t="n"/>
      <c r="H31" s="47" t="n"/>
      <c r="I31" s="38" t="n"/>
      <c r="J31" s="38" t="n"/>
      <c r="K31" s="38" t="n"/>
      <c r="L31" s="53">
        <f>IF(B31="","",COUNTIFS('JOBS'!$G$5:$G$1504,A31,'JOBS'!$O$5:$O$1504,"Completed"))</f>
        <v/>
      </c>
      <c r="M31" s="52">
        <f>IF(B31="","",IF(_xlfn.MAXIFS('JOBS'!$B$5:$B$1504,'JOBS'!$G$5:$G$1504,A31,'JOBS'!$O$5:$O$1504,"Completed")=0,"",_xlfn.MAXIFS('JOBS'!$B$5:$B$1504,'JOBS'!$G$5:$G$1504,A31,'JOBS'!$O$5:$O$1504,"Completed")))</f>
        <v/>
      </c>
      <c r="N31" s="52">
        <f>IF(B31="","",IF(_xlfn.MINIFS('JOBS'!$B$5:$B$1504,'JOBS'!$G$5:$G$1504,A31,'JOBS'!$O$5:$O$1504,"Scheduled",'JOBS'!$B$5:$B$1504,"&gt;="&amp;AsOf)=0,"",_xlfn.MINIFS('JOBS'!$B$5:$B$1504,'JOBS'!$G$5:$G$1504,A31,'JOBS'!$O$5:$O$1504,"Scheduled",'JOBS'!$B$5:$B$1504,"&gt;="&amp;AsOf)))</f>
        <v/>
      </c>
      <c r="O31" s="52">
        <f>IF(B31="","",IF(N31&lt;&gt;"",N31,IF(M31="",IF(H31="","",H31),IF(E31="Monthly",EDATE(M31,1),M31+IFERROR(INDEX('PRICING'!$C$28:$C$33,MATCH(E31,'PRICING'!$A$28:$A$33,0)),14)))))</f>
        <v/>
      </c>
      <c r="P31" s="101">
        <f>IF(O31="","",O31-AsOf)</f>
        <v/>
      </c>
      <c r="Q31" s="49">
        <f>IF(B31="","",IF(J31&lt;&gt;"Active","—",IF(N31&lt;&gt;"","Booked",IF(O31="","Set start date",IF(O31&lt;AsOf,"Overdue — book now",IF(O31&lt;=AsOf+7,"Due this week — book","Upcoming"))))))</f>
        <v/>
      </c>
      <c r="R31" s="54">
        <f>IF(B31="","",IF(J31="Active",N(F31)*IFERROR(INDEX('PRICING'!$D$28:$D$33,MATCH(E31,'PRICING'!$A$28:$A$33,0)),0),0))</f>
        <v/>
      </c>
      <c r="S31" s="54">
        <f>IF(B31="","",R31*12)</f>
        <v/>
      </c>
      <c r="T31" s="49">
        <f>IF(B31="","",IF(OR(Q31="Overdue — book now",Q31="Due this week — book"),1,0))</f>
        <v/>
      </c>
      <c r="U31" s="49">
        <f>IF(N(T31)&lt;&gt;1,"",COUNTIFS('RECURRING'!$T$5:$T$154,1,'RECURRING'!$O$5:$O$154,"&lt;"&amp;O31)+COUNTIFS($T$5:T31,1,$O$5:O31,O31))</f>
        <v/>
      </c>
    </row>
    <row r="32">
      <c r="A32" s="46" t="inlineStr">
        <is>
          <t>R-028</t>
        </is>
      </c>
      <c r="B32" s="38" t="n"/>
      <c r="C32" s="38" t="n"/>
      <c r="D32" s="38" t="n"/>
      <c r="E32" s="38" t="n"/>
      <c r="F32" s="48" t="n"/>
      <c r="G32" s="38" t="n"/>
      <c r="H32" s="47" t="n"/>
      <c r="I32" s="38" t="n"/>
      <c r="J32" s="38" t="n"/>
      <c r="K32" s="38" t="n"/>
      <c r="L32" s="53">
        <f>IF(B32="","",COUNTIFS('JOBS'!$G$5:$G$1504,A32,'JOBS'!$O$5:$O$1504,"Completed"))</f>
        <v/>
      </c>
      <c r="M32" s="52">
        <f>IF(B32="","",IF(_xlfn.MAXIFS('JOBS'!$B$5:$B$1504,'JOBS'!$G$5:$G$1504,A32,'JOBS'!$O$5:$O$1504,"Completed")=0,"",_xlfn.MAXIFS('JOBS'!$B$5:$B$1504,'JOBS'!$G$5:$G$1504,A32,'JOBS'!$O$5:$O$1504,"Completed")))</f>
        <v/>
      </c>
      <c r="N32" s="52">
        <f>IF(B32="","",IF(_xlfn.MINIFS('JOBS'!$B$5:$B$1504,'JOBS'!$G$5:$G$1504,A32,'JOBS'!$O$5:$O$1504,"Scheduled",'JOBS'!$B$5:$B$1504,"&gt;="&amp;AsOf)=0,"",_xlfn.MINIFS('JOBS'!$B$5:$B$1504,'JOBS'!$G$5:$G$1504,A32,'JOBS'!$O$5:$O$1504,"Scheduled",'JOBS'!$B$5:$B$1504,"&gt;="&amp;AsOf)))</f>
        <v/>
      </c>
      <c r="O32" s="52">
        <f>IF(B32="","",IF(N32&lt;&gt;"",N32,IF(M32="",IF(H32="","",H32),IF(E32="Monthly",EDATE(M32,1),M32+IFERROR(INDEX('PRICING'!$C$28:$C$33,MATCH(E32,'PRICING'!$A$28:$A$33,0)),14)))))</f>
        <v/>
      </c>
      <c r="P32" s="101">
        <f>IF(O32="","",O32-AsOf)</f>
        <v/>
      </c>
      <c r="Q32" s="49">
        <f>IF(B32="","",IF(J32&lt;&gt;"Active","—",IF(N32&lt;&gt;"","Booked",IF(O32="","Set start date",IF(O32&lt;AsOf,"Overdue — book now",IF(O32&lt;=AsOf+7,"Due this week — book","Upcoming"))))))</f>
        <v/>
      </c>
      <c r="R32" s="54">
        <f>IF(B32="","",IF(J32="Active",N(F32)*IFERROR(INDEX('PRICING'!$D$28:$D$33,MATCH(E32,'PRICING'!$A$28:$A$33,0)),0),0))</f>
        <v/>
      </c>
      <c r="S32" s="54">
        <f>IF(B32="","",R32*12)</f>
        <v/>
      </c>
      <c r="T32" s="49">
        <f>IF(B32="","",IF(OR(Q32="Overdue — book now",Q32="Due this week — book"),1,0))</f>
        <v/>
      </c>
      <c r="U32" s="49">
        <f>IF(N(T32)&lt;&gt;1,"",COUNTIFS('RECURRING'!$T$5:$T$154,1,'RECURRING'!$O$5:$O$154,"&lt;"&amp;O32)+COUNTIFS($T$5:T32,1,$O$5:O32,O32))</f>
        <v/>
      </c>
    </row>
    <row r="33">
      <c r="A33" s="46" t="inlineStr">
        <is>
          <t>R-029</t>
        </is>
      </c>
      <c r="B33" s="38" t="n"/>
      <c r="C33" s="38" t="n"/>
      <c r="D33" s="38" t="n"/>
      <c r="E33" s="38" t="n"/>
      <c r="F33" s="48" t="n"/>
      <c r="G33" s="38" t="n"/>
      <c r="H33" s="47" t="n"/>
      <c r="I33" s="38" t="n"/>
      <c r="J33" s="38" t="n"/>
      <c r="K33" s="38" t="n"/>
      <c r="L33" s="53">
        <f>IF(B33="","",COUNTIFS('JOBS'!$G$5:$G$1504,A33,'JOBS'!$O$5:$O$1504,"Completed"))</f>
        <v/>
      </c>
      <c r="M33" s="52">
        <f>IF(B33="","",IF(_xlfn.MAXIFS('JOBS'!$B$5:$B$1504,'JOBS'!$G$5:$G$1504,A33,'JOBS'!$O$5:$O$1504,"Completed")=0,"",_xlfn.MAXIFS('JOBS'!$B$5:$B$1504,'JOBS'!$G$5:$G$1504,A33,'JOBS'!$O$5:$O$1504,"Completed")))</f>
        <v/>
      </c>
      <c r="N33" s="52">
        <f>IF(B33="","",IF(_xlfn.MINIFS('JOBS'!$B$5:$B$1504,'JOBS'!$G$5:$G$1504,A33,'JOBS'!$O$5:$O$1504,"Scheduled",'JOBS'!$B$5:$B$1504,"&gt;="&amp;AsOf)=0,"",_xlfn.MINIFS('JOBS'!$B$5:$B$1504,'JOBS'!$G$5:$G$1504,A33,'JOBS'!$O$5:$O$1504,"Scheduled",'JOBS'!$B$5:$B$1504,"&gt;="&amp;AsOf)))</f>
        <v/>
      </c>
      <c r="O33" s="52">
        <f>IF(B33="","",IF(N33&lt;&gt;"",N33,IF(M33="",IF(H33="","",H33),IF(E33="Monthly",EDATE(M33,1),M33+IFERROR(INDEX('PRICING'!$C$28:$C$33,MATCH(E33,'PRICING'!$A$28:$A$33,0)),14)))))</f>
        <v/>
      </c>
      <c r="P33" s="101">
        <f>IF(O33="","",O33-AsOf)</f>
        <v/>
      </c>
      <c r="Q33" s="49">
        <f>IF(B33="","",IF(J33&lt;&gt;"Active","—",IF(N33&lt;&gt;"","Booked",IF(O33="","Set start date",IF(O33&lt;AsOf,"Overdue — book now",IF(O33&lt;=AsOf+7,"Due this week — book","Upcoming"))))))</f>
        <v/>
      </c>
      <c r="R33" s="54">
        <f>IF(B33="","",IF(J33="Active",N(F33)*IFERROR(INDEX('PRICING'!$D$28:$D$33,MATCH(E33,'PRICING'!$A$28:$A$33,0)),0),0))</f>
        <v/>
      </c>
      <c r="S33" s="54">
        <f>IF(B33="","",R33*12)</f>
        <v/>
      </c>
      <c r="T33" s="49">
        <f>IF(B33="","",IF(OR(Q33="Overdue — book now",Q33="Due this week — book"),1,0))</f>
        <v/>
      </c>
      <c r="U33" s="49">
        <f>IF(N(T33)&lt;&gt;1,"",COUNTIFS('RECURRING'!$T$5:$T$154,1,'RECURRING'!$O$5:$O$154,"&lt;"&amp;O33)+COUNTIFS($T$5:T33,1,$O$5:O33,O33))</f>
        <v/>
      </c>
    </row>
    <row r="34">
      <c r="A34" s="46" t="inlineStr">
        <is>
          <t>R-030</t>
        </is>
      </c>
      <c r="B34" s="38" t="n"/>
      <c r="C34" s="38" t="n"/>
      <c r="D34" s="38" t="n"/>
      <c r="E34" s="38" t="n"/>
      <c r="F34" s="48" t="n"/>
      <c r="G34" s="38" t="n"/>
      <c r="H34" s="47" t="n"/>
      <c r="I34" s="38" t="n"/>
      <c r="J34" s="38" t="n"/>
      <c r="K34" s="38" t="n"/>
      <c r="L34" s="53">
        <f>IF(B34="","",COUNTIFS('JOBS'!$G$5:$G$1504,A34,'JOBS'!$O$5:$O$1504,"Completed"))</f>
        <v/>
      </c>
      <c r="M34" s="52">
        <f>IF(B34="","",IF(_xlfn.MAXIFS('JOBS'!$B$5:$B$1504,'JOBS'!$G$5:$G$1504,A34,'JOBS'!$O$5:$O$1504,"Completed")=0,"",_xlfn.MAXIFS('JOBS'!$B$5:$B$1504,'JOBS'!$G$5:$G$1504,A34,'JOBS'!$O$5:$O$1504,"Completed")))</f>
        <v/>
      </c>
      <c r="N34" s="52">
        <f>IF(B34="","",IF(_xlfn.MINIFS('JOBS'!$B$5:$B$1504,'JOBS'!$G$5:$G$1504,A34,'JOBS'!$O$5:$O$1504,"Scheduled",'JOBS'!$B$5:$B$1504,"&gt;="&amp;AsOf)=0,"",_xlfn.MINIFS('JOBS'!$B$5:$B$1504,'JOBS'!$G$5:$G$1504,A34,'JOBS'!$O$5:$O$1504,"Scheduled",'JOBS'!$B$5:$B$1504,"&gt;="&amp;AsOf)))</f>
        <v/>
      </c>
      <c r="O34" s="52">
        <f>IF(B34="","",IF(N34&lt;&gt;"",N34,IF(M34="",IF(H34="","",H34),IF(E34="Monthly",EDATE(M34,1),M34+IFERROR(INDEX('PRICING'!$C$28:$C$33,MATCH(E34,'PRICING'!$A$28:$A$33,0)),14)))))</f>
        <v/>
      </c>
      <c r="P34" s="101">
        <f>IF(O34="","",O34-AsOf)</f>
        <v/>
      </c>
      <c r="Q34" s="49">
        <f>IF(B34="","",IF(J34&lt;&gt;"Active","—",IF(N34&lt;&gt;"","Booked",IF(O34="","Set start date",IF(O34&lt;AsOf,"Overdue — book now",IF(O34&lt;=AsOf+7,"Due this week — book","Upcoming"))))))</f>
        <v/>
      </c>
      <c r="R34" s="54">
        <f>IF(B34="","",IF(J34="Active",N(F34)*IFERROR(INDEX('PRICING'!$D$28:$D$33,MATCH(E34,'PRICING'!$A$28:$A$33,0)),0),0))</f>
        <v/>
      </c>
      <c r="S34" s="54">
        <f>IF(B34="","",R34*12)</f>
        <v/>
      </c>
      <c r="T34" s="49">
        <f>IF(B34="","",IF(OR(Q34="Overdue — book now",Q34="Due this week — book"),1,0))</f>
        <v/>
      </c>
      <c r="U34" s="49">
        <f>IF(N(T34)&lt;&gt;1,"",COUNTIFS('RECURRING'!$T$5:$T$154,1,'RECURRING'!$O$5:$O$154,"&lt;"&amp;O34)+COUNTIFS($T$5:T34,1,$O$5:O34,O34))</f>
        <v/>
      </c>
    </row>
    <row r="35">
      <c r="A35" s="46" t="inlineStr">
        <is>
          <t>R-031</t>
        </is>
      </c>
      <c r="B35" s="38" t="n"/>
      <c r="C35" s="38" t="n"/>
      <c r="D35" s="38" t="n"/>
      <c r="E35" s="38" t="n"/>
      <c r="F35" s="48" t="n"/>
      <c r="G35" s="38" t="n"/>
      <c r="H35" s="47" t="n"/>
      <c r="I35" s="38" t="n"/>
      <c r="J35" s="38" t="n"/>
      <c r="K35" s="38" t="n"/>
      <c r="L35" s="53">
        <f>IF(B35="","",COUNTIFS('JOBS'!$G$5:$G$1504,A35,'JOBS'!$O$5:$O$1504,"Completed"))</f>
        <v/>
      </c>
      <c r="M35" s="52">
        <f>IF(B35="","",IF(_xlfn.MAXIFS('JOBS'!$B$5:$B$1504,'JOBS'!$G$5:$G$1504,A35,'JOBS'!$O$5:$O$1504,"Completed")=0,"",_xlfn.MAXIFS('JOBS'!$B$5:$B$1504,'JOBS'!$G$5:$G$1504,A35,'JOBS'!$O$5:$O$1504,"Completed")))</f>
        <v/>
      </c>
      <c r="N35" s="52">
        <f>IF(B35="","",IF(_xlfn.MINIFS('JOBS'!$B$5:$B$1504,'JOBS'!$G$5:$G$1504,A35,'JOBS'!$O$5:$O$1504,"Scheduled",'JOBS'!$B$5:$B$1504,"&gt;="&amp;AsOf)=0,"",_xlfn.MINIFS('JOBS'!$B$5:$B$1504,'JOBS'!$G$5:$G$1504,A35,'JOBS'!$O$5:$O$1504,"Scheduled",'JOBS'!$B$5:$B$1504,"&gt;="&amp;AsOf)))</f>
        <v/>
      </c>
      <c r="O35" s="52">
        <f>IF(B35="","",IF(N35&lt;&gt;"",N35,IF(M35="",IF(H35="","",H35),IF(E35="Monthly",EDATE(M35,1),M35+IFERROR(INDEX('PRICING'!$C$28:$C$33,MATCH(E35,'PRICING'!$A$28:$A$33,0)),14)))))</f>
        <v/>
      </c>
      <c r="P35" s="101">
        <f>IF(O35="","",O35-AsOf)</f>
        <v/>
      </c>
      <c r="Q35" s="49">
        <f>IF(B35="","",IF(J35&lt;&gt;"Active","—",IF(N35&lt;&gt;"","Booked",IF(O35="","Set start date",IF(O35&lt;AsOf,"Overdue — book now",IF(O35&lt;=AsOf+7,"Due this week — book","Upcoming"))))))</f>
        <v/>
      </c>
      <c r="R35" s="54">
        <f>IF(B35="","",IF(J35="Active",N(F35)*IFERROR(INDEX('PRICING'!$D$28:$D$33,MATCH(E35,'PRICING'!$A$28:$A$33,0)),0),0))</f>
        <v/>
      </c>
      <c r="S35" s="54">
        <f>IF(B35="","",R35*12)</f>
        <v/>
      </c>
      <c r="T35" s="49">
        <f>IF(B35="","",IF(OR(Q35="Overdue — book now",Q35="Due this week — book"),1,0))</f>
        <v/>
      </c>
      <c r="U35" s="49">
        <f>IF(N(T35)&lt;&gt;1,"",COUNTIFS('RECURRING'!$T$5:$T$154,1,'RECURRING'!$O$5:$O$154,"&lt;"&amp;O35)+COUNTIFS($T$5:T35,1,$O$5:O35,O35))</f>
        <v/>
      </c>
    </row>
    <row r="36">
      <c r="A36" s="46" t="inlineStr">
        <is>
          <t>R-032</t>
        </is>
      </c>
      <c r="B36" s="38" t="n"/>
      <c r="C36" s="38" t="n"/>
      <c r="D36" s="38" t="n"/>
      <c r="E36" s="38" t="n"/>
      <c r="F36" s="48" t="n"/>
      <c r="G36" s="38" t="n"/>
      <c r="H36" s="47" t="n"/>
      <c r="I36" s="38" t="n"/>
      <c r="J36" s="38" t="n"/>
      <c r="K36" s="38" t="n"/>
      <c r="L36" s="53">
        <f>IF(B36="","",COUNTIFS('JOBS'!$G$5:$G$1504,A36,'JOBS'!$O$5:$O$1504,"Completed"))</f>
        <v/>
      </c>
      <c r="M36" s="52">
        <f>IF(B36="","",IF(_xlfn.MAXIFS('JOBS'!$B$5:$B$1504,'JOBS'!$G$5:$G$1504,A36,'JOBS'!$O$5:$O$1504,"Completed")=0,"",_xlfn.MAXIFS('JOBS'!$B$5:$B$1504,'JOBS'!$G$5:$G$1504,A36,'JOBS'!$O$5:$O$1504,"Completed")))</f>
        <v/>
      </c>
      <c r="N36" s="52">
        <f>IF(B36="","",IF(_xlfn.MINIFS('JOBS'!$B$5:$B$1504,'JOBS'!$G$5:$G$1504,A36,'JOBS'!$O$5:$O$1504,"Scheduled",'JOBS'!$B$5:$B$1504,"&gt;="&amp;AsOf)=0,"",_xlfn.MINIFS('JOBS'!$B$5:$B$1504,'JOBS'!$G$5:$G$1504,A36,'JOBS'!$O$5:$O$1504,"Scheduled",'JOBS'!$B$5:$B$1504,"&gt;="&amp;AsOf)))</f>
        <v/>
      </c>
      <c r="O36" s="52">
        <f>IF(B36="","",IF(N36&lt;&gt;"",N36,IF(M36="",IF(H36="","",H36),IF(E36="Monthly",EDATE(M36,1),M36+IFERROR(INDEX('PRICING'!$C$28:$C$33,MATCH(E36,'PRICING'!$A$28:$A$33,0)),14)))))</f>
        <v/>
      </c>
      <c r="P36" s="101">
        <f>IF(O36="","",O36-AsOf)</f>
        <v/>
      </c>
      <c r="Q36" s="49">
        <f>IF(B36="","",IF(J36&lt;&gt;"Active","—",IF(N36&lt;&gt;"","Booked",IF(O36="","Set start date",IF(O36&lt;AsOf,"Overdue — book now",IF(O36&lt;=AsOf+7,"Due this week — book","Upcoming"))))))</f>
        <v/>
      </c>
      <c r="R36" s="54">
        <f>IF(B36="","",IF(J36="Active",N(F36)*IFERROR(INDEX('PRICING'!$D$28:$D$33,MATCH(E36,'PRICING'!$A$28:$A$33,0)),0),0))</f>
        <v/>
      </c>
      <c r="S36" s="54">
        <f>IF(B36="","",R36*12)</f>
        <v/>
      </c>
      <c r="T36" s="49">
        <f>IF(B36="","",IF(OR(Q36="Overdue — book now",Q36="Due this week — book"),1,0))</f>
        <v/>
      </c>
      <c r="U36" s="49">
        <f>IF(N(T36)&lt;&gt;1,"",COUNTIFS('RECURRING'!$T$5:$T$154,1,'RECURRING'!$O$5:$O$154,"&lt;"&amp;O36)+COUNTIFS($T$5:T36,1,$O$5:O36,O36))</f>
        <v/>
      </c>
    </row>
    <row r="37">
      <c r="A37" s="46" t="inlineStr">
        <is>
          <t>R-033</t>
        </is>
      </c>
      <c r="B37" s="38" t="n"/>
      <c r="C37" s="38" t="n"/>
      <c r="D37" s="38" t="n"/>
      <c r="E37" s="38" t="n"/>
      <c r="F37" s="48" t="n"/>
      <c r="G37" s="38" t="n"/>
      <c r="H37" s="47" t="n"/>
      <c r="I37" s="38" t="n"/>
      <c r="J37" s="38" t="n"/>
      <c r="K37" s="38" t="n"/>
      <c r="L37" s="53">
        <f>IF(B37="","",COUNTIFS('JOBS'!$G$5:$G$1504,A37,'JOBS'!$O$5:$O$1504,"Completed"))</f>
        <v/>
      </c>
      <c r="M37" s="52">
        <f>IF(B37="","",IF(_xlfn.MAXIFS('JOBS'!$B$5:$B$1504,'JOBS'!$G$5:$G$1504,A37,'JOBS'!$O$5:$O$1504,"Completed")=0,"",_xlfn.MAXIFS('JOBS'!$B$5:$B$1504,'JOBS'!$G$5:$G$1504,A37,'JOBS'!$O$5:$O$1504,"Completed")))</f>
        <v/>
      </c>
      <c r="N37" s="52">
        <f>IF(B37="","",IF(_xlfn.MINIFS('JOBS'!$B$5:$B$1504,'JOBS'!$G$5:$G$1504,A37,'JOBS'!$O$5:$O$1504,"Scheduled",'JOBS'!$B$5:$B$1504,"&gt;="&amp;AsOf)=0,"",_xlfn.MINIFS('JOBS'!$B$5:$B$1504,'JOBS'!$G$5:$G$1504,A37,'JOBS'!$O$5:$O$1504,"Scheduled",'JOBS'!$B$5:$B$1504,"&gt;="&amp;AsOf)))</f>
        <v/>
      </c>
      <c r="O37" s="52">
        <f>IF(B37="","",IF(N37&lt;&gt;"",N37,IF(M37="",IF(H37="","",H37),IF(E37="Monthly",EDATE(M37,1),M37+IFERROR(INDEX('PRICING'!$C$28:$C$33,MATCH(E37,'PRICING'!$A$28:$A$33,0)),14)))))</f>
        <v/>
      </c>
      <c r="P37" s="101">
        <f>IF(O37="","",O37-AsOf)</f>
        <v/>
      </c>
      <c r="Q37" s="49">
        <f>IF(B37="","",IF(J37&lt;&gt;"Active","—",IF(N37&lt;&gt;"","Booked",IF(O37="","Set start date",IF(O37&lt;AsOf,"Overdue — book now",IF(O37&lt;=AsOf+7,"Due this week — book","Upcoming"))))))</f>
        <v/>
      </c>
      <c r="R37" s="54">
        <f>IF(B37="","",IF(J37="Active",N(F37)*IFERROR(INDEX('PRICING'!$D$28:$D$33,MATCH(E37,'PRICING'!$A$28:$A$33,0)),0),0))</f>
        <v/>
      </c>
      <c r="S37" s="54">
        <f>IF(B37="","",R37*12)</f>
        <v/>
      </c>
      <c r="T37" s="49">
        <f>IF(B37="","",IF(OR(Q37="Overdue — book now",Q37="Due this week — book"),1,0))</f>
        <v/>
      </c>
      <c r="U37" s="49">
        <f>IF(N(T37)&lt;&gt;1,"",COUNTIFS('RECURRING'!$T$5:$T$154,1,'RECURRING'!$O$5:$O$154,"&lt;"&amp;O37)+COUNTIFS($T$5:T37,1,$O$5:O37,O37))</f>
        <v/>
      </c>
    </row>
    <row r="38">
      <c r="A38" s="46" t="inlineStr">
        <is>
          <t>R-034</t>
        </is>
      </c>
      <c r="B38" s="38" t="n"/>
      <c r="C38" s="38" t="n"/>
      <c r="D38" s="38" t="n"/>
      <c r="E38" s="38" t="n"/>
      <c r="F38" s="48" t="n"/>
      <c r="G38" s="38" t="n"/>
      <c r="H38" s="47" t="n"/>
      <c r="I38" s="38" t="n"/>
      <c r="J38" s="38" t="n"/>
      <c r="K38" s="38" t="n"/>
      <c r="L38" s="53">
        <f>IF(B38="","",COUNTIFS('JOBS'!$G$5:$G$1504,A38,'JOBS'!$O$5:$O$1504,"Completed"))</f>
        <v/>
      </c>
      <c r="M38" s="52">
        <f>IF(B38="","",IF(_xlfn.MAXIFS('JOBS'!$B$5:$B$1504,'JOBS'!$G$5:$G$1504,A38,'JOBS'!$O$5:$O$1504,"Completed")=0,"",_xlfn.MAXIFS('JOBS'!$B$5:$B$1504,'JOBS'!$G$5:$G$1504,A38,'JOBS'!$O$5:$O$1504,"Completed")))</f>
        <v/>
      </c>
      <c r="N38" s="52">
        <f>IF(B38="","",IF(_xlfn.MINIFS('JOBS'!$B$5:$B$1504,'JOBS'!$G$5:$G$1504,A38,'JOBS'!$O$5:$O$1504,"Scheduled",'JOBS'!$B$5:$B$1504,"&gt;="&amp;AsOf)=0,"",_xlfn.MINIFS('JOBS'!$B$5:$B$1504,'JOBS'!$G$5:$G$1504,A38,'JOBS'!$O$5:$O$1504,"Scheduled",'JOBS'!$B$5:$B$1504,"&gt;="&amp;AsOf)))</f>
        <v/>
      </c>
      <c r="O38" s="52">
        <f>IF(B38="","",IF(N38&lt;&gt;"",N38,IF(M38="",IF(H38="","",H38),IF(E38="Monthly",EDATE(M38,1),M38+IFERROR(INDEX('PRICING'!$C$28:$C$33,MATCH(E38,'PRICING'!$A$28:$A$33,0)),14)))))</f>
        <v/>
      </c>
      <c r="P38" s="101">
        <f>IF(O38="","",O38-AsOf)</f>
        <v/>
      </c>
      <c r="Q38" s="49">
        <f>IF(B38="","",IF(J38&lt;&gt;"Active","—",IF(N38&lt;&gt;"","Booked",IF(O38="","Set start date",IF(O38&lt;AsOf,"Overdue — book now",IF(O38&lt;=AsOf+7,"Due this week — book","Upcoming"))))))</f>
        <v/>
      </c>
      <c r="R38" s="54">
        <f>IF(B38="","",IF(J38="Active",N(F38)*IFERROR(INDEX('PRICING'!$D$28:$D$33,MATCH(E38,'PRICING'!$A$28:$A$33,0)),0),0))</f>
        <v/>
      </c>
      <c r="S38" s="54">
        <f>IF(B38="","",R38*12)</f>
        <v/>
      </c>
      <c r="T38" s="49">
        <f>IF(B38="","",IF(OR(Q38="Overdue — book now",Q38="Due this week — book"),1,0))</f>
        <v/>
      </c>
      <c r="U38" s="49">
        <f>IF(N(T38)&lt;&gt;1,"",COUNTIFS('RECURRING'!$T$5:$T$154,1,'RECURRING'!$O$5:$O$154,"&lt;"&amp;O38)+COUNTIFS($T$5:T38,1,$O$5:O38,O38))</f>
        <v/>
      </c>
    </row>
    <row r="39">
      <c r="A39" s="46" t="inlineStr">
        <is>
          <t>R-035</t>
        </is>
      </c>
      <c r="B39" s="38" t="n"/>
      <c r="C39" s="38" t="n"/>
      <c r="D39" s="38" t="n"/>
      <c r="E39" s="38" t="n"/>
      <c r="F39" s="48" t="n"/>
      <c r="G39" s="38" t="n"/>
      <c r="H39" s="47" t="n"/>
      <c r="I39" s="38" t="n"/>
      <c r="J39" s="38" t="n"/>
      <c r="K39" s="38" t="n"/>
      <c r="L39" s="53">
        <f>IF(B39="","",COUNTIFS('JOBS'!$G$5:$G$1504,A39,'JOBS'!$O$5:$O$1504,"Completed"))</f>
        <v/>
      </c>
      <c r="M39" s="52">
        <f>IF(B39="","",IF(_xlfn.MAXIFS('JOBS'!$B$5:$B$1504,'JOBS'!$G$5:$G$1504,A39,'JOBS'!$O$5:$O$1504,"Completed")=0,"",_xlfn.MAXIFS('JOBS'!$B$5:$B$1504,'JOBS'!$G$5:$G$1504,A39,'JOBS'!$O$5:$O$1504,"Completed")))</f>
        <v/>
      </c>
      <c r="N39" s="52">
        <f>IF(B39="","",IF(_xlfn.MINIFS('JOBS'!$B$5:$B$1504,'JOBS'!$G$5:$G$1504,A39,'JOBS'!$O$5:$O$1504,"Scheduled",'JOBS'!$B$5:$B$1504,"&gt;="&amp;AsOf)=0,"",_xlfn.MINIFS('JOBS'!$B$5:$B$1504,'JOBS'!$G$5:$G$1504,A39,'JOBS'!$O$5:$O$1504,"Scheduled",'JOBS'!$B$5:$B$1504,"&gt;="&amp;AsOf)))</f>
        <v/>
      </c>
      <c r="O39" s="52">
        <f>IF(B39="","",IF(N39&lt;&gt;"",N39,IF(M39="",IF(H39="","",H39),IF(E39="Monthly",EDATE(M39,1),M39+IFERROR(INDEX('PRICING'!$C$28:$C$33,MATCH(E39,'PRICING'!$A$28:$A$33,0)),14)))))</f>
        <v/>
      </c>
      <c r="P39" s="101">
        <f>IF(O39="","",O39-AsOf)</f>
        <v/>
      </c>
      <c r="Q39" s="49">
        <f>IF(B39="","",IF(J39&lt;&gt;"Active","—",IF(N39&lt;&gt;"","Booked",IF(O39="","Set start date",IF(O39&lt;AsOf,"Overdue — book now",IF(O39&lt;=AsOf+7,"Due this week — book","Upcoming"))))))</f>
        <v/>
      </c>
      <c r="R39" s="54">
        <f>IF(B39="","",IF(J39="Active",N(F39)*IFERROR(INDEX('PRICING'!$D$28:$D$33,MATCH(E39,'PRICING'!$A$28:$A$33,0)),0),0))</f>
        <v/>
      </c>
      <c r="S39" s="54">
        <f>IF(B39="","",R39*12)</f>
        <v/>
      </c>
      <c r="T39" s="49">
        <f>IF(B39="","",IF(OR(Q39="Overdue — book now",Q39="Due this week — book"),1,0))</f>
        <v/>
      </c>
      <c r="U39" s="49">
        <f>IF(N(T39)&lt;&gt;1,"",COUNTIFS('RECURRING'!$T$5:$T$154,1,'RECURRING'!$O$5:$O$154,"&lt;"&amp;O39)+COUNTIFS($T$5:T39,1,$O$5:O39,O39))</f>
        <v/>
      </c>
    </row>
    <row r="40">
      <c r="A40" s="46" t="inlineStr">
        <is>
          <t>R-036</t>
        </is>
      </c>
      <c r="B40" s="38" t="n"/>
      <c r="C40" s="38" t="n"/>
      <c r="D40" s="38" t="n"/>
      <c r="E40" s="38" t="n"/>
      <c r="F40" s="48" t="n"/>
      <c r="G40" s="38" t="n"/>
      <c r="H40" s="47" t="n"/>
      <c r="I40" s="38" t="n"/>
      <c r="J40" s="38" t="n"/>
      <c r="K40" s="38" t="n"/>
      <c r="L40" s="53">
        <f>IF(B40="","",COUNTIFS('JOBS'!$G$5:$G$1504,A40,'JOBS'!$O$5:$O$1504,"Completed"))</f>
        <v/>
      </c>
      <c r="M40" s="52">
        <f>IF(B40="","",IF(_xlfn.MAXIFS('JOBS'!$B$5:$B$1504,'JOBS'!$G$5:$G$1504,A40,'JOBS'!$O$5:$O$1504,"Completed")=0,"",_xlfn.MAXIFS('JOBS'!$B$5:$B$1504,'JOBS'!$G$5:$G$1504,A40,'JOBS'!$O$5:$O$1504,"Completed")))</f>
        <v/>
      </c>
      <c r="N40" s="52">
        <f>IF(B40="","",IF(_xlfn.MINIFS('JOBS'!$B$5:$B$1504,'JOBS'!$G$5:$G$1504,A40,'JOBS'!$O$5:$O$1504,"Scheduled",'JOBS'!$B$5:$B$1504,"&gt;="&amp;AsOf)=0,"",_xlfn.MINIFS('JOBS'!$B$5:$B$1504,'JOBS'!$G$5:$G$1504,A40,'JOBS'!$O$5:$O$1504,"Scheduled",'JOBS'!$B$5:$B$1504,"&gt;="&amp;AsOf)))</f>
        <v/>
      </c>
      <c r="O40" s="52">
        <f>IF(B40="","",IF(N40&lt;&gt;"",N40,IF(M40="",IF(H40="","",H40),IF(E40="Monthly",EDATE(M40,1),M40+IFERROR(INDEX('PRICING'!$C$28:$C$33,MATCH(E40,'PRICING'!$A$28:$A$33,0)),14)))))</f>
        <v/>
      </c>
      <c r="P40" s="101">
        <f>IF(O40="","",O40-AsOf)</f>
        <v/>
      </c>
      <c r="Q40" s="49">
        <f>IF(B40="","",IF(J40&lt;&gt;"Active","—",IF(N40&lt;&gt;"","Booked",IF(O40="","Set start date",IF(O40&lt;AsOf,"Overdue — book now",IF(O40&lt;=AsOf+7,"Due this week — book","Upcoming"))))))</f>
        <v/>
      </c>
      <c r="R40" s="54">
        <f>IF(B40="","",IF(J40="Active",N(F40)*IFERROR(INDEX('PRICING'!$D$28:$D$33,MATCH(E40,'PRICING'!$A$28:$A$33,0)),0),0))</f>
        <v/>
      </c>
      <c r="S40" s="54">
        <f>IF(B40="","",R40*12)</f>
        <v/>
      </c>
      <c r="T40" s="49">
        <f>IF(B40="","",IF(OR(Q40="Overdue — book now",Q40="Due this week — book"),1,0))</f>
        <v/>
      </c>
      <c r="U40" s="49">
        <f>IF(N(T40)&lt;&gt;1,"",COUNTIFS('RECURRING'!$T$5:$T$154,1,'RECURRING'!$O$5:$O$154,"&lt;"&amp;O40)+COUNTIFS($T$5:T40,1,$O$5:O40,O40))</f>
        <v/>
      </c>
    </row>
    <row r="41">
      <c r="A41" s="46" t="inlineStr">
        <is>
          <t>R-037</t>
        </is>
      </c>
      <c r="B41" s="38" t="n"/>
      <c r="C41" s="38" t="n"/>
      <c r="D41" s="38" t="n"/>
      <c r="E41" s="38" t="n"/>
      <c r="F41" s="48" t="n"/>
      <c r="G41" s="38" t="n"/>
      <c r="H41" s="47" t="n"/>
      <c r="I41" s="38" t="n"/>
      <c r="J41" s="38" t="n"/>
      <c r="K41" s="38" t="n"/>
      <c r="L41" s="53">
        <f>IF(B41="","",COUNTIFS('JOBS'!$G$5:$G$1504,A41,'JOBS'!$O$5:$O$1504,"Completed"))</f>
        <v/>
      </c>
      <c r="M41" s="52">
        <f>IF(B41="","",IF(_xlfn.MAXIFS('JOBS'!$B$5:$B$1504,'JOBS'!$G$5:$G$1504,A41,'JOBS'!$O$5:$O$1504,"Completed")=0,"",_xlfn.MAXIFS('JOBS'!$B$5:$B$1504,'JOBS'!$G$5:$G$1504,A41,'JOBS'!$O$5:$O$1504,"Completed")))</f>
        <v/>
      </c>
      <c r="N41" s="52">
        <f>IF(B41="","",IF(_xlfn.MINIFS('JOBS'!$B$5:$B$1504,'JOBS'!$G$5:$G$1504,A41,'JOBS'!$O$5:$O$1504,"Scheduled",'JOBS'!$B$5:$B$1504,"&gt;="&amp;AsOf)=0,"",_xlfn.MINIFS('JOBS'!$B$5:$B$1504,'JOBS'!$G$5:$G$1504,A41,'JOBS'!$O$5:$O$1504,"Scheduled",'JOBS'!$B$5:$B$1504,"&gt;="&amp;AsOf)))</f>
        <v/>
      </c>
      <c r="O41" s="52">
        <f>IF(B41="","",IF(N41&lt;&gt;"",N41,IF(M41="",IF(H41="","",H41),IF(E41="Monthly",EDATE(M41,1),M41+IFERROR(INDEX('PRICING'!$C$28:$C$33,MATCH(E41,'PRICING'!$A$28:$A$33,0)),14)))))</f>
        <v/>
      </c>
      <c r="P41" s="101">
        <f>IF(O41="","",O41-AsOf)</f>
        <v/>
      </c>
      <c r="Q41" s="49">
        <f>IF(B41="","",IF(J41&lt;&gt;"Active","—",IF(N41&lt;&gt;"","Booked",IF(O41="","Set start date",IF(O41&lt;AsOf,"Overdue — book now",IF(O41&lt;=AsOf+7,"Due this week — book","Upcoming"))))))</f>
        <v/>
      </c>
      <c r="R41" s="54">
        <f>IF(B41="","",IF(J41="Active",N(F41)*IFERROR(INDEX('PRICING'!$D$28:$D$33,MATCH(E41,'PRICING'!$A$28:$A$33,0)),0),0))</f>
        <v/>
      </c>
      <c r="S41" s="54">
        <f>IF(B41="","",R41*12)</f>
        <v/>
      </c>
      <c r="T41" s="49">
        <f>IF(B41="","",IF(OR(Q41="Overdue — book now",Q41="Due this week — book"),1,0))</f>
        <v/>
      </c>
      <c r="U41" s="49">
        <f>IF(N(T41)&lt;&gt;1,"",COUNTIFS('RECURRING'!$T$5:$T$154,1,'RECURRING'!$O$5:$O$154,"&lt;"&amp;O41)+COUNTIFS($T$5:T41,1,$O$5:O41,O41))</f>
        <v/>
      </c>
    </row>
    <row r="42">
      <c r="A42" s="46" t="inlineStr">
        <is>
          <t>R-038</t>
        </is>
      </c>
      <c r="B42" s="38" t="n"/>
      <c r="C42" s="38" t="n"/>
      <c r="D42" s="38" t="n"/>
      <c r="E42" s="38" t="n"/>
      <c r="F42" s="48" t="n"/>
      <c r="G42" s="38" t="n"/>
      <c r="H42" s="47" t="n"/>
      <c r="I42" s="38" t="n"/>
      <c r="J42" s="38" t="n"/>
      <c r="K42" s="38" t="n"/>
      <c r="L42" s="53">
        <f>IF(B42="","",COUNTIFS('JOBS'!$G$5:$G$1504,A42,'JOBS'!$O$5:$O$1504,"Completed"))</f>
        <v/>
      </c>
      <c r="M42" s="52">
        <f>IF(B42="","",IF(_xlfn.MAXIFS('JOBS'!$B$5:$B$1504,'JOBS'!$G$5:$G$1504,A42,'JOBS'!$O$5:$O$1504,"Completed")=0,"",_xlfn.MAXIFS('JOBS'!$B$5:$B$1504,'JOBS'!$G$5:$G$1504,A42,'JOBS'!$O$5:$O$1504,"Completed")))</f>
        <v/>
      </c>
      <c r="N42" s="52">
        <f>IF(B42="","",IF(_xlfn.MINIFS('JOBS'!$B$5:$B$1504,'JOBS'!$G$5:$G$1504,A42,'JOBS'!$O$5:$O$1504,"Scheduled",'JOBS'!$B$5:$B$1504,"&gt;="&amp;AsOf)=0,"",_xlfn.MINIFS('JOBS'!$B$5:$B$1504,'JOBS'!$G$5:$G$1504,A42,'JOBS'!$O$5:$O$1504,"Scheduled",'JOBS'!$B$5:$B$1504,"&gt;="&amp;AsOf)))</f>
        <v/>
      </c>
      <c r="O42" s="52">
        <f>IF(B42="","",IF(N42&lt;&gt;"",N42,IF(M42="",IF(H42="","",H42),IF(E42="Monthly",EDATE(M42,1),M42+IFERROR(INDEX('PRICING'!$C$28:$C$33,MATCH(E42,'PRICING'!$A$28:$A$33,0)),14)))))</f>
        <v/>
      </c>
      <c r="P42" s="101">
        <f>IF(O42="","",O42-AsOf)</f>
        <v/>
      </c>
      <c r="Q42" s="49">
        <f>IF(B42="","",IF(J42&lt;&gt;"Active","—",IF(N42&lt;&gt;"","Booked",IF(O42="","Set start date",IF(O42&lt;AsOf,"Overdue — book now",IF(O42&lt;=AsOf+7,"Due this week — book","Upcoming"))))))</f>
        <v/>
      </c>
      <c r="R42" s="54">
        <f>IF(B42="","",IF(J42="Active",N(F42)*IFERROR(INDEX('PRICING'!$D$28:$D$33,MATCH(E42,'PRICING'!$A$28:$A$33,0)),0),0))</f>
        <v/>
      </c>
      <c r="S42" s="54">
        <f>IF(B42="","",R42*12)</f>
        <v/>
      </c>
      <c r="T42" s="49">
        <f>IF(B42="","",IF(OR(Q42="Overdue — book now",Q42="Due this week — book"),1,0))</f>
        <v/>
      </c>
      <c r="U42" s="49">
        <f>IF(N(T42)&lt;&gt;1,"",COUNTIFS('RECURRING'!$T$5:$T$154,1,'RECURRING'!$O$5:$O$154,"&lt;"&amp;O42)+COUNTIFS($T$5:T42,1,$O$5:O42,O42))</f>
        <v/>
      </c>
    </row>
    <row r="43">
      <c r="A43" s="46" t="inlineStr">
        <is>
          <t>R-039</t>
        </is>
      </c>
      <c r="B43" s="38" t="n"/>
      <c r="C43" s="38" t="n"/>
      <c r="D43" s="38" t="n"/>
      <c r="E43" s="38" t="n"/>
      <c r="F43" s="48" t="n"/>
      <c r="G43" s="38" t="n"/>
      <c r="H43" s="47" t="n"/>
      <c r="I43" s="38" t="n"/>
      <c r="J43" s="38" t="n"/>
      <c r="K43" s="38" t="n"/>
      <c r="L43" s="53">
        <f>IF(B43="","",COUNTIFS('JOBS'!$G$5:$G$1504,A43,'JOBS'!$O$5:$O$1504,"Completed"))</f>
        <v/>
      </c>
      <c r="M43" s="52">
        <f>IF(B43="","",IF(_xlfn.MAXIFS('JOBS'!$B$5:$B$1504,'JOBS'!$G$5:$G$1504,A43,'JOBS'!$O$5:$O$1504,"Completed")=0,"",_xlfn.MAXIFS('JOBS'!$B$5:$B$1504,'JOBS'!$G$5:$G$1504,A43,'JOBS'!$O$5:$O$1504,"Completed")))</f>
        <v/>
      </c>
      <c r="N43" s="52">
        <f>IF(B43="","",IF(_xlfn.MINIFS('JOBS'!$B$5:$B$1504,'JOBS'!$G$5:$G$1504,A43,'JOBS'!$O$5:$O$1504,"Scheduled",'JOBS'!$B$5:$B$1504,"&gt;="&amp;AsOf)=0,"",_xlfn.MINIFS('JOBS'!$B$5:$B$1504,'JOBS'!$G$5:$G$1504,A43,'JOBS'!$O$5:$O$1504,"Scheduled",'JOBS'!$B$5:$B$1504,"&gt;="&amp;AsOf)))</f>
        <v/>
      </c>
      <c r="O43" s="52">
        <f>IF(B43="","",IF(N43&lt;&gt;"",N43,IF(M43="",IF(H43="","",H43),IF(E43="Monthly",EDATE(M43,1),M43+IFERROR(INDEX('PRICING'!$C$28:$C$33,MATCH(E43,'PRICING'!$A$28:$A$33,0)),14)))))</f>
        <v/>
      </c>
      <c r="P43" s="101">
        <f>IF(O43="","",O43-AsOf)</f>
        <v/>
      </c>
      <c r="Q43" s="49">
        <f>IF(B43="","",IF(J43&lt;&gt;"Active","—",IF(N43&lt;&gt;"","Booked",IF(O43="","Set start date",IF(O43&lt;AsOf,"Overdue — book now",IF(O43&lt;=AsOf+7,"Due this week — book","Upcoming"))))))</f>
        <v/>
      </c>
      <c r="R43" s="54">
        <f>IF(B43="","",IF(J43="Active",N(F43)*IFERROR(INDEX('PRICING'!$D$28:$D$33,MATCH(E43,'PRICING'!$A$28:$A$33,0)),0),0))</f>
        <v/>
      </c>
      <c r="S43" s="54">
        <f>IF(B43="","",R43*12)</f>
        <v/>
      </c>
      <c r="T43" s="49">
        <f>IF(B43="","",IF(OR(Q43="Overdue — book now",Q43="Due this week — book"),1,0))</f>
        <v/>
      </c>
      <c r="U43" s="49">
        <f>IF(N(T43)&lt;&gt;1,"",COUNTIFS('RECURRING'!$T$5:$T$154,1,'RECURRING'!$O$5:$O$154,"&lt;"&amp;O43)+COUNTIFS($T$5:T43,1,$O$5:O43,O43))</f>
        <v/>
      </c>
    </row>
    <row r="44">
      <c r="A44" s="46" t="inlineStr">
        <is>
          <t>R-040</t>
        </is>
      </c>
      <c r="B44" s="38" t="n"/>
      <c r="C44" s="38" t="n"/>
      <c r="D44" s="38" t="n"/>
      <c r="E44" s="38" t="n"/>
      <c r="F44" s="48" t="n"/>
      <c r="G44" s="38" t="n"/>
      <c r="H44" s="47" t="n"/>
      <c r="I44" s="38" t="n"/>
      <c r="J44" s="38" t="n"/>
      <c r="K44" s="38" t="n"/>
      <c r="L44" s="53">
        <f>IF(B44="","",COUNTIFS('JOBS'!$G$5:$G$1504,A44,'JOBS'!$O$5:$O$1504,"Completed"))</f>
        <v/>
      </c>
      <c r="M44" s="52">
        <f>IF(B44="","",IF(_xlfn.MAXIFS('JOBS'!$B$5:$B$1504,'JOBS'!$G$5:$G$1504,A44,'JOBS'!$O$5:$O$1504,"Completed")=0,"",_xlfn.MAXIFS('JOBS'!$B$5:$B$1504,'JOBS'!$G$5:$G$1504,A44,'JOBS'!$O$5:$O$1504,"Completed")))</f>
        <v/>
      </c>
      <c r="N44" s="52">
        <f>IF(B44="","",IF(_xlfn.MINIFS('JOBS'!$B$5:$B$1504,'JOBS'!$G$5:$G$1504,A44,'JOBS'!$O$5:$O$1504,"Scheduled",'JOBS'!$B$5:$B$1504,"&gt;="&amp;AsOf)=0,"",_xlfn.MINIFS('JOBS'!$B$5:$B$1504,'JOBS'!$G$5:$G$1504,A44,'JOBS'!$O$5:$O$1504,"Scheduled",'JOBS'!$B$5:$B$1504,"&gt;="&amp;AsOf)))</f>
        <v/>
      </c>
      <c r="O44" s="52">
        <f>IF(B44="","",IF(N44&lt;&gt;"",N44,IF(M44="",IF(H44="","",H44),IF(E44="Monthly",EDATE(M44,1),M44+IFERROR(INDEX('PRICING'!$C$28:$C$33,MATCH(E44,'PRICING'!$A$28:$A$33,0)),14)))))</f>
        <v/>
      </c>
      <c r="P44" s="101">
        <f>IF(O44="","",O44-AsOf)</f>
        <v/>
      </c>
      <c r="Q44" s="49">
        <f>IF(B44="","",IF(J44&lt;&gt;"Active","—",IF(N44&lt;&gt;"","Booked",IF(O44="","Set start date",IF(O44&lt;AsOf,"Overdue — book now",IF(O44&lt;=AsOf+7,"Due this week — book","Upcoming"))))))</f>
        <v/>
      </c>
      <c r="R44" s="54">
        <f>IF(B44="","",IF(J44="Active",N(F44)*IFERROR(INDEX('PRICING'!$D$28:$D$33,MATCH(E44,'PRICING'!$A$28:$A$33,0)),0),0))</f>
        <v/>
      </c>
      <c r="S44" s="54">
        <f>IF(B44="","",R44*12)</f>
        <v/>
      </c>
      <c r="T44" s="49">
        <f>IF(B44="","",IF(OR(Q44="Overdue — book now",Q44="Due this week — book"),1,0))</f>
        <v/>
      </c>
      <c r="U44" s="49">
        <f>IF(N(T44)&lt;&gt;1,"",COUNTIFS('RECURRING'!$T$5:$T$154,1,'RECURRING'!$O$5:$O$154,"&lt;"&amp;O44)+COUNTIFS($T$5:T44,1,$O$5:O44,O44))</f>
        <v/>
      </c>
    </row>
    <row r="45">
      <c r="A45" s="46" t="inlineStr">
        <is>
          <t>R-041</t>
        </is>
      </c>
      <c r="B45" s="38" t="n"/>
      <c r="C45" s="38" t="n"/>
      <c r="D45" s="38" t="n"/>
      <c r="E45" s="38" t="n"/>
      <c r="F45" s="48" t="n"/>
      <c r="G45" s="38" t="n"/>
      <c r="H45" s="47" t="n"/>
      <c r="I45" s="38" t="n"/>
      <c r="J45" s="38" t="n"/>
      <c r="K45" s="38" t="n"/>
      <c r="L45" s="53">
        <f>IF(B45="","",COUNTIFS('JOBS'!$G$5:$G$1504,A45,'JOBS'!$O$5:$O$1504,"Completed"))</f>
        <v/>
      </c>
      <c r="M45" s="52">
        <f>IF(B45="","",IF(_xlfn.MAXIFS('JOBS'!$B$5:$B$1504,'JOBS'!$G$5:$G$1504,A45,'JOBS'!$O$5:$O$1504,"Completed")=0,"",_xlfn.MAXIFS('JOBS'!$B$5:$B$1504,'JOBS'!$G$5:$G$1504,A45,'JOBS'!$O$5:$O$1504,"Completed")))</f>
        <v/>
      </c>
      <c r="N45" s="52">
        <f>IF(B45="","",IF(_xlfn.MINIFS('JOBS'!$B$5:$B$1504,'JOBS'!$G$5:$G$1504,A45,'JOBS'!$O$5:$O$1504,"Scheduled",'JOBS'!$B$5:$B$1504,"&gt;="&amp;AsOf)=0,"",_xlfn.MINIFS('JOBS'!$B$5:$B$1504,'JOBS'!$G$5:$G$1504,A45,'JOBS'!$O$5:$O$1504,"Scheduled",'JOBS'!$B$5:$B$1504,"&gt;="&amp;AsOf)))</f>
        <v/>
      </c>
      <c r="O45" s="52">
        <f>IF(B45="","",IF(N45&lt;&gt;"",N45,IF(M45="",IF(H45="","",H45),IF(E45="Monthly",EDATE(M45,1),M45+IFERROR(INDEX('PRICING'!$C$28:$C$33,MATCH(E45,'PRICING'!$A$28:$A$33,0)),14)))))</f>
        <v/>
      </c>
      <c r="P45" s="101">
        <f>IF(O45="","",O45-AsOf)</f>
        <v/>
      </c>
      <c r="Q45" s="49">
        <f>IF(B45="","",IF(J45&lt;&gt;"Active","—",IF(N45&lt;&gt;"","Booked",IF(O45="","Set start date",IF(O45&lt;AsOf,"Overdue — book now",IF(O45&lt;=AsOf+7,"Due this week — book","Upcoming"))))))</f>
        <v/>
      </c>
      <c r="R45" s="54">
        <f>IF(B45="","",IF(J45="Active",N(F45)*IFERROR(INDEX('PRICING'!$D$28:$D$33,MATCH(E45,'PRICING'!$A$28:$A$33,0)),0),0))</f>
        <v/>
      </c>
      <c r="S45" s="54">
        <f>IF(B45="","",R45*12)</f>
        <v/>
      </c>
      <c r="T45" s="49">
        <f>IF(B45="","",IF(OR(Q45="Overdue — book now",Q45="Due this week — book"),1,0))</f>
        <v/>
      </c>
      <c r="U45" s="49">
        <f>IF(N(T45)&lt;&gt;1,"",COUNTIFS('RECURRING'!$T$5:$T$154,1,'RECURRING'!$O$5:$O$154,"&lt;"&amp;O45)+COUNTIFS($T$5:T45,1,$O$5:O45,O45))</f>
        <v/>
      </c>
    </row>
    <row r="46">
      <c r="A46" s="46" t="inlineStr">
        <is>
          <t>R-042</t>
        </is>
      </c>
      <c r="B46" s="38" t="n"/>
      <c r="C46" s="38" t="n"/>
      <c r="D46" s="38" t="n"/>
      <c r="E46" s="38" t="n"/>
      <c r="F46" s="48" t="n"/>
      <c r="G46" s="38" t="n"/>
      <c r="H46" s="47" t="n"/>
      <c r="I46" s="38" t="n"/>
      <c r="J46" s="38" t="n"/>
      <c r="K46" s="38" t="n"/>
      <c r="L46" s="53">
        <f>IF(B46="","",COUNTIFS('JOBS'!$G$5:$G$1504,A46,'JOBS'!$O$5:$O$1504,"Completed"))</f>
        <v/>
      </c>
      <c r="M46" s="52">
        <f>IF(B46="","",IF(_xlfn.MAXIFS('JOBS'!$B$5:$B$1504,'JOBS'!$G$5:$G$1504,A46,'JOBS'!$O$5:$O$1504,"Completed")=0,"",_xlfn.MAXIFS('JOBS'!$B$5:$B$1504,'JOBS'!$G$5:$G$1504,A46,'JOBS'!$O$5:$O$1504,"Completed")))</f>
        <v/>
      </c>
      <c r="N46" s="52">
        <f>IF(B46="","",IF(_xlfn.MINIFS('JOBS'!$B$5:$B$1504,'JOBS'!$G$5:$G$1504,A46,'JOBS'!$O$5:$O$1504,"Scheduled",'JOBS'!$B$5:$B$1504,"&gt;="&amp;AsOf)=0,"",_xlfn.MINIFS('JOBS'!$B$5:$B$1504,'JOBS'!$G$5:$G$1504,A46,'JOBS'!$O$5:$O$1504,"Scheduled",'JOBS'!$B$5:$B$1504,"&gt;="&amp;AsOf)))</f>
        <v/>
      </c>
      <c r="O46" s="52">
        <f>IF(B46="","",IF(N46&lt;&gt;"",N46,IF(M46="",IF(H46="","",H46),IF(E46="Monthly",EDATE(M46,1),M46+IFERROR(INDEX('PRICING'!$C$28:$C$33,MATCH(E46,'PRICING'!$A$28:$A$33,0)),14)))))</f>
        <v/>
      </c>
      <c r="P46" s="101">
        <f>IF(O46="","",O46-AsOf)</f>
        <v/>
      </c>
      <c r="Q46" s="49">
        <f>IF(B46="","",IF(J46&lt;&gt;"Active","—",IF(N46&lt;&gt;"","Booked",IF(O46="","Set start date",IF(O46&lt;AsOf,"Overdue — book now",IF(O46&lt;=AsOf+7,"Due this week — book","Upcoming"))))))</f>
        <v/>
      </c>
      <c r="R46" s="54">
        <f>IF(B46="","",IF(J46="Active",N(F46)*IFERROR(INDEX('PRICING'!$D$28:$D$33,MATCH(E46,'PRICING'!$A$28:$A$33,0)),0),0))</f>
        <v/>
      </c>
      <c r="S46" s="54">
        <f>IF(B46="","",R46*12)</f>
        <v/>
      </c>
      <c r="T46" s="49">
        <f>IF(B46="","",IF(OR(Q46="Overdue — book now",Q46="Due this week — book"),1,0))</f>
        <v/>
      </c>
      <c r="U46" s="49">
        <f>IF(N(T46)&lt;&gt;1,"",COUNTIFS('RECURRING'!$T$5:$T$154,1,'RECURRING'!$O$5:$O$154,"&lt;"&amp;O46)+COUNTIFS($T$5:T46,1,$O$5:O46,O46))</f>
        <v/>
      </c>
    </row>
    <row r="47">
      <c r="A47" s="46" t="inlineStr">
        <is>
          <t>R-043</t>
        </is>
      </c>
      <c r="B47" s="38" t="n"/>
      <c r="C47" s="38" t="n"/>
      <c r="D47" s="38" t="n"/>
      <c r="E47" s="38" t="n"/>
      <c r="F47" s="48" t="n"/>
      <c r="G47" s="38" t="n"/>
      <c r="H47" s="47" t="n"/>
      <c r="I47" s="38" t="n"/>
      <c r="J47" s="38" t="n"/>
      <c r="K47" s="38" t="n"/>
      <c r="L47" s="53">
        <f>IF(B47="","",COUNTIFS('JOBS'!$G$5:$G$1504,A47,'JOBS'!$O$5:$O$1504,"Completed"))</f>
        <v/>
      </c>
      <c r="M47" s="52">
        <f>IF(B47="","",IF(_xlfn.MAXIFS('JOBS'!$B$5:$B$1504,'JOBS'!$G$5:$G$1504,A47,'JOBS'!$O$5:$O$1504,"Completed")=0,"",_xlfn.MAXIFS('JOBS'!$B$5:$B$1504,'JOBS'!$G$5:$G$1504,A47,'JOBS'!$O$5:$O$1504,"Completed")))</f>
        <v/>
      </c>
      <c r="N47" s="52">
        <f>IF(B47="","",IF(_xlfn.MINIFS('JOBS'!$B$5:$B$1504,'JOBS'!$G$5:$G$1504,A47,'JOBS'!$O$5:$O$1504,"Scheduled",'JOBS'!$B$5:$B$1504,"&gt;="&amp;AsOf)=0,"",_xlfn.MINIFS('JOBS'!$B$5:$B$1504,'JOBS'!$G$5:$G$1504,A47,'JOBS'!$O$5:$O$1504,"Scheduled",'JOBS'!$B$5:$B$1504,"&gt;="&amp;AsOf)))</f>
        <v/>
      </c>
      <c r="O47" s="52">
        <f>IF(B47="","",IF(N47&lt;&gt;"",N47,IF(M47="",IF(H47="","",H47),IF(E47="Monthly",EDATE(M47,1),M47+IFERROR(INDEX('PRICING'!$C$28:$C$33,MATCH(E47,'PRICING'!$A$28:$A$33,0)),14)))))</f>
        <v/>
      </c>
      <c r="P47" s="101">
        <f>IF(O47="","",O47-AsOf)</f>
        <v/>
      </c>
      <c r="Q47" s="49">
        <f>IF(B47="","",IF(J47&lt;&gt;"Active","—",IF(N47&lt;&gt;"","Booked",IF(O47="","Set start date",IF(O47&lt;AsOf,"Overdue — book now",IF(O47&lt;=AsOf+7,"Due this week — book","Upcoming"))))))</f>
        <v/>
      </c>
      <c r="R47" s="54">
        <f>IF(B47="","",IF(J47="Active",N(F47)*IFERROR(INDEX('PRICING'!$D$28:$D$33,MATCH(E47,'PRICING'!$A$28:$A$33,0)),0),0))</f>
        <v/>
      </c>
      <c r="S47" s="54">
        <f>IF(B47="","",R47*12)</f>
        <v/>
      </c>
      <c r="T47" s="49">
        <f>IF(B47="","",IF(OR(Q47="Overdue — book now",Q47="Due this week — book"),1,0))</f>
        <v/>
      </c>
      <c r="U47" s="49">
        <f>IF(N(T47)&lt;&gt;1,"",COUNTIFS('RECURRING'!$T$5:$T$154,1,'RECURRING'!$O$5:$O$154,"&lt;"&amp;O47)+COUNTIFS($T$5:T47,1,$O$5:O47,O47))</f>
        <v/>
      </c>
    </row>
    <row r="48">
      <c r="A48" s="46" t="inlineStr">
        <is>
          <t>R-044</t>
        </is>
      </c>
      <c r="B48" s="38" t="n"/>
      <c r="C48" s="38" t="n"/>
      <c r="D48" s="38" t="n"/>
      <c r="E48" s="38" t="n"/>
      <c r="F48" s="48" t="n"/>
      <c r="G48" s="38" t="n"/>
      <c r="H48" s="47" t="n"/>
      <c r="I48" s="38" t="n"/>
      <c r="J48" s="38" t="n"/>
      <c r="K48" s="38" t="n"/>
      <c r="L48" s="53">
        <f>IF(B48="","",COUNTIFS('JOBS'!$G$5:$G$1504,A48,'JOBS'!$O$5:$O$1504,"Completed"))</f>
        <v/>
      </c>
      <c r="M48" s="52">
        <f>IF(B48="","",IF(_xlfn.MAXIFS('JOBS'!$B$5:$B$1504,'JOBS'!$G$5:$G$1504,A48,'JOBS'!$O$5:$O$1504,"Completed")=0,"",_xlfn.MAXIFS('JOBS'!$B$5:$B$1504,'JOBS'!$G$5:$G$1504,A48,'JOBS'!$O$5:$O$1504,"Completed")))</f>
        <v/>
      </c>
      <c r="N48" s="52">
        <f>IF(B48="","",IF(_xlfn.MINIFS('JOBS'!$B$5:$B$1504,'JOBS'!$G$5:$G$1504,A48,'JOBS'!$O$5:$O$1504,"Scheduled",'JOBS'!$B$5:$B$1504,"&gt;="&amp;AsOf)=0,"",_xlfn.MINIFS('JOBS'!$B$5:$B$1504,'JOBS'!$G$5:$G$1504,A48,'JOBS'!$O$5:$O$1504,"Scheduled",'JOBS'!$B$5:$B$1504,"&gt;="&amp;AsOf)))</f>
        <v/>
      </c>
      <c r="O48" s="52">
        <f>IF(B48="","",IF(N48&lt;&gt;"",N48,IF(M48="",IF(H48="","",H48),IF(E48="Monthly",EDATE(M48,1),M48+IFERROR(INDEX('PRICING'!$C$28:$C$33,MATCH(E48,'PRICING'!$A$28:$A$33,0)),14)))))</f>
        <v/>
      </c>
      <c r="P48" s="101">
        <f>IF(O48="","",O48-AsOf)</f>
        <v/>
      </c>
      <c r="Q48" s="49">
        <f>IF(B48="","",IF(J48&lt;&gt;"Active","—",IF(N48&lt;&gt;"","Booked",IF(O48="","Set start date",IF(O48&lt;AsOf,"Overdue — book now",IF(O48&lt;=AsOf+7,"Due this week — book","Upcoming"))))))</f>
        <v/>
      </c>
      <c r="R48" s="54">
        <f>IF(B48="","",IF(J48="Active",N(F48)*IFERROR(INDEX('PRICING'!$D$28:$D$33,MATCH(E48,'PRICING'!$A$28:$A$33,0)),0),0))</f>
        <v/>
      </c>
      <c r="S48" s="54">
        <f>IF(B48="","",R48*12)</f>
        <v/>
      </c>
      <c r="T48" s="49">
        <f>IF(B48="","",IF(OR(Q48="Overdue — book now",Q48="Due this week — book"),1,0))</f>
        <v/>
      </c>
      <c r="U48" s="49">
        <f>IF(N(T48)&lt;&gt;1,"",COUNTIFS('RECURRING'!$T$5:$T$154,1,'RECURRING'!$O$5:$O$154,"&lt;"&amp;O48)+COUNTIFS($T$5:T48,1,$O$5:O48,O48))</f>
        <v/>
      </c>
    </row>
    <row r="49">
      <c r="A49" s="46" t="inlineStr">
        <is>
          <t>R-045</t>
        </is>
      </c>
      <c r="B49" s="38" t="n"/>
      <c r="C49" s="38" t="n"/>
      <c r="D49" s="38" t="n"/>
      <c r="E49" s="38" t="n"/>
      <c r="F49" s="48" t="n"/>
      <c r="G49" s="38" t="n"/>
      <c r="H49" s="47" t="n"/>
      <c r="I49" s="38" t="n"/>
      <c r="J49" s="38" t="n"/>
      <c r="K49" s="38" t="n"/>
      <c r="L49" s="53">
        <f>IF(B49="","",COUNTIFS('JOBS'!$G$5:$G$1504,A49,'JOBS'!$O$5:$O$1504,"Completed"))</f>
        <v/>
      </c>
      <c r="M49" s="52">
        <f>IF(B49="","",IF(_xlfn.MAXIFS('JOBS'!$B$5:$B$1504,'JOBS'!$G$5:$G$1504,A49,'JOBS'!$O$5:$O$1504,"Completed")=0,"",_xlfn.MAXIFS('JOBS'!$B$5:$B$1504,'JOBS'!$G$5:$G$1504,A49,'JOBS'!$O$5:$O$1504,"Completed")))</f>
        <v/>
      </c>
      <c r="N49" s="52">
        <f>IF(B49="","",IF(_xlfn.MINIFS('JOBS'!$B$5:$B$1504,'JOBS'!$G$5:$G$1504,A49,'JOBS'!$O$5:$O$1504,"Scheduled",'JOBS'!$B$5:$B$1504,"&gt;="&amp;AsOf)=0,"",_xlfn.MINIFS('JOBS'!$B$5:$B$1504,'JOBS'!$G$5:$G$1504,A49,'JOBS'!$O$5:$O$1504,"Scheduled",'JOBS'!$B$5:$B$1504,"&gt;="&amp;AsOf)))</f>
        <v/>
      </c>
      <c r="O49" s="52">
        <f>IF(B49="","",IF(N49&lt;&gt;"",N49,IF(M49="",IF(H49="","",H49),IF(E49="Monthly",EDATE(M49,1),M49+IFERROR(INDEX('PRICING'!$C$28:$C$33,MATCH(E49,'PRICING'!$A$28:$A$33,0)),14)))))</f>
        <v/>
      </c>
      <c r="P49" s="101">
        <f>IF(O49="","",O49-AsOf)</f>
        <v/>
      </c>
      <c r="Q49" s="49">
        <f>IF(B49="","",IF(J49&lt;&gt;"Active","—",IF(N49&lt;&gt;"","Booked",IF(O49="","Set start date",IF(O49&lt;AsOf,"Overdue — book now",IF(O49&lt;=AsOf+7,"Due this week — book","Upcoming"))))))</f>
        <v/>
      </c>
      <c r="R49" s="54">
        <f>IF(B49="","",IF(J49="Active",N(F49)*IFERROR(INDEX('PRICING'!$D$28:$D$33,MATCH(E49,'PRICING'!$A$28:$A$33,0)),0),0))</f>
        <v/>
      </c>
      <c r="S49" s="54">
        <f>IF(B49="","",R49*12)</f>
        <v/>
      </c>
      <c r="T49" s="49">
        <f>IF(B49="","",IF(OR(Q49="Overdue — book now",Q49="Due this week — book"),1,0))</f>
        <v/>
      </c>
      <c r="U49" s="49">
        <f>IF(N(T49)&lt;&gt;1,"",COUNTIFS('RECURRING'!$T$5:$T$154,1,'RECURRING'!$O$5:$O$154,"&lt;"&amp;O49)+COUNTIFS($T$5:T49,1,$O$5:O49,O49))</f>
        <v/>
      </c>
    </row>
    <row r="50">
      <c r="A50" s="46" t="inlineStr">
        <is>
          <t>R-046</t>
        </is>
      </c>
      <c r="B50" s="38" t="n"/>
      <c r="C50" s="38" t="n"/>
      <c r="D50" s="38" t="n"/>
      <c r="E50" s="38" t="n"/>
      <c r="F50" s="48" t="n"/>
      <c r="G50" s="38" t="n"/>
      <c r="H50" s="47" t="n"/>
      <c r="I50" s="38" t="n"/>
      <c r="J50" s="38" t="n"/>
      <c r="K50" s="38" t="n"/>
      <c r="L50" s="53">
        <f>IF(B50="","",COUNTIFS('JOBS'!$G$5:$G$1504,A50,'JOBS'!$O$5:$O$1504,"Completed"))</f>
        <v/>
      </c>
      <c r="M50" s="52">
        <f>IF(B50="","",IF(_xlfn.MAXIFS('JOBS'!$B$5:$B$1504,'JOBS'!$G$5:$G$1504,A50,'JOBS'!$O$5:$O$1504,"Completed")=0,"",_xlfn.MAXIFS('JOBS'!$B$5:$B$1504,'JOBS'!$G$5:$G$1504,A50,'JOBS'!$O$5:$O$1504,"Completed")))</f>
        <v/>
      </c>
      <c r="N50" s="52">
        <f>IF(B50="","",IF(_xlfn.MINIFS('JOBS'!$B$5:$B$1504,'JOBS'!$G$5:$G$1504,A50,'JOBS'!$O$5:$O$1504,"Scheduled",'JOBS'!$B$5:$B$1504,"&gt;="&amp;AsOf)=0,"",_xlfn.MINIFS('JOBS'!$B$5:$B$1504,'JOBS'!$G$5:$G$1504,A50,'JOBS'!$O$5:$O$1504,"Scheduled",'JOBS'!$B$5:$B$1504,"&gt;="&amp;AsOf)))</f>
        <v/>
      </c>
      <c r="O50" s="52">
        <f>IF(B50="","",IF(N50&lt;&gt;"",N50,IF(M50="",IF(H50="","",H50),IF(E50="Monthly",EDATE(M50,1),M50+IFERROR(INDEX('PRICING'!$C$28:$C$33,MATCH(E50,'PRICING'!$A$28:$A$33,0)),14)))))</f>
        <v/>
      </c>
      <c r="P50" s="101">
        <f>IF(O50="","",O50-AsOf)</f>
        <v/>
      </c>
      <c r="Q50" s="49">
        <f>IF(B50="","",IF(J50&lt;&gt;"Active","—",IF(N50&lt;&gt;"","Booked",IF(O50="","Set start date",IF(O50&lt;AsOf,"Overdue — book now",IF(O50&lt;=AsOf+7,"Due this week — book","Upcoming"))))))</f>
        <v/>
      </c>
      <c r="R50" s="54">
        <f>IF(B50="","",IF(J50="Active",N(F50)*IFERROR(INDEX('PRICING'!$D$28:$D$33,MATCH(E50,'PRICING'!$A$28:$A$33,0)),0),0))</f>
        <v/>
      </c>
      <c r="S50" s="54">
        <f>IF(B50="","",R50*12)</f>
        <v/>
      </c>
      <c r="T50" s="49">
        <f>IF(B50="","",IF(OR(Q50="Overdue — book now",Q50="Due this week — book"),1,0))</f>
        <v/>
      </c>
      <c r="U50" s="49">
        <f>IF(N(T50)&lt;&gt;1,"",COUNTIFS('RECURRING'!$T$5:$T$154,1,'RECURRING'!$O$5:$O$154,"&lt;"&amp;O50)+COUNTIFS($T$5:T50,1,$O$5:O50,O50))</f>
        <v/>
      </c>
    </row>
    <row r="51">
      <c r="A51" s="46" t="inlineStr">
        <is>
          <t>R-047</t>
        </is>
      </c>
      <c r="B51" s="38" t="n"/>
      <c r="C51" s="38" t="n"/>
      <c r="D51" s="38" t="n"/>
      <c r="E51" s="38" t="n"/>
      <c r="F51" s="48" t="n"/>
      <c r="G51" s="38" t="n"/>
      <c r="H51" s="47" t="n"/>
      <c r="I51" s="38" t="n"/>
      <c r="J51" s="38" t="n"/>
      <c r="K51" s="38" t="n"/>
      <c r="L51" s="53">
        <f>IF(B51="","",COUNTIFS('JOBS'!$G$5:$G$1504,A51,'JOBS'!$O$5:$O$1504,"Completed"))</f>
        <v/>
      </c>
      <c r="M51" s="52">
        <f>IF(B51="","",IF(_xlfn.MAXIFS('JOBS'!$B$5:$B$1504,'JOBS'!$G$5:$G$1504,A51,'JOBS'!$O$5:$O$1504,"Completed")=0,"",_xlfn.MAXIFS('JOBS'!$B$5:$B$1504,'JOBS'!$G$5:$G$1504,A51,'JOBS'!$O$5:$O$1504,"Completed")))</f>
        <v/>
      </c>
      <c r="N51" s="52">
        <f>IF(B51="","",IF(_xlfn.MINIFS('JOBS'!$B$5:$B$1504,'JOBS'!$G$5:$G$1504,A51,'JOBS'!$O$5:$O$1504,"Scheduled",'JOBS'!$B$5:$B$1504,"&gt;="&amp;AsOf)=0,"",_xlfn.MINIFS('JOBS'!$B$5:$B$1504,'JOBS'!$G$5:$G$1504,A51,'JOBS'!$O$5:$O$1504,"Scheduled",'JOBS'!$B$5:$B$1504,"&gt;="&amp;AsOf)))</f>
        <v/>
      </c>
      <c r="O51" s="52">
        <f>IF(B51="","",IF(N51&lt;&gt;"",N51,IF(M51="",IF(H51="","",H51),IF(E51="Monthly",EDATE(M51,1),M51+IFERROR(INDEX('PRICING'!$C$28:$C$33,MATCH(E51,'PRICING'!$A$28:$A$33,0)),14)))))</f>
        <v/>
      </c>
      <c r="P51" s="101">
        <f>IF(O51="","",O51-AsOf)</f>
        <v/>
      </c>
      <c r="Q51" s="49">
        <f>IF(B51="","",IF(J51&lt;&gt;"Active","—",IF(N51&lt;&gt;"","Booked",IF(O51="","Set start date",IF(O51&lt;AsOf,"Overdue — book now",IF(O51&lt;=AsOf+7,"Due this week — book","Upcoming"))))))</f>
        <v/>
      </c>
      <c r="R51" s="54">
        <f>IF(B51="","",IF(J51="Active",N(F51)*IFERROR(INDEX('PRICING'!$D$28:$D$33,MATCH(E51,'PRICING'!$A$28:$A$33,0)),0),0))</f>
        <v/>
      </c>
      <c r="S51" s="54">
        <f>IF(B51="","",R51*12)</f>
        <v/>
      </c>
      <c r="T51" s="49">
        <f>IF(B51="","",IF(OR(Q51="Overdue — book now",Q51="Due this week — book"),1,0))</f>
        <v/>
      </c>
      <c r="U51" s="49">
        <f>IF(N(T51)&lt;&gt;1,"",COUNTIFS('RECURRING'!$T$5:$T$154,1,'RECURRING'!$O$5:$O$154,"&lt;"&amp;O51)+COUNTIFS($T$5:T51,1,$O$5:O51,O51))</f>
        <v/>
      </c>
    </row>
    <row r="52">
      <c r="A52" s="46" t="inlineStr">
        <is>
          <t>R-048</t>
        </is>
      </c>
      <c r="B52" s="38" t="n"/>
      <c r="C52" s="38" t="n"/>
      <c r="D52" s="38" t="n"/>
      <c r="E52" s="38" t="n"/>
      <c r="F52" s="48" t="n"/>
      <c r="G52" s="38" t="n"/>
      <c r="H52" s="47" t="n"/>
      <c r="I52" s="38" t="n"/>
      <c r="J52" s="38" t="n"/>
      <c r="K52" s="38" t="n"/>
      <c r="L52" s="53">
        <f>IF(B52="","",COUNTIFS('JOBS'!$G$5:$G$1504,A52,'JOBS'!$O$5:$O$1504,"Completed"))</f>
        <v/>
      </c>
      <c r="M52" s="52">
        <f>IF(B52="","",IF(_xlfn.MAXIFS('JOBS'!$B$5:$B$1504,'JOBS'!$G$5:$G$1504,A52,'JOBS'!$O$5:$O$1504,"Completed")=0,"",_xlfn.MAXIFS('JOBS'!$B$5:$B$1504,'JOBS'!$G$5:$G$1504,A52,'JOBS'!$O$5:$O$1504,"Completed")))</f>
        <v/>
      </c>
      <c r="N52" s="52">
        <f>IF(B52="","",IF(_xlfn.MINIFS('JOBS'!$B$5:$B$1504,'JOBS'!$G$5:$G$1504,A52,'JOBS'!$O$5:$O$1504,"Scheduled",'JOBS'!$B$5:$B$1504,"&gt;="&amp;AsOf)=0,"",_xlfn.MINIFS('JOBS'!$B$5:$B$1504,'JOBS'!$G$5:$G$1504,A52,'JOBS'!$O$5:$O$1504,"Scheduled",'JOBS'!$B$5:$B$1504,"&gt;="&amp;AsOf)))</f>
        <v/>
      </c>
      <c r="O52" s="52">
        <f>IF(B52="","",IF(N52&lt;&gt;"",N52,IF(M52="",IF(H52="","",H52),IF(E52="Monthly",EDATE(M52,1),M52+IFERROR(INDEX('PRICING'!$C$28:$C$33,MATCH(E52,'PRICING'!$A$28:$A$33,0)),14)))))</f>
        <v/>
      </c>
      <c r="P52" s="101">
        <f>IF(O52="","",O52-AsOf)</f>
        <v/>
      </c>
      <c r="Q52" s="49">
        <f>IF(B52="","",IF(J52&lt;&gt;"Active","—",IF(N52&lt;&gt;"","Booked",IF(O52="","Set start date",IF(O52&lt;AsOf,"Overdue — book now",IF(O52&lt;=AsOf+7,"Due this week — book","Upcoming"))))))</f>
        <v/>
      </c>
      <c r="R52" s="54">
        <f>IF(B52="","",IF(J52="Active",N(F52)*IFERROR(INDEX('PRICING'!$D$28:$D$33,MATCH(E52,'PRICING'!$A$28:$A$33,0)),0),0))</f>
        <v/>
      </c>
      <c r="S52" s="54">
        <f>IF(B52="","",R52*12)</f>
        <v/>
      </c>
      <c r="T52" s="49">
        <f>IF(B52="","",IF(OR(Q52="Overdue — book now",Q52="Due this week — book"),1,0))</f>
        <v/>
      </c>
      <c r="U52" s="49">
        <f>IF(N(T52)&lt;&gt;1,"",COUNTIFS('RECURRING'!$T$5:$T$154,1,'RECURRING'!$O$5:$O$154,"&lt;"&amp;O52)+COUNTIFS($T$5:T52,1,$O$5:O52,O52))</f>
        <v/>
      </c>
    </row>
    <row r="53">
      <c r="A53" s="46" t="inlineStr">
        <is>
          <t>R-049</t>
        </is>
      </c>
      <c r="B53" s="38" t="n"/>
      <c r="C53" s="38" t="n"/>
      <c r="D53" s="38" t="n"/>
      <c r="E53" s="38" t="n"/>
      <c r="F53" s="48" t="n"/>
      <c r="G53" s="38" t="n"/>
      <c r="H53" s="47" t="n"/>
      <c r="I53" s="38" t="n"/>
      <c r="J53" s="38" t="n"/>
      <c r="K53" s="38" t="n"/>
      <c r="L53" s="53">
        <f>IF(B53="","",COUNTIFS('JOBS'!$G$5:$G$1504,A53,'JOBS'!$O$5:$O$1504,"Completed"))</f>
        <v/>
      </c>
      <c r="M53" s="52">
        <f>IF(B53="","",IF(_xlfn.MAXIFS('JOBS'!$B$5:$B$1504,'JOBS'!$G$5:$G$1504,A53,'JOBS'!$O$5:$O$1504,"Completed")=0,"",_xlfn.MAXIFS('JOBS'!$B$5:$B$1504,'JOBS'!$G$5:$G$1504,A53,'JOBS'!$O$5:$O$1504,"Completed")))</f>
        <v/>
      </c>
      <c r="N53" s="52">
        <f>IF(B53="","",IF(_xlfn.MINIFS('JOBS'!$B$5:$B$1504,'JOBS'!$G$5:$G$1504,A53,'JOBS'!$O$5:$O$1504,"Scheduled",'JOBS'!$B$5:$B$1504,"&gt;="&amp;AsOf)=0,"",_xlfn.MINIFS('JOBS'!$B$5:$B$1504,'JOBS'!$G$5:$G$1504,A53,'JOBS'!$O$5:$O$1504,"Scheduled",'JOBS'!$B$5:$B$1504,"&gt;="&amp;AsOf)))</f>
        <v/>
      </c>
      <c r="O53" s="52">
        <f>IF(B53="","",IF(N53&lt;&gt;"",N53,IF(M53="",IF(H53="","",H53),IF(E53="Monthly",EDATE(M53,1),M53+IFERROR(INDEX('PRICING'!$C$28:$C$33,MATCH(E53,'PRICING'!$A$28:$A$33,0)),14)))))</f>
        <v/>
      </c>
      <c r="P53" s="101">
        <f>IF(O53="","",O53-AsOf)</f>
        <v/>
      </c>
      <c r="Q53" s="49">
        <f>IF(B53="","",IF(J53&lt;&gt;"Active","—",IF(N53&lt;&gt;"","Booked",IF(O53="","Set start date",IF(O53&lt;AsOf,"Overdue — book now",IF(O53&lt;=AsOf+7,"Due this week — book","Upcoming"))))))</f>
        <v/>
      </c>
      <c r="R53" s="54">
        <f>IF(B53="","",IF(J53="Active",N(F53)*IFERROR(INDEX('PRICING'!$D$28:$D$33,MATCH(E53,'PRICING'!$A$28:$A$33,0)),0),0))</f>
        <v/>
      </c>
      <c r="S53" s="54">
        <f>IF(B53="","",R53*12)</f>
        <v/>
      </c>
      <c r="T53" s="49">
        <f>IF(B53="","",IF(OR(Q53="Overdue — book now",Q53="Due this week — book"),1,0))</f>
        <v/>
      </c>
      <c r="U53" s="49">
        <f>IF(N(T53)&lt;&gt;1,"",COUNTIFS('RECURRING'!$T$5:$T$154,1,'RECURRING'!$O$5:$O$154,"&lt;"&amp;O53)+COUNTIFS($T$5:T53,1,$O$5:O53,O53))</f>
        <v/>
      </c>
    </row>
    <row r="54">
      <c r="A54" s="46" t="inlineStr">
        <is>
          <t>R-050</t>
        </is>
      </c>
      <c r="B54" s="38" t="n"/>
      <c r="C54" s="38" t="n"/>
      <c r="D54" s="38" t="n"/>
      <c r="E54" s="38" t="n"/>
      <c r="F54" s="48" t="n"/>
      <c r="G54" s="38" t="n"/>
      <c r="H54" s="47" t="n"/>
      <c r="I54" s="38" t="n"/>
      <c r="J54" s="38" t="n"/>
      <c r="K54" s="38" t="n"/>
      <c r="L54" s="53">
        <f>IF(B54="","",COUNTIFS('JOBS'!$G$5:$G$1504,A54,'JOBS'!$O$5:$O$1504,"Completed"))</f>
        <v/>
      </c>
      <c r="M54" s="52">
        <f>IF(B54="","",IF(_xlfn.MAXIFS('JOBS'!$B$5:$B$1504,'JOBS'!$G$5:$G$1504,A54,'JOBS'!$O$5:$O$1504,"Completed")=0,"",_xlfn.MAXIFS('JOBS'!$B$5:$B$1504,'JOBS'!$G$5:$G$1504,A54,'JOBS'!$O$5:$O$1504,"Completed")))</f>
        <v/>
      </c>
      <c r="N54" s="52">
        <f>IF(B54="","",IF(_xlfn.MINIFS('JOBS'!$B$5:$B$1504,'JOBS'!$G$5:$G$1504,A54,'JOBS'!$O$5:$O$1504,"Scheduled",'JOBS'!$B$5:$B$1504,"&gt;="&amp;AsOf)=0,"",_xlfn.MINIFS('JOBS'!$B$5:$B$1504,'JOBS'!$G$5:$G$1504,A54,'JOBS'!$O$5:$O$1504,"Scheduled",'JOBS'!$B$5:$B$1504,"&gt;="&amp;AsOf)))</f>
        <v/>
      </c>
      <c r="O54" s="52">
        <f>IF(B54="","",IF(N54&lt;&gt;"",N54,IF(M54="",IF(H54="","",H54),IF(E54="Monthly",EDATE(M54,1),M54+IFERROR(INDEX('PRICING'!$C$28:$C$33,MATCH(E54,'PRICING'!$A$28:$A$33,0)),14)))))</f>
        <v/>
      </c>
      <c r="P54" s="101">
        <f>IF(O54="","",O54-AsOf)</f>
        <v/>
      </c>
      <c r="Q54" s="49">
        <f>IF(B54="","",IF(J54&lt;&gt;"Active","—",IF(N54&lt;&gt;"","Booked",IF(O54="","Set start date",IF(O54&lt;AsOf,"Overdue — book now",IF(O54&lt;=AsOf+7,"Due this week — book","Upcoming"))))))</f>
        <v/>
      </c>
      <c r="R54" s="54">
        <f>IF(B54="","",IF(J54="Active",N(F54)*IFERROR(INDEX('PRICING'!$D$28:$D$33,MATCH(E54,'PRICING'!$A$28:$A$33,0)),0),0))</f>
        <v/>
      </c>
      <c r="S54" s="54">
        <f>IF(B54="","",R54*12)</f>
        <v/>
      </c>
      <c r="T54" s="49">
        <f>IF(B54="","",IF(OR(Q54="Overdue — book now",Q54="Due this week — book"),1,0))</f>
        <v/>
      </c>
      <c r="U54" s="49">
        <f>IF(N(T54)&lt;&gt;1,"",COUNTIFS('RECURRING'!$T$5:$T$154,1,'RECURRING'!$O$5:$O$154,"&lt;"&amp;O54)+COUNTIFS($T$5:T54,1,$O$5:O54,O54))</f>
        <v/>
      </c>
    </row>
    <row r="55">
      <c r="A55" s="46" t="inlineStr">
        <is>
          <t>R-051</t>
        </is>
      </c>
      <c r="B55" s="38" t="n"/>
      <c r="C55" s="38" t="n"/>
      <c r="D55" s="38" t="n"/>
      <c r="E55" s="38" t="n"/>
      <c r="F55" s="48" t="n"/>
      <c r="G55" s="38" t="n"/>
      <c r="H55" s="47" t="n"/>
      <c r="I55" s="38" t="n"/>
      <c r="J55" s="38" t="n"/>
      <c r="K55" s="38" t="n"/>
      <c r="L55" s="53">
        <f>IF(B55="","",COUNTIFS('JOBS'!$G$5:$G$1504,A55,'JOBS'!$O$5:$O$1504,"Completed"))</f>
        <v/>
      </c>
      <c r="M55" s="52">
        <f>IF(B55="","",IF(_xlfn.MAXIFS('JOBS'!$B$5:$B$1504,'JOBS'!$G$5:$G$1504,A55,'JOBS'!$O$5:$O$1504,"Completed")=0,"",_xlfn.MAXIFS('JOBS'!$B$5:$B$1504,'JOBS'!$G$5:$G$1504,A55,'JOBS'!$O$5:$O$1504,"Completed")))</f>
        <v/>
      </c>
      <c r="N55" s="52">
        <f>IF(B55="","",IF(_xlfn.MINIFS('JOBS'!$B$5:$B$1504,'JOBS'!$G$5:$G$1504,A55,'JOBS'!$O$5:$O$1504,"Scheduled",'JOBS'!$B$5:$B$1504,"&gt;="&amp;AsOf)=0,"",_xlfn.MINIFS('JOBS'!$B$5:$B$1504,'JOBS'!$G$5:$G$1504,A55,'JOBS'!$O$5:$O$1504,"Scheduled",'JOBS'!$B$5:$B$1504,"&gt;="&amp;AsOf)))</f>
        <v/>
      </c>
      <c r="O55" s="52">
        <f>IF(B55="","",IF(N55&lt;&gt;"",N55,IF(M55="",IF(H55="","",H55),IF(E55="Monthly",EDATE(M55,1),M55+IFERROR(INDEX('PRICING'!$C$28:$C$33,MATCH(E55,'PRICING'!$A$28:$A$33,0)),14)))))</f>
        <v/>
      </c>
      <c r="P55" s="101">
        <f>IF(O55="","",O55-AsOf)</f>
        <v/>
      </c>
      <c r="Q55" s="49">
        <f>IF(B55="","",IF(J55&lt;&gt;"Active","—",IF(N55&lt;&gt;"","Booked",IF(O55="","Set start date",IF(O55&lt;AsOf,"Overdue — book now",IF(O55&lt;=AsOf+7,"Due this week — book","Upcoming"))))))</f>
        <v/>
      </c>
      <c r="R55" s="54">
        <f>IF(B55="","",IF(J55="Active",N(F55)*IFERROR(INDEX('PRICING'!$D$28:$D$33,MATCH(E55,'PRICING'!$A$28:$A$33,0)),0),0))</f>
        <v/>
      </c>
      <c r="S55" s="54">
        <f>IF(B55="","",R55*12)</f>
        <v/>
      </c>
      <c r="T55" s="49">
        <f>IF(B55="","",IF(OR(Q55="Overdue — book now",Q55="Due this week — book"),1,0))</f>
        <v/>
      </c>
      <c r="U55" s="49">
        <f>IF(N(T55)&lt;&gt;1,"",COUNTIFS('RECURRING'!$T$5:$T$154,1,'RECURRING'!$O$5:$O$154,"&lt;"&amp;O55)+COUNTIFS($T$5:T55,1,$O$5:O55,O55))</f>
        <v/>
      </c>
    </row>
    <row r="56">
      <c r="A56" s="46" t="inlineStr">
        <is>
          <t>R-052</t>
        </is>
      </c>
      <c r="B56" s="38" t="n"/>
      <c r="C56" s="38" t="n"/>
      <c r="D56" s="38" t="n"/>
      <c r="E56" s="38" t="n"/>
      <c r="F56" s="48" t="n"/>
      <c r="G56" s="38" t="n"/>
      <c r="H56" s="47" t="n"/>
      <c r="I56" s="38" t="n"/>
      <c r="J56" s="38" t="n"/>
      <c r="K56" s="38" t="n"/>
      <c r="L56" s="53">
        <f>IF(B56="","",COUNTIFS('JOBS'!$G$5:$G$1504,A56,'JOBS'!$O$5:$O$1504,"Completed"))</f>
        <v/>
      </c>
      <c r="M56" s="52">
        <f>IF(B56="","",IF(_xlfn.MAXIFS('JOBS'!$B$5:$B$1504,'JOBS'!$G$5:$G$1504,A56,'JOBS'!$O$5:$O$1504,"Completed")=0,"",_xlfn.MAXIFS('JOBS'!$B$5:$B$1504,'JOBS'!$G$5:$G$1504,A56,'JOBS'!$O$5:$O$1504,"Completed")))</f>
        <v/>
      </c>
      <c r="N56" s="52">
        <f>IF(B56="","",IF(_xlfn.MINIFS('JOBS'!$B$5:$B$1504,'JOBS'!$G$5:$G$1504,A56,'JOBS'!$O$5:$O$1504,"Scheduled",'JOBS'!$B$5:$B$1504,"&gt;="&amp;AsOf)=0,"",_xlfn.MINIFS('JOBS'!$B$5:$B$1504,'JOBS'!$G$5:$G$1504,A56,'JOBS'!$O$5:$O$1504,"Scheduled",'JOBS'!$B$5:$B$1504,"&gt;="&amp;AsOf)))</f>
        <v/>
      </c>
      <c r="O56" s="52">
        <f>IF(B56="","",IF(N56&lt;&gt;"",N56,IF(M56="",IF(H56="","",H56),IF(E56="Monthly",EDATE(M56,1),M56+IFERROR(INDEX('PRICING'!$C$28:$C$33,MATCH(E56,'PRICING'!$A$28:$A$33,0)),14)))))</f>
        <v/>
      </c>
      <c r="P56" s="101">
        <f>IF(O56="","",O56-AsOf)</f>
        <v/>
      </c>
      <c r="Q56" s="49">
        <f>IF(B56="","",IF(J56&lt;&gt;"Active","—",IF(N56&lt;&gt;"","Booked",IF(O56="","Set start date",IF(O56&lt;AsOf,"Overdue — book now",IF(O56&lt;=AsOf+7,"Due this week — book","Upcoming"))))))</f>
        <v/>
      </c>
      <c r="R56" s="54">
        <f>IF(B56="","",IF(J56="Active",N(F56)*IFERROR(INDEX('PRICING'!$D$28:$D$33,MATCH(E56,'PRICING'!$A$28:$A$33,0)),0),0))</f>
        <v/>
      </c>
      <c r="S56" s="54">
        <f>IF(B56="","",R56*12)</f>
        <v/>
      </c>
      <c r="T56" s="49">
        <f>IF(B56="","",IF(OR(Q56="Overdue — book now",Q56="Due this week — book"),1,0))</f>
        <v/>
      </c>
      <c r="U56" s="49">
        <f>IF(N(T56)&lt;&gt;1,"",COUNTIFS('RECURRING'!$T$5:$T$154,1,'RECURRING'!$O$5:$O$154,"&lt;"&amp;O56)+COUNTIFS($T$5:T56,1,$O$5:O56,O56))</f>
        <v/>
      </c>
    </row>
    <row r="57">
      <c r="A57" s="46" t="inlineStr">
        <is>
          <t>R-053</t>
        </is>
      </c>
      <c r="B57" s="38" t="n"/>
      <c r="C57" s="38" t="n"/>
      <c r="D57" s="38" t="n"/>
      <c r="E57" s="38" t="n"/>
      <c r="F57" s="48" t="n"/>
      <c r="G57" s="38" t="n"/>
      <c r="H57" s="47" t="n"/>
      <c r="I57" s="38" t="n"/>
      <c r="J57" s="38" t="n"/>
      <c r="K57" s="38" t="n"/>
      <c r="L57" s="53">
        <f>IF(B57="","",COUNTIFS('JOBS'!$G$5:$G$1504,A57,'JOBS'!$O$5:$O$1504,"Completed"))</f>
        <v/>
      </c>
      <c r="M57" s="52">
        <f>IF(B57="","",IF(_xlfn.MAXIFS('JOBS'!$B$5:$B$1504,'JOBS'!$G$5:$G$1504,A57,'JOBS'!$O$5:$O$1504,"Completed")=0,"",_xlfn.MAXIFS('JOBS'!$B$5:$B$1504,'JOBS'!$G$5:$G$1504,A57,'JOBS'!$O$5:$O$1504,"Completed")))</f>
        <v/>
      </c>
      <c r="N57" s="52">
        <f>IF(B57="","",IF(_xlfn.MINIFS('JOBS'!$B$5:$B$1504,'JOBS'!$G$5:$G$1504,A57,'JOBS'!$O$5:$O$1504,"Scheduled",'JOBS'!$B$5:$B$1504,"&gt;="&amp;AsOf)=0,"",_xlfn.MINIFS('JOBS'!$B$5:$B$1504,'JOBS'!$G$5:$G$1504,A57,'JOBS'!$O$5:$O$1504,"Scheduled",'JOBS'!$B$5:$B$1504,"&gt;="&amp;AsOf)))</f>
        <v/>
      </c>
      <c r="O57" s="52">
        <f>IF(B57="","",IF(N57&lt;&gt;"",N57,IF(M57="",IF(H57="","",H57),IF(E57="Monthly",EDATE(M57,1),M57+IFERROR(INDEX('PRICING'!$C$28:$C$33,MATCH(E57,'PRICING'!$A$28:$A$33,0)),14)))))</f>
        <v/>
      </c>
      <c r="P57" s="101">
        <f>IF(O57="","",O57-AsOf)</f>
        <v/>
      </c>
      <c r="Q57" s="49">
        <f>IF(B57="","",IF(J57&lt;&gt;"Active","—",IF(N57&lt;&gt;"","Booked",IF(O57="","Set start date",IF(O57&lt;AsOf,"Overdue — book now",IF(O57&lt;=AsOf+7,"Due this week — book","Upcoming"))))))</f>
        <v/>
      </c>
      <c r="R57" s="54">
        <f>IF(B57="","",IF(J57="Active",N(F57)*IFERROR(INDEX('PRICING'!$D$28:$D$33,MATCH(E57,'PRICING'!$A$28:$A$33,0)),0),0))</f>
        <v/>
      </c>
      <c r="S57" s="54">
        <f>IF(B57="","",R57*12)</f>
        <v/>
      </c>
      <c r="T57" s="49">
        <f>IF(B57="","",IF(OR(Q57="Overdue — book now",Q57="Due this week — book"),1,0))</f>
        <v/>
      </c>
      <c r="U57" s="49">
        <f>IF(N(T57)&lt;&gt;1,"",COUNTIFS('RECURRING'!$T$5:$T$154,1,'RECURRING'!$O$5:$O$154,"&lt;"&amp;O57)+COUNTIFS($T$5:T57,1,$O$5:O57,O57))</f>
        <v/>
      </c>
    </row>
    <row r="58">
      <c r="A58" s="46" t="inlineStr">
        <is>
          <t>R-054</t>
        </is>
      </c>
      <c r="B58" s="38" t="n"/>
      <c r="C58" s="38" t="n"/>
      <c r="D58" s="38" t="n"/>
      <c r="E58" s="38" t="n"/>
      <c r="F58" s="48" t="n"/>
      <c r="G58" s="38" t="n"/>
      <c r="H58" s="47" t="n"/>
      <c r="I58" s="38" t="n"/>
      <c r="J58" s="38" t="n"/>
      <c r="K58" s="38" t="n"/>
      <c r="L58" s="53">
        <f>IF(B58="","",COUNTIFS('JOBS'!$G$5:$G$1504,A58,'JOBS'!$O$5:$O$1504,"Completed"))</f>
        <v/>
      </c>
      <c r="M58" s="52">
        <f>IF(B58="","",IF(_xlfn.MAXIFS('JOBS'!$B$5:$B$1504,'JOBS'!$G$5:$G$1504,A58,'JOBS'!$O$5:$O$1504,"Completed")=0,"",_xlfn.MAXIFS('JOBS'!$B$5:$B$1504,'JOBS'!$G$5:$G$1504,A58,'JOBS'!$O$5:$O$1504,"Completed")))</f>
        <v/>
      </c>
      <c r="N58" s="52">
        <f>IF(B58="","",IF(_xlfn.MINIFS('JOBS'!$B$5:$B$1504,'JOBS'!$G$5:$G$1504,A58,'JOBS'!$O$5:$O$1504,"Scheduled",'JOBS'!$B$5:$B$1504,"&gt;="&amp;AsOf)=0,"",_xlfn.MINIFS('JOBS'!$B$5:$B$1504,'JOBS'!$G$5:$G$1504,A58,'JOBS'!$O$5:$O$1504,"Scheduled",'JOBS'!$B$5:$B$1504,"&gt;="&amp;AsOf)))</f>
        <v/>
      </c>
      <c r="O58" s="52">
        <f>IF(B58="","",IF(N58&lt;&gt;"",N58,IF(M58="",IF(H58="","",H58),IF(E58="Monthly",EDATE(M58,1),M58+IFERROR(INDEX('PRICING'!$C$28:$C$33,MATCH(E58,'PRICING'!$A$28:$A$33,0)),14)))))</f>
        <v/>
      </c>
      <c r="P58" s="101">
        <f>IF(O58="","",O58-AsOf)</f>
        <v/>
      </c>
      <c r="Q58" s="49">
        <f>IF(B58="","",IF(J58&lt;&gt;"Active","—",IF(N58&lt;&gt;"","Booked",IF(O58="","Set start date",IF(O58&lt;AsOf,"Overdue — book now",IF(O58&lt;=AsOf+7,"Due this week — book","Upcoming"))))))</f>
        <v/>
      </c>
      <c r="R58" s="54">
        <f>IF(B58="","",IF(J58="Active",N(F58)*IFERROR(INDEX('PRICING'!$D$28:$D$33,MATCH(E58,'PRICING'!$A$28:$A$33,0)),0),0))</f>
        <v/>
      </c>
      <c r="S58" s="54">
        <f>IF(B58="","",R58*12)</f>
        <v/>
      </c>
      <c r="T58" s="49">
        <f>IF(B58="","",IF(OR(Q58="Overdue — book now",Q58="Due this week — book"),1,0))</f>
        <v/>
      </c>
      <c r="U58" s="49">
        <f>IF(N(T58)&lt;&gt;1,"",COUNTIFS('RECURRING'!$T$5:$T$154,1,'RECURRING'!$O$5:$O$154,"&lt;"&amp;O58)+COUNTIFS($T$5:T58,1,$O$5:O58,O58))</f>
        <v/>
      </c>
    </row>
    <row r="59">
      <c r="A59" s="46" t="inlineStr">
        <is>
          <t>R-055</t>
        </is>
      </c>
      <c r="B59" s="38" t="n"/>
      <c r="C59" s="38" t="n"/>
      <c r="D59" s="38" t="n"/>
      <c r="E59" s="38" t="n"/>
      <c r="F59" s="48" t="n"/>
      <c r="G59" s="38" t="n"/>
      <c r="H59" s="47" t="n"/>
      <c r="I59" s="38" t="n"/>
      <c r="J59" s="38" t="n"/>
      <c r="K59" s="38" t="n"/>
      <c r="L59" s="53">
        <f>IF(B59="","",COUNTIFS('JOBS'!$G$5:$G$1504,A59,'JOBS'!$O$5:$O$1504,"Completed"))</f>
        <v/>
      </c>
      <c r="M59" s="52">
        <f>IF(B59="","",IF(_xlfn.MAXIFS('JOBS'!$B$5:$B$1504,'JOBS'!$G$5:$G$1504,A59,'JOBS'!$O$5:$O$1504,"Completed")=0,"",_xlfn.MAXIFS('JOBS'!$B$5:$B$1504,'JOBS'!$G$5:$G$1504,A59,'JOBS'!$O$5:$O$1504,"Completed")))</f>
        <v/>
      </c>
      <c r="N59" s="52">
        <f>IF(B59="","",IF(_xlfn.MINIFS('JOBS'!$B$5:$B$1504,'JOBS'!$G$5:$G$1504,A59,'JOBS'!$O$5:$O$1504,"Scheduled",'JOBS'!$B$5:$B$1504,"&gt;="&amp;AsOf)=0,"",_xlfn.MINIFS('JOBS'!$B$5:$B$1504,'JOBS'!$G$5:$G$1504,A59,'JOBS'!$O$5:$O$1504,"Scheduled",'JOBS'!$B$5:$B$1504,"&gt;="&amp;AsOf)))</f>
        <v/>
      </c>
      <c r="O59" s="52">
        <f>IF(B59="","",IF(N59&lt;&gt;"",N59,IF(M59="",IF(H59="","",H59),IF(E59="Monthly",EDATE(M59,1),M59+IFERROR(INDEX('PRICING'!$C$28:$C$33,MATCH(E59,'PRICING'!$A$28:$A$33,0)),14)))))</f>
        <v/>
      </c>
      <c r="P59" s="101">
        <f>IF(O59="","",O59-AsOf)</f>
        <v/>
      </c>
      <c r="Q59" s="49">
        <f>IF(B59="","",IF(J59&lt;&gt;"Active","—",IF(N59&lt;&gt;"","Booked",IF(O59="","Set start date",IF(O59&lt;AsOf,"Overdue — book now",IF(O59&lt;=AsOf+7,"Due this week — book","Upcoming"))))))</f>
        <v/>
      </c>
      <c r="R59" s="54">
        <f>IF(B59="","",IF(J59="Active",N(F59)*IFERROR(INDEX('PRICING'!$D$28:$D$33,MATCH(E59,'PRICING'!$A$28:$A$33,0)),0),0))</f>
        <v/>
      </c>
      <c r="S59" s="54">
        <f>IF(B59="","",R59*12)</f>
        <v/>
      </c>
      <c r="T59" s="49">
        <f>IF(B59="","",IF(OR(Q59="Overdue — book now",Q59="Due this week — book"),1,0))</f>
        <v/>
      </c>
      <c r="U59" s="49">
        <f>IF(N(T59)&lt;&gt;1,"",COUNTIFS('RECURRING'!$T$5:$T$154,1,'RECURRING'!$O$5:$O$154,"&lt;"&amp;O59)+COUNTIFS($T$5:T59,1,$O$5:O59,O59))</f>
        <v/>
      </c>
    </row>
    <row r="60">
      <c r="A60" s="46" t="inlineStr">
        <is>
          <t>R-056</t>
        </is>
      </c>
      <c r="B60" s="38" t="n"/>
      <c r="C60" s="38" t="n"/>
      <c r="D60" s="38" t="n"/>
      <c r="E60" s="38" t="n"/>
      <c r="F60" s="48" t="n"/>
      <c r="G60" s="38" t="n"/>
      <c r="H60" s="47" t="n"/>
      <c r="I60" s="38" t="n"/>
      <c r="J60" s="38" t="n"/>
      <c r="K60" s="38" t="n"/>
      <c r="L60" s="53">
        <f>IF(B60="","",COUNTIFS('JOBS'!$G$5:$G$1504,A60,'JOBS'!$O$5:$O$1504,"Completed"))</f>
        <v/>
      </c>
      <c r="M60" s="52">
        <f>IF(B60="","",IF(_xlfn.MAXIFS('JOBS'!$B$5:$B$1504,'JOBS'!$G$5:$G$1504,A60,'JOBS'!$O$5:$O$1504,"Completed")=0,"",_xlfn.MAXIFS('JOBS'!$B$5:$B$1504,'JOBS'!$G$5:$G$1504,A60,'JOBS'!$O$5:$O$1504,"Completed")))</f>
        <v/>
      </c>
      <c r="N60" s="52">
        <f>IF(B60="","",IF(_xlfn.MINIFS('JOBS'!$B$5:$B$1504,'JOBS'!$G$5:$G$1504,A60,'JOBS'!$O$5:$O$1504,"Scheduled",'JOBS'!$B$5:$B$1504,"&gt;="&amp;AsOf)=0,"",_xlfn.MINIFS('JOBS'!$B$5:$B$1504,'JOBS'!$G$5:$G$1504,A60,'JOBS'!$O$5:$O$1504,"Scheduled",'JOBS'!$B$5:$B$1504,"&gt;="&amp;AsOf)))</f>
        <v/>
      </c>
      <c r="O60" s="52">
        <f>IF(B60="","",IF(N60&lt;&gt;"",N60,IF(M60="",IF(H60="","",H60),IF(E60="Monthly",EDATE(M60,1),M60+IFERROR(INDEX('PRICING'!$C$28:$C$33,MATCH(E60,'PRICING'!$A$28:$A$33,0)),14)))))</f>
        <v/>
      </c>
      <c r="P60" s="101">
        <f>IF(O60="","",O60-AsOf)</f>
        <v/>
      </c>
      <c r="Q60" s="49">
        <f>IF(B60="","",IF(J60&lt;&gt;"Active","—",IF(N60&lt;&gt;"","Booked",IF(O60="","Set start date",IF(O60&lt;AsOf,"Overdue — book now",IF(O60&lt;=AsOf+7,"Due this week — book","Upcoming"))))))</f>
        <v/>
      </c>
      <c r="R60" s="54">
        <f>IF(B60="","",IF(J60="Active",N(F60)*IFERROR(INDEX('PRICING'!$D$28:$D$33,MATCH(E60,'PRICING'!$A$28:$A$33,0)),0),0))</f>
        <v/>
      </c>
      <c r="S60" s="54">
        <f>IF(B60="","",R60*12)</f>
        <v/>
      </c>
      <c r="T60" s="49">
        <f>IF(B60="","",IF(OR(Q60="Overdue — book now",Q60="Due this week — book"),1,0))</f>
        <v/>
      </c>
      <c r="U60" s="49">
        <f>IF(N(T60)&lt;&gt;1,"",COUNTIFS('RECURRING'!$T$5:$T$154,1,'RECURRING'!$O$5:$O$154,"&lt;"&amp;O60)+COUNTIFS($T$5:T60,1,$O$5:O60,O60))</f>
        <v/>
      </c>
    </row>
    <row r="61">
      <c r="A61" s="46" t="inlineStr">
        <is>
          <t>R-057</t>
        </is>
      </c>
      <c r="B61" s="38" t="n"/>
      <c r="C61" s="38" t="n"/>
      <c r="D61" s="38" t="n"/>
      <c r="E61" s="38" t="n"/>
      <c r="F61" s="48" t="n"/>
      <c r="G61" s="38" t="n"/>
      <c r="H61" s="47" t="n"/>
      <c r="I61" s="38" t="n"/>
      <c r="J61" s="38" t="n"/>
      <c r="K61" s="38" t="n"/>
      <c r="L61" s="53">
        <f>IF(B61="","",COUNTIFS('JOBS'!$G$5:$G$1504,A61,'JOBS'!$O$5:$O$1504,"Completed"))</f>
        <v/>
      </c>
      <c r="M61" s="52">
        <f>IF(B61="","",IF(_xlfn.MAXIFS('JOBS'!$B$5:$B$1504,'JOBS'!$G$5:$G$1504,A61,'JOBS'!$O$5:$O$1504,"Completed")=0,"",_xlfn.MAXIFS('JOBS'!$B$5:$B$1504,'JOBS'!$G$5:$G$1504,A61,'JOBS'!$O$5:$O$1504,"Completed")))</f>
        <v/>
      </c>
      <c r="N61" s="52">
        <f>IF(B61="","",IF(_xlfn.MINIFS('JOBS'!$B$5:$B$1504,'JOBS'!$G$5:$G$1504,A61,'JOBS'!$O$5:$O$1504,"Scheduled",'JOBS'!$B$5:$B$1504,"&gt;="&amp;AsOf)=0,"",_xlfn.MINIFS('JOBS'!$B$5:$B$1504,'JOBS'!$G$5:$G$1504,A61,'JOBS'!$O$5:$O$1504,"Scheduled",'JOBS'!$B$5:$B$1504,"&gt;="&amp;AsOf)))</f>
        <v/>
      </c>
      <c r="O61" s="52">
        <f>IF(B61="","",IF(N61&lt;&gt;"",N61,IF(M61="",IF(H61="","",H61),IF(E61="Monthly",EDATE(M61,1),M61+IFERROR(INDEX('PRICING'!$C$28:$C$33,MATCH(E61,'PRICING'!$A$28:$A$33,0)),14)))))</f>
        <v/>
      </c>
      <c r="P61" s="101">
        <f>IF(O61="","",O61-AsOf)</f>
        <v/>
      </c>
      <c r="Q61" s="49">
        <f>IF(B61="","",IF(J61&lt;&gt;"Active","—",IF(N61&lt;&gt;"","Booked",IF(O61="","Set start date",IF(O61&lt;AsOf,"Overdue — book now",IF(O61&lt;=AsOf+7,"Due this week — book","Upcoming"))))))</f>
        <v/>
      </c>
      <c r="R61" s="54">
        <f>IF(B61="","",IF(J61="Active",N(F61)*IFERROR(INDEX('PRICING'!$D$28:$D$33,MATCH(E61,'PRICING'!$A$28:$A$33,0)),0),0))</f>
        <v/>
      </c>
      <c r="S61" s="54">
        <f>IF(B61="","",R61*12)</f>
        <v/>
      </c>
      <c r="T61" s="49">
        <f>IF(B61="","",IF(OR(Q61="Overdue — book now",Q61="Due this week — book"),1,0))</f>
        <v/>
      </c>
      <c r="U61" s="49">
        <f>IF(N(T61)&lt;&gt;1,"",COUNTIFS('RECURRING'!$T$5:$T$154,1,'RECURRING'!$O$5:$O$154,"&lt;"&amp;O61)+COUNTIFS($T$5:T61,1,$O$5:O61,O61))</f>
        <v/>
      </c>
    </row>
    <row r="62">
      <c r="A62" s="46" t="inlineStr">
        <is>
          <t>R-058</t>
        </is>
      </c>
      <c r="B62" s="38" t="n"/>
      <c r="C62" s="38" t="n"/>
      <c r="D62" s="38" t="n"/>
      <c r="E62" s="38" t="n"/>
      <c r="F62" s="48" t="n"/>
      <c r="G62" s="38" t="n"/>
      <c r="H62" s="47" t="n"/>
      <c r="I62" s="38" t="n"/>
      <c r="J62" s="38" t="n"/>
      <c r="K62" s="38" t="n"/>
      <c r="L62" s="53">
        <f>IF(B62="","",COUNTIFS('JOBS'!$G$5:$G$1504,A62,'JOBS'!$O$5:$O$1504,"Completed"))</f>
        <v/>
      </c>
      <c r="M62" s="52">
        <f>IF(B62="","",IF(_xlfn.MAXIFS('JOBS'!$B$5:$B$1504,'JOBS'!$G$5:$G$1504,A62,'JOBS'!$O$5:$O$1504,"Completed")=0,"",_xlfn.MAXIFS('JOBS'!$B$5:$B$1504,'JOBS'!$G$5:$G$1504,A62,'JOBS'!$O$5:$O$1504,"Completed")))</f>
        <v/>
      </c>
      <c r="N62" s="52">
        <f>IF(B62="","",IF(_xlfn.MINIFS('JOBS'!$B$5:$B$1504,'JOBS'!$G$5:$G$1504,A62,'JOBS'!$O$5:$O$1504,"Scheduled",'JOBS'!$B$5:$B$1504,"&gt;="&amp;AsOf)=0,"",_xlfn.MINIFS('JOBS'!$B$5:$B$1504,'JOBS'!$G$5:$G$1504,A62,'JOBS'!$O$5:$O$1504,"Scheduled",'JOBS'!$B$5:$B$1504,"&gt;="&amp;AsOf)))</f>
        <v/>
      </c>
      <c r="O62" s="52">
        <f>IF(B62="","",IF(N62&lt;&gt;"",N62,IF(M62="",IF(H62="","",H62),IF(E62="Monthly",EDATE(M62,1),M62+IFERROR(INDEX('PRICING'!$C$28:$C$33,MATCH(E62,'PRICING'!$A$28:$A$33,0)),14)))))</f>
        <v/>
      </c>
      <c r="P62" s="101">
        <f>IF(O62="","",O62-AsOf)</f>
        <v/>
      </c>
      <c r="Q62" s="49">
        <f>IF(B62="","",IF(J62&lt;&gt;"Active","—",IF(N62&lt;&gt;"","Booked",IF(O62="","Set start date",IF(O62&lt;AsOf,"Overdue — book now",IF(O62&lt;=AsOf+7,"Due this week — book","Upcoming"))))))</f>
        <v/>
      </c>
      <c r="R62" s="54">
        <f>IF(B62="","",IF(J62="Active",N(F62)*IFERROR(INDEX('PRICING'!$D$28:$D$33,MATCH(E62,'PRICING'!$A$28:$A$33,0)),0),0))</f>
        <v/>
      </c>
      <c r="S62" s="54">
        <f>IF(B62="","",R62*12)</f>
        <v/>
      </c>
      <c r="T62" s="49">
        <f>IF(B62="","",IF(OR(Q62="Overdue — book now",Q62="Due this week — book"),1,0))</f>
        <v/>
      </c>
      <c r="U62" s="49">
        <f>IF(N(T62)&lt;&gt;1,"",COUNTIFS('RECURRING'!$T$5:$T$154,1,'RECURRING'!$O$5:$O$154,"&lt;"&amp;O62)+COUNTIFS($T$5:T62,1,$O$5:O62,O62))</f>
        <v/>
      </c>
    </row>
    <row r="63">
      <c r="A63" s="46" t="inlineStr">
        <is>
          <t>R-059</t>
        </is>
      </c>
      <c r="B63" s="38" t="n"/>
      <c r="C63" s="38" t="n"/>
      <c r="D63" s="38" t="n"/>
      <c r="E63" s="38" t="n"/>
      <c r="F63" s="48" t="n"/>
      <c r="G63" s="38" t="n"/>
      <c r="H63" s="47" t="n"/>
      <c r="I63" s="38" t="n"/>
      <c r="J63" s="38" t="n"/>
      <c r="K63" s="38" t="n"/>
      <c r="L63" s="53">
        <f>IF(B63="","",COUNTIFS('JOBS'!$G$5:$G$1504,A63,'JOBS'!$O$5:$O$1504,"Completed"))</f>
        <v/>
      </c>
      <c r="M63" s="52">
        <f>IF(B63="","",IF(_xlfn.MAXIFS('JOBS'!$B$5:$B$1504,'JOBS'!$G$5:$G$1504,A63,'JOBS'!$O$5:$O$1504,"Completed")=0,"",_xlfn.MAXIFS('JOBS'!$B$5:$B$1504,'JOBS'!$G$5:$G$1504,A63,'JOBS'!$O$5:$O$1504,"Completed")))</f>
        <v/>
      </c>
      <c r="N63" s="52">
        <f>IF(B63="","",IF(_xlfn.MINIFS('JOBS'!$B$5:$B$1504,'JOBS'!$G$5:$G$1504,A63,'JOBS'!$O$5:$O$1504,"Scheduled",'JOBS'!$B$5:$B$1504,"&gt;="&amp;AsOf)=0,"",_xlfn.MINIFS('JOBS'!$B$5:$B$1504,'JOBS'!$G$5:$G$1504,A63,'JOBS'!$O$5:$O$1504,"Scheduled",'JOBS'!$B$5:$B$1504,"&gt;="&amp;AsOf)))</f>
        <v/>
      </c>
      <c r="O63" s="52">
        <f>IF(B63="","",IF(N63&lt;&gt;"",N63,IF(M63="",IF(H63="","",H63),IF(E63="Monthly",EDATE(M63,1),M63+IFERROR(INDEX('PRICING'!$C$28:$C$33,MATCH(E63,'PRICING'!$A$28:$A$33,0)),14)))))</f>
        <v/>
      </c>
      <c r="P63" s="101">
        <f>IF(O63="","",O63-AsOf)</f>
        <v/>
      </c>
      <c r="Q63" s="49">
        <f>IF(B63="","",IF(J63&lt;&gt;"Active","—",IF(N63&lt;&gt;"","Booked",IF(O63="","Set start date",IF(O63&lt;AsOf,"Overdue — book now",IF(O63&lt;=AsOf+7,"Due this week — book","Upcoming"))))))</f>
        <v/>
      </c>
      <c r="R63" s="54">
        <f>IF(B63="","",IF(J63="Active",N(F63)*IFERROR(INDEX('PRICING'!$D$28:$D$33,MATCH(E63,'PRICING'!$A$28:$A$33,0)),0),0))</f>
        <v/>
      </c>
      <c r="S63" s="54">
        <f>IF(B63="","",R63*12)</f>
        <v/>
      </c>
      <c r="T63" s="49">
        <f>IF(B63="","",IF(OR(Q63="Overdue — book now",Q63="Due this week — book"),1,0))</f>
        <v/>
      </c>
      <c r="U63" s="49">
        <f>IF(N(T63)&lt;&gt;1,"",COUNTIFS('RECURRING'!$T$5:$T$154,1,'RECURRING'!$O$5:$O$154,"&lt;"&amp;O63)+COUNTIFS($T$5:T63,1,$O$5:O63,O63))</f>
        <v/>
      </c>
    </row>
    <row r="64">
      <c r="A64" s="46" t="inlineStr">
        <is>
          <t>R-060</t>
        </is>
      </c>
      <c r="B64" s="38" t="n"/>
      <c r="C64" s="38" t="n"/>
      <c r="D64" s="38" t="n"/>
      <c r="E64" s="38" t="n"/>
      <c r="F64" s="48" t="n"/>
      <c r="G64" s="38" t="n"/>
      <c r="H64" s="47" t="n"/>
      <c r="I64" s="38" t="n"/>
      <c r="J64" s="38" t="n"/>
      <c r="K64" s="38" t="n"/>
      <c r="L64" s="53">
        <f>IF(B64="","",COUNTIFS('JOBS'!$G$5:$G$1504,A64,'JOBS'!$O$5:$O$1504,"Completed"))</f>
        <v/>
      </c>
      <c r="M64" s="52">
        <f>IF(B64="","",IF(_xlfn.MAXIFS('JOBS'!$B$5:$B$1504,'JOBS'!$G$5:$G$1504,A64,'JOBS'!$O$5:$O$1504,"Completed")=0,"",_xlfn.MAXIFS('JOBS'!$B$5:$B$1504,'JOBS'!$G$5:$G$1504,A64,'JOBS'!$O$5:$O$1504,"Completed")))</f>
        <v/>
      </c>
      <c r="N64" s="52">
        <f>IF(B64="","",IF(_xlfn.MINIFS('JOBS'!$B$5:$B$1504,'JOBS'!$G$5:$G$1504,A64,'JOBS'!$O$5:$O$1504,"Scheduled",'JOBS'!$B$5:$B$1504,"&gt;="&amp;AsOf)=0,"",_xlfn.MINIFS('JOBS'!$B$5:$B$1504,'JOBS'!$G$5:$G$1504,A64,'JOBS'!$O$5:$O$1504,"Scheduled",'JOBS'!$B$5:$B$1504,"&gt;="&amp;AsOf)))</f>
        <v/>
      </c>
      <c r="O64" s="52">
        <f>IF(B64="","",IF(N64&lt;&gt;"",N64,IF(M64="",IF(H64="","",H64),IF(E64="Monthly",EDATE(M64,1),M64+IFERROR(INDEX('PRICING'!$C$28:$C$33,MATCH(E64,'PRICING'!$A$28:$A$33,0)),14)))))</f>
        <v/>
      </c>
      <c r="P64" s="101">
        <f>IF(O64="","",O64-AsOf)</f>
        <v/>
      </c>
      <c r="Q64" s="49">
        <f>IF(B64="","",IF(J64&lt;&gt;"Active","—",IF(N64&lt;&gt;"","Booked",IF(O64="","Set start date",IF(O64&lt;AsOf,"Overdue — book now",IF(O64&lt;=AsOf+7,"Due this week — book","Upcoming"))))))</f>
        <v/>
      </c>
      <c r="R64" s="54">
        <f>IF(B64="","",IF(J64="Active",N(F64)*IFERROR(INDEX('PRICING'!$D$28:$D$33,MATCH(E64,'PRICING'!$A$28:$A$33,0)),0),0))</f>
        <v/>
      </c>
      <c r="S64" s="54">
        <f>IF(B64="","",R64*12)</f>
        <v/>
      </c>
      <c r="T64" s="49">
        <f>IF(B64="","",IF(OR(Q64="Overdue — book now",Q64="Due this week — book"),1,0))</f>
        <v/>
      </c>
      <c r="U64" s="49">
        <f>IF(N(T64)&lt;&gt;1,"",COUNTIFS('RECURRING'!$T$5:$T$154,1,'RECURRING'!$O$5:$O$154,"&lt;"&amp;O64)+COUNTIFS($T$5:T64,1,$O$5:O64,O64))</f>
        <v/>
      </c>
    </row>
    <row r="65">
      <c r="A65" s="46" t="inlineStr">
        <is>
          <t>R-061</t>
        </is>
      </c>
      <c r="B65" s="38" t="n"/>
      <c r="C65" s="38" t="n"/>
      <c r="D65" s="38" t="n"/>
      <c r="E65" s="38" t="n"/>
      <c r="F65" s="48" t="n"/>
      <c r="G65" s="38" t="n"/>
      <c r="H65" s="47" t="n"/>
      <c r="I65" s="38" t="n"/>
      <c r="J65" s="38" t="n"/>
      <c r="K65" s="38" t="n"/>
      <c r="L65" s="53">
        <f>IF(B65="","",COUNTIFS('JOBS'!$G$5:$G$1504,A65,'JOBS'!$O$5:$O$1504,"Completed"))</f>
        <v/>
      </c>
      <c r="M65" s="52">
        <f>IF(B65="","",IF(_xlfn.MAXIFS('JOBS'!$B$5:$B$1504,'JOBS'!$G$5:$G$1504,A65,'JOBS'!$O$5:$O$1504,"Completed")=0,"",_xlfn.MAXIFS('JOBS'!$B$5:$B$1504,'JOBS'!$G$5:$G$1504,A65,'JOBS'!$O$5:$O$1504,"Completed")))</f>
        <v/>
      </c>
      <c r="N65" s="52">
        <f>IF(B65="","",IF(_xlfn.MINIFS('JOBS'!$B$5:$B$1504,'JOBS'!$G$5:$G$1504,A65,'JOBS'!$O$5:$O$1504,"Scheduled",'JOBS'!$B$5:$B$1504,"&gt;="&amp;AsOf)=0,"",_xlfn.MINIFS('JOBS'!$B$5:$B$1504,'JOBS'!$G$5:$G$1504,A65,'JOBS'!$O$5:$O$1504,"Scheduled",'JOBS'!$B$5:$B$1504,"&gt;="&amp;AsOf)))</f>
        <v/>
      </c>
      <c r="O65" s="52">
        <f>IF(B65="","",IF(N65&lt;&gt;"",N65,IF(M65="",IF(H65="","",H65),IF(E65="Monthly",EDATE(M65,1),M65+IFERROR(INDEX('PRICING'!$C$28:$C$33,MATCH(E65,'PRICING'!$A$28:$A$33,0)),14)))))</f>
        <v/>
      </c>
      <c r="P65" s="101">
        <f>IF(O65="","",O65-AsOf)</f>
        <v/>
      </c>
      <c r="Q65" s="49">
        <f>IF(B65="","",IF(J65&lt;&gt;"Active","—",IF(N65&lt;&gt;"","Booked",IF(O65="","Set start date",IF(O65&lt;AsOf,"Overdue — book now",IF(O65&lt;=AsOf+7,"Due this week — book","Upcoming"))))))</f>
        <v/>
      </c>
      <c r="R65" s="54">
        <f>IF(B65="","",IF(J65="Active",N(F65)*IFERROR(INDEX('PRICING'!$D$28:$D$33,MATCH(E65,'PRICING'!$A$28:$A$33,0)),0),0))</f>
        <v/>
      </c>
      <c r="S65" s="54">
        <f>IF(B65="","",R65*12)</f>
        <v/>
      </c>
      <c r="T65" s="49">
        <f>IF(B65="","",IF(OR(Q65="Overdue — book now",Q65="Due this week — book"),1,0))</f>
        <v/>
      </c>
      <c r="U65" s="49">
        <f>IF(N(T65)&lt;&gt;1,"",COUNTIFS('RECURRING'!$T$5:$T$154,1,'RECURRING'!$O$5:$O$154,"&lt;"&amp;O65)+COUNTIFS($T$5:T65,1,$O$5:O65,O65))</f>
        <v/>
      </c>
    </row>
    <row r="66">
      <c r="A66" s="46" t="inlineStr">
        <is>
          <t>R-062</t>
        </is>
      </c>
      <c r="B66" s="38" t="n"/>
      <c r="C66" s="38" t="n"/>
      <c r="D66" s="38" t="n"/>
      <c r="E66" s="38" t="n"/>
      <c r="F66" s="48" t="n"/>
      <c r="G66" s="38" t="n"/>
      <c r="H66" s="47" t="n"/>
      <c r="I66" s="38" t="n"/>
      <c r="J66" s="38" t="n"/>
      <c r="K66" s="38" t="n"/>
      <c r="L66" s="53">
        <f>IF(B66="","",COUNTIFS('JOBS'!$G$5:$G$1504,A66,'JOBS'!$O$5:$O$1504,"Completed"))</f>
        <v/>
      </c>
      <c r="M66" s="52">
        <f>IF(B66="","",IF(_xlfn.MAXIFS('JOBS'!$B$5:$B$1504,'JOBS'!$G$5:$G$1504,A66,'JOBS'!$O$5:$O$1504,"Completed")=0,"",_xlfn.MAXIFS('JOBS'!$B$5:$B$1504,'JOBS'!$G$5:$G$1504,A66,'JOBS'!$O$5:$O$1504,"Completed")))</f>
        <v/>
      </c>
      <c r="N66" s="52">
        <f>IF(B66="","",IF(_xlfn.MINIFS('JOBS'!$B$5:$B$1504,'JOBS'!$G$5:$G$1504,A66,'JOBS'!$O$5:$O$1504,"Scheduled",'JOBS'!$B$5:$B$1504,"&gt;="&amp;AsOf)=0,"",_xlfn.MINIFS('JOBS'!$B$5:$B$1504,'JOBS'!$G$5:$G$1504,A66,'JOBS'!$O$5:$O$1504,"Scheduled",'JOBS'!$B$5:$B$1504,"&gt;="&amp;AsOf)))</f>
        <v/>
      </c>
      <c r="O66" s="52">
        <f>IF(B66="","",IF(N66&lt;&gt;"",N66,IF(M66="",IF(H66="","",H66),IF(E66="Monthly",EDATE(M66,1),M66+IFERROR(INDEX('PRICING'!$C$28:$C$33,MATCH(E66,'PRICING'!$A$28:$A$33,0)),14)))))</f>
        <v/>
      </c>
      <c r="P66" s="101">
        <f>IF(O66="","",O66-AsOf)</f>
        <v/>
      </c>
      <c r="Q66" s="49">
        <f>IF(B66="","",IF(J66&lt;&gt;"Active","—",IF(N66&lt;&gt;"","Booked",IF(O66="","Set start date",IF(O66&lt;AsOf,"Overdue — book now",IF(O66&lt;=AsOf+7,"Due this week — book","Upcoming"))))))</f>
        <v/>
      </c>
      <c r="R66" s="54">
        <f>IF(B66="","",IF(J66="Active",N(F66)*IFERROR(INDEX('PRICING'!$D$28:$D$33,MATCH(E66,'PRICING'!$A$28:$A$33,0)),0),0))</f>
        <v/>
      </c>
      <c r="S66" s="54">
        <f>IF(B66="","",R66*12)</f>
        <v/>
      </c>
      <c r="T66" s="49">
        <f>IF(B66="","",IF(OR(Q66="Overdue — book now",Q66="Due this week — book"),1,0))</f>
        <v/>
      </c>
      <c r="U66" s="49">
        <f>IF(N(T66)&lt;&gt;1,"",COUNTIFS('RECURRING'!$T$5:$T$154,1,'RECURRING'!$O$5:$O$154,"&lt;"&amp;O66)+COUNTIFS($T$5:T66,1,$O$5:O66,O66))</f>
        <v/>
      </c>
    </row>
    <row r="67">
      <c r="A67" s="46" t="inlineStr">
        <is>
          <t>R-063</t>
        </is>
      </c>
      <c r="B67" s="38" t="n"/>
      <c r="C67" s="38" t="n"/>
      <c r="D67" s="38" t="n"/>
      <c r="E67" s="38" t="n"/>
      <c r="F67" s="48" t="n"/>
      <c r="G67" s="38" t="n"/>
      <c r="H67" s="47" t="n"/>
      <c r="I67" s="38" t="n"/>
      <c r="J67" s="38" t="n"/>
      <c r="K67" s="38" t="n"/>
      <c r="L67" s="53">
        <f>IF(B67="","",COUNTIFS('JOBS'!$G$5:$G$1504,A67,'JOBS'!$O$5:$O$1504,"Completed"))</f>
        <v/>
      </c>
      <c r="M67" s="52">
        <f>IF(B67="","",IF(_xlfn.MAXIFS('JOBS'!$B$5:$B$1504,'JOBS'!$G$5:$G$1504,A67,'JOBS'!$O$5:$O$1504,"Completed")=0,"",_xlfn.MAXIFS('JOBS'!$B$5:$B$1504,'JOBS'!$G$5:$G$1504,A67,'JOBS'!$O$5:$O$1504,"Completed")))</f>
        <v/>
      </c>
      <c r="N67" s="52">
        <f>IF(B67="","",IF(_xlfn.MINIFS('JOBS'!$B$5:$B$1504,'JOBS'!$G$5:$G$1504,A67,'JOBS'!$O$5:$O$1504,"Scheduled",'JOBS'!$B$5:$B$1504,"&gt;="&amp;AsOf)=0,"",_xlfn.MINIFS('JOBS'!$B$5:$B$1504,'JOBS'!$G$5:$G$1504,A67,'JOBS'!$O$5:$O$1504,"Scheduled",'JOBS'!$B$5:$B$1504,"&gt;="&amp;AsOf)))</f>
        <v/>
      </c>
      <c r="O67" s="52">
        <f>IF(B67="","",IF(N67&lt;&gt;"",N67,IF(M67="",IF(H67="","",H67),IF(E67="Monthly",EDATE(M67,1),M67+IFERROR(INDEX('PRICING'!$C$28:$C$33,MATCH(E67,'PRICING'!$A$28:$A$33,0)),14)))))</f>
        <v/>
      </c>
      <c r="P67" s="101">
        <f>IF(O67="","",O67-AsOf)</f>
        <v/>
      </c>
      <c r="Q67" s="49">
        <f>IF(B67="","",IF(J67&lt;&gt;"Active","—",IF(N67&lt;&gt;"","Booked",IF(O67="","Set start date",IF(O67&lt;AsOf,"Overdue — book now",IF(O67&lt;=AsOf+7,"Due this week — book","Upcoming"))))))</f>
        <v/>
      </c>
      <c r="R67" s="54">
        <f>IF(B67="","",IF(J67="Active",N(F67)*IFERROR(INDEX('PRICING'!$D$28:$D$33,MATCH(E67,'PRICING'!$A$28:$A$33,0)),0),0))</f>
        <v/>
      </c>
      <c r="S67" s="54">
        <f>IF(B67="","",R67*12)</f>
        <v/>
      </c>
      <c r="T67" s="49">
        <f>IF(B67="","",IF(OR(Q67="Overdue — book now",Q67="Due this week — book"),1,0))</f>
        <v/>
      </c>
      <c r="U67" s="49">
        <f>IF(N(T67)&lt;&gt;1,"",COUNTIFS('RECURRING'!$T$5:$T$154,1,'RECURRING'!$O$5:$O$154,"&lt;"&amp;O67)+COUNTIFS($T$5:T67,1,$O$5:O67,O67))</f>
        <v/>
      </c>
    </row>
    <row r="68">
      <c r="A68" s="46" t="inlineStr">
        <is>
          <t>R-064</t>
        </is>
      </c>
      <c r="B68" s="38" t="n"/>
      <c r="C68" s="38" t="n"/>
      <c r="D68" s="38" t="n"/>
      <c r="E68" s="38" t="n"/>
      <c r="F68" s="48" t="n"/>
      <c r="G68" s="38" t="n"/>
      <c r="H68" s="47" t="n"/>
      <c r="I68" s="38" t="n"/>
      <c r="J68" s="38" t="n"/>
      <c r="K68" s="38" t="n"/>
      <c r="L68" s="53">
        <f>IF(B68="","",COUNTIFS('JOBS'!$G$5:$G$1504,A68,'JOBS'!$O$5:$O$1504,"Completed"))</f>
        <v/>
      </c>
      <c r="M68" s="52">
        <f>IF(B68="","",IF(_xlfn.MAXIFS('JOBS'!$B$5:$B$1504,'JOBS'!$G$5:$G$1504,A68,'JOBS'!$O$5:$O$1504,"Completed")=0,"",_xlfn.MAXIFS('JOBS'!$B$5:$B$1504,'JOBS'!$G$5:$G$1504,A68,'JOBS'!$O$5:$O$1504,"Completed")))</f>
        <v/>
      </c>
      <c r="N68" s="52">
        <f>IF(B68="","",IF(_xlfn.MINIFS('JOBS'!$B$5:$B$1504,'JOBS'!$G$5:$G$1504,A68,'JOBS'!$O$5:$O$1504,"Scheduled",'JOBS'!$B$5:$B$1504,"&gt;="&amp;AsOf)=0,"",_xlfn.MINIFS('JOBS'!$B$5:$B$1504,'JOBS'!$G$5:$G$1504,A68,'JOBS'!$O$5:$O$1504,"Scheduled",'JOBS'!$B$5:$B$1504,"&gt;="&amp;AsOf)))</f>
        <v/>
      </c>
      <c r="O68" s="52">
        <f>IF(B68="","",IF(N68&lt;&gt;"",N68,IF(M68="",IF(H68="","",H68),IF(E68="Monthly",EDATE(M68,1),M68+IFERROR(INDEX('PRICING'!$C$28:$C$33,MATCH(E68,'PRICING'!$A$28:$A$33,0)),14)))))</f>
        <v/>
      </c>
      <c r="P68" s="101">
        <f>IF(O68="","",O68-AsOf)</f>
        <v/>
      </c>
      <c r="Q68" s="49">
        <f>IF(B68="","",IF(J68&lt;&gt;"Active","—",IF(N68&lt;&gt;"","Booked",IF(O68="","Set start date",IF(O68&lt;AsOf,"Overdue — book now",IF(O68&lt;=AsOf+7,"Due this week — book","Upcoming"))))))</f>
        <v/>
      </c>
      <c r="R68" s="54">
        <f>IF(B68="","",IF(J68="Active",N(F68)*IFERROR(INDEX('PRICING'!$D$28:$D$33,MATCH(E68,'PRICING'!$A$28:$A$33,0)),0),0))</f>
        <v/>
      </c>
      <c r="S68" s="54">
        <f>IF(B68="","",R68*12)</f>
        <v/>
      </c>
      <c r="T68" s="49">
        <f>IF(B68="","",IF(OR(Q68="Overdue — book now",Q68="Due this week — book"),1,0))</f>
        <v/>
      </c>
      <c r="U68" s="49">
        <f>IF(N(T68)&lt;&gt;1,"",COUNTIFS('RECURRING'!$T$5:$T$154,1,'RECURRING'!$O$5:$O$154,"&lt;"&amp;O68)+COUNTIFS($T$5:T68,1,$O$5:O68,O68))</f>
        <v/>
      </c>
    </row>
    <row r="69">
      <c r="A69" s="46" t="inlineStr">
        <is>
          <t>R-065</t>
        </is>
      </c>
      <c r="B69" s="38" t="n"/>
      <c r="C69" s="38" t="n"/>
      <c r="D69" s="38" t="n"/>
      <c r="E69" s="38" t="n"/>
      <c r="F69" s="48" t="n"/>
      <c r="G69" s="38" t="n"/>
      <c r="H69" s="47" t="n"/>
      <c r="I69" s="38" t="n"/>
      <c r="J69" s="38" t="n"/>
      <c r="K69" s="38" t="n"/>
      <c r="L69" s="53">
        <f>IF(B69="","",COUNTIFS('JOBS'!$G$5:$G$1504,A69,'JOBS'!$O$5:$O$1504,"Completed"))</f>
        <v/>
      </c>
      <c r="M69" s="52">
        <f>IF(B69="","",IF(_xlfn.MAXIFS('JOBS'!$B$5:$B$1504,'JOBS'!$G$5:$G$1504,A69,'JOBS'!$O$5:$O$1504,"Completed")=0,"",_xlfn.MAXIFS('JOBS'!$B$5:$B$1504,'JOBS'!$G$5:$G$1504,A69,'JOBS'!$O$5:$O$1504,"Completed")))</f>
        <v/>
      </c>
      <c r="N69" s="52">
        <f>IF(B69="","",IF(_xlfn.MINIFS('JOBS'!$B$5:$B$1504,'JOBS'!$G$5:$G$1504,A69,'JOBS'!$O$5:$O$1504,"Scheduled",'JOBS'!$B$5:$B$1504,"&gt;="&amp;AsOf)=0,"",_xlfn.MINIFS('JOBS'!$B$5:$B$1504,'JOBS'!$G$5:$G$1504,A69,'JOBS'!$O$5:$O$1504,"Scheduled",'JOBS'!$B$5:$B$1504,"&gt;="&amp;AsOf)))</f>
        <v/>
      </c>
      <c r="O69" s="52">
        <f>IF(B69="","",IF(N69&lt;&gt;"",N69,IF(M69="",IF(H69="","",H69),IF(E69="Monthly",EDATE(M69,1),M69+IFERROR(INDEX('PRICING'!$C$28:$C$33,MATCH(E69,'PRICING'!$A$28:$A$33,0)),14)))))</f>
        <v/>
      </c>
      <c r="P69" s="101">
        <f>IF(O69="","",O69-AsOf)</f>
        <v/>
      </c>
      <c r="Q69" s="49">
        <f>IF(B69="","",IF(J69&lt;&gt;"Active","—",IF(N69&lt;&gt;"","Booked",IF(O69="","Set start date",IF(O69&lt;AsOf,"Overdue — book now",IF(O69&lt;=AsOf+7,"Due this week — book","Upcoming"))))))</f>
        <v/>
      </c>
      <c r="R69" s="54">
        <f>IF(B69="","",IF(J69="Active",N(F69)*IFERROR(INDEX('PRICING'!$D$28:$D$33,MATCH(E69,'PRICING'!$A$28:$A$33,0)),0),0))</f>
        <v/>
      </c>
      <c r="S69" s="54">
        <f>IF(B69="","",R69*12)</f>
        <v/>
      </c>
      <c r="T69" s="49">
        <f>IF(B69="","",IF(OR(Q69="Overdue — book now",Q69="Due this week — book"),1,0))</f>
        <v/>
      </c>
      <c r="U69" s="49">
        <f>IF(N(T69)&lt;&gt;1,"",COUNTIFS('RECURRING'!$T$5:$T$154,1,'RECURRING'!$O$5:$O$154,"&lt;"&amp;O69)+COUNTIFS($T$5:T69,1,$O$5:O69,O69))</f>
        <v/>
      </c>
    </row>
    <row r="70">
      <c r="A70" s="46" t="inlineStr">
        <is>
          <t>R-066</t>
        </is>
      </c>
      <c r="B70" s="38" t="n"/>
      <c r="C70" s="38" t="n"/>
      <c r="D70" s="38" t="n"/>
      <c r="E70" s="38" t="n"/>
      <c r="F70" s="48" t="n"/>
      <c r="G70" s="38" t="n"/>
      <c r="H70" s="47" t="n"/>
      <c r="I70" s="38" t="n"/>
      <c r="J70" s="38" t="n"/>
      <c r="K70" s="38" t="n"/>
      <c r="L70" s="53">
        <f>IF(B70="","",COUNTIFS('JOBS'!$G$5:$G$1504,A70,'JOBS'!$O$5:$O$1504,"Completed"))</f>
        <v/>
      </c>
      <c r="M70" s="52">
        <f>IF(B70="","",IF(_xlfn.MAXIFS('JOBS'!$B$5:$B$1504,'JOBS'!$G$5:$G$1504,A70,'JOBS'!$O$5:$O$1504,"Completed")=0,"",_xlfn.MAXIFS('JOBS'!$B$5:$B$1504,'JOBS'!$G$5:$G$1504,A70,'JOBS'!$O$5:$O$1504,"Completed")))</f>
        <v/>
      </c>
      <c r="N70" s="52">
        <f>IF(B70="","",IF(_xlfn.MINIFS('JOBS'!$B$5:$B$1504,'JOBS'!$G$5:$G$1504,A70,'JOBS'!$O$5:$O$1504,"Scheduled",'JOBS'!$B$5:$B$1504,"&gt;="&amp;AsOf)=0,"",_xlfn.MINIFS('JOBS'!$B$5:$B$1504,'JOBS'!$G$5:$G$1504,A70,'JOBS'!$O$5:$O$1504,"Scheduled",'JOBS'!$B$5:$B$1504,"&gt;="&amp;AsOf)))</f>
        <v/>
      </c>
      <c r="O70" s="52">
        <f>IF(B70="","",IF(N70&lt;&gt;"",N70,IF(M70="",IF(H70="","",H70),IF(E70="Monthly",EDATE(M70,1),M70+IFERROR(INDEX('PRICING'!$C$28:$C$33,MATCH(E70,'PRICING'!$A$28:$A$33,0)),14)))))</f>
        <v/>
      </c>
      <c r="P70" s="101">
        <f>IF(O70="","",O70-AsOf)</f>
        <v/>
      </c>
      <c r="Q70" s="49">
        <f>IF(B70="","",IF(J70&lt;&gt;"Active","—",IF(N70&lt;&gt;"","Booked",IF(O70="","Set start date",IF(O70&lt;AsOf,"Overdue — book now",IF(O70&lt;=AsOf+7,"Due this week — book","Upcoming"))))))</f>
        <v/>
      </c>
      <c r="R70" s="54">
        <f>IF(B70="","",IF(J70="Active",N(F70)*IFERROR(INDEX('PRICING'!$D$28:$D$33,MATCH(E70,'PRICING'!$A$28:$A$33,0)),0),0))</f>
        <v/>
      </c>
      <c r="S70" s="54">
        <f>IF(B70="","",R70*12)</f>
        <v/>
      </c>
      <c r="T70" s="49">
        <f>IF(B70="","",IF(OR(Q70="Overdue — book now",Q70="Due this week — book"),1,0))</f>
        <v/>
      </c>
      <c r="U70" s="49">
        <f>IF(N(T70)&lt;&gt;1,"",COUNTIFS('RECURRING'!$T$5:$T$154,1,'RECURRING'!$O$5:$O$154,"&lt;"&amp;O70)+COUNTIFS($T$5:T70,1,$O$5:O70,O70))</f>
        <v/>
      </c>
    </row>
    <row r="71">
      <c r="A71" s="46" t="inlineStr">
        <is>
          <t>R-067</t>
        </is>
      </c>
      <c r="B71" s="38" t="n"/>
      <c r="C71" s="38" t="n"/>
      <c r="D71" s="38" t="n"/>
      <c r="E71" s="38" t="n"/>
      <c r="F71" s="48" t="n"/>
      <c r="G71" s="38" t="n"/>
      <c r="H71" s="47" t="n"/>
      <c r="I71" s="38" t="n"/>
      <c r="J71" s="38" t="n"/>
      <c r="K71" s="38" t="n"/>
      <c r="L71" s="53">
        <f>IF(B71="","",COUNTIFS('JOBS'!$G$5:$G$1504,A71,'JOBS'!$O$5:$O$1504,"Completed"))</f>
        <v/>
      </c>
      <c r="M71" s="52">
        <f>IF(B71="","",IF(_xlfn.MAXIFS('JOBS'!$B$5:$B$1504,'JOBS'!$G$5:$G$1504,A71,'JOBS'!$O$5:$O$1504,"Completed")=0,"",_xlfn.MAXIFS('JOBS'!$B$5:$B$1504,'JOBS'!$G$5:$G$1504,A71,'JOBS'!$O$5:$O$1504,"Completed")))</f>
        <v/>
      </c>
      <c r="N71" s="52">
        <f>IF(B71="","",IF(_xlfn.MINIFS('JOBS'!$B$5:$B$1504,'JOBS'!$G$5:$G$1504,A71,'JOBS'!$O$5:$O$1504,"Scheduled",'JOBS'!$B$5:$B$1504,"&gt;="&amp;AsOf)=0,"",_xlfn.MINIFS('JOBS'!$B$5:$B$1504,'JOBS'!$G$5:$G$1504,A71,'JOBS'!$O$5:$O$1504,"Scheduled",'JOBS'!$B$5:$B$1504,"&gt;="&amp;AsOf)))</f>
        <v/>
      </c>
      <c r="O71" s="52">
        <f>IF(B71="","",IF(N71&lt;&gt;"",N71,IF(M71="",IF(H71="","",H71),IF(E71="Monthly",EDATE(M71,1),M71+IFERROR(INDEX('PRICING'!$C$28:$C$33,MATCH(E71,'PRICING'!$A$28:$A$33,0)),14)))))</f>
        <v/>
      </c>
      <c r="P71" s="101">
        <f>IF(O71="","",O71-AsOf)</f>
        <v/>
      </c>
      <c r="Q71" s="49">
        <f>IF(B71="","",IF(J71&lt;&gt;"Active","—",IF(N71&lt;&gt;"","Booked",IF(O71="","Set start date",IF(O71&lt;AsOf,"Overdue — book now",IF(O71&lt;=AsOf+7,"Due this week — book","Upcoming"))))))</f>
        <v/>
      </c>
      <c r="R71" s="54">
        <f>IF(B71="","",IF(J71="Active",N(F71)*IFERROR(INDEX('PRICING'!$D$28:$D$33,MATCH(E71,'PRICING'!$A$28:$A$33,0)),0),0))</f>
        <v/>
      </c>
      <c r="S71" s="54">
        <f>IF(B71="","",R71*12)</f>
        <v/>
      </c>
      <c r="T71" s="49">
        <f>IF(B71="","",IF(OR(Q71="Overdue — book now",Q71="Due this week — book"),1,0))</f>
        <v/>
      </c>
      <c r="U71" s="49">
        <f>IF(N(T71)&lt;&gt;1,"",COUNTIFS('RECURRING'!$T$5:$T$154,1,'RECURRING'!$O$5:$O$154,"&lt;"&amp;O71)+COUNTIFS($T$5:T71,1,$O$5:O71,O71))</f>
        <v/>
      </c>
    </row>
    <row r="72">
      <c r="A72" s="46" t="inlineStr">
        <is>
          <t>R-068</t>
        </is>
      </c>
      <c r="B72" s="38" t="n"/>
      <c r="C72" s="38" t="n"/>
      <c r="D72" s="38" t="n"/>
      <c r="E72" s="38" t="n"/>
      <c r="F72" s="48" t="n"/>
      <c r="G72" s="38" t="n"/>
      <c r="H72" s="47" t="n"/>
      <c r="I72" s="38" t="n"/>
      <c r="J72" s="38" t="n"/>
      <c r="K72" s="38" t="n"/>
      <c r="L72" s="53">
        <f>IF(B72="","",COUNTIFS('JOBS'!$G$5:$G$1504,A72,'JOBS'!$O$5:$O$1504,"Completed"))</f>
        <v/>
      </c>
      <c r="M72" s="52">
        <f>IF(B72="","",IF(_xlfn.MAXIFS('JOBS'!$B$5:$B$1504,'JOBS'!$G$5:$G$1504,A72,'JOBS'!$O$5:$O$1504,"Completed")=0,"",_xlfn.MAXIFS('JOBS'!$B$5:$B$1504,'JOBS'!$G$5:$G$1504,A72,'JOBS'!$O$5:$O$1504,"Completed")))</f>
        <v/>
      </c>
      <c r="N72" s="52">
        <f>IF(B72="","",IF(_xlfn.MINIFS('JOBS'!$B$5:$B$1504,'JOBS'!$G$5:$G$1504,A72,'JOBS'!$O$5:$O$1504,"Scheduled",'JOBS'!$B$5:$B$1504,"&gt;="&amp;AsOf)=0,"",_xlfn.MINIFS('JOBS'!$B$5:$B$1504,'JOBS'!$G$5:$G$1504,A72,'JOBS'!$O$5:$O$1504,"Scheduled",'JOBS'!$B$5:$B$1504,"&gt;="&amp;AsOf)))</f>
        <v/>
      </c>
      <c r="O72" s="52">
        <f>IF(B72="","",IF(N72&lt;&gt;"",N72,IF(M72="",IF(H72="","",H72),IF(E72="Monthly",EDATE(M72,1),M72+IFERROR(INDEX('PRICING'!$C$28:$C$33,MATCH(E72,'PRICING'!$A$28:$A$33,0)),14)))))</f>
        <v/>
      </c>
      <c r="P72" s="101">
        <f>IF(O72="","",O72-AsOf)</f>
        <v/>
      </c>
      <c r="Q72" s="49">
        <f>IF(B72="","",IF(J72&lt;&gt;"Active","—",IF(N72&lt;&gt;"","Booked",IF(O72="","Set start date",IF(O72&lt;AsOf,"Overdue — book now",IF(O72&lt;=AsOf+7,"Due this week — book","Upcoming"))))))</f>
        <v/>
      </c>
      <c r="R72" s="54">
        <f>IF(B72="","",IF(J72="Active",N(F72)*IFERROR(INDEX('PRICING'!$D$28:$D$33,MATCH(E72,'PRICING'!$A$28:$A$33,0)),0),0))</f>
        <v/>
      </c>
      <c r="S72" s="54">
        <f>IF(B72="","",R72*12)</f>
        <v/>
      </c>
      <c r="T72" s="49">
        <f>IF(B72="","",IF(OR(Q72="Overdue — book now",Q72="Due this week — book"),1,0))</f>
        <v/>
      </c>
      <c r="U72" s="49">
        <f>IF(N(T72)&lt;&gt;1,"",COUNTIFS('RECURRING'!$T$5:$T$154,1,'RECURRING'!$O$5:$O$154,"&lt;"&amp;O72)+COUNTIFS($T$5:T72,1,$O$5:O72,O72))</f>
        <v/>
      </c>
    </row>
    <row r="73">
      <c r="A73" s="46" t="inlineStr">
        <is>
          <t>R-069</t>
        </is>
      </c>
      <c r="B73" s="38" t="n"/>
      <c r="C73" s="38" t="n"/>
      <c r="D73" s="38" t="n"/>
      <c r="E73" s="38" t="n"/>
      <c r="F73" s="48" t="n"/>
      <c r="G73" s="38" t="n"/>
      <c r="H73" s="47" t="n"/>
      <c r="I73" s="38" t="n"/>
      <c r="J73" s="38" t="n"/>
      <c r="K73" s="38" t="n"/>
      <c r="L73" s="53">
        <f>IF(B73="","",COUNTIFS('JOBS'!$G$5:$G$1504,A73,'JOBS'!$O$5:$O$1504,"Completed"))</f>
        <v/>
      </c>
      <c r="M73" s="52">
        <f>IF(B73="","",IF(_xlfn.MAXIFS('JOBS'!$B$5:$B$1504,'JOBS'!$G$5:$G$1504,A73,'JOBS'!$O$5:$O$1504,"Completed")=0,"",_xlfn.MAXIFS('JOBS'!$B$5:$B$1504,'JOBS'!$G$5:$G$1504,A73,'JOBS'!$O$5:$O$1504,"Completed")))</f>
        <v/>
      </c>
      <c r="N73" s="52">
        <f>IF(B73="","",IF(_xlfn.MINIFS('JOBS'!$B$5:$B$1504,'JOBS'!$G$5:$G$1504,A73,'JOBS'!$O$5:$O$1504,"Scheduled",'JOBS'!$B$5:$B$1504,"&gt;="&amp;AsOf)=0,"",_xlfn.MINIFS('JOBS'!$B$5:$B$1504,'JOBS'!$G$5:$G$1504,A73,'JOBS'!$O$5:$O$1504,"Scheduled",'JOBS'!$B$5:$B$1504,"&gt;="&amp;AsOf)))</f>
        <v/>
      </c>
      <c r="O73" s="52">
        <f>IF(B73="","",IF(N73&lt;&gt;"",N73,IF(M73="",IF(H73="","",H73),IF(E73="Monthly",EDATE(M73,1),M73+IFERROR(INDEX('PRICING'!$C$28:$C$33,MATCH(E73,'PRICING'!$A$28:$A$33,0)),14)))))</f>
        <v/>
      </c>
      <c r="P73" s="101">
        <f>IF(O73="","",O73-AsOf)</f>
        <v/>
      </c>
      <c r="Q73" s="49">
        <f>IF(B73="","",IF(J73&lt;&gt;"Active","—",IF(N73&lt;&gt;"","Booked",IF(O73="","Set start date",IF(O73&lt;AsOf,"Overdue — book now",IF(O73&lt;=AsOf+7,"Due this week — book","Upcoming"))))))</f>
        <v/>
      </c>
      <c r="R73" s="54">
        <f>IF(B73="","",IF(J73="Active",N(F73)*IFERROR(INDEX('PRICING'!$D$28:$D$33,MATCH(E73,'PRICING'!$A$28:$A$33,0)),0),0))</f>
        <v/>
      </c>
      <c r="S73" s="54">
        <f>IF(B73="","",R73*12)</f>
        <v/>
      </c>
      <c r="T73" s="49">
        <f>IF(B73="","",IF(OR(Q73="Overdue — book now",Q73="Due this week — book"),1,0))</f>
        <v/>
      </c>
      <c r="U73" s="49">
        <f>IF(N(T73)&lt;&gt;1,"",COUNTIFS('RECURRING'!$T$5:$T$154,1,'RECURRING'!$O$5:$O$154,"&lt;"&amp;O73)+COUNTIFS($T$5:T73,1,$O$5:O73,O73))</f>
        <v/>
      </c>
    </row>
    <row r="74">
      <c r="A74" s="46" t="inlineStr">
        <is>
          <t>R-070</t>
        </is>
      </c>
      <c r="B74" s="38" t="n"/>
      <c r="C74" s="38" t="n"/>
      <c r="D74" s="38" t="n"/>
      <c r="E74" s="38" t="n"/>
      <c r="F74" s="48" t="n"/>
      <c r="G74" s="38" t="n"/>
      <c r="H74" s="47" t="n"/>
      <c r="I74" s="38" t="n"/>
      <c r="J74" s="38" t="n"/>
      <c r="K74" s="38" t="n"/>
      <c r="L74" s="53">
        <f>IF(B74="","",COUNTIFS('JOBS'!$G$5:$G$1504,A74,'JOBS'!$O$5:$O$1504,"Completed"))</f>
        <v/>
      </c>
      <c r="M74" s="52">
        <f>IF(B74="","",IF(_xlfn.MAXIFS('JOBS'!$B$5:$B$1504,'JOBS'!$G$5:$G$1504,A74,'JOBS'!$O$5:$O$1504,"Completed")=0,"",_xlfn.MAXIFS('JOBS'!$B$5:$B$1504,'JOBS'!$G$5:$G$1504,A74,'JOBS'!$O$5:$O$1504,"Completed")))</f>
        <v/>
      </c>
      <c r="N74" s="52">
        <f>IF(B74="","",IF(_xlfn.MINIFS('JOBS'!$B$5:$B$1504,'JOBS'!$G$5:$G$1504,A74,'JOBS'!$O$5:$O$1504,"Scheduled",'JOBS'!$B$5:$B$1504,"&gt;="&amp;AsOf)=0,"",_xlfn.MINIFS('JOBS'!$B$5:$B$1504,'JOBS'!$G$5:$G$1504,A74,'JOBS'!$O$5:$O$1504,"Scheduled",'JOBS'!$B$5:$B$1504,"&gt;="&amp;AsOf)))</f>
        <v/>
      </c>
      <c r="O74" s="52">
        <f>IF(B74="","",IF(N74&lt;&gt;"",N74,IF(M74="",IF(H74="","",H74),IF(E74="Monthly",EDATE(M74,1),M74+IFERROR(INDEX('PRICING'!$C$28:$C$33,MATCH(E74,'PRICING'!$A$28:$A$33,0)),14)))))</f>
        <v/>
      </c>
      <c r="P74" s="101">
        <f>IF(O74="","",O74-AsOf)</f>
        <v/>
      </c>
      <c r="Q74" s="49">
        <f>IF(B74="","",IF(J74&lt;&gt;"Active","—",IF(N74&lt;&gt;"","Booked",IF(O74="","Set start date",IF(O74&lt;AsOf,"Overdue — book now",IF(O74&lt;=AsOf+7,"Due this week — book","Upcoming"))))))</f>
        <v/>
      </c>
      <c r="R74" s="54">
        <f>IF(B74="","",IF(J74="Active",N(F74)*IFERROR(INDEX('PRICING'!$D$28:$D$33,MATCH(E74,'PRICING'!$A$28:$A$33,0)),0),0))</f>
        <v/>
      </c>
      <c r="S74" s="54">
        <f>IF(B74="","",R74*12)</f>
        <v/>
      </c>
      <c r="T74" s="49">
        <f>IF(B74="","",IF(OR(Q74="Overdue — book now",Q74="Due this week — book"),1,0))</f>
        <v/>
      </c>
      <c r="U74" s="49">
        <f>IF(N(T74)&lt;&gt;1,"",COUNTIFS('RECURRING'!$T$5:$T$154,1,'RECURRING'!$O$5:$O$154,"&lt;"&amp;O74)+COUNTIFS($T$5:T74,1,$O$5:O74,O74))</f>
        <v/>
      </c>
    </row>
    <row r="75">
      <c r="A75" s="46" t="inlineStr">
        <is>
          <t>R-071</t>
        </is>
      </c>
      <c r="B75" s="38" t="n"/>
      <c r="C75" s="38" t="n"/>
      <c r="D75" s="38" t="n"/>
      <c r="E75" s="38" t="n"/>
      <c r="F75" s="48" t="n"/>
      <c r="G75" s="38" t="n"/>
      <c r="H75" s="47" t="n"/>
      <c r="I75" s="38" t="n"/>
      <c r="J75" s="38" t="n"/>
      <c r="K75" s="38" t="n"/>
      <c r="L75" s="53">
        <f>IF(B75="","",COUNTIFS('JOBS'!$G$5:$G$1504,A75,'JOBS'!$O$5:$O$1504,"Completed"))</f>
        <v/>
      </c>
      <c r="M75" s="52">
        <f>IF(B75="","",IF(_xlfn.MAXIFS('JOBS'!$B$5:$B$1504,'JOBS'!$G$5:$G$1504,A75,'JOBS'!$O$5:$O$1504,"Completed")=0,"",_xlfn.MAXIFS('JOBS'!$B$5:$B$1504,'JOBS'!$G$5:$G$1504,A75,'JOBS'!$O$5:$O$1504,"Completed")))</f>
        <v/>
      </c>
      <c r="N75" s="52">
        <f>IF(B75="","",IF(_xlfn.MINIFS('JOBS'!$B$5:$B$1504,'JOBS'!$G$5:$G$1504,A75,'JOBS'!$O$5:$O$1504,"Scheduled",'JOBS'!$B$5:$B$1504,"&gt;="&amp;AsOf)=0,"",_xlfn.MINIFS('JOBS'!$B$5:$B$1504,'JOBS'!$G$5:$G$1504,A75,'JOBS'!$O$5:$O$1504,"Scheduled",'JOBS'!$B$5:$B$1504,"&gt;="&amp;AsOf)))</f>
        <v/>
      </c>
      <c r="O75" s="52">
        <f>IF(B75="","",IF(N75&lt;&gt;"",N75,IF(M75="",IF(H75="","",H75),IF(E75="Monthly",EDATE(M75,1),M75+IFERROR(INDEX('PRICING'!$C$28:$C$33,MATCH(E75,'PRICING'!$A$28:$A$33,0)),14)))))</f>
        <v/>
      </c>
      <c r="P75" s="101">
        <f>IF(O75="","",O75-AsOf)</f>
        <v/>
      </c>
      <c r="Q75" s="49">
        <f>IF(B75="","",IF(J75&lt;&gt;"Active","—",IF(N75&lt;&gt;"","Booked",IF(O75="","Set start date",IF(O75&lt;AsOf,"Overdue — book now",IF(O75&lt;=AsOf+7,"Due this week — book","Upcoming"))))))</f>
        <v/>
      </c>
      <c r="R75" s="54">
        <f>IF(B75="","",IF(J75="Active",N(F75)*IFERROR(INDEX('PRICING'!$D$28:$D$33,MATCH(E75,'PRICING'!$A$28:$A$33,0)),0),0))</f>
        <v/>
      </c>
      <c r="S75" s="54">
        <f>IF(B75="","",R75*12)</f>
        <v/>
      </c>
      <c r="T75" s="49">
        <f>IF(B75="","",IF(OR(Q75="Overdue — book now",Q75="Due this week — book"),1,0))</f>
        <v/>
      </c>
      <c r="U75" s="49">
        <f>IF(N(T75)&lt;&gt;1,"",COUNTIFS('RECURRING'!$T$5:$T$154,1,'RECURRING'!$O$5:$O$154,"&lt;"&amp;O75)+COUNTIFS($T$5:T75,1,$O$5:O75,O75))</f>
        <v/>
      </c>
    </row>
    <row r="76">
      <c r="A76" s="46" t="inlineStr">
        <is>
          <t>R-072</t>
        </is>
      </c>
      <c r="B76" s="38" t="n"/>
      <c r="C76" s="38" t="n"/>
      <c r="D76" s="38" t="n"/>
      <c r="E76" s="38" t="n"/>
      <c r="F76" s="48" t="n"/>
      <c r="G76" s="38" t="n"/>
      <c r="H76" s="47" t="n"/>
      <c r="I76" s="38" t="n"/>
      <c r="J76" s="38" t="n"/>
      <c r="K76" s="38" t="n"/>
      <c r="L76" s="53">
        <f>IF(B76="","",COUNTIFS('JOBS'!$G$5:$G$1504,A76,'JOBS'!$O$5:$O$1504,"Completed"))</f>
        <v/>
      </c>
      <c r="M76" s="52">
        <f>IF(B76="","",IF(_xlfn.MAXIFS('JOBS'!$B$5:$B$1504,'JOBS'!$G$5:$G$1504,A76,'JOBS'!$O$5:$O$1504,"Completed")=0,"",_xlfn.MAXIFS('JOBS'!$B$5:$B$1504,'JOBS'!$G$5:$G$1504,A76,'JOBS'!$O$5:$O$1504,"Completed")))</f>
        <v/>
      </c>
      <c r="N76" s="52">
        <f>IF(B76="","",IF(_xlfn.MINIFS('JOBS'!$B$5:$B$1504,'JOBS'!$G$5:$G$1504,A76,'JOBS'!$O$5:$O$1504,"Scheduled",'JOBS'!$B$5:$B$1504,"&gt;="&amp;AsOf)=0,"",_xlfn.MINIFS('JOBS'!$B$5:$B$1504,'JOBS'!$G$5:$G$1504,A76,'JOBS'!$O$5:$O$1504,"Scheduled",'JOBS'!$B$5:$B$1504,"&gt;="&amp;AsOf)))</f>
        <v/>
      </c>
      <c r="O76" s="52">
        <f>IF(B76="","",IF(N76&lt;&gt;"",N76,IF(M76="",IF(H76="","",H76),IF(E76="Monthly",EDATE(M76,1),M76+IFERROR(INDEX('PRICING'!$C$28:$C$33,MATCH(E76,'PRICING'!$A$28:$A$33,0)),14)))))</f>
        <v/>
      </c>
      <c r="P76" s="101">
        <f>IF(O76="","",O76-AsOf)</f>
        <v/>
      </c>
      <c r="Q76" s="49">
        <f>IF(B76="","",IF(J76&lt;&gt;"Active","—",IF(N76&lt;&gt;"","Booked",IF(O76="","Set start date",IF(O76&lt;AsOf,"Overdue — book now",IF(O76&lt;=AsOf+7,"Due this week — book","Upcoming"))))))</f>
        <v/>
      </c>
      <c r="R76" s="54">
        <f>IF(B76="","",IF(J76="Active",N(F76)*IFERROR(INDEX('PRICING'!$D$28:$D$33,MATCH(E76,'PRICING'!$A$28:$A$33,0)),0),0))</f>
        <v/>
      </c>
      <c r="S76" s="54">
        <f>IF(B76="","",R76*12)</f>
        <v/>
      </c>
      <c r="T76" s="49">
        <f>IF(B76="","",IF(OR(Q76="Overdue — book now",Q76="Due this week — book"),1,0))</f>
        <v/>
      </c>
      <c r="U76" s="49">
        <f>IF(N(T76)&lt;&gt;1,"",COUNTIFS('RECURRING'!$T$5:$T$154,1,'RECURRING'!$O$5:$O$154,"&lt;"&amp;O76)+COUNTIFS($T$5:T76,1,$O$5:O76,O76))</f>
        <v/>
      </c>
    </row>
    <row r="77">
      <c r="A77" s="46" t="inlineStr">
        <is>
          <t>R-073</t>
        </is>
      </c>
      <c r="B77" s="38" t="n"/>
      <c r="C77" s="38" t="n"/>
      <c r="D77" s="38" t="n"/>
      <c r="E77" s="38" t="n"/>
      <c r="F77" s="48" t="n"/>
      <c r="G77" s="38" t="n"/>
      <c r="H77" s="47" t="n"/>
      <c r="I77" s="38" t="n"/>
      <c r="J77" s="38" t="n"/>
      <c r="K77" s="38" t="n"/>
      <c r="L77" s="53">
        <f>IF(B77="","",COUNTIFS('JOBS'!$G$5:$G$1504,A77,'JOBS'!$O$5:$O$1504,"Completed"))</f>
        <v/>
      </c>
      <c r="M77" s="52">
        <f>IF(B77="","",IF(_xlfn.MAXIFS('JOBS'!$B$5:$B$1504,'JOBS'!$G$5:$G$1504,A77,'JOBS'!$O$5:$O$1504,"Completed")=0,"",_xlfn.MAXIFS('JOBS'!$B$5:$B$1504,'JOBS'!$G$5:$G$1504,A77,'JOBS'!$O$5:$O$1504,"Completed")))</f>
        <v/>
      </c>
      <c r="N77" s="52">
        <f>IF(B77="","",IF(_xlfn.MINIFS('JOBS'!$B$5:$B$1504,'JOBS'!$G$5:$G$1504,A77,'JOBS'!$O$5:$O$1504,"Scheduled",'JOBS'!$B$5:$B$1504,"&gt;="&amp;AsOf)=0,"",_xlfn.MINIFS('JOBS'!$B$5:$B$1504,'JOBS'!$G$5:$G$1504,A77,'JOBS'!$O$5:$O$1504,"Scheduled",'JOBS'!$B$5:$B$1504,"&gt;="&amp;AsOf)))</f>
        <v/>
      </c>
      <c r="O77" s="52">
        <f>IF(B77="","",IF(N77&lt;&gt;"",N77,IF(M77="",IF(H77="","",H77),IF(E77="Monthly",EDATE(M77,1),M77+IFERROR(INDEX('PRICING'!$C$28:$C$33,MATCH(E77,'PRICING'!$A$28:$A$33,0)),14)))))</f>
        <v/>
      </c>
      <c r="P77" s="101">
        <f>IF(O77="","",O77-AsOf)</f>
        <v/>
      </c>
      <c r="Q77" s="49">
        <f>IF(B77="","",IF(J77&lt;&gt;"Active","—",IF(N77&lt;&gt;"","Booked",IF(O77="","Set start date",IF(O77&lt;AsOf,"Overdue — book now",IF(O77&lt;=AsOf+7,"Due this week — book","Upcoming"))))))</f>
        <v/>
      </c>
      <c r="R77" s="54">
        <f>IF(B77="","",IF(J77="Active",N(F77)*IFERROR(INDEX('PRICING'!$D$28:$D$33,MATCH(E77,'PRICING'!$A$28:$A$33,0)),0),0))</f>
        <v/>
      </c>
      <c r="S77" s="54">
        <f>IF(B77="","",R77*12)</f>
        <v/>
      </c>
      <c r="T77" s="49">
        <f>IF(B77="","",IF(OR(Q77="Overdue — book now",Q77="Due this week — book"),1,0))</f>
        <v/>
      </c>
      <c r="U77" s="49">
        <f>IF(N(T77)&lt;&gt;1,"",COUNTIFS('RECURRING'!$T$5:$T$154,1,'RECURRING'!$O$5:$O$154,"&lt;"&amp;O77)+COUNTIFS($T$5:T77,1,$O$5:O77,O77))</f>
        <v/>
      </c>
    </row>
    <row r="78">
      <c r="A78" s="46" t="inlineStr">
        <is>
          <t>R-074</t>
        </is>
      </c>
      <c r="B78" s="38" t="n"/>
      <c r="C78" s="38" t="n"/>
      <c r="D78" s="38" t="n"/>
      <c r="E78" s="38" t="n"/>
      <c r="F78" s="48" t="n"/>
      <c r="G78" s="38" t="n"/>
      <c r="H78" s="47" t="n"/>
      <c r="I78" s="38" t="n"/>
      <c r="J78" s="38" t="n"/>
      <c r="K78" s="38" t="n"/>
      <c r="L78" s="53">
        <f>IF(B78="","",COUNTIFS('JOBS'!$G$5:$G$1504,A78,'JOBS'!$O$5:$O$1504,"Completed"))</f>
        <v/>
      </c>
      <c r="M78" s="52">
        <f>IF(B78="","",IF(_xlfn.MAXIFS('JOBS'!$B$5:$B$1504,'JOBS'!$G$5:$G$1504,A78,'JOBS'!$O$5:$O$1504,"Completed")=0,"",_xlfn.MAXIFS('JOBS'!$B$5:$B$1504,'JOBS'!$G$5:$G$1504,A78,'JOBS'!$O$5:$O$1504,"Completed")))</f>
        <v/>
      </c>
      <c r="N78" s="52">
        <f>IF(B78="","",IF(_xlfn.MINIFS('JOBS'!$B$5:$B$1504,'JOBS'!$G$5:$G$1504,A78,'JOBS'!$O$5:$O$1504,"Scheduled",'JOBS'!$B$5:$B$1504,"&gt;="&amp;AsOf)=0,"",_xlfn.MINIFS('JOBS'!$B$5:$B$1504,'JOBS'!$G$5:$G$1504,A78,'JOBS'!$O$5:$O$1504,"Scheduled",'JOBS'!$B$5:$B$1504,"&gt;="&amp;AsOf)))</f>
        <v/>
      </c>
      <c r="O78" s="52">
        <f>IF(B78="","",IF(N78&lt;&gt;"",N78,IF(M78="",IF(H78="","",H78),IF(E78="Monthly",EDATE(M78,1),M78+IFERROR(INDEX('PRICING'!$C$28:$C$33,MATCH(E78,'PRICING'!$A$28:$A$33,0)),14)))))</f>
        <v/>
      </c>
      <c r="P78" s="101">
        <f>IF(O78="","",O78-AsOf)</f>
        <v/>
      </c>
      <c r="Q78" s="49">
        <f>IF(B78="","",IF(J78&lt;&gt;"Active","—",IF(N78&lt;&gt;"","Booked",IF(O78="","Set start date",IF(O78&lt;AsOf,"Overdue — book now",IF(O78&lt;=AsOf+7,"Due this week — book","Upcoming"))))))</f>
        <v/>
      </c>
      <c r="R78" s="54">
        <f>IF(B78="","",IF(J78="Active",N(F78)*IFERROR(INDEX('PRICING'!$D$28:$D$33,MATCH(E78,'PRICING'!$A$28:$A$33,0)),0),0))</f>
        <v/>
      </c>
      <c r="S78" s="54">
        <f>IF(B78="","",R78*12)</f>
        <v/>
      </c>
      <c r="T78" s="49">
        <f>IF(B78="","",IF(OR(Q78="Overdue — book now",Q78="Due this week — book"),1,0))</f>
        <v/>
      </c>
      <c r="U78" s="49">
        <f>IF(N(T78)&lt;&gt;1,"",COUNTIFS('RECURRING'!$T$5:$T$154,1,'RECURRING'!$O$5:$O$154,"&lt;"&amp;O78)+COUNTIFS($T$5:T78,1,$O$5:O78,O78))</f>
        <v/>
      </c>
    </row>
    <row r="79">
      <c r="A79" s="46" t="inlineStr">
        <is>
          <t>R-075</t>
        </is>
      </c>
      <c r="B79" s="38" t="n"/>
      <c r="C79" s="38" t="n"/>
      <c r="D79" s="38" t="n"/>
      <c r="E79" s="38" t="n"/>
      <c r="F79" s="48" t="n"/>
      <c r="G79" s="38" t="n"/>
      <c r="H79" s="47" t="n"/>
      <c r="I79" s="38" t="n"/>
      <c r="J79" s="38" t="n"/>
      <c r="K79" s="38" t="n"/>
      <c r="L79" s="53">
        <f>IF(B79="","",COUNTIFS('JOBS'!$G$5:$G$1504,A79,'JOBS'!$O$5:$O$1504,"Completed"))</f>
        <v/>
      </c>
      <c r="M79" s="52">
        <f>IF(B79="","",IF(_xlfn.MAXIFS('JOBS'!$B$5:$B$1504,'JOBS'!$G$5:$G$1504,A79,'JOBS'!$O$5:$O$1504,"Completed")=0,"",_xlfn.MAXIFS('JOBS'!$B$5:$B$1504,'JOBS'!$G$5:$G$1504,A79,'JOBS'!$O$5:$O$1504,"Completed")))</f>
        <v/>
      </c>
      <c r="N79" s="52">
        <f>IF(B79="","",IF(_xlfn.MINIFS('JOBS'!$B$5:$B$1504,'JOBS'!$G$5:$G$1504,A79,'JOBS'!$O$5:$O$1504,"Scheduled",'JOBS'!$B$5:$B$1504,"&gt;="&amp;AsOf)=0,"",_xlfn.MINIFS('JOBS'!$B$5:$B$1504,'JOBS'!$G$5:$G$1504,A79,'JOBS'!$O$5:$O$1504,"Scheduled",'JOBS'!$B$5:$B$1504,"&gt;="&amp;AsOf)))</f>
        <v/>
      </c>
      <c r="O79" s="52">
        <f>IF(B79="","",IF(N79&lt;&gt;"",N79,IF(M79="",IF(H79="","",H79),IF(E79="Monthly",EDATE(M79,1),M79+IFERROR(INDEX('PRICING'!$C$28:$C$33,MATCH(E79,'PRICING'!$A$28:$A$33,0)),14)))))</f>
        <v/>
      </c>
      <c r="P79" s="101">
        <f>IF(O79="","",O79-AsOf)</f>
        <v/>
      </c>
      <c r="Q79" s="49">
        <f>IF(B79="","",IF(J79&lt;&gt;"Active","—",IF(N79&lt;&gt;"","Booked",IF(O79="","Set start date",IF(O79&lt;AsOf,"Overdue — book now",IF(O79&lt;=AsOf+7,"Due this week — book","Upcoming"))))))</f>
        <v/>
      </c>
      <c r="R79" s="54">
        <f>IF(B79="","",IF(J79="Active",N(F79)*IFERROR(INDEX('PRICING'!$D$28:$D$33,MATCH(E79,'PRICING'!$A$28:$A$33,0)),0),0))</f>
        <v/>
      </c>
      <c r="S79" s="54">
        <f>IF(B79="","",R79*12)</f>
        <v/>
      </c>
      <c r="T79" s="49">
        <f>IF(B79="","",IF(OR(Q79="Overdue — book now",Q79="Due this week — book"),1,0))</f>
        <v/>
      </c>
      <c r="U79" s="49">
        <f>IF(N(T79)&lt;&gt;1,"",COUNTIFS('RECURRING'!$T$5:$T$154,1,'RECURRING'!$O$5:$O$154,"&lt;"&amp;O79)+COUNTIFS($T$5:T79,1,$O$5:O79,O79))</f>
        <v/>
      </c>
    </row>
    <row r="80">
      <c r="A80" s="46" t="inlineStr">
        <is>
          <t>R-076</t>
        </is>
      </c>
      <c r="B80" s="38" t="n"/>
      <c r="C80" s="38" t="n"/>
      <c r="D80" s="38" t="n"/>
      <c r="E80" s="38" t="n"/>
      <c r="F80" s="48" t="n"/>
      <c r="G80" s="38" t="n"/>
      <c r="H80" s="47" t="n"/>
      <c r="I80" s="38" t="n"/>
      <c r="J80" s="38" t="n"/>
      <c r="K80" s="38" t="n"/>
      <c r="L80" s="53">
        <f>IF(B80="","",COUNTIFS('JOBS'!$G$5:$G$1504,A80,'JOBS'!$O$5:$O$1504,"Completed"))</f>
        <v/>
      </c>
      <c r="M80" s="52">
        <f>IF(B80="","",IF(_xlfn.MAXIFS('JOBS'!$B$5:$B$1504,'JOBS'!$G$5:$G$1504,A80,'JOBS'!$O$5:$O$1504,"Completed")=0,"",_xlfn.MAXIFS('JOBS'!$B$5:$B$1504,'JOBS'!$G$5:$G$1504,A80,'JOBS'!$O$5:$O$1504,"Completed")))</f>
        <v/>
      </c>
      <c r="N80" s="52">
        <f>IF(B80="","",IF(_xlfn.MINIFS('JOBS'!$B$5:$B$1504,'JOBS'!$G$5:$G$1504,A80,'JOBS'!$O$5:$O$1504,"Scheduled",'JOBS'!$B$5:$B$1504,"&gt;="&amp;AsOf)=0,"",_xlfn.MINIFS('JOBS'!$B$5:$B$1504,'JOBS'!$G$5:$G$1504,A80,'JOBS'!$O$5:$O$1504,"Scheduled",'JOBS'!$B$5:$B$1504,"&gt;="&amp;AsOf)))</f>
        <v/>
      </c>
      <c r="O80" s="52">
        <f>IF(B80="","",IF(N80&lt;&gt;"",N80,IF(M80="",IF(H80="","",H80),IF(E80="Monthly",EDATE(M80,1),M80+IFERROR(INDEX('PRICING'!$C$28:$C$33,MATCH(E80,'PRICING'!$A$28:$A$33,0)),14)))))</f>
        <v/>
      </c>
      <c r="P80" s="101">
        <f>IF(O80="","",O80-AsOf)</f>
        <v/>
      </c>
      <c r="Q80" s="49">
        <f>IF(B80="","",IF(J80&lt;&gt;"Active","—",IF(N80&lt;&gt;"","Booked",IF(O80="","Set start date",IF(O80&lt;AsOf,"Overdue — book now",IF(O80&lt;=AsOf+7,"Due this week — book","Upcoming"))))))</f>
        <v/>
      </c>
      <c r="R80" s="54">
        <f>IF(B80="","",IF(J80="Active",N(F80)*IFERROR(INDEX('PRICING'!$D$28:$D$33,MATCH(E80,'PRICING'!$A$28:$A$33,0)),0),0))</f>
        <v/>
      </c>
      <c r="S80" s="54">
        <f>IF(B80="","",R80*12)</f>
        <v/>
      </c>
      <c r="T80" s="49">
        <f>IF(B80="","",IF(OR(Q80="Overdue — book now",Q80="Due this week — book"),1,0))</f>
        <v/>
      </c>
      <c r="U80" s="49">
        <f>IF(N(T80)&lt;&gt;1,"",COUNTIFS('RECURRING'!$T$5:$T$154,1,'RECURRING'!$O$5:$O$154,"&lt;"&amp;O80)+COUNTIFS($T$5:T80,1,$O$5:O80,O80))</f>
        <v/>
      </c>
    </row>
    <row r="81">
      <c r="A81" s="46" t="inlineStr">
        <is>
          <t>R-077</t>
        </is>
      </c>
      <c r="B81" s="38" t="n"/>
      <c r="C81" s="38" t="n"/>
      <c r="D81" s="38" t="n"/>
      <c r="E81" s="38" t="n"/>
      <c r="F81" s="48" t="n"/>
      <c r="G81" s="38" t="n"/>
      <c r="H81" s="47" t="n"/>
      <c r="I81" s="38" t="n"/>
      <c r="J81" s="38" t="n"/>
      <c r="K81" s="38" t="n"/>
      <c r="L81" s="53">
        <f>IF(B81="","",COUNTIFS('JOBS'!$G$5:$G$1504,A81,'JOBS'!$O$5:$O$1504,"Completed"))</f>
        <v/>
      </c>
      <c r="M81" s="52">
        <f>IF(B81="","",IF(_xlfn.MAXIFS('JOBS'!$B$5:$B$1504,'JOBS'!$G$5:$G$1504,A81,'JOBS'!$O$5:$O$1504,"Completed")=0,"",_xlfn.MAXIFS('JOBS'!$B$5:$B$1504,'JOBS'!$G$5:$G$1504,A81,'JOBS'!$O$5:$O$1504,"Completed")))</f>
        <v/>
      </c>
      <c r="N81" s="52">
        <f>IF(B81="","",IF(_xlfn.MINIFS('JOBS'!$B$5:$B$1504,'JOBS'!$G$5:$G$1504,A81,'JOBS'!$O$5:$O$1504,"Scheduled",'JOBS'!$B$5:$B$1504,"&gt;="&amp;AsOf)=0,"",_xlfn.MINIFS('JOBS'!$B$5:$B$1504,'JOBS'!$G$5:$G$1504,A81,'JOBS'!$O$5:$O$1504,"Scheduled",'JOBS'!$B$5:$B$1504,"&gt;="&amp;AsOf)))</f>
        <v/>
      </c>
      <c r="O81" s="52">
        <f>IF(B81="","",IF(N81&lt;&gt;"",N81,IF(M81="",IF(H81="","",H81),IF(E81="Monthly",EDATE(M81,1),M81+IFERROR(INDEX('PRICING'!$C$28:$C$33,MATCH(E81,'PRICING'!$A$28:$A$33,0)),14)))))</f>
        <v/>
      </c>
      <c r="P81" s="101">
        <f>IF(O81="","",O81-AsOf)</f>
        <v/>
      </c>
      <c r="Q81" s="49">
        <f>IF(B81="","",IF(J81&lt;&gt;"Active","—",IF(N81&lt;&gt;"","Booked",IF(O81="","Set start date",IF(O81&lt;AsOf,"Overdue — book now",IF(O81&lt;=AsOf+7,"Due this week — book","Upcoming"))))))</f>
        <v/>
      </c>
      <c r="R81" s="54">
        <f>IF(B81="","",IF(J81="Active",N(F81)*IFERROR(INDEX('PRICING'!$D$28:$D$33,MATCH(E81,'PRICING'!$A$28:$A$33,0)),0),0))</f>
        <v/>
      </c>
      <c r="S81" s="54">
        <f>IF(B81="","",R81*12)</f>
        <v/>
      </c>
      <c r="T81" s="49">
        <f>IF(B81="","",IF(OR(Q81="Overdue — book now",Q81="Due this week — book"),1,0))</f>
        <v/>
      </c>
      <c r="U81" s="49">
        <f>IF(N(T81)&lt;&gt;1,"",COUNTIFS('RECURRING'!$T$5:$T$154,1,'RECURRING'!$O$5:$O$154,"&lt;"&amp;O81)+COUNTIFS($T$5:T81,1,$O$5:O81,O81))</f>
        <v/>
      </c>
    </row>
    <row r="82">
      <c r="A82" s="46" t="inlineStr">
        <is>
          <t>R-078</t>
        </is>
      </c>
      <c r="B82" s="38" t="n"/>
      <c r="C82" s="38" t="n"/>
      <c r="D82" s="38" t="n"/>
      <c r="E82" s="38" t="n"/>
      <c r="F82" s="48" t="n"/>
      <c r="G82" s="38" t="n"/>
      <c r="H82" s="47" t="n"/>
      <c r="I82" s="38" t="n"/>
      <c r="J82" s="38" t="n"/>
      <c r="K82" s="38" t="n"/>
      <c r="L82" s="53">
        <f>IF(B82="","",COUNTIFS('JOBS'!$G$5:$G$1504,A82,'JOBS'!$O$5:$O$1504,"Completed"))</f>
        <v/>
      </c>
      <c r="M82" s="52">
        <f>IF(B82="","",IF(_xlfn.MAXIFS('JOBS'!$B$5:$B$1504,'JOBS'!$G$5:$G$1504,A82,'JOBS'!$O$5:$O$1504,"Completed")=0,"",_xlfn.MAXIFS('JOBS'!$B$5:$B$1504,'JOBS'!$G$5:$G$1504,A82,'JOBS'!$O$5:$O$1504,"Completed")))</f>
        <v/>
      </c>
      <c r="N82" s="52">
        <f>IF(B82="","",IF(_xlfn.MINIFS('JOBS'!$B$5:$B$1504,'JOBS'!$G$5:$G$1504,A82,'JOBS'!$O$5:$O$1504,"Scheduled",'JOBS'!$B$5:$B$1504,"&gt;="&amp;AsOf)=0,"",_xlfn.MINIFS('JOBS'!$B$5:$B$1504,'JOBS'!$G$5:$G$1504,A82,'JOBS'!$O$5:$O$1504,"Scheduled",'JOBS'!$B$5:$B$1504,"&gt;="&amp;AsOf)))</f>
        <v/>
      </c>
      <c r="O82" s="52">
        <f>IF(B82="","",IF(N82&lt;&gt;"",N82,IF(M82="",IF(H82="","",H82),IF(E82="Monthly",EDATE(M82,1),M82+IFERROR(INDEX('PRICING'!$C$28:$C$33,MATCH(E82,'PRICING'!$A$28:$A$33,0)),14)))))</f>
        <v/>
      </c>
      <c r="P82" s="101">
        <f>IF(O82="","",O82-AsOf)</f>
        <v/>
      </c>
      <c r="Q82" s="49">
        <f>IF(B82="","",IF(J82&lt;&gt;"Active","—",IF(N82&lt;&gt;"","Booked",IF(O82="","Set start date",IF(O82&lt;AsOf,"Overdue — book now",IF(O82&lt;=AsOf+7,"Due this week — book","Upcoming"))))))</f>
        <v/>
      </c>
      <c r="R82" s="54">
        <f>IF(B82="","",IF(J82="Active",N(F82)*IFERROR(INDEX('PRICING'!$D$28:$D$33,MATCH(E82,'PRICING'!$A$28:$A$33,0)),0),0))</f>
        <v/>
      </c>
      <c r="S82" s="54">
        <f>IF(B82="","",R82*12)</f>
        <v/>
      </c>
      <c r="T82" s="49">
        <f>IF(B82="","",IF(OR(Q82="Overdue — book now",Q82="Due this week — book"),1,0))</f>
        <v/>
      </c>
      <c r="U82" s="49">
        <f>IF(N(T82)&lt;&gt;1,"",COUNTIFS('RECURRING'!$T$5:$T$154,1,'RECURRING'!$O$5:$O$154,"&lt;"&amp;O82)+COUNTIFS($T$5:T82,1,$O$5:O82,O82))</f>
        <v/>
      </c>
    </row>
    <row r="83">
      <c r="A83" s="46" t="inlineStr">
        <is>
          <t>R-079</t>
        </is>
      </c>
      <c r="B83" s="38" t="n"/>
      <c r="C83" s="38" t="n"/>
      <c r="D83" s="38" t="n"/>
      <c r="E83" s="38" t="n"/>
      <c r="F83" s="48" t="n"/>
      <c r="G83" s="38" t="n"/>
      <c r="H83" s="47" t="n"/>
      <c r="I83" s="38" t="n"/>
      <c r="J83" s="38" t="n"/>
      <c r="K83" s="38" t="n"/>
      <c r="L83" s="53">
        <f>IF(B83="","",COUNTIFS('JOBS'!$G$5:$G$1504,A83,'JOBS'!$O$5:$O$1504,"Completed"))</f>
        <v/>
      </c>
      <c r="M83" s="52">
        <f>IF(B83="","",IF(_xlfn.MAXIFS('JOBS'!$B$5:$B$1504,'JOBS'!$G$5:$G$1504,A83,'JOBS'!$O$5:$O$1504,"Completed")=0,"",_xlfn.MAXIFS('JOBS'!$B$5:$B$1504,'JOBS'!$G$5:$G$1504,A83,'JOBS'!$O$5:$O$1504,"Completed")))</f>
        <v/>
      </c>
      <c r="N83" s="52">
        <f>IF(B83="","",IF(_xlfn.MINIFS('JOBS'!$B$5:$B$1504,'JOBS'!$G$5:$G$1504,A83,'JOBS'!$O$5:$O$1504,"Scheduled",'JOBS'!$B$5:$B$1504,"&gt;="&amp;AsOf)=0,"",_xlfn.MINIFS('JOBS'!$B$5:$B$1504,'JOBS'!$G$5:$G$1504,A83,'JOBS'!$O$5:$O$1504,"Scheduled",'JOBS'!$B$5:$B$1504,"&gt;="&amp;AsOf)))</f>
        <v/>
      </c>
      <c r="O83" s="52">
        <f>IF(B83="","",IF(N83&lt;&gt;"",N83,IF(M83="",IF(H83="","",H83),IF(E83="Monthly",EDATE(M83,1),M83+IFERROR(INDEX('PRICING'!$C$28:$C$33,MATCH(E83,'PRICING'!$A$28:$A$33,0)),14)))))</f>
        <v/>
      </c>
      <c r="P83" s="101">
        <f>IF(O83="","",O83-AsOf)</f>
        <v/>
      </c>
      <c r="Q83" s="49">
        <f>IF(B83="","",IF(J83&lt;&gt;"Active","—",IF(N83&lt;&gt;"","Booked",IF(O83="","Set start date",IF(O83&lt;AsOf,"Overdue — book now",IF(O83&lt;=AsOf+7,"Due this week — book","Upcoming"))))))</f>
        <v/>
      </c>
      <c r="R83" s="54">
        <f>IF(B83="","",IF(J83="Active",N(F83)*IFERROR(INDEX('PRICING'!$D$28:$D$33,MATCH(E83,'PRICING'!$A$28:$A$33,0)),0),0))</f>
        <v/>
      </c>
      <c r="S83" s="54">
        <f>IF(B83="","",R83*12)</f>
        <v/>
      </c>
      <c r="T83" s="49">
        <f>IF(B83="","",IF(OR(Q83="Overdue — book now",Q83="Due this week — book"),1,0))</f>
        <v/>
      </c>
      <c r="U83" s="49">
        <f>IF(N(T83)&lt;&gt;1,"",COUNTIFS('RECURRING'!$T$5:$T$154,1,'RECURRING'!$O$5:$O$154,"&lt;"&amp;O83)+COUNTIFS($T$5:T83,1,$O$5:O83,O83))</f>
        <v/>
      </c>
    </row>
    <row r="84">
      <c r="A84" s="46" t="inlineStr">
        <is>
          <t>R-080</t>
        </is>
      </c>
      <c r="B84" s="38" t="n"/>
      <c r="C84" s="38" t="n"/>
      <c r="D84" s="38" t="n"/>
      <c r="E84" s="38" t="n"/>
      <c r="F84" s="48" t="n"/>
      <c r="G84" s="38" t="n"/>
      <c r="H84" s="47" t="n"/>
      <c r="I84" s="38" t="n"/>
      <c r="J84" s="38" t="n"/>
      <c r="K84" s="38" t="n"/>
      <c r="L84" s="53">
        <f>IF(B84="","",COUNTIFS('JOBS'!$G$5:$G$1504,A84,'JOBS'!$O$5:$O$1504,"Completed"))</f>
        <v/>
      </c>
      <c r="M84" s="52">
        <f>IF(B84="","",IF(_xlfn.MAXIFS('JOBS'!$B$5:$B$1504,'JOBS'!$G$5:$G$1504,A84,'JOBS'!$O$5:$O$1504,"Completed")=0,"",_xlfn.MAXIFS('JOBS'!$B$5:$B$1504,'JOBS'!$G$5:$G$1504,A84,'JOBS'!$O$5:$O$1504,"Completed")))</f>
        <v/>
      </c>
      <c r="N84" s="52">
        <f>IF(B84="","",IF(_xlfn.MINIFS('JOBS'!$B$5:$B$1504,'JOBS'!$G$5:$G$1504,A84,'JOBS'!$O$5:$O$1504,"Scheduled",'JOBS'!$B$5:$B$1504,"&gt;="&amp;AsOf)=0,"",_xlfn.MINIFS('JOBS'!$B$5:$B$1504,'JOBS'!$G$5:$G$1504,A84,'JOBS'!$O$5:$O$1504,"Scheduled",'JOBS'!$B$5:$B$1504,"&gt;="&amp;AsOf)))</f>
        <v/>
      </c>
      <c r="O84" s="52">
        <f>IF(B84="","",IF(N84&lt;&gt;"",N84,IF(M84="",IF(H84="","",H84),IF(E84="Monthly",EDATE(M84,1),M84+IFERROR(INDEX('PRICING'!$C$28:$C$33,MATCH(E84,'PRICING'!$A$28:$A$33,0)),14)))))</f>
        <v/>
      </c>
      <c r="P84" s="101">
        <f>IF(O84="","",O84-AsOf)</f>
        <v/>
      </c>
      <c r="Q84" s="49">
        <f>IF(B84="","",IF(J84&lt;&gt;"Active","—",IF(N84&lt;&gt;"","Booked",IF(O84="","Set start date",IF(O84&lt;AsOf,"Overdue — book now",IF(O84&lt;=AsOf+7,"Due this week — book","Upcoming"))))))</f>
        <v/>
      </c>
      <c r="R84" s="54">
        <f>IF(B84="","",IF(J84="Active",N(F84)*IFERROR(INDEX('PRICING'!$D$28:$D$33,MATCH(E84,'PRICING'!$A$28:$A$33,0)),0),0))</f>
        <v/>
      </c>
      <c r="S84" s="54">
        <f>IF(B84="","",R84*12)</f>
        <v/>
      </c>
      <c r="T84" s="49">
        <f>IF(B84="","",IF(OR(Q84="Overdue — book now",Q84="Due this week — book"),1,0))</f>
        <v/>
      </c>
      <c r="U84" s="49">
        <f>IF(N(T84)&lt;&gt;1,"",COUNTIFS('RECURRING'!$T$5:$T$154,1,'RECURRING'!$O$5:$O$154,"&lt;"&amp;O84)+COUNTIFS($T$5:T84,1,$O$5:O84,O84))</f>
        <v/>
      </c>
    </row>
    <row r="85">
      <c r="A85" s="46" t="inlineStr">
        <is>
          <t>R-081</t>
        </is>
      </c>
      <c r="B85" s="38" t="n"/>
      <c r="C85" s="38" t="n"/>
      <c r="D85" s="38" t="n"/>
      <c r="E85" s="38" t="n"/>
      <c r="F85" s="48" t="n"/>
      <c r="G85" s="38" t="n"/>
      <c r="H85" s="47" t="n"/>
      <c r="I85" s="38" t="n"/>
      <c r="J85" s="38" t="n"/>
      <c r="K85" s="38" t="n"/>
      <c r="L85" s="53">
        <f>IF(B85="","",COUNTIFS('JOBS'!$G$5:$G$1504,A85,'JOBS'!$O$5:$O$1504,"Completed"))</f>
        <v/>
      </c>
      <c r="M85" s="52">
        <f>IF(B85="","",IF(_xlfn.MAXIFS('JOBS'!$B$5:$B$1504,'JOBS'!$G$5:$G$1504,A85,'JOBS'!$O$5:$O$1504,"Completed")=0,"",_xlfn.MAXIFS('JOBS'!$B$5:$B$1504,'JOBS'!$G$5:$G$1504,A85,'JOBS'!$O$5:$O$1504,"Completed")))</f>
        <v/>
      </c>
      <c r="N85" s="52">
        <f>IF(B85="","",IF(_xlfn.MINIFS('JOBS'!$B$5:$B$1504,'JOBS'!$G$5:$G$1504,A85,'JOBS'!$O$5:$O$1504,"Scheduled",'JOBS'!$B$5:$B$1504,"&gt;="&amp;AsOf)=0,"",_xlfn.MINIFS('JOBS'!$B$5:$B$1504,'JOBS'!$G$5:$G$1504,A85,'JOBS'!$O$5:$O$1504,"Scheduled",'JOBS'!$B$5:$B$1504,"&gt;="&amp;AsOf)))</f>
        <v/>
      </c>
      <c r="O85" s="52">
        <f>IF(B85="","",IF(N85&lt;&gt;"",N85,IF(M85="",IF(H85="","",H85),IF(E85="Monthly",EDATE(M85,1),M85+IFERROR(INDEX('PRICING'!$C$28:$C$33,MATCH(E85,'PRICING'!$A$28:$A$33,0)),14)))))</f>
        <v/>
      </c>
      <c r="P85" s="101">
        <f>IF(O85="","",O85-AsOf)</f>
        <v/>
      </c>
      <c r="Q85" s="49">
        <f>IF(B85="","",IF(J85&lt;&gt;"Active","—",IF(N85&lt;&gt;"","Booked",IF(O85="","Set start date",IF(O85&lt;AsOf,"Overdue — book now",IF(O85&lt;=AsOf+7,"Due this week — book","Upcoming"))))))</f>
        <v/>
      </c>
      <c r="R85" s="54">
        <f>IF(B85="","",IF(J85="Active",N(F85)*IFERROR(INDEX('PRICING'!$D$28:$D$33,MATCH(E85,'PRICING'!$A$28:$A$33,0)),0),0))</f>
        <v/>
      </c>
      <c r="S85" s="54">
        <f>IF(B85="","",R85*12)</f>
        <v/>
      </c>
      <c r="T85" s="49">
        <f>IF(B85="","",IF(OR(Q85="Overdue — book now",Q85="Due this week — book"),1,0))</f>
        <v/>
      </c>
      <c r="U85" s="49">
        <f>IF(N(T85)&lt;&gt;1,"",COUNTIFS('RECURRING'!$T$5:$T$154,1,'RECURRING'!$O$5:$O$154,"&lt;"&amp;O85)+COUNTIFS($T$5:T85,1,$O$5:O85,O85))</f>
        <v/>
      </c>
    </row>
    <row r="86">
      <c r="A86" s="46" t="inlineStr">
        <is>
          <t>R-082</t>
        </is>
      </c>
      <c r="B86" s="38" t="n"/>
      <c r="C86" s="38" t="n"/>
      <c r="D86" s="38" t="n"/>
      <c r="E86" s="38" t="n"/>
      <c r="F86" s="48" t="n"/>
      <c r="G86" s="38" t="n"/>
      <c r="H86" s="47" t="n"/>
      <c r="I86" s="38" t="n"/>
      <c r="J86" s="38" t="n"/>
      <c r="K86" s="38" t="n"/>
      <c r="L86" s="53">
        <f>IF(B86="","",COUNTIFS('JOBS'!$G$5:$G$1504,A86,'JOBS'!$O$5:$O$1504,"Completed"))</f>
        <v/>
      </c>
      <c r="M86" s="52">
        <f>IF(B86="","",IF(_xlfn.MAXIFS('JOBS'!$B$5:$B$1504,'JOBS'!$G$5:$G$1504,A86,'JOBS'!$O$5:$O$1504,"Completed")=0,"",_xlfn.MAXIFS('JOBS'!$B$5:$B$1504,'JOBS'!$G$5:$G$1504,A86,'JOBS'!$O$5:$O$1504,"Completed")))</f>
        <v/>
      </c>
      <c r="N86" s="52">
        <f>IF(B86="","",IF(_xlfn.MINIFS('JOBS'!$B$5:$B$1504,'JOBS'!$G$5:$G$1504,A86,'JOBS'!$O$5:$O$1504,"Scheduled",'JOBS'!$B$5:$B$1504,"&gt;="&amp;AsOf)=0,"",_xlfn.MINIFS('JOBS'!$B$5:$B$1504,'JOBS'!$G$5:$G$1504,A86,'JOBS'!$O$5:$O$1504,"Scheduled",'JOBS'!$B$5:$B$1504,"&gt;="&amp;AsOf)))</f>
        <v/>
      </c>
      <c r="O86" s="52">
        <f>IF(B86="","",IF(N86&lt;&gt;"",N86,IF(M86="",IF(H86="","",H86),IF(E86="Monthly",EDATE(M86,1),M86+IFERROR(INDEX('PRICING'!$C$28:$C$33,MATCH(E86,'PRICING'!$A$28:$A$33,0)),14)))))</f>
        <v/>
      </c>
      <c r="P86" s="101">
        <f>IF(O86="","",O86-AsOf)</f>
        <v/>
      </c>
      <c r="Q86" s="49">
        <f>IF(B86="","",IF(J86&lt;&gt;"Active","—",IF(N86&lt;&gt;"","Booked",IF(O86="","Set start date",IF(O86&lt;AsOf,"Overdue — book now",IF(O86&lt;=AsOf+7,"Due this week — book","Upcoming"))))))</f>
        <v/>
      </c>
      <c r="R86" s="54">
        <f>IF(B86="","",IF(J86="Active",N(F86)*IFERROR(INDEX('PRICING'!$D$28:$D$33,MATCH(E86,'PRICING'!$A$28:$A$33,0)),0),0))</f>
        <v/>
      </c>
      <c r="S86" s="54">
        <f>IF(B86="","",R86*12)</f>
        <v/>
      </c>
      <c r="T86" s="49">
        <f>IF(B86="","",IF(OR(Q86="Overdue — book now",Q86="Due this week — book"),1,0))</f>
        <v/>
      </c>
      <c r="U86" s="49">
        <f>IF(N(T86)&lt;&gt;1,"",COUNTIFS('RECURRING'!$T$5:$T$154,1,'RECURRING'!$O$5:$O$154,"&lt;"&amp;O86)+COUNTIFS($T$5:T86,1,$O$5:O86,O86))</f>
        <v/>
      </c>
    </row>
    <row r="87">
      <c r="A87" s="46" t="inlineStr">
        <is>
          <t>R-083</t>
        </is>
      </c>
      <c r="B87" s="38" t="n"/>
      <c r="C87" s="38" t="n"/>
      <c r="D87" s="38" t="n"/>
      <c r="E87" s="38" t="n"/>
      <c r="F87" s="48" t="n"/>
      <c r="G87" s="38" t="n"/>
      <c r="H87" s="47" t="n"/>
      <c r="I87" s="38" t="n"/>
      <c r="J87" s="38" t="n"/>
      <c r="K87" s="38" t="n"/>
      <c r="L87" s="53">
        <f>IF(B87="","",COUNTIFS('JOBS'!$G$5:$G$1504,A87,'JOBS'!$O$5:$O$1504,"Completed"))</f>
        <v/>
      </c>
      <c r="M87" s="52">
        <f>IF(B87="","",IF(_xlfn.MAXIFS('JOBS'!$B$5:$B$1504,'JOBS'!$G$5:$G$1504,A87,'JOBS'!$O$5:$O$1504,"Completed")=0,"",_xlfn.MAXIFS('JOBS'!$B$5:$B$1504,'JOBS'!$G$5:$G$1504,A87,'JOBS'!$O$5:$O$1504,"Completed")))</f>
        <v/>
      </c>
      <c r="N87" s="52">
        <f>IF(B87="","",IF(_xlfn.MINIFS('JOBS'!$B$5:$B$1504,'JOBS'!$G$5:$G$1504,A87,'JOBS'!$O$5:$O$1504,"Scheduled",'JOBS'!$B$5:$B$1504,"&gt;="&amp;AsOf)=0,"",_xlfn.MINIFS('JOBS'!$B$5:$B$1504,'JOBS'!$G$5:$G$1504,A87,'JOBS'!$O$5:$O$1504,"Scheduled",'JOBS'!$B$5:$B$1504,"&gt;="&amp;AsOf)))</f>
        <v/>
      </c>
      <c r="O87" s="52">
        <f>IF(B87="","",IF(N87&lt;&gt;"",N87,IF(M87="",IF(H87="","",H87),IF(E87="Monthly",EDATE(M87,1),M87+IFERROR(INDEX('PRICING'!$C$28:$C$33,MATCH(E87,'PRICING'!$A$28:$A$33,0)),14)))))</f>
        <v/>
      </c>
      <c r="P87" s="101">
        <f>IF(O87="","",O87-AsOf)</f>
        <v/>
      </c>
      <c r="Q87" s="49">
        <f>IF(B87="","",IF(J87&lt;&gt;"Active","—",IF(N87&lt;&gt;"","Booked",IF(O87="","Set start date",IF(O87&lt;AsOf,"Overdue — book now",IF(O87&lt;=AsOf+7,"Due this week — book","Upcoming"))))))</f>
        <v/>
      </c>
      <c r="R87" s="54">
        <f>IF(B87="","",IF(J87="Active",N(F87)*IFERROR(INDEX('PRICING'!$D$28:$D$33,MATCH(E87,'PRICING'!$A$28:$A$33,0)),0),0))</f>
        <v/>
      </c>
      <c r="S87" s="54">
        <f>IF(B87="","",R87*12)</f>
        <v/>
      </c>
      <c r="T87" s="49">
        <f>IF(B87="","",IF(OR(Q87="Overdue — book now",Q87="Due this week — book"),1,0))</f>
        <v/>
      </c>
      <c r="U87" s="49">
        <f>IF(N(T87)&lt;&gt;1,"",COUNTIFS('RECURRING'!$T$5:$T$154,1,'RECURRING'!$O$5:$O$154,"&lt;"&amp;O87)+COUNTIFS($T$5:T87,1,$O$5:O87,O87))</f>
        <v/>
      </c>
    </row>
    <row r="88">
      <c r="A88" s="46" t="inlineStr">
        <is>
          <t>R-084</t>
        </is>
      </c>
      <c r="B88" s="38" t="n"/>
      <c r="C88" s="38" t="n"/>
      <c r="D88" s="38" t="n"/>
      <c r="E88" s="38" t="n"/>
      <c r="F88" s="48" t="n"/>
      <c r="G88" s="38" t="n"/>
      <c r="H88" s="47" t="n"/>
      <c r="I88" s="38" t="n"/>
      <c r="J88" s="38" t="n"/>
      <c r="K88" s="38" t="n"/>
      <c r="L88" s="53">
        <f>IF(B88="","",COUNTIFS('JOBS'!$G$5:$G$1504,A88,'JOBS'!$O$5:$O$1504,"Completed"))</f>
        <v/>
      </c>
      <c r="M88" s="52">
        <f>IF(B88="","",IF(_xlfn.MAXIFS('JOBS'!$B$5:$B$1504,'JOBS'!$G$5:$G$1504,A88,'JOBS'!$O$5:$O$1504,"Completed")=0,"",_xlfn.MAXIFS('JOBS'!$B$5:$B$1504,'JOBS'!$G$5:$G$1504,A88,'JOBS'!$O$5:$O$1504,"Completed")))</f>
        <v/>
      </c>
      <c r="N88" s="52">
        <f>IF(B88="","",IF(_xlfn.MINIFS('JOBS'!$B$5:$B$1504,'JOBS'!$G$5:$G$1504,A88,'JOBS'!$O$5:$O$1504,"Scheduled",'JOBS'!$B$5:$B$1504,"&gt;="&amp;AsOf)=0,"",_xlfn.MINIFS('JOBS'!$B$5:$B$1504,'JOBS'!$G$5:$G$1504,A88,'JOBS'!$O$5:$O$1504,"Scheduled",'JOBS'!$B$5:$B$1504,"&gt;="&amp;AsOf)))</f>
        <v/>
      </c>
      <c r="O88" s="52">
        <f>IF(B88="","",IF(N88&lt;&gt;"",N88,IF(M88="",IF(H88="","",H88),IF(E88="Monthly",EDATE(M88,1),M88+IFERROR(INDEX('PRICING'!$C$28:$C$33,MATCH(E88,'PRICING'!$A$28:$A$33,0)),14)))))</f>
        <v/>
      </c>
      <c r="P88" s="101">
        <f>IF(O88="","",O88-AsOf)</f>
        <v/>
      </c>
      <c r="Q88" s="49">
        <f>IF(B88="","",IF(J88&lt;&gt;"Active","—",IF(N88&lt;&gt;"","Booked",IF(O88="","Set start date",IF(O88&lt;AsOf,"Overdue — book now",IF(O88&lt;=AsOf+7,"Due this week — book","Upcoming"))))))</f>
        <v/>
      </c>
      <c r="R88" s="54">
        <f>IF(B88="","",IF(J88="Active",N(F88)*IFERROR(INDEX('PRICING'!$D$28:$D$33,MATCH(E88,'PRICING'!$A$28:$A$33,0)),0),0))</f>
        <v/>
      </c>
      <c r="S88" s="54">
        <f>IF(B88="","",R88*12)</f>
        <v/>
      </c>
      <c r="T88" s="49">
        <f>IF(B88="","",IF(OR(Q88="Overdue — book now",Q88="Due this week — book"),1,0))</f>
        <v/>
      </c>
      <c r="U88" s="49">
        <f>IF(N(T88)&lt;&gt;1,"",COUNTIFS('RECURRING'!$T$5:$T$154,1,'RECURRING'!$O$5:$O$154,"&lt;"&amp;O88)+COUNTIFS($T$5:T88,1,$O$5:O88,O88))</f>
        <v/>
      </c>
    </row>
    <row r="89">
      <c r="A89" s="46" t="inlineStr">
        <is>
          <t>R-085</t>
        </is>
      </c>
      <c r="B89" s="38" t="n"/>
      <c r="C89" s="38" t="n"/>
      <c r="D89" s="38" t="n"/>
      <c r="E89" s="38" t="n"/>
      <c r="F89" s="48" t="n"/>
      <c r="G89" s="38" t="n"/>
      <c r="H89" s="47" t="n"/>
      <c r="I89" s="38" t="n"/>
      <c r="J89" s="38" t="n"/>
      <c r="K89" s="38" t="n"/>
      <c r="L89" s="53">
        <f>IF(B89="","",COUNTIFS('JOBS'!$G$5:$G$1504,A89,'JOBS'!$O$5:$O$1504,"Completed"))</f>
        <v/>
      </c>
      <c r="M89" s="52">
        <f>IF(B89="","",IF(_xlfn.MAXIFS('JOBS'!$B$5:$B$1504,'JOBS'!$G$5:$G$1504,A89,'JOBS'!$O$5:$O$1504,"Completed")=0,"",_xlfn.MAXIFS('JOBS'!$B$5:$B$1504,'JOBS'!$G$5:$G$1504,A89,'JOBS'!$O$5:$O$1504,"Completed")))</f>
        <v/>
      </c>
      <c r="N89" s="52">
        <f>IF(B89="","",IF(_xlfn.MINIFS('JOBS'!$B$5:$B$1504,'JOBS'!$G$5:$G$1504,A89,'JOBS'!$O$5:$O$1504,"Scheduled",'JOBS'!$B$5:$B$1504,"&gt;="&amp;AsOf)=0,"",_xlfn.MINIFS('JOBS'!$B$5:$B$1504,'JOBS'!$G$5:$G$1504,A89,'JOBS'!$O$5:$O$1504,"Scheduled",'JOBS'!$B$5:$B$1504,"&gt;="&amp;AsOf)))</f>
        <v/>
      </c>
      <c r="O89" s="52">
        <f>IF(B89="","",IF(N89&lt;&gt;"",N89,IF(M89="",IF(H89="","",H89),IF(E89="Monthly",EDATE(M89,1),M89+IFERROR(INDEX('PRICING'!$C$28:$C$33,MATCH(E89,'PRICING'!$A$28:$A$33,0)),14)))))</f>
        <v/>
      </c>
      <c r="P89" s="101">
        <f>IF(O89="","",O89-AsOf)</f>
        <v/>
      </c>
      <c r="Q89" s="49">
        <f>IF(B89="","",IF(J89&lt;&gt;"Active","—",IF(N89&lt;&gt;"","Booked",IF(O89="","Set start date",IF(O89&lt;AsOf,"Overdue — book now",IF(O89&lt;=AsOf+7,"Due this week — book","Upcoming"))))))</f>
        <v/>
      </c>
      <c r="R89" s="54">
        <f>IF(B89="","",IF(J89="Active",N(F89)*IFERROR(INDEX('PRICING'!$D$28:$D$33,MATCH(E89,'PRICING'!$A$28:$A$33,0)),0),0))</f>
        <v/>
      </c>
      <c r="S89" s="54">
        <f>IF(B89="","",R89*12)</f>
        <v/>
      </c>
      <c r="T89" s="49">
        <f>IF(B89="","",IF(OR(Q89="Overdue — book now",Q89="Due this week — book"),1,0))</f>
        <v/>
      </c>
      <c r="U89" s="49">
        <f>IF(N(T89)&lt;&gt;1,"",COUNTIFS('RECURRING'!$T$5:$T$154,1,'RECURRING'!$O$5:$O$154,"&lt;"&amp;O89)+COUNTIFS($T$5:T89,1,$O$5:O89,O89))</f>
        <v/>
      </c>
    </row>
    <row r="90">
      <c r="A90" s="46" t="inlineStr">
        <is>
          <t>R-086</t>
        </is>
      </c>
      <c r="B90" s="38" t="n"/>
      <c r="C90" s="38" t="n"/>
      <c r="D90" s="38" t="n"/>
      <c r="E90" s="38" t="n"/>
      <c r="F90" s="48" t="n"/>
      <c r="G90" s="38" t="n"/>
      <c r="H90" s="47" t="n"/>
      <c r="I90" s="38" t="n"/>
      <c r="J90" s="38" t="n"/>
      <c r="K90" s="38" t="n"/>
      <c r="L90" s="53">
        <f>IF(B90="","",COUNTIFS('JOBS'!$G$5:$G$1504,A90,'JOBS'!$O$5:$O$1504,"Completed"))</f>
        <v/>
      </c>
      <c r="M90" s="52">
        <f>IF(B90="","",IF(_xlfn.MAXIFS('JOBS'!$B$5:$B$1504,'JOBS'!$G$5:$G$1504,A90,'JOBS'!$O$5:$O$1504,"Completed")=0,"",_xlfn.MAXIFS('JOBS'!$B$5:$B$1504,'JOBS'!$G$5:$G$1504,A90,'JOBS'!$O$5:$O$1504,"Completed")))</f>
        <v/>
      </c>
      <c r="N90" s="52">
        <f>IF(B90="","",IF(_xlfn.MINIFS('JOBS'!$B$5:$B$1504,'JOBS'!$G$5:$G$1504,A90,'JOBS'!$O$5:$O$1504,"Scheduled",'JOBS'!$B$5:$B$1504,"&gt;="&amp;AsOf)=0,"",_xlfn.MINIFS('JOBS'!$B$5:$B$1504,'JOBS'!$G$5:$G$1504,A90,'JOBS'!$O$5:$O$1504,"Scheduled",'JOBS'!$B$5:$B$1504,"&gt;="&amp;AsOf)))</f>
        <v/>
      </c>
      <c r="O90" s="52">
        <f>IF(B90="","",IF(N90&lt;&gt;"",N90,IF(M90="",IF(H90="","",H90),IF(E90="Monthly",EDATE(M90,1),M90+IFERROR(INDEX('PRICING'!$C$28:$C$33,MATCH(E90,'PRICING'!$A$28:$A$33,0)),14)))))</f>
        <v/>
      </c>
      <c r="P90" s="101">
        <f>IF(O90="","",O90-AsOf)</f>
        <v/>
      </c>
      <c r="Q90" s="49">
        <f>IF(B90="","",IF(J90&lt;&gt;"Active","—",IF(N90&lt;&gt;"","Booked",IF(O90="","Set start date",IF(O90&lt;AsOf,"Overdue — book now",IF(O90&lt;=AsOf+7,"Due this week — book","Upcoming"))))))</f>
        <v/>
      </c>
      <c r="R90" s="54">
        <f>IF(B90="","",IF(J90="Active",N(F90)*IFERROR(INDEX('PRICING'!$D$28:$D$33,MATCH(E90,'PRICING'!$A$28:$A$33,0)),0),0))</f>
        <v/>
      </c>
      <c r="S90" s="54">
        <f>IF(B90="","",R90*12)</f>
        <v/>
      </c>
      <c r="T90" s="49">
        <f>IF(B90="","",IF(OR(Q90="Overdue — book now",Q90="Due this week — book"),1,0))</f>
        <v/>
      </c>
      <c r="U90" s="49">
        <f>IF(N(T90)&lt;&gt;1,"",COUNTIFS('RECURRING'!$T$5:$T$154,1,'RECURRING'!$O$5:$O$154,"&lt;"&amp;O90)+COUNTIFS($T$5:T90,1,$O$5:O90,O90))</f>
        <v/>
      </c>
    </row>
    <row r="91">
      <c r="A91" s="46" t="inlineStr">
        <is>
          <t>R-087</t>
        </is>
      </c>
      <c r="B91" s="38" t="n"/>
      <c r="C91" s="38" t="n"/>
      <c r="D91" s="38" t="n"/>
      <c r="E91" s="38" t="n"/>
      <c r="F91" s="48" t="n"/>
      <c r="G91" s="38" t="n"/>
      <c r="H91" s="47" t="n"/>
      <c r="I91" s="38" t="n"/>
      <c r="J91" s="38" t="n"/>
      <c r="K91" s="38" t="n"/>
      <c r="L91" s="53">
        <f>IF(B91="","",COUNTIFS('JOBS'!$G$5:$G$1504,A91,'JOBS'!$O$5:$O$1504,"Completed"))</f>
        <v/>
      </c>
      <c r="M91" s="52">
        <f>IF(B91="","",IF(_xlfn.MAXIFS('JOBS'!$B$5:$B$1504,'JOBS'!$G$5:$G$1504,A91,'JOBS'!$O$5:$O$1504,"Completed")=0,"",_xlfn.MAXIFS('JOBS'!$B$5:$B$1504,'JOBS'!$G$5:$G$1504,A91,'JOBS'!$O$5:$O$1504,"Completed")))</f>
        <v/>
      </c>
      <c r="N91" s="52">
        <f>IF(B91="","",IF(_xlfn.MINIFS('JOBS'!$B$5:$B$1504,'JOBS'!$G$5:$G$1504,A91,'JOBS'!$O$5:$O$1504,"Scheduled",'JOBS'!$B$5:$B$1504,"&gt;="&amp;AsOf)=0,"",_xlfn.MINIFS('JOBS'!$B$5:$B$1504,'JOBS'!$G$5:$G$1504,A91,'JOBS'!$O$5:$O$1504,"Scheduled",'JOBS'!$B$5:$B$1504,"&gt;="&amp;AsOf)))</f>
        <v/>
      </c>
      <c r="O91" s="52">
        <f>IF(B91="","",IF(N91&lt;&gt;"",N91,IF(M91="",IF(H91="","",H91),IF(E91="Monthly",EDATE(M91,1),M91+IFERROR(INDEX('PRICING'!$C$28:$C$33,MATCH(E91,'PRICING'!$A$28:$A$33,0)),14)))))</f>
        <v/>
      </c>
      <c r="P91" s="101">
        <f>IF(O91="","",O91-AsOf)</f>
        <v/>
      </c>
      <c r="Q91" s="49">
        <f>IF(B91="","",IF(J91&lt;&gt;"Active","—",IF(N91&lt;&gt;"","Booked",IF(O91="","Set start date",IF(O91&lt;AsOf,"Overdue — book now",IF(O91&lt;=AsOf+7,"Due this week — book","Upcoming"))))))</f>
        <v/>
      </c>
      <c r="R91" s="54">
        <f>IF(B91="","",IF(J91="Active",N(F91)*IFERROR(INDEX('PRICING'!$D$28:$D$33,MATCH(E91,'PRICING'!$A$28:$A$33,0)),0),0))</f>
        <v/>
      </c>
      <c r="S91" s="54">
        <f>IF(B91="","",R91*12)</f>
        <v/>
      </c>
      <c r="T91" s="49">
        <f>IF(B91="","",IF(OR(Q91="Overdue — book now",Q91="Due this week — book"),1,0))</f>
        <v/>
      </c>
      <c r="U91" s="49">
        <f>IF(N(T91)&lt;&gt;1,"",COUNTIFS('RECURRING'!$T$5:$T$154,1,'RECURRING'!$O$5:$O$154,"&lt;"&amp;O91)+COUNTIFS($T$5:T91,1,$O$5:O91,O91))</f>
        <v/>
      </c>
    </row>
    <row r="92">
      <c r="A92" s="46" t="inlineStr">
        <is>
          <t>R-088</t>
        </is>
      </c>
      <c r="B92" s="38" t="n"/>
      <c r="C92" s="38" t="n"/>
      <c r="D92" s="38" t="n"/>
      <c r="E92" s="38" t="n"/>
      <c r="F92" s="48" t="n"/>
      <c r="G92" s="38" t="n"/>
      <c r="H92" s="47" t="n"/>
      <c r="I92" s="38" t="n"/>
      <c r="J92" s="38" t="n"/>
      <c r="K92" s="38" t="n"/>
      <c r="L92" s="53">
        <f>IF(B92="","",COUNTIFS('JOBS'!$G$5:$G$1504,A92,'JOBS'!$O$5:$O$1504,"Completed"))</f>
        <v/>
      </c>
      <c r="M92" s="52">
        <f>IF(B92="","",IF(_xlfn.MAXIFS('JOBS'!$B$5:$B$1504,'JOBS'!$G$5:$G$1504,A92,'JOBS'!$O$5:$O$1504,"Completed")=0,"",_xlfn.MAXIFS('JOBS'!$B$5:$B$1504,'JOBS'!$G$5:$G$1504,A92,'JOBS'!$O$5:$O$1504,"Completed")))</f>
        <v/>
      </c>
      <c r="N92" s="52">
        <f>IF(B92="","",IF(_xlfn.MINIFS('JOBS'!$B$5:$B$1504,'JOBS'!$G$5:$G$1504,A92,'JOBS'!$O$5:$O$1504,"Scheduled",'JOBS'!$B$5:$B$1504,"&gt;="&amp;AsOf)=0,"",_xlfn.MINIFS('JOBS'!$B$5:$B$1504,'JOBS'!$G$5:$G$1504,A92,'JOBS'!$O$5:$O$1504,"Scheduled",'JOBS'!$B$5:$B$1504,"&gt;="&amp;AsOf)))</f>
        <v/>
      </c>
      <c r="O92" s="52">
        <f>IF(B92="","",IF(N92&lt;&gt;"",N92,IF(M92="",IF(H92="","",H92),IF(E92="Monthly",EDATE(M92,1),M92+IFERROR(INDEX('PRICING'!$C$28:$C$33,MATCH(E92,'PRICING'!$A$28:$A$33,0)),14)))))</f>
        <v/>
      </c>
      <c r="P92" s="101">
        <f>IF(O92="","",O92-AsOf)</f>
        <v/>
      </c>
      <c r="Q92" s="49">
        <f>IF(B92="","",IF(J92&lt;&gt;"Active","—",IF(N92&lt;&gt;"","Booked",IF(O92="","Set start date",IF(O92&lt;AsOf,"Overdue — book now",IF(O92&lt;=AsOf+7,"Due this week — book","Upcoming"))))))</f>
        <v/>
      </c>
      <c r="R92" s="54">
        <f>IF(B92="","",IF(J92="Active",N(F92)*IFERROR(INDEX('PRICING'!$D$28:$D$33,MATCH(E92,'PRICING'!$A$28:$A$33,0)),0),0))</f>
        <v/>
      </c>
      <c r="S92" s="54">
        <f>IF(B92="","",R92*12)</f>
        <v/>
      </c>
      <c r="T92" s="49">
        <f>IF(B92="","",IF(OR(Q92="Overdue — book now",Q92="Due this week — book"),1,0))</f>
        <v/>
      </c>
      <c r="U92" s="49">
        <f>IF(N(T92)&lt;&gt;1,"",COUNTIFS('RECURRING'!$T$5:$T$154,1,'RECURRING'!$O$5:$O$154,"&lt;"&amp;O92)+COUNTIFS($T$5:T92,1,$O$5:O92,O92))</f>
        <v/>
      </c>
    </row>
    <row r="93">
      <c r="A93" s="46" t="inlineStr">
        <is>
          <t>R-089</t>
        </is>
      </c>
      <c r="B93" s="38" t="n"/>
      <c r="C93" s="38" t="n"/>
      <c r="D93" s="38" t="n"/>
      <c r="E93" s="38" t="n"/>
      <c r="F93" s="48" t="n"/>
      <c r="G93" s="38" t="n"/>
      <c r="H93" s="47" t="n"/>
      <c r="I93" s="38" t="n"/>
      <c r="J93" s="38" t="n"/>
      <c r="K93" s="38" t="n"/>
      <c r="L93" s="53">
        <f>IF(B93="","",COUNTIFS('JOBS'!$G$5:$G$1504,A93,'JOBS'!$O$5:$O$1504,"Completed"))</f>
        <v/>
      </c>
      <c r="M93" s="52">
        <f>IF(B93="","",IF(_xlfn.MAXIFS('JOBS'!$B$5:$B$1504,'JOBS'!$G$5:$G$1504,A93,'JOBS'!$O$5:$O$1504,"Completed")=0,"",_xlfn.MAXIFS('JOBS'!$B$5:$B$1504,'JOBS'!$G$5:$G$1504,A93,'JOBS'!$O$5:$O$1504,"Completed")))</f>
        <v/>
      </c>
      <c r="N93" s="52">
        <f>IF(B93="","",IF(_xlfn.MINIFS('JOBS'!$B$5:$B$1504,'JOBS'!$G$5:$G$1504,A93,'JOBS'!$O$5:$O$1504,"Scheduled",'JOBS'!$B$5:$B$1504,"&gt;="&amp;AsOf)=0,"",_xlfn.MINIFS('JOBS'!$B$5:$B$1504,'JOBS'!$G$5:$G$1504,A93,'JOBS'!$O$5:$O$1504,"Scheduled",'JOBS'!$B$5:$B$1504,"&gt;="&amp;AsOf)))</f>
        <v/>
      </c>
      <c r="O93" s="52">
        <f>IF(B93="","",IF(N93&lt;&gt;"",N93,IF(M93="",IF(H93="","",H93),IF(E93="Monthly",EDATE(M93,1),M93+IFERROR(INDEX('PRICING'!$C$28:$C$33,MATCH(E93,'PRICING'!$A$28:$A$33,0)),14)))))</f>
        <v/>
      </c>
      <c r="P93" s="101">
        <f>IF(O93="","",O93-AsOf)</f>
        <v/>
      </c>
      <c r="Q93" s="49">
        <f>IF(B93="","",IF(J93&lt;&gt;"Active","—",IF(N93&lt;&gt;"","Booked",IF(O93="","Set start date",IF(O93&lt;AsOf,"Overdue — book now",IF(O93&lt;=AsOf+7,"Due this week — book","Upcoming"))))))</f>
        <v/>
      </c>
      <c r="R93" s="54">
        <f>IF(B93="","",IF(J93="Active",N(F93)*IFERROR(INDEX('PRICING'!$D$28:$D$33,MATCH(E93,'PRICING'!$A$28:$A$33,0)),0),0))</f>
        <v/>
      </c>
      <c r="S93" s="54">
        <f>IF(B93="","",R93*12)</f>
        <v/>
      </c>
      <c r="T93" s="49">
        <f>IF(B93="","",IF(OR(Q93="Overdue — book now",Q93="Due this week — book"),1,0))</f>
        <v/>
      </c>
      <c r="U93" s="49">
        <f>IF(N(T93)&lt;&gt;1,"",COUNTIFS('RECURRING'!$T$5:$T$154,1,'RECURRING'!$O$5:$O$154,"&lt;"&amp;O93)+COUNTIFS($T$5:T93,1,$O$5:O93,O93))</f>
        <v/>
      </c>
    </row>
    <row r="94">
      <c r="A94" s="46" t="inlineStr">
        <is>
          <t>R-090</t>
        </is>
      </c>
      <c r="B94" s="38" t="n"/>
      <c r="C94" s="38" t="n"/>
      <c r="D94" s="38" t="n"/>
      <c r="E94" s="38" t="n"/>
      <c r="F94" s="48" t="n"/>
      <c r="G94" s="38" t="n"/>
      <c r="H94" s="47" t="n"/>
      <c r="I94" s="38" t="n"/>
      <c r="J94" s="38" t="n"/>
      <c r="K94" s="38" t="n"/>
      <c r="L94" s="53">
        <f>IF(B94="","",COUNTIFS('JOBS'!$G$5:$G$1504,A94,'JOBS'!$O$5:$O$1504,"Completed"))</f>
        <v/>
      </c>
      <c r="M94" s="52">
        <f>IF(B94="","",IF(_xlfn.MAXIFS('JOBS'!$B$5:$B$1504,'JOBS'!$G$5:$G$1504,A94,'JOBS'!$O$5:$O$1504,"Completed")=0,"",_xlfn.MAXIFS('JOBS'!$B$5:$B$1504,'JOBS'!$G$5:$G$1504,A94,'JOBS'!$O$5:$O$1504,"Completed")))</f>
        <v/>
      </c>
      <c r="N94" s="52">
        <f>IF(B94="","",IF(_xlfn.MINIFS('JOBS'!$B$5:$B$1504,'JOBS'!$G$5:$G$1504,A94,'JOBS'!$O$5:$O$1504,"Scheduled",'JOBS'!$B$5:$B$1504,"&gt;="&amp;AsOf)=0,"",_xlfn.MINIFS('JOBS'!$B$5:$B$1504,'JOBS'!$G$5:$G$1504,A94,'JOBS'!$O$5:$O$1504,"Scheduled",'JOBS'!$B$5:$B$1504,"&gt;="&amp;AsOf)))</f>
        <v/>
      </c>
      <c r="O94" s="52">
        <f>IF(B94="","",IF(N94&lt;&gt;"",N94,IF(M94="",IF(H94="","",H94),IF(E94="Monthly",EDATE(M94,1),M94+IFERROR(INDEX('PRICING'!$C$28:$C$33,MATCH(E94,'PRICING'!$A$28:$A$33,0)),14)))))</f>
        <v/>
      </c>
      <c r="P94" s="101">
        <f>IF(O94="","",O94-AsOf)</f>
        <v/>
      </c>
      <c r="Q94" s="49">
        <f>IF(B94="","",IF(J94&lt;&gt;"Active","—",IF(N94&lt;&gt;"","Booked",IF(O94="","Set start date",IF(O94&lt;AsOf,"Overdue — book now",IF(O94&lt;=AsOf+7,"Due this week — book","Upcoming"))))))</f>
        <v/>
      </c>
      <c r="R94" s="54">
        <f>IF(B94="","",IF(J94="Active",N(F94)*IFERROR(INDEX('PRICING'!$D$28:$D$33,MATCH(E94,'PRICING'!$A$28:$A$33,0)),0),0))</f>
        <v/>
      </c>
      <c r="S94" s="54">
        <f>IF(B94="","",R94*12)</f>
        <v/>
      </c>
      <c r="T94" s="49">
        <f>IF(B94="","",IF(OR(Q94="Overdue — book now",Q94="Due this week — book"),1,0))</f>
        <v/>
      </c>
      <c r="U94" s="49">
        <f>IF(N(T94)&lt;&gt;1,"",COUNTIFS('RECURRING'!$T$5:$T$154,1,'RECURRING'!$O$5:$O$154,"&lt;"&amp;O94)+COUNTIFS($T$5:T94,1,$O$5:O94,O94))</f>
        <v/>
      </c>
    </row>
    <row r="95">
      <c r="A95" s="46" t="inlineStr">
        <is>
          <t>R-091</t>
        </is>
      </c>
      <c r="B95" s="38" t="n"/>
      <c r="C95" s="38" t="n"/>
      <c r="D95" s="38" t="n"/>
      <c r="E95" s="38" t="n"/>
      <c r="F95" s="48" t="n"/>
      <c r="G95" s="38" t="n"/>
      <c r="H95" s="47" t="n"/>
      <c r="I95" s="38" t="n"/>
      <c r="J95" s="38" t="n"/>
      <c r="K95" s="38" t="n"/>
      <c r="L95" s="53">
        <f>IF(B95="","",COUNTIFS('JOBS'!$G$5:$G$1504,A95,'JOBS'!$O$5:$O$1504,"Completed"))</f>
        <v/>
      </c>
      <c r="M95" s="52">
        <f>IF(B95="","",IF(_xlfn.MAXIFS('JOBS'!$B$5:$B$1504,'JOBS'!$G$5:$G$1504,A95,'JOBS'!$O$5:$O$1504,"Completed")=0,"",_xlfn.MAXIFS('JOBS'!$B$5:$B$1504,'JOBS'!$G$5:$G$1504,A95,'JOBS'!$O$5:$O$1504,"Completed")))</f>
        <v/>
      </c>
      <c r="N95" s="52">
        <f>IF(B95="","",IF(_xlfn.MINIFS('JOBS'!$B$5:$B$1504,'JOBS'!$G$5:$G$1504,A95,'JOBS'!$O$5:$O$1504,"Scheduled",'JOBS'!$B$5:$B$1504,"&gt;="&amp;AsOf)=0,"",_xlfn.MINIFS('JOBS'!$B$5:$B$1504,'JOBS'!$G$5:$G$1504,A95,'JOBS'!$O$5:$O$1504,"Scheduled",'JOBS'!$B$5:$B$1504,"&gt;="&amp;AsOf)))</f>
        <v/>
      </c>
      <c r="O95" s="52">
        <f>IF(B95="","",IF(N95&lt;&gt;"",N95,IF(M95="",IF(H95="","",H95),IF(E95="Monthly",EDATE(M95,1),M95+IFERROR(INDEX('PRICING'!$C$28:$C$33,MATCH(E95,'PRICING'!$A$28:$A$33,0)),14)))))</f>
        <v/>
      </c>
      <c r="P95" s="101">
        <f>IF(O95="","",O95-AsOf)</f>
        <v/>
      </c>
      <c r="Q95" s="49">
        <f>IF(B95="","",IF(J95&lt;&gt;"Active","—",IF(N95&lt;&gt;"","Booked",IF(O95="","Set start date",IF(O95&lt;AsOf,"Overdue — book now",IF(O95&lt;=AsOf+7,"Due this week — book","Upcoming"))))))</f>
        <v/>
      </c>
      <c r="R95" s="54">
        <f>IF(B95="","",IF(J95="Active",N(F95)*IFERROR(INDEX('PRICING'!$D$28:$D$33,MATCH(E95,'PRICING'!$A$28:$A$33,0)),0),0))</f>
        <v/>
      </c>
      <c r="S95" s="54">
        <f>IF(B95="","",R95*12)</f>
        <v/>
      </c>
      <c r="T95" s="49">
        <f>IF(B95="","",IF(OR(Q95="Overdue — book now",Q95="Due this week — book"),1,0))</f>
        <v/>
      </c>
      <c r="U95" s="49">
        <f>IF(N(T95)&lt;&gt;1,"",COUNTIFS('RECURRING'!$T$5:$T$154,1,'RECURRING'!$O$5:$O$154,"&lt;"&amp;O95)+COUNTIFS($T$5:T95,1,$O$5:O95,O95))</f>
        <v/>
      </c>
    </row>
    <row r="96">
      <c r="A96" s="46" t="inlineStr">
        <is>
          <t>R-092</t>
        </is>
      </c>
      <c r="B96" s="38" t="n"/>
      <c r="C96" s="38" t="n"/>
      <c r="D96" s="38" t="n"/>
      <c r="E96" s="38" t="n"/>
      <c r="F96" s="48" t="n"/>
      <c r="G96" s="38" t="n"/>
      <c r="H96" s="47" t="n"/>
      <c r="I96" s="38" t="n"/>
      <c r="J96" s="38" t="n"/>
      <c r="K96" s="38" t="n"/>
      <c r="L96" s="53">
        <f>IF(B96="","",COUNTIFS('JOBS'!$G$5:$G$1504,A96,'JOBS'!$O$5:$O$1504,"Completed"))</f>
        <v/>
      </c>
      <c r="M96" s="52">
        <f>IF(B96="","",IF(_xlfn.MAXIFS('JOBS'!$B$5:$B$1504,'JOBS'!$G$5:$G$1504,A96,'JOBS'!$O$5:$O$1504,"Completed")=0,"",_xlfn.MAXIFS('JOBS'!$B$5:$B$1504,'JOBS'!$G$5:$G$1504,A96,'JOBS'!$O$5:$O$1504,"Completed")))</f>
        <v/>
      </c>
      <c r="N96" s="52">
        <f>IF(B96="","",IF(_xlfn.MINIFS('JOBS'!$B$5:$B$1504,'JOBS'!$G$5:$G$1504,A96,'JOBS'!$O$5:$O$1504,"Scheduled",'JOBS'!$B$5:$B$1504,"&gt;="&amp;AsOf)=0,"",_xlfn.MINIFS('JOBS'!$B$5:$B$1504,'JOBS'!$G$5:$G$1504,A96,'JOBS'!$O$5:$O$1504,"Scheduled",'JOBS'!$B$5:$B$1504,"&gt;="&amp;AsOf)))</f>
        <v/>
      </c>
      <c r="O96" s="52">
        <f>IF(B96="","",IF(N96&lt;&gt;"",N96,IF(M96="",IF(H96="","",H96),IF(E96="Monthly",EDATE(M96,1),M96+IFERROR(INDEX('PRICING'!$C$28:$C$33,MATCH(E96,'PRICING'!$A$28:$A$33,0)),14)))))</f>
        <v/>
      </c>
      <c r="P96" s="101">
        <f>IF(O96="","",O96-AsOf)</f>
        <v/>
      </c>
      <c r="Q96" s="49">
        <f>IF(B96="","",IF(J96&lt;&gt;"Active","—",IF(N96&lt;&gt;"","Booked",IF(O96="","Set start date",IF(O96&lt;AsOf,"Overdue — book now",IF(O96&lt;=AsOf+7,"Due this week — book","Upcoming"))))))</f>
        <v/>
      </c>
      <c r="R96" s="54">
        <f>IF(B96="","",IF(J96="Active",N(F96)*IFERROR(INDEX('PRICING'!$D$28:$D$33,MATCH(E96,'PRICING'!$A$28:$A$33,0)),0),0))</f>
        <v/>
      </c>
      <c r="S96" s="54">
        <f>IF(B96="","",R96*12)</f>
        <v/>
      </c>
      <c r="T96" s="49">
        <f>IF(B96="","",IF(OR(Q96="Overdue — book now",Q96="Due this week — book"),1,0))</f>
        <v/>
      </c>
      <c r="U96" s="49">
        <f>IF(N(T96)&lt;&gt;1,"",COUNTIFS('RECURRING'!$T$5:$T$154,1,'RECURRING'!$O$5:$O$154,"&lt;"&amp;O96)+COUNTIFS($T$5:T96,1,$O$5:O96,O96))</f>
        <v/>
      </c>
    </row>
    <row r="97">
      <c r="A97" s="46" t="inlineStr">
        <is>
          <t>R-093</t>
        </is>
      </c>
      <c r="B97" s="38" t="n"/>
      <c r="C97" s="38" t="n"/>
      <c r="D97" s="38" t="n"/>
      <c r="E97" s="38" t="n"/>
      <c r="F97" s="48" t="n"/>
      <c r="G97" s="38" t="n"/>
      <c r="H97" s="47" t="n"/>
      <c r="I97" s="38" t="n"/>
      <c r="J97" s="38" t="n"/>
      <c r="K97" s="38" t="n"/>
      <c r="L97" s="53">
        <f>IF(B97="","",COUNTIFS('JOBS'!$G$5:$G$1504,A97,'JOBS'!$O$5:$O$1504,"Completed"))</f>
        <v/>
      </c>
      <c r="M97" s="52">
        <f>IF(B97="","",IF(_xlfn.MAXIFS('JOBS'!$B$5:$B$1504,'JOBS'!$G$5:$G$1504,A97,'JOBS'!$O$5:$O$1504,"Completed")=0,"",_xlfn.MAXIFS('JOBS'!$B$5:$B$1504,'JOBS'!$G$5:$G$1504,A97,'JOBS'!$O$5:$O$1504,"Completed")))</f>
        <v/>
      </c>
      <c r="N97" s="52">
        <f>IF(B97="","",IF(_xlfn.MINIFS('JOBS'!$B$5:$B$1504,'JOBS'!$G$5:$G$1504,A97,'JOBS'!$O$5:$O$1504,"Scheduled",'JOBS'!$B$5:$B$1504,"&gt;="&amp;AsOf)=0,"",_xlfn.MINIFS('JOBS'!$B$5:$B$1504,'JOBS'!$G$5:$G$1504,A97,'JOBS'!$O$5:$O$1504,"Scheduled",'JOBS'!$B$5:$B$1504,"&gt;="&amp;AsOf)))</f>
        <v/>
      </c>
      <c r="O97" s="52">
        <f>IF(B97="","",IF(N97&lt;&gt;"",N97,IF(M97="",IF(H97="","",H97),IF(E97="Monthly",EDATE(M97,1),M97+IFERROR(INDEX('PRICING'!$C$28:$C$33,MATCH(E97,'PRICING'!$A$28:$A$33,0)),14)))))</f>
        <v/>
      </c>
      <c r="P97" s="101">
        <f>IF(O97="","",O97-AsOf)</f>
        <v/>
      </c>
      <c r="Q97" s="49">
        <f>IF(B97="","",IF(J97&lt;&gt;"Active","—",IF(N97&lt;&gt;"","Booked",IF(O97="","Set start date",IF(O97&lt;AsOf,"Overdue — book now",IF(O97&lt;=AsOf+7,"Due this week — book","Upcoming"))))))</f>
        <v/>
      </c>
      <c r="R97" s="54">
        <f>IF(B97="","",IF(J97="Active",N(F97)*IFERROR(INDEX('PRICING'!$D$28:$D$33,MATCH(E97,'PRICING'!$A$28:$A$33,0)),0),0))</f>
        <v/>
      </c>
      <c r="S97" s="54">
        <f>IF(B97="","",R97*12)</f>
        <v/>
      </c>
      <c r="T97" s="49">
        <f>IF(B97="","",IF(OR(Q97="Overdue — book now",Q97="Due this week — book"),1,0))</f>
        <v/>
      </c>
      <c r="U97" s="49">
        <f>IF(N(T97)&lt;&gt;1,"",COUNTIFS('RECURRING'!$T$5:$T$154,1,'RECURRING'!$O$5:$O$154,"&lt;"&amp;O97)+COUNTIFS($T$5:T97,1,$O$5:O97,O97))</f>
        <v/>
      </c>
    </row>
    <row r="98">
      <c r="A98" s="46" t="inlineStr">
        <is>
          <t>R-094</t>
        </is>
      </c>
      <c r="B98" s="38" t="n"/>
      <c r="C98" s="38" t="n"/>
      <c r="D98" s="38" t="n"/>
      <c r="E98" s="38" t="n"/>
      <c r="F98" s="48" t="n"/>
      <c r="G98" s="38" t="n"/>
      <c r="H98" s="47" t="n"/>
      <c r="I98" s="38" t="n"/>
      <c r="J98" s="38" t="n"/>
      <c r="K98" s="38" t="n"/>
      <c r="L98" s="53">
        <f>IF(B98="","",COUNTIFS('JOBS'!$G$5:$G$1504,A98,'JOBS'!$O$5:$O$1504,"Completed"))</f>
        <v/>
      </c>
      <c r="M98" s="52">
        <f>IF(B98="","",IF(_xlfn.MAXIFS('JOBS'!$B$5:$B$1504,'JOBS'!$G$5:$G$1504,A98,'JOBS'!$O$5:$O$1504,"Completed")=0,"",_xlfn.MAXIFS('JOBS'!$B$5:$B$1504,'JOBS'!$G$5:$G$1504,A98,'JOBS'!$O$5:$O$1504,"Completed")))</f>
        <v/>
      </c>
      <c r="N98" s="52">
        <f>IF(B98="","",IF(_xlfn.MINIFS('JOBS'!$B$5:$B$1504,'JOBS'!$G$5:$G$1504,A98,'JOBS'!$O$5:$O$1504,"Scheduled",'JOBS'!$B$5:$B$1504,"&gt;="&amp;AsOf)=0,"",_xlfn.MINIFS('JOBS'!$B$5:$B$1504,'JOBS'!$G$5:$G$1504,A98,'JOBS'!$O$5:$O$1504,"Scheduled",'JOBS'!$B$5:$B$1504,"&gt;="&amp;AsOf)))</f>
        <v/>
      </c>
      <c r="O98" s="52">
        <f>IF(B98="","",IF(N98&lt;&gt;"",N98,IF(M98="",IF(H98="","",H98),IF(E98="Monthly",EDATE(M98,1),M98+IFERROR(INDEX('PRICING'!$C$28:$C$33,MATCH(E98,'PRICING'!$A$28:$A$33,0)),14)))))</f>
        <v/>
      </c>
      <c r="P98" s="101">
        <f>IF(O98="","",O98-AsOf)</f>
        <v/>
      </c>
      <c r="Q98" s="49">
        <f>IF(B98="","",IF(J98&lt;&gt;"Active","—",IF(N98&lt;&gt;"","Booked",IF(O98="","Set start date",IF(O98&lt;AsOf,"Overdue — book now",IF(O98&lt;=AsOf+7,"Due this week — book","Upcoming"))))))</f>
        <v/>
      </c>
      <c r="R98" s="54">
        <f>IF(B98="","",IF(J98="Active",N(F98)*IFERROR(INDEX('PRICING'!$D$28:$D$33,MATCH(E98,'PRICING'!$A$28:$A$33,0)),0),0))</f>
        <v/>
      </c>
      <c r="S98" s="54">
        <f>IF(B98="","",R98*12)</f>
        <v/>
      </c>
      <c r="T98" s="49">
        <f>IF(B98="","",IF(OR(Q98="Overdue — book now",Q98="Due this week — book"),1,0))</f>
        <v/>
      </c>
      <c r="U98" s="49">
        <f>IF(N(T98)&lt;&gt;1,"",COUNTIFS('RECURRING'!$T$5:$T$154,1,'RECURRING'!$O$5:$O$154,"&lt;"&amp;O98)+COUNTIFS($T$5:T98,1,$O$5:O98,O98))</f>
        <v/>
      </c>
    </row>
    <row r="99">
      <c r="A99" s="46" t="inlineStr">
        <is>
          <t>R-095</t>
        </is>
      </c>
      <c r="B99" s="38" t="n"/>
      <c r="C99" s="38" t="n"/>
      <c r="D99" s="38" t="n"/>
      <c r="E99" s="38" t="n"/>
      <c r="F99" s="48" t="n"/>
      <c r="G99" s="38" t="n"/>
      <c r="H99" s="47" t="n"/>
      <c r="I99" s="38" t="n"/>
      <c r="J99" s="38" t="n"/>
      <c r="K99" s="38" t="n"/>
      <c r="L99" s="53">
        <f>IF(B99="","",COUNTIFS('JOBS'!$G$5:$G$1504,A99,'JOBS'!$O$5:$O$1504,"Completed"))</f>
        <v/>
      </c>
      <c r="M99" s="52">
        <f>IF(B99="","",IF(_xlfn.MAXIFS('JOBS'!$B$5:$B$1504,'JOBS'!$G$5:$G$1504,A99,'JOBS'!$O$5:$O$1504,"Completed")=0,"",_xlfn.MAXIFS('JOBS'!$B$5:$B$1504,'JOBS'!$G$5:$G$1504,A99,'JOBS'!$O$5:$O$1504,"Completed")))</f>
        <v/>
      </c>
      <c r="N99" s="52">
        <f>IF(B99="","",IF(_xlfn.MINIFS('JOBS'!$B$5:$B$1504,'JOBS'!$G$5:$G$1504,A99,'JOBS'!$O$5:$O$1504,"Scheduled",'JOBS'!$B$5:$B$1504,"&gt;="&amp;AsOf)=0,"",_xlfn.MINIFS('JOBS'!$B$5:$B$1504,'JOBS'!$G$5:$G$1504,A99,'JOBS'!$O$5:$O$1504,"Scheduled",'JOBS'!$B$5:$B$1504,"&gt;="&amp;AsOf)))</f>
        <v/>
      </c>
      <c r="O99" s="52">
        <f>IF(B99="","",IF(N99&lt;&gt;"",N99,IF(M99="",IF(H99="","",H99),IF(E99="Monthly",EDATE(M99,1),M99+IFERROR(INDEX('PRICING'!$C$28:$C$33,MATCH(E99,'PRICING'!$A$28:$A$33,0)),14)))))</f>
        <v/>
      </c>
      <c r="P99" s="101">
        <f>IF(O99="","",O99-AsOf)</f>
        <v/>
      </c>
      <c r="Q99" s="49">
        <f>IF(B99="","",IF(J99&lt;&gt;"Active","—",IF(N99&lt;&gt;"","Booked",IF(O99="","Set start date",IF(O99&lt;AsOf,"Overdue — book now",IF(O99&lt;=AsOf+7,"Due this week — book","Upcoming"))))))</f>
        <v/>
      </c>
      <c r="R99" s="54">
        <f>IF(B99="","",IF(J99="Active",N(F99)*IFERROR(INDEX('PRICING'!$D$28:$D$33,MATCH(E99,'PRICING'!$A$28:$A$33,0)),0),0))</f>
        <v/>
      </c>
      <c r="S99" s="54">
        <f>IF(B99="","",R99*12)</f>
        <v/>
      </c>
      <c r="T99" s="49">
        <f>IF(B99="","",IF(OR(Q99="Overdue — book now",Q99="Due this week — book"),1,0))</f>
        <v/>
      </c>
      <c r="U99" s="49">
        <f>IF(N(T99)&lt;&gt;1,"",COUNTIFS('RECURRING'!$T$5:$T$154,1,'RECURRING'!$O$5:$O$154,"&lt;"&amp;O99)+COUNTIFS($T$5:T99,1,$O$5:O99,O99))</f>
        <v/>
      </c>
    </row>
    <row r="100">
      <c r="A100" s="46" t="inlineStr">
        <is>
          <t>R-096</t>
        </is>
      </c>
      <c r="B100" s="38" t="n"/>
      <c r="C100" s="38" t="n"/>
      <c r="D100" s="38" t="n"/>
      <c r="E100" s="38" t="n"/>
      <c r="F100" s="48" t="n"/>
      <c r="G100" s="38" t="n"/>
      <c r="H100" s="47" t="n"/>
      <c r="I100" s="38" t="n"/>
      <c r="J100" s="38" t="n"/>
      <c r="K100" s="38" t="n"/>
      <c r="L100" s="53">
        <f>IF(B100="","",COUNTIFS('JOBS'!$G$5:$G$1504,A100,'JOBS'!$O$5:$O$1504,"Completed"))</f>
        <v/>
      </c>
      <c r="M100" s="52">
        <f>IF(B100="","",IF(_xlfn.MAXIFS('JOBS'!$B$5:$B$1504,'JOBS'!$G$5:$G$1504,A100,'JOBS'!$O$5:$O$1504,"Completed")=0,"",_xlfn.MAXIFS('JOBS'!$B$5:$B$1504,'JOBS'!$G$5:$G$1504,A100,'JOBS'!$O$5:$O$1504,"Completed")))</f>
        <v/>
      </c>
      <c r="N100" s="52">
        <f>IF(B100="","",IF(_xlfn.MINIFS('JOBS'!$B$5:$B$1504,'JOBS'!$G$5:$G$1504,A100,'JOBS'!$O$5:$O$1504,"Scheduled",'JOBS'!$B$5:$B$1504,"&gt;="&amp;AsOf)=0,"",_xlfn.MINIFS('JOBS'!$B$5:$B$1504,'JOBS'!$G$5:$G$1504,A100,'JOBS'!$O$5:$O$1504,"Scheduled",'JOBS'!$B$5:$B$1504,"&gt;="&amp;AsOf)))</f>
        <v/>
      </c>
      <c r="O100" s="52">
        <f>IF(B100="","",IF(N100&lt;&gt;"",N100,IF(M100="",IF(H100="","",H100),IF(E100="Monthly",EDATE(M100,1),M100+IFERROR(INDEX('PRICING'!$C$28:$C$33,MATCH(E100,'PRICING'!$A$28:$A$33,0)),14)))))</f>
        <v/>
      </c>
      <c r="P100" s="101">
        <f>IF(O100="","",O100-AsOf)</f>
        <v/>
      </c>
      <c r="Q100" s="49">
        <f>IF(B100="","",IF(J100&lt;&gt;"Active","—",IF(N100&lt;&gt;"","Booked",IF(O100="","Set start date",IF(O100&lt;AsOf,"Overdue — book now",IF(O100&lt;=AsOf+7,"Due this week — book","Upcoming"))))))</f>
        <v/>
      </c>
      <c r="R100" s="54">
        <f>IF(B100="","",IF(J100="Active",N(F100)*IFERROR(INDEX('PRICING'!$D$28:$D$33,MATCH(E100,'PRICING'!$A$28:$A$33,0)),0),0))</f>
        <v/>
      </c>
      <c r="S100" s="54">
        <f>IF(B100="","",R100*12)</f>
        <v/>
      </c>
      <c r="T100" s="49">
        <f>IF(B100="","",IF(OR(Q100="Overdue — book now",Q100="Due this week — book"),1,0))</f>
        <v/>
      </c>
      <c r="U100" s="49">
        <f>IF(N(T100)&lt;&gt;1,"",COUNTIFS('RECURRING'!$T$5:$T$154,1,'RECURRING'!$O$5:$O$154,"&lt;"&amp;O100)+COUNTIFS($T$5:T100,1,$O$5:O100,O100))</f>
        <v/>
      </c>
    </row>
    <row r="101">
      <c r="A101" s="46" t="inlineStr">
        <is>
          <t>R-097</t>
        </is>
      </c>
      <c r="B101" s="38" t="n"/>
      <c r="C101" s="38" t="n"/>
      <c r="D101" s="38" t="n"/>
      <c r="E101" s="38" t="n"/>
      <c r="F101" s="48" t="n"/>
      <c r="G101" s="38" t="n"/>
      <c r="H101" s="47" t="n"/>
      <c r="I101" s="38" t="n"/>
      <c r="J101" s="38" t="n"/>
      <c r="K101" s="38" t="n"/>
      <c r="L101" s="53">
        <f>IF(B101="","",COUNTIFS('JOBS'!$G$5:$G$1504,A101,'JOBS'!$O$5:$O$1504,"Completed"))</f>
        <v/>
      </c>
      <c r="M101" s="52">
        <f>IF(B101="","",IF(_xlfn.MAXIFS('JOBS'!$B$5:$B$1504,'JOBS'!$G$5:$G$1504,A101,'JOBS'!$O$5:$O$1504,"Completed")=0,"",_xlfn.MAXIFS('JOBS'!$B$5:$B$1504,'JOBS'!$G$5:$G$1504,A101,'JOBS'!$O$5:$O$1504,"Completed")))</f>
        <v/>
      </c>
      <c r="N101" s="52">
        <f>IF(B101="","",IF(_xlfn.MINIFS('JOBS'!$B$5:$B$1504,'JOBS'!$G$5:$G$1504,A101,'JOBS'!$O$5:$O$1504,"Scheduled",'JOBS'!$B$5:$B$1504,"&gt;="&amp;AsOf)=0,"",_xlfn.MINIFS('JOBS'!$B$5:$B$1504,'JOBS'!$G$5:$G$1504,A101,'JOBS'!$O$5:$O$1504,"Scheduled",'JOBS'!$B$5:$B$1504,"&gt;="&amp;AsOf)))</f>
        <v/>
      </c>
      <c r="O101" s="52">
        <f>IF(B101="","",IF(N101&lt;&gt;"",N101,IF(M101="",IF(H101="","",H101),IF(E101="Monthly",EDATE(M101,1),M101+IFERROR(INDEX('PRICING'!$C$28:$C$33,MATCH(E101,'PRICING'!$A$28:$A$33,0)),14)))))</f>
        <v/>
      </c>
      <c r="P101" s="101">
        <f>IF(O101="","",O101-AsOf)</f>
        <v/>
      </c>
      <c r="Q101" s="49">
        <f>IF(B101="","",IF(J101&lt;&gt;"Active","—",IF(N101&lt;&gt;"","Booked",IF(O101="","Set start date",IF(O101&lt;AsOf,"Overdue — book now",IF(O101&lt;=AsOf+7,"Due this week — book","Upcoming"))))))</f>
        <v/>
      </c>
      <c r="R101" s="54">
        <f>IF(B101="","",IF(J101="Active",N(F101)*IFERROR(INDEX('PRICING'!$D$28:$D$33,MATCH(E101,'PRICING'!$A$28:$A$33,0)),0),0))</f>
        <v/>
      </c>
      <c r="S101" s="54">
        <f>IF(B101="","",R101*12)</f>
        <v/>
      </c>
      <c r="T101" s="49">
        <f>IF(B101="","",IF(OR(Q101="Overdue — book now",Q101="Due this week — book"),1,0))</f>
        <v/>
      </c>
      <c r="U101" s="49">
        <f>IF(N(T101)&lt;&gt;1,"",COUNTIFS('RECURRING'!$T$5:$T$154,1,'RECURRING'!$O$5:$O$154,"&lt;"&amp;O101)+COUNTIFS($T$5:T101,1,$O$5:O101,O101))</f>
        <v/>
      </c>
    </row>
    <row r="102">
      <c r="A102" s="46" t="inlineStr">
        <is>
          <t>R-098</t>
        </is>
      </c>
      <c r="B102" s="38" t="n"/>
      <c r="C102" s="38" t="n"/>
      <c r="D102" s="38" t="n"/>
      <c r="E102" s="38" t="n"/>
      <c r="F102" s="48" t="n"/>
      <c r="G102" s="38" t="n"/>
      <c r="H102" s="47" t="n"/>
      <c r="I102" s="38" t="n"/>
      <c r="J102" s="38" t="n"/>
      <c r="K102" s="38" t="n"/>
      <c r="L102" s="53">
        <f>IF(B102="","",COUNTIFS('JOBS'!$G$5:$G$1504,A102,'JOBS'!$O$5:$O$1504,"Completed"))</f>
        <v/>
      </c>
      <c r="M102" s="52">
        <f>IF(B102="","",IF(_xlfn.MAXIFS('JOBS'!$B$5:$B$1504,'JOBS'!$G$5:$G$1504,A102,'JOBS'!$O$5:$O$1504,"Completed")=0,"",_xlfn.MAXIFS('JOBS'!$B$5:$B$1504,'JOBS'!$G$5:$G$1504,A102,'JOBS'!$O$5:$O$1504,"Completed")))</f>
        <v/>
      </c>
      <c r="N102" s="52">
        <f>IF(B102="","",IF(_xlfn.MINIFS('JOBS'!$B$5:$B$1504,'JOBS'!$G$5:$G$1504,A102,'JOBS'!$O$5:$O$1504,"Scheduled",'JOBS'!$B$5:$B$1504,"&gt;="&amp;AsOf)=0,"",_xlfn.MINIFS('JOBS'!$B$5:$B$1504,'JOBS'!$G$5:$G$1504,A102,'JOBS'!$O$5:$O$1504,"Scheduled",'JOBS'!$B$5:$B$1504,"&gt;="&amp;AsOf)))</f>
        <v/>
      </c>
      <c r="O102" s="52">
        <f>IF(B102="","",IF(N102&lt;&gt;"",N102,IF(M102="",IF(H102="","",H102),IF(E102="Monthly",EDATE(M102,1),M102+IFERROR(INDEX('PRICING'!$C$28:$C$33,MATCH(E102,'PRICING'!$A$28:$A$33,0)),14)))))</f>
        <v/>
      </c>
      <c r="P102" s="101">
        <f>IF(O102="","",O102-AsOf)</f>
        <v/>
      </c>
      <c r="Q102" s="49">
        <f>IF(B102="","",IF(J102&lt;&gt;"Active","—",IF(N102&lt;&gt;"","Booked",IF(O102="","Set start date",IF(O102&lt;AsOf,"Overdue — book now",IF(O102&lt;=AsOf+7,"Due this week — book","Upcoming"))))))</f>
        <v/>
      </c>
      <c r="R102" s="54">
        <f>IF(B102="","",IF(J102="Active",N(F102)*IFERROR(INDEX('PRICING'!$D$28:$D$33,MATCH(E102,'PRICING'!$A$28:$A$33,0)),0),0))</f>
        <v/>
      </c>
      <c r="S102" s="54">
        <f>IF(B102="","",R102*12)</f>
        <v/>
      </c>
      <c r="T102" s="49">
        <f>IF(B102="","",IF(OR(Q102="Overdue — book now",Q102="Due this week — book"),1,0))</f>
        <v/>
      </c>
      <c r="U102" s="49">
        <f>IF(N(T102)&lt;&gt;1,"",COUNTIFS('RECURRING'!$T$5:$T$154,1,'RECURRING'!$O$5:$O$154,"&lt;"&amp;O102)+COUNTIFS($T$5:T102,1,$O$5:O102,O102))</f>
        <v/>
      </c>
    </row>
    <row r="103">
      <c r="A103" s="46" t="inlineStr">
        <is>
          <t>R-099</t>
        </is>
      </c>
      <c r="B103" s="38" t="n"/>
      <c r="C103" s="38" t="n"/>
      <c r="D103" s="38" t="n"/>
      <c r="E103" s="38" t="n"/>
      <c r="F103" s="48" t="n"/>
      <c r="G103" s="38" t="n"/>
      <c r="H103" s="47" t="n"/>
      <c r="I103" s="38" t="n"/>
      <c r="J103" s="38" t="n"/>
      <c r="K103" s="38" t="n"/>
      <c r="L103" s="53">
        <f>IF(B103="","",COUNTIFS('JOBS'!$G$5:$G$1504,A103,'JOBS'!$O$5:$O$1504,"Completed"))</f>
        <v/>
      </c>
      <c r="M103" s="52">
        <f>IF(B103="","",IF(_xlfn.MAXIFS('JOBS'!$B$5:$B$1504,'JOBS'!$G$5:$G$1504,A103,'JOBS'!$O$5:$O$1504,"Completed")=0,"",_xlfn.MAXIFS('JOBS'!$B$5:$B$1504,'JOBS'!$G$5:$G$1504,A103,'JOBS'!$O$5:$O$1504,"Completed")))</f>
        <v/>
      </c>
      <c r="N103" s="52">
        <f>IF(B103="","",IF(_xlfn.MINIFS('JOBS'!$B$5:$B$1504,'JOBS'!$G$5:$G$1504,A103,'JOBS'!$O$5:$O$1504,"Scheduled",'JOBS'!$B$5:$B$1504,"&gt;="&amp;AsOf)=0,"",_xlfn.MINIFS('JOBS'!$B$5:$B$1504,'JOBS'!$G$5:$G$1504,A103,'JOBS'!$O$5:$O$1504,"Scheduled",'JOBS'!$B$5:$B$1504,"&gt;="&amp;AsOf)))</f>
        <v/>
      </c>
      <c r="O103" s="52">
        <f>IF(B103="","",IF(N103&lt;&gt;"",N103,IF(M103="",IF(H103="","",H103),IF(E103="Monthly",EDATE(M103,1),M103+IFERROR(INDEX('PRICING'!$C$28:$C$33,MATCH(E103,'PRICING'!$A$28:$A$33,0)),14)))))</f>
        <v/>
      </c>
      <c r="P103" s="101">
        <f>IF(O103="","",O103-AsOf)</f>
        <v/>
      </c>
      <c r="Q103" s="49">
        <f>IF(B103="","",IF(J103&lt;&gt;"Active","—",IF(N103&lt;&gt;"","Booked",IF(O103="","Set start date",IF(O103&lt;AsOf,"Overdue — book now",IF(O103&lt;=AsOf+7,"Due this week — book","Upcoming"))))))</f>
        <v/>
      </c>
      <c r="R103" s="54">
        <f>IF(B103="","",IF(J103="Active",N(F103)*IFERROR(INDEX('PRICING'!$D$28:$D$33,MATCH(E103,'PRICING'!$A$28:$A$33,0)),0),0))</f>
        <v/>
      </c>
      <c r="S103" s="54">
        <f>IF(B103="","",R103*12)</f>
        <v/>
      </c>
      <c r="T103" s="49">
        <f>IF(B103="","",IF(OR(Q103="Overdue — book now",Q103="Due this week — book"),1,0))</f>
        <v/>
      </c>
      <c r="U103" s="49">
        <f>IF(N(T103)&lt;&gt;1,"",COUNTIFS('RECURRING'!$T$5:$T$154,1,'RECURRING'!$O$5:$O$154,"&lt;"&amp;O103)+COUNTIFS($T$5:T103,1,$O$5:O103,O103))</f>
        <v/>
      </c>
    </row>
    <row r="104">
      <c r="A104" s="46" t="inlineStr">
        <is>
          <t>R-100</t>
        </is>
      </c>
      <c r="B104" s="38" t="n"/>
      <c r="C104" s="38" t="n"/>
      <c r="D104" s="38" t="n"/>
      <c r="E104" s="38" t="n"/>
      <c r="F104" s="48" t="n"/>
      <c r="G104" s="38" t="n"/>
      <c r="H104" s="47" t="n"/>
      <c r="I104" s="38" t="n"/>
      <c r="J104" s="38" t="n"/>
      <c r="K104" s="38" t="n"/>
      <c r="L104" s="53">
        <f>IF(B104="","",COUNTIFS('JOBS'!$G$5:$G$1504,A104,'JOBS'!$O$5:$O$1504,"Completed"))</f>
        <v/>
      </c>
      <c r="M104" s="52">
        <f>IF(B104="","",IF(_xlfn.MAXIFS('JOBS'!$B$5:$B$1504,'JOBS'!$G$5:$G$1504,A104,'JOBS'!$O$5:$O$1504,"Completed")=0,"",_xlfn.MAXIFS('JOBS'!$B$5:$B$1504,'JOBS'!$G$5:$G$1504,A104,'JOBS'!$O$5:$O$1504,"Completed")))</f>
        <v/>
      </c>
      <c r="N104" s="52">
        <f>IF(B104="","",IF(_xlfn.MINIFS('JOBS'!$B$5:$B$1504,'JOBS'!$G$5:$G$1504,A104,'JOBS'!$O$5:$O$1504,"Scheduled",'JOBS'!$B$5:$B$1504,"&gt;="&amp;AsOf)=0,"",_xlfn.MINIFS('JOBS'!$B$5:$B$1504,'JOBS'!$G$5:$G$1504,A104,'JOBS'!$O$5:$O$1504,"Scheduled",'JOBS'!$B$5:$B$1504,"&gt;="&amp;AsOf)))</f>
        <v/>
      </c>
      <c r="O104" s="52">
        <f>IF(B104="","",IF(N104&lt;&gt;"",N104,IF(M104="",IF(H104="","",H104),IF(E104="Monthly",EDATE(M104,1),M104+IFERROR(INDEX('PRICING'!$C$28:$C$33,MATCH(E104,'PRICING'!$A$28:$A$33,0)),14)))))</f>
        <v/>
      </c>
      <c r="P104" s="101">
        <f>IF(O104="","",O104-AsOf)</f>
        <v/>
      </c>
      <c r="Q104" s="49">
        <f>IF(B104="","",IF(J104&lt;&gt;"Active","—",IF(N104&lt;&gt;"","Booked",IF(O104="","Set start date",IF(O104&lt;AsOf,"Overdue — book now",IF(O104&lt;=AsOf+7,"Due this week — book","Upcoming"))))))</f>
        <v/>
      </c>
      <c r="R104" s="54">
        <f>IF(B104="","",IF(J104="Active",N(F104)*IFERROR(INDEX('PRICING'!$D$28:$D$33,MATCH(E104,'PRICING'!$A$28:$A$33,0)),0),0))</f>
        <v/>
      </c>
      <c r="S104" s="54">
        <f>IF(B104="","",R104*12)</f>
        <v/>
      </c>
      <c r="T104" s="49">
        <f>IF(B104="","",IF(OR(Q104="Overdue — book now",Q104="Due this week — book"),1,0))</f>
        <v/>
      </c>
      <c r="U104" s="49">
        <f>IF(N(T104)&lt;&gt;1,"",COUNTIFS('RECURRING'!$T$5:$T$154,1,'RECURRING'!$O$5:$O$154,"&lt;"&amp;O104)+COUNTIFS($T$5:T104,1,$O$5:O104,O104))</f>
        <v/>
      </c>
    </row>
    <row r="105">
      <c r="A105" s="46" t="inlineStr">
        <is>
          <t>R-101</t>
        </is>
      </c>
      <c r="B105" s="38" t="n"/>
      <c r="C105" s="38" t="n"/>
      <c r="D105" s="38" t="n"/>
      <c r="E105" s="38" t="n"/>
      <c r="F105" s="48" t="n"/>
      <c r="G105" s="38" t="n"/>
      <c r="H105" s="47" t="n"/>
      <c r="I105" s="38" t="n"/>
      <c r="J105" s="38" t="n"/>
      <c r="K105" s="38" t="n"/>
      <c r="L105" s="53">
        <f>IF(B105="","",COUNTIFS('JOBS'!$G$5:$G$1504,A105,'JOBS'!$O$5:$O$1504,"Completed"))</f>
        <v/>
      </c>
      <c r="M105" s="52">
        <f>IF(B105="","",IF(_xlfn.MAXIFS('JOBS'!$B$5:$B$1504,'JOBS'!$G$5:$G$1504,A105,'JOBS'!$O$5:$O$1504,"Completed")=0,"",_xlfn.MAXIFS('JOBS'!$B$5:$B$1504,'JOBS'!$G$5:$G$1504,A105,'JOBS'!$O$5:$O$1504,"Completed")))</f>
        <v/>
      </c>
      <c r="N105" s="52">
        <f>IF(B105="","",IF(_xlfn.MINIFS('JOBS'!$B$5:$B$1504,'JOBS'!$G$5:$G$1504,A105,'JOBS'!$O$5:$O$1504,"Scheduled",'JOBS'!$B$5:$B$1504,"&gt;="&amp;AsOf)=0,"",_xlfn.MINIFS('JOBS'!$B$5:$B$1504,'JOBS'!$G$5:$G$1504,A105,'JOBS'!$O$5:$O$1504,"Scheduled",'JOBS'!$B$5:$B$1504,"&gt;="&amp;AsOf)))</f>
        <v/>
      </c>
      <c r="O105" s="52">
        <f>IF(B105="","",IF(N105&lt;&gt;"",N105,IF(M105="",IF(H105="","",H105),IF(E105="Monthly",EDATE(M105,1),M105+IFERROR(INDEX('PRICING'!$C$28:$C$33,MATCH(E105,'PRICING'!$A$28:$A$33,0)),14)))))</f>
        <v/>
      </c>
      <c r="P105" s="101">
        <f>IF(O105="","",O105-AsOf)</f>
        <v/>
      </c>
      <c r="Q105" s="49">
        <f>IF(B105="","",IF(J105&lt;&gt;"Active","—",IF(N105&lt;&gt;"","Booked",IF(O105="","Set start date",IF(O105&lt;AsOf,"Overdue — book now",IF(O105&lt;=AsOf+7,"Due this week — book","Upcoming"))))))</f>
        <v/>
      </c>
      <c r="R105" s="54">
        <f>IF(B105="","",IF(J105="Active",N(F105)*IFERROR(INDEX('PRICING'!$D$28:$D$33,MATCH(E105,'PRICING'!$A$28:$A$33,0)),0),0))</f>
        <v/>
      </c>
      <c r="S105" s="54">
        <f>IF(B105="","",R105*12)</f>
        <v/>
      </c>
      <c r="T105" s="49">
        <f>IF(B105="","",IF(OR(Q105="Overdue — book now",Q105="Due this week — book"),1,0))</f>
        <v/>
      </c>
      <c r="U105" s="49">
        <f>IF(N(T105)&lt;&gt;1,"",COUNTIFS('RECURRING'!$T$5:$T$154,1,'RECURRING'!$O$5:$O$154,"&lt;"&amp;O105)+COUNTIFS($T$5:T105,1,$O$5:O105,O105))</f>
        <v/>
      </c>
    </row>
    <row r="106">
      <c r="A106" s="46" t="inlineStr">
        <is>
          <t>R-102</t>
        </is>
      </c>
      <c r="B106" s="38" t="n"/>
      <c r="C106" s="38" t="n"/>
      <c r="D106" s="38" t="n"/>
      <c r="E106" s="38" t="n"/>
      <c r="F106" s="48" t="n"/>
      <c r="G106" s="38" t="n"/>
      <c r="H106" s="47" t="n"/>
      <c r="I106" s="38" t="n"/>
      <c r="J106" s="38" t="n"/>
      <c r="K106" s="38" t="n"/>
      <c r="L106" s="53">
        <f>IF(B106="","",COUNTIFS('JOBS'!$G$5:$G$1504,A106,'JOBS'!$O$5:$O$1504,"Completed"))</f>
        <v/>
      </c>
      <c r="M106" s="52">
        <f>IF(B106="","",IF(_xlfn.MAXIFS('JOBS'!$B$5:$B$1504,'JOBS'!$G$5:$G$1504,A106,'JOBS'!$O$5:$O$1504,"Completed")=0,"",_xlfn.MAXIFS('JOBS'!$B$5:$B$1504,'JOBS'!$G$5:$G$1504,A106,'JOBS'!$O$5:$O$1504,"Completed")))</f>
        <v/>
      </c>
      <c r="N106" s="52">
        <f>IF(B106="","",IF(_xlfn.MINIFS('JOBS'!$B$5:$B$1504,'JOBS'!$G$5:$G$1504,A106,'JOBS'!$O$5:$O$1504,"Scheduled",'JOBS'!$B$5:$B$1504,"&gt;="&amp;AsOf)=0,"",_xlfn.MINIFS('JOBS'!$B$5:$B$1504,'JOBS'!$G$5:$G$1504,A106,'JOBS'!$O$5:$O$1504,"Scheduled",'JOBS'!$B$5:$B$1504,"&gt;="&amp;AsOf)))</f>
        <v/>
      </c>
      <c r="O106" s="52">
        <f>IF(B106="","",IF(N106&lt;&gt;"",N106,IF(M106="",IF(H106="","",H106),IF(E106="Monthly",EDATE(M106,1),M106+IFERROR(INDEX('PRICING'!$C$28:$C$33,MATCH(E106,'PRICING'!$A$28:$A$33,0)),14)))))</f>
        <v/>
      </c>
      <c r="P106" s="101">
        <f>IF(O106="","",O106-AsOf)</f>
        <v/>
      </c>
      <c r="Q106" s="49">
        <f>IF(B106="","",IF(J106&lt;&gt;"Active","—",IF(N106&lt;&gt;"","Booked",IF(O106="","Set start date",IF(O106&lt;AsOf,"Overdue — book now",IF(O106&lt;=AsOf+7,"Due this week — book","Upcoming"))))))</f>
        <v/>
      </c>
      <c r="R106" s="54">
        <f>IF(B106="","",IF(J106="Active",N(F106)*IFERROR(INDEX('PRICING'!$D$28:$D$33,MATCH(E106,'PRICING'!$A$28:$A$33,0)),0),0))</f>
        <v/>
      </c>
      <c r="S106" s="54">
        <f>IF(B106="","",R106*12)</f>
        <v/>
      </c>
      <c r="T106" s="49">
        <f>IF(B106="","",IF(OR(Q106="Overdue — book now",Q106="Due this week — book"),1,0))</f>
        <v/>
      </c>
      <c r="U106" s="49">
        <f>IF(N(T106)&lt;&gt;1,"",COUNTIFS('RECURRING'!$T$5:$T$154,1,'RECURRING'!$O$5:$O$154,"&lt;"&amp;O106)+COUNTIFS($T$5:T106,1,$O$5:O106,O106))</f>
        <v/>
      </c>
    </row>
    <row r="107">
      <c r="A107" s="46" t="inlineStr">
        <is>
          <t>R-103</t>
        </is>
      </c>
      <c r="B107" s="38" t="n"/>
      <c r="C107" s="38" t="n"/>
      <c r="D107" s="38" t="n"/>
      <c r="E107" s="38" t="n"/>
      <c r="F107" s="48" t="n"/>
      <c r="G107" s="38" t="n"/>
      <c r="H107" s="47" t="n"/>
      <c r="I107" s="38" t="n"/>
      <c r="J107" s="38" t="n"/>
      <c r="K107" s="38" t="n"/>
      <c r="L107" s="53">
        <f>IF(B107="","",COUNTIFS('JOBS'!$G$5:$G$1504,A107,'JOBS'!$O$5:$O$1504,"Completed"))</f>
        <v/>
      </c>
      <c r="M107" s="52">
        <f>IF(B107="","",IF(_xlfn.MAXIFS('JOBS'!$B$5:$B$1504,'JOBS'!$G$5:$G$1504,A107,'JOBS'!$O$5:$O$1504,"Completed")=0,"",_xlfn.MAXIFS('JOBS'!$B$5:$B$1504,'JOBS'!$G$5:$G$1504,A107,'JOBS'!$O$5:$O$1504,"Completed")))</f>
        <v/>
      </c>
      <c r="N107" s="52">
        <f>IF(B107="","",IF(_xlfn.MINIFS('JOBS'!$B$5:$B$1504,'JOBS'!$G$5:$G$1504,A107,'JOBS'!$O$5:$O$1504,"Scheduled",'JOBS'!$B$5:$B$1504,"&gt;="&amp;AsOf)=0,"",_xlfn.MINIFS('JOBS'!$B$5:$B$1504,'JOBS'!$G$5:$G$1504,A107,'JOBS'!$O$5:$O$1504,"Scheduled",'JOBS'!$B$5:$B$1504,"&gt;="&amp;AsOf)))</f>
        <v/>
      </c>
      <c r="O107" s="52">
        <f>IF(B107="","",IF(N107&lt;&gt;"",N107,IF(M107="",IF(H107="","",H107),IF(E107="Monthly",EDATE(M107,1),M107+IFERROR(INDEX('PRICING'!$C$28:$C$33,MATCH(E107,'PRICING'!$A$28:$A$33,0)),14)))))</f>
        <v/>
      </c>
      <c r="P107" s="101">
        <f>IF(O107="","",O107-AsOf)</f>
        <v/>
      </c>
      <c r="Q107" s="49">
        <f>IF(B107="","",IF(J107&lt;&gt;"Active","—",IF(N107&lt;&gt;"","Booked",IF(O107="","Set start date",IF(O107&lt;AsOf,"Overdue — book now",IF(O107&lt;=AsOf+7,"Due this week — book","Upcoming"))))))</f>
        <v/>
      </c>
      <c r="R107" s="54">
        <f>IF(B107="","",IF(J107="Active",N(F107)*IFERROR(INDEX('PRICING'!$D$28:$D$33,MATCH(E107,'PRICING'!$A$28:$A$33,0)),0),0))</f>
        <v/>
      </c>
      <c r="S107" s="54">
        <f>IF(B107="","",R107*12)</f>
        <v/>
      </c>
      <c r="T107" s="49">
        <f>IF(B107="","",IF(OR(Q107="Overdue — book now",Q107="Due this week — book"),1,0))</f>
        <v/>
      </c>
      <c r="U107" s="49">
        <f>IF(N(T107)&lt;&gt;1,"",COUNTIFS('RECURRING'!$T$5:$T$154,1,'RECURRING'!$O$5:$O$154,"&lt;"&amp;O107)+COUNTIFS($T$5:T107,1,$O$5:O107,O107))</f>
        <v/>
      </c>
    </row>
    <row r="108">
      <c r="A108" s="46" t="inlineStr">
        <is>
          <t>R-104</t>
        </is>
      </c>
      <c r="B108" s="38" t="n"/>
      <c r="C108" s="38" t="n"/>
      <c r="D108" s="38" t="n"/>
      <c r="E108" s="38" t="n"/>
      <c r="F108" s="48" t="n"/>
      <c r="G108" s="38" t="n"/>
      <c r="H108" s="47" t="n"/>
      <c r="I108" s="38" t="n"/>
      <c r="J108" s="38" t="n"/>
      <c r="K108" s="38" t="n"/>
      <c r="L108" s="53">
        <f>IF(B108="","",COUNTIFS('JOBS'!$G$5:$G$1504,A108,'JOBS'!$O$5:$O$1504,"Completed"))</f>
        <v/>
      </c>
      <c r="M108" s="52">
        <f>IF(B108="","",IF(_xlfn.MAXIFS('JOBS'!$B$5:$B$1504,'JOBS'!$G$5:$G$1504,A108,'JOBS'!$O$5:$O$1504,"Completed")=0,"",_xlfn.MAXIFS('JOBS'!$B$5:$B$1504,'JOBS'!$G$5:$G$1504,A108,'JOBS'!$O$5:$O$1504,"Completed")))</f>
        <v/>
      </c>
      <c r="N108" s="52">
        <f>IF(B108="","",IF(_xlfn.MINIFS('JOBS'!$B$5:$B$1504,'JOBS'!$G$5:$G$1504,A108,'JOBS'!$O$5:$O$1504,"Scheduled",'JOBS'!$B$5:$B$1504,"&gt;="&amp;AsOf)=0,"",_xlfn.MINIFS('JOBS'!$B$5:$B$1504,'JOBS'!$G$5:$G$1504,A108,'JOBS'!$O$5:$O$1504,"Scheduled",'JOBS'!$B$5:$B$1504,"&gt;="&amp;AsOf)))</f>
        <v/>
      </c>
      <c r="O108" s="52">
        <f>IF(B108="","",IF(N108&lt;&gt;"",N108,IF(M108="",IF(H108="","",H108),IF(E108="Monthly",EDATE(M108,1),M108+IFERROR(INDEX('PRICING'!$C$28:$C$33,MATCH(E108,'PRICING'!$A$28:$A$33,0)),14)))))</f>
        <v/>
      </c>
      <c r="P108" s="101">
        <f>IF(O108="","",O108-AsOf)</f>
        <v/>
      </c>
      <c r="Q108" s="49">
        <f>IF(B108="","",IF(J108&lt;&gt;"Active","—",IF(N108&lt;&gt;"","Booked",IF(O108="","Set start date",IF(O108&lt;AsOf,"Overdue — book now",IF(O108&lt;=AsOf+7,"Due this week — book","Upcoming"))))))</f>
        <v/>
      </c>
      <c r="R108" s="54">
        <f>IF(B108="","",IF(J108="Active",N(F108)*IFERROR(INDEX('PRICING'!$D$28:$D$33,MATCH(E108,'PRICING'!$A$28:$A$33,0)),0),0))</f>
        <v/>
      </c>
      <c r="S108" s="54">
        <f>IF(B108="","",R108*12)</f>
        <v/>
      </c>
      <c r="T108" s="49">
        <f>IF(B108="","",IF(OR(Q108="Overdue — book now",Q108="Due this week — book"),1,0))</f>
        <v/>
      </c>
      <c r="U108" s="49">
        <f>IF(N(T108)&lt;&gt;1,"",COUNTIFS('RECURRING'!$T$5:$T$154,1,'RECURRING'!$O$5:$O$154,"&lt;"&amp;O108)+COUNTIFS($T$5:T108,1,$O$5:O108,O108))</f>
        <v/>
      </c>
    </row>
    <row r="109">
      <c r="A109" s="46" t="inlineStr">
        <is>
          <t>R-105</t>
        </is>
      </c>
      <c r="B109" s="38" t="n"/>
      <c r="C109" s="38" t="n"/>
      <c r="D109" s="38" t="n"/>
      <c r="E109" s="38" t="n"/>
      <c r="F109" s="48" t="n"/>
      <c r="G109" s="38" t="n"/>
      <c r="H109" s="47" t="n"/>
      <c r="I109" s="38" t="n"/>
      <c r="J109" s="38" t="n"/>
      <c r="K109" s="38" t="n"/>
      <c r="L109" s="53">
        <f>IF(B109="","",COUNTIFS('JOBS'!$G$5:$G$1504,A109,'JOBS'!$O$5:$O$1504,"Completed"))</f>
        <v/>
      </c>
      <c r="M109" s="52">
        <f>IF(B109="","",IF(_xlfn.MAXIFS('JOBS'!$B$5:$B$1504,'JOBS'!$G$5:$G$1504,A109,'JOBS'!$O$5:$O$1504,"Completed")=0,"",_xlfn.MAXIFS('JOBS'!$B$5:$B$1504,'JOBS'!$G$5:$G$1504,A109,'JOBS'!$O$5:$O$1504,"Completed")))</f>
        <v/>
      </c>
      <c r="N109" s="52">
        <f>IF(B109="","",IF(_xlfn.MINIFS('JOBS'!$B$5:$B$1504,'JOBS'!$G$5:$G$1504,A109,'JOBS'!$O$5:$O$1504,"Scheduled",'JOBS'!$B$5:$B$1504,"&gt;="&amp;AsOf)=0,"",_xlfn.MINIFS('JOBS'!$B$5:$B$1504,'JOBS'!$G$5:$G$1504,A109,'JOBS'!$O$5:$O$1504,"Scheduled",'JOBS'!$B$5:$B$1504,"&gt;="&amp;AsOf)))</f>
        <v/>
      </c>
      <c r="O109" s="52">
        <f>IF(B109="","",IF(N109&lt;&gt;"",N109,IF(M109="",IF(H109="","",H109),IF(E109="Monthly",EDATE(M109,1),M109+IFERROR(INDEX('PRICING'!$C$28:$C$33,MATCH(E109,'PRICING'!$A$28:$A$33,0)),14)))))</f>
        <v/>
      </c>
      <c r="P109" s="101">
        <f>IF(O109="","",O109-AsOf)</f>
        <v/>
      </c>
      <c r="Q109" s="49">
        <f>IF(B109="","",IF(J109&lt;&gt;"Active","—",IF(N109&lt;&gt;"","Booked",IF(O109="","Set start date",IF(O109&lt;AsOf,"Overdue — book now",IF(O109&lt;=AsOf+7,"Due this week — book","Upcoming"))))))</f>
        <v/>
      </c>
      <c r="R109" s="54">
        <f>IF(B109="","",IF(J109="Active",N(F109)*IFERROR(INDEX('PRICING'!$D$28:$D$33,MATCH(E109,'PRICING'!$A$28:$A$33,0)),0),0))</f>
        <v/>
      </c>
      <c r="S109" s="54">
        <f>IF(B109="","",R109*12)</f>
        <v/>
      </c>
      <c r="T109" s="49">
        <f>IF(B109="","",IF(OR(Q109="Overdue — book now",Q109="Due this week — book"),1,0))</f>
        <v/>
      </c>
      <c r="U109" s="49">
        <f>IF(N(T109)&lt;&gt;1,"",COUNTIFS('RECURRING'!$T$5:$T$154,1,'RECURRING'!$O$5:$O$154,"&lt;"&amp;O109)+COUNTIFS($T$5:T109,1,$O$5:O109,O109))</f>
        <v/>
      </c>
    </row>
    <row r="110">
      <c r="A110" s="46" t="inlineStr">
        <is>
          <t>R-106</t>
        </is>
      </c>
      <c r="B110" s="38" t="n"/>
      <c r="C110" s="38" t="n"/>
      <c r="D110" s="38" t="n"/>
      <c r="E110" s="38" t="n"/>
      <c r="F110" s="48" t="n"/>
      <c r="G110" s="38" t="n"/>
      <c r="H110" s="47" t="n"/>
      <c r="I110" s="38" t="n"/>
      <c r="J110" s="38" t="n"/>
      <c r="K110" s="38" t="n"/>
      <c r="L110" s="53">
        <f>IF(B110="","",COUNTIFS('JOBS'!$G$5:$G$1504,A110,'JOBS'!$O$5:$O$1504,"Completed"))</f>
        <v/>
      </c>
      <c r="M110" s="52">
        <f>IF(B110="","",IF(_xlfn.MAXIFS('JOBS'!$B$5:$B$1504,'JOBS'!$G$5:$G$1504,A110,'JOBS'!$O$5:$O$1504,"Completed")=0,"",_xlfn.MAXIFS('JOBS'!$B$5:$B$1504,'JOBS'!$G$5:$G$1504,A110,'JOBS'!$O$5:$O$1504,"Completed")))</f>
        <v/>
      </c>
      <c r="N110" s="52">
        <f>IF(B110="","",IF(_xlfn.MINIFS('JOBS'!$B$5:$B$1504,'JOBS'!$G$5:$G$1504,A110,'JOBS'!$O$5:$O$1504,"Scheduled",'JOBS'!$B$5:$B$1504,"&gt;="&amp;AsOf)=0,"",_xlfn.MINIFS('JOBS'!$B$5:$B$1504,'JOBS'!$G$5:$G$1504,A110,'JOBS'!$O$5:$O$1504,"Scheduled",'JOBS'!$B$5:$B$1504,"&gt;="&amp;AsOf)))</f>
        <v/>
      </c>
      <c r="O110" s="52">
        <f>IF(B110="","",IF(N110&lt;&gt;"",N110,IF(M110="",IF(H110="","",H110),IF(E110="Monthly",EDATE(M110,1),M110+IFERROR(INDEX('PRICING'!$C$28:$C$33,MATCH(E110,'PRICING'!$A$28:$A$33,0)),14)))))</f>
        <v/>
      </c>
      <c r="P110" s="101">
        <f>IF(O110="","",O110-AsOf)</f>
        <v/>
      </c>
      <c r="Q110" s="49">
        <f>IF(B110="","",IF(J110&lt;&gt;"Active","—",IF(N110&lt;&gt;"","Booked",IF(O110="","Set start date",IF(O110&lt;AsOf,"Overdue — book now",IF(O110&lt;=AsOf+7,"Due this week — book","Upcoming"))))))</f>
        <v/>
      </c>
      <c r="R110" s="54">
        <f>IF(B110="","",IF(J110="Active",N(F110)*IFERROR(INDEX('PRICING'!$D$28:$D$33,MATCH(E110,'PRICING'!$A$28:$A$33,0)),0),0))</f>
        <v/>
      </c>
      <c r="S110" s="54">
        <f>IF(B110="","",R110*12)</f>
        <v/>
      </c>
      <c r="T110" s="49">
        <f>IF(B110="","",IF(OR(Q110="Overdue — book now",Q110="Due this week — book"),1,0))</f>
        <v/>
      </c>
      <c r="U110" s="49">
        <f>IF(N(T110)&lt;&gt;1,"",COUNTIFS('RECURRING'!$T$5:$T$154,1,'RECURRING'!$O$5:$O$154,"&lt;"&amp;O110)+COUNTIFS($T$5:T110,1,$O$5:O110,O110))</f>
        <v/>
      </c>
    </row>
    <row r="111">
      <c r="A111" s="46" t="inlineStr">
        <is>
          <t>R-107</t>
        </is>
      </c>
      <c r="B111" s="38" t="n"/>
      <c r="C111" s="38" t="n"/>
      <c r="D111" s="38" t="n"/>
      <c r="E111" s="38" t="n"/>
      <c r="F111" s="48" t="n"/>
      <c r="G111" s="38" t="n"/>
      <c r="H111" s="47" t="n"/>
      <c r="I111" s="38" t="n"/>
      <c r="J111" s="38" t="n"/>
      <c r="K111" s="38" t="n"/>
      <c r="L111" s="53">
        <f>IF(B111="","",COUNTIFS('JOBS'!$G$5:$G$1504,A111,'JOBS'!$O$5:$O$1504,"Completed"))</f>
        <v/>
      </c>
      <c r="M111" s="52">
        <f>IF(B111="","",IF(_xlfn.MAXIFS('JOBS'!$B$5:$B$1504,'JOBS'!$G$5:$G$1504,A111,'JOBS'!$O$5:$O$1504,"Completed")=0,"",_xlfn.MAXIFS('JOBS'!$B$5:$B$1504,'JOBS'!$G$5:$G$1504,A111,'JOBS'!$O$5:$O$1504,"Completed")))</f>
        <v/>
      </c>
      <c r="N111" s="52">
        <f>IF(B111="","",IF(_xlfn.MINIFS('JOBS'!$B$5:$B$1504,'JOBS'!$G$5:$G$1504,A111,'JOBS'!$O$5:$O$1504,"Scheduled",'JOBS'!$B$5:$B$1504,"&gt;="&amp;AsOf)=0,"",_xlfn.MINIFS('JOBS'!$B$5:$B$1504,'JOBS'!$G$5:$G$1504,A111,'JOBS'!$O$5:$O$1504,"Scheduled",'JOBS'!$B$5:$B$1504,"&gt;="&amp;AsOf)))</f>
        <v/>
      </c>
      <c r="O111" s="52">
        <f>IF(B111="","",IF(N111&lt;&gt;"",N111,IF(M111="",IF(H111="","",H111),IF(E111="Monthly",EDATE(M111,1),M111+IFERROR(INDEX('PRICING'!$C$28:$C$33,MATCH(E111,'PRICING'!$A$28:$A$33,0)),14)))))</f>
        <v/>
      </c>
      <c r="P111" s="101">
        <f>IF(O111="","",O111-AsOf)</f>
        <v/>
      </c>
      <c r="Q111" s="49">
        <f>IF(B111="","",IF(J111&lt;&gt;"Active","—",IF(N111&lt;&gt;"","Booked",IF(O111="","Set start date",IF(O111&lt;AsOf,"Overdue — book now",IF(O111&lt;=AsOf+7,"Due this week — book","Upcoming"))))))</f>
        <v/>
      </c>
      <c r="R111" s="54">
        <f>IF(B111="","",IF(J111="Active",N(F111)*IFERROR(INDEX('PRICING'!$D$28:$D$33,MATCH(E111,'PRICING'!$A$28:$A$33,0)),0),0))</f>
        <v/>
      </c>
      <c r="S111" s="54">
        <f>IF(B111="","",R111*12)</f>
        <v/>
      </c>
      <c r="T111" s="49">
        <f>IF(B111="","",IF(OR(Q111="Overdue — book now",Q111="Due this week — book"),1,0))</f>
        <v/>
      </c>
      <c r="U111" s="49">
        <f>IF(N(T111)&lt;&gt;1,"",COUNTIFS('RECURRING'!$T$5:$T$154,1,'RECURRING'!$O$5:$O$154,"&lt;"&amp;O111)+COUNTIFS($T$5:T111,1,$O$5:O111,O111))</f>
        <v/>
      </c>
    </row>
    <row r="112">
      <c r="A112" s="46" t="inlineStr">
        <is>
          <t>R-108</t>
        </is>
      </c>
      <c r="B112" s="38" t="n"/>
      <c r="C112" s="38" t="n"/>
      <c r="D112" s="38" t="n"/>
      <c r="E112" s="38" t="n"/>
      <c r="F112" s="48" t="n"/>
      <c r="G112" s="38" t="n"/>
      <c r="H112" s="47" t="n"/>
      <c r="I112" s="38" t="n"/>
      <c r="J112" s="38" t="n"/>
      <c r="K112" s="38" t="n"/>
      <c r="L112" s="53">
        <f>IF(B112="","",COUNTIFS('JOBS'!$G$5:$G$1504,A112,'JOBS'!$O$5:$O$1504,"Completed"))</f>
        <v/>
      </c>
      <c r="M112" s="52">
        <f>IF(B112="","",IF(_xlfn.MAXIFS('JOBS'!$B$5:$B$1504,'JOBS'!$G$5:$G$1504,A112,'JOBS'!$O$5:$O$1504,"Completed")=0,"",_xlfn.MAXIFS('JOBS'!$B$5:$B$1504,'JOBS'!$G$5:$G$1504,A112,'JOBS'!$O$5:$O$1504,"Completed")))</f>
        <v/>
      </c>
      <c r="N112" s="52">
        <f>IF(B112="","",IF(_xlfn.MINIFS('JOBS'!$B$5:$B$1504,'JOBS'!$G$5:$G$1504,A112,'JOBS'!$O$5:$O$1504,"Scheduled",'JOBS'!$B$5:$B$1504,"&gt;="&amp;AsOf)=0,"",_xlfn.MINIFS('JOBS'!$B$5:$B$1504,'JOBS'!$G$5:$G$1504,A112,'JOBS'!$O$5:$O$1504,"Scheduled",'JOBS'!$B$5:$B$1504,"&gt;="&amp;AsOf)))</f>
        <v/>
      </c>
      <c r="O112" s="52">
        <f>IF(B112="","",IF(N112&lt;&gt;"",N112,IF(M112="",IF(H112="","",H112),IF(E112="Monthly",EDATE(M112,1),M112+IFERROR(INDEX('PRICING'!$C$28:$C$33,MATCH(E112,'PRICING'!$A$28:$A$33,0)),14)))))</f>
        <v/>
      </c>
      <c r="P112" s="101">
        <f>IF(O112="","",O112-AsOf)</f>
        <v/>
      </c>
      <c r="Q112" s="49">
        <f>IF(B112="","",IF(J112&lt;&gt;"Active","—",IF(N112&lt;&gt;"","Booked",IF(O112="","Set start date",IF(O112&lt;AsOf,"Overdue — book now",IF(O112&lt;=AsOf+7,"Due this week — book","Upcoming"))))))</f>
        <v/>
      </c>
      <c r="R112" s="54">
        <f>IF(B112="","",IF(J112="Active",N(F112)*IFERROR(INDEX('PRICING'!$D$28:$D$33,MATCH(E112,'PRICING'!$A$28:$A$33,0)),0),0))</f>
        <v/>
      </c>
      <c r="S112" s="54">
        <f>IF(B112="","",R112*12)</f>
        <v/>
      </c>
      <c r="T112" s="49">
        <f>IF(B112="","",IF(OR(Q112="Overdue — book now",Q112="Due this week — book"),1,0))</f>
        <v/>
      </c>
      <c r="U112" s="49">
        <f>IF(N(T112)&lt;&gt;1,"",COUNTIFS('RECURRING'!$T$5:$T$154,1,'RECURRING'!$O$5:$O$154,"&lt;"&amp;O112)+COUNTIFS($T$5:T112,1,$O$5:O112,O112))</f>
        <v/>
      </c>
    </row>
    <row r="113">
      <c r="A113" s="46" t="inlineStr">
        <is>
          <t>R-109</t>
        </is>
      </c>
      <c r="B113" s="38" t="n"/>
      <c r="C113" s="38" t="n"/>
      <c r="D113" s="38" t="n"/>
      <c r="E113" s="38" t="n"/>
      <c r="F113" s="48" t="n"/>
      <c r="G113" s="38" t="n"/>
      <c r="H113" s="47" t="n"/>
      <c r="I113" s="38" t="n"/>
      <c r="J113" s="38" t="n"/>
      <c r="K113" s="38" t="n"/>
      <c r="L113" s="53">
        <f>IF(B113="","",COUNTIFS('JOBS'!$G$5:$G$1504,A113,'JOBS'!$O$5:$O$1504,"Completed"))</f>
        <v/>
      </c>
      <c r="M113" s="52">
        <f>IF(B113="","",IF(_xlfn.MAXIFS('JOBS'!$B$5:$B$1504,'JOBS'!$G$5:$G$1504,A113,'JOBS'!$O$5:$O$1504,"Completed")=0,"",_xlfn.MAXIFS('JOBS'!$B$5:$B$1504,'JOBS'!$G$5:$G$1504,A113,'JOBS'!$O$5:$O$1504,"Completed")))</f>
        <v/>
      </c>
      <c r="N113" s="52">
        <f>IF(B113="","",IF(_xlfn.MINIFS('JOBS'!$B$5:$B$1504,'JOBS'!$G$5:$G$1504,A113,'JOBS'!$O$5:$O$1504,"Scheduled",'JOBS'!$B$5:$B$1504,"&gt;="&amp;AsOf)=0,"",_xlfn.MINIFS('JOBS'!$B$5:$B$1504,'JOBS'!$G$5:$G$1504,A113,'JOBS'!$O$5:$O$1504,"Scheduled",'JOBS'!$B$5:$B$1504,"&gt;="&amp;AsOf)))</f>
        <v/>
      </c>
      <c r="O113" s="52">
        <f>IF(B113="","",IF(N113&lt;&gt;"",N113,IF(M113="",IF(H113="","",H113),IF(E113="Monthly",EDATE(M113,1),M113+IFERROR(INDEX('PRICING'!$C$28:$C$33,MATCH(E113,'PRICING'!$A$28:$A$33,0)),14)))))</f>
        <v/>
      </c>
      <c r="P113" s="101">
        <f>IF(O113="","",O113-AsOf)</f>
        <v/>
      </c>
      <c r="Q113" s="49">
        <f>IF(B113="","",IF(J113&lt;&gt;"Active","—",IF(N113&lt;&gt;"","Booked",IF(O113="","Set start date",IF(O113&lt;AsOf,"Overdue — book now",IF(O113&lt;=AsOf+7,"Due this week — book","Upcoming"))))))</f>
        <v/>
      </c>
      <c r="R113" s="54">
        <f>IF(B113="","",IF(J113="Active",N(F113)*IFERROR(INDEX('PRICING'!$D$28:$D$33,MATCH(E113,'PRICING'!$A$28:$A$33,0)),0),0))</f>
        <v/>
      </c>
      <c r="S113" s="54">
        <f>IF(B113="","",R113*12)</f>
        <v/>
      </c>
      <c r="T113" s="49">
        <f>IF(B113="","",IF(OR(Q113="Overdue — book now",Q113="Due this week — book"),1,0))</f>
        <v/>
      </c>
      <c r="U113" s="49">
        <f>IF(N(T113)&lt;&gt;1,"",COUNTIFS('RECURRING'!$T$5:$T$154,1,'RECURRING'!$O$5:$O$154,"&lt;"&amp;O113)+COUNTIFS($T$5:T113,1,$O$5:O113,O113))</f>
        <v/>
      </c>
    </row>
    <row r="114">
      <c r="A114" s="46" t="inlineStr">
        <is>
          <t>R-110</t>
        </is>
      </c>
      <c r="B114" s="38" t="n"/>
      <c r="C114" s="38" t="n"/>
      <c r="D114" s="38" t="n"/>
      <c r="E114" s="38" t="n"/>
      <c r="F114" s="48" t="n"/>
      <c r="G114" s="38" t="n"/>
      <c r="H114" s="47" t="n"/>
      <c r="I114" s="38" t="n"/>
      <c r="J114" s="38" t="n"/>
      <c r="K114" s="38" t="n"/>
      <c r="L114" s="53">
        <f>IF(B114="","",COUNTIFS('JOBS'!$G$5:$G$1504,A114,'JOBS'!$O$5:$O$1504,"Completed"))</f>
        <v/>
      </c>
      <c r="M114" s="52">
        <f>IF(B114="","",IF(_xlfn.MAXIFS('JOBS'!$B$5:$B$1504,'JOBS'!$G$5:$G$1504,A114,'JOBS'!$O$5:$O$1504,"Completed")=0,"",_xlfn.MAXIFS('JOBS'!$B$5:$B$1504,'JOBS'!$G$5:$G$1504,A114,'JOBS'!$O$5:$O$1504,"Completed")))</f>
        <v/>
      </c>
      <c r="N114" s="52">
        <f>IF(B114="","",IF(_xlfn.MINIFS('JOBS'!$B$5:$B$1504,'JOBS'!$G$5:$G$1504,A114,'JOBS'!$O$5:$O$1504,"Scheduled",'JOBS'!$B$5:$B$1504,"&gt;="&amp;AsOf)=0,"",_xlfn.MINIFS('JOBS'!$B$5:$B$1504,'JOBS'!$G$5:$G$1504,A114,'JOBS'!$O$5:$O$1504,"Scheduled",'JOBS'!$B$5:$B$1504,"&gt;="&amp;AsOf)))</f>
        <v/>
      </c>
      <c r="O114" s="52">
        <f>IF(B114="","",IF(N114&lt;&gt;"",N114,IF(M114="",IF(H114="","",H114),IF(E114="Monthly",EDATE(M114,1),M114+IFERROR(INDEX('PRICING'!$C$28:$C$33,MATCH(E114,'PRICING'!$A$28:$A$33,0)),14)))))</f>
        <v/>
      </c>
      <c r="P114" s="101">
        <f>IF(O114="","",O114-AsOf)</f>
        <v/>
      </c>
      <c r="Q114" s="49">
        <f>IF(B114="","",IF(J114&lt;&gt;"Active","—",IF(N114&lt;&gt;"","Booked",IF(O114="","Set start date",IF(O114&lt;AsOf,"Overdue — book now",IF(O114&lt;=AsOf+7,"Due this week — book","Upcoming"))))))</f>
        <v/>
      </c>
      <c r="R114" s="54">
        <f>IF(B114="","",IF(J114="Active",N(F114)*IFERROR(INDEX('PRICING'!$D$28:$D$33,MATCH(E114,'PRICING'!$A$28:$A$33,0)),0),0))</f>
        <v/>
      </c>
      <c r="S114" s="54">
        <f>IF(B114="","",R114*12)</f>
        <v/>
      </c>
      <c r="T114" s="49">
        <f>IF(B114="","",IF(OR(Q114="Overdue — book now",Q114="Due this week — book"),1,0))</f>
        <v/>
      </c>
      <c r="U114" s="49">
        <f>IF(N(T114)&lt;&gt;1,"",COUNTIFS('RECURRING'!$T$5:$T$154,1,'RECURRING'!$O$5:$O$154,"&lt;"&amp;O114)+COUNTIFS($T$5:T114,1,$O$5:O114,O114))</f>
        <v/>
      </c>
    </row>
    <row r="115">
      <c r="A115" s="46" t="inlineStr">
        <is>
          <t>R-111</t>
        </is>
      </c>
      <c r="B115" s="38" t="n"/>
      <c r="C115" s="38" t="n"/>
      <c r="D115" s="38" t="n"/>
      <c r="E115" s="38" t="n"/>
      <c r="F115" s="48" t="n"/>
      <c r="G115" s="38" t="n"/>
      <c r="H115" s="47" t="n"/>
      <c r="I115" s="38" t="n"/>
      <c r="J115" s="38" t="n"/>
      <c r="K115" s="38" t="n"/>
      <c r="L115" s="53">
        <f>IF(B115="","",COUNTIFS('JOBS'!$G$5:$G$1504,A115,'JOBS'!$O$5:$O$1504,"Completed"))</f>
        <v/>
      </c>
      <c r="M115" s="52">
        <f>IF(B115="","",IF(_xlfn.MAXIFS('JOBS'!$B$5:$B$1504,'JOBS'!$G$5:$G$1504,A115,'JOBS'!$O$5:$O$1504,"Completed")=0,"",_xlfn.MAXIFS('JOBS'!$B$5:$B$1504,'JOBS'!$G$5:$G$1504,A115,'JOBS'!$O$5:$O$1504,"Completed")))</f>
        <v/>
      </c>
      <c r="N115" s="52">
        <f>IF(B115="","",IF(_xlfn.MINIFS('JOBS'!$B$5:$B$1504,'JOBS'!$G$5:$G$1504,A115,'JOBS'!$O$5:$O$1504,"Scheduled",'JOBS'!$B$5:$B$1504,"&gt;="&amp;AsOf)=0,"",_xlfn.MINIFS('JOBS'!$B$5:$B$1504,'JOBS'!$G$5:$G$1504,A115,'JOBS'!$O$5:$O$1504,"Scheduled",'JOBS'!$B$5:$B$1504,"&gt;="&amp;AsOf)))</f>
        <v/>
      </c>
      <c r="O115" s="52">
        <f>IF(B115="","",IF(N115&lt;&gt;"",N115,IF(M115="",IF(H115="","",H115),IF(E115="Monthly",EDATE(M115,1),M115+IFERROR(INDEX('PRICING'!$C$28:$C$33,MATCH(E115,'PRICING'!$A$28:$A$33,0)),14)))))</f>
        <v/>
      </c>
      <c r="P115" s="101">
        <f>IF(O115="","",O115-AsOf)</f>
        <v/>
      </c>
      <c r="Q115" s="49">
        <f>IF(B115="","",IF(J115&lt;&gt;"Active","—",IF(N115&lt;&gt;"","Booked",IF(O115="","Set start date",IF(O115&lt;AsOf,"Overdue — book now",IF(O115&lt;=AsOf+7,"Due this week — book","Upcoming"))))))</f>
        <v/>
      </c>
      <c r="R115" s="54">
        <f>IF(B115="","",IF(J115="Active",N(F115)*IFERROR(INDEX('PRICING'!$D$28:$D$33,MATCH(E115,'PRICING'!$A$28:$A$33,0)),0),0))</f>
        <v/>
      </c>
      <c r="S115" s="54">
        <f>IF(B115="","",R115*12)</f>
        <v/>
      </c>
      <c r="T115" s="49">
        <f>IF(B115="","",IF(OR(Q115="Overdue — book now",Q115="Due this week — book"),1,0))</f>
        <v/>
      </c>
      <c r="U115" s="49">
        <f>IF(N(T115)&lt;&gt;1,"",COUNTIFS('RECURRING'!$T$5:$T$154,1,'RECURRING'!$O$5:$O$154,"&lt;"&amp;O115)+COUNTIFS($T$5:T115,1,$O$5:O115,O115))</f>
        <v/>
      </c>
    </row>
    <row r="116">
      <c r="A116" s="46" t="inlineStr">
        <is>
          <t>R-112</t>
        </is>
      </c>
      <c r="B116" s="38" t="n"/>
      <c r="C116" s="38" t="n"/>
      <c r="D116" s="38" t="n"/>
      <c r="E116" s="38" t="n"/>
      <c r="F116" s="48" t="n"/>
      <c r="G116" s="38" t="n"/>
      <c r="H116" s="47" t="n"/>
      <c r="I116" s="38" t="n"/>
      <c r="J116" s="38" t="n"/>
      <c r="K116" s="38" t="n"/>
      <c r="L116" s="53">
        <f>IF(B116="","",COUNTIFS('JOBS'!$G$5:$G$1504,A116,'JOBS'!$O$5:$O$1504,"Completed"))</f>
        <v/>
      </c>
      <c r="M116" s="52">
        <f>IF(B116="","",IF(_xlfn.MAXIFS('JOBS'!$B$5:$B$1504,'JOBS'!$G$5:$G$1504,A116,'JOBS'!$O$5:$O$1504,"Completed")=0,"",_xlfn.MAXIFS('JOBS'!$B$5:$B$1504,'JOBS'!$G$5:$G$1504,A116,'JOBS'!$O$5:$O$1504,"Completed")))</f>
        <v/>
      </c>
      <c r="N116" s="52">
        <f>IF(B116="","",IF(_xlfn.MINIFS('JOBS'!$B$5:$B$1504,'JOBS'!$G$5:$G$1504,A116,'JOBS'!$O$5:$O$1504,"Scheduled",'JOBS'!$B$5:$B$1504,"&gt;="&amp;AsOf)=0,"",_xlfn.MINIFS('JOBS'!$B$5:$B$1504,'JOBS'!$G$5:$G$1504,A116,'JOBS'!$O$5:$O$1504,"Scheduled",'JOBS'!$B$5:$B$1504,"&gt;="&amp;AsOf)))</f>
        <v/>
      </c>
      <c r="O116" s="52">
        <f>IF(B116="","",IF(N116&lt;&gt;"",N116,IF(M116="",IF(H116="","",H116),IF(E116="Monthly",EDATE(M116,1),M116+IFERROR(INDEX('PRICING'!$C$28:$C$33,MATCH(E116,'PRICING'!$A$28:$A$33,0)),14)))))</f>
        <v/>
      </c>
      <c r="P116" s="101">
        <f>IF(O116="","",O116-AsOf)</f>
        <v/>
      </c>
      <c r="Q116" s="49">
        <f>IF(B116="","",IF(J116&lt;&gt;"Active","—",IF(N116&lt;&gt;"","Booked",IF(O116="","Set start date",IF(O116&lt;AsOf,"Overdue — book now",IF(O116&lt;=AsOf+7,"Due this week — book","Upcoming"))))))</f>
        <v/>
      </c>
      <c r="R116" s="54">
        <f>IF(B116="","",IF(J116="Active",N(F116)*IFERROR(INDEX('PRICING'!$D$28:$D$33,MATCH(E116,'PRICING'!$A$28:$A$33,0)),0),0))</f>
        <v/>
      </c>
      <c r="S116" s="54">
        <f>IF(B116="","",R116*12)</f>
        <v/>
      </c>
      <c r="T116" s="49">
        <f>IF(B116="","",IF(OR(Q116="Overdue — book now",Q116="Due this week — book"),1,0))</f>
        <v/>
      </c>
      <c r="U116" s="49">
        <f>IF(N(T116)&lt;&gt;1,"",COUNTIFS('RECURRING'!$T$5:$T$154,1,'RECURRING'!$O$5:$O$154,"&lt;"&amp;O116)+COUNTIFS($T$5:T116,1,$O$5:O116,O116))</f>
        <v/>
      </c>
    </row>
    <row r="117">
      <c r="A117" s="46" t="inlineStr">
        <is>
          <t>R-113</t>
        </is>
      </c>
      <c r="B117" s="38" t="n"/>
      <c r="C117" s="38" t="n"/>
      <c r="D117" s="38" t="n"/>
      <c r="E117" s="38" t="n"/>
      <c r="F117" s="48" t="n"/>
      <c r="G117" s="38" t="n"/>
      <c r="H117" s="47" t="n"/>
      <c r="I117" s="38" t="n"/>
      <c r="J117" s="38" t="n"/>
      <c r="K117" s="38" t="n"/>
      <c r="L117" s="53">
        <f>IF(B117="","",COUNTIFS('JOBS'!$G$5:$G$1504,A117,'JOBS'!$O$5:$O$1504,"Completed"))</f>
        <v/>
      </c>
      <c r="M117" s="52">
        <f>IF(B117="","",IF(_xlfn.MAXIFS('JOBS'!$B$5:$B$1504,'JOBS'!$G$5:$G$1504,A117,'JOBS'!$O$5:$O$1504,"Completed")=0,"",_xlfn.MAXIFS('JOBS'!$B$5:$B$1504,'JOBS'!$G$5:$G$1504,A117,'JOBS'!$O$5:$O$1504,"Completed")))</f>
        <v/>
      </c>
      <c r="N117" s="52">
        <f>IF(B117="","",IF(_xlfn.MINIFS('JOBS'!$B$5:$B$1504,'JOBS'!$G$5:$G$1504,A117,'JOBS'!$O$5:$O$1504,"Scheduled",'JOBS'!$B$5:$B$1504,"&gt;="&amp;AsOf)=0,"",_xlfn.MINIFS('JOBS'!$B$5:$B$1504,'JOBS'!$G$5:$G$1504,A117,'JOBS'!$O$5:$O$1504,"Scheduled",'JOBS'!$B$5:$B$1504,"&gt;="&amp;AsOf)))</f>
        <v/>
      </c>
      <c r="O117" s="52">
        <f>IF(B117="","",IF(N117&lt;&gt;"",N117,IF(M117="",IF(H117="","",H117),IF(E117="Monthly",EDATE(M117,1),M117+IFERROR(INDEX('PRICING'!$C$28:$C$33,MATCH(E117,'PRICING'!$A$28:$A$33,0)),14)))))</f>
        <v/>
      </c>
      <c r="P117" s="101">
        <f>IF(O117="","",O117-AsOf)</f>
        <v/>
      </c>
      <c r="Q117" s="49">
        <f>IF(B117="","",IF(J117&lt;&gt;"Active","—",IF(N117&lt;&gt;"","Booked",IF(O117="","Set start date",IF(O117&lt;AsOf,"Overdue — book now",IF(O117&lt;=AsOf+7,"Due this week — book","Upcoming"))))))</f>
        <v/>
      </c>
      <c r="R117" s="54">
        <f>IF(B117="","",IF(J117="Active",N(F117)*IFERROR(INDEX('PRICING'!$D$28:$D$33,MATCH(E117,'PRICING'!$A$28:$A$33,0)),0),0))</f>
        <v/>
      </c>
      <c r="S117" s="54">
        <f>IF(B117="","",R117*12)</f>
        <v/>
      </c>
      <c r="T117" s="49">
        <f>IF(B117="","",IF(OR(Q117="Overdue — book now",Q117="Due this week — book"),1,0))</f>
        <v/>
      </c>
      <c r="U117" s="49">
        <f>IF(N(T117)&lt;&gt;1,"",COUNTIFS('RECURRING'!$T$5:$T$154,1,'RECURRING'!$O$5:$O$154,"&lt;"&amp;O117)+COUNTIFS($T$5:T117,1,$O$5:O117,O117))</f>
        <v/>
      </c>
    </row>
    <row r="118">
      <c r="A118" s="46" t="inlineStr">
        <is>
          <t>R-114</t>
        </is>
      </c>
      <c r="B118" s="38" t="n"/>
      <c r="C118" s="38" t="n"/>
      <c r="D118" s="38" t="n"/>
      <c r="E118" s="38" t="n"/>
      <c r="F118" s="48" t="n"/>
      <c r="G118" s="38" t="n"/>
      <c r="H118" s="47" t="n"/>
      <c r="I118" s="38" t="n"/>
      <c r="J118" s="38" t="n"/>
      <c r="K118" s="38" t="n"/>
      <c r="L118" s="53">
        <f>IF(B118="","",COUNTIFS('JOBS'!$G$5:$G$1504,A118,'JOBS'!$O$5:$O$1504,"Completed"))</f>
        <v/>
      </c>
      <c r="M118" s="52">
        <f>IF(B118="","",IF(_xlfn.MAXIFS('JOBS'!$B$5:$B$1504,'JOBS'!$G$5:$G$1504,A118,'JOBS'!$O$5:$O$1504,"Completed")=0,"",_xlfn.MAXIFS('JOBS'!$B$5:$B$1504,'JOBS'!$G$5:$G$1504,A118,'JOBS'!$O$5:$O$1504,"Completed")))</f>
        <v/>
      </c>
      <c r="N118" s="52">
        <f>IF(B118="","",IF(_xlfn.MINIFS('JOBS'!$B$5:$B$1504,'JOBS'!$G$5:$G$1504,A118,'JOBS'!$O$5:$O$1504,"Scheduled",'JOBS'!$B$5:$B$1504,"&gt;="&amp;AsOf)=0,"",_xlfn.MINIFS('JOBS'!$B$5:$B$1504,'JOBS'!$G$5:$G$1504,A118,'JOBS'!$O$5:$O$1504,"Scheduled",'JOBS'!$B$5:$B$1504,"&gt;="&amp;AsOf)))</f>
        <v/>
      </c>
      <c r="O118" s="52">
        <f>IF(B118="","",IF(N118&lt;&gt;"",N118,IF(M118="",IF(H118="","",H118),IF(E118="Monthly",EDATE(M118,1),M118+IFERROR(INDEX('PRICING'!$C$28:$C$33,MATCH(E118,'PRICING'!$A$28:$A$33,0)),14)))))</f>
        <v/>
      </c>
      <c r="P118" s="101">
        <f>IF(O118="","",O118-AsOf)</f>
        <v/>
      </c>
      <c r="Q118" s="49">
        <f>IF(B118="","",IF(J118&lt;&gt;"Active","—",IF(N118&lt;&gt;"","Booked",IF(O118="","Set start date",IF(O118&lt;AsOf,"Overdue — book now",IF(O118&lt;=AsOf+7,"Due this week — book","Upcoming"))))))</f>
        <v/>
      </c>
      <c r="R118" s="54">
        <f>IF(B118="","",IF(J118="Active",N(F118)*IFERROR(INDEX('PRICING'!$D$28:$D$33,MATCH(E118,'PRICING'!$A$28:$A$33,0)),0),0))</f>
        <v/>
      </c>
      <c r="S118" s="54">
        <f>IF(B118="","",R118*12)</f>
        <v/>
      </c>
      <c r="T118" s="49">
        <f>IF(B118="","",IF(OR(Q118="Overdue — book now",Q118="Due this week — book"),1,0))</f>
        <v/>
      </c>
      <c r="U118" s="49">
        <f>IF(N(T118)&lt;&gt;1,"",COUNTIFS('RECURRING'!$T$5:$T$154,1,'RECURRING'!$O$5:$O$154,"&lt;"&amp;O118)+COUNTIFS($T$5:T118,1,$O$5:O118,O118))</f>
        <v/>
      </c>
    </row>
    <row r="119">
      <c r="A119" s="46" t="inlineStr">
        <is>
          <t>R-115</t>
        </is>
      </c>
      <c r="B119" s="38" t="n"/>
      <c r="C119" s="38" t="n"/>
      <c r="D119" s="38" t="n"/>
      <c r="E119" s="38" t="n"/>
      <c r="F119" s="48" t="n"/>
      <c r="G119" s="38" t="n"/>
      <c r="H119" s="47" t="n"/>
      <c r="I119" s="38" t="n"/>
      <c r="J119" s="38" t="n"/>
      <c r="K119" s="38" t="n"/>
      <c r="L119" s="53">
        <f>IF(B119="","",COUNTIFS('JOBS'!$G$5:$G$1504,A119,'JOBS'!$O$5:$O$1504,"Completed"))</f>
        <v/>
      </c>
      <c r="M119" s="52">
        <f>IF(B119="","",IF(_xlfn.MAXIFS('JOBS'!$B$5:$B$1504,'JOBS'!$G$5:$G$1504,A119,'JOBS'!$O$5:$O$1504,"Completed")=0,"",_xlfn.MAXIFS('JOBS'!$B$5:$B$1504,'JOBS'!$G$5:$G$1504,A119,'JOBS'!$O$5:$O$1504,"Completed")))</f>
        <v/>
      </c>
      <c r="N119" s="52">
        <f>IF(B119="","",IF(_xlfn.MINIFS('JOBS'!$B$5:$B$1504,'JOBS'!$G$5:$G$1504,A119,'JOBS'!$O$5:$O$1504,"Scheduled",'JOBS'!$B$5:$B$1504,"&gt;="&amp;AsOf)=0,"",_xlfn.MINIFS('JOBS'!$B$5:$B$1504,'JOBS'!$G$5:$G$1504,A119,'JOBS'!$O$5:$O$1504,"Scheduled",'JOBS'!$B$5:$B$1504,"&gt;="&amp;AsOf)))</f>
        <v/>
      </c>
      <c r="O119" s="52">
        <f>IF(B119="","",IF(N119&lt;&gt;"",N119,IF(M119="",IF(H119="","",H119),IF(E119="Monthly",EDATE(M119,1),M119+IFERROR(INDEX('PRICING'!$C$28:$C$33,MATCH(E119,'PRICING'!$A$28:$A$33,0)),14)))))</f>
        <v/>
      </c>
      <c r="P119" s="101">
        <f>IF(O119="","",O119-AsOf)</f>
        <v/>
      </c>
      <c r="Q119" s="49">
        <f>IF(B119="","",IF(J119&lt;&gt;"Active","—",IF(N119&lt;&gt;"","Booked",IF(O119="","Set start date",IF(O119&lt;AsOf,"Overdue — book now",IF(O119&lt;=AsOf+7,"Due this week — book","Upcoming"))))))</f>
        <v/>
      </c>
      <c r="R119" s="54">
        <f>IF(B119="","",IF(J119="Active",N(F119)*IFERROR(INDEX('PRICING'!$D$28:$D$33,MATCH(E119,'PRICING'!$A$28:$A$33,0)),0),0))</f>
        <v/>
      </c>
      <c r="S119" s="54">
        <f>IF(B119="","",R119*12)</f>
        <v/>
      </c>
      <c r="T119" s="49">
        <f>IF(B119="","",IF(OR(Q119="Overdue — book now",Q119="Due this week — book"),1,0))</f>
        <v/>
      </c>
      <c r="U119" s="49">
        <f>IF(N(T119)&lt;&gt;1,"",COUNTIFS('RECURRING'!$T$5:$T$154,1,'RECURRING'!$O$5:$O$154,"&lt;"&amp;O119)+COUNTIFS($T$5:T119,1,$O$5:O119,O119))</f>
        <v/>
      </c>
    </row>
    <row r="120">
      <c r="A120" s="46" t="inlineStr">
        <is>
          <t>R-116</t>
        </is>
      </c>
      <c r="B120" s="38" t="n"/>
      <c r="C120" s="38" t="n"/>
      <c r="D120" s="38" t="n"/>
      <c r="E120" s="38" t="n"/>
      <c r="F120" s="48" t="n"/>
      <c r="G120" s="38" t="n"/>
      <c r="H120" s="47" t="n"/>
      <c r="I120" s="38" t="n"/>
      <c r="J120" s="38" t="n"/>
      <c r="K120" s="38" t="n"/>
      <c r="L120" s="53">
        <f>IF(B120="","",COUNTIFS('JOBS'!$G$5:$G$1504,A120,'JOBS'!$O$5:$O$1504,"Completed"))</f>
        <v/>
      </c>
      <c r="M120" s="52">
        <f>IF(B120="","",IF(_xlfn.MAXIFS('JOBS'!$B$5:$B$1504,'JOBS'!$G$5:$G$1504,A120,'JOBS'!$O$5:$O$1504,"Completed")=0,"",_xlfn.MAXIFS('JOBS'!$B$5:$B$1504,'JOBS'!$G$5:$G$1504,A120,'JOBS'!$O$5:$O$1504,"Completed")))</f>
        <v/>
      </c>
      <c r="N120" s="52">
        <f>IF(B120="","",IF(_xlfn.MINIFS('JOBS'!$B$5:$B$1504,'JOBS'!$G$5:$G$1504,A120,'JOBS'!$O$5:$O$1504,"Scheduled",'JOBS'!$B$5:$B$1504,"&gt;="&amp;AsOf)=0,"",_xlfn.MINIFS('JOBS'!$B$5:$B$1504,'JOBS'!$G$5:$G$1504,A120,'JOBS'!$O$5:$O$1504,"Scheduled",'JOBS'!$B$5:$B$1504,"&gt;="&amp;AsOf)))</f>
        <v/>
      </c>
      <c r="O120" s="52">
        <f>IF(B120="","",IF(N120&lt;&gt;"",N120,IF(M120="",IF(H120="","",H120),IF(E120="Monthly",EDATE(M120,1),M120+IFERROR(INDEX('PRICING'!$C$28:$C$33,MATCH(E120,'PRICING'!$A$28:$A$33,0)),14)))))</f>
        <v/>
      </c>
      <c r="P120" s="101">
        <f>IF(O120="","",O120-AsOf)</f>
        <v/>
      </c>
      <c r="Q120" s="49">
        <f>IF(B120="","",IF(J120&lt;&gt;"Active","—",IF(N120&lt;&gt;"","Booked",IF(O120="","Set start date",IF(O120&lt;AsOf,"Overdue — book now",IF(O120&lt;=AsOf+7,"Due this week — book","Upcoming"))))))</f>
        <v/>
      </c>
      <c r="R120" s="54">
        <f>IF(B120="","",IF(J120="Active",N(F120)*IFERROR(INDEX('PRICING'!$D$28:$D$33,MATCH(E120,'PRICING'!$A$28:$A$33,0)),0),0))</f>
        <v/>
      </c>
      <c r="S120" s="54">
        <f>IF(B120="","",R120*12)</f>
        <v/>
      </c>
      <c r="T120" s="49">
        <f>IF(B120="","",IF(OR(Q120="Overdue — book now",Q120="Due this week — book"),1,0))</f>
        <v/>
      </c>
      <c r="U120" s="49">
        <f>IF(N(T120)&lt;&gt;1,"",COUNTIFS('RECURRING'!$T$5:$T$154,1,'RECURRING'!$O$5:$O$154,"&lt;"&amp;O120)+COUNTIFS($T$5:T120,1,$O$5:O120,O120))</f>
        <v/>
      </c>
    </row>
    <row r="121">
      <c r="A121" s="46" t="inlineStr">
        <is>
          <t>R-117</t>
        </is>
      </c>
      <c r="B121" s="38" t="n"/>
      <c r="C121" s="38" t="n"/>
      <c r="D121" s="38" t="n"/>
      <c r="E121" s="38" t="n"/>
      <c r="F121" s="48" t="n"/>
      <c r="G121" s="38" t="n"/>
      <c r="H121" s="47" t="n"/>
      <c r="I121" s="38" t="n"/>
      <c r="J121" s="38" t="n"/>
      <c r="K121" s="38" t="n"/>
      <c r="L121" s="53">
        <f>IF(B121="","",COUNTIFS('JOBS'!$G$5:$G$1504,A121,'JOBS'!$O$5:$O$1504,"Completed"))</f>
        <v/>
      </c>
      <c r="M121" s="52">
        <f>IF(B121="","",IF(_xlfn.MAXIFS('JOBS'!$B$5:$B$1504,'JOBS'!$G$5:$G$1504,A121,'JOBS'!$O$5:$O$1504,"Completed")=0,"",_xlfn.MAXIFS('JOBS'!$B$5:$B$1504,'JOBS'!$G$5:$G$1504,A121,'JOBS'!$O$5:$O$1504,"Completed")))</f>
        <v/>
      </c>
      <c r="N121" s="52">
        <f>IF(B121="","",IF(_xlfn.MINIFS('JOBS'!$B$5:$B$1504,'JOBS'!$G$5:$G$1504,A121,'JOBS'!$O$5:$O$1504,"Scheduled",'JOBS'!$B$5:$B$1504,"&gt;="&amp;AsOf)=0,"",_xlfn.MINIFS('JOBS'!$B$5:$B$1504,'JOBS'!$G$5:$G$1504,A121,'JOBS'!$O$5:$O$1504,"Scheduled",'JOBS'!$B$5:$B$1504,"&gt;="&amp;AsOf)))</f>
        <v/>
      </c>
      <c r="O121" s="52">
        <f>IF(B121="","",IF(N121&lt;&gt;"",N121,IF(M121="",IF(H121="","",H121),IF(E121="Monthly",EDATE(M121,1),M121+IFERROR(INDEX('PRICING'!$C$28:$C$33,MATCH(E121,'PRICING'!$A$28:$A$33,0)),14)))))</f>
        <v/>
      </c>
      <c r="P121" s="101">
        <f>IF(O121="","",O121-AsOf)</f>
        <v/>
      </c>
      <c r="Q121" s="49">
        <f>IF(B121="","",IF(J121&lt;&gt;"Active","—",IF(N121&lt;&gt;"","Booked",IF(O121="","Set start date",IF(O121&lt;AsOf,"Overdue — book now",IF(O121&lt;=AsOf+7,"Due this week — book","Upcoming"))))))</f>
        <v/>
      </c>
      <c r="R121" s="54">
        <f>IF(B121="","",IF(J121="Active",N(F121)*IFERROR(INDEX('PRICING'!$D$28:$D$33,MATCH(E121,'PRICING'!$A$28:$A$33,0)),0),0))</f>
        <v/>
      </c>
      <c r="S121" s="54">
        <f>IF(B121="","",R121*12)</f>
        <v/>
      </c>
      <c r="T121" s="49">
        <f>IF(B121="","",IF(OR(Q121="Overdue — book now",Q121="Due this week — book"),1,0))</f>
        <v/>
      </c>
      <c r="U121" s="49">
        <f>IF(N(T121)&lt;&gt;1,"",COUNTIFS('RECURRING'!$T$5:$T$154,1,'RECURRING'!$O$5:$O$154,"&lt;"&amp;O121)+COUNTIFS($T$5:T121,1,$O$5:O121,O121))</f>
        <v/>
      </c>
    </row>
    <row r="122">
      <c r="A122" s="46" t="inlineStr">
        <is>
          <t>R-118</t>
        </is>
      </c>
      <c r="B122" s="38" t="n"/>
      <c r="C122" s="38" t="n"/>
      <c r="D122" s="38" t="n"/>
      <c r="E122" s="38" t="n"/>
      <c r="F122" s="48" t="n"/>
      <c r="G122" s="38" t="n"/>
      <c r="H122" s="47" t="n"/>
      <c r="I122" s="38" t="n"/>
      <c r="J122" s="38" t="n"/>
      <c r="K122" s="38" t="n"/>
      <c r="L122" s="53">
        <f>IF(B122="","",COUNTIFS('JOBS'!$G$5:$G$1504,A122,'JOBS'!$O$5:$O$1504,"Completed"))</f>
        <v/>
      </c>
      <c r="M122" s="52">
        <f>IF(B122="","",IF(_xlfn.MAXIFS('JOBS'!$B$5:$B$1504,'JOBS'!$G$5:$G$1504,A122,'JOBS'!$O$5:$O$1504,"Completed")=0,"",_xlfn.MAXIFS('JOBS'!$B$5:$B$1504,'JOBS'!$G$5:$G$1504,A122,'JOBS'!$O$5:$O$1504,"Completed")))</f>
        <v/>
      </c>
      <c r="N122" s="52">
        <f>IF(B122="","",IF(_xlfn.MINIFS('JOBS'!$B$5:$B$1504,'JOBS'!$G$5:$G$1504,A122,'JOBS'!$O$5:$O$1504,"Scheduled",'JOBS'!$B$5:$B$1504,"&gt;="&amp;AsOf)=0,"",_xlfn.MINIFS('JOBS'!$B$5:$B$1504,'JOBS'!$G$5:$G$1504,A122,'JOBS'!$O$5:$O$1504,"Scheduled",'JOBS'!$B$5:$B$1504,"&gt;="&amp;AsOf)))</f>
        <v/>
      </c>
      <c r="O122" s="52">
        <f>IF(B122="","",IF(N122&lt;&gt;"",N122,IF(M122="",IF(H122="","",H122),IF(E122="Monthly",EDATE(M122,1),M122+IFERROR(INDEX('PRICING'!$C$28:$C$33,MATCH(E122,'PRICING'!$A$28:$A$33,0)),14)))))</f>
        <v/>
      </c>
      <c r="P122" s="101">
        <f>IF(O122="","",O122-AsOf)</f>
        <v/>
      </c>
      <c r="Q122" s="49">
        <f>IF(B122="","",IF(J122&lt;&gt;"Active","—",IF(N122&lt;&gt;"","Booked",IF(O122="","Set start date",IF(O122&lt;AsOf,"Overdue — book now",IF(O122&lt;=AsOf+7,"Due this week — book","Upcoming"))))))</f>
        <v/>
      </c>
      <c r="R122" s="54">
        <f>IF(B122="","",IF(J122="Active",N(F122)*IFERROR(INDEX('PRICING'!$D$28:$D$33,MATCH(E122,'PRICING'!$A$28:$A$33,0)),0),0))</f>
        <v/>
      </c>
      <c r="S122" s="54">
        <f>IF(B122="","",R122*12)</f>
        <v/>
      </c>
      <c r="T122" s="49">
        <f>IF(B122="","",IF(OR(Q122="Overdue — book now",Q122="Due this week — book"),1,0))</f>
        <v/>
      </c>
      <c r="U122" s="49">
        <f>IF(N(T122)&lt;&gt;1,"",COUNTIFS('RECURRING'!$T$5:$T$154,1,'RECURRING'!$O$5:$O$154,"&lt;"&amp;O122)+COUNTIFS($T$5:T122,1,$O$5:O122,O122))</f>
        <v/>
      </c>
    </row>
    <row r="123">
      <c r="A123" s="46" t="inlineStr">
        <is>
          <t>R-119</t>
        </is>
      </c>
      <c r="B123" s="38" t="n"/>
      <c r="C123" s="38" t="n"/>
      <c r="D123" s="38" t="n"/>
      <c r="E123" s="38" t="n"/>
      <c r="F123" s="48" t="n"/>
      <c r="G123" s="38" t="n"/>
      <c r="H123" s="47" t="n"/>
      <c r="I123" s="38" t="n"/>
      <c r="J123" s="38" t="n"/>
      <c r="K123" s="38" t="n"/>
      <c r="L123" s="53">
        <f>IF(B123="","",COUNTIFS('JOBS'!$G$5:$G$1504,A123,'JOBS'!$O$5:$O$1504,"Completed"))</f>
        <v/>
      </c>
      <c r="M123" s="52">
        <f>IF(B123="","",IF(_xlfn.MAXIFS('JOBS'!$B$5:$B$1504,'JOBS'!$G$5:$G$1504,A123,'JOBS'!$O$5:$O$1504,"Completed")=0,"",_xlfn.MAXIFS('JOBS'!$B$5:$B$1504,'JOBS'!$G$5:$G$1504,A123,'JOBS'!$O$5:$O$1504,"Completed")))</f>
        <v/>
      </c>
      <c r="N123" s="52">
        <f>IF(B123="","",IF(_xlfn.MINIFS('JOBS'!$B$5:$B$1504,'JOBS'!$G$5:$G$1504,A123,'JOBS'!$O$5:$O$1504,"Scheduled",'JOBS'!$B$5:$B$1504,"&gt;="&amp;AsOf)=0,"",_xlfn.MINIFS('JOBS'!$B$5:$B$1504,'JOBS'!$G$5:$G$1504,A123,'JOBS'!$O$5:$O$1504,"Scheduled",'JOBS'!$B$5:$B$1504,"&gt;="&amp;AsOf)))</f>
        <v/>
      </c>
      <c r="O123" s="52">
        <f>IF(B123="","",IF(N123&lt;&gt;"",N123,IF(M123="",IF(H123="","",H123),IF(E123="Monthly",EDATE(M123,1),M123+IFERROR(INDEX('PRICING'!$C$28:$C$33,MATCH(E123,'PRICING'!$A$28:$A$33,0)),14)))))</f>
        <v/>
      </c>
      <c r="P123" s="101">
        <f>IF(O123="","",O123-AsOf)</f>
        <v/>
      </c>
      <c r="Q123" s="49">
        <f>IF(B123="","",IF(J123&lt;&gt;"Active","—",IF(N123&lt;&gt;"","Booked",IF(O123="","Set start date",IF(O123&lt;AsOf,"Overdue — book now",IF(O123&lt;=AsOf+7,"Due this week — book","Upcoming"))))))</f>
        <v/>
      </c>
      <c r="R123" s="54">
        <f>IF(B123="","",IF(J123="Active",N(F123)*IFERROR(INDEX('PRICING'!$D$28:$D$33,MATCH(E123,'PRICING'!$A$28:$A$33,0)),0),0))</f>
        <v/>
      </c>
      <c r="S123" s="54">
        <f>IF(B123="","",R123*12)</f>
        <v/>
      </c>
      <c r="T123" s="49">
        <f>IF(B123="","",IF(OR(Q123="Overdue — book now",Q123="Due this week — book"),1,0))</f>
        <v/>
      </c>
      <c r="U123" s="49">
        <f>IF(N(T123)&lt;&gt;1,"",COUNTIFS('RECURRING'!$T$5:$T$154,1,'RECURRING'!$O$5:$O$154,"&lt;"&amp;O123)+COUNTIFS($T$5:T123,1,$O$5:O123,O123))</f>
        <v/>
      </c>
    </row>
    <row r="124">
      <c r="A124" s="46" t="inlineStr">
        <is>
          <t>R-120</t>
        </is>
      </c>
      <c r="B124" s="38" t="n"/>
      <c r="C124" s="38" t="n"/>
      <c r="D124" s="38" t="n"/>
      <c r="E124" s="38" t="n"/>
      <c r="F124" s="48" t="n"/>
      <c r="G124" s="38" t="n"/>
      <c r="H124" s="47" t="n"/>
      <c r="I124" s="38" t="n"/>
      <c r="J124" s="38" t="n"/>
      <c r="K124" s="38" t="n"/>
      <c r="L124" s="53">
        <f>IF(B124="","",COUNTIFS('JOBS'!$G$5:$G$1504,A124,'JOBS'!$O$5:$O$1504,"Completed"))</f>
        <v/>
      </c>
      <c r="M124" s="52">
        <f>IF(B124="","",IF(_xlfn.MAXIFS('JOBS'!$B$5:$B$1504,'JOBS'!$G$5:$G$1504,A124,'JOBS'!$O$5:$O$1504,"Completed")=0,"",_xlfn.MAXIFS('JOBS'!$B$5:$B$1504,'JOBS'!$G$5:$G$1504,A124,'JOBS'!$O$5:$O$1504,"Completed")))</f>
        <v/>
      </c>
      <c r="N124" s="52">
        <f>IF(B124="","",IF(_xlfn.MINIFS('JOBS'!$B$5:$B$1504,'JOBS'!$G$5:$G$1504,A124,'JOBS'!$O$5:$O$1504,"Scheduled",'JOBS'!$B$5:$B$1504,"&gt;="&amp;AsOf)=0,"",_xlfn.MINIFS('JOBS'!$B$5:$B$1504,'JOBS'!$G$5:$G$1504,A124,'JOBS'!$O$5:$O$1504,"Scheduled",'JOBS'!$B$5:$B$1504,"&gt;="&amp;AsOf)))</f>
        <v/>
      </c>
      <c r="O124" s="52">
        <f>IF(B124="","",IF(N124&lt;&gt;"",N124,IF(M124="",IF(H124="","",H124),IF(E124="Monthly",EDATE(M124,1),M124+IFERROR(INDEX('PRICING'!$C$28:$C$33,MATCH(E124,'PRICING'!$A$28:$A$33,0)),14)))))</f>
        <v/>
      </c>
      <c r="P124" s="101">
        <f>IF(O124="","",O124-AsOf)</f>
        <v/>
      </c>
      <c r="Q124" s="49">
        <f>IF(B124="","",IF(J124&lt;&gt;"Active","—",IF(N124&lt;&gt;"","Booked",IF(O124="","Set start date",IF(O124&lt;AsOf,"Overdue — book now",IF(O124&lt;=AsOf+7,"Due this week — book","Upcoming"))))))</f>
        <v/>
      </c>
      <c r="R124" s="54">
        <f>IF(B124="","",IF(J124="Active",N(F124)*IFERROR(INDEX('PRICING'!$D$28:$D$33,MATCH(E124,'PRICING'!$A$28:$A$33,0)),0),0))</f>
        <v/>
      </c>
      <c r="S124" s="54">
        <f>IF(B124="","",R124*12)</f>
        <v/>
      </c>
      <c r="T124" s="49">
        <f>IF(B124="","",IF(OR(Q124="Overdue — book now",Q124="Due this week — book"),1,0))</f>
        <v/>
      </c>
      <c r="U124" s="49">
        <f>IF(N(T124)&lt;&gt;1,"",COUNTIFS('RECURRING'!$T$5:$T$154,1,'RECURRING'!$O$5:$O$154,"&lt;"&amp;O124)+COUNTIFS($T$5:T124,1,$O$5:O124,O124))</f>
        <v/>
      </c>
    </row>
    <row r="125">
      <c r="A125" s="46" t="inlineStr">
        <is>
          <t>R-121</t>
        </is>
      </c>
      <c r="B125" s="38" t="n"/>
      <c r="C125" s="38" t="n"/>
      <c r="D125" s="38" t="n"/>
      <c r="E125" s="38" t="n"/>
      <c r="F125" s="48" t="n"/>
      <c r="G125" s="38" t="n"/>
      <c r="H125" s="47" t="n"/>
      <c r="I125" s="38" t="n"/>
      <c r="J125" s="38" t="n"/>
      <c r="K125" s="38" t="n"/>
      <c r="L125" s="53">
        <f>IF(B125="","",COUNTIFS('JOBS'!$G$5:$G$1504,A125,'JOBS'!$O$5:$O$1504,"Completed"))</f>
        <v/>
      </c>
      <c r="M125" s="52">
        <f>IF(B125="","",IF(_xlfn.MAXIFS('JOBS'!$B$5:$B$1504,'JOBS'!$G$5:$G$1504,A125,'JOBS'!$O$5:$O$1504,"Completed")=0,"",_xlfn.MAXIFS('JOBS'!$B$5:$B$1504,'JOBS'!$G$5:$G$1504,A125,'JOBS'!$O$5:$O$1504,"Completed")))</f>
        <v/>
      </c>
      <c r="N125" s="52">
        <f>IF(B125="","",IF(_xlfn.MINIFS('JOBS'!$B$5:$B$1504,'JOBS'!$G$5:$G$1504,A125,'JOBS'!$O$5:$O$1504,"Scheduled",'JOBS'!$B$5:$B$1504,"&gt;="&amp;AsOf)=0,"",_xlfn.MINIFS('JOBS'!$B$5:$B$1504,'JOBS'!$G$5:$G$1504,A125,'JOBS'!$O$5:$O$1504,"Scheduled",'JOBS'!$B$5:$B$1504,"&gt;="&amp;AsOf)))</f>
        <v/>
      </c>
      <c r="O125" s="52">
        <f>IF(B125="","",IF(N125&lt;&gt;"",N125,IF(M125="",IF(H125="","",H125),IF(E125="Monthly",EDATE(M125,1),M125+IFERROR(INDEX('PRICING'!$C$28:$C$33,MATCH(E125,'PRICING'!$A$28:$A$33,0)),14)))))</f>
        <v/>
      </c>
      <c r="P125" s="101">
        <f>IF(O125="","",O125-AsOf)</f>
        <v/>
      </c>
      <c r="Q125" s="49">
        <f>IF(B125="","",IF(J125&lt;&gt;"Active","—",IF(N125&lt;&gt;"","Booked",IF(O125="","Set start date",IF(O125&lt;AsOf,"Overdue — book now",IF(O125&lt;=AsOf+7,"Due this week — book","Upcoming"))))))</f>
        <v/>
      </c>
      <c r="R125" s="54">
        <f>IF(B125="","",IF(J125="Active",N(F125)*IFERROR(INDEX('PRICING'!$D$28:$D$33,MATCH(E125,'PRICING'!$A$28:$A$33,0)),0),0))</f>
        <v/>
      </c>
      <c r="S125" s="54">
        <f>IF(B125="","",R125*12)</f>
        <v/>
      </c>
      <c r="T125" s="49">
        <f>IF(B125="","",IF(OR(Q125="Overdue — book now",Q125="Due this week — book"),1,0))</f>
        <v/>
      </c>
      <c r="U125" s="49">
        <f>IF(N(T125)&lt;&gt;1,"",COUNTIFS('RECURRING'!$T$5:$T$154,1,'RECURRING'!$O$5:$O$154,"&lt;"&amp;O125)+COUNTIFS($T$5:T125,1,$O$5:O125,O125))</f>
        <v/>
      </c>
    </row>
    <row r="126">
      <c r="A126" s="46" t="inlineStr">
        <is>
          <t>R-122</t>
        </is>
      </c>
      <c r="B126" s="38" t="n"/>
      <c r="C126" s="38" t="n"/>
      <c r="D126" s="38" t="n"/>
      <c r="E126" s="38" t="n"/>
      <c r="F126" s="48" t="n"/>
      <c r="G126" s="38" t="n"/>
      <c r="H126" s="47" t="n"/>
      <c r="I126" s="38" t="n"/>
      <c r="J126" s="38" t="n"/>
      <c r="K126" s="38" t="n"/>
      <c r="L126" s="53">
        <f>IF(B126="","",COUNTIFS('JOBS'!$G$5:$G$1504,A126,'JOBS'!$O$5:$O$1504,"Completed"))</f>
        <v/>
      </c>
      <c r="M126" s="52">
        <f>IF(B126="","",IF(_xlfn.MAXIFS('JOBS'!$B$5:$B$1504,'JOBS'!$G$5:$G$1504,A126,'JOBS'!$O$5:$O$1504,"Completed")=0,"",_xlfn.MAXIFS('JOBS'!$B$5:$B$1504,'JOBS'!$G$5:$G$1504,A126,'JOBS'!$O$5:$O$1504,"Completed")))</f>
        <v/>
      </c>
      <c r="N126" s="52">
        <f>IF(B126="","",IF(_xlfn.MINIFS('JOBS'!$B$5:$B$1504,'JOBS'!$G$5:$G$1504,A126,'JOBS'!$O$5:$O$1504,"Scheduled",'JOBS'!$B$5:$B$1504,"&gt;="&amp;AsOf)=0,"",_xlfn.MINIFS('JOBS'!$B$5:$B$1504,'JOBS'!$G$5:$G$1504,A126,'JOBS'!$O$5:$O$1504,"Scheduled",'JOBS'!$B$5:$B$1504,"&gt;="&amp;AsOf)))</f>
        <v/>
      </c>
      <c r="O126" s="52">
        <f>IF(B126="","",IF(N126&lt;&gt;"",N126,IF(M126="",IF(H126="","",H126),IF(E126="Monthly",EDATE(M126,1),M126+IFERROR(INDEX('PRICING'!$C$28:$C$33,MATCH(E126,'PRICING'!$A$28:$A$33,0)),14)))))</f>
        <v/>
      </c>
      <c r="P126" s="101">
        <f>IF(O126="","",O126-AsOf)</f>
        <v/>
      </c>
      <c r="Q126" s="49">
        <f>IF(B126="","",IF(J126&lt;&gt;"Active","—",IF(N126&lt;&gt;"","Booked",IF(O126="","Set start date",IF(O126&lt;AsOf,"Overdue — book now",IF(O126&lt;=AsOf+7,"Due this week — book","Upcoming"))))))</f>
        <v/>
      </c>
      <c r="R126" s="54">
        <f>IF(B126="","",IF(J126="Active",N(F126)*IFERROR(INDEX('PRICING'!$D$28:$D$33,MATCH(E126,'PRICING'!$A$28:$A$33,0)),0),0))</f>
        <v/>
      </c>
      <c r="S126" s="54">
        <f>IF(B126="","",R126*12)</f>
        <v/>
      </c>
      <c r="T126" s="49">
        <f>IF(B126="","",IF(OR(Q126="Overdue — book now",Q126="Due this week — book"),1,0))</f>
        <v/>
      </c>
      <c r="U126" s="49">
        <f>IF(N(T126)&lt;&gt;1,"",COUNTIFS('RECURRING'!$T$5:$T$154,1,'RECURRING'!$O$5:$O$154,"&lt;"&amp;O126)+COUNTIFS($T$5:T126,1,$O$5:O126,O126))</f>
        <v/>
      </c>
    </row>
    <row r="127">
      <c r="A127" s="46" t="inlineStr">
        <is>
          <t>R-123</t>
        </is>
      </c>
      <c r="B127" s="38" t="n"/>
      <c r="C127" s="38" t="n"/>
      <c r="D127" s="38" t="n"/>
      <c r="E127" s="38" t="n"/>
      <c r="F127" s="48" t="n"/>
      <c r="G127" s="38" t="n"/>
      <c r="H127" s="47" t="n"/>
      <c r="I127" s="38" t="n"/>
      <c r="J127" s="38" t="n"/>
      <c r="K127" s="38" t="n"/>
      <c r="L127" s="53">
        <f>IF(B127="","",COUNTIFS('JOBS'!$G$5:$G$1504,A127,'JOBS'!$O$5:$O$1504,"Completed"))</f>
        <v/>
      </c>
      <c r="M127" s="52">
        <f>IF(B127="","",IF(_xlfn.MAXIFS('JOBS'!$B$5:$B$1504,'JOBS'!$G$5:$G$1504,A127,'JOBS'!$O$5:$O$1504,"Completed")=0,"",_xlfn.MAXIFS('JOBS'!$B$5:$B$1504,'JOBS'!$G$5:$G$1504,A127,'JOBS'!$O$5:$O$1504,"Completed")))</f>
        <v/>
      </c>
      <c r="N127" s="52">
        <f>IF(B127="","",IF(_xlfn.MINIFS('JOBS'!$B$5:$B$1504,'JOBS'!$G$5:$G$1504,A127,'JOBS'!$O$5:$O$1504,"Scheduled",'JOBS'!$B$5:$B$1504,"&gt;="&amp;AsOf)=0,"",_xlfn.MINIFS('JOBS'!$B$5:$B$1504,'JOBS'!$G$5:$G$1504,A127,'JOBS'!$O$5:$O$1504,"Scheduled",'JOBS'!$B$5:$B$1504,"&gt;="&amp;AsOf)))</f>
        <v/>
      </c>
      <c r="O127" s="52">
        <f>IF(B127="","",IF(N127&lt;&gt;"",N127,IF(M127="",IF(H127="","",H127),IF(E127="Monthly",EDATE(M127,1),M127+IFERROR(INDEX('PRICING'!$C$28:$C$33,MATCH(E127,'PRICING'!$A$28:$A$33,0)),14)))))</f>
        <v/>
      </c>
      <c r="P127" s="101">
        <f>IF(O127="","",O127-AsOf)</f>
        <v/>
      </c>
      <c r="Q127" s="49">
        <f>IF(B127="","",IF(J127&lt;&gt;"Active","—",IF(N127&lt;&gt;"","Booked",IF(O127="","Set start date",IF(O127&lt;AsOf,"Overdue — book now",IF(O127&lt;=AsOf+7,"Due this week — book","Upcoming"))))))</f>
        <v/>
      </c>
      <c r="R127" s="54">
        <f>IF(B127="","",IF(J127="Active",N(F127)*IFERROR(INDEX('PRICING'!$D$28:$D$33,MATCH(E127,'PRICING'!$A$28:$A$33,0)),0),0))</f>
        <v/>
      </c>
      <c r="S127" s="54">
        <f>IF(B127="","",R127*12)</f>
        <v/>
      </c>
      <c r="T127" s="49">
        <f>IF(B127="","",IF(OR(Q127="Overdue — book now",Q127="Due this week — book"),1,0))</f>
        <v/>
      </c>
      <c r="U127" s="49">
        <f>IF(N(T127)&lt;&gt;1,"",COUNTIFS('RECURRING'!$T$5:$T$154,1,'RECURRING'!$O$5:$O$154,"&lt;"&amp;O127)+COUNTIFS($T$5:T127,1,$O$5:O127,O127))</f>
        <v/>
      </c>
    </row>
    <row r="128">
      <c r="A128" s="46" t="inlineStr">
        <is>
          <t>R-124</t>
        </is>
      </c>
      <c r="B128" s="38" t="n"/>
      <c r="C128" s="38" t="n"/>
      <c r="D128" s="38" t="n"/>
      <c r="E128" s="38" t="n"/>
      <c r="F128" s="48" t="n"/>
      <c r="G128" s="38" t="n"/>
      <c r="H128" s="47" t="n"/>
      <c r="I128" s="38" t="n"/>
      <c r="J128" s="38" t="n"/>
      <c r="K128" s="38" t="n"/>
      <c r="L128" s="53">
        <f>IF(B128="","",COUNTIFS('JOBS'!$G$5:$G$1504,A128,'JOBS'!$O$5:$O$1504,"Completed"))</f>
        <v/>
      </c>
      <c r="M128" s="52">
        <f>IF(B128="","",IF(_xlfn.MAXIFS('JOBS'!$B$5:$B$1504,'JOBS'!$G$5:$G$1504,A128,'JOBS'!$O$5:$O$1504,"Completed")=0,"",_xlfn.MAXIFS('JOBS'!$B$5:$B$1504,'JOBS'!$G$5:$G$1504,A128,'JOBS'!$O$5:$O$1504,"Completed")))</f>
        <v/>
      </c>
      <c r="N128" s="52">
        <f>IF(B128="","",IF(_xlfn.MINIFS('JOBS'!$B$5:$B$1504,'JOBS'!$G$5:$G$1504,A128,'JOBS'!$O$5:$O$1504,"Scheduled",'JOBS'!$B$5:$B$1504,"&gt;="&amp;AsOf)=0,"",_xlfn.MINIFS('JOBS'!$B$5:$B$1504,'JOBS'!$G$5:$G$1504,A128,'JOBS'!$O$5:$O$1504,"Scheduled",'JOBS'!$B$5:$B$1504,"&gt;="&amp;AsOf)))</f>
        <v/>
      </c>
      <c r="O128" s="52">
        <f>IF(B128="","",IF(N128&lt;&gt;"",N128,IF(M128="",IF(H128="","",H128),IF(E128="Monthly",EDATE(M128,1),M128+IFERROR(INDEX('PRICING'!$C$28:$C$33,MATCH(E128,'PRICING'!$A$28:$A$33,0)),14)))))</f>
        <v/>
      </c>
      <c r="P128" s="101">
        <f>IF(O128="","",O128-AsOf)</f>
        <v/>
      </c>
      <c r="Q128" s="49">
        <f>IF(B128="","",IF(J128&lt;&gt;"Active","—",IF(N128&lt;&gt;"","Booked",IF(O128="","Set start date",IF(O128&lt;AsOf,"Overdue — book now",IF(O128&lt;=AsOf+7,"Due this week — book","Upcoming"))))))</f>
        <v/>
      </c>
      <c r="R128" s="54">
        <f>IF(B128="","",IF(J128="Active",N(F128)*IFERROR(INDEX('PRICING'!$D$28:$D$33,MATCH(E128,'PRICING'!$A$28:$A$33,0)),0),0))</f>
        <v/>
      </c>
      <c r="S128" s="54">
        <f>IF(B128="","",R128*12)</f>
        <v/>
      </c>
      <c r="T128" s="49">
        <f>IF(B128="","",IF(OR(Q128="Overdue — book now",Q128="Due this week — book"),1,0))</f>
        <v/>
      </c>
      <c r="U128" s="49">
        <f>IF(N(T128)&lt;&gt;1,"",COUNTIFS('RECURRING'!$T$5:$T$154,1,'RECURRING'!$O$5:$O$154,"&lt;"&amp;O128)+COUNTIFS($T$5:T128,1,$O$5:O128,O128))</f>
        <v/>
      </c>
    </row>
    <row r="129">
      <c r="A129" s="46" t="inlineStr">
        <is>
          <t>R-125</t>
        </is>
      </c>
      <c r="B129" s="38" t="n"/>
      <c r="C129" s="38" t="n"/>
      <c r="D129" s="38" t="n"/>
      <c r="E129" s="38" t="n"/>
      <c r="F129" s="48" t="n"/>
      <c r="G129" s="38" t="n"/>
      <c r="H129" s="47" t="n"/>
      <c r="I129" s="38" t="n"/>
      <c r="J129" s="38" t="n"/>
      <c r="K129" s="38" t="n"/>
      <c r="L129" s="53">
        <f>IF(B129="","",COUNTIFS('JOBS'!$G$5:$G$1504,A129,'JOBS'!$O$5:$O$1504,"Completed"))</f>
        <v/>
      </c>
      <c r="M129" s="52">
        <f>IF(B129="","",IF(_xlfn.MAXIFS('JOBS'!$B$5:$B$1504,'JOBS'!$G$5:$G$1504,A129,'JOBS'!$O$5:$O$1504,"Completed")=0,"",_xlfn.MAXIFS('JOBS'!$B$5:$B$1504,'JOBS'!$G$5:$G$1504,A129,'JOBS'!$O$5:$O$1504,"Completed")))</f>
        <v/>
      </c>
      <c r="N129" s="52">
        <f>IF(B129="","",IF(_xlfn.MINIFS('JOBS'!$B$5:$B$1504,'JOBS'!$G$5:$G$1504,A129,'JOBS'!$O$5:$O$1504,"Scheduled",'JOBS'!$B$5:$B$1504,"&gt;="&amp;AsOf)=0,"",_xlfn.MINIFS('JOBS'!$B$5:$B$1504,'JOBS'!$G$5:$G$1504,A129,'JOBS'!$O$5:$O$1504,"Scheduled",'JOBS'!$B$5:$B$1504,"&gt;="&amp;AsOf)))</f>
        <v/>
      </c>
      <c r="O129" s="52">
        <f>IF(B129="","",IF(N129&lt;&gt;"",N129,IF(M129="",IF(H129="","",H129),IF(E129="Monthly",EDATE(M129,1),M129+IFERROR(INDEX('PRICING'!$C$28:$C$33,MATCH(E129,'PRICING'!$A$28:$A$33,0)),14)))))</f>
        <v/>
      </c>
      <c r="P129" s="101">
        <f>IF(O129="","",O129-AsOf)</f>
        <v/>
      </c>
      <c r="Q129" s="49">
        <f>IF(B129="","",IF(J129&lt;&gt;"Active","—",IF(N129&lt;&gt;"","Booked",IF(O129="","Set start date",IF(O129&lt;AsOf,"Overdue — book now",IF(O129&lt;=AsOf+7,"Due this week — book","Upcoming"))))))</f>
        <v/>
      </c>
      <c r="R129" s="54">
        <f>IF(B129="","",IF(J129="Active",N(F129)*IFERROR(INDEX('PRICING'!$D$28:$D$33,MATCH(E129,'PRICING'!$A$28:$A$33,0)),0),0))</f>
        <v/>
      </c>
      <c r="S129" s="54">
        <f>IF(B129="","",R129*12)</f>
        <v/>
      </c>
      <c r="T129" s="49">
        <f>IF(B129="","",IF(OR(Q129="Overdue — book now",Q129="Due this week — book"),1,0))</f>
        <v/>
      </c>
      <c r="U129" s="49">
        <f>IF(N(T129)&lt;&gt;1,"",COUNTIFS('RECURRING'!$T$5:$T$154,1,'RECURRING'!$O$5:$O$154,"&lt;"&amp;O129)+COUNTIFS($T$5:T129,1,$O$5:O129,O129))</f>
        <v/>
      </c>
    </row>
    <row r="130">
      <c r="A130" s="46" t="inlineStr">
        <is>
          <t>R-126</t>
        </is>
      </c>
      <c r="B130" s="38" t="n"/>
      <c r="C130" s="38" t="n"/>
      <c r="D130" s="38" t="n"/>
      <c r="E130" s="38" t="n"/>
      <c r="F130" s="48" t="n"/>
      <c r="G130" s="38" t="n"/>
      <c r="H130" s="47" t="n"/>
      <c r="I130" s="38" t="n"/>
      <c r="J130" s="38" t="n"/>
      <c r="K130" s="38" t="n"/>
      <c r="L130" s="53">
        <f>IF(B130="","",COUNTIFS('JOBS'!$G$5:$G$1504,A130,'JOBS'!$O$5:$O$1504,"Completed"))</f>
        <v/>
      </c>
      <c r="M130" s="52">
        <f>IF(B130="","",IF(_xlfn.MAXIFS('JOBS'!$B$5:$B$1504,'JOBS'!$G$5:$G$1504,A130,'JOBS'!$O$5:$O$1504,"Completed")=0,"",_xlfn.MAXIFS('JOBS'!$B$5:$B$1504,'JOBS'!$G$5:$G$1504,A130,'JOBS'!$O$5:$O$1504,"Completed")))</f>
        <v/>
      </c>
      <c r="N130" s="52">
        <f>IF(B130="","",IF(_xlfn.MINIFS('JOBS'!$B$5:$B$1504,'JOBS'!$G$5:$G$1504,A130,'JOBS'!$O$5:$O$1504,"Scheduled",'JOBS'!$B$5:$B$1504,"&gt;="&amp;AsOf)=0,"",_xlfn.MINIFS('JOBS'!$B$5:$B$1504,'JOBS'!$G$5:$G$1504,A130,'JOBS'!$O$5:$O$1504,"Scheduled",'JOBS'!$B$5:$B$1504,"&gt;="&amp;AsOf)))</f>
        <v/>
      </c>
      <c r="O130" s="52">
        <f>IF(B130="","",IF(N130&lt;&gt;"",N130,IF(M130="",IF(H130="","",H130),IF(E130="Monthly",EDATE(M130,1),M130+IFERROR(INDEX('PRICING'!$C$28:$C$33,MATCH(E130,'PRICING'!$A$28:$A$33,0)),14)))))</f>
        <v/>
      </c>
      <c r="P130" s="101">
        <f>IF(O130="","",O130-AsOf)</f>
        <v/>
      </c>
      <c r="Q130" s="49">
        <f>IF(B130="","",IF(J130&lt;&gt;"Active","—",IF(N130&lt;&gt;"","Booked",IF(O130="","Set start date",IF(O130&lt;AsOf,"Overdue — book now",IF(O130&lt;=AsOf+7,"Due this week — book","Upcoming"))))))</f>
        <v/>
      </c>
      <c r="R130" s="54">
        <f>IF(B130="","",IF(J130="Active",N(F130)*IFERROR(INDEX('PRICING'!$D$28:$D$33,MATCH(E130,'PRICING'!$A$28:$A$33,0)),0),0))</f>
        <v/>
      </c>
      <c r="S130" s="54">
        <f>IF(B130="","",R130*12)</f>
        <v/>
      </c>
      <c r="T130" s="49">
        <f>IF(B130="","",IF(OR(Q130="Overdue — book now",Q130="Due this week — book"),1,0))</f>
        <v/>
      </c>
      <c r="U130" s="49">
        <f>IF(N(T130)&lt;&gt;1,"",COUNTIFS('RECURRING'!$T$5:$T$154,1,'RECURRING'!$O$5:$O$154,"&lt;"&amp;O130)+COUNTIFS($T$5:T130,1,$O$5:O130,O130))</f>
        <v/>
      </c>
    </row>
    <row r="131">
      <c r="A131" s="46" t="inlineStr">
        <is>
          <t>R-127</t>
        </is>
      </c>
      <c r="B131" s="38" t="n"/>
      <c r="C131" s="38" t="n"/>
      <c r="D131" s="38" t="n"/>
      <c r="E131" s="38" t="n"/>
      <c r="F131" s="48" t="n"/>
      <c r="G131" s="38" t="n"/>
      <c r="H131" s="47" t="n"/>
      <c r="I131" s="38" t="n"/>
      <c r="J131" s="38" t="n"/>
      <c r="K131" s="38" t="n"/>
      <c r="L131" s="53">
        <f>IF(B131="","",COUNTIFS('JOBS'!$G$5:$G$1504,A131,'JOBS'!$O$5:$O$1504,"Completed"))</f>
        <v/>
      </c>
      <c r="M131" s="52">
        <f>IF(B131="","",IF(_xlfn.MAXIFS('JOBS'!$B$5:$B$1504,'JOBS'!$G$5:$G$1504,A131,'JOBS'!$O$5:$O$1504,"Completed")=0,"",_xlfn.MAXIFS('JOBS'!$B$5:$B$1504,'JOBS'!$G$5:$G$1504,A131,'JOBS'!$O$5:$O$1504,"Completed")))</f>
        <v/>
      </c>
      <c r="N131" s="52">
        <f>IF(B131="","",IF(_xlfn.MINIFS('JOBS'!$B$5:$B$1504,'JOBS'!$G$5:$G$1504,A131,'JOBS'!$O$5:$O$1504,"Scheduled",'JOBS'!$B$5:$B$1504,"&gt;="&amp;AsOf)=0,"",_xlfn.MINIFS('JOBS'!$B$5:$B$1504,'JOBS'!$G$5:$G$1504,A131,'JOBS'!$O$5:$O$1504,"Scheduled",'JOBS'!$B$5:$B$1504,"&gt;="&amp;AsOf)))</f>
        <v/>
      </c>
      <c r="O131" s="52">
        <f>IF(B131="","",IF(N131&lt;&gt;"",N131,IF(M131="",IF(H131="","",H131),IF(E131="Monthly",EDATE(M131,1),M131+IFERROR(INDEX('PRICING'!$C$28:$C$33,MATCH(E131,'PRICING'!$A$28:$A$33,0)),14)))))</f>
        <v/>
      </c>
      <c r="P131" s="101">
        <f>IF(O131="","",O131-AsOf)</f>
        <v/>
      </c>
      <c r="Q131" s="49">
        <f>IF(B131="","",IF(J131&lt;&gt;"Active","—",IF(N131&lt;&gt;"","Booked",IF(O131="","Set start date",IF(O131&lt;AsOf,"Overdue — book now",IF(O131&lt;=AsOf+7,"Due this week — book","Upcoming"))))))</f>
        <v/>
      </c>
      <c r="R131" s="54">
        <f>IF(B131="","",IF(J131="Active",N(F131)*IFERROR(INDEX('PRICING'!$D$28:$D$33,MATCH(E131,'PRICING'!$A$28:$A$33,0)),0),0))</f>
        <v/>
      </c>
      <c r="S131" s="54">
        <f>IF(B131="","",R131*12)</f>
        <v/>
      </c>
      <c r="T131" s="49">
        <f>IF(B131="","",IF(OR(Q131="Overdue — book now",Q131="Due this week — book"),1,0))</f>
        <v/>
      </c>
      <c r="U131" s="49">
        <f>IF(N(T131)&lt;&gt;1,"",COUNTIFS('RECURRING'!$T$5:$T$154,1,'RECURRING'!$O$5:$O$154,"&lt;"&amp;O131)+COUNTIFS($T$5:T131,1,$O$5:O131,O131))</f>
        <v/>
      </c>
    </row>
    <row r="132">
      <c r="A132" s="46" t="inlineStr">
        <is>
          <t>R-128</t>
        </is>
      </c>
      <c r="B132" s="38" t="n"/>
      <c r="C132" s="38" t="n"/>
      <c r="D132" s="38" t="n"/>
      <c r="E132" s="38" t="n"/>
      <c r="F132" s="48" t="n"/>
      <c r="G132" s="38" t="n"/>
      <c r="H132" s="47" t="n"/>
      <c r="I132" s="38" t="n"/>
      <c r="J132" s="38" t="n"/>
      <c r="K132" s="38" t="n"/>
      <c r="L132" s="53">
        <f>IF(B132="","",COUNTIFS('JOBS'!$G$5:$G$1504,A132,'JOBS'!$O$5:$O$1504,"Completed"))</f>
        <v/>
      </c>
      <c r="M132" s="52">
        <f>IF(B132="","",IF(_xlfn.MAXIFS('JOBS'!$B$5:$B$1504,'JOBS'!$G$5:$G$1504,A132,'JOBS'!$O$5:$O$1504,"Completed")=0,"",_xlfn.MAXIFS('JOBS'!$B$5:$B$1504,'JOBS'!$G$5:$G$1504,A132,'JOBS'!$O$5:$O$1504,"Completed")))</f>
        <v/>
      </c>
      <c r="N132" s="52">
        <f>IF(B132="","",IF(_xlfn.MINIFS('JOBS'!$B$5:$B$1504,'JOBS'!$G$5:$G$1504,A132,'JOBS'!$O$5:$O$1504,"Scheduled",'JOBS'!$B$5:$B$1504,"&gt;="&amp;AsOf)=0,"",_xlfn.MINIFS('JOBS'!$B$5:$B$1504,'JOBS'!$G$5:$G$1504,A132,'JOBS'!$O$5:$O$1504,"Scheduled",'JOBS'!$B$5:$B$1504,"&gt;="&amp;AsOf)))</f>
        <v/>
      </c>
      <c r="O132" s="52">
        <f>IF(B132="","",IF(N132&lt;&gt;"",N132,IF(M132="",IF(H132="","",H132),IF(E132="Monthly",EDATE(M132,1),M132+IFERROR(INDEX('PRICING'!$C$28:$C$33,MATCH(E132,'PRICING'!$A$28:$A$33,0)),14)))))</f>
        <v/>
      </c>
      <c r="P132" s="101">
        <f>IF(O132="","",O132-AsOf)</f>
        <v/>
      </c>
      <c r="Q132" s="49">
        <f>IF(B132="","",IF(J132&lt;&gt;"Active","—",IF(N132&lt;&gt;"","Booked",IF(O132="","Set start date",IF(O132&lt;AsOf,"Overdue — book now",IF(O132&lt;=AsOf+7,"Due this week — book","Upcoming"))))))</f>
        <v/>
      </c>
      <c r="R132" s="54">
        <f>IF(B132="","",IF(J132="Active",N(F132)*IFERROR(INDEX('PRICING'!$D$28:$D$33,MATCH(E132,'PRICING'!$A$28:$A$33,0)),0),0))</f>
        <v/>
      </c>
      <c r="S132" s="54">
        <f>IF(B132="","",R132*12)</f>
        <v/>
      </c>
      <c r="T132" s="49">
        <f>IF(B132="","",IF(OR(Q132="Overdue — book now",Q132="Due this week — book"),1,0))</f>
        <v/>
      </c>
      <c r="U132" s="49">
        <f>IF(N(T132)&lt;&gt;1,"",COUNTIFS('RECURRING'!$T$5:$T$154,1,'RECURRING'!$O$5:$O$154,"&lt;"&amp;O132)+COUNTIFS($T$5:T132,1,$O$5:O132,O132))</f>
        <v/>
      </c>
    </row>
    <row r="133">
      <c r="A133" s="46" t="inlineStr">
        <is>
          <t>R-129</t>
        </is>
      </c>
      <c r="B133" s="38" t="n"/>
      <c r="C133" s="38" t="n"/>
      <c r="D133" s="38" t="n"/>
      <c r="E133" s="38" t="n"/>
      <c r="F133" s="48" t="n"/>
      <c r="G133" s="38" t="n"/>
      <c r="H133" s="47" t="n"/>
      <c r="I133" s="38" t="n"/>
      <c r="J133" s="38" t="n"/>
      <c r="K133" s="38" t="n"/>
      <c r="L133" s="53">
        <f>IF(B133="","",COUNTIFS('JOBS'!$G$5:$G$1504,A133,'JOBS'!$O$5:$O$1504,"Completed"))</f>
        <v/>
      </c>
      <c r="M133" s="52">
        <f>IF(B133="","",IF(_xlfn.MAXIFS('JOBS'!$B$5:$B$1504,'JOBS'!$G$5:$G$1504,A133,'JOBS'!$O$5:$O$1504,"Completed")=0,"",_xlfn.MAXIFS('JOBS'!$B$5:$B$1504,'JOBS'!$G$5:$G$1504,A133,'JOBS'!$O$5:$O$1504,"Completed")))</f>
        <v/>
      </c>
      <c r="N133" s="52">
        <f>IF(B133="","",IF(_xlfn.MINIFS('JOBS'!$B$5:$B$1504,'JOBS'!$G$5:$G$1504,A133,'JOBS'!$O$5:$O$1504,"Scheduled",'JOBS'!$B$5:$B$1504,"&gt;="&amp;AsOf)=0,"",_xlfn.MINIFS('JOBS'!$B$5:$B$1504,'JOBS'!$G$5:$G$1504,A133,'JOBS'!$O$5:$O$1504,"Scheduled",'JOBS'!$B$5:$B$1504,"&gt;="&amp;AsOf)))</f>
        <v/>
      </c>
      <c r="O133" s="52">
        <f>IF(B133="","",IF(N133&lt;&gt;"",N133,IF(M133="",IF(H133="","",H133),IF(E133="Monthly",EDATE(M133,1),M133+IFERROR(INDEX('PRICING'!$C$28:$C$33,MATCH(E133,'PRICING'!$A$28:$A$33,0)),14)))))</f>
        <v/>
      </c>
      <c r="P133" s="101">
        <f>IF(O133="","",O133-AsOf)</f>
        <v/>
      </c>
      <c r="Q133" s="49">
        <f>IF(B133="","",IF(J133&lt;&gt;"Active","—",IF(N133&lt;&gt;"","Booked",IF(O133="","Set start date",IF(O133&lt;AsOf,"Overdue — book now",IF(O133&lt;=AsOf+7,"Due this week — book","Upcoming"))))))</f>
        <v/>
      </c>
      <c r="R133" s="54">
        <f>IF(B133="","",IF(J133="Active",N(F133)*IFERROR(INDEX('PRICING'!$D$28:$D$33,MATCH(E133,'PRICING'!$A$28:$A$33,0)),0),0))</f>
        <v/>
      </c>
      <c r="S133" s="54">
        <f>IF(B133="","",R133*12)</f>
        <v/>
      </c>
      <c r="T133" s="49">
        <f>IF(B133="","",IF(OR(Q133="Overdue — book now",Q133="Due this week — book"),1,0))</f>
        <v/>
      </c>
      <c r="U133" s="49">
        <f>IF(N(T133)&lt;&gt;1,"",COUNTIFS('RECURRING'!$T$5:$T$154,1,'RECURRING'!$O$5:$O$154,"&lt;"&amp;O133)+COUNTIFS($T$5:T133,1,$O$5:O133,O133))</f>
        <v/>
      </c>
    </row>
    <row r="134">
      <c r="A134" s="46" t="inlineStr">
        <is>
          <t>R-130</t>
        </is>
      </c>
      <c r="B134" s="38" t="n"/>
      <c r="C134" s="38" t="n"/>
      <c r="D134" s="38" t="n"/>
      <c r="E134" s="38" t="n"/>
      <c r="F134" s="48" t="n"/>
      <c r="G134" s="38" t="n"/>
      <c r="H134" s="47" t="n"/>
      <c r="I134" s="38" t="n"/>
      <c r="J134" s="38" t="n"/>
      <c r="K134" s="38" t="n"/>
      <c r="L134" s="53">
        <f>IF(B134="","",COUNTIFS('JOBS'!$G$5:$G$1504,A134,'JOBS'!$O$5:$O$1504,"Completed"))</f>
        <v/>
      </c>
      <c r="M134" s="52">
        <f>IF(B134="","",IF(_xlfn.MAXIFS('JOBS'!$B$5:$B$1504,'JOBS'!$G$5:$G$1504,A134,'JOBS'!$O$5:$O$1504,"Completed")=0,"",_xlfn.MAXIFS('JOBS'!$B$5:$B$1504,'JOBS'!$G$5:$G$1504,A134,'JOBS'!$O$5:$O$1504,"Completed")))</f>
        <v/>
      </c>
      <c r="N134" s="52">
        <f>IF(B134="","",IF(_xlfn.MINIFS('JOBS'!$B$5:$B$1504,'JOBS'!$G$5:$G$1504,A134,'JOBS'!$O$5:$O$1504,"Scheduled",'JOBS'!$B$5:$B$1504,"&gt;="&amp;AsOf)=0,"",_xlfn.MINIFS('JOBS'!$B$5:$B$1504,'JOBS'!$G$5:$G$1504,A134,'JOBS'!$O$5:$O$1504,"Scheduled",'JOBS'!$B$5:$B$1504,"&gt;="&amp;AsOf)))</f>
        <v/>
      </c>
      <c r="O134" s="52">
        <f>IF(B134="","",IF(N134&lt;&gt;"",N134,IF(M134="",IF(H134="","",H134),IF(E134="Monthly",EDATE(M134,1),M134+IFERROR(INDEX('PRICING'!$C$28:$C$33,MATCH(E134,'PRICING'!$A$28:$A$33,0)),14)))))</f>
        <v/>
      </c>
      <c r="P134" s="101">
        <f>IF(O134="","",O134-AsOf)</f>
        <v/>
      </c>
      <c r="Q134" s="49">
        <f>IF(B134="","",IF(J134&lt;&gt;"Active","—",IF(N134&lt;&gt;"","Booked",IF(O134="","Set start date",IF(O134&lt;AsOf,"Overdue — book now",IF(O134&lt;=AsOf+7,"Due this week — book","Upcoming"))))))</f>
        <v/>
      </c>
      <c r="R134" s="54">
        <f>IF(B134="","",IF(J134="Active",N(F134)*IFERROR(INDEX('PRICING'!$D$28:$D$33,MATCH(E134,'PRICING'!$A$28:$A$33,0)),0),0))</f>
        <v/>
      </c>
      <c r="S134" s="54">
        <f>IF(B134="","",R134*12)</f>
        <v/>
      </c>
      <c r="T134" s="49">
        <f>IF(B134="","",IF(OR(Q134="Overdue — book now",Q134="Due this week — book"),1,0))</f>
        <v/>
      </c>
      <c r="U134" s="49">
        <f>IF(N(T134)&lt;&gt;1,"",COUNTIFS('RECURRING'!$T$5:$T$154,1,'RECURRING'!$O$5:$O$154,"&lt;"&amp;O134)+COUNTIFS($T$5:T134,1,$O$5:O134,O134))</f>
        <v/>
      </c>
    </row>
    <row r="135">
      <c r="A135" s="46" t="inlineStr">
        <is>
          <t>R-131</t>
        </is>
      </c>
      <c r="B135" s="38" t="n"/>
      <c r="C135" s="38" t="n"/>
      <c r="D135" s="38" t="n"/>
      <c r="E135" s="38" t="n"/>
      <c r="F135" s="48" t="n"/>
      <c r="G135" s="38" t="n"/>
      <c r="H135" s="47" t="n"/>
      <c r="I135" s="38" t="n"/>
      <c r="J135" s="38" t="n"/>
      <c r="K135" s="38" t="n"/>
      <c r="L135" s="53">
        <f>IF(B135="","",COUNTIFS('JOBS'!$G$5:$G$1504,A135,'JOBS'!$O$5:$O$1504,"Completed"))</f>
        <v/>
      </c>
      <c r="M135" s="52">
        <f>IF(B135="","",IF(_xlfn.MAXIFS('JOBS'!$B$5:$B$1504,'JOBS'!$G$5:$G$1504,A135,'JOBS'!$O$5:$O$1504,"Completed")=0,"",_xlfn.MAXIFS('JOBS'!$B$5:$B$1504,'JOBS'!$G$5:$G$1504,A135,'JOBS'!$O$5:$O$1504,"Completed")))</f>
        <v/>
      </c>
      <c r="N135" s="52">
        <f>IF(B135="","",IF(_xlfn.MINIFS('JOBS'!$B$5:$B$1504,'JOBS'!$G$5:$G$1504,A135,'JOBS'!$O$5:$O$1504,"Scheduled",'JOBS'!$B$5:$B$1504,"&gt;="&amp;AsOf)=0,"",_xlfn.MINIFS('JOBS'!$B$5:$B$1504,'JOBS'!$G$5:$G$1504,A135,'JOBS'!$O$5:$O$1504,"Scheduled",'JOBS'!$B$5:$B$1504,"&gt;="&amp;AsOf)))</f>
        <v/>
      </c>
      <c r="O135" s="52">
        <f>IF(B135="","",IF(N135&lt;&gt;"",N135,IF(M135="",IF(H135="","",H135),IF(E135="Monthly",EDATE(M135,1),M135+IFERROR(INDEX('PRICING'!$C$28:$C$33,MATCH(E135,'PRICING'!$A$28:$A$33,0)),14)))))</f>
        <v/>
      </c>
      <c r="P135" s="101">
        <f>IF(O135="","",O135-AsOf)</f>
        <v/>
      </c>
      <c r="Q135" s="49">
        <f>IF(B135="","",IF(J135&lt;&gt;"Active","—",IF(N135&lt;&gt;"","Booked",IF(O135="","Set start date",IF(O135&lt;AsOf,"Overdue — book now",IF(O135&lt;=AsOf+7,"Due this week — book","Upcoming"))))))</f>
        <v/>
      </c>
      <c r="R135" s="54">
        <f>IF(B135="","",IF(J135="Active",N(F135)*IFERROR(INDEX('PRICING'!$D$28:$D$33,MATCH(E135,'PRICING'!$A$28:$A$33,0)),0),0))</f>
        <v/>
      </c>
      <c r="S135" s="54">
        <f>IF(B135="","",R135*12)</f>
        <v/>
      </c>
      <c r="T135" s="49">
        <f>IF(B135="","",IF(OR(Q135="Overdue — book now",Q135="Due this week — book"),1,0))</f>
        <v/>
      </c>
      <c r="U135" s="49">
        <f>IF(N(T135)&lt;&gt;1,"",COUNTIFS('RECURRING'!$T$5:$T$154,1,'RECURRING'!$O$5:$O$154,"&lt;"&amp;O135)+COUNTIFS($T$5:T135,1,$O$5:O135,O135))</f>
        <v/>
      </c>
    </row>
    <row r="136">
      <c r="A136" s="46" t="inlineStr">
        <is>
          <t>R-132</t>
        </is>
      </c>
      <c r="B136" s="38" t="n"/>
      <c r="C136" s="38" t="n"/>
      <c r="D136" s="38" t="n"/>
      <c r="E136" s="38" t="n"/>
      <c r="F136" s="48" t="n"/>
      <c r="G136" s="38" t="n"/>
      <c r="H136" s="47" t="n"/>
      <c r="I136" s="38" t="n"/>
      <c r="J136" s="38" t="n"/>
      <c r="K136" s="38" t="n"/>
      <c r="L136" s="53">
        <f>IF(B136="","",COUNTIFS('JOBS'!$G$5:$G$1504,A136,'JOBS'!$O$5:$O$1504,"Completed"))</f>
        <v/>
      </c>
      <c r="M136" s="52">
        <f>IF(B136="","",IF(_xlfn.MAXIFS('JOBS'!$B$5:$B$1504,'JOBS'!$G$5:$G$1504,A136,'JOBS'!$O$5:$O$1504,"Completed")=0,"",_xlfn.MAXIFS('JOBS'!$B$5:$B$1504,'JOBS'!$G$5:$G$1504,A136,'JOBS'!$O$5:$O$1504,"Completed")))</f>
        <v/>
      </c>
      <c r="N136" s="52">
        <f>IF(B136="","",IF(_xlfn.MINIFS('JOBS'!$B$5:$B$1504,'JOBS'!$G$5:$G$1504,A136,'JOBS'!$O$5:$O$1504,"Scheduled",'JOBS'!$B$5:$B$1504,"&gt;="&amp;AsOf)=0,"",_xlfn.MINIFS('JOBS'!$B$5:$B$1504,'JOBS'!$G$5:$G$1504,A136,'JOBS'!$O$5:$O$1504,"Scheduled",'JOBS'!$B$5:$B$1504,"&gt;="&amp;AsOf)))</f>
        <v/>
      </c>
      <c r="O136" s="52">
        <f>IF(B136="","",IF(N136&lt;&gt;"",N136,IF(M136="",IF(H136="","",H136),IF(E136="Monthly",EDATE(M136,1),M136+IFERROR(INDEX('PRICING'!$C$28:$C$33,MATCH(E136,'PRICING'!$A$28:$A$33,0)),14)))))</f>
        <v/>
      </c>
      <c r="P136" s="101">
        <f>IF(O136="","",O136-AsOf)</f>
        <v/>
      </c>
      <c r="Q136" s="49">
        <f>IF(B136="","",IF(J136&lt;&gt;"Active","—",IF(N136&lt;&gt;"","Booked",IF(O136="","Set start date",IF(O136&lt;AsOf,"Overdue — book now",IF(O136&lt;=AsOf+7,"Due this week — book","Upcoming"))))))</f>
        <v/>
      </c>
      <c r="R136" s="54">
        <f>IF(B136="","",IF(J136="Active",N(F136)*IFERROR(INDEX('PRICING'!$D$28:$D$33,MATCH(E136,'PRICING'!$A$28:$A$33,0)),0),0))</f>
        <v/>
      </c>
      <c r="S136" s="54">
        <f>IF(B136="","",R136*12)</f>
        <v/>
      </c>
      <c r="T136" s="49">
        <f>IF(B136="","",IF(OR(Q136="Overdue — book now",Q136="Due this week — book"),1,0))</f>
        <v/>
      </c>
      <c r="U136" s="49">
        <f>IF(N(T136)&lt;&gt;1,"",COUNTIFS('RECURRING'!$T$5:$T$154,1,'RECURRING'!$O$5:$O$154,"&lt;"&amp;O136)+COUNTIFS($T$5:T136,1,$O$5:O136,O136))</f>
        <v/>
      </c>
    </row>
    <row r="137">
      <c r="A137" s="46" t="inlineStr">
        <is>
          <t>R-133</t>
        </is>
      </c>
      <c r="B137" s="38" t="n"/>
      <c r="C137" s="38" t="n"/>
      <c r="D137" s="38" t="n"/>
      <c r="E137" s="38" t="n"/>
      <c r="F137" s="48" t="n"/>
      <c r="G137" s="38" t="n"/>
      <c r="H137" s="47" t="n"/>
      <c r="I137" s="38" t="n"/>
      <c r="J137" s="38" t="n"/>
      <c r="K137" s="38" t="n"/>
      <c r="L137" s="53">
        <f>IF(B137="","",COUNTIFS('JOBS'!$G$5:$G$1504,A137,'JOBS'!$O$5:$O$1504,"Completed"))</f>
        <v/>
      </c>
      <c r="M137" s="52">
        <f>IF(B137="","",IF(_xlfn.MAXIFS('JOBS'!$B$5:$B$1504,'JOBS'!$G$5:$G$1504,A137,'JOBS'!$O$5:$O$1504,"Completed")=0,"",_xlfn.MAXIFS('JOBS'!$B$5:$B$1504,'JOBS'!$G$5:$G$1504,A137,'JOBS'!$O$5:$O$1504,"Completed")))</f>
        <v/>
      </c>
      <c r="N137" s="52">
        <f>IF(B137="","",IF(_xlfn.MINIFS('JOBS'!$B$5:$B$1504,'JOBS'!$G$5:$G$1504,A137,'JOBS'!$O$5:$O$1504,"Scheduled",'JOBS'!$B$5:$B$1504,"&gt;="&amp;AsOf)=0,"",_xlfn.MINIFS('JOBS'!$B$5:$B$1504,'JOBS'!$G$5:$G$1504,A137,'JOBS'!$O$5:$O$1504,"Scheduled",'JOBS'!$B$5:$B$1504,"&gt;="&amp;AsOf)))</f>
        <v/>
      </c>
      <c r="O137" s="52">
        <f>IF(B137="","",IF(N137&lt;&gt;"",N137,IF(M137="",IF(H137="","",H137),IF(E137="Monthly",EDATE(M137,1),M137+IFERROR(INDEX('PRICING'!$C$28:$C$33,MATCH(E137,'PRICING'!$A$28:$A$33,0)),14)))))</f>
        <v/>
      </c>
      <c r="P137" s="101">
        <f>IF(O137="","",O137-AsOf)</f>
        <v/>
      </c>
      <c r="Q137" s="49">
        <f>IF(B137="","",IF(J137&lt;&gt;"Active","—",IF(N137&lt;&gt;"","Booked",IF(O137="","Set start date",IF(O137&lt;AsOf,"Overdue — book now",IF(O137&lt;=AsOf+7,"Due this week — book","Upcoming"))))))</f>
        <v/>
      </c>
      <c r="R137" s="54">
        <f>IF(B137="","",IF(J137="Active",N(F137)*IFERROR(INDEX('PRICING'!$D$28:$D$33,MATCH(E137,'PRICING'!$A$28:$A$33,0)),0),0))</f>
        <v/>
      </c>
      <c r="S137" s="54">
        <f>IF(B137="","",R137*12)</f>
        <v/>
      </c>
      <c r="T137" s="49">
        <f>IF(B137="","",IF(OR(Q137="Overdue — book now",Q137="Due this week — book"),1,0))</f>
        <v/>
      </c>
      <c r="U137" s="49">
        <f>IF(N(T137)&lt;&gt;1,"",COUNTIFS('RECURRING'!$T$5:$T$154,1,'RECURRING'!$O$5:$O$154,"&lt;"&amp;O137)+COUNTIFS($T$5:T137,1,$O$5:O137,O137))</f>
        <v/>
      </c>
    </row>
    <row r="138">
      <c r="A138" s="46" t="inlineStr">
        <is>
          <t>R-134</t>
        </is>
      </c>
      <c r="B138" s="38" t="n"/>
      <c r="C138" s="38" t="n"/>
      <c r="D138" s="38" t="n"/>
      <c r="E138" s="38" t="n"/>
      <c r="F138" s="48" t="n"/>
      <c r="G138" s="38" t="n"/>
      <c r="H138" s="47" t="n"/>
      <c r="I138" s="38" t="n"/>
      <c r="J138" s="38" t="n"/>
      <c r="K138" s="38" t="n"/>
      <c r="L138" s="53">
        <f>IF(B138="","",COUNTIFS('JOBS'!$G$5:$G$1504,A138,'JOBS'!$O$5:$O$1504,"Completed"))</f>
        <v/>
      </c>
      <c r="M138" s="52">
        <f>IF(B138="","",IF(_xlfn.MAXIFS('JOBS'!$B$5:$B$1504,'JOBS'!$G$5:$G$1504,A138,'JOBS'!$O$5:$O$1504,"Completed")=0,"",_xlfn.MAXIFS('JOBS'!$B$5:$B$1504,'JOBS'!$G$5:$G$1504,A138,'JOBS'!$O$5:$O$1504,"Completed")))</f>
        <v/>
      </c>
      <c r="N138" s="52">
        <f>IF(B138="","",IF(_xlfn.MINIFS('JOBS'!$B$5:$B$1504,'JOBS'!$G$5:$G$1504,A138,'JOBS'!$O$5:$O$1504,"Scheduled",'JOBS'!$B$5:$B$1504,"&gt;="&amp;AsOf)=0,"",_xlfn.MINIFS('JOBS'!$B$5:$B$1504,'JOBS'!$G$5:$G$1504,A138,'JOBS'!$O$5:$O$1504,"Scheduled",'JOBS'!$B$5:$B$1504,"&gt;="&amp;AsOf)))</f>
        <v/>
      </c>
      <c r="O138" s="52">
        <f>IF(B138="","",IF(N138&lt;&gt;"",N138,IF(M138="",IF(H138="","",H138),IF(E138="Monthly",EDATE(M138,1),M138+IFERROR(INDEX('PRICING'!$C$28:$C$33,MATCH(E138,'PRICING'!$A$28:$A$33,0)),14)))))</f>
        <v/>
      </c>
      <c r="P138" s="101">
        <f>IF(O138="","",O138-AsOf)</f>
        <v/>
      </c>
      <c r="Q138" s="49">
        <f>IF(B138="","",IF(J138&lt;&gt;"Active","—",IF(N138&lt;&gt;"","Booked",IF(O138="","Set start date",IF(O138&lt;AsOf,"Overdue — book now",IF(O138&lt;=AsOf+7,"Due this week — book","Upcoming"))))))</f>
        <v/>
      </c>
      <c r="R138" s="54">
        <f>IF(B138="","",IF(J138="Active",N(F138)*IFERROR(INDEX('PRICING'!$D$28:$D$33,MATCH(E138,'PRICING'!$A$28:$A$33,0)),0),0))</f>
        <v/>
      </c>
      <c r="S138" s="54">
        <f>IF(B138="","",R138*12)</f>
        <v/>
      </c>
      <c r="T138" s="49">
        <f>IF(B138="","",IF(OR(Q138="Overdue — book now",Q138="Due this week — book"),1,0))</f>
        <v/>
      </c>
      <c r="U138" s="49">
        <f>IF(N(T138)&lt;&gt;1,"",COUNTIFS('RECURRING'!$T$5:$T$154,1,'RECURRING'!$O$5:$O$154,"&lt;"&amp;O138)+COUNTIFS($T$5:T138,1,$O$5:O138,O138))</f>
        <v/>
      </c>
    </row>
    <row r="139">
      <c r="A139" s="46" t="inlineStr">
        <is>
          <t>R-135</t>
        </is>
      </c>
      <c r="B139" s="38" t="n"/>
      <c r="C139" s="38" t="n"/>
      <c r="D139" s="38" t="n"/>
      <c r="E139" s="38" t="n"/>
      <c r="F139" s="48" t="n"/>
      <c r="G139" s="38" t="n"/>
      <c r="H139" s="47" t="n"/>
      <c r="I139" s="38" t="n"/>
      <c r="J139" s="38" t="n"/>
      <c r="K139" s="38" t="n"/>
      <c r="L139" s="53">
        <f>IF(B139="","",COUNTIFS('JOBS'!$G$5:$G$1504,A139,'JOBS'!$O$5:$O$1504,"Completed"))</f>
        <v/>
      </c>
      <c r="M139" s="52">
        <f>IF(B139="","",IF(_xlfn.MAXIFS('JOBS'!$B$5:$B$1504,'JOBS'!$G$5:$G$1504,A139,'JOBS'!$O$5:$O$1504,"Completed")=0,"",_xlfn.MAXIFS('JOBS'!$B$5:$B$1504,'JOBS'!$G$5:$G$1504,A139,'JOBS'!$O$5:$O$1504,"Completed")))</f>
        <v/>
      </c>
      <c r="N139" s="52">
        <f>IF(B139="","",IF(_xlfn.MINIFS('JOBS'!$B$5:$B$1504,'JOBS'!$G$5:$G$1504,A139,'JOBS'!$O$5:$O$1504,"Scheduled",'JOBS'!$B$5:$B$1504,"&gt;="&amp;AsOf)=0,"",_xlfn.MINIFS('JOBS'!$B$5:$B$1504,'JOBS'!$G$5:$G$1504,A139,'JOBS'!$O$5:$O$1504,"Scheduled",'JOBS'!$B$5:$B$1504,"&gt;="&amp;AsOf)))</f>
        <v/>
      </c>
      <c r="O139" s="52">
        <f>IF(B139="","",IF(N139&lt;&gt;"",N139,IF(M139="",IF(H139="","",H139),IF(E139="Monthly",EDATE(M139,1),M139+IFERROR(INDEX('PRICING'!$C$28:$C$33,MATCH(E139,'PRICING'!$A$28:$A$33,0)),14)))))</f>
        <v/>
      </c>
      <c r="P139" s="101">
        <f>IF(O139="","",O139-AsOf)</f>
        <v/>
      </c>
      <c r="Q139" s="49">
        <f>IF(B139="","",IF(J139&lt;&gt;"Active","—",IF(N139&lt;&gt;"","Booked",IF(O139="","Set start date",IF(O139&lt;AsOf,"Overdue — book now",IF(O139&lt;=AsOf+7,"Due this week — book","Upcoming"))))))</f>
        <v/>
      </c>
      <c r="R139" s="54">
        <f>IF(B139="","",IF(J139="Active",N(F139)*IFERROR(INDEX('PRICING'!$D$28:$D$33,MATCH(E139,'PRICING'!$A$28:$A$33,0)),0),0))</f>
        <v/>
      </c>
      <c r="S139" s="54">
        <f>IF(B139="","",R139*12)</f>
        <v/>
      </c>
      <c r="T139" s="49">
        <f>IF(B139="","",IF(OR(Q139="Overdue — book now",Q139="Due this week — book"),1,0))</f>
        <v/>
      </c>
      <c r="U139" s="49">
        <f>IF(N(T139)&lt;&gt;1,"",COUNTIFS('RECURRING'!$T$5:$T$154,1,'RECURRING'!$O$5:$O$154,"&lt;"&amp;O139)+COUNTIFS($T$5:T139,1,$O$5:O139,O139))</f>
        <v/>
      </c>
    </row>
    <row r="140">
      <c r="A140" s="46" t="inlineStr">
        <is>
          <t>R-136</t>
        </is>
      </c>
      <c r="B140" s="38" t="n"/>
      <c r="C140" s="38" t="n"/>
      <c r="D140" s="38" t="n"/>
      <c r="E140" s="38" t="n"/>
      <c r="F140" s="48" t="n"/>
      <c r="G140" s="38" t="n"/>
      <c r="H140" s="47" t="n"/>
      <c r="I140" s="38" t="n"/>
      <c r="J140" s="38" t="n"/>
      <c r="K140" s="38" t="n"/>
      <c r="L140" s="53">
        <f>IF(B140="","",COUNTIFS('JOBS'!$G$5:$G$1504,A140,'JOBS'!$O$5:$O$1504,"Completed"))</f>
        <v/>
      </c>
      <c r="M140" s="52">
        <f>IF(B140="","",IF(_xlfn.MAXIFS('JOBS'!$B$5:$B$1504,'JOBS'!$G$5:$G$1504,A140,'JOBS'!$O$5:$O$1504,"Completed")=0,"",_xlfn.MAXIFS('JOBS'!$B$5:$B$1504,'JOBS'!$G$5:$G$1504,A140,'JOBS'!$O$5:$O$1504,"Completed")))</f>
        <v/>
      </c>
      <c r="N140" s="52">
        <f>IF(B140="","",IF(_xlfn.MINIFS('JOBS'!$B$5:$B$1504,'JOBS'!$G$5:$G$1504,A140,'JOBS'!$O$5:$O$1504,"Scheduled",'JOBS'!$B$5:$B$1504,"&gt;="&amp;AsOf)=0,"",_xlfn.MINIFS('JOBS'!$B$5:$B$1504,'JOBS'!$G$5:$G$1504,A140,'JOBS'!$O$5:$O$1504,"Scheduled",'JOBS'!$B$5:$B$1504,"&gt;="&amp;AsOf)))</f>
        <v/>
      </c>
      <c r="O140" s="52">
        <f>IF(B140="","",IF(N140&lt;&gt;"",N140,IF(M140="",IF(H140="","",H140),IF(E140="Monthly",EDATE(M140,1),M140+IFERROR(INDEX('PRICING'!$C$28:$C$33,MATCH(E140,'PRICING'!$A$28:$A$33,0)),14)))))</f>
        <v/>
      </c>
      <c r="P140" s="101">
        <f>IF(O140="","",O140-AsOf)</f>
        <v/>
      </c>
      <c r="Q140" s="49">
        <f>IF(B140="","",IF(J140&lt;&gt;"Active","—",IF(N140&lt;&gt;"","Booked",IF(O140="","Set start date",IF(O140&lt;AsOf,"Overdue — book now",IF(O140&lt;=AsOf+7,"Due this week — book","Upcoming"))))))</f>
        <v/>
      </c>
      <c r="R140" s="54">
        <f>IF(B140="","",IF(J140="Active",N(F140)*IFERROR(INDEX('PRICING'!$D$28:$D$33,MATCH(E140,'PRICING'!$A$28:$A$33,0)),0),0))</f>
        <v/>
      </c>
      <c r="S140" s="54">
        <f>IF(B140="","",R140*12)</f>
        <v/>
      </c>
      <c r="T140" s="49">
        <f>IF(B140="","",IF(OR(Q140="Overdue — book now",Q140="Due this week — book"),1,0))</f>
        <v/>
      </c>
      <c r="U140" s="49">
        <f>IF(N(T140)&lt;&gt;1,"",COUNTIFS('RECURRING'!$T$5:$T$154,1,'RECURRING'!$O$5:$O$154,"&lt;"&amp;O140)+COUNTIFS($T$5:T140,1,$O$5:O140,O140))</f>
        <v/>
      </c>
    </row>
    <row r="141">
      <c r="A141" s="46" t="inlineStr">
        <is>
          <t>R-137</t>
        </is>
      </c>
      <c r="B141" s="38" t="n"/>
      <c r="C141" s="38" t="n"/>
      <c r="D141" s="38" t="n"/>
      <c r="E141" s="38" t="n"/>
      <c r="F141" s="48" t="n"/>
      <c r="G141" s="38" t="n"/>
      <c r="H141" s="47" t="n"/>
      <c r="I141" s="38" t="n"/>
      <c r="J141" s="38" t="n"/>
      <c r="K141" s="38" t="n"/>
      <c r="L141" s="53">
        <f>IF(B141="","",COUNTIFS('JOBS'!$G$5:$G$1504,A141,'JOBS'!$O$5:$O$1504,"Completed"))</f>
        <v/>
      </c>
      <c r="M141" s="52">
        <f>IF(B141="","",IF(_xlfn.MAXIFS('JOBS'!$B$5:$B$1504,'JOBS'!$G$5:$G$1504,A141,'JOBS'!$O$5:$O$1504,"Completed")=0,"",_xlfn.MAXIFS('JOBS'!$B$5:$B$1504,'JOBS'!$G$5:$G$1504,A141,'JOBS'!$O$5:$O$1504,"Completed")))</f>
        <v/>
      </c>
      <c r="N141" s="52">
        <f>IF(B141="","",IF(_xlfn.MINIFS('JOBS'!$B$5:$B$1504,'JOBS'!$G$5:$G$1504,A141,'JOBS'!$O$5:$O$1504,"Scheduled",'JOBS'!$B$5:$B$1504,"&gt;="&amp;AsOf)=0,"",_xlfn.MINIFS('JOBS'!$B$5:$B$1504,'JOBS'!$G$5:$G$1504,A141,'JOBS'!$O$5:$O$1504,"Scheduled",'JOBS'!$B$5:$B$1504,"&gt;="&amp;AsOf)))</f>
        <v/>
      </c>
      <c r="O141" s="52">
        <f>IF(B141="","",IF(N141&lt;&gt;"",N141,IF(M141="",IF(H141="","",H141),IF(E141="Monthly",EDATE(M141,1),M141+IFERROR(INDEX('PRICING'!$C$28:$C$33,MATCH(E141,'PRICING'!$A$28:$A$33,0)),14)))))</f>
        <v/>
      </c>
      <c r="P141" s="101">
        <f>IF(O141="","",O141-AsOf)</f>
        <v/>
      </c>
      <c r="Q141" s="49">
        <f>IF(B141="","",IF(J141&lt;&gt;"Active","—",IF(N141&lt;&gt;"","Booked",IF(O141="","Set start date",IF(O141&lt;AsOf,"Overdue — book now",IF(O141&lt;=AsOf+7,"Due this week — book","Upcoming"))))))</f>
        <v/>
      </c>
      <c r="R141" s="54">
        <f>IF(B141="","",IF(J141="Active",N(F141)*IFERROR(INDEX('PRICING'!$D$28:$D$33,MATCH(E141,'PRICING'!$A$28:$A$33,0)),0),0))</f>
        <v/>
      </c>
      <c r="S141" s="54">
        <f>IF(B141="","",R141*12)</f>
        <v/>
      </c>
      <c r="T141" s="49">
        <f>IF(B141="","",IF(OR(Q141="Overdue — book now",Q141="Due this week — book"),1,0))</f>
        <v/>
      </c>
      <c r="U141" s="49">
        <f>IF(N(T141)&lt;&gt;1,"",COUNTIFS('RECURRING'!$T$5:$T$154,1,'RECURRING'!$O$5:$O$154,"&lt;"&amp;O141)+COUNTIFS($T$5:T141,1,$O$5:O141,O141))</f>
        <v/>
      </c>
    </row>
    <row r="142">
      <c r="A142" s="46" t="inlineStr">
        <is>
          <t>R-138</t>
        </is>
      </c>
      <c r="B142" s="38" t="n"/>
      <c r="C142" s="38" t="n"/>
      <c r="D142" s="38" t="n"/>
      <c r="E142" s="38" t="n"/>
      <c r="F142" s="48" t="n"/>
      <c r="G142" s="38" t="n"/>
      <c r="H142" s="47" t="n"/>
      <c r="I142" s="38" t="n"/>
      <c r="J142" s="38" t="n"/>
      <c r="K142" s="38" t="n"/>
      <c r="L142" s="53">
        <f>IF(B142="","",COUNTIFS('JOBS'!$G$5:$G$1504,A142,'JOBS'!$O$5:$O$1504,"Completed"))</f>
        <v/>
      </c>
      <c r="M142" s="52">
        <f>IF(B142="","",IF(_xlfn.MAXIFS('JOBS'!$B$5:$B$1504,'JOBS'!$G$5:$G$1504,A142,'JOBS'!$O$5:$O$1504,"Completed")=0,"",_xlfn.MAXIFS('JOBS'!$B$5:$B$1504,'JOBS'!$G$5:$G$1504,A142,'JOBS'!$O$5:$O$1504,"Completed")))</f>
        <v/>
      </c>
      <c r="N142" s="52">
        <f>IF(B142="","",IF(_xlfn.MINIFS('JOBS'!$B$5:$B$1504,'JOBS'!$G$5:$G$1504,A142,'JOBS'!$O$5:$O$1504,"Scheduled",'JOBS'!$B$5:$B$1504,"&gt;="&amp;AsOf)=0,"",_xlfn.MINIFS('JOBS'!$B$5:$B$1504,'JOBS'!$G$5:$G$1504,A142,'JOBS'!$O$5:$O$1504,"Scheduled",'JOBS'!$B$5:$B$1504,"&gt;="&amp;AsOf)))</f>
        <v/>
      </c>
      <c r="O142" s="52">
        <f>IF(B142="","",IF(N142&lt;&gt;"",N142,IF(M142="",IF(H142="","",H142),IF(E142="Monthly",EDATE(M142,1),M142+IFERROR(INDEX('PRICING'!$C$28:$C$33,MATCH(E142,'PRICING'!$A$28:$A$33,0)),14)))))</f>
        <v/>
      </c>
      <c r="P142" s="101">
        <f>IF(O142="","",O142-AsOf)</f>
        <v/>
      </c>
      <c r="Q142" s="49">
        <f>IF(B142="","",IF(J142&lt;&gt;"Active","—",IF(N142&lt;&gt;"","Booked",IF(O142="","Set start date",IF(O142&lt;AsOf,"Overdue — book now",IF(O142&lt;=AsOf+7,"Due this week — book","Upcoming"))))))</f>
        <v/>
      </c>
      <c r="R142" s="54">
        <f>IF(B142="","",IF(J142="Active",N(F142)*IFERROR(INDEX('PRICING'!$D$28:$D$33,MATCH(E142,'PRICING'!$A$28:$A$33,0)),0),0))</f>
        <v/>
      </c>
      <c r="S142" s="54">
        <f>IF(B142="","",R142*12)</f>
        <v/>
      </c>
      <c r="T142" s="49">
        <f>IF(B142="","",IF(OR(Q142="Overdue — book now",Q142="Due this week — book"),1,0))</f>
        <v/>
      </c>
      <c r="U142" s="49">
        <f>IF(N(T142)&lt;&gt;1,"",COUNTIFS('RECURRING'!$T$5:$T$154,1,'RECURRING'!$O$5:$O$154,"&lt;"&amp;O142)+COUNTIFS($T$5:T142,1,$O$5:O142,O142))</f>
        <v/>
      </c>
    </row>
    <row r="143">
      <c r="A143" s="46" t="inlineStr">
        <is>
          <t>R-139</t>
        </is>
      </c>
      <c r="B143" s="38" t="n"/>
      <c r="C143" s="38" t="n"/>
      <c r="D143" s="38" t="n"/>
      <c r="E143" s="38" t="n"/>
      <c r="F143" s="48" t="n"/>
      <c r="G143" s="38" t="n"/>
      <c r="H143" s="47" t="n"/>
      <c r="I143" s="38" t="n"/>
      <c r="J143" s="38" t="n"/>
      <c r="K143" s="38" t="n"/>
      <c r="L143" s="53">
        <f>IF(B143="","",COUNTIFS('JOBS'!$G$5:$G$1504,A143,'JOBS'!$O$5:$O$1504,"Completed"))</f>
        <v/>
      </c>
      <c r="M143" s="52">
        <f>IF(B143="","",IF(_xlfn.MAXIFS('JOBS'!$B$5:$B$1504,'JOBS'!$G$5:$G$1504,A143,'JOBS'!$O$5:$O$1504,"Completed")=0,"",_xlfn.MAXIFS('JOBS'!$B$5:$B$1504,'JOBS'!$G$5:$G$1504,A143,'JOBS'!$O$5:$O$1504,"Completed")))</f>
        <v/>
      </c>
      <c r="N143" s="52">
        <f>IF(B143="","",IF(_xlfn.MINIFS('JOBS'!$B$5:$B$1504,'JOBS'!$G$5:$G$1504,A143,'JOBS'!$O$5:$O$1504,"Scheduled",'JOBS'!$B$5:$B$1504,"&gt;="&amp;AsOf)=0,"",_xlfn.MINIFS('JOBS'!$B$5:$B$1504,'JOBS'!$G$5:$G$1504,A143,'JOBS'!$O$5:$O$1504,"Scheduled",'JOBS'!$B$5:$B$1504,"&gt;="&amp;AsOf)))</f>
        <v/>
      </c>
      <c r="O143" s="52">
        <f>IF(B143="","",IF(N143&lt;&gt;"",N143,IF(M143="",IF(H143="","",H143),IF(E143="Monthly",EDATE(M143,1),M143+IFERROR(INDEX('PRICING'!$C$28:$C$33,MATCH(E143,'PRICING'!$A$28:$A$33,0)),14)))))</f>
        <v/>
      </c>
      <c r="P143" s="101">
        <f>IF(O143="","",O143-AsOf)</f>
        <v/>
      </c>
      <c r="Q143" s="49">
        <f>IF(B143="","",IF(J143&lt;&gt;"Active","—",IF(N143&lt;&gt;"","Booked",IF(O143="","Set start date",IF(O143&lt;AsOf,"Overdue — book now",IF(O143&lt;=AsOf+7,"Due this week — book","Upcoming"))))))</f>
        <v/>
      </c>
      <c r="R143" s="54">
        <f>IF(B143="","",IF(J143="Active",N(F143)*IFERROR(INDEX('PRICING'!$D$28:$D$33,MATCH(E143,'PRICING'!$A$28:$A$33,0)),0),0))</f>
        <v/>
      </c>
      <c r="S143" s="54">
        <f>IF(B143="","",R143*12)</f>
        <v/>
      </c>
      <c r="T143" s="49">
        <f>IF(B143="","",IF(OR(Q143="Overdue — book now",Q143="Due this week — book"),1,0))</f>
        <v/>
      </c>
      <c r="U143" s="49">
        <f>IF(N(T143)&lt;&gt;1,"",COUNTIFS('RECURRING'!$T$5:$T$154,1,'RECURRING'!$O$5:$O$154,"&lt;"&amp;O143)+COUNTIFS($T$5:T143,1,$O$5:O143,O143))</f>
        <v/>
      </c>
    </row>
    <row r="144">
      <c r="A144" s="46" t="inlineStr">
        <is>
          <t>R-140</t>
        </is>
      </c>
      <c r="B144" s="38" t="n"/>
      <c r="C144" s="38" t="n"/>
      <c r="D144" s="38" t="n"/>
      <c r="E144" s="38" t="n"/>
      <c r="F144" s="48" t="n"/>
      <c r="G144" s="38" t="n"/>
      <c r="H144" s="47" t="n"/>
      <c r="I144" s="38" t="n"/>
      <c r="J144" s="38" t="n"/>
      <c r="K144" s="38" t="n"/>
      <c r="L144" s="53">
        <f>IF(B144="","",COUNTIFS('JOBS'!$G$5:$G$1504,A144,'JOBS'!$O$5:$O$1504,"Completed"))</f>
        <v/>
      </c>
      <c r="M144" s="52">
        <f>IF(B144="","",IF(_xlfn.MAXIFS('JOBS'!$B$5:$B$1504,'JOBS'!$G$5:$G$1504,A144,'JOBS'!$O$5:$O$1504,"Completed")=0,"",_xlfn.MAXIFS('JOBS'!$B$5:$B$1504,'JOBS'!$G$5:$G$1504,A144,'JOBS'!$O$5:$O$1504,"Completed")))</f>
        <v/>
      </c>
      <c r="N144" s="52">
        <f>IF(B144="","",IF(_xlfn.MINIFS('JOBS'!$B$5:$B$1504,'JOBS'!$G$5:$G$1504,A144,'JOBS'!$O$5:$O$1504,"Scheduled",'JOBS'!$B$5:$B$1504,"&gt;="&amp;AsOf)=0,"",_xlfn.MINIFS('JOBS'!$B$5:$B$1504,'JOBS'!$G$5:$G$1504,A144,'JOBS'!$O$5:$O$1504,"Scheduled",'JOBS'!$B$5:$B$1504,"&gt;="&amp;AsOf)))</f>
        <v/>
      </c>
      <c r="O144" s="52">
        <f>IF(B144="","",IF(N144&lt;&gt;"",N144,IF(M144="",IF(H144="","",H144),IF(E144="Monthly",EDATE(M144,1),M144+IFERROR(INDEX('PRICING'!$C$28:$C$33,MATCH(E144,'PRICING'!$A$28:$A$33,0)),14)))))</f>
        <v/>
      </c>
      <c r="P144" s="101">
        <f>IF(O144="","",O144-AsOf)</f>
        <v/>
      </c>
      <c r="Q144" s="49">
        <f>IF(B144="","",IF(J144&lt;&gt;"Active","—",IF(N144&lt;&gt;"","Booked",IF(O144="","Set start date",IF(O144&lt;AsOf,"Overdue — book now",IF(O144&lt;=AsOf+7,"Due this week — book","Upcoming"))))))</f>
        <v/>
      </c>
      <c r="R144" s="54">
        <f>IF(B144="","",IF(J144="Active",N(F144)*IFERROR(INDEX('PRICING'!$D$28:$D$33,MATCH(E144,'PRICING'!$A$28:$A$33,0)),0),0))</f>
        <v/>
      </c>
      <c r="S144" s="54">
        <f>IF(B144="","",R144*12)</f>
        <v/>
      </c>
      <c r="T144" s="49">
        <f>IF(B144="","",IF(OR(Q144="Overdue — book now",Q144="Due this week — book"),1,0))</f>
        <v/>
      </c>
      <c r="U144" s="49">
        <f>IF(N(T144)&lt;&gt;1,"",COUNTIFS('RECURRING'!$T$5:$T$154,1,'RECURRING'!$O$5:$O$154,"&lt;"&amp;O144)+COUNTIFS($T$5:T144,1,$O$5:O144,O144))</f>
        <v/>
      </c>
    </row>
    <row r="145">
      <c r="A145" s="46" t="inlineStr">
        <is>
          <t>R-141</t>
        </is>
      </c>
      <c r="B145" s="38" t="n"/>
      <c r="C145" s="38" t="n"/>
      <c r="D145" s="38" t="n"/>
      <c r="E145" s="38" t="n"/>
      <c r="F145" s="48" t="n"/>
      <c r="G145" s="38" t="n"/>
      <c r="H145" s="47" t="n"/>
      <c r="I145" s="38" t="n"/>
      <c r="J145" s="38" t="n"/>
      <c r="K145" s="38" t="n"/>
      <c r="L145" s="53">
        <f>IF(B145="","",COUNTIFS('JOBS'!$G$5:$G$1504,A145,'JOBS'!$O$5:$O$1504,"Completed"))</f>
        <v/>
      </c>
      <c r="M145" s="52">
        <f>IF(B145="","",IF(_xlfn.MAXIFS('JOBS'!$B$5:$B$1504,'JOBS'!$G$5:$G$1504,A145,'JOBS'!$O$5:$O$1504,"Completed")=0,"",_xlfn.MAXIFS('JOBS'!$B$5:$B$1504,'JOBS'!$G$5:$G$1504,A145,'JOBS'!$O$5:$O$1504,"Completed")))</f>
        <v/>
      </c>
      <c r="N145" s="52">
        <f>IF(B145="","",IF(_xlfn.MINIFS('JOBS'!$B$5:$B$1504,'JOBS'!$G$5:$G$1504,A145,'JOBS'!$O$5:$O$1504,"Scheduled",'JOBS'!$B$5:$B$1504,"&gt;="&amp;AsOf)=0,"",_xlfn.MINIFS('JOBS'!$B$5:$B$1504,'JOBS'!$G$5:$G$1504,A145,'JOBS'!$O$5:$O$1504,"Scheduled",'JOBS'!$B$5:$B$1504,"&gt;="&amp;AsOf)))</f>
        <v/>
      </c>
      <c r="O145" s="52">
        <f>IF(B145="","",IF(N145&lt;&gt;"",N145,IF(M145="",IF(H145="","",H145),IF(E145="Monthly",EDATE(M145,1),M145+IFERROR(INDEX('PRICING'!$C$28:$C$33,MATCH(E145,'PRICING'!$A$28:$A$33,0)),14)))))</f>
        <v/>
      </c>
      <c r="P145" s="101">
        <f>IF(O145="","",O145-AsOf)</f>
        <v/>
      </c>
      <c r="Q145" s="49">
        <f>IF(B145="","",IF(J145&lt;&gt;"Active","—",IF(N145&lt;&gt;"","Booked",IF(O145="","Set start date",IF(O145&lt;AsOf,"Overdue — book now",IF(O145&lt;=AsOf+7,"Due this week — book","Upcoming"))))))</f>
        <v/>
      </c>
      <c r="R145" s="54">
        <f>IF(B145="","",IF(J145="Active",N(F145)*IFERROR(INDEX('PRICING'!$D$28:$D$33,MATCH(E145,'PRICING'!$A$28:$A$33,0)),0),0))</f>
        <v/>
      </c>
      <c r="S145" s="54">
        <f>IF(B145="","",R145*12)</f>
        <v/>
      </c>
      <c r="T145" s="49">
        <f>IF(B145="","",IF(OR(Q145="Overdue — book now",Q145="Due this week — book"),1,0))</f>
        <v/>
      </c>
      <c r="U145" s="49">
        <f>IF(N(T145)&lt;&gt;1,"",COUNTIFS('RECURRING'!$T$5:$T$154,1,'RECURRING'!$O$5:$O$154,"&lt;"&amp;O145)+COUNTIFS($T$5:T145,1,$O$5:O145,O145))</f>
        <v/>
      </c>
    </row>
    <row r="146">
      <c r="A146" s="46" t="inlineStr">
        <is>
          <t>R-142</t>
        </is>
      </c>
      <c r="B146" s="38" t="n"/>
      <c r="C146" s="38" t="n"/>
      <c r="D146" s="38" t="n"/>
      <c r="E146" s="38" t="n"/>
      <c r="F146" s="48" t="n"/>
      <c r="G146" s="38" t="n"/>
      <c r="H146" s="47" t="n"/>
      <c r="I146" s="38" t="n"/>
      <c r="J146" s="38" t="n"/>
      <c r="K146" s="38" t="n"/>
      <c r="L146" s="53">
        <f>IF(B146="","",COUNTIFS('JOBS'!$G$5:$G$1504,A146,'JOBS'!$O$5:$O$1504,"Completed"))</f>
        <v/>
      </c>
      <c r="M146" s="52">
        <f>IF(B146="","",IF(_xlfn.MAXIFS('JOBS'!$B$5:$B$1504,'JOBS'!$G$5:$G$1504,A146,'JOBS'!$O$5:$O$1504,"Completed")=0,"",_xlfn.MAXIFS('JOBS'!$B$5:$B$1504,'JOBS'!$G$5:$G$1504,A146,'JOBS'!$O$5:$O$1504,"Completed")))</f>
        <v/>
      </c>
      <c r="N146" s="52">
        <f>IF(B146="","",IF(_xlfn.MINIFS('JOBS'!$B$5:$B$1504,'JOBS'!$G$5:$G$1504,A146,'JOBS'!$O$5:$O$1504,"Scheduled",'JOBS'!$B$5:$B$1504,"&gt;="&amp;AsOf)=0,"",_xlfn.MINIFS('JOBS'!$B$5:$B$1504,'JOBS'!$G$5:$G$1504,A146,'JOBS'!$O$5:$O$1504,"Scheduled",'JOBS'!$B$5:$B$1504,"&gt;="&amp;AsOf)))</f>
        <v/>
      </c>
      <c r="O146" s="52">
        <f>IF(B146="","",IF(N146&lt;&gt;"",N146,IF(M146="",IF(H146="","",H146),IF(E146="Monthly",EDATE(M146,1),M146+IFERROR(INDEX('PRICING'!$C$28:$C$33,MATCH(E146,'PRICING'!$A$28:$A$33,0)),14)))))</f>
        <v/>
      </c>
      <c r="P146" s="101">
        <f>IF(O146="","",O146-AsOf)</f>
        <v/>
      </c>
      <c r="Q146" s="49">
        <f>IF(B146="","",IF(J146&lt;&gt;"Active","—",IF(N146&lt;&gt;"","Booked",IF(O146="","Set start date",IF(O146&lt;AsOf,"Overdue — book now",IF(O146&lt;=AsOf+7,"Due this week — book","Upcoming"))))))</f>
        <v/>
      </c>
      <c r="R146" s="54">
        <f>IF(B146="","",IF(J146="Active",N(F146)*IFERROR(INDEX('PRICING'!$D$28:$D$33,MATCH(E146,'PRICING'!$A$28:$A$33,0)),0),0))</f>
        <v/>
      </c>
      <c r="S146" s="54">
        <f>IF(B146="","",R146*12)</f>
        <v/>
      </c>
      <c r="T146" s="49">
        <f>IF(B146="","",IF(OR(Q146="Overdue — book now",Q146="Due this week — book"),1,0))</f>
        <v/>
      </c>
      <c r="U146" s="49">
        <f>IF(N(T146)&lt;&gt;1,"",COUNTIFS('RECURRING'!$T$5:$T$154,1,'RECURRING'!$O$5:$O$154,"&lt;"&amp;O146)+COUNTIFS($T$5:T146,1,$O$5:O146,O146))</f>
        <v/>
      </c>
    </row>
    <row r="147">
      <c r="A147" s="46" t="inlineStr">
        <is>
          <t>R-143</t>
        </is>
      </c>
      <c r="B147" s="38" t="n"/>
      <c r="C147" s="38" t="n"/>
      <c r="D147" s="38" t="n"/>
      <c r="E147" s="38" t="n"/>
      <c r="F147" s="48" t="n"/>
      <c r="G147" s="38" t="n"/>
      <c r="H147" s="47" t="n"/>
      <c r="I147" s="38" t="n"/>
      <c r="J147" s="38" t="n"/>
      <c r="K147" s="38" t="n"/>
      <c r="L147" s="53">
        <f>IF(B147="","",COUNTIFS('JOBS'!$G$5:$G$1504,A147,'JOBS'!$O$5:$O$1504,"Completed"))</f>
        <v/>
      </c>
      <c r="M147" s="52">
        <f>IF(B147="","",IF(_xlfn.MAXIFS('JOBS'!$B$5:$B$1504,'JOBS'!$G$5:$G$1504,A147,'JOBS'!$O$5:$O$1504,"Completed")=0,"",_xlfn.MAXIFS('JOBS'!$B$5:$B$1504,'JOBS'!$G$5:$G$1504,A147,'JOBS'!$O$5:$O$1504,"Completed")))</f>
        <v/>
      </c>
      <c r="N147" s="52">
        <f>IF(B147="","",IF(_xlfn.MINIFS('JOBS'!$B$5:$B$1504,'JOBS'!$G$5:$G$1504,A147,'JOBS'!$O$5:$O$1504,"Scheduled",'JOBS'!$B$5:$B$1504,"&gt;="&amp;AsOf)=0,"",_xlfn.MINIFS('JOBS'!$B$5:$B$1504,'JOBS'!$G$5:$G$1504,A147,'JOBS'!$O$5:$O$1504,"Scheduled",'JOBS'!$B$5:$B$1504,"&gt;="&amp;AsOf)))</f>
        <v/>
      </c>
      <c r="O147" s="52">
        <f>IF(B147="","",IF(N147&lt;&gt;"",N147,IF(M147="",IF(H147="","",H147),IF(E147="Monthly",EDATE(M147,1),M147+IFERROR(INDEX('PRICING'!$C$28:$C$33,MATCH(E147,'PRICING'!$A$28:$A$33,0)),14)))))</f>
        <v/>
      </c>
      <c r="P147" s="101">
        <f>IF(O147="","",O147-AsOf)</f>
        <v/>
      </c>
      <c r="Q147" s="49">
        <f>IF(B147="","",IF(J147&lt;&gt;"Active","—",IF(N147&lt;&gt;"","Booked",IF(O147="","Set start date",IF(O147&lt;AsOf,"Overdue — book now",IF(O147&lt;=AsOf+7,"Due this week — book","Upcoming"))))))</f>
        <v/>
      </c>
      <c r="R147" s="54">
        <f>IF(B147="","",IF(J147="Active",N(F147)*IFERROR(INDEX('PRICING'!$D$28:$D$33,MATCH(E147,'PRICING'!$A$28:$A$33,0)),0),0))</f>
        <v/>
      </c>
      <c r="S147" s="54">
        <f>IF(B147="","",R147*12)</f>
        <v/>
      </c>
      <c r="T147" s="49">
        <f>IF(B147="","",IF(OR(Q147="Overdue — book now",Q147="Due this week — book"),1,0))</f>
        <v/>
      </c>
      <c r="U147" s="49">
        <f>IF(N(T147)&lt;&gt;1,"",COUNTIFS('RECURRING'!$T$5:$T$154,1,'RECURRING'!$O$5:$O$154,"&lt;"&amp;O147)+COUNTIFS($T$5:T147,1,$O$5:O147,O147))</f>
        <v/>
      </c>
    </row>
    <row r="148">
      <c r="A148" s="46" t="inlineStr">
        <is>
          <t>R-144</t>
        </is>
      </c>
      <c r="B148" s="38" t="n"/>
      <c r="C148" s="38" t="n"/>
      <c r="D148" s="38" t="n"/>
      <c r="E148" s="38" t="n"/>
      <c r="F148" s="48" t="n"/>
      <c r="G148" s="38" t="n"/>
      <c r="H148" s="47" t="n"/>
      <c r="I148" s="38" t="n"/>
      <c r="J148" s="38" t="n"/>
      <c r="K148" s="38" t="n"/>
      <c r="L148" s="53">
        <f>IF(B148="","",COUNTIFS('JOBS'!$G$5:$G$1504,A148,'JOBS'!$O$5:$O$1504,"Completed"))</f>
        <v/>
      </c>
      <c r="M148" s="52">
        <f>IF(B148="","",IF(_xlfn.MAXIFS('JOBS'!$B$5:$B$1504,'JOBS'!$G$5:$G$1504,A148,'JOBS'!$O$5:$O$1504,"Completed")=0,"",_xlfn.MAXIFS('JOBS'!$B$5:$B$1504,'JOBS'!$G$5:$G$1504,A148,'JOBS'!$O$5:$O$1504,"Completed")))</f>
        <v/>
      </c>
      <c r="N148" s="52">
        <f>IF(B148="","",IF(_xlfn.MINIFS('JOBS'!$B$5:$B$1504,'JOBS'!$G$5:$G$1504,A148,'JOBS'!$O$5:$O$1504,"Scheduled",'JOBS'!$B$5:$B$1504,"&gt;="&amp;AsOf)=0,"",_xlfn.MINIFS('JOBS'!$B$5:$B$1504,'JOBS'!$G$5:$G$1504,A148,'JOBS'!$O$5:$O$1504,"Scheduled",'JOBS'!$B$5:$B$1504,"&gt;="&amp;AsOf)))</f>
        <v/>
      </c>
      <c r="O148" s="52">
        <f>IF(B148="","",IF(N148&lt;&gt;"",N148,IF(M148="",IF(H148="","",H148),IF(E148="Monthly",EDATE(M148,1),M148+IFERROR(INDEX('PRICING'!$C$28:$C$33,MATCH(E148,'PRICING'!$A$28:$A$33,0)),14)))))</f>
        <v/>
      </c>
      <c r="P148" s="101">
        <f>IF(O148="","",O148-AsOf)</f>
        <v/>
      </c>
      <c r="Q148" s="49">
        <f>IF(B148="","",IF(J148&lt;&gt;"Active","—",IF(N148&lt;&gt;"","Booked",IF(O148="","Set start date",IF(O148&lt;AsOf,"Overdue — book now",IF(O148&lt;=AsOf+7,"Due this week — book","Upcoming"))))))</f>
        <v/>
      </c>
      <c r="R148" s="54">
        <f>IF(B148="","",IF(J148="Active",N(F148)*IFERROR(INDEX('PRICING'!$D$28:$D$33,MATCH(E148,'PRICING'!$A$28:$A$33,0)),0),0))</f>
        <v/>
      </c>
      <c r="S148" s="54">
        <f>IF(B148="","",R148*12)</f>
        <v/>
      </c>
      <c r="T148" s="49">
        <f>IF(B148="","",IF(OR(Q148="Overdue — book now",Q148="Due this week — book"),1,0))</f>
        <v/>
      </c>
      <c r="U148" s="49">
        <f>IF(N(T148)&lt;&gt;1,"",COUNTIFS('RECURRING'!$T$5:$T$154,1,'RECURRING'!$O$5:$O$154,"&lt;"&amp;O148)+COUNTIFS($T$5:T148,1,$O$5:O148,O148))</f>
        <v/>
      </c>
    </row>
    <row r="149">
      <c r="A149" s="46" t="inlineStr">
        <is>
          <t>R-145</t>
        </is>
      </c>
      <c r="B149" s="38" t="n"/>
      <c r="C149" s="38" t="n"/>
      <c r="D149" s="38" t="n"/>
      <c r="E149" s="38" t="n"/>
      <c r="F149" s="48" t="n"/>
      <c r="G149" s="38" t="n"/>
      <c r="H149" s="47" t="n"/>
      <c r="I149" s="38" t="n"/>
      <c r="J149" s="38" t="n"/>
      <c r="K149" s="38" t="n"/>
      <c r="L149" s="53">
        <f>IF(B149="","",COUNTIFS('JOBS'!$G$5:$G$1504,A149,'JOBS'!$O$5:$O$1504,"Completed"))</f>
        <v/>
      </c>
      <c r="M149" s="52">
        <f>IF(B149="","",IF(_xlfn.MAXIFS('JOBS'!$B$5:$B$1504,'JOBS'!$G$5:$G$1504,A149,'JOBS'!$O$5:$O$1504,"Completed")=0,"",_xlfn.MAXIFS('JOBS'!$B$5:$B$1504,'JOBS'!$G$5:$G$1504,A149,'JOBS'!$O$5:$O$1504,"Completed")))</f>
        <v/>
      </c>
      <c r="N149" s="52">
        <f>IF(B149="","",IF(_xlfn.MINIFS('JOBS'!$B$5:$B$1504,'JOBS'!$G$5:$G$1504,A149,'JOBS'!$O$5:$O$1504,"Scheduled",'JOBS'!$B$5:$B$1504,"&gt;="&amp;AsOf)=0,"",_xlfn.MINIFS('JOBS'!$B$5:$B$1504,'JOBS'!$G$5:$G$1504,A149,'JOBS'!$O$5:$O$1504,"Scheduled",'JOBS'!$B$5:$B$1504,"&gt;="&amp;AsOf)))</f>
        <v/>
      </c>
      <c r="O149" s="52">
        <f>IF(B149="","",IF(N149&lt;&gt;"",N149,IF(M149="",IF(H149="","",H149),IF(E149="Monthly",EDATE(M149,1),M149+IFERROR(INDEX('PRICING'!$C$28:$C$33,MATCH(E149,'PRICING'!$A$28:$A$33,0)),14)))))</f>
        <v/>
      </c>
      <c r="P149" s="101">
        <f>IF(O149="","",O149-AsOf)</f>
        <v/>
      </c>
      <c r="Q149" s="49">
        <f>IF(B149="","",IF(J149&lt;&gt;"Active","—",IF(N149&lt;&gt;"","Booked",IF(O149="","Set start date",IF(O149&lt;AsOf,"Overdue — book now",IF(O149&lt;=AsOf+7,"Due this week — book","Upcoming"))))))</f>
        <v/>
      </c>
      <c r="R149" s="54">
        <f>IF(B149="","",IF(J149="Active",N(F149)*IFERROR(INDEX('PRICING'!$D$28:$D$33,MATCH(E149,'PRICING'!$A$28:$A$33,0)),0),0))</f>
        <v/>
      </c>
      <c r="S149" s="54">
        <f>IF(B149="","",R149*12)</f>
        <v/>
      </c>
      <c r="T149" s="49">
        <f>IF(B149="","",IF(OR(Q149="Overdue — book now",Q149="Due this week — book"),1,0))</f>
        <v/>
      </c>
      <c r="U149" s="49">
        <f>IF(N(T149)&lt;&gt;1,"",COUNTIFS('RECURRING'!$T$5:$T$154,1,'RECURRING'!$O$5:$O$154,"&lt;"&amp;O149)+COUNTIFS($T$5:T149,1,$O$5:O149,O149))</f>
        <v/>
      </c>
    </row>
    <row r="150">
      <c r="A150" s="46" t="inlineStr">
        <is>
          <t>R-146</t>
        </is>
      </c>
      <c r="B150" s="38" t="n"/>
      <c r="C150" s="38" t="n"/>
      <c r="D150" s="38" t="n"/>
      <c r="E150" s="38" t="n"/>
      <c r="F150" s="48" t="n"/>
      <c r="G150" s="38" t="n"/>
      <c r="H150" s="47" t="n"/>
      <c r="I150" s="38" t="n"/>
      <c r="J150" s="38" t="n"/>
      <c r="K150" s="38" t="n"/>
      <c r="L150" s="53">
        <f>IF(B150="","",COUNTIFS('JOBS'!$G$5:$G$1504,A150,'JOBS'!$O$5:$O$1504,"Completed"))</f>
        <v/>
      </c>
      <c r="M150" s="52">
        <f>IF(B150="","",IF(_xlfn.MAXIFS('JOBS'!$B$5:$B$1504,'JOBS'!$G$5:$G$1504,A150,'JOBS'!$O$5:$O$1504,"Completed")=0,"",_xlfn.MAXIFS('JOBS'!$B$5:$B$1504,'JOBS'!$G$5:$G$1504,A150,'JOBS'!$O$5:$O$1504,"Completed")))</f>
        <v/>
      </c>
      <c r="N150" s="52">
        <f>IF(B150="","",IF(_xlfn.MINIFS('JOBS'!$B$5:$B$1504,'JOBS'!$G$5:$G$1504,A150,'JOBS'!$O$5:$O$1504,"Scheduled",'JOBS'!$B$5:$B$1504,"&gt;="&amp;AsOf)=0,"",_xlfn.MINIFS('JOBS'!$B$5:$B$1504,'JOBS'!$G$5:$G$1504,A150,'JOBS'!$O$5:$O$1504,"Scheduled",'JOBS'!$B$5:$B$1504,"&gt;="&amp;AsOf)))</f>
        <v/>
      </c>
      <c r="O150" s="52">
        <f>IF(B150="","",IF(N150&lt;&gt;"",N150,IF(M150="",IF(H150="","",H150),IF(E150="Monthly",EDATE(M150,1),M150+IFERROR(INDEX('PRICING'!$C$28:$C$33,MATCH(E150,'PRICING'!$A$28:$A$33,0)),14)))))</f>
        <v/>
      </c>
      <c r="P150" s="101">
        <f>IF(O150="","",O150-AsOf)</f>
        <v/>
      </c>
      <c r="Q150" s="49">
        <f>IF(B150="","",IF(J150&lt;&gt;"Active","—",IF(N150&lt;&gt;"","Booked",IF(O150="","Set start date",IF(O150&lt;AsOf,"Overdue — book now",IF(O150&lt;=AsOf+7,"Due this week — book","Upcoming"))))))</f>
        <v/>
      </c>
      <c r="R150" s="54">
        <f>IF(B150="","",IF(J150="Active",N(F150)*IFERROR(INDEX('PRICING'!$D$28:$D$33,MATCH(E150,'PRICING'!$A$28:$A$33,0)),0),0))</f>
        <v/>
      </c>
      <c r="S150" s="54">
        <f>IF(B150="","",R150*12)</f>
        <v/>
      </c>
      <c r="T150" s="49">
        <f>IF(B150="","",IF(OR(Q150="Overdue — book now",Q150="Due this week — book"),1,0))</f>
        <v/>
      </c>
      <c r="U150" s="49">
        <f>IF(N(T150)&lt;&gt;1,"",COUNTIFS('RECURRING'!$T$5:$T$154,1,'RECURRING'!$O$5:$O$154,"&lt;"&amp;O150)+COUNTIFS($T$5:T150,1,$O$5:O150,O150))</f>
        <v/>
      </c>
    </row>
    <row r="151">
      <c r="A151" s="46" t="inlineStr">
        <is>
          <t>R-147</t>
        </is>
      </c>
      <c r="B151" s="38" t="n"/>
      <c r="C151" s="38" t="n"/>
      <c r="D151" s="38" t="n"/>
      <c r="E151" s="38" t="n"/>
      <c r="F151" s="48" t="n"/>
      <c r="G151" s="38" t="n"/>
      <c r="H151" s="47" t="n"/>
      <c r="I151" s="38" t="n"/>
      <c r="J151" s="38" t="n"/>
      <c r="K151" s="38" t="n"/>
      <c r="L151" s="53">
        <f>IF(B151="","",COUNTIFS('JOBS'!$G$5:$G$1504,A151,'JOBS'!$O$5:$O$1504,"Completed"))</f>
        <v/>
      </c>
      <c r="M151" s="52">
        <f>IF(B151="","",IF(_xlfn.MAXIFS('JOBS'!$B$5:$B$1504,'JOBS'!$G$5:$G$1504,A151,'JOBS'!$O$5:$O$1504,"Completed")=0,"",_xlfn.MAXIFS('JOBS'!$B$5:$B$1504,'JOBS'!$G$5:$G$1504,A151,'JOBS'!$O$5:$O$1504,"Completed")))</f>
        <v/>
      </c>
      <c r="N151" s="52">
        <f>IF(B151="","",IF(_xlfn.MINIFS('JOBS'!$B$5:$B$1504,'JOBS'!$G$5:$G$1504,A151,'JOBS'!$O$5:$O$1504,"Scheduled",'JOBS'!$B$5:$B$1504,"&gt;="&amp;AsOf)=0,"",_xlfn.MINIFS('JOBS'!$B$5:$B$1504,'JOBS'!$G$5:$G$1504,A151,'JOBS'!$O$5:$O$1504,"Scheduled",'JOBS'!$B$5:$B$1504,"&gt;="&amp;AsOf)))</f>
        <v/>
      </c>
      <c r="O151" s="52">
        <f>IF(B151="","",IF(N151&lt;&gt;"",N151,IF(M151="",IF(H151="","",H151),IF(E151="Monthly",EDATE(M151,1),M151+IFERROR(INDEX('PRICING'!$C$28:$C$33,MATCH(E151,'PRICING'!$A$28:$A$33,0)),14)))))</f>
        <v/>
      </c>
      <c r="P151" s="101">
        <f>IF(O151="","",O151-AsOf)</f>
        <v/>
      </c>
      <c r="Q151" s="49">
        <f>IF(B151="","",IF(J151&lt;&gt;"Active","—",IF(N151&lt;&gt;"","Booked",IF(O151="","Set start date",IF(O151&lt;AsOf,"Overdue — book now",IF(O151&lt;=AsOf+7,"Due this week — book","Upcoming"))))))</f>
        <v/>
      </c>
      <c r="R151" s="54">
        <f>IF(B151="","",IF(J151="Active",N(F151)*IFERROR(INDEX('PRICING'!$D$28:$D$33,MATCH(E151,'PRICING'!$A$28:$A$33,0)),0),0))</f>
        <v/>
      </c>
      <c r="S151" s="54">
        <f>IF(B151="","",R151*12)</f>
        <v/>
      </c>
      <c r="T151" s="49">
        <f>IF(B151="","",IF(OR(Q151="Overdue — book now",Q151="Due this week — book"),1,0))</f>
        <v/>
      </c>
      <c r="U151" s="49">
        <f>IF(N(T151)&lt;&gt;1,"",COUNTIFS('RECURRING'!$T$5:$T$154,1,'RECURRING'!$O$5:$O$154,"&lt;"&amp;O151)+COUNTIFS($T$5:T151,1,$O$5:O151,O151))</f>
        <v/>
      </c>
    </row>
    <row r="152">
      <c r="A152" s="46" t="inlineStr">
        <is>
          <t>R-148</t>
        </is>
      </c>
      <c r="B152" s="38" t="n"/>
      <c r="C152" s="38" t="n"/>
      <c r="D152" s="38" t="n"/>
      <c r="E152" s="38" t="n"/>
      <c r="F152" s="48" t="n"/>
      <c r="G152" s="38" t="n"/>
      <c r="H152" s="47" t="n"/>
      <c r="I152" s="38" t="n"/>
      <c r="J152" s="38" t="n"/>
      <c r="K152" s="38" t="n"/>
      <c r="L152" s="53">
        <f>IF(B152="","",COUNTIFS('JOBS'!$G$5:$G$1504,A152,'JOBS'!$O$5:$O$1504,"Completed"))</f>
        <v/>
      </c>
      <c r="M152" s="52">
        <f>IF(B152="","",IF(_xlfn.MAXIFS('JOBS'!$B$5:$B$1504,'JOBS'!$G$5:$G$1504,A152,'JOBS'!$O$5:$O$1504,"Completed")=0,"",_xlfn.MAXIFS('JOBS'!$B$5:$B$1504,'JOBS'!$G$5:$G$1504,A152,'JOBS'!$O$5:$O$1504,"Completed")))</f>
        <v/>
      </c>
      <c r="N152" s="52">
        <f>IF(B152="","",IF(_xlfn.MINIFS('JOBS'!$B$5:$B$1504,'JOBS'!$G$5:$G$1504,A152,'JOBS'!$O$5:$O$1504,"Scheduled",'JOBS'!$B$5:$B$1504,"&gt;="&amp;AsOf)=0,"",_xlfn.MINIFS('JOBS'!$B$5:$B$1504,'JOBS'!$G$5:$G$1504,A152,'JOBS'!$O$5:$O$1504,"Scheduled",'JOBS'!$B$5:$B$1504,"&gt;="&amp;AsOf)))</f>
        <v/>
      </c>
      <c r="O152" s="52">
        <f>IF(B152="","",IF(N152&lt;&gt;"",N152,IF(M152="",IF(H152="","",H152),IF(E152="Monthly",EDATE(M152,1),M152+IFERROR(INDEX('PRICING'!$C$28:$C$33,MATCH(E152,'PRICING'!$A$28:$A$33,0)),14)))))</f>
        <v/>
      </c>
      <c r="P152" s="101">
        <f>IF(O152="","",O152-AsOf)</f>
        <v/>
      </c>
      <c r="Q152" s="49">
        <f>IF(B152="","",IF(J152&lt;&gt;"Active","—",IF(N152&lt;&gt;"","Booked",IF(O152="","Set start date",IF(O152&lt;AsOf,"Overdue — book now",IF(O152&lt;=AsOf+7,"Due this week — book","Upcoming"))))))</f>
        <v/>
      </c>
      <c r="R152" s="54">
        <f>IF(B152="","",IF(J152="Active",N(F152)*IFERROR(INDEX('PRICING'!$D$28:$D$33,MATCH(E152,'PRICING'!$A$28:$A$33,0)),0),0))</f>
        <v/>
      </c>
      <c r="S152" s="54">
        <f>IF(B152="","",R152*12)</f>
        <v/>
      </c>
      <c r="T152" s="49">
        <f>IF(B152="","",IF(OR(Q152="Overdue — book now",Q152="Due this week — book"),1,0))</f>
        <v/>
      </c>
      <c r="U152" s="49">
        <f>IF(N(T152)&lt;&gt;1,"",COUNTIFS('RECURRING'!$T$5:$T$154,1,'RECURRING'!$O$5:$O$154,"&lt;"&amp;O152)+COUNTIFS($T$5:T152,1,$O$5:O152,O152))</f>
        <v/>
      </c>
    </row>
    <row r="153">
      <c r="A153" s="46" t="inlineStr">
        <is>
          <t>R-149</t>
        </is>
      </c>
      <c r="B153" s="38" t="n"/>
      <c r="C153" s="38" t="n"/>
      <c r="D153" s="38" t="n"/>
      <c r="E153" s="38" t="n"/>
      <c r="F153" s="48" t="n"/>
      <c r="G153" s="38" t="n"/>
      <c r="H153" s="47" t="n"/>
      <c r="I153" s="38" t="n"/>
      <c r="J153" s="38" t="n"/>
      <c r="K153" s="38" t="n"/>
      <c r="L153" s="53">
        <f>IF(B153="","",COUNTIFS('JOBS'!$G$5:$G$1504,A153,'JOBS'!$O$5:$O$1504,"Completed"))</f>
        <v/>
      </c>
      <c r="M153" s="52">
        <f>IF(B153="","",IF(_xlfn.MAXIFS('JOBS'!$B$5:$B$1504,'JOBS'!$G$5:$G$1504,A153,'JOBS'!$O$5:$O$1504,"Completed")=0,"",_xlfn.MAXIFS('JOBS'!$B$5:$B$1504,'JOBS'!$G$5:$G$1504,A153,'JOBS'!$O$5:$O$1504,"Completed")))</f>
        <v/>
      </c>
      <c r="N153" s="52">
        <f>IF(B153="","",IF(_xlfn.MINIFS('JOBS'!$B$5:$B$1504,'JOBS'!$G$5:$G$1504,A153,'JOBS'!$O$5:$O$1504,"Scheduled",'JOBS'!$B$5:$B$1504,"&gt;="&amp;AsOf)=0,"",_xlfn.MINIFS('JOBS'!$B$5:$B$1504,'JOBS'!$G$5:$G$1504,A153,'JOBS'!$O$5:$O$1504,"Scheduled",'JOBS'!$B$5:$B$1504,"&gt;="&amp;AsOf)))</f>
        <v/>
      </c>
      <c r="O153" s="52">
        <f>IF(B153="","",IF(N153&lt;&gt;"",N153,IF(M153="",IF(H153="","",H153),IF(E153="Monthly",EDATE(M153,1),M153+IFERROR(INDEX('PRICING'!$C$28:$C$33,MATCH(E153,'PRICING'!$A$28:$A$33,0)),14)))))</f>
        <v/>
      </c>
      <c r="P153" s="101">
        <f>IF(O153="","",O153-AsOf)</f>
        <v/>
      </c>
      <c r="Q153" s="49">
        <f>IF(B153="","",IF(J153&lt;&gt;"Active","—",IF(N153&lt;&gt;"","Booked",IF(O153="","Set start date",IF(O153&lt;AsOf,"Overdue — book now",IF(O153&lt;=AsOf+7,"Due this week — book","Upcoming"))))))</f>
        <v/>
      </c>
      <c r="R153" s="54">
        <f>IF(B153="","",IF(J153="Active",N(F153)*IFERROR(INDEX('PRICING'!$D$28:$D$33,MATCH(E153,'PRICING'!$A$28:$A$33,0)),0),0))</f>
        <v/>
      </c>
      <c r="S153" s="54">
        <f>IF(B153="","",R153*12)</f>
        <v/>
      </c>
      <c r="T153" s="49">
        <f>IF(B153="","",IF(OR(Q153="Overdue — book now",Q153="Due this week — book"),1,0))</f>
        <v/>
      </c>
      <c r="U153" s="49">
        <f>IF(N(T153)&lt;&gt;1,"",COUNTIFS('RECURRING'!$T$5:$T$154,1,'RECURRING'!$O$5:$O$154,"&lt;"&amp;O153)+COUNTIFS($T$5:T153,1,$O$5:O153,O153))</f>
        <v/>
      </c>
    </row>
    <row r="154">
      <c r="A154" s="46" t="inlineStr">
        <is>
          <t>R-150</t>
        </is>
      </c>
      <c r="B154" s="38" t="n"/>
      <c r="C154" s="38" t="n"/>
      <c r="D154" s="38" t="n"/>
      <c r="E154" s="38" t="n"/>
      <c r="F154" s="48" t="n"/>
      <c r="G154" s="38" t="n"/>
      <c r="H154" s="47" t="n"/>
      <c r="I154" s="38" t="n"/>
      <c r="J154" s="38" t="n"/>
      <c r="K154" s="38" t="n"/>
      <c r="L154" s="53">
        <f>IF(B154="","",COUNTIFS('JOBS'!$G$5:$G$1504,A154,'JOBS'!$O$5:$O$1504,"Completed"))</f>
        <v/>
      </c>
      <c r="M154" s="52">
        <f>IF(B154="","",IF(_xlfn.MAXIFS('JOBS'!$B$5:$B$1504,'JOBS'!$G$5:$G$1504,A154,'JOBS'!$O$5:$O$1504,"Completed")=0,"",_xlfn.MAXIFS('JOBS'!$B$5:$B$1504,'JOBS'!$G$5:$G$1504,A154,'JOBS'!$O$5:$O$1504,"Completed")))</f>
        <v/>
      </c>
      <c r="N154" s="52">
        <f>IF(B154="","",IF(_xlfn.MINIFS('JOBS'!$B$5:$B$1504,'JOBS'!$G$5:$G$1504,A154,'JOBS'!$O$5:$O$1504,"Scheduled",'JOBS'!$B$5:$B$1504,"&gt;="&amp;AsOf)=0,"",_xlfn.MINIFS('JOBS'!$B$5:$B$1504,'JOBS'!$G$5:$G$1504,A154,'JOBS'!$O$5:$O$1504,"Scheduled",'JOBS'!$B$5:$B$1504,"&gt;="&amp;AsOf)))</f>
        <v/>
      </c>
      <c r="O154" s="52">
        <f>IF(B154="","",IF(N154&lt;&gt;"",N154,IF(M154="",IF(H154="","",H154),IF(E154="Monthly",EDATE(M154,1),M154+IFERROR(INDEX('PRICING'!$C$28:$C$33,MATCH(E154,'PRICING'!$A$28:$A$33,0)),14)))))</f>
        <v/>
      </c>
      <c r="P154" s="101">
        <f>IF(O154="","",O154-AsOf)</f>
        <v/>
      </c>
      <c r="Q154" s="49">
        <f>IF(B154="","",IF(J154&lt;&gt;"Active","—",IF(N154&lt;&gt;"","Booked",IF(O154="","Set start date",IF(O154&lt;AsOf,"Overdue — book now",IF(O154&lt;=AsOf+7,"Due this week — book","Upcoming"))))))</f>
        <v/>
      </c>
      <c r="R154" s="54">
        <f>IF(B154="","",IF(J154="Active",N(F154)*IFERROR(INDEX('PRICING'!$D$28:$D$33,MATCH(E154,'PRICING'!$A$28:$A$33,0)),0),0))</f>
        <v/>
      </c>
      <c r="S154" s="54">
        <f>IF(B154="","",R154*12)</f>
        <v/>
      </c>
      <c r="T154" s="49">
        <f>IF(B154="","",IF(OR(Q154="Overdue — book now",Q154="Due this week — book"),1,0))</f>
        <v/>
      </c>
      <c r="U154" s="49">
        <f>IF(N(T154)&lt;&gt;1,"",COUNTIFS('RECURRING'!$T$5:$T$154,1,'RECURRING'!$O$5:$O$154,"&lt;"&amp;O154)+COUNTIFS($T$5:T154,1,$O$5:O154,O154))</f>
        <v/>
      </c>
    </row>
  </sheetData>
  <autoFilter ref="A4:U154"/>
  <mergeCells count="2">
    <mergeCell ref="A1:U1"/>
    <mergeCell ref="A2:U2"/>
  </mergeCells>
  <conditionalFormatting sqref="Q5:Q154">
    <cfRule type="expression" priority="1" dxfId="0">
      <formula>Q5="Overdue — book now"</formula>
    </cfRule>
    <cfRule type="expression" priority="2" dxfId="2">
      <formula>Q5="Due this week — book"</formula>
    </cfRule>
    <cfRule type="expression" priority="3" dxfId="3">
      <formula>Q5="Booked"</formula>
    </cfRule>
  </conditionalFormatting>
  <dataValidations count="6">
    <dataValidation sqref="B5:B154" showDropDown="0" showInputMessage="0" showErrorMessage="0" allowBlank="1" type="list">
      <formula1>='CUSTOMERS'!$B$5:$B$404</formula1>
    </dataValidation>
    <dataValidation sqref="C5:C154" showDropDown="0" showInputMessage="0" showErrorMessage="0" allowBlank="1" type="list">
      <formula1>='PROPERTIES'!$B$5:$B$404</formula1>
    </dataValidation>
    <dataValidation sqref="D5:D154" showDropDown="0" showInputMessage="0" showErrorMessage="0" allowBlank="1" type="list">
      <formula1>='PRICING'!$A$7:$A$16</formula1>
    </dataValidation>
    <dataValidation sqref="E5:E154" showDropDown="0" showInputMessage="0" showErrorMessage="0" allowBlank="1" type="list">
      <formula1>='PRICING'!$A$29:$A$33</formula1>
    </dataValidation>
    <dataValidation sqref="G5:G154" showDropDown="0" showInputMessage="0" showErrorMessage="0" allowBlank="1" type="list">
      <formula1>='STAFF &amp; TASKS'!$A$5:$A$24</formula1>
    </dataValidation>
    <dataValidation sqref="J5:J154" showDropDown="0" showInputMessage="0" showErrorMessage="0" allowBlank="1" type="list">
      <formula1>='SETTINGS'!$R$5:$R$7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0.xml><?xml version="1.0" encoding="utf-8"?>
<worksheet xmlns="http://schemas.openxmlformats.org/spreadsheetml/2006/main">
  <sheetPr>
    <tabColor rgb="002BB3A3"/>
    <outlinePr summaryBelow="1" summaryRight="1"/>
    <pageSetUpPr fitToPage="1"/>
  </sheetPr>
  <dimension ref="A1:H37"/>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16" customWidth="1" min="1" max="1"/>
    <col width="27" customWidth="1" min="2" max="2"/>
    <col width="27" customWidth="1" min="3" max="3"/>
    <col width="27" customWidth="1" min="4" max="4"/>
    <col width="27" customWidth="1" min="5" max="5"/>
    <col width="27" customWidth="1" min="6" max="6"/>
    <col width="27" customWidth="1" min="7" max="7"/>
    <col width="27" customWidth="1" min="8" max="8"/>
  </cols>
  <sheetData>
    <row r="1" ht="34" customHeight="1">
      <c r="A1" s="42" t="inlineStr">
        <is>
          <t>WEEKLY SCHEDULE</t>
        </is>
      </c>
      <c r="B1" s="1" t="n"/>
      <c r="C1" s="1" t="n"/>
      <c r="D1" s="1" t="n"/>
      <c r="E1" s="1" t="n"/>
      <c r="F1" s="1" t="n"/>
      <c r="G1" s="1" t="n"/>
      <c r="H1" s="1" t="n"/>
    </row>
    <row r="2" ht="30" customHeight="1">
      <c r="A2" s="43" t="inlineStr">
        <is>
          <t>Shows every scheduled/completed job from JOBS for the chosen week, sorted by start time. Type any date in the week you want to see (blank = the current week).</t>
        </is>
      </c>
    </row>
    <row r="3" ht="18" customHeight="1">
      <c r="A3" s="24" t="inlineStr">
        <is>
          <t>← Start Here</t>
        </is>
      </c>
      <c r="B3" s="24" t="inlineStr">
        <is>
          <t>Dashboard →</t>
        </is>
      </c>
    </row>
    <row r="4">
      <c r="A4" s="70" t="inlineStr">
        <is>
          <t>Week containing:</t>
        </is>
      </c>
      <c r="B4" s="102" t="n"/>
      <c r="C4" s="7">
        <f>"Week of "&amp;TEXT(B5,"mmm d, yyyy")</f>
        <v/>
      </c>
    </row>
    <row r="5">
      <c r="A5" s="103" t="inlineStr">
        <is>
          <t>Monday</t>
        </is>
      </c>
      <c r="B5" s="104">
        <f>IF(B4="",AsOf,B4)-WEEKDAY(IF(B4="",AsOf,B4),3)</f>
        <v/>
      </c>
    </row>
    <row r="7">
      <c r="A7" s="12" t="inlineStr">
        <is>
          <t>Slot</t>
        </is>
      </c>
      <c r="B7" s="105">
        <f>TEXT($B$5+0,"dddd")</f>
        <v/>
      </c>
      <c r="C7" s="105">
        <f>TEXT($B$5+1,"dddd")</f>
        <v/>
      </c>
      <c r="D7" s="105">
        <f>TEXT($B$5+2,"dddd")</f>
        <v/>
      </c>
      <c r="E7" s="105">
        <f>TEXT($B$5+3,"dddd")</f>
        <v/>
      </c>
      <c r="F7" s="105">
        <f>TEXT($B$5+4,"dddd")</f>
        <v/>
      </c>
      <c r="G7" s="105">
        <f>TEXT($B$5+5,"dddd")</f>
        <v/>
      </c>
      <c r="H7" s="105">
        <f>TEXT($B$5+6,"dddd")</f>
        <v/>
      </c>
    </row>
    <row r="8">
      <c r="A8" s="106" t="inlineStr"/>
      <c r="B8" s="107">
        <f>$B$5+0</f>
        <v/>
      </c>
      <c r="C8" s="107">
        <f>$B$5+1</f>
        <v/>
      </c>
      <c r="D8" s="107">
        <f>$B$5+2</f>
        <v/>
      </c>
      <c r="E8" s="107">
        <f>$B$5+3</f>
        <v/>
      </c>
      <c r="F8" s="107">
        <f>$B$5+4</f>
        <v/>
      </c>
      <c r="G8" s="107">
        <f>$B$5+5</f>
        <v/>
      </c>
      <c r="H8" s="107">
        <f>$B$5+6</f>
        <v/>
      </c>
    </row>
    <row r="9" ht="30" customHeight="1">
      <c r="A9" s="108" t="n">
        <v>1</v>
      </c>
      <c r="B9" s="109">
        <f>IFERROR(TEXT(INDEX('JOBS'!$C$5:$C$1504,MATCH(B$8&amp;"|"&amp;$A9,'JOBS'!$AK$5:$AK$1504,0)),"h:mm AM/PM")&amp;"  "&amp;INDEX('JOBS'!$D$5:$D$1504,MATCH(B$8&amp;"|"&amp;$A9,'JOBS'!$AK$5:$AK$1504,0))&amp;CHAR(10)&amp;INDEX('JOBS'!$F$5:$F$1504,MATCH(B$8&amp;"|"&amp;$A9,'JOBS'!$AK$5:$AK$1504,0))&amp;" · "&amp;INDEX('JOBS'!$H$5:$H$1504,MATCH(B$8&amp;"|"&amp;$A9,'JOBS'!$AK$5:$AK$1504,0))&amp;" · "&amp;INDEX('JOBS'!$A$5:$A$1504,MATCH(B$8&amp;"|"&amp;$A9,'JOBS'!$AK$5:$AK$1504,0)),"")</f>
        <v/>
      </c>
      <c r="C9" s="109">
        <f>IFERROR(TEXT(INDEX('JOBS'!$C$5:$C$1504,MATCH(C$8&amp;"|"&amp;$A9,'JOBS'!$AK$5:$AK$1504,0)),"h:mm AM/PM")&amp;"  "&amp;INDEX('JOBS'!$D$5:$D$1504,MATCH(C$8&amp;"|"&amp;$A9,'JOBS'!$AK$5:$AK$1504,0))&amp;CHAR(10)&amp;INDEX('JOBS'!$F$5:$F$1504,MATCH(C$8&amp;"|"&amp;$A9,'JOBS'!$AK$5:$AK$1504,0))&amp;" · "&amp;INDEX('JOBS'!$H$5:$H$1504,MATCH(C$8&amp;"|"&amp;$A9,'JOBS'!$AK$5:$AK$1504,0))&amp;" · "&amp;INDEX('JOBS'!$A$5:$A$1504,MATCH(C$8&amp;"|"&amp;$A9,'JOBS'!$AK$5:$AK$1504,0)),"")</f>
        <v/>
      </c>
      <c r="D9" s="109">
        <f>IFERROR(TEXT(INDEX('JOBS'!$C$5:$C$1504,MATCH(D$8&amp;"|"&amp;$A9,'JOBS'!$AK$5:$AK$1504,0)),"h:mm AM/PM")&amp;"  "&amp;INDEX('JOBS'!$D$5:$D$1504,MATCH(D$8&amp;"|"&amp;$A9,'JOBS'!$AK$5:$AK$1504,0))&amp;CHAR(10)&amp;INDEX('JOBS'!$F$5:$F$1504,MATCH(D$8&amp;"|"&amp;$A9,'JOBS'!$AK$5:$AK$1504,0))&amp;" · "&amp;INDEX('JOBS'!$H$5:$H$1504,MATCH(D$8&amp;"|"&amp;$A9,'JOBS'!$AK$5:$AK$1504,0))&amp;" · "&amp;INDEX('JOBS'!$A$5:$A$1504,MATCH(D$8&amp;"|"&amp;$A9,'JOBS'!$AK$5:$AK$1504,0)),"")</f>
        <v/>
      </c>
      <c r="E9" s="109">
        <f>IFERROR(TEXT(INDEX('JOBS'!$C$5:$C$1504,MATCH(E$8&amp;"|"&amp;$A9,'JOBS'!$AK$5:$AK$1504,0)),"h:mm AM/PM")&amp;"  "&amp;INDEX('JOBS'!$D$5:$D$1504,MATCH(E$8&amp;"|"&amp;$A9,'JOBS'!$AK$5:$AK$1504,0))&amp;CHAR(10)&amp;INDEX('JOBS'!$F$5:$F$1504,MATCH(E$8&amp;"|"&amp;$A9,'JOBS'!$AK$5:$AK$1504,0))&amp;" · "&amp;INDEX('JOBS'!$H$5:$H$1504,MATCH(E$8&amp;"|"&amp;$A9,'JOBS'!$AK$5:$AK$1504,0))&amp;" · "&amp;INDEX('JOBS'!$A$5:$A$1504,MATCH(E$8&amp;"|"&amp;$A9,'JOBS'!$AK$5:$AK$1504,0)),"")</f>
        <v/>
      </c>
      <c r="F9" s="109">
        <f>IFERROR(TEXT(INDEX('JOBS'!$C$5:$C$1504,MATCH(F$8&amp;"|"&amp;$A9,'JOBS'!$AK$5:$AK$1504,0)),"h:mm AM/PM")&amp;"  "&amp;INDEX('JOBS'!$D$5:$D$1504,MATCH(F$8&amp;"|"&amp;$A9,'JOBS'!$AK$5:$AK$1504,0))&amp;CHAR(10)&amp;INDEX('JOBS'!$F$5:$F$1504,MATCH(F$8&amp;"|"&amp;$A9,'JOBS'!$AK$5:$AK$1504,0))&amp;" · "&amp;INDEX('JOBS'!$H$5:$H$1504,MATCH(F$8&amp;"|"&amp;$A9,'JOBS'!$AK$5:$AK$1504,0))&amp;" · "&amp;INDEX('JOBS'!$A$5:$A$1504,MATCH(F$8&amp;"|"&amp;$A9,'JOBS'!$AK$5:$AK$1504,0)),"")</f>
        <v/>
      </c>
      <c r="G9" s="109">
        <f>IFERROR(TEXT(INDEX('JOBS'!$C$5:$C$1504,MATCH(G$8&amp;"|"&amp;$A9,'JOBS'!$AK$5:$AK$1504,0)),"h:mm AM/PM")&amp;"  "&amp;INDEX('JOBS'!$D$5:$D$1504,MATCH(G$8&amp;"|"&amp;$A9,'JOBS'!$AK$5:$AK$1504,0))&amp;CHAR(10)&amp;INDEX('JOBS'!$F$5:$F$1504,MATCH(G$8&amp;"|"&amp;$A9,'JOBS'!$AK$5:$AK$1504,0))&amp;" · "&amp;INDEX('JOBS'!$H$5:$H$1504,MATCH(G$8&amp;"|"&amp;$A9,'JOBS'!$AK$5:$AK$1504,0))&amp;" · "&amp;INDEX('JOBS'!$A$5:$A$1504,MATCH(G$8&amp;"|"&amp;$A9,'JOBS'!$AK$5:$AK$1504,0)),"")</f>
        <v/>
      </c>
      <c r="H9" s="109">
        <f>IFERROR(TEXT(INDEX('JOBS'!$C$5:$C$1504,MATCH(H$8&amp;"|"&amp;$A9,'JOBS'!$AK$5:$AK$1504,0)),"h:mm AM/PM")&amp;"  "&amp;INDEX('JOBS'!$D$5:$D$1504,MATCH(H$8&amp;"|"&amp;$A9,'JOBS'!$AK$5:$AK$1504,0))&amp;CHAR(10)&amp;INDEX('JOBS'!$F$5:$F$1504,MATCH(H$8&amp;"|"&amp;$A9,'JOBS'!$AK$5:$AK$1504,0))&amp;" · "&amp;INDEX('JOBS'!$H$5:$H$1504,MATCH(H$8&amp;"|"&amp;$A9,'JOBS'!$AK$5:$AK$1504,0))&amp;" · "&amp;INDEX('JOBS'!$A$5:$A$1504,MATCH(H$8&amp;"|"&amp;$A9,'JOBS'!$AK$5:$AK$1504,0)),"")</f>
        <v/>
      </c>
    </row>
    <row r="10" ht="30" customHeight="1">
      <c r="A10" s="108" t="n">
        <v>2</v>
      </c>
      <c r="B10" s="109">
        <f>IFERROR(TEXT(INDEX('JOBS'!$C$5:$C$1504,MATCH(B$8&amp;"|"&amp;$A10,'JOBS'!$AK$5:$AK$1504,0)),"h:mm AM/PM")&amp;"  "&amp;INDEX('JOBS'!$D$5:$D$1504,MATCH(B$8&amp;"|"&amp;$A10,'JOBS'!$AK$5:$AK$1504,0))&amp;CHAR(10)&amp;INDEX('JOBS'!$F$5:$F$1504,MATCH(B$8&amp;"|"&amp;$A10,'JOBS'!$AK$5:$AK$1504,0))&amp;" · "&amp;INDEX('JOBS'!$H$5:$H$1504,MATCH(B$8&amp;"|"&amp;$A10,'JOBS'!$AK$5:$AK$1504,0))&amp;" · "&amp;INDEX('JOBS'!$A$5:$A$1504,MATCH(B$8&amp;"|"&amp;$A10,'JOBS'!$AK$5:$AK$1504,0)),"")</f>
        <v/>
      </c>
      <c r="C10" s="109">
        <f>IFERROR(TEXT(INDEX('JOBS'!$C$5:$C$1504,MATCH(C$8&amp;"|"&amp;$A10,'JOBS'!$AK$5:$AK$1504,0)),"h:mm AM/PM")&amp;"  "&amp;INDEX('JOBS'!$D$5:$D$1504,MATCH(C$8&amp;"|"&amp;$A10,'JOBS'!$AK$5:$AK$1504,0))&amp;CHAR(10)&amp;INDEX('JOBS'!$F$5:$F$1504,MATCH(C$8&amp;"|"&amp;$A10,'JOBS'!$AK$5:$AK$1504,0))&amp;" · "&amp;INDEX('JOBS'!$H$5:$H$1504,MATCH(C$8&amp;"|"&amp;$A10,'JOBS'!$AK$5:$AK$1504,0))&amp;" · "&amp;INDEX('JOBS'!$A$5:$A$1504,MATCH(C$8&amp;"|"&amp;$A10,'JOBS'!$AK$5:$AK$1504,0)),"")</f>
        <v/>
      </c>
      <c r="D10" s="109">
        <f>IFERROR(TEXT(INDEX('JOBS'!$C$5:$C$1504,MATCH(D$8&amp;"|"&amp;$A10,'JOBS'!$AK$5:$AK$1504,0)),"h:mm AM/PM")&amp;"  "&amp;INDEX('JOBS'!$D$5:$D$1504,MATCH(D$8&amp;"|"&amp;$A10,'JOBS'!$AK$5:$AK$1504,0))&amp;CHAR(10)&amp;INDEX('JOBS'!$F$5:$F$1504,MATCH(D$8&amp;"|"&amp;$A10,'JOBS'!$AK$5:$AK$1504,0))&amp;" · "&amp;INDEX('JOBS'!$H$5:$H$1504,MATCH(D$8&amp;"|"&amp;$A10,'JOBS'!$AK$5:$AK$1504,0))&amp;" · "&amp;INDEX('JOBS'!$A$5:$A$1504,MATCH(D$8&amp;"|"&amp;$A10,'JOBS'!$AK$5:$AK$1504,0)),"")</f>
        <v/>
      </c>
      <c r="E10" s="109">
        <f>IFERROR(TEXT(INDEX('JOBS'!$C$5:$C$1504,MATCH(E$8&amp;"|"&amp;$A10,'JOBS'!$AK$5:$AK$1504,0)),"h:mm AM/PM")&amp;"  "&amp;INDEX('JOBS'!$D$5:$D$1504,MATCH(E$8&amp;"|"&amp;$A10,'JOBS'!$AK$5:$AK$1504,0))&amp;CHAR(10)&amp;INDEX('JOBS'!$F$5:$F$1504,MATCH(E$8&amp;"|"&amp;$A10,'JOBS'!$AK$5:$AK$1504,0))&amp;" · "&amp;INDEX('JOBS'!$H$5:$H$1504,MATCH(E$8&amp;"|"&amp;$A10,'JOBS'!$AK$5:$AK$1504,0))&amp;" · "&amp;INDEX('JOBS'!$A$5:$A$1504,MATCH(E$8&amp;"|"&amp;$A10,'JOBS'!$AK$5:$AK$1504,0)),"")</f>
        <v/>
      </c>
      <c r="F10" s="109">
        <f>IFERROR(TEXT(INDEX('JOBS'!$C$5:$C$1504,MATCH(F$8&amp;"|"&amp;$A10,'JOBS'!$AK$5:$AK$1504,0)),"h:mm AM/PM")&amp;"  "&amp;INDEX('JOBS'!$D$5:$D$1504,MATCH(F$8&amp;"|"&amp;$A10,'JOBS'!$AK$5:$AK$1504,0))&amp;CHAR(10)&amp;INDEX('JOBS'!$F$5:$F$1504,MATCH(F$8&amp;"|"&amp;$A10,'JOBS'!$AK$5:$AK$1504,0))&amp;" · "&amp;INDEX('JOBS'!$H$5:$H$1504,MATCH(F$8&amp;"|"&amp;$A10,'JOBS'!$AK$5:$AK$1504,0))&amp;" · "&amp;INDEX('JOBS'!$A$5:$A$1504,MATCH(F$8&amp;"|"&amp;$A10,'JOBS'!$AK$5:$AK$1504,0)),"")</f>
        <v/>
      </c>
      <c r="G10" s="109">
        <f>IFERROR(TEXT(INDEX('JOBS'!$C$5:$C$1504,MATCH(G$8&amp;"|"&amp;$A10,'JOBS'!$AK$5:$AK$1504,0)),"h:mm AM/PM")&amp;"  "&amp;INDEX('JOBS'!$D$5:$D$1504,MATCH(G$8&amp;"|"&amp;$A10,'JOBS'!$AK$5:$AK$1504,0))&amp;CHAR(10)&amp;INDEX('JOBS'!$F$5:$F$1504,MATCH(G$8&amp;"|"&amp;$A10,'JOBS'!$AK$5:$AK$1504,0))&amp;" · "&amp;INDEX('JOBS'!$H$5:$H$1504,MATCH(G$8&amp;"|"&amp;$A10,'JOBS'!$AK$5:$AK$1504,0))&amp;" · "&amp;INDEX('JOBS'!$A$5:$A$1504,MATCH(G$8&amp;"|"&amp;$A10,'JOBS'!$AK$5:$AK$1504,0)),"")</f>
        <v/>
      </c>
      <c r="H10" s="109">
        <f>IFERROR(TEXT(INDEX('JOBS'!$C$5:$C$1504,MATCH(H$8&amp;"|"&amp;$A10,'JOBS'!$AK$5:$AK$1504,0)),"h:mm AM/PM")&amp;"  "&amp;INDEX('JOBS'!$D$5:$D$1504,MATCH(H$8&amp;"|"&amp;$A10,'JOBS'!$AK$5:$AK$1504,0))&amp;CHAR(10)&amp;INDEX('JOBS'!$F$5:$F$1504,MATCH(H$8&amp;"|"&amp;$A10,'JOBS'!$AK$5:$AK$1504,0))&amp;" · "&amp;INDEX('JOBS'!$H$5:$H$1504,MATCH(H$8&amp;"|"&amp;$A10,'JOBS'!$AK$5:$AK$1504,0))&amp;" · "&amp;INDEX('JOBS'!$A$5:$A$1504,MATCH(H$8&amp;"|"&amp;$A10,'JOBS'!$AK$5:$AK$1504,0)),"")</f>
        <v/>
      </c>
    </row>
    <row r="11" ht="30" customHeight="1">
      <c r="A11" s="108" t="n">
        <v>3</v>
      </c>
      <c r="B11" s="109">
        <f>IFERROR(TEXT(INDEX('JOBS'!$C$5:$C$1504,MATCH(B$8&amp;"|"&amp;$A11,'JOBS'!$AK$5:$AK$1504,0)),"h:mm AM/PM")&amp;"  "&amp;INDEX('JOBS'!$D$5:$D$1504,MATCH(B$8&amp;"|"&amp;$A11,'JOBS'!$AK$5:$AK$1504,0))&amp;CHAR(10)&amp;INDEX('JOBS'!$F$5:$F$1504,MATCH(B$8&amp;"|"&amp;$A11,'JOBS'!$AK$5:$AK$1504,0))&amp;" · "&amp;INDEX('JOBS'!$H$5:$H$1504,MATCH(B$8&amp;"|"&amp;$A11,'JOBS'!$AK$5:$AK$1504,0))&amp;" · "&amp;INDEX('JOBS'!$A$5:$A$1504,MATCH(B$8&amp;"|"&amp;$A11,'JOBS'!$AK$5:$AK$1504,0)),"")</f>
        <v/>
      </c>
      <c r="C11" s="109">
        <f>IFERROR(TEXT(INDEX('JOBS'!$C$5:$C$1504,MATCH(C$8&amp;"|"&amp;$A11,'JOBS'!$AK$5:$AK$1504,0)),"h:mm AM/PM")&amp;"  "&amp;INDEX('JOBS'!$D$5:$D$1504,MATCH(C$8&amp;"|"&amp;$A11,'JOBS'!$AK$5:$AK$1504,0))&amp;CHAR(10)&amp;INDEX('JOBS'!$F$5:$F$1504,MATCH(C$8&amp;"|"&amp;$A11,'JOBS'!$AK$5:$AK$1504,0))&amp;" · "&amp;INDEX('JOBS'!$H$5:$H$1504,MATCH(C$8&amp;"|"&amp;$A11,'JOBS'!$AK$5:$AK$1504,0))&amp;" · "&amp;INDEX('JOBS'!$A$5:$A$1504,MATCH(C$8&amp;"|"&amp;$A11,'JOBS'!$AK$5:$AK$1504,0)),"")</f>
        <v/>
      </c>
      <c r="D11" s="109">
        <f>IFERROR(TEXT(INDEX('JOBS'!$C$5:$C$1504,MATCH(D$8&amp;"|"&amp;$A11,'JOBS'!$AK$5:$AK$1504,0)),"h:mm AM/PM")&amp;"  "&amp;INDEX('JOBS'!$D$5:$D$1504,MATCH(D$8&amp;"|"&amp;$A11,'JOBS'!$AK$5:$AK$1504,0))&amp;CHAR(10)&amp;INDEX('JOBS'!$F$5:$F$1504,MATCH(D$8&amp;"|"&amp;$A11,'JOBS'!$AK$5:$AK$1504,0))&amp;" · "&amp;INDEX('JOBS'!$H$5:$H$1504,MATCH(D$8&amp;"|"&amp;$A11,'JOBS'!$AK$5:$AK$1504,0))&amp;" · "&amp;INDEX('JOBS'!$A$5:$A$1504,MATCH(D$8&amp;"|"&amp;$A11,'JOBS'!$AK$5:$AK$1504,0)),"")</f>
        <v/>
      </c>
      <c r="E11" s="109">
        <f>IFERROR(TEXT(INDEX('JOBS'!$C$5:$C$1504,MATCH(E$8&amp;"|"&amp;$A11,'JOBS'!$AK$5:$AK$1504,0)),"h:mm AM/PM")&amp;"  "&amp;INDEX('JOBS'!$D$5:$D$1504,MATCH(E$8&amp;"|"&amp;$A11,'JOBS'!$AK$5:$AK$1504,0))&amp;CHAR(10)&amp;INDEX('JOBS'!$F$5:$F$1504,MATCH(E$8&amp;"|"&amp;$A11,'JOBS'!$AK$5:$AK$1504,0))&amp;" · "&amp;INDEX('JOBS'!$H$5:$H$1504,MATCH(E$8&amp;"|"&amp;$A11,'JOBS'!$AK$5:$AK$1504,0))&amp;" · "&amp;INDEX('JOBS'!$A$5:$A$1504,MATCH(E$8&amp;"|"&amp;$A11,'JOBS'!$AK$5:$AK$1504,0)),"")</f>
        <v/>
      </c>
      <c r="F11" s="109">
        <f>IFERROR(TEXT(INDEX('JOBS'!$C$5:$C$1504,MATCH(F$8&amp;"|"&amp;$A11,'JOBS'!$AK$5:$AK$1504,0)),"h:mm AM/PM")&amp;"  "&amp;INDEX('JOBS'!$D$5:$D$1504,MATCH(F$8&amp;"|"&amp;$A11,'JOBS'!$AK$5:$AK$1504,0))&amp;CHAR(10)&amp;INDEX('JOBS'!$F$5:$F$1504,MATCH(F$8&amp;"|"&amp;$A11,'JOBS'!$AK$5:$AK$1504,0))&amp;" · "&amp;INDEX('JOBS'!$H$5:$H$1504,MATCH(F$8&amp;"|"&amp;$A11,'JOBS'!$AK$5:$AK$1504,0))&amp;" · "&amp;INDEX('JOBS'!$A$5:$A$1504,MATCH(F$8&amp;"|"&amp;$A11,'JOBS'!$AK$5:$AK$1504,0)),"")</f>
        <v/>
      </c>
      <c r="G11" s="109">
        <f>IFERROR(TEXT(INDEX('JOBS'!$C$5:$C$1504,MATCH(G$8&amp;"|"&amp;$A11,'JOBS'!$AK$5:$AK$1504,0)),"h:mm AM/PM")&amp;"  "&amp;INDEX('JOBS'!$D$5:$D$1504,MATCH(G$8&amp;"|"&amp;$A11,'JOBS'!$AK$5:$AK$1504,0))&amp;CHAR(10)&amp;INDEX('JOBS'!$F$5:$F$1504,MATCH(G$8&amp;"|"&amp;$A11,'JOBS'!$AK$5:$AK$1504,0))&amp;" · "&amp;INDEX('JOBS'!$H$5:$H$1504,MATCH(G$8&amp;"|"&amp;$A11,'JOBS'!$AK$5:$AK$1504,0))&amp;" · "&amp;INDEX('JOBS'!$A$5:$A$1504,MATCH(G$8&amp;"|"&amp;$A11,'JOBS'!$AK$5:$AK$1504,0)),"")</f>
        <v/>
      </c>
      <c r="H11" s="109">
        <f>IFERROR(TEXT(INDEX('JOBS'!$C$5:$C$1504,MATCH(H$8&amp;"|"&amp;$A11,'JOBS'!$AK$5:$AK$1504,0)),"h:mm AM/PM")&amp;"  "&amp;INDEX('JOBS'!$D$5:$D$1504,MATCH(H$8&amp;"|"&amp;$A11,'JOBS'!$AK$5:$AK$1504,0))&amp;CHAR(10)&amp;INDEX('JOBS'!$F$5:$F$1504,MATCH(H$8&amp;"|"&amp;$A11,'JOBS'!$AK$5:$AK$1504,0))&amp;" · "&amp;INDEX('JOBS'!$H$5:$H$1504,MATCH(H$8&amp;"|"&amp;$A11,'JOBS'!$AK$5:$AK$1504,0))&amp;" · "&amp;INDEX('JOBS'!$A$5:$A$1504,MATCH(H$8&amp;"|"&amp;$A11,'JOBS'!$AK$5:$AK$1504,0)),"")</f>
        <v/>
      </c>
    </row>
    <row r="12" ht="30" customHeight="1">
      <c r="A12" s="108" t="n">
        <v>4</v>
      </c>
      <c r="B12" s="109">
        <f>IFERROR(TEXT(INDEX('JOBS'!$C$5:$C$1504,MATCH(B$8&amp;"|"&amp;$A12,'JOBS'!$AK$5:$AK$1504,0)),"h:mm AM/PM")&amp;"  "&amp;INDEX('JOBS'!$D$5:$D$1504,MATCH(B$8&amp;"|"&amp;$A12,'JOBS'!$AK$5:$AK$1504,0))&amp;CHAR(10)&amp;INDEX('JOBS'!$F$5:$F$1504,MATCH(B$8&amp;"|"&amp;$A12,'JOBS'!$AK$5:$AK$1504,0))&amp;" · "&amp;INDEX('JOBS'!$H$5:$H$1504,MATCH(B$8&amp;"|"&amp;$A12,'JOBS'!$AK$5:$AK$1504,0))&amp;" · "&amp;INDEX('JOBS'!$A$5:$A$1504,MATCH(B$8&amp;"|"&amp;$A12,'JOBS'!$AK$5:$AK$1504,0)),"")</f>
        <v/>
      </c>
      <c r="C12" s="109">
        <f>IFERROR(TEXT(INDEX('JOBS'!$C$5:$C$1504,MATCH(C$8&amp;"|"&amp;$A12,'JOBS'!$AK$5:$AK$1504,0)),"h:mm AM/PM")&amp;"  "&amp;INDEX('JOBS'!$D$5:$D$1504,MATCH(C$8&amp;"|"&amp;$A12,'JOBS'!$AK$5:$AK$1504,0))&amp;CHAR(10)&amp;INDEX('JOBS'!$F$5:$F$1504,MATCH(C$8&amp;"|"&amp;$A12,'JOBS'!$AK$5:$AK$1504,0))&amp;" · "&amp;INDEX('JOBS'!$H$5:$H$1504,MATCH(C$8&amp;"|"&amp;$A12,'JOBS'!$AK$5:$AK$1504,0))&amp;" · "&amp;INDEX('JOBS'!$A$5:$A$1504,MATCH(C$8&amp;"|"&amp;$A12,'JOBS'!$AK$5:$AK$1504,0)),"")</f>
        <v/>
      </c>
      <c r="D12" s="109">
        <f>IFERROR(TEXT(INDEX('JOBS'!$C$5:$C$1504,MATCH(D$8&amp;"|"&amp;$A12,'JOBS'!$AK$5:$AK$1504,0)),"h:mm AM/PM")&amp;"  "&amp;INDEX('JOBS'!$D$5:$D$1504,MATCH(D$8&amp;"|"&amp;$A12,'JOBS'!$AK$5:$AK$1504,0))&amp;CHAR(10)&amp;INDEX('JOBS'!$F$5:$F$1504,MATCH(D$8&amp;"|"&amp;$A12,'JOBS'!$AK$5:$AK$1504,0))&amp;" · "&amp;INDEX('JOBS'!$H$5:$H$1504,MATCH(D$8&amp;"|"&amp;$A12,'JOBS'!$AK$5:$AK$1504,0))&amp;" · "&amp;INDEX('JOBS'!$A$5:$A$1504,MATCH(D$8&amp;"|"&amp;$A12,'JOBS'!$AK$5:$AK$1504,0)),"")</f>
        <v/>
      </c>
      <c r="E12" s="109">
        <f>IFERROR(TEXT(INDEX('JOBS'!$C$5:$C$1504,MATCH(E$8&amp;"|"&amp;$A12,'JOBS'!$AK$5:$AK$1504,0)),"h:mm AM/PM")&amp;"  "&amp;INDEX('JOBS'!$D$5:$D$1504,MATCH(E$8&amp;"|"&amp;$A12,'JOBS'!$AK$5:$AK$1504,0))&amp;CHAR(10)&amp;INDEX('JOBS'!$F$5:$F$1504,MATCH(E$8&amp;"|"&amp;$A12,'JOBS'!$AK$5:$AK$1504,0))&amp;" · "&amp;INDEX('JOBS'!$H$5:$H$1504,MATCH(E$8&amp;"|"&amp;$A12,'JOBS'!$AK$5:$AK$1504,0))&amp;" · "&amp;INDEX('JOBS'!$A$5:$A$1504,MATCH(E$8&amp;"|"&amp;$A12,'JOBS'!$AK$5:$AK$1504,0)),"")</f>
        <v/>
      </c>
      <c r="F12" s="109">
        <f>IFERROR(TEXT(INDEX('JOBS'!$C$5:$C$1504,MATCH(F$8&amp;"|"&amp;$A12,'JOBS'!$AK$5:$AK$1504,0)),"h:mm AM/PM")&amp;"  "&amp;INDEX('JOBS'!$D$5:$D$1504,MATCH(F$8&amp;"|"&amp;$A12,'JOBS'!$AK$5:$AK$1504,0))&amp;CHAR(10)&amp;INDEX('JOBS'!$F$5:$F$1504,MATCH(F$8&amp;"|"&amp;$A12,'JOBS'!$AK$5:$AK$1504,0))&amp;" · "&amp;INDEX('JOBS'!$H$5:$H$1504,MATCH(F$8&amp;"|"&amp;$A12,'JOBS'!$AK$5:$AK$1504,0))&amp;" · "&amp;INDEX('JOBS'!$A$5:$A$1504,MATCH(F$8&amp;"|"&amp;$A12,'JOBS'!$AK$5:$AK$1504,0)),"")</f>
        <v/>
      </c>
      <c r="G12" s="109">
        <f>IFERROR(TEXT(INDEX('JOBS'!$C$5:$C$1504,MATCH(G$8&amp;"|"&amp;$A12,'JOBS'!$AK$5:$AK$1504,0)),"h:mm AM/PM")&amp;"  "&amp;INDEX('JOBS'!$D$5:$D$1504,MATCH(G$8&amp;"|"&amp;$A12,'JOBS'!$AK$5:$AK$1504,0))&amp;CHAR(10)&amp;INDEX('JOBS'!$F$5:$F$1504,MATCH(G$8&amp;"|"&amp;$A12,'JOBS'!$AK$5:$AK$1504,0))&amp;" · "&amp;INDEX('JOBS'!$H$5:$H$1504,MATCH(G$8&amp;"|"&amp;$A12,'JOBS'!$AK$5:$AK$1504,0))&amp;" · "&amp;INDEX('JOBS'!$A$5:$A$1504,MATCH(G$8&amp;"|"&amp;$A12,'JOBS'!$AK$5:$AK$1504,0)),"")</f>
        <v/>
      </c>
      <c r="H12" s="109">
        <f>IFERROR(TEXT(INDEX('JOBS'!$C$5:$C$1504,MATCH(H$8&amp;"|"&amp;$A12,'JOBS'!$AK$5:$AK$1504,0)),"h:mm AM/PM")&amp;"  "&amp;INDEX('JOBS'!$D$5:$D$1504,MATCH(H$8&amp;"|"&amp;$A12,'JOBS'!$AK$5:$AK$1504,0))&amp;CHAR(10)&amp;INDEX('JOBS'!$F$5:$F$1504,MATCH(H$8&amp;"|"&amp;$A12,'JOBS'!$AK$5:$AK$1504,0))&amp;" · "&amp;INDEX('JOBS'!$H$5:$H$1504,MATCH(H$8&amp;"|"&amp;$A12,'JOBS'!$AK$5:$AK$1504,0))&amp;" · "&amp;INDEX('JOBS'!$A$5:$A$1504,MATCH(H$8&amp;"|"&amp;$A12,'JOBS'!$AK$5:$AK$1504,0)),"")</f>
        <v/>
      </c>
    </row>
    <row r="13" ht="30" customHeight="1">
      <c r="A13" s="108" t="n">
        <v>5</v>
      </c>
      <c r="B13" s="109">
        <f>IFERROR(TEXT(INDEX('JOBS'!$C$5:$C$1504,MATCH(B$8&amp;"|"&amp;$A13,'JOBS'!$AK$5:$AK$1504,0)),"h:mm AM/PM")&amp;"  "&amp;INDEX('JOBS'!$D$5:$D$1504,MATCH(B$8&amp;"|"&amp;$A13,'JOBS'!$AK$5:$AK$1504,0))&amp;CHAR(10)&amp;INDEX('JOBS'!$F$5:$F$1504,MATCH(B$8&amp;"|"&amp;$A13,'JOBS'!$AK$5:$AK$1504,0))&amp;" · "&amp;INDEX('JOBS'!$H$5:$H$1504,MATCH(B$8&amp;"|"&amp;$A13,'JOBS'!$AK$5:$AK$1504,0))&amp;" · "&amp;INDEX('JOBS'!$A$5:$A$1504,MATCH(B$8&amp;"|"&amp;$A13,'JOBS'!$AK$5:$AK$1504,0)),"")</f>
        <v/>
      </c>
      <c r="C13" s="109">
        <f>IFERROR(TEXT(INDEX('JOBS'!$C$5:$C$1504,MATCH(C$8&amp;"|"&amp;$A13,'JOBS'!$AK$5:$AK$1504,0)),"h:mm AM/PM")&amp;"  "&amp;INDEX('JOBS'!$D$5:$D$1504,MATCH(C$8&amp;"|"&amp;$A13,'JOBS'!$AK$5:$AK$1504,0))&amp;CHAR(10)&amp;INDEX('JOBS'!$F$5:$F$1504,MATCH(C$8&amp;"|"&amp;$A13,'JOBS'!$AK$5:$AK$1504,0))&amp;" · "&amp;INDEX('JOBS'!$H$5:$H$1504,MATCH(C$8&amp;"|"&amp;$A13,'JOBS'!$AK$5:$AK$1504,0))&amp;" · "&amp;INDEX('JOBS'!$A$5:$A$1504,MATCH(C$8&amp;"|"&amp;$A13,'JOBS'!$AK$5:$AK$1504,0)),"")</f>
        <v/>
      </c>
      <c r="D13" s="109">
        <f>IFERROR(TEXT(INDEX('JOBS'!$C$5:$C$1504,MATCH(D$8&amp;"|"&amp;$A13,'JOBS'!$AK$5:$AK$1504,0)),"h:mm AM/PM")&amp;"  "&amp;INDEX('JOBS'!$D$5:$D$1504,MATCH(D$8&amp;"|"&amp;$A13,'JOBS'!$AK$5:$AK$1504,0))&amp;CHAR(10)&amp;INDEX('JOBS'!$F$5:$F$1504,MATCH(D$8&amp;"|"&amp;$A13,'JOBS'!$AK$5:$AK$1504,0))&amp;" · "&amp;INDEX('JOBS'!$H$5:$H$1504,MATCH(D$8&amp;"|"&amp;$A13,'JOBS'!$AK$5:$AK$1504,0))&amp;" · "&amp;INDEX('JOBS'!$A$5:$A$1504,MATCH(D$8&amp;"|"&amp;$A13,'JOBS'!$AK$5:$AK$1504,0)),"")</f>
        <v/>
      </c>
      <c r="E13" s="109">
        <f>IFERROR(TEXT(INDEX('JOBS'!$C$5:$C$1504,MATCH(E$8&amp;"|"&amp;$A13,'JOBS'!$AK$5:$AK$1504,0)),"h:mm AM/PM")&amp;"  "&amp;INDEX('JOBS'!$D$5:$D$1504,MATCH(E$8&amp;"|"&amp;$A13,'JOBS'!$AK$5:$AK$1504,0))&amp;CHAR(10)&amp;INDEX('JOBS'!$F$5:$F$1504,MATCH(E$8&amp;"|"&amp;$A13,'JOBS'!$AK$5:$AK$1504,0))&amp;" · "&amp;INDEX('JOBS'!$H$5:$H$1504,MATCH(E$8&amp;"|"&amp;$A13,'JOBS'!$AK$5:$AK$1504,0))&amp;" · "&amp;INDEX('JOBS'!$A$5:$A$1504,MATCH(E$8&amp;"|"&amp;$A13,'JOBS'!$AK$5:$AK$1504,0)),"")</f>
        <v/>
      </c>
      <c r="F13" s="109">
        <f>IFERROR(TEXT(INDEX('JOBS'!$C$5:$C$1504,MATCH(F$8&amp;"|"&amp;$A13,'JOBS'!$AK$5:$AK$1504,0)),"h:mm AM/PM")&amp;"  "&amp;INDEX('JOBS'!$D$5:$D$1504,MATCH(F$8&amp;"|"&amp;$A13,'JOBS'!$AK$5:$AK$1504,0))&amp;CHAR(10)&amp;INDEX('JOBS'!$F$5:$F$1504,MATCH(F$8&amp;"|"&amp;$A13,'JOBS'!$AK$5:$AK$1504,0))&amp;" · "&amp;INDEX('JOBS'!$H$5:$H$1504,MATCH(F$8&amp;"|"&amp;$A13,'JOBS'!$AK$5:$AK$1504,0))&amp;" · "&amp;INDEX('JOBS'!$A$5:$A$1504,MATCH(F$8&amp;"|"&amp;$A13,'JOBS'!$AK$5:$AK$1504,0)),"")</f>
        <v/>
      </c>
      <c r="G13" s="109">
        <f>IFERROR(TEXT(INDEX('JOBS'!$C$5:$C$1504,MATCH(G$8&amp;"|"&amp;$A13,'JOBS'!$AK$5:$AK$1504,0)),"h:mm AM/PM")&amp;"  "&amp;INDEX('JOBS'!$D$5:$D$1504,MATCH(G$8&amp;"|"&amp;$A13,'JOBS'!$AK$5:$AK$1504,0))&amp;CHAR(10)&amp;INDEX('JOBS'!$F$5:$F$1504,MATCH(G$8&amp;"|"&amp;$A13,'JOBS'!$AK$5:$AK$1504,0))&amp;" · "&amp;INDEX('JOBS'!$H$5:$H$1504,MATCH(G$8&amp;"|"&amp;$A13,'JOBS'!$AK$5:$AK$1504,0))&amp;" · "&amp;INDEX('JOBS'!$A$5:$A$1504,MATCH(G$8&amp;"|"&amp;$A13,'JOBS'!$AK$5:$AK$1504,0)),"")</f>
        <v/>
      </c>
      <c r="H13" s="109">
        <f>IFERROR(TEXT(INDEX('JOBS'!$C$5:$C$1504,MATCH(H$8&amp;"|"&amp;$A13,'JOBS'!$AK$5:$AK$1504,0)),"h:mm AM/PM")&amp;"  "&amp;INDEX('JOBS'!$D$5:$D$1504,MATCH(H$8&amp;"|"&amp;$A13,'JOBS'!$AK$5:$AK$1504,0))&amp;CHAR(10)&amp;INDEX('JOBS'!$F$5:$F$1504,MATCH(H$8&amp;"|"&amp;$A13,'JOBS'!$AK$5:$AK$1504,0))&amp;" · "&amp;INDEX('JOBS'!$H$5:$H$1504,MATCH(H$8&amp;"|"&amp;$A13,'JOBS'!$AK$5:$AK$1504,0))&amp;" · "&amp;INDEX('JOBS'!$A$5:$A$1504,MATCH(H$8&amp;"|"&amp;$A13,'JOBS'!$AK$5:$AK$1504,0)),"")</f>
        <v/>
      </c>
    </row>
    <row r="14" ht="30" customHeight="1">
      <c r="A14" s="108" t="n">
        <v>6</v>
      </c>
      <c r="B14" s="109">
        <f>IFERROR(TEXT(INDEX('JOBS'!$C$5:$C$1504,MATCH(B$8&amp;"|"&amp;$A14,'JOBS'!$AK$5:$AK$1504,0)),"h:mm AM/PM")&amp;"  "&amp;INDEX('JOBS'!$D$5:$D$1504,MATCH(B$8&amp;"|"&amp;$A14,'JOBS'!$AK$5:$AK$1504,0))&amp;CHAR(10)&amp;INDEX('JOBS'!$F$5:$F$1504,MATCH(B$8&amp;"|"&amp;$A14,'JOBS'!$AK$5:$AK$1504,0))&amp;" · "&amp;INDEX('JOBS'!$H$5:$H$1504,MATCH(B$8&amp;"|"&amp;$A14,'JOBS'!$AK$5:$AK$1504,0))&amp;" · "&amp;INDEX('JOBS'!$A$5:$A$1504,MATCH(B$8&amp;"|"&amp;$A14,'JOBS'!$AK$5:$AK$1504,0)),"")</f>
        <v/>
      </c>
      <c r="C14" s="109">
        <f>IFERROR(TEXT(INDEX('JOBS'!$C$5:$C$1504,MATCH(C$8&amp;"|"&amp;$A14,'JOBS'!$AK$5:$AK$1504,0)),"h:mm AM/PM")&amp;"  "&amp;INDEX('JOBS'!$D$5:$D$1504,MATCH(C$8&amp;"|"&amp;$A14,'JOBS'!$AK$5:$AK$1504,0))&amp;CHAR(10)&amp;INDEX('JOBS'!$F$5:$F$1504,MATCH(C$8&amp;"|"&amp;$A14,'JOBS'!$AK$5:$AK$1504,0))&amp;" · "&amp;INDEX('JOBS'!$H$5:$H$1504,MATCH(C$8&amp;"|"&amp;$A14,'JOBS'!$AK$5:$AK$1504,0))&amp;" · "&amp;INDEX('JOBS'!$A$5:$A$1504,MATCH(C$8&amp;"|"&amp;$A14,'JOBS'!$AK$5:$AK$1504,0)),"")</f>
        <v/>
      </c>
      <c r="D14" s="109">
        <f>IFERROR(TEXT(INDEX('JOBS'!$C$5:$C$1504,MATCH(D$8&amp;"|"&amp;$A14,'JOBS'!$AK$5:$AK$1504,0)),"h:mm AM/PM")&amp;"  "&amp;INDEX('JOBS'!$D$5:$D$1504,MATCH(D$8&amp;"|"&amp;$A14,'JOBS'!$AK$5:$AK$1504,0))&amp;CHAR(10)&amp;INDEX('JOBS'!$F$5:$F$1504,MATCH(D$8&amp;"|"&amp;$A14,'JOBS'!$AK$5:$AK$1504,0))&amp;" · "&amp;INDEX('JOBS'!$H$5:$H$1504,MATCH(D$8&amp;"|"&amp;$A14,'JOBS'!$AK$5:$AK$1504,0))&amp;" · "&amp;INDEX('JOBS'!$A$5:$A$1504,MATCH(D$8&amp;"|"&amp;$A14,'JOBS'!$AK$5:$AK$1504,0)),"")</f>
        <v/>
      </c>
      <c r="E14" s="109">
        <f>IFERROR(TEXT(INDEX('JOBS'!$C$5:$C$1504,MATCH(E$8&amp;"|"&amp;$A14,'JOBS'!$AK$5:$AK$1504,0)),"h:mm AM/PM")&amp;"  "&amp;INDEX('JOBS'!$D$5:$D$1504,MATCH(E$8&amp;"|"&amp;$A14,'JOBS'!$AK$5:$AK$1504,0))&amp;CHAR(10)&amp;INDEX('JOBS'!$F$5:$F$1504,MATCH(E$8&amp;"|"&amp;$A14,'JOBS'!$AK$5:$AK$1504,0))&amp;" · "&amp;INDEX('JOBS'!$H$5:$H$1504,MATCH(E$8&amp;"|"&amp;$A14,'JOBS'!$AK$5:$AK$1504,0))&amp;" · "&amp;INDEX('JOBS'!$A$5:$A$1504,MATCH(E$8&amp;"|"&amp;$A14,'JOBS'!$AK$5:$AK$1504,0)),"")</f>
        <v/>
      </c>
      <c r="F14" s="109">
        <f>IFERROR(TEXT(INDEX('JOBS'!$C$5:$C$1504,MATCH(F$8&amp;"|"&amp;$A14,'JOBS'!$AK$5:$AK$1504,0)),"h:mm AM/PM")&amp;"  "&amp;INDEX('JOBS'!$D$5:$D$1504,MATCH(F$8&amp;"|"&amp;$A14,'JOBS'!$AK$5:$AK$1504,0))&amp;CHAR(10)&amp;INDEX('JOBS'!$F$5:$F$1504,MATCH(F$8&amp;"|"&amp;$A14,'JOBS'!$AK$5:$AK$1504,0))&amp;" · "&amp;INDEX('JOBS'!$H$5:$H$1504,MATCH(F$8&amp;"|"&amp;$A14,'JOBS'!$AK$5:$AK$1504,0))&amp;" · "&amp;INDEX('JOBS'!$A$5:$A$1504,MATCH(F$8&amp;"|"&amp;$A14,'JOBS'!$AK$5:$AK$1504,0)),"")</f>
        <v/>
      </c>
      <c r="G14" s="109">
        <f>IFERROR(TEXT(INDEX('JOBS'!$C$5:$C$1504,MATCH(G$8&amp;"|"&amp;$A14,'JOBS'!$AK$5:$AK$1504,0)),"h:mm AM/PM")&amp;"  "&amp;INDEX('JOBS'!$D$5:$D$1504,MATCH(G$8&amp;"|"&amp;$A14,'JOBS'!$AK$5:$AK$1504,0))&amp;CHAR(10)&amp;INDEX('JOBS'!$F$5:$F$1504,MATCH(G$8&amp;"|"&amp;$A14,'JOBS'!$AK$5:$AK$1504,0))&amp;" · "&amp;INDEX('JOBS'!$H$5:$H$1504,MATCH(G$8&amp;"|"&amp;$A14,'JOBS'!$AK$5:$AK$1504,0))&amp;" · "&amp;INDEX('JOBS'!$A$5:$A$1504,MATCH(G$8&amp;"|"&amp;$A14,'JOBS'!$AK$5:$AK$1504,0)),"")</f>
        <v/>
      </c>
      <c r="H14" s="109">
        <f>IFERROR(TEXT(INDEX('JOBS'!$C$5:$C$1504,MATCH(H$8&amp;"|"&amp;$A14,'JOBS'!$AK$5:$AK$1504,0)),"h:mm AM/PM")&amp;"  "&amp;INDEX('JOBS'!$D$5:$D$1504,MATCH(H$8&amp;"|"&amp;$A14,'JOBS'!$AK$5:$AK$1504,0))&amp;CHAR(10)&amp;INDEX('JOBS'!$F$5:$F$1504,MATCH(H$8&amp;"|"&amp;$A14,'JOBS'!$AK$5:$AK$1504,0))&amp;" · "&amp;INDEX('JOBS'!$H$5:$H$1504,MATCH(H$8&amp;"|"&amp;$A14,'JOBS'!$AK$5:$AK$1504,0))&amp;" · "&amp;INDEX('JOBS'!$A$5:$A$1504,MATCH(H$8&amp;"|"&amp;$A14,'JOBS'!$AK$5:$AK$1504,0)),"")</f>
        <v/>
      </c>
    </row>
    <row r="15" ht="30" customHeight="1">
      <c r="A15" s="108" t="n">
        <v>7</v>
      </c>
      <c r="B15" s="109">
        <f>IFERROR(TEXT(INDEX('JOBS'!$C$5:$C$1504,MATCH(B$8&amp;"|"&amp;$A15,'JOBS'!$AK$5:$AK$1504,0)),"h:mm AM/PM")&amp;"  "&amp;INDEX('JOBS'!$D$5:$D$1504,MATCH(B$8&amp;"|"&amp;$A15,'JOBS'!$AK$5:$AK$1504,0))&amp;CHAR(10)&amp;INDEX('JOBS'!$F$5:$F$1504,MATCH(B$8&amp;"|"&amp;$A15,'JOBS'!$AK$5:$AK$1504,0))&amp;" · "&amp;INDEX('JOBS'!$H$5:$H$1504,MATCH(B$8&amp;"|"&amp;$A15,'JOBS'!$AK$5:$AK$1504,0))&amp;" · "&amp;INDEX('JOBS'!$A$5:$A$1504,MATCH(B$8&amp;"|"&amp;$A15,'JOBS'!$AK$5:$AK$1504,0)),"")</f>
        <v/>
      </c>
      <c r="C15" s="109">
        <f>IFERROR(TEXT(INDEX('JOBS'!$C$5:$C$1504,MATCH(C$8&amp;"|"&amp;$A15,'JOBS'!$AK$5:$AK$1504,0)),"h:mm AM/PM")&amp;"  "&amp;INDEX('JOBS'!$D$5:$D$1504,MATCH(C$8&amp;"|"&amp;$A15,'JOBS'!$AK$5:$AK$1504,0))&amp;CHAR(10)&amp;INDEX('JOBS'!$F$5:$F$1504,MATCH(C$8&amp;"|"&amp;$A15,'JOBS'!$AK$5:$AK$1504,0))&amp;" · "&amp;INDEX('JOBS'!$H$5:$H$1504,MATCH(C$8&amp;"|"&amp;$A15,'JOBS'!$AK$5:$AK$1504,0))&amp;" · "&amp;INDEX('JOBS'!$A$5:$A$1504,MATCH(C$8&amp;"|"&amp;$A15,'JOBS'!$AK$5:$AK$1504,0)),"")</f>
        <v/>
      </c>
      <c r="D15" s="109">
        <f>IFERROR(TEXT(INDEX('JOBS'!$C$5:$C$1504,MATCH(D$8&amp;"|"&amp;$A15,'JOBS'!$AK$5:$AK$1504,0)),"h:mm AM/PM")&amp;"  "&amp;INDEX('JOBS'!$D$5:$D$1504,MATCH(D$8&amp;"|"&amp;$A15,'JOBS'!$AK$5:$AK$1504,0))&amp;CHAR(10)&amp;INDEX('JOBS'!$F$5:$F$1504,MATCH(D$8&amp;"|"&amp;$A15,'JOBS'!$AK$5:$AK$1504,0))&amp;" · "&amp;INDEX('JOBS'!$H$5:$H$1504,MATCH(D$8&amp;"|"&amp;$A15,'JOBS'!$AK$5:$AK$1504,0))&amp;" · "&amp;INDEX('JOBS'!$A$5:$A$1504,MATCH(D$8&amp;"|"&amp;$A15,'JOBS'!$AK$5:$AK$1504,0)),"")</f>
        <v/>
      </c>
      <c r="E15" s="109">
        <f>IFERROR(TEXT(INDEX('JOBS'!$C$5:$C$1504,MATCH(E$8&amp;"|"&amp;$A15,'JOBS'!$AK$5:$AK$1504,0)),"h:mm AM/PM")&amp;"  "&amp;INDEX('JOBS'!$D$5:$D$1504,MATCH(E$8&amp;"|"&amp;$A15,'JOBS'!$AK$5:$AK$1504,0))&amp;CHAR(10)&amp;INDEX('JOBS'!$F$5:$F$1504,MATCH(E$8&amp;"|"&amp;$A15,'JOBS'!$AK$5:$AK$1504,0))&amp;" · "&amp;INDEX('JOBS'!$H$5:$H$1504,MATCH(E$8&amp;"|"&amp;$A15,'JOBS'!$AK$5:$AK$1504,0))&amp;" · "&amp;INDEX('JOBS'!$A$5:$A$1504,MATCH(E$8&amp;"|"&amp;$A15,'JOBS'!$AK$5:$AK$1504,0)),"")</f>
        <v/>
      </c>
      <c r="F15" s="109">
        <f>IFERROR(TEXT(INDEX('JOBS'!$C$5:$C$1504,MATCH(F$8&amp;"|"&amp;$A15,'JOBS'!$AK$5:$AK$1504,0)),"h:mm AM/PM")&amp;"  "&amp;INDEX('JOBS'!$D$5:$D$1504,MATCH(F$8&amp;"|"&amp;$A15,'JOBS'!$AK$5:$AK$1504,0))&amp;CHAR(10)&amp;INDEX('JOBS'!$F$5:$F$1504,MATCH(F$8&amp;"|"&amp;$A15,'JOBS'!$AK$5:$AK$1504,0))&amp;" · "&amp;INDEX('JOBS'!$H$5:$H$1504,MATCH(F$8&amp;"|"&amp;$A15,'JOBS'!$AK$5:$AK$1504,0))&amp;" · "&amp;INDEX('JOBS'!$A$5:$A$1504,MATCH(F$8&amp;"|"&amp;$A15,'JOBS'!$AK$5:$AK$1504,0)),"")</f>
        <v/>
      </c>
      <c r="G15" s="109">
        <f>IFERROR(TEXT(INDEX('JOBS'!$C$5:$C$1504,MATCH(G$8&amp;"|"&amp;$A15,'JOBS'!$AK$5:$AK$1504,0)),"h:mm AM/PM")&amp;"  "&amp;INDEX('JOBS'!$D$5:$D$1504,MATCH(G$8&amp;"|"&amp;$A15,'JOBS'!$AK$5:$AK$1504,0))&amp;CHAR(10)&amp;INDEX('JOBS'!$F$5:$F$1504,MATCH(G$8&amp;"|"&amp;$A15,'JOBS'!$AK$5:$AK$1504,0))&amp;" · "&amp;INDEX('JOBS'!$H$5:$H$1504,MATCH(G$8&amp;"|"&amp;$A15,'JOBS'!$AK$5:$AK$1504,0))&amp;" · "&amp;INDEX('JOBS'!$A$5:$A$1504,MATCH(G$8&amp;"|"&amp;$A15,'JOBS'!$AK$5:$AK$1504,0)),"")</f>
        <v/>
      </c>
      <c r="H15" s="109">
        <f>IFERROR(TEXT(INDEX('JOBS'!$C$5:$C$1504,MATCH(H$8&amp;"|"&amp;$A15,'JOBS'!$AK$5:$AK$1504,0)),"h:mm AM/PM")&amp;"  "&amp;INDEX('JOBS'!$D$5:$D$1504,MATCH(H$8&amp;"|"&amp;$A15,'JOBS'!$AK$5:$AK$1504,0))&amp;CHAR(10)&amp;INDEX('JOBS'!$F$5:$F$1504,MATCH(H$8&amp;"|"&amp;$A15,'JOBS'!$AK$5:$AK$1504,0))&amp;" · "&amp;INDEX('JOBS'!$H$5:$H$1504,MATCH(H$8&amp;"|"&amp;$A15,'JOBS'!$AK$5:$AK$1504,0))&amp;" · "&amp;INDEX('JOBS'!$A$5:$A$1504,MATCH(H$8&amp;"|"&amp;$A15,'JOBS'!$AK$5:$AK$1504,0)),"")</f>
        <v/>
      </c>
    </row>
    <row r="16" ht="30" customHeight="1">
      <c r="A16" s="108" t="n">
        <v>8</v>
      </c>
      <c r="B16" s="109">
        <f>IFERROR(TEXT(INDEX('JOBS'!$C$5:$C$1504,MATCH(B$8&amp;"|"&amp;$A16,'JOBS'!$AK$5:$AK$1504,0)),"h:mm AM/PM")&amp;"  "&amp;INDEX('JOBS'!$D$5:$D$1504,MATCH(B$8&amp;"|"&amp;$A16,'JOBS'!$AK$5:$AK$1504,0))&amp;CHAR(10)&amp;INDEX('JOBS'!$F$5:$F$1504,MATCH(B$8&amp;"|"&amp;$A16,'JOBS'!$AK$5:$AK$1504,0))&amp;" · "&amp;INDEX('JOBS'!$H$5:$H$1504,MATCH(B$8&amp;"|"&amp;$A16,'JOBS'!$AK$5:$AK$1504,0))&amp;" · "&amp;INDEX('JOBS'!$A$5:$A$1504,MATCH(B$8&amp;"|"&amp;$A16,'JOBS'!$AK$5:$AK$1504,0)),"")</f>
        <v/>
      </c>
      <c r="C16" s="109">
        <f>IFERROR(TEXT(INDEX('JOBS'!$C$5:$C$1504,MATCH(C$8&amp;"|"&amp;$A16,'JOBS'!$AK$5:$AK$1504,0)),"h:mm AM/PM")&amp;"  "&amp;INDEX('JOBS'!$D$5:$D$1504,MATCH(C$8&amp;"|"&amp;$A16,'JOBS'!$AK$5:$AK$1504,0))&amp;CHAR(10)&amp;INDEX('JOBS'!$F$5:$F$1504,MATCH(C$8&amp;"|"&amp;$A16,'JOBS'!$AK$5:$AK$1504,0))&amp;" · "&amp;INDEX('JOBS'!$H$5:$H$1504,MATCH(C$8&amp;"|"&amp;$A16,'JOBS'!$AK$5:$AK$1504,0))&amp;" · "&amp;INDEX('JOBS'!$A$5:$A$1504,MATCH(C$8&amp;"|"&amp;$A16,'JOBS'!$AK$5:$AK$1504,0)),"")</f>
        <v/>
      </c>
      <c r="D16" s="109">
        <f>IFERROR(TEXT(INDEX('JOBS'!$C$5:$C$1504,MATCH(D$8&amp;"|"&amp;$A16,'JOBS'!$AK$5:$AK$1504,0)),"h:mm AM/PM")&amp;"  "&amp;INDEX('JOBS'!$D$5:$D$1504,MATCH(D$8&amp;"|"&amp;$A16,'JOBS'!$AK$5:$AK$1504,0))&amp;CHAR(10)&amp;INDEX('JOBS'!$F$5:$F$1504,MATCH(D$8&amp;"|"&amp;$A16,'JOBS'!$AK$5:$AK$1504,0))&amp;" · "&amp;INDEX('JOBS'!$H$5:$H$1504,MATCH(D$8&amp;"|"&amp;$A16,'JOBS'!$AK$5:$AK$1504,0))&amp;" · "&amp;INDEX('JOBS'!$A$5:$A$1504,MATCH(D$8&amp;"|"&amp;$A16,'JOBS'!$AK$5:$AK$1504,0)),"")</f>
        <v/>
      </c>
      <c r="E16" s="109">
        <f>IFERROR(TEXT(INDEX('JOBS'!$C$5:$C$1504,MATCH(E$8&amp;"|"&amp;$A16,'JOBS'!$AK$5:$AK$1504,0)),"h:mm AM/PM")&amp;"  "&amp;INDEX('JOBS'!$D$5:$D$1504,MATCH(E$8&amp;"|"&amp;$A16,'JOBS'!$AK$5:$AK$1504,0))&amp;CHAR(10)&amp;INDEX('JOBS'!$F$5:$F$1504,MATCH(E$8&amp;"|"&amp;$A16,'JOBS'!$AK$5:$AK$1504,0))&amp;" · "&amp;INDEX('JOBS'!$H$5:$H$1504,MATCH(E$8&amp;"|"&amp;$A16,'JOBS'!$AK$5:$AK$1504,0))&amp;" · "&amp;INDEX('JOBS'!$A$5:$A$1504,MATCH(E$8&amp;"|"&amp;$A16,'JOBS'!$AK$5:$AK$1504,0)),"")</f>
        <v/>
      </c>
      <c r="F16" s="109">
        <f>IFERROR(TEXT(INDEX('JOBS'!$C$5:$C$1504,MATCH(F$8&amp;"|"&amp;$A16,'JOBS'!$AK$5:$AK$1504,0)),"h:mm AM/PM")&amp;"  "&amp;INDEX('JOBS'!$D$5:$D$1504,MATCH(F$8&amp;"|"&amp;$A16,'JOBS'!$AK$5:$AK$1504,0))&amp;CHAR(10)&amp;INDEX('JOBS'!$F$5:$F$1504,MATCH(F$8&amp;"|"&amp;$A16,'JOBS'!$AK$5:$AK$1504,0))&amp;" · "&amp;INDEX('JOBS'!$H$5:$H$1504,MATCH(F$8&amp;"|"&amp;$A16,'JOBS'!$AK$5:$AK$1504,0))&amp;" · "&amp;INDEX('JOBS'!$A$5:$A$1504,MATCH(F$8&amp;"|"&amp;$A16,'JOBS'!$AK$5:$AK$1504,0)),"")</f>
        <v/>
      </c>
      <c r="G16" s="109">
        <f>IFERROR(TEXT(INDEX('JOBS'!$C$5:$C$1504,MATCH(G$8&amp;"|"&amp;$A16,'JOBS'!$AK$5:$AK$1504,0)),"h:mm AM/PM")&amp;"  "&amp;INDEX('JOBS'!$D$5:$D$1504,MATCH(G$8&amp;"|"&amp;$A16,'JOBS'!$AK$5:$AK$1504,0))&amp;CHAR(10)&amp;INDEX('JOBS'!$F$5:$F$1504,MATCH(G$8&amp;"|"&amp;$A16,'JOBS'!$AK$5:$AK$1504,0))&amp;" · "&amp;INDEX('JOBS'!$H$5:$H$1504,MATCH(G$8&amp;"|"&amp;$A16,'JOBS'!$AK$5:$AK$1504,0))&amp;" · "&amp;INDEX('JOBS'!$A$5:$A$1504,MATCH(G$8&amp;"|"&amp;$A16,'JOBS'!$AK$5:$AK$1504,0)),"")</f>
        <v/>
      </c>
      <c r="H16" s="109">
        <f>IFERROR(TEXT(INDEX('JOBS'!$C$5:$C$1504,MATCH(H$8&amp;"|"&amp;$A16,'JOBS'!$AK$5:$AK$1504,0)),"h:mm AM/PM")&amp;"  "&amp;INDEX('JOBS'!$D$5:$D$1504,MATCH(H$8&amp;"|"&amp;$A16,'JOBS'!$AK$5:$AK$1504,0))&amp;CHAR(10)&amp;INDEX('JOBS'!$F$5:$F$1504,MATCH(H$8&amp;"|"&amp;$A16,'JOBS'!$AK$5:$AK$1504,0))&amp;" · "&amp;INDEX('JOBS'!$H$5:$H$1504,MATCH(H$8&amp;"|"&amp;$A16,'JOBS'!$AK$5:$AK$1504,0))&amp;" · "&amp;INDEX('JOBS'!$A$5:$A$1504,MATCH(H$8&amp;"|"&amp;$A16,'JOBS'!$AK$5:$AK$1504,0)),"")</f>
        <v/>
      </c>
    </row>
    <row r="17" ht="30" customHeight="1">
      <c r="A17" s="108" t="n">
        <v>9</v>
      </c>
      <c r="B17" s="109">
        <f>IFERROR(TEXT(INDEX('JOBS'!$C$5:$C$1504,MATCH(B$8&amp;"|"&amp;$A17,'JOBS'!$AK$5:$AK$1504,0)),"h:mm AM/PM")&amp;"  "&amp;INDEX('JOBS'!$D$5:$D$1504,MATCH(B$8&amp;"|"&amp;$A17,'JOBS'!$AK$5:$AK$1504,0))&amp;CHAR(10)&amp;INDEX('JOBS'!$F$5:$F$1504,MATCH(B$8&amp;"|"&amp;$A17,'JOBS'!$AK$5:$AK$1504,0))&amp;" · "&amp;INDEX('JOBS'!$H$5:$H$1504,MATCH(B$8&amp;"|"&amp;$A17,'JOBS'!$AK$5:$AK$1504,0))&amp;" · "&amp;INDEX('JOBS'!$A$5:$A$1504,MATCH(B$8&amp;"|"&amp;$A17,'JOBS'!$AK$5:$AK$1504,0)),"")</f>
        <v/>
      </c>
      <c r="C17" s="109">
        <f>IFERROR(TEXT(INDEX('JOBS'!$C$5:$C$1504,MATCH(C$8&amp;"|"&amp;$A17,'JOBS'!$AK$5:$AK$1504,0)),"h:mm AM/PM")&amp;"  "&amp;INDEX('JOBS'!$D$5:$D$1504,MATCH(C$8&amp;"|"&amp;$A17,'JOBS'!$AK$5:$AK$1504,0))&amp;CHAR(10)&amp;INDEX('JOBS'!$F$5:$F$1504,MATCH(C$8&amp;"|"&amp;$A17,'JOBS'!$AK$5:$AK$1504,0))&amp;" · "&amp;INDEX('JOBS'!$H$5:$H$1504,MATCH(C$8&amp;"|"&amp;$A17,'JOBS'!$AK$5:$AK$1504,0))&amp;" · "&amp;INDEX('JOBS'!$A$5:$A$1504,MATCH(C$8&amp;"|"&amp;$A17,'JOBS'!$AK$5:$AK$1504,0)),"")</f>
        <v/>
      </c>
      <c r="D17" s="109">
        <f>IFERROR(TEXT(INDEX('JOBS'!$C$5:$C$1504,MATCH(D$8&amp;"|"&amp;$A17,'JOBS'!$AK$5:$AK$1504,0)),"h:mm AM/PM")&amp;"  "&amp;INDEX('JOBS'!$D$5:$D$1504,MATCH(D$8&amp;"|"&amp;$A17,'JOBS'!$AK$5:$AK$1504,0))&amp;CHAR(10)&amp;INDEX('JOBS'!$F$5:$F$1504,MATCH(D$8&amp;"|"&amp;$A17,'JOBS'!$AK$5:$AK$1504,0))&amp;" · "&amp;INDEX('JOBS'!$H$5:$H$1504,MATCH(D$8&amp;"|"&amp;$A17,'JOBS'!$AK$5:$AK$1504,0))&amp;" · "&amp;INDEX('JOBS'!$A$5:$A$1504,MATCH(D$8&amp;"|"&amp;$A17,'JOBS'!$AK$5:$AK$1504,0)),"")</f>
        <v/>
      </c>
      <c r="E17" s="109">
        <f>IFERROR(TEXT(INDEX('JOBS'!$C$5:$C$1504,MATCH(E$8&amp;"|"&amp;$A17,'JOBS'!$AK$5:$AK$1504,0)),"h:mm AM/PM")&amp;"  "&amp;INDEX('JOBS'!$D$5:$D$1504,MATCH(E$8&amp;"|"&amp;$A17,'JOBS'!$AK$5:$AK$1504,0))&amp;CHAR(10)&amp;INDEX('JOBS'!$F$5:$F$1504,MATCH(E$8&amp;"|"&amp;$A17,'JOBS'!$AK$5:$AK$1504,0))&amp;" · "&amp;INDEX('JOBS'!$H$5:$H$1504,MATCH(E$8&amp;"|"&amp;$A17,'JOBS'!$AK$5:$AK$1504,0))&amp;" · "&amp;INDEX('JOBS'!$A$5:$A$1504,MATCH(E$8&amp;"|"&amp;$A17,'JOBS'!$AK$5:$AK$1504,0)),"")</f>
        <v/>
      </c>
      <c r="F17" s="109">
        <f>IFERROR(TEXT(INDEX('JOBS'!$C$5:$C$1504,MATCH(F$8&amp;"|"&amp;$A17,'JOBS'!$AK$5:$AK$1504,0)),"h:mm AM/PM")&amp;"  "&amp;INDEX('JOBS'!$D$5:$D$1504,MATCH(F$8&amp;"|"&amp;$A17,'JOBS'!$AK$5:$AK$1504,0))&amp;CHAR(10)&amp;INDEX('JOBS'!$F$5:$F$1504,MATCH(F$8&amp;"|"&amp;$A17,'JOBS'!$AK$5:$AK$1504,0))&amp;" · "&amp;INDEX('JOBS'!$H$5:$H$1504,MATCH(F$8&amp;"|"&amp;$A17,'JOBS'!$AK$5:$AK$1504,0))&amp;" · "&amp;INDEX('JOBS'!$A$5:$A$1504,MATCH(F$8&amp;"|"&amp;$A17,'JOBS'!$AK$5:$AK$1504,0)),"")</f>
        <v/>
      </c>
      <c r="G17" s="109">
        <f>IFERROR(TEXT(INDEX('JOBS'!$C$5:$C$1504,MATCH(G$8&amp;"|"&amp;$A17,'JOBS'!$AK$5:$AK$1504,0)),"h:mm AM/PM")&amp;"  "&amp;INDEX('JOBS'!$D$5:$D$1504,MATCH(G$8&amp;"|"&amp;$A17,'JOBS'!$AK$5:$AK$1504,0))&amp;CHAR(10)&amp;INDEX('JOBS'!$F$5:$F$1504,MATCH(G$8&amp;"|"&amp;$A17,'JOBS'!$AK$5:$AK$1504,0))&amp;" · "&amp;INDEX('JOBS'!$H$5:$H$1504,MATCH(G$8&amp;"|"&amp;$A17,'JOBS'!$AK$5:$AK$1504,0))&amp;" · "&amp;INDEX('JOBS'!$A$5:$A$1504,MATCH(G$8&amp;"|"&amp;$A17,'JOBS'!$AK$5:$AK$1504,0)),"")</f>
        <v/>
      </c>
      <c r="H17" s="109">
        <f>IFERROR(TEXT(INDEX('JOBS'!$C$5:$C$1504,MATCH(H$8&amp;"|"&amp;$A17,'JOBS'!$AK$5:$AK$1504,0)),"h:mm AM/PM")&amp;"  "&amp;INDEX('JOBS'!$D$5:$D$1504,MATCH(H$8&amp;"|"&amp;$A17,'JOBS'!$AK$5:$AK$1504,0))&amp;CHAR(10)&amp;INDEX('JOBS'!$F$5:$F$1504,MATCH(H$8&amp;"|"&amp;$A17,'JOBS'!$AK$5:$AK$1504,0))&amp;" · "&amp;INDEX('JOBS'!$H$5:$H$1504,MATCH(H$8&amp;"|"&amp;$A17,'JOBS'!$AK$5:$AK$1504,0))&amp;" · "&amp;INDEX('JOBS'!$A$5:$A$1504,MATCH(H$8&amp;"|"&amp;$A17,'JOBS'!$AK$5:$AK$1504,0)),"")</f>
        <v/>
      </c>
    </row>
    <row r="18" ht="30" customHeight="1">
      <c r="A18" s="108" t="n">
        <v>10</v>
      </c>
      <c r="B18" s="109">
        <f>IFERROR(TEXT(INDEX('JOBS'!$C$5:$C$1504,MATCH(B$8&amp;"|"&amp;$A18,'JOBS'!$AK$5:$AK$1504,0)),"h:mm AM/PM")&amp;"  "&amp;INDEX('JOBS'!$D$5:$D$1504,MATCH(B$8&amp;"|"&amp;$A18,'JOBS'!$AK$5:$AK$1504,0))&amp;CHAR(10)&amp;INDEX('JOBS'!$F$5:$F$1504,MATCH(B$8&amp;"|"&amp;$A18,'JOBS'!$AK$5:$AK$1504,0))&amp;" · "&amp;INDEX('JOBS'!$H$5:$H$1504,MATCH(B$8&amp;"|"&amp;$A18,'JOBS'!$AK$5:$AK$1504,0))&amp;" · "&amp;INDEX('JOBS'!$A$5:$A$1504,MATCH(B$8&amp;"|"&amp;$A18,'JOBS'!$AK$5:$AK$1504,0)),"")</f>
        <v/>
      </c>
      <c r="C18" s="109">
        <f>IFERROR(TEXT(INDEX('JOBS'!$C$5:$C$1504,MATCH(C$8&amp;"|"&amp;$A18,'JOBS'!$AK$5:$AK$1504,0)),"h:mm AM/PM")&amp;"  "&amp;INDEX('JOBS'!$D$5:$D$1504,MATCH(C$8&amp;"|"&amp;$A18,'JOBS'!$AK$5:$AK$1504,0))&amp;CHAR(10)&amp;INDEX('JOBS'!$F$5:$F$1504,MATCH(C$8&amp;"|"&amp;$A18,'JOBS'!$AK$5:$AK$1504,0))&amp;" · "&amp;INDEX('JOBS'!$H$5:$H$1504,MATCH(C$8&amp;"|"&amp;$A18,'JOBS'!$AK$5:$AK$1504,0))&amp;" · "&amp;INDEX('JOBS'!$A$5:$A$1504,MATCH(C$8&amp;"|"&amp;$A18,'JOBS'!$AK$5:$AK$1504,0)),"")</f>
        <v/>
      </c>
      <c r="D18" s="109">
        <f>IFERROR(TEXT(INDEX('JOBS'!$C$5:$C$1504,MATCH(D$8&amp;"|"&amp;$A18,'JOBS'!$AK$5:$AK$1504,0)),"h:mm AM/PM")&amp;"  "&amp;INDEX('JOBS'!$D$5:$D$1504,MATCH(D$8&amp;"|"&amp;$A18,'JOBS'!$AK$5:$AK$1504,0))&amp;CHAR(10)&amp;INDEX('JOBS'!$F$5:$F$1504,MATCH(D$8&amp;"|"&amp;$A18,'JOBS'!$AK$5:$AK$1504,0))&amp;" · "&amp;INDEX('JOBS'!$H$5:$H$1504,MATCH(D$8&amp;"|"&amp;$A18,'JOBS'!$AK$5:$AK$1504,0))&amp;" · "&amp;INDEX('JOBS'!$A$5:$A$1504,MATCH(D$8&amp;"|"&amp;$A18,'JOBS'!$AK$5:$AK$1504,0)),"")</f>
        <v/>
      </c>
      <c r="E18" s="109">
        <f>IFERROR(TEXT(INDEX('JOBS'!$C$5:$C$1504,MATCH(E$8&amp;"|"&amp;$A18,'JOBS'!$AK$5:$AK$1504,0)),"h:mm AM/PM")&amp;"  "&amp;INDEX('JOBS'!$D$5:$D$1504,MATCH(E$8&amp;"|"&amp;$A18,'JOBS'!$AK$5:$AK$1504,0))&amp;CHAR(10)&amp;INDEX('JOBS'!$F$5:$F$1504,MATCH(E$8&amp;"|"&amp;$A18,'JOBS'!$AK$5:$AK$1504,0))&amp;" · "&amp;INDEX('JOBS'!$H$5:$H$1504,MATCH(E$8&amp;"|"&amp;$A18,'JOBS'!$AK$5:$AK$1504,0))&amp;" · "&amp;INDEX('JOBS'!$A$5:$A$1504,MATCH(E$8&amp;"|"&amp;$A18,'JOBS'!$AK$5:$AK$1504,0)),"")</f>
        <v/>
      </c>
      <c r="F18" s="109">
        <f>IFERROR(TEXT(INDEX('JOBS'!$C$5:$C$1504,MATCH(F$8&amp;"|"&amp;$A18,'JOBS'!$AK$5:$AK$1504,0)),"h:mm AM/PM")&amp;"  "&amp;INDEX('JOBS'!$D$5:$D$1504,MATCH(F$8&amp;"|"&amp;$A18,'JOBS'!$AK$5:$AK$1504,0))&amp;CHAR(10)&amp;INDEX('JOBS'!$F$5:$F$1504,MATCH(F$8&amp;"|"&amp;$A18,'JOBS'!$AK$5:$AK$1504,0))&amp;" · "&amp;INDEX('JOBS'!$H$5:$H$1504,MATCH(F$8&amp;"|"&amp;$A18,'JOBS'!$AK$5:$AK$1504,0))&amp;" · "&amp;INDEX('JOBS'!$A$5:$A$1504,MATCH(F$8&amp;"|"&amp;$A18,'JOBS'!$AK$5:$AK$1504,0)),"")</f>
        <v/>
      </c>
      <c r="G18" s="109">
        <f>IFERROR(TEXT(INDEX('JOBS'!$C$5:$C$1504,MATCH(G$8&amp;"|"&amp;$A18,'JOBS'!$AK$5:$AK$1504,0)),"h:mm AM/PM")&amp;"  "&amp;INDEX('JOBS'!$D$5:$D$1504,MATCH(G$8&amp;"|"&amp;$A18,'JOBS'!$AK$5:$AK$1504,0))&amp;CHAR(10)&amp;INDEX('JOBS'!$F$5:$F$1504,MATCH(G$8&amp;"|"&amp;$A18,'JOBS'!$AK$5:$AK$1504,0))&amp;" · "&amp;INDEX('JOBS'!$H$5:$H$1504,MATCH(G$8&amp;"|"&amp;$A18,'JOBS'!$AK$5:$AK$1504,0))&amp;" · "&amp;INDEX('JOBS'!$A$5:$A$1504,MATCH(G$8&amp;"|"&amp;$A18,'JOBS'!$AK$5:$AK$1504,0)),"")</f>
        <v/>
      </c>
      <c r="H18" s="109">
        <f>IFERROR(TEXT(INDEX('JOBS'!$C$5:$C$1504,MATCH(H$8&amp;"|"&amp;$A18,'JOBS'!$AK$5:$AK$1504,0)),"h:mm AM/PM")&amp;"  "&amp;INDEX('JOBS'!$D$5:$D$1504,MATCH(H$8&amp;"|"&amp;$A18,'JOBS'!$AK$5:$AK$1504,0))&amp;CHAR(10)&amp;INDEX('JOBS'!$F$5:$F$1504,MATCH(H$8&amp;"|"&amp;$A18,'JOBS'!$AK$5:$AK$1504,0))&amp;" · "&amp;INDEX('JOBS'!$H$5:$H$1504,MATCH(H$8&amp;"|"&amp;$A18,'JOBS'!$AK$5:$AK$1504,0))&amp;" · "&amp;INDEX('JOBS'!$A$5:$A$1504,MATCH(H$8&amp;"|"&amp;$A18,'JOBS'!$AK$5:$AK$1504,0)),"")</f>
        <v/>
      </c>
    </row>
    <row r="19">
      <c r="A19" s="110" t="inlineStr">
        <is>
          <t>Jobs</t>
        </is>
      </c>
      <c r="B19" s="111">
        <f>COUNTIFS('JOBS'!$B$5:$B$1504,B$8,'JOBS'!$O$5:$O$1504,"&lt;&gt;Cancelled",'JOBS'!$O$5:$O$1504,"&lt;&gt;Rescheduled")</f>
        <v/>
      </c>
      <c r="C19" s="111">
        <f>COUNTIFS('JOBS'!$B$5:$B$1504,C$8,'JOBS'!$O$5:$O$1504,"&lt;&gt;Cancelled",'JOBS'!$O$5:$O$1504,"&lt;&gt;Rescheduled")</f>
        <v/>
      </c>
      <c r="D19" s="111">
        <f>COUNTIFS('JOBS'!$B$5:$B$1504,D$8,'JOBS'!$O$5:$O$1504,"&lt;&gt;Cancelled",'JOBS'!$O$5:$O$1504,"&lt;&gt;Rescheduled")</f>
        <v/>
      </c>
      <c r="E19" s="111">
        <f>COUNTIFS('JOBS'!$B$5:$B$1504,E$8,'JOBS'!$O$5:$O$1504,"&lt;&gt;Cancelled",'JOBS'!$O$5:$O$1504,"&lt;&gt;Rescheduled")</f>
        <v/>
      </c>
      <c r="F19" s="111">
        <f>COUNTIFS('JOBS'!$B$5:$B$1504,F$8,'JOBS'!$O$5:$O$1504,"&lt;&gt;Cancelled",'JOBS'!$O$5:$O$1504,"&lt;&gt;Rescheduled")</f>
        <v/>
      </c>
      <c r="G19" s="111">
        <f>COUNTIFS('JOBS'!$B$5:$B$1504,G$8,'JOBS'!$O$5:$O$1504,"&lt;&gt;Cancelled",'JOBS'!$O$5:$O$1504,"&lt;&gt;Rescheduled")</f>
        <v/>
      </c>
      <c r="H19" s="111">
        <f>COUNTIFS('JOBS'!$B$5:$B$1504,H$8,'JOBS'!$O$5:$O$1504,"&lt;&gt;Cancelled",'JOBS'!$O$5:$O$1504,"&lt;&gt;Rescheduled")</f>
        <v/>
      </c>
    </row>
    <row r="20">
      <c r="A20" s="110" t="inlineStr">
        <is>
          <t>Labor hours</t>
        </is>
      </c>
      <c r="B20" s="112">
        <f>SUMIFS('JOBS'!$R$5:$R$1504,'JOBS'!$B$5:$B$1504,B$8,'JOBS'!$O$5:$O$1504,"&lt;&gt;Cancelled",'JOBS'!$O$5:$O$1504,"&lt;&gt;Rescheduled")</f>
        <v/>
      </c>
      <c r="C20" s="112">
        <f>SUMIFS('JOBS'!$R$5:$R$1504,'JOBS'!$B$5:$B$1504,C$8,'JOBS'!$O$5:$O$1504,"&lt;&gt;Cancelled",'JOBS'!$O$5:$O$1504,"&lt;&gt;Rescheduled")</f>
        <v/>
      </c>
      <c r="D20" s="112">
        <f>SUMIFS('JOBS'!$R$5:$R$1504,'JOBS'!$B$5:$B$1504,D$8,'JOBS'!$O$5:$O$1504,"&lt;&gt;Cancelled",'JOBS'!$O$5:$O$1504,"&lt;&gt;Rescheduled")</f>
        <v/>
      </c>
      <c r="E20" s="112">
        <f>SUMIFS('JOBS'!$R$5:$R$1504,'JOBS'!$B$5:$B$1504,E$8,'JOBS'!$O$5:$O$1504,"&lt;&gt;Cancelled",'JOBS'!$O$5:$O$1504,"&lt;&gt;Rescheduled")</f>
        <v/>
      </c>
      <c r="F20" s="112">
        <f>SUMIFS('JOBS'!$R$5:$R$1504,'JOBS'!$B$5:$B$1504,F$8,'JOBS'!$O$5:$O$1504,"&lt;&gt;Cancelled",'JOBS'!$O$5:$O$1504,"&lt;&gt;Rescheduled")</f>
        <v/>
      </c>
      <c r="G20" s="112">
        <f>SUMIFS('JOBS'!$R$5:$R$1504,'JOBS'!$B$5:$B$1504,G$8,'JOBS'!$O$5:$O$1504,"&lt;&gt;Cancelled",'JOBS'!$O$5:$O$1504,"&lt;&gt;Rescheduled")</f>
        <v/>
      </c>
      <c r="H20" s="112">
        <f>SUMIFS('JOBS'!$R$5:$R$1504,'JOBS'!$B$5:$B$1504,H$8,'JOBS'!$O$5:$O$1504,"&lt;&gt;Cancelled",'JOBS'!$O$5:$O$1504,"&lt;&gt;Rescheduled")</f>
        <v/>
      </c>
    </row>
    <row r="21">
      <c r="A21" s="110" t="inlineStr">
        <is>
          <t>Revenue</t>
        </is>
      </c>
      <c r="B21" s="113">
        <f>SUMIFS('JOBS'!$L$5:$L$1504,'JOBS'!$B$5:$B$1504,B$8,'JOBS'!$O$5:$O$1504,"&lt;&gt;Cancelled",'JOBS'!$O$5:$O$1504,"&lt;&gt;Rescheduled")</f>
        <v/>
      </c>
      <c r="C21" s="113">
        <f>SUMIFS('JOBS'!$L$5:$L$1504,'JOBS'!$B$5:$B$1504,C$8,'JOBS'!$O$5:$O$1504,"&lt;&gt;Cancelled",'JOBS'!$O$5:$O$1504,"&lt;&gt;Rescheduled")</f>
        <v/>
      </c>
      <c r="D21" s="113">
        <f>SUMIFS('JOBS'!$L$5:$L$1504,'JOBS'!$B$5:$B$1504,D$8,'JOBS'!$O$5:$O$1504,"&lt;&gt;Cancelled",'JOBS'!$O$5:$O$1504,"&lt;&gt;Rescheduled")</f>
        <v/>
      </c>
      <c r="E21" s="113">
        <f>SUMIFS('JOBS'!$L$5:$L$1504,'JOBS'!$B$5:$B$1504,E$8,'JOBS'!$O$5:$O$1504,"&lt;&gt;Cancelled",'JOBS'!$O$5:$O$1504,"&lt;&gt;Rescheduled")</f>
        <v/>
      </c>
      <c r="F21" s="113">
        <f>SUMIFS('JOBS'!$L$5:$L$1504,'JOBS'!$B$5:$B$1504,F$8,'JOBS'!$O$5:$O$1504,"&lt;&gt;Cancelled",'JOBS'!$O$5:$O$1504,"&lt;&gt;Rescheduled")</f>
        <v/>
      </c>
      <c r="G21" s="113">
        <f>SUMIFS('JOBS'!$L$5:$L$1504,'JOBS'!$B$5:$B$1504,G$8,'JOBS'!$O$5:$O$1504,"&lt;&gt;Cancelled",'JOBS'!$O$5:$O$1504,"&lt;&gt;Rescheduled")</f>
        <v/>
      </c>
      <c r="H21" s="113">
        <f>SUMIFS('JOBS'!$L$5:$L$1504,'JOBS'!$B$5:$B$1504,H$8,'JOBS'!$O$5:$O$1504,"&lt;&gt;Cancelled",'JOBS'!$O$5:$O$1504,"&lt;&gt;Rescheduled")</f>
        <v/>
      </c>
    </row>
    <row r="22">
      <c r="A22" s="41" t="inlineStr">
        <is>
          <t>Shows up to 10 jobs per day. Cancelled and rescheduled jobs are hidden. Slots fill in start-time order.</t>
        </is>
      </c>
    </row>
    <row r="24">
      <c r="A24" s="5" t="inlineStr">
        <is>
          <t>RECURRING VISITS THAT NEED BOOKING  (overdue or due within 7 days — add them to JOBS)</t>
        </is>
      </c>
      <c r="B24" s="6" t="n"/>
      <c r="C24" s="6" t="n"/>
      <c r="D24" s="6" t="n"/>
      <c r="E24" s="6" t="n"/>
      <c r="F24" s="6" t="n"/>
      <c r="G24" s="6" t="n"/>
      <c r="H24" s="6" t="n"/>
    </row>
    <row r="25">
      <c r="A25" s="13" t="inlineStr">
        <is>
          <t>#</t>
        </is>
      </c>
      <c r="B25" s="13" t="inlineStr">
        <is>
          <t>Plan ID</t>
        </is>
      </c>
      <c r="C25" s="13" t="inlineStr">
        <is>
          <t>Customer</t>
        </is>
      </c>
      <c r="D25" s="13" t="inlineStr">
        <is>
          <t>Service</t>
        </is>
      </c>
      <c r="E25" s="13" t="inlineStr">
        <is>
          <t>Frequency</t>
        </is>
      </c>
      <c r="F25" s="13" t="inlineStr">
        <is>
          <t>Next Due</t>
        </is>
      </c>
      <c r="G25" s="13" t="inlineStr">
        <is>
          <t>Usual Worker</t>
        </is>
      </c>
      <c r="H25" s="13" t="inlineStr">
        <is>
          <t>Status</t>
        </is>
      </c>
    </row>
    <row r="26">
      <c r="A26" s="114" t="n">
        <v>1</v>
      </c>
      <c r="B26" s="38">
        <f>IFERROR(INDEX('RECURRING'!$A$5:$A$154,MATCH($A26,'RECURRING'!$U$5:$U$154,0)),"")</f>
        <v/>
      </c>
      <c r="C26" s="38">
        <f>IFERROR(INDEX('RECURRING'!$B$5:$B$154,MATCH($A26,'RECURRING'!$U$5:$U$154,0)),"")</f>
        <v/>
      </c>
      <c r="D26" s="38">
        <f>IFERROR(INDEX('RECURRING'!$D$5:$D$154,MATCH($A26,'RECURRING'!$U$5:$U$154,0)),"")</f>
        <v/>
      </c>
      <c r="E26" s="38">
        <f>IFERROR(INDEX('RECURRING'!$E$5:$E$154,MATCH($A26,'RECURRING'!$U$5:$U$154,0)),"")</f>
        <v/>
      </c>
      <c r="F26" s="47">
        <f>IFERROR(INDEX('RECURRING'!$O$5:$O$154,MATCH($A26,'RECURRING'!$U$5:$U$154,0)),"")</f>
        <v/>
      </c>
      <c r="G26" s="38">
        <f>IFERROR(INDEX('RECURRING'!$G$5:$G$154,MATCH($A26,'RECURRING'!$U$5:$U$154,0)),"")</f>
        <v/>
      </c>
      <c r="H26" s="38">
        <f>IFERROR(INDEX('RECURRING'!$Q$5:$Q$154,MATCH($A26,'RECURRING'!$U$5:$U$154,0)),"")</f>
        <v/>
      </c>
    </row>
    <row r="27">
      <c r="A27" s="114" t="n">
        <v>2</v>
      </c>
      <c r="B27" s="38">
        <f>IFERROR(INDEX('RECURRING'!$A$5:$A$154,MATCH($A27,'RECURRING'!$U$5:$U$154,0)),"")</f>
        <v/>
      </c>
      <c r="C27" s="38">
        <f>IFERROR(INDEX('RECURRING'!$B$5:$B$154,MATCH($A27,'RECURRING'!$U$5:$U$154,0)),"")</f>
        <v/>
      </c>
      <c r="D27" s="38">
        <f>IFERROR(INDEX('RECURRING'!$D$5:$D$154,MATCH($A27,'RECURRING'!$U$5:$U$154,0)),"")</f>
        <v/>
      </c>
      <c r="E27" s="38">
        <f>IFERROR(INDEX('RECURRING'!$E$5:$E$154,MATCH($A27,'RECURRING'!$U$5:$U$154,0)),"")</f>
        <v/>
      </c>
      <c r="F27" s="47">
        <f>IFERROR(INDEX('RECURRING'!$O$5:$O$154,MATCH($A27,'RECURRING'!$U$5:$U$154,0)),"")</f>
        <v/>
      </c>
      <c r="G27" s="38">
        <f>IFERROR(INDEX('RECURRING'!$G$5:$G$154,MATCH($A27,'RECURRING'!$U$5:$U$154,0)),"")</f>
        <v/>
      </c>
      <c r="H27" s="38">
        <f>IFERROR(INDEX('RECURRING'!$Q$5:$Q$154,MATCH($A27,'RECURRING'!$U$5:$U$154,0)),"")</f>
        <v/>
      </c>
    </row>
    <row r="28">
      <c r="A28" s="114" t="n">
        <v>3</v>
      </c>
      <c r="B28" s="38">
        <f>IFERROR(INDEX('RECURRING'!$A$5:$A$154,MATCH($A28,'RECURRING'!$U$5:$U$154,0)),"")</f>
        <v/>
      </c>
      <c r="C28" s="38">
        <f>IFERROR(INDEX('RECURRING'!$B$5:$B$154,MATCH($A28,'RECURRING'!$U$5:$U$154,0)),"")</f>
        <v/>
      </c>
      <c r="D28" s="38">
        <f>IFERROR(INDEX('RECURRING'!$D$5:$D$154,MATCH($A28,'RECURRING'!$U$5:$U$154,0)),"")</f>
        <v/>
      </c>
      <c r="E28" s="38">
        <f>IFERROR(INDEX('RECURRING'!$E$5:$E$154,MATCH($A28,'RECURRING'!$U$5:$U$154,0)),"")</f>
        <v/>
      </c>
      <c r="F28" s="47">
        <f>IFERROR(INDEX('RECURRING'!$O$5:$O$154,MATCH($A28,'RECURRING'!$U$5:$U$154,0)),"")</f>
        <v/>
      </c>
      <c r="G28" s="38">
        <f>IFERROR(INDEX('RECURRING'!$G$5:$G$154,MATCH($A28,'RECURRING'!$U$5:$U$154,0)),"")</f>
        <v/>
      </c>
      <c r="H28" s="38">
        <f>IFERROR(INDEX('RECURRING'!$Q$5:$Q$154,MATCH($A28,'RECURRING'!$U$5:$U$154,0)),"")</f>
        <v/>
      </c>
    </row>
    <row r="29">
      <c r="A29" s="114" t="n">
        <v>4</v>
      </c>
      <c r="B29" s="38">
        <f>IFERROR(INDEX('RECURRING'!$A$5:$A$154,MATCH($A29,'RECURRING'!$U$5:$U$154,0)),"")</f>
        <v/>
      </c>
      <c r="C29" s="38">
        <f>IFERROR(INDEX('RECURRING'!$B$5:$B$154,MATCH($A29,'RECURRING'!$U$5:$U$154,0)),"")</f>
        <v/>
      </c>
      <c r="D29" s="38">
        <f>IFERROR(INDEX('RECURRING'!$D$5:$D$154,MATCH($A29,'RECURRING'!$U$5:$U$154,0)),"")</f>
        <v/>
      </c>
      <c r="E29" s="38">
        <f>IFERROR(INDEX('RECURRING'!$E$5:$E$154,MATCH($A29,'RECURRING'!$U$5:$U$154,0)),"")</f>
        <v/>
      </c>
      <c r="F29" s="47">
        <f>IFERROR(INDEX('RECURRING'!$O$5:$O$154,MATCH($A29,'RECURRING'!$U$5:$U$154,0)),"")</f>
        <v/>
      </c>
      <c r="G29" s="38">
        <f>IFERROR(INDEX('RECURRING'!$G$5:$G$154,MATCH($A29,'RECURRING'!$U$5:$U$154,0)),"")</f>
        <v/>
      </c>
      <c r="H29" s="38">
        <f>IFERROR(INDEX('RECURRING'!$Q$5:$Q$154,MATCH($A29,'RECURRING'!$U$5:$U$154,0)),"")</f>
        <v/>
      </c>
    </row>
    <row r="30">
      <c r="A30" s="114" t="n">
        <v>5</v>
      </c>
      <c r="B30" s="38">
        <f>IFERROR(INDEX('RECURRING'!$A$5:$A$154,MATCH($A30,'RECURRING'!$U$5:$U$154,0)),"")</f>
        <v/>
      </c>
      <c r="C30" s="38">
        <f>IFERROR(INDEX('RECURRING'!$B$5:$B$154,MATCH($A30,'RECURRING'!$U$5:$U$154,0)),"")</f>
        <v/>
      </c>
      <c r="D30" s="38">
        <f>IFERROR(INDEX('RECURRING'!$D$5:$D$154,MATCH($A30,'RECURRING'!$U$5:$U$154,0)),"")</f>
        <v/>
      </c>
      <c r="E30" s="38">
        <f>IFERROR(INDEX('RECURRING'!$E$5:$E$154,MATCH($A30,'RECURRING'!$U$5:$U$154,0)),"")</f>
        <v/>
      </c>
      <c r="F30" s="47">
        <f>IFERROR(INDEX('RECURRING'!$O$5:$O$154,MATCH($A30,'RECURRING'!$U$5:$U$154,0)),"")</f>
        <v/>
      </c>
      <c r="G30" s="38">
        <f>IFERROR(INDEX('RECURRING'!$G$5:$G$154,MATCH($A30,'RECURRING'!$U$5:$U$154,0)),"")</f>
        <v/>
      </c>
      <c r="H30" s="38">
        <f>IFERROR(INDEX('RECURRING'!$Q$5:$Q$154,MATCH($A30,'RECURRING'!$U$5:$U$154,0)),"")</f>
        <v/>
      </c>
    </row>
    <row r="31">
      <c r="A31" s="114" t="n">
        <v>6</v>
      </c>
      <c r="B31" s="38">
        <f>IFERROR(INDEX('RECURRING'!$A$5:$A$154,MATCH($A31,'RECURRING'!$U$5:$U$154,0)),"")</f>
        <v/>
      </c>
      <c r="C31" s="38">
        <f>IFERROR(INDEX('RECURRING'!$B$5:$B$154,MATCH($A31,'RECURRING'!$U$5:$U$154,0)),"")</f>
        <v/>
      </c>
      <c r="D31" s="38">
        <f>IFERROR(INDEX('RECURRING'!$D$5:$D$154,MATCH($A31,'RECURRING'!$U$5:$U$154,0)),"")</f>
        <v/>
      </c>
      <c r="E31" s="38">
        <f>IFERROR(INDEX('RECURRING'!$E$5:$E$154,MATCH($A31,'RECURRING'!$U$5:$U$154,0)),"")</f>
        <v/>
      </c>
      <c r="F31" s="47">
        <f>IFERROR(INDEX('RECURRING'!$O$5:$O$154,MATCH($A31,'RECURRING'!$U$5:$U$154,0)),"")</f>
        <v/>
      </c>
      <c r="G31" s="38">
        <f>IFERROR(INDEX('RECURRING'!$G$5:$G$154,MATCH($A31,'RECURRING'!$U$5:$U$154,0)),"")</f>
        <v/>
      </c>
      <c r="H31" s="38">
        <f>IFERROR(INDEX('RECURRING'!$Q$5:$Q$154,MATCH($A31,'RECURRING'!$U$5:$U$154,0)),"")</f>
        <v/>
      </c>
    </row>
    <row r="32">
      <c r="A32" s="114" t="n">
        <v>7</v>
      </c>
      <c r="B32" s="38">
        <f>IFERROR(INDEX('RECURRING'!$A$5:$A$154,MATCH($A32,'RECURRING'!$U$5:$U$154,0)),"")</f>
        <v/>
      </c>
      <c r="C32" s="38">
        <f>IFERROR(INDEX('RECURRING'!$B$5:$B$154,MATCH($A32,'RECURRING'!$U$5:$U$154,0)),"")</f>
        <v/>
      </c>
      <c r="D32" s="38">
        <f>IFERROR(INDEX('RECURRING'!$D$5:$D$154,MATCH($A32,'RECURRING'!$U$5:$U$154,0)),"")</f>
        <v/>
      </c>
      <c r="E32" s="38">
        <f>IFERROR(INDEX('RECURRING'!$E$5:$E$154,MATCH($A32,'RECURRING'!$U$5:$U$154,0)),"")</f>
        <v/>
      </c>
      <c r="F32" s="47">
        <f>IFERROR(INDEX('RECURRING'!$O$5:$O$154,MATCH($A32,'RECURRING'!$U$5:$U$154,0)),"")</f>
        <v/>
      </c>
      <c r="G32" s="38">
        <f>IFERROR(INDEX('RECURRING'!$G$5:$G$154,MATCH($A32,'RECURRING'!$U$5:$U$154,0)),"")</f>
        <v/>
      </c>
      <c r="H32" s="38">
        <f>IFERROR(INDEX('RECURRING'!$Q$5:$Q$154,MATCH($A32,'RECURRING'!$U$5:$U$154,0)),"")</f>
        <v/>
      </c>
    </row>
    <row r="33">
      <c r="A33" s="114" t="n">
        <v>8</v>
      </c>
      <c r="B33" s="38">
        <f>IFERROR(INDEX('RECURRING'!$A$5:$A$154,MATCH($A33,'RECURRING'!$U$5:$U$154,0)),"")</f>
        <v/>
      </c>
      <c r="C33" s="38">
        <f>IFERROR(INDEX('RECURRING'!$B$5:$B$154,MATCH($A33,'RECURRING'!$U$5:$U$154,0)),"")</f>
        <v/>
      </c>
      <c r="D33" s="38">
        <f>IFERROR(INDEX('RECURRING'!$D$5:$D$154,MATCH($A33,'RECURRING'!$U$5:$U$154,0)),"")</f>
        <v/>
      </c>
      <c r="E33" s="38">
        <f>IFERROR(INDEX('RECURRING'!$E$5:$E$154,MATCH($A33,'RECURRING'!$U$5:$U$154,0)),"")</f>
        <v/>
      </c>
      <c r="F33" s="47">
        <f>IFERROR(INDEX('RECURRING'!$O$5:$O$154,MATCH($A33,'RECURRING'!$U$5:$U$154,0)),"")</f>
        <v/>
      </c>
      <c r="G33" s="38">
        <f>IFERROR(INDEX('RECURRING'!$G$5:$G$154,MATCH($A33,'RECURRING'!$U$5:$U$154,0)),"")</f>
        <v/>
      </c>
      <c r="H33" s="38">
        <f>IFERROR(INDEX('RECURRING'!$Q$5:$Q$154,MATCH($A33,'RECURRING'!$U$5:$U$154,0)),"")</f>
        <v/>
      </c>
    </row>
    <row r="34">
      <c r="A34" s="114" t="n">
        <v>9</v>
      </c>
      <c r="B34" s="38">
        <f>IFERROR(INDEX('RECURRING'!$A$5:$A$154,MATCH($A34,'RECURRING'!$U$5:$U$154,0)),"")</f>
        <v/>
      </c>
      <c r="C34" s="38">
        <f>IFERROR(INDEX('RECURRING'!$B$5:$B$154,MATCH($A34,'RECURRING'!$U$5:$U$154,0)),"")</f>
        <v/>
      </c>
      <c r="D34" s="38">
        <f>IFERROR(INDEX('RECURRING'!$D$5:$D$154,MATCH($A34,'RECURRING'!$U$5:$U$154,0)),"")</f>
        <v/>
      </c>
      <c r="E34" s="38">
        <f>IFERROR(INDEX('RECURRING'!$E$5:$E$154,MATCH($A34,'RECURRING'!$U$5:$U$154,0)),"")</f>
        <v/>
      </c>
      <c r="F34" s="47">
        <f>IFERROR(INDEX('RECURRING'!$O$5:$O$154,MATCH($A34,'RECURRING'!$U$5:$U$154,0)),"")</f>
        <v/>
      </c>
      <c r="G34" s="38">
        <f>IFERROR(INDEX('RECURRING'!$G$5:$G$154,MATCH($A34,'RECURRING'!$U$5:$U$154,0)),"")</f>
        <v/>
      </c>
      <c r="H34" s="38">
        <f>IFERROR(INDEX('RECURRING'!$Q$5:$Q$154,MATCH($A34,'RECURRING'!$U$5:$U$154,0)),"")</f>
        <v/>
      </c>
    </row>
    <row r="35">
      <c r="A35" s="114" t="n">
        <v>10</v>
      </c>
      <c r="B35" s="38">
        <f>IFERROR(INDEX('RECURRING'!$A$5:$A$154,MATCH($A35,'RECURRING'!$U$5:$U$154,0)),"")</f>
        <v/>
      </c>
      <c r="C35" s="38">
        <f>IFERROR(INDEX('RECURRING'!$B$5:$B$154,MATCH($A35,'RECURRING'!$U$5:$U$154,0)),"")</f>
        <v/>
      </c>
      <c r="D35" s="38">
        <f>IFERROR(INDEX('RECURRING'!$D$5:$D$154,MATCH($A35,'RECURRING'!$U$5:$U$154,0)),"")</f>
        <v/>
      </c>
      <c r="E35" s="38">
        <f>IFERROR(INDEX('RECURRING'!$E$5:$E$154,MATCH($A35,'RECURRING'!$U$5:$U$154,0)),"")</f>
        <v/>
      </c>
      <c r="F35" s="47">
        <f>IFERROR(INDEX('RECURRING'!$O$5:$O$154,MATCH($A35,'RECURRING'!$U$5:$U$154,0)),"")</f>
        <v/>
      </c>
      <c r="G35" s="38">
        <f>IFERROR(INDEX('RECURRING'!$G$5:$G$154,MATCH($A35,'RECURRING'!$U$5:$U$154,0)),"")</f>
        <v/>
      </c>
      <c r="H35" s="38">
        <f>IFERROR(INDEX('RECURRING'!$Q$5:$Q$154,MATCH($A35,'RECURRING'!$U$5:$U$154,0)),"")</f>
        <v/>
      </c>
    </row>
    <row r="36">
      <c r="A36" s="114" t="n">
        <v>11</v>
      </c>
      <c r="B36" s="38">
        <f>IFERROR(INDEX('RECURRING'!$A$5:$A$154,MATCH($A36,'RECURRING'!$U$5:$U$154,0)),"")</f>
        <v/>
      </c>
      <c r="C36" s="38">
        <f>IFERROR(INDEX('RECURRING'!$B$5:$B$154,MATCH($A36,'RECURRING'!$U$5:$U$154,0)),"")</f>
        <v/>
      </c>
      <c r="D36" s="38">
        <f>IFERROR(INDEX('RECURRING'!$D$5:$D$154,MATCH($A36,'RECURRING'!$U$5:$U$154,0)),"")</f>
        <v/>
      </c>
      <c r="E36" s="38">
        <f>IFERROR(INDEX('RECURRING'!$E$5:$E$154,MATCH($A36,'RECURRING'!$U$5:$U$154,0)),"")</f>
        <v/>
      </c>
      <c r="F36" s="47">
        <f>IFERROR(INDEX('RECURRING'!$O$5:$O$154,MATCH($A36,'RECURRING'!$U$5:$U$154,0)),"")</f>
        <v/>
      </c>
      <c r="G36" s="38">
        <f>IFERROR(INDEX('RECURRING'!$G$5:$G$154,MATCH($A36,'RECURRING'!$U$5:$U$154,0)),"")</f>
        <v/>
      </c>
      <c r="H36" s="38">
        <f>IFERROR(INDEX('RECURRING'!$Q$5:$Q$154,MATCH($A36,'RECURRING'!$U$5:$U$154,0)),"")</f>
        <v/>
      </c>
    </row>
    <row r="37">
      <c r="A37" s="114" t="n">
        <v>12</v>
      </c>
      <c r="B37" s="38">
        <f>IFERROR(INDEX('RECURRING'!$A$5:$A$154,MATCH($A37,'RECURRING'!$U$5:$U$154,0)),"")</f>
        <v/>
      </c>
      <c r="C37" s="38">
        <f>IFERROR(INDEX('RECURRING'!$B$5:$B$154,MATCH($A37,'RECURRING'!$U$5:$U$154,0)),"")</f>
        <v/>
      </c>
      <c r="D37" s="38">
        <f>IFERROR(INDEX('RECURRING'!$D$5:$D$154,MATCH($A37,'RECURRING'!$U$5:$U$154,0)),"")</f>
        <v/>
      </c>
      <c r="E37" s="38">
        <f>IFERROR(INDEX('RECURRING'!$E$5:$E$154,MATCH($A37,'RECURRING'!$U$5:$U$154,0)),"")</f>
        <v/>
      </c>
      <c r="F37" s="47">
        <f>IFERROR(INDEX('RECURRING'!$O$5:$O$154,MATCH($A37,'RECURRING'!$U$5:$U$154,0)),"")</f>
        <v/>
      </c>
      <c r="G37" s="38">
        <f>IFERROR(INDEX('RECURRING'!$G$5:$G$154,MATCH($A37,'RECURRING'!$U$5:$U$154,0)),"")</f>
        <v/>
      </c>
      <c r="H37" s="38">
        <f>IFERROR(INDEX('RECURRING'!$Q$5:$Q$154,MATCH($A37,'RECURRING'!$U$5:$U$154,0)),"")</f>
        <v/>
      </c>
    </row>
  </sheetData>
  <mergeCells count="2">
    <mergeCell ref="A2:H2"/>
    <mergeCell ref="A1:H1"/>
  </mergeCell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1.xml><?xml version="1.0" encoding="utf-8"?>
<worksheet xmlns="http://schemas.openxmlformats.org/spreadsheetml/2006/main">
  <sheetPr>
    <tabColor rgb="002BB3A3"/>
    <outlinePr summaryBelow="1" summaryRight="1"/>
    <pageSetUpPr fitToPage="1"/>
  </sheetPr>
  <dimension ref="A1:M2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3" customWidth="1" min="3" max="3"/>
    <col width="15" customWidth="1" min="4" max="4"/>
    <col width="22" customWidth="1" min="5" max="5"/>
    <col width="13" customWidth="1" min="6" max="6"/>
    <col width="26" customWidth="1" min="7" max="7"/>
    <col width="22" customWidth="1" min="8" max="8"/>
    <col width="13" customWidth="1" min="9" max="9"/>
    <col width="13" customWidth="1" min="10" max="10"/>
    <col width="13" customWidth="1" min="11" max="11"/>
    <col width="13" customWidth="1" min="12" max="12"/>
    <col width="13" customWidth="1" min="13" max="13"/>
  </cols>
  <sheetData>
    <row r="1" ht="34" customHeight="1">
      <c r="A1" s="42" t="inlineStr">
        <is>
          <t>STAFF &amp; TASK ASSIGNMENTS</t>
        </is>
      </c>
      <c r="B1" s="1" t="n"/>
      <c r="C1" s="1" t="n"/>
      <c r="D1" s="1" t="n"/>
      <c r="E1" s="1" t="n"/>
      <c r="F1" s="1" t="n"/>
      <c r="G1" s="1" t="n"/>
      <c r="H1" s="1" t="n"/>
      <c r="I1" s="1" t="n"/>
      <c r="J1" s="1" t="n"/>
      <c r="K1" s="1" t="n"/>
      <c r="L1" s="1" t="n"/>
      <c r="M1" s="1" t="n"/>
    </row>
    <row r="2" ht="30" customHeight="1">
      <c r="A2" s="43" t="inlineStr">
        <is>
          <t>Top: team roster (names feed every Worker dropdown; pay rates feed job labor cost). Bottom: task assignments. Hiring, pay and classification decisions are yours — get professional advice where needed.</t>
        </is>
      </c>
    </row>
    <row r="3" ht="18" customHeight="1">
      <c r="A3" s="24" t="inlineStr">
        <is>
          <t>← Start Here</t>
        </is>
      </c>
      <c r="B3" s="24" t="inlineStr">
        <is>
          <t>Dashboard →</t>
        </is>
      </c>
    </row>
    <row r="4" ht="42" customHeight="1">
      <c r="A4" s="44" t="inlineStr">
        <is>
          <t>Name (unique)</t>
        </is>
      </c>
      <c r="B4" s="44" t="inlineStr">
        <is>
          <t>Role</t>
        </is>
      </c>
      <c r="C4" s="44" t="inlineStr">
        <is>
          <t>Pay Rate ($/hr)</t>
        </is>
      </c>
      <c r="D4" s="44" t="inlineStr">
        <is>
          <t>Phone</t>
        </is>
      </c>
      <c r="E4" s="44" t="inlineStr">
        <is>
          <t>Email</t>
        </is>
      </c>
      <c r="F4" s="44" t="inlineStr">
        <is>
          <t>Status</t>
        </is>
      </c>
      <c r="G4" s="44" t="inlineStr">
        <is>
          <t>Start Date</t>
        </is>
      </c>
      <c r="H4" s="44" t="inlineStr">
        <is>
          <t>Notes</t>
        </is>
      </c>
      <c r="I4" s="45" t="inlineStr">
        <is>
          <t>Jobs (Rpt Month) ⚙</t>
        </is>
      </c>
      <c r="J4" s="45" t="inlineStr">
        <is>
          <t>Labor Hrs (Rpt Month) ⚙</t>
        </is>
      </c>
      <c r="K4" s="45" t="inlineStr">
        <is>
          <t>Revenue (Rpt Month) ⚙</t>
        </is>
      </c>
      <c r="L4" s="45" t="inlineStr">
        <is>
          <t>Avg QC Score (all) ⚙</t>
        </is>
      </c>
      <c r="M4" s="45" t="inlineStr">
        <is>
          <t>Issues Logged (all) ⚙</t>
        </is>
      </c>
    </row>
    <row r="5">
      <c r="A5" s="38" t="inlineStr">
        <is>
          <t>Jordan Rivera</t>
        </is>
      </c>
      <c r="B5" s="38" t="inlineStr">
        <is>
          <t>Owner</t>
        </is>
      </c>
      <c r="C5" s="48" t="n">
        <v>28</v>
      </c>
      <c r="D5" s="38" t="inlineStr">
        <is>
          <t>555-0100</t>
        </is>
      </c>
      <c r="E5" s="38" t="inlineStr">
        <is>
          <t>jordan@example.com</t>
        </is>
      </c>
      <c r="F5" s="38" t="inlineStr">
        <is>
          <t>Active</t>
        </is>
      </c>
      <c r="G5" s="47" t="n">
        <v>45352</v>
      </c>
      <c r="H5" s="38" t="inlineStr">
        <is>
          <t>Owner-operator; covers inspections</t>
        </is>
      </c>
      <c r="I5" s="53">
        <f>IF(A5="","",COUNTIFS('JOBS'!$H$5:$H$1504,A5,'JOBS'!$O$5:$O$1504,"Completed",'JOBS'!$AH$5:$AH$1504,ReportMonth))</f>
        <v/>
      </c>
      <c r="J5" s="98">
        <f>IF(A5="","",SUMIFS('JOBS'!$R$5:$R$1504,'JOBS'!$H$5:$H$1504,A5,'JOBS'!$O$5:$O$1504,"Completed",'JOBS'!$AH$5:$AH$1504,ReportMonth))</f>
        <v/>
      </c>
      <c r="K5" s="54">
        <f>IF(A5="","",SUMIFS('JOBS'!$L$5:$L$1504,'JOBS'!$H$5:$H$1504,A5,'JOBS'!$O$5:$O$1504,"Completed",'JOBS'!$AH$5:$AH$1504,ReportMonth))</f>
        <v/>
      </c>
      <c r="L5" s="99">
        <f>IF(A5="","",IFERROR(AVERAGEIFS('QUALITY CONTROL'!$M$5:$M$304,'QUALITY CONTROL'!$L$5:$L$304,A5),""))</f>
        <v/>
      </c>
      <c r="M5" s="53">
        <f>IF(A5="","",COUNTIF('QUALITY CONTROL'!$L$312:$L$461,A5))</f>
        <v/>
      </c>
    </row>
    <row r="6">
      <c r="A6" s="38" t="inlineStr">
        <is>
          <t>Maria Lopez</t>
        </is>
      </c>
      <c r="B6" s="38" t="inlineStr">
        <is>
          <t>Team Lead</t>
        </is>
      </c>
      <c r="C6" s="48" t="n">
        <v>21</v>
      </c>
      <c r="D6" s="38" t="inlineStr">
        <is>
          <t>555-0101</t>
        </is>
      </c>
      <c r="E6" s="38" t="inlineStr">
        <is>
          <t>maria@example.com</t>
        </is>
      </c>
      <c r="F6" s="38" t="inlineStr">
        <is>
          <t>Active</t>
        </is>
      </c>
      <c r="G6" s="47" t="n">
        <v>45698</v>
      </c>
      <c r="H6" s="38" t="inlineStr">
        <is>
          <t>Leads deep cleans and move-outs</t>
        </is>
      </c>
      <c r="I6" s="53">
        <f>IF(A6="","",COUNTIFS('JOBS'!$H$5:$H$1504,A6,'JOBS'!$O$5:$O$1504,"Completed",'JOBS'!$AH$5:$AH$1504,ReportMonth))</f>
        <v/>
      </c>
      <c r="J6" s="98">
        <f>IF(A6="","",SUMIFS('JOBS'!$R$5:$R$1504,'JOBS'!$H$5:$H$1504,A6,'JOBS'!$O$5:$O$1504,"Completed",'JOBS'!$AH$5:$AH$1504,ReportMonth))</f>
        <v/>
      </c>
      <c r="K6" s="54">
        <f>IF(A6="","",SUMIFS('JOBS'!$L$5:$L$1504,'JOBS'!$H$5:$H$1504,A6,'JOBS'!$O$5:$O$1504,"Completed",'JOBS'!$AH$5:$AH$1504,ReportMonth))</f>
        <v/>
      </c>
      <c r="L6" s="99">
        <f>IF(A6="","",IFERROR(AVERAGEIFS('QUALITY CONTROL'!$M$5:$M$304,'QUALITY CONTROL'!$L$5:$L$304,A6),""))</f>
        <v/>
      </c>
      <c r="M6" s="53">
        <f>IF(A6="","",COUNTIF('QUALITY CONTROL'!$L$312:$L$461,A6))</f>
        <v/>
      </c>
    </row>
    <row r="7">
      <c r="A7" s="38" t="inlineStr">
        <is>
          <t>Dana Whitfield</t>
        </is>
      </c>
      <c r="B7" s="38" t="inlineStr">
        <is>
          <t>Cleaner</t>
        </is>
      </c>
      <c r="C7" s="48" t="n">
        <v>19</v>
      </c>
      <c r="D7" s="38" t="inlineStr">
        <is>
          <t>555-0102</t>
        </is>
      </c>
      <c r="E7" s="38" t="inlineStr">
        <is>
          <t>dana@example.com</t>
        </is>
      </c>
      <c r="F7" s="38" t="inlineStr">
        <is>
          <t>Active</t>
        </is>
      </c>
      <c r="G7" s="47" t="n">
        <v>45873</v>
      </c>
      <c r="H7" s="38" t="inlineStr"/>
      <c r="I7" s="53">
        <f>IF(A7="","",COUNTIFS('JOBS'!$H$5:$H$1504,A7,'JOBS'!$O$5:$O$1504,"Completed",'JOBS'!$AH$5:$AH$1504,ReportMonth))</f>
        <v/>
      </c>
      <c r="J7" s="98">
        <f>IF(A7="","",SUMIFS('JOBS'!$R$5:$R$1504,'JOBS'!$H$5:$H$1504,A7,'JOBS'!$O$5:$O$1504,"Completed",'JOBS'!$AH$5:$AH$1504,ReportMonth))</f>
        <v/>
      </c>
      <c r="K7" s="54">
        <f>IF(A7="","",SUMIFS('JOBS'!$L$5:$L$1504,'JOBS'!$H$5:$H$1504,A7,'JOBS'!$O$5:$O$1504,"Completed",'JOBS'!$AH$5:$AH$1504,ReportMonth))</f>
        <v/>
      </c>
      <c r="L7" s="99">
        <f>IF(A7="","",IFERROR(AVERAGEIFS('QUALITY CONTROL'!$M$5:$M$304,'QUALITY CONTROL'!$L$5:$L$304,A7),""))</f>
        <v/>
      </c>
      <c r="M7" s="53">
        <f>IF(A7="","",COUNTIF('QUALITY CONTROL'!$L$312:$L$461,A7))</f>
        <v/>
      </c>
    </row>
    <row r="8">
      <c r="A8" s="38" t="inlineStr">
        <is>
          <t>Kevin Osei</t>
        </is>
      </c>
      <c r="B8" s="38" t="inlineStr">
        <is>
          <t>Cleaner</t>
        </is>
      </c>
      <c r="C8" s="48" t="n">
        <v>18.5</v>
      </c>
      <c r="D8" s="38" t="inlineStr">
        <is>
          <t>555-0103</t>
        </is>
      </c>
      <c r="E8" s="38" t="inlineStr">
        <is>
          <t>kevin@example.com</t>
        </is>
      </c>
      <c r="F8" s="38" t="inlineStr">
        <is>
          <t>Active</t>
        </is>
      </c>
      <c r="G8" s="47" t="n">
        <v>46034</v>
      </c>
      <c r="H8" s="38" t="inlineStr">
        <is>
          <t>Short-term rental turnovers</t>
        </is>
      </c>
      <c r="I8" s="53">
        <f>IF(A8="","",COUNTIFS('JOBS'!$H$5:$H$1504,A8,'JOBS'!$O$5:$O$1504,"Completed",'JOBS'!$AH$5:$AH$1504,ReportMonth))</f>
        <v/>
      </c>
      <c r="J8" s="98">
        <f>IF(A8="","",SUMIFS('JOBS'!$R$5:$R$1504,'JOBS'!$H$5:$H$1504,A8,'JOBS'!$O$5:$O$1504,"Completed",'JOBS'!$AH$5:$AH$1504,ReportMonth))</f>
        <v/>
      </c>
      <c r="K8" s="54">
        <f>IF(A8="","",SUMIFS('JOBS'!$L$5:$L$1504,'JOBS'!$H$5:$H$1504,A8,'JOBS'!$O$5:$O$1504,"Completed",'JOBS'!$AH$5:$AH$1504,ReportMonth))</f>
        <v/>
      </c>
      <c r="L8" s="99">
        <f>IF(A8="","",IFERROR(AVERAGEIFS('QUALITY CONTROL'!$M$5:$M$304,'QUALITY CONTROL'!$L$5:$L$304,A8),""))</f>
        <v/>
      </c>
      <c r="M8" s="53">
        <f>IF(A8="","",COUNTIF('QUALITY CONTROL'!$L$312:$L$461,A8))</f>
        <v/>
      </c>
    </row>
    <row r="9">
      <c r="A9" s="38" t="n"/>
      <c r="B9" s="38" t="n"/>
      <c r="C9" s="48" t="n"/>
      <c r="D9" s="38" t="n"/>
      <c r="E9" s="38" t="n"/>
      <c r="F9" s="38" t="n"/>
      <c r="G9" s="47" t="n"/>
      <c r="H9" s="38" t="n"/>
      <c r="I9" s="53">
        <f>IF(A9="","",COUNTIFS('JOBS'!$H$5:$H$1504,A9,'JOBS'!$O$5:$O$1504,"Completed",'JOBS'!$AH$5:$AH$1504,ReportMonth))</f>
        <v/>
      </c>
      <c r="J9" s="98">
        <f>IF(A9="","",SUMIFS('JOBS'!$R$5:$R$1504,'JOBS'!$H$5:$H$1504,A9,'JOBS'!$O$5:$O$1504,"Completed",'JOBS'!$AH$5:$AH$1504,ReportMonth))</f>
        <v/>
      </c>
      <c r="K9" s="54">
        <f>IF(A9="","",SUMIFS('JOBS'!$L$5:$L$1504,'JOBS'!$H$5:$H$1504,A9,'JOBS'!$O$5:$O$1504,"Completed",'JOBS'!$AH$5:$AH$1504,ReportMonth))</f>
        <v/>
      </c>
      <c r="L9" s="99">
        <f>IF(A9="","",IFERROR(AVERAGEIFS('QUALITY CONTROL'!$M$5:$M$304,'QUALITY CONTROL'!$L$5:$L$304,A9),""))</f>
        <v/>
      </c>
      <c r="M9" s="53">
        <f>IF(A9="","",COUNTIF('QUALITY CONTROL'!$L$312:$L$461,A9))</f>
        <v/>
      </c>
    </row>
    <row r="10">
      <c r="A10" s="38" t="n"/>
      <c r="B10" s="38" t="n"/>
      <c r="C10" s="48" t="n"/>
      <c r="D10" s="38" t="n"/>
      <c r="E10" s="38" t="n"/>
      <c r="F10" s="38" t="n"/>
      <c r="G10" s="47" t="n"/>
      <c r="H10" s="38" t="n"/>
      <c r="I10" s="53">
        <f>IF(A10="","",COUNTIFS('JOBS'!$H$5:$H$1504,A10,'JOBS'!$O$5:$O$1504,"Completed",'JOBS'!$AH$5:$AH$1504,ReportMonth))</f>
        <v/>
      </c>
      <c r="J10" s="98">
        <f>IF(A10="","",SUMIFS('JOBS'!$R$5:$R$1504,'JOBS'!$H$5:$H$1504,A10,'JOBS'!$O$5:$O$1504,"Completed",'JOBS'!$AH$5:$AH$1504,ReportMonth))</f>
        <v/>
      </c>
      <c r="K10" s="54">
        <f>IF(A10="","",SUMIFS('JOBS'!$L$5:$L$1504,'JOBS'!$H$5:$H$1504,A10,'JOBS'!$O$5:$O$1504,"Completed",'JOBS'!$AH$5:$AH$1504,ReportMonth))</f>
        <v/>
      </c>
      <c r="L10" s="99">
        <f>IF(A10="","",IFERROR(AVERAGEIFS('QUALITY CONTROL'!$M$5:$M$304,'QUALITY CONTROL'!$L$5:$L$304,A10),""))</f>
        <v/>
      </c>
      <c r="M10" s="53">
        <f>IF(A10="","",COUNTIF('QUALITY CONTROL'!$L$312:$L$461,A10))</f>
        <v/>
      </c>
    </row>
    <row r="11">
      <c r="A11" s="38" t="n"/>
      <c r="B11" s="38" t="n"/>
      <c r="C11" s="48" t="n"/>
      <c r="D11" s="38" t="n"/>
      <c r="E11" s="38" t="n"/>
      <c r="F11" s="38" t="n"/>
      <c r="G11" s="47" t="n"/>
      <c r="H11" s="38" t="n"/>
      <c r="I11" s="53">
        <f>IF(A11="","",COUNTIFS('JOBS'!$H$5:$H$1504,A11,'JOBS'!$O$5:$O$1504,"Completed",'JOBS'!$AH$5:$AH$1504,ReportMonth))</f>
        <v/>
      </c>
      <c r="J11" s="98">
        <f>IF(A11="","",SUMIFS('JOBS'!$R$5:$R$1504,'JOBS'!$H$5:$H$1504,A11,'JOBS'!$O$5:$O$1504,"Completed",'JOBS'!$AH$5:$AH$1504,ReportMonth))</f>
        <v/>
      </c>
      <c r="K11" s="54">
        <f>IF(A11="","",SUMIFS('JOBS'!$L$5:$L$1504,'JOBS'!$H$5:$H$1504,A11,'JOBS'!$O$5:$O$1504,"Completed",'JOBS'!$AH$5:$AH$1504,ReportMonth))</f>
        <v/>
      </c>
      <c r="L11" s="99">
        <f>IF(A11="","",IFERROR(AVERAGEIFS('QUALITY CONTROL'!$M$5:$M$304,'QUALITY CONTROL'!$L$5:$L$304,A11),""))</f>
        <v/>
      </c>
      <c r="M11" s="53">
        <f>IF(A11="","",COUNTIF('QUALITY CONTROL'!$L$312:$L$461,A11))</f>
        <v/>
      </c>
    </row>
    <row r="12">
      <c r="A12" s="38" t="n"/>
      <c r="B12" s="38" t="n"/>
      <c r="C12" s="48" t="n"/>
      <c r="D12" s="38" t="n"/>
      <c r="E12" s="38" t="n"/>
      <c r="F12" s="38" t="n"/>
      <c r="G12" s="47" t="n"/>
      <c r="H12" s="38" t="n"/>
      <c r="I12" s="53">
        <f>IF(A12="","",COUNTIFS('JOBS'!$H$5:$H$1504,A12,'JOBS'!$O$5:$O$1504,"Completed",'JOBS'!$AH$5:$AH$1504,ReportMonth))</f>
        <v/>
      </c>
      <c r="J12" s="98">
        <f>IF(A12="","",SUMIFS('JOBS'!$R$5:$R$1504,'JOBS'!$H$5:$H$1504,A12,'JOBS'!$O$5:$O$1504,"Completed",'JOBS'!$AH$5:$AH$1504,ReportMonth))</f>
        <v/>
      </c>
      <c r="K12" s="54">
        <f>IF(A12="","",SUMIFS('JOBS'!$L$5:$L$1504,'JOBS'!$H$5:$H$1504,A12,'JOBS'!$O$5:$O$1504,"Completed",'JOBS'!$AH$5:$AH$1504,ReportMonth))</f>
        <v/>
      </c>
      <c r="L12" s="99">
        <f>IF(A12="","",IFERROR(AVERAGEIFS('QUALITY CONTROL'!$M$5:$M$304,'QUALITY CONTROL'!$L$5:$L$304,A12),""))</f>
        <v/>
      </c>
      <c r="M12" s="53">
        <f>IF(A12="","",COUNTIF('QUALITY CONTROL'!$L$312:$L$461,A12))</f>
        <v/>
      </c>
    </row>
    <row r="13">
      <c r="A13" s="38" t="n"/>
      <c r="B13" s="38" t="n"/>
      <c r="C13" s="48" t="n"/>
      <c r="D13" s="38" t="n"/>
      <c r="E13" s="38" t="n"/>
      <c r="F13" s="38" t="n"/>
      <c r="G13" s="47" t="n"/>
      <c r="H13" s="38" t="n"/>
      <c r="I13" s="53">
        <f>IF(A13="","",COUNTIFS('JOBS'!$H$5:$H$1504,A13,'JOBS'!$O$5:$O$1504,"Completed",'JOBS'!$AH$5:$AH$1504,ReportMonth))</f>
        <v/>
      </c>
      <c r="J13" s="98">
        <f>IF(A13="","",SUMIFS('JOBS'!$R$5:$R$1504,'JOBS'!$H$5:$H$1504,A13,'JOBS'!$O$5:$O$1504,"Completed",'JOBS'!$AH$5:$AH$1504,ReportMonth))</f>
        <v/>
      </c>
      <c r="K13" s="54">
        <f>IF(A13="","",SUMIFS('JOBS'!$L$5:$L$1504,'JOBS'!$H$5:$H$1504,A13,'JOBS'!$O$5:$O$1504,"Completed",'JOBS'!$AH$5:$AH$1504,ReportMonth))</f>
        <v/>
      </c>
      <c r="L13" s="99">
        <f>IF(A13="","",IFERROR(AVERAGEIFS('QUALITY CONTROL'!$M$5:$M$304,'QUALITY CONTROL'!$L$5:$L$304,A13),""))</f>
        <v/>
      </c>
      <c r="M13" s="53">
        <f>IF(A13="","",COUNTIF('QUALITY CONTROL'!$L$312:$L$461,A13))</f>
        <v/>
      </c>
    </row>
    <row r="14">
      <c r="A14" s="38" t="n"/>
      <c r="B14" s="38" t="n"/>
      <c r="C14" s="48" t="n"/>
      <c r="D14" s="38" t="n"/>
      <c r="E14" s="38" t="n"/>
      <c r="F14" s="38" t="n"/>
      <c r="G14" s="47" t="n"/>
      <c r="H14" s="38" t="n"/>
      <c r="I14" s="53">
        <f>IF(A14="","",COUNTIFS('JOBS'!$H$5:$H$1504,A14,'JOBS'!$O$5:$O$1504,"Completed",'JOBS'!$AH$5:$AH$1504,ReportMonth))</f>
        <v/>
      </c>
      <c r="J14" s="98">
        <f>IF(A14="","",SUMIFS('JOBS'!$R$5:$R$1504,'JOBS'!$H$5:$H$1504,A14,'JOBS'!$O$5:$O$1504,"Completed",'JOBS'!$AH$5:$AH$1504,ReportMonth))</f>
        <v/>
      </c>
      <c r="K14" s="54">
        <f>IF(A14="","",SUMIFS('JOBS'!$L$5:$L$1504,'JOBS'!$H$5:$H$1504,A14,'JOBS'!$O$5:$O$1504,"Completed",'JOBS'!$AH$5:$AH$1504,ReportMonth))</f>
        <v/>
      </c>
      <c r="L14" s="99">
        <f>IF(A14="","",IFERROR(AVERAGEIFS('QUALITY CONTROL'!$M$5:$M$304,'QUALITY CONTROL'!$L$5:$L$304,A14),""))</f>
        <v/>
      </c>
      <c r="M14" s="53">
        <f>IF(A14="","",COUNTIF('QUALITY CONTROL'!$L$312:$L$461,A14))</f>
        <v/>
      </c>
    </row>
    <row r="15">
      <c r="A15" s="38" t="n"/>
      <c r="B15" s="38" t="n"/>
      <c r="C15" s="48" t="n"/>
      <c r="D15" s="38" t="n"/>
      <c r="E15" s="38" t="n"/>
      <c r="F15" s="38" t="n"/>
      <c r="G15" s="47" t="n"/>
      <c r="H15" s="38" t="n"/>
      <c r="I15" s="53">
        <f>IF(A15="","",COUNTIFS('JOBS'!$H$5:$H$1504,A15,'JOBS'!$O$5:$O$1504,"Completed",'JOBS'!$AH$5:$AH$1504,ReportMonth))</f>
        <v/>
      </c>
      <c r="J15" s="98">
        <f>IF(A15="","",SUMIFS('JOBS'!$R$5:$R$1504,'JOBS'!$H$5:$H$1504,A15,'JOBS'!$O$5:$O$1504,"Completed",'JOBS'!$AH$5:$AH$1504,ReportMonth))</f>
        <v/>
      </c>
      <c r="K15" s="54">
        <f>IF(A15="","",SUMIFS('JOBS'!$L$5:$L$1504,'JOBS'!$H$5:$H$1504,A15,'JOBS'!$O$5:$O$1504,"Completed",'JOBS'!$AH$5:$AH$1504,ReportMonth))</f>
        <v/>
      </c>
      <c r="L15" s="99">
        <f>IF(A15="","",IFERROR(AVERAGEIFS('QUALITY CONTROL'!$M$5:$M$304,'QUALITY CONTROL'!$L$5:$L$304,A15),""))</f>
        <v/>
      </c>
      <c r="M15" s="53">
        <f>IF(A15="","",COUNTIF('QUALITY CONTROL'!$L$312:$L$461,A15))</f>
        <v/>
      </c>
    </row>
    <row r="16">
      <c r="A16" s="38" t="n"/>
      <c r="B16" s="38" t="n"/>
      <c r="C16" s="48" t="n"/>
      <c r="D16" s="38" t="n"/>
      <c r="E16" s="38" t="n"/>
      <c r="F16" s="38" t="n"/>
      <c r="G16" s="47" t="n"/>
      <c r="H16" s="38" t="n"/>
      <c r="I16" s="53">
        <f>IF(A16="","",COUNTIFS('JOBS'!$H$5:$H$1504,A16,'JOBS'!$O$5:$O$1504,"Completed",'JOBS'!$AH$5:$AH$1504,ReportMonth))</f>
        <v/>
      </c>
      <c r="J16" s="98">
        <f>IF(A16="","",SUMIFS('JOBS'!$R$5:$R$1504,'JOBS'!$H$5:$H$1504,A16,'JOBS'!$O$5:$O$1504,"Completed",'JOBS'!$AH$5:$AH$1504,ReportMonth))</f>
        <v/>
      </c>
      <c r="K16" s="54">
        <f>IF(A16="","",SUMIFS('JOBS'!$L$5:$L$1504,'JOBS'!$H$5:$H$1504,A16,'JOBS'!$O$5:$O$1504,"Completed",'JOBS'!$AH$5:$AH$1504,ReportMonth))</f>
        <v/>
      </c>
      <c r="L16" s="99">
        <f>IF(A16="","",IFERROR(AVERAGEIFS('QUALITY CONTROL'!$M$5:$M$304,'QUALITY CONTROL'!$L$5:$L$304,A16),""))</f>
        <v/>
      </c>
      <c r="M16" s="53">
        <f>IF(A16="","",COUNTIF('QUALITY CONTROL'!$L$312:$L$461,A16))</f>
        <v/>
      </c>
    </row>
    <row r="17">
      <c r="A17" s="38" t="n"/>
      <c r="B17" s="38" t="n"/>
      <c r="C17" s="48" t="n"/>
      <c r="D17" s="38" t="n"/>
      <c r="E17" s="38" t="n"/>
      <c r="F17" s="38" t="n"/>
      <c r="G17" s="47" t="n"/>
      <c r="H17" s="38" t="n"/>
      <c r="I17" s="53">
        <f>IF(A17="","",COUNTIFS('JOBS'!$H$5:$H$1504,A17,'JOBS'!$O$5:$O$1504,"Completed",'JOBS'!$AH$5:$AH$1504,ReportMonth))</f>
        <v/>
      </c>
      <c r="J17" s="98">
        <f>IF(A17="","",SUMIFS('JOBS'!$R$5:$R$1504,'JOBS'!$H$5:$H$1504,A17,'JOBS'!$O$5:$O$1504,"Completed",'JOBS'!$AH$5:$AH$1504,ReportMonth))</f>
        <v/>
      </c>
      <c r="K17" s="54">
        <f>IF(A17="","",SUMIFS('JOBS'!$L$5:$L$1504,'JOBS'!$H$5:$H$1504,A17,'JOBS'!$O$5:$O$1504,"Completed",'JOBS'!$AH$5:$AH$1504,ReportMonth))</f>
        <v/>
      </c>
      <c r="L17" s="99">
        <f>IF(A17="","",IFERROR(AVERAGEIFS('QUALITY CONTROL'!$M$5:$M$304,'QUALITY CONTROL'!$L$5:$L$304,A17),""))</f>
        <v/>
      </c>
      <c r="M17" s="53">
        <f>IF(A17="","",COUNTIF('QUALITY CONTROL'!$L$312:$L$461,A17))</f>
        <v/>
      </c>
    </row>
    <row r="18">
      <c r="A18" s="38" t="n"/>
      <c r="B18" s="38" t="n"/>
      <c r="C18" s="48" t="n"/>
      <c r="D18" s="38" t="n"/>
      <c r="E18" s="38" t="n"/>
      <c r="F18" s="38" t="n"/>
      <c r="G18" s="47" t="n"/>
      <c r="H18" s="38" t="n"/>
      <c r="I18" s="53">
        <f>IF(A18="","",COUNTIFS('JOBS'!$H$5:$H$1504,A18,'JOBS'!$O$5:$O$1504,"Completed",'JOBS'!$AH$5:$AH$1504,ReportMonth))</f>
        <v/>
      </c>
      <c r="J18" s="98">
        <f>IF(A18="","",SUMIFS('JOBS'!$R$5:$R$1504,'JOBS'!$H$5:$H$1504,A18,'JOBS'!$O$5:$O$1504,"Completed",'JOBS'!$AH$5:$AH$1504,ReportMonth))</f>
        <v/>
      </c>
      <c r="K18" s="54">
        <f>IF(A18="","",SUMIFS('JOBS'!$L$5:$L$1504,'JOBS'!$H$5:$H$1504,A18,'JOBS'!$O$5:$O$1504,"Completed",'JOBS'!$AH$5:$AH$1504,ReportMonth))</f>
        <v/>
      </c>
      <c r="L18" s="99">
        <f>IF(A18="","",IFERROR(AVERAGEIFS('QUALITY CONTROL'!$M$5:$M$304,'QUALITY CONTROL'!$L$5:$L$304,A18),""))</f>
        <v/>
      </c>
      <c r="M18" s="53">
        <f>IF(A18="","",COUNTIF('QUALITY CONTROL'!$L$312:$L$461,A18))</f>
        <v/>
      </c>
    </row>
    <row r="19">
      <c r="A19" s="38" t="n"/>
      <c r="B19" s="38" t="n"/>
      <c r="C19" s="48" t="n"/>
      <c r="D19" s="38" t="n"/>
      <c r="E19" s="38" t="n"/>
      <c r="F19" s="38" t="n"/>
      <c r="G19" s="47" t="n"/>
      <c r="H19" s="38" t="n"/>
      <c r="I19" s="53">
        <f>IF(A19="","",COUNTIFS('JOBS'!$H$5:$H$1504,A19,'JOBS'!$O$5:$O$1504,"Completed",'JOBS'!$AH$5:$AH$1504,ReportMonth))</f>
        <v/>
      </c>
      <c r="J19" s="98">
        <f>IF(A19="","",SUMIFS('JOBS'!$R$5:$R$1504,'JOBS'!$H$5:$H$1504,A19,'JOBS'!$O$5:$O$1504,"Completed",'JOBS'!$AH$5:$AH$1504,ReportMonth))</f>
        <v/>
      </c>
      <c r="K19" s="54">
        <f>IF(A19="","",SUMIFS('JOBS'!$L$5:$L$1504,'JOBS'!$H$5:$H$1504,A19,'JOBS'!$O$5:$O$1504,"Completed",'JOBS'!$AH$5:$AH$1504,ReportMonth))</f>
        <v/>
      </c>
      <c r="L19" s="99">
        <f>IF(A19="","",IFERROR(AVERAGEIFS('QUALITY CONTROL'!$M$5:$M$304,'QUALITY CONTROL'!$L$5:$L$304,A19),""))</f>
        <v/>
      </c>
      <c r="M19" s="53">
        <f>IF(A19="","",COUNTIF('QUALITY CONTROL'!$L$312:$L$461,A19))</f>
        <v/>
      </c>
    </row>
    <row r="20">
      <c r="A20" s="38" t="n"/>
      <c r="B20" s="38" t="n"/>
      <c r="C20" s="48" t="n"/>
      <c r="D20" s="38" t="n"/>
      <c r="E20" s="38" t="n"/>
      <c r="F20" s="38" t="n"/>
      <c r="G20" s="47" t="n"/>
      <c r="H20" s="38" t="n"/>
      <c r="I20" s="53">
        <f>IF(A20="","",COUNTIFS('JOBS'!$H$5:$H$1504,A20,'JOBS'!$O$5:$O$1504,"Completed",'JOBS'!$AH$5:$AH$1504,ReportMonth))</f>
        <v/>
      </c>
      <c r="J20" s="98">
        <f>IF(A20="","",SUMIFS('JOBS'!$R$5:$R$1504,'JOBS'!$H$5:$H$1504,A20,'JOBS'!$O$5:$O$1504,"Completed",'JOBS'!$AH$5:$AH$1504,ReportMonth))</f>
        <v/>
      </c>
      <c r="K20" s="54">
        <f>IF(A20="","",SUMIFS('JOBS'!$L$5:$L$1504,'JOBS'!$H$5:$H$1504,A20,'JOBS'!$O$5:$O$1504,"Completed",'JOBS'!$AH$5:$AH$1504,ReportMonth))</f>
        <v/>
      </c>
      <c r="L20" s="99">
        <f>IF(A20="","",IFERROR(AVERAGEIFS('QUALITY CONTROL'!$M$5:$M$304,'QUALITY CONTROL'!$L$5:$L$304,A20),""))</f>
        <v/>
      </c>
      <c r="M20" s="53">
        <f>IF(A20="","",COUNTIF('QUALITY CONTROL'!$L$312:$L$461,A20))</f>
        <v/>
      </c>
    </row>
    <row r="21">
      <c r="A21" s="38" t="n"/>
      <c r="B21" s="38" t="n"/>
      <c r="C21" s="48" t="n"/>
      <c r="D21" s="38" t="n"/>
      <c r="E21" s="38" t="n"/>
      <c r="F21" s="38" t="n"/>
      <c r="G21" s="47" t="n"/>
      <c r="H21" s="38" t="n"/>
      <c r="I21" s="53">
        <f>IF(A21="","",COUNTIFS('JOBS'!$H$5:$H$1504,A21,'JOBS'!$O$5:$O$1504,"Completed",'JOBS'!$AH$5:$AH$1504,ReportMonth))</f>
        <v/>
      </c>
      <c r="J21" s="98">
        <f>IF(A21="","",SUMIFS('JOBS'!$R$5:$R$1504,'JOBS'!$H$5:$H$1504,A21,'JOBS'!$O$5:$O$1504,"Completed",'JOBS'!$AH$5:$AH$1504,ReportMonth))</f>
        <v/>
      </c>
      <c r="K21" s="54">
        <f>IF(A21="","",SUMIFS('JOBS'!$L$5:$L$1504,'JOBS'!$H$5:$H$1504,A21,'JOBS'!$O$5:$O$1504,"Completed",'JOBS'!$AH$5:$AH$1504,ReportMonth))</f>
        <v/>
      </c>
      <c r="L21" s="99">
        <f>IF(A21="","",IFERROR(AVERAGEIFS('QUALITY CONTROL'!$M$5:$M$304,'QUALITY CONTROL'!$L$5:$L$304,A21),""))</f>
        <v/>
      </c>
      <c r="M21" s="53">
        <f>IF(A21="","",COUNTIF('QUALITY CONTROL'!$L$312:$L$461,A21))</f>
        <v/>
      </c>
    </row>
    <row r="22">
      <c r="A22" s="38" t="n"/>
      <c r="B22" s="38" t="n"/>
      <c r="C22" s="48" t="n"/>
      <c r="D22" s="38" t="n"/>
      <c r="E22" s="38" t="n"/>
      <c r="F22" s="38" t="n"/>
      <c r="G22" s="47" t="n"/>
      <c r="H22" s="38" t="n"/>
      <c r="I22" s="53">
        <f>IF(A22="","",COUNTIFS('JOBS'!$H$5:$H$1504,A22,'JOBS'!$O$5:$O$1504,"Completed",'JOBS'!$AH$5:$AH$1504,ReportMonth))</f>
        <v/>
      </c>
      <c r="J22" s="98">
        <f>IF(A22="","",SUMIFS('JOBS'!$R$5:$R$1504,'JOBS'!$H$5:$H$1504,A22,'JOBS'!$O$5:$O$1504,"Completed",'JOBS'!$AH$5:$AH$1504,ReportMonth))</f>
        <v/>
      </c>
      <c r="K22" s="54">
        <f>IF(A22="","",SUMIFS('JOBS'!$L$5:$L$1504,'JOBS'!$H$5:$H$1504,A22,'JOBS'!$O$5:$O$1504,"Completed",'JOBS'!$AH$5:$AH$1504,ReportMonth))</f>
        <v/>
      </c>
      <c r="L22" s="99">
        <f>IF(A22="","",IFERROR(AVERAGEIFS('QUALITY CONTROL'!$M$5:$M$304,'QUALITY CONTROL'!$L$5:$L$304,A22),""))</f>
        <v/>
      </c>
      <c r="M22" s="53">
        <f>IF(A22="","",COUNTIF('QUALITY CONTROL'!$L$312:$L$461,A22))</f>
        <v/>
      </c>
    </row>
    <row r="23">
      <c r="A23" s="38" t="n"/>
      <c r="B23" s="38" t="n"/>
      <c r="C23" s="48" t="n"/>
      <c r="D23" s="38" t="n"/>
      <c r="E23" s="38" t="n"/>
      <c r="F23" s="38" t="n"/>
      <c r="G23" s="47" t="n"/>
      <c r="H23" s="38" t="n"/>
      <c r="I23" s="53">
        <f>IF(A23="","",COUNTIFS('JOBS'!$H$5:$H$1504,A23,'JOBS'!$O$5:$O$1504,"Completed",'JOBS'!$AH$5:$AH$1504,ReportMonth))</f>
        <v/>
      </c>
      <c r="J23" s="98">
        <f>IF(A23="","",SUMIFS('JOBS'!$R$5:$R$1504,'JOBS'!$H$5:$H$1504,A23,'JOBS'!$O$5:$O$1504,"Completed",'JOBS'!$AH$5:$AH$1504,ReportMonth))</f>
        <v/>
      </c>
      <c r="K23" s="54">
        <f>IF(A23="","",SUMIFS('JOBS'!$L$5:$L$1504,'JOBS'!$H$5:$H$1504,A23,'JOBS'!$O$5:$O$1504,"Completed",'JOBS'!$AH$5:$AH$1504,ReportMonth))</f>
        <v/>
      </c>
      <c r="L23" s="99">
        <f>IF(A23="","",IFERROR(AVERAGEIFS('QUALITY CONTROL'!$M$5:$M$304,'QUALITY CONTROL'!$L$5:$L$304,A23),""))</f>
        <v/>
      </c>
      <c r="M23" s="53">
        <f>IF(A23="","",COUNTIF('QUALITY CONTROL'!$L$312:$L$461,A23))</f>
        <v/>
      </c>
    </row>
    <row r="24">
      <c r="A24" s="38" t="n"/>
      <c r="B24" s="38" t="n"/>
      <c r="C24" s="48" t="n"/>
      <c r="D24" s="38" t="n"/>
      <c r="E24" s="38" t="n"/>
      <c r="F24" s="38" t="n"/>
      <c r="G24" s="47" t="n"/>
      <c r="H24" s="38" t="n"/>
      <c r="I24" s="53">
        <f>IF(A24="","",COUNTIFS('JOBS'!$H$5:$H$1504,A24,'JOBS'!$O$5:$O$1504,"Completed",'JOBS'!$AH$5:$AH$1504,ReportMonth))</f>
        <v/>
      </c>
      <c r="J24" s="98">
        <f>IF(A24="","",SUMIFS('JOBS'!$R$5:$R$1504,'JOBS'!$H$5:$H$1504,A24,'JOBS'!$O$5:$O$1504,"Completed",'JOBS'!$AH$5:$AH$1504,ReportMonth))</f>
        <v/>
      </c>
      <c r="K24" s="54">
        <f>IF(A24="","",SUMIFS('JOBS'!$L$5:$L$1504,'JOBS'!$H$5:$H$1504,A24,'JOBS'!$O$5:$O$1504,"Completed",'JOBS'!$AH$5:$AH$1504,ReportMonth))</f>
        <v/>
      </c>
      <c r="L24" s="99">
        <f>IF(A24="","",IFERROR(AVERAGEIFS('QUALITY CONTROL'!$M$5:$M$304,'QUALITY CONTROL'!$L$5:$L$304,A24),""))</f>
        <v/>
      </c>
      <c r="M24" s="53">
        <f>IF(A24="","",COUNTIF('QUALITY CONTROL'!$L$312:$L$461,A24))</f>
        <v/>
      </c>
    </row>
    <row r="28">
      <c r="A28" s="115" t="inlineStr">
        <is>
          <t>TASK ASSIGNMENTS</t>
        </is>
      </c>
    </row>
    <row r="29">
      <c r="A29" s="41" t="inlineStr">
        <is>
          <t>Give each task an owner and due date. Use AI Workflow 16 to turn notes into clear task instructions.</t>
        </is>
      </c>
    </row>
    <row r="30" ht="42" customHeight="1">
      <c r="A30" s="44" t="inlineStr">
        <is>
          <t>Task / Instruction</t>
        </is>
      </c>
      <c r="B30" s="44" t="inlineStr">
        <is>
          <t>Assigned To</t>
        </is>
      </c>
      <c r="C30" s="44" t="inlineStr">
        <is>
          <t>Job ID (optional)</t>
        </is>
      </c>
      <c r="D30" s="44" t="inlineStr">
        <is>
          <t>Due Date</t>
        </is>
      </c>
      <c r="E30" s="44" t="inlineStr">
        <is>
          <t>Priority</t>
        </is>
      </c>
      <c r="F30" s="44" t="inlineStr">
        <is>
          <t>Status</t>
        </is>
      </c>
      <c r="G30" s="44" t="inlineStr">
        <is>
          <t>Notes</t>
        </is>
      </c>
      <c r="H30" s="45" t="inlineStr">
        <is>
          <t>Due Flag ⚙</t>
        </is>
      </c>
    </row>
    <row r="31">
      <c r="A31" s="38" t="inlineStr">
        <is>
          <t>Restock van kits (microfiber, liners, glass cleaner)</t>
        </is>
      </c>
      <c r="B31" s="38" t="inlineStr">
        <is>
          <t>Dana Whitfield</t>
        </is>
      </c>
      <c r="C31" s="38" t="n"/>
      <c r="D31" s="47" t="n">
        <v>46296</v>
      </c>
      <c r="E31" s="38" t="inlineStr">
        <is>
          <t>High</t>
        </is>
      </c>
      <c r="F31" s="38" t="inlineStr">
        <is>
          <t>Not started</t>
        </is>
      </c>
      <c r="G31" s="38" t="n"/>
      <c r="H31" s="49">
        <f>IF(A31="","",IF(F31="Done","✓ Done",IF(D31="","",IF(D31&lt;AsOf,"Overdue",IF(D31=AsOf,"Due today","Upcoming")))))</f>
        <v/>
      </c>
    </row>
    <row r="32">
      <c r="A32" s="38" t="inlineStr">
        <is>
          <t>Wash and dry all microfiber cloths</t>
        </is>
      </c>
      <c r="B32" s="38" t="inlineStr">
        <is>
          <t>Kevin Osei</t>
        </is>
      </c>
      <c r="C32" s="38" t="n"/>
      <c r="D32" s="47" t="n">
        <v>46295</v>
      </c>
      <c r="E32" s="38" t="inlineStr">
        <is>
          <t>Medium</t>
        </is>
      </c>
      <c r="F32" s="38" t="inlineStr">
        <is>
          <t>In progress</t>
        </is>
      </c>
      <c r="G32" s="38" t="n"/>
      <c r="H32" s="49">
        <f>IF(A32="","",IF(F32="Done","✓ Done",IF(D32="","",IF(D32&lt;AsOf,"Overdue",IF(D32=AsOf,"Due today","Upcoming")))))</f>
        <v/>
      </c>
    </row>
    <row r="33">
      <c r="A33" s="38" t="inlineStr">
        <is>
          <t>Update access notes for lockbox customers</t>
        </is>
      </c>
      <c r="B33" s="38" t="inlineStr">
        <is>
          <t>Jordan Rivera</t>
        </is>
      </c>
      <c r="C33" s="38" t="n"/>
      <c r="D33" s="47" t="n">
        <v>46293</v>
      </c>
      <c r="E33" s="38" t="inlineStr">
        <is>
          <t>High</t>
        </is>
      </c>
      <c r="F33" s="38" t="inlineStr">
        <is>
          <t>Not started</t>
        </is>
      </c>
      <c r="G33" s="38" t="n"/>
      <c r="H33" s="49">
        <f>IF(A33="","",IF(F33="Done","✓ Done",IF(D33="","",IF(D33&lt;AsOf,"Overdue",IF(D33=AsOf,"Due today","Upcoming")))))</f>
        <v/>
      </c>
    </row>
    <row r="34">
      <c r="A34" s="38" t="inlineStr">
        <is>
          <t>Photograph before/after for Deep Clean jobs this week (with permission)</t>
        </is>
      </c>
      <c r="B34" s="38" t="inlineStr">
        <is>
          <t>Maria Lopez</t>
        </is>
      </c>
      <c r="C34" s="38" t="n"/>
      <c r="D34" s="47" t="n">
        <v>46299</v>
      </c>
      <c r="E34" s="38" t="inlineStr">
        <is>
          <t>Low</t>
        </is>
      </c>
      <c r="F34" s="38" t="inlineStr">
        <is>
          <t>Not started</t>
        </is>
      </c>
      <c r="G34" s="38" t="n"/>
      <c r="H34" s="49">
        <f>IF(A34="","",IF(F34="Done","✓ Done",IF(D34="","",IF(D34&lt;AsOf,"Overdue",IF(D34=AsOf,"Due today","Upcoming")))))</f>
        <v/>
      </c>
    </row>
    <row r="35">
      <c r="A35" s="38" t="inlineStr">
        <is>
          <t>Inspect vacuum filters and replace if worn</t>
        </is>
      </c>
      <c r="B35" s="38" t="inlineStr">
        <is>
          <t>Maria Lopez</t>
        </is>
      </c>
      <c r="C35" s="38" t="n"/>
      <c r="D35" s="47" t="n">
        <v>46290</v>
      </c>
      <c r="E35" s="38" t="inlineStr">
        <is>
          <t>Medium</t>
        </is>
      </c>
      <c r="F35" s="38" t="inlineStr">
        <is>
          <t>Done</t>
        </is>
      </c>
      <c r="G35" s="38" t="n"/>
      <c r="H35" s="49">
        <f>IF(A35="","",IF(F35="Done","✓ Done",IF(D35="","",IF(D35&lt;AsOf,"Overdue",IF(D35=AsOf,"Due today","Upcoming")))))</f>
        <v/>
      </c>
    </row>
    <row r="36">
      <c r="A36" s="38" t="inlineStr">
        <is>
          <t>Shadow Maria on a move-out clean</t>
        </is>
      </c>
      <c r="B36" s="38" t="inlineStr">
        <is>
          <t>Kevin Osei</t>
        </is>
      </c>
      <c r="C36" s="38" t="n"/>
      <c r="D36" s="47" t="n">
        <v>46301</v>
      </c>
      <c r="E36" s="38" t="inlineStr">
        <is>
          <t>Medium</t>
        </is>
      </c>
      <c r="F36" s="38" t="inlineStr">
        <is>
          <t>Not started</t>
        </is>
      </c>
      <c r="G36" s="38" t="n"/>
      <c r="H36" s="49">
        <f>IF(A36="","",IF(F36="Done","✓ Done",IF(D36="","",IF(D36&lt;AsOf,"Overdue",IF(D36=AsOf,"Due today","Upcoming")))))</f>
        <v/>
      </c>
    </row>
    <row r="37">
      <c r="A37" s="38" t="inlineStr">
        <is>
          <t>Send weekly schedule to team</t>
        </is>
      </c>
      <c r="B37" s="38" t="inlineStr">
        <is>
          <t>Jordan Rivera</t>
        </is>
      </c>
      <c r="C37" s="38" t="n"/>
      <c r="D37" s="47" t="n">
        <v>46298</v>
      </c>
      <c r="E37" s="38" t="inlineStr">
        <is>
          <t>High</t>
        </is>
      </c>
      <c r="F37" s="38" t="inlineStr">
        <is>
          <t>Not started</t>
        </is>
      </c>
      <c r="G37" s="38" t="n"/>
      <c r="H37" s="49">
        <f>IF(A37="","",IF(F37="Done","✓ Done",IF(D37="","",IF(D37&lt;AsOf,"Overdue",IF(D37=AsOf,"Due today","Upcoming")))))</f>
        <v/>
      </c>
    </row>
    <row r="38">
      <c r="A38" s="38" t="n"/>
      <c r="B38" s="38" t="n"/>
      <c r="C38" s="38" t="n"/>
      <c r="D38" s="47" t="n"/>
      <c r="E38" s="38" t="n"/>
      <c r="F38" s="38" t="n"/>
      <c r="G38" s="38" t="n"/>
      <c r="H38" s="49">
        <f>IF(A38="","",IF(F38="Done","✓ Done",IF(D38="","",IF(D38&lt;AsOf,"Overdue",IF(D38=AsOf,"Due today","Upcoming")))))</f>
        <v/>
      </c>
    </row>
    <row r="39">
      <c r="A39" s="38" t="n"/>
      <c r="B39" s="38" t="n"/>
      <c r="C39" s="38" t="n"/>
      <c r="D39" s="47" t="n"/>
      <c r="E39" s="38" t="n"/>
      <c r="F39" s="38" t="n"/>
      <c r="G39" s="38" t="n"/>
      <c r="H39" s="49">
        <f>IF(A39="","",IF(F39="Done","✓ Done",IF(D39="","",IF(D39&lt;AsOf,"Overdue",IF(D39=AsOf,"Due today","Upcoming")))))</f>
        <v/>
      </c>
    </row>
    <row r="40">
      <c r="A40" s="38" t="n"/>
      <c r="B40" s="38" t="n"/>
      <c r="C40" s="38" t="n"/>
      <c r="D40" s="47" t="n"/>
      <c r="E40" s="38" t="n"/>
      <c r="F40" s="38" t="n"/>
      <c r="G40" s="38" t="n"/>
      <c r="H40" s="49">
        <f>IF(A40="","",IF(F40="Done","✓ Done",IF(D40="","",IF(D40&lt;AsOf,"Overdue",IF(D40=AsOf,"Due today","Upcoming")))))</f>
        <v/>
      </c>
    </row>
    <row r="41">
      <c r="A41" s="38" t="n"/>
      <c r="B41" s="38" t="n"/>
      <c r="C41" s="38" t="n"/>
      <c r="D41" s="47" t="n"/>
      <c r="E41" s="38" t="n"/>
      <c r="F41" s="38" t="n"/>
      <c r="G41" s="38" t="n"/>
      <c r="H41" s="49">
        <f>IF(A41="","",IF(F41="Done","✓ Done",IF(D41="","",IF(D41&lt;AsOf,"Overdue",IF(D41=AsOf,"Due today","Upcoming")))))</f>
        <v/>
      </c>
    </row>
    <row r="42">
      <c r="A42" s="38" t="n"/>
      <c r="B42" s="38" t="n"/>
      <c r="C42" s="38" t="n"/>
      <c r="D42" s="47" t="n"/>
      <c r="E42" s="38" t="n"/>
      <c r="F42" s="38" t="n"/>
      <c r="G42" s="38" t="n"/>
      <c r="H42" s="49">
        <f>IF(A42="","",IF(F42="Done","✓ Done",IF(D42="","",IF(D42&lt;AsOf,"Overdue",IF(D42=AsOf,"Due today","Upcoming")))))</f>
        <v/>
      </c>
    </row>
    <row r="43">
      <c r="A43" s="38" t="n"/>
      <c r="B43" s="38" t="n"/>
      <c r="C43" s="38" t="n"/>
      <c r="D43" s="47" t="n"/>
      <c r="E43" s="38" t="n"/>
      <c r="F43" s="38" t="n"/>
      <c r="G43" s="38" t="n"/>
      <c r="H43" s="49">
        <f>IF(A43="","",IF(F43="Done","✓ Done",IF(D43="","",IF(D43&lt;AsOf,"Overdue",IF(D43=AsOf,"Due today","Upcoming")))))</f>
        <v/>
      </c>
    </row>
    <row r="44">
      <c r="A44" s="38" t="n"/>
      <c r="B44" s="38" t="n"/>
      <c r="C44" s="38" t="n"/>
      <c r="D44" s="47" t="n"/>
      <c r="E44" s="38" t="n"/>
      <c r="F44" s="38" t="n"/>
      <c r="G44" s="38" t="n"/>
      <c r="H44" s="49">
        <f>IF(A44="","",IF(F44="Done","✓ Done",IF(D44="","",IF(D44&lt;AsOf,"Overdue",IF(D44=AsOf,"Due today","Upcoming")))))</f>
        <v/>
      </c>
    </row>
    <row r="45">
      <c r="A45" s="38" t="n"/>
      <c r="B45" s="38" t="n"/>
      <c r="C45" s="38" t="n"/>
      <c r="D45" s="47" t="n"/>
      <c r="E45" s="38" t="n"/>
      <c r="F45" s="38" t="n"/>
      <c r="G45" s="38" t="n"/>
      <c r="H45" s="49">
        <f>IF(A45="","",IF(F45="Done","✓ Done",IF(D45="","",IF(D45&lt;AsOf,"Overdue",IF(D45=AsOf,"Due today","Upcoming")))))</f>
        <v/>
      </c>
    </row>
    <row r="46">
      <c r="A46" s="38" t="n"/>
      <c r="B46" s="38" t="n"/>
      <c r="C46" s="38" t="n"/>
      <c r="D46" s="47" t="n"/>
      <c r="E46" s="38" t="n"/>
      <c r="F46" s="38" t="n"/>
      <c r="G46" s="38" t="n"/>
      <c r="H46" s="49">
        <f>IF(A46="","",IF(F46="Done","✓ Done",IF(D46="","",IF(D46&lt;AsOf,"Overdue",IF(D46=AsOf,"Due today","Upcoming")))))</f>
        <v/>
      </c>
    </row>
    <row r="47">
      <c r="A47" s="38" t="n"/>
      <c r="B47" s="38" t="n"/>
      <c r="C47" s="38" t="n"/>
      <c r="D47" s="47" t="n"/>
      <c r="E47" s="38" t="n"/>
      <c r="F47" s="38" t="n"/>
      <c r="G47" s="38" t="n"/>
      <c r="H47" s="49">
        <f>IF(A47="","",IF(F47="Done","✓ Done",IF(D47="","",IF(D47&lt;AsOf,"Overdue",IF(D47=AsOf,"Due today","Upcoming")))))</f>
        <v/>
      </c>
    </row>
    <row r="48">
      <c r="A48" s="38" t="n"/>
      <c r="B48" s="38" t="n"/>
      <c r="C48" s="38" t="n"/>
      <c r="D48" s="47" t="n"/>
      <c r="E48" s="38" t="n"/>
      <c r="F48" s="38" t="n"/>
      <c r="G48" s="38" t="n"/>
      <c r="H48" s="49">
        <f>IF(A48="","",IF(F48="Done","✓ Done",IF(D48="","",IF(D48&lt;AsOf,"Overdue",IF(D48=AsOf,"Due today","Upcoming")))))</f>
        <v/>
      </c>
    </row>
    <row r="49">
      <c r="A49" s="38" t="n"/>
      <c r="B49" s="38" t="n"/>
      <c r="C49" s="38" t="n"/>
      <c r="D49" s="47" t="n"/>
      <c r="E49" s="38" t="n"/>
      <c r="F49" s="38" t="n"/>
      <c r="G49" s="38" t="n"/>
      <c r="H49" s="49">
        <f>IF(A49="","",IF(F49="Done","✓ Done",IF(D49="","",IF(D49&lt;AsOf,"Overdue",IF(D49=AsOf,"Due today","Upcoming")))))</f>
        <v/>
      </c>
    </row>
    <row r="50">
      <c r="A50" s="38" t="n"/>
      <c r="B50" s="38" t="n"/>
      <c r="C50" s="38" t="n"/>
      <c r="D50" s="47" t="n"/>
      <c r="E50" s="38" t="n"/>
      <c r="F50" s="38" t="n"/>
      <c r="G50" s="38" t="n"/>
      <c r="H50" s="49">
        <f>IF(A50="","",IF(F50="Done","✓ Done",IF(D50="","",IF(D50&lt;AsOf,"Overdue",IF(D50=AsOf,"Due today","Upcoming")))))</f>
        <v/>
      </c>
    </row>
    <row r="51">
      <c r="A51" s="38" t="n"/>
      <c r="B51" s="38" t="n"/>
      <c r="C51" s="38" t="n"/>
      <c r="D51" s="47" t="n"/>
      <c r="E51" s="38" t="n"/>
      <c r="F51" s="38" t="n"/>
      <c r="G51" s="38" t="n"/>
      <c r="H51" s="49">
        <f>IF(A51="","",IF(F51="Done","✓ Done",IF(D51="","",IF(D51&lt;AsOf,"Overdue",IF(D51=AsOf,"Due today","Upcoming")))))</f>
        <v/>
      </c>
    </row>
    <row r="52">
      <c r="A52" s="38" t="n"/>
      <c r="B52" s="38" t="n"/>
      <c r="C52" s="38" t="n"/>
      <c r="D52" s="47" t="n"/>
      <c r="E52" s="38" t="n"/>
      <c r="F52" s="38" t="n"/>
      <c r="G52" s="38" t="n"/>
      <c r="H52" s="49">
        <f>IF(A52="","",IF(F52="Done","✓ Done",IF(D52="","",IF(D52&lt;AsOf,"Overdue",IF(D52=AsOf,"Due today","Upcoming")))))</f>
        <v/>
      </c>
    </row>
    <row r="53">
      <c r="A53" s="38" t="n"/>
      <c r="B53" s="38" t="n"/>
      <c r="C53" s="38" t="n"/>
      <c r="D53" s="47" t="n"/>
      <c r="E53" s="38" t="n"/>
      <c r="F53" s="38" t="n"/>
      <c r="G53" s="38" t="n"/>
      <c r="H53" s="49">
        <f>IF(A53="","",IF(F53="Done","✓ Done",IF(D53="","",IF(D53&lt;AsOf,"Overdue",IF(D53=AsOf,"Due today","Upcoming")))))</f>
        <v/>
      </c>
    </row>
    <row r="54">
      <c r="A54" s="38" t="n"/>
      <c r="B54" s="38" t="n"/>
      <c r="C54" s="38" t="n"/>
      <c r="D54" s="47" t="n"/>
      <c r="E54" s="38" t="n"/>
      <c r="F54" s="38" t="n"/>
      <c r="G54" s="38" t="n"/>
      <c r="H54" s="49">
        <f>IF(A54="","",IF(F54="Done","✓ Done",IF(D54="","",IF(D54&lt;AsOf,"Overdue",IF(D54=AsOf,"Due today","Upcoming")))))</f>
        <v/>
      </c>
    </row>
    <row r="55">
      <c r="A55" s="38" t="n"/>
      <c r="B55" s="38" t="n"/>
      <c r="C55" s="38" t="n"/>
      <c r="D55" s="47" t="n"/>
      <c r="E55" s="38" t="n"/>
      <c r="F55" s="38" t="n"/>
      <c r="G55" s="38" t="n"/>
      <c r="H55" s="49">
        <f>IF(A55="","",IF(F55="Done","✓ Done",IF(D55="","",IF(D55&lt;AsOf,"Overdue",IF(D55=AsOf,"Due today","Upcoming")))))</f>
        <v/>
      </c>
    </row>
    <row r="56">
      <c r="A56" s="38" t="n"/>
      <c r="B56" s="38" t="n"/>
      <c r="C56" s="38" t="n"/>
      <c r="D56" s="47" t="n"/>
      <c r="E56" s="38" t="n"/>
      <c r="F56" s="38" t="n"/>
      <c r="G56" s="38" t="n"/>
      <c r="H56" s="49">
        <f>IF(A56="","",IF(F56="Done","✓ Done",IF(D56="","",IF(D56&lt;AsOf,"Overdue",IF(D56=AsOf,"Due today","Upcoming")))))</f>
        <v/>
      </c>
    </row>
    <row r="57">
      <c r="A57" s="38" t="n"/>
      <c r="B57" s="38" t="n"/>
      <c r="C57" s="38" t="n"/>
      <c r="D57" s="47" t="n"/>
      <c r="E57" s="38" t="n"/>
      <c r="F57" s="38" t="n"/>
      <c r="G57" s="38" t="n"/>
      <c r="H57" s="49">
        <f>IF(A57="","",IF(F57="Done","✓ Done",IF(D57="","",IF(D57&lt;AsOf,"Overdue",IF(D57=AsOf,"Due today","Upcoming")))))</f>
        <v/>
      </c>
    </row>
    <row r="58">
      <c r="A58" s="38" t="n"/>
      <c r="B58" s="38" t="n"/>
      <c r="C58" s="38" t="n"/>
      <c r="D58" s="47" t="n"/>
      <c r="E58" s="38" t="n"/>
      <c r="F58" s="38" t="n"/>
      <c r="G58" s="38" t="n"/>
      <c r="H58" s="49">
        <f>IF(A58="","",IF(F58="Done","✓ Done",IF(D58="","",IF(D58&lt;AsOf,"Overdue",IF(D58=AsOf,"Due today","Upcoming")))))</f>
        <v/>
      </c>
    </row>
    <row r="59">
      <c r="A59" s="38" t="n"/>
      <c r="B59" s="38" t="n"/>
      <c r="C59" s="38" t="n"/>
      <c r="D59" s="47" t="n"/>
      <c r="E59" s="38" t="n"/>
      <c r="F59" s="38" t="n"/>
      <c r="G59" s="38" t="n"/>
      <c r="H59" s="49">
        <f>IF(A59="","",IF(F59="Done","✓ Done",IF(D59="","",IF(D59&lt;AsOf,"Overdue",IF(D59=AsOf,"Due today","Upcoming")))))</f>
        <v/>
      </c>
    </row>
    <row r="60">
      <c r="A60" s="38" t="n"/>
      <c r="B60" s="38" t="n"/>
      <c r="C60" s="38" t="n"/>
      <c r="D60" s="47" t="n"/>
      <c r="E60" s="38" t="n"/>
      <c r="F60" s="38" t="n"/>
      <c r="G60" s="38" t="n"/>
      <c r="H60" s="49">
        <f>IF(A60="","",IF(F60="Done","✓ Done",IF(D60="","",IF(D60&lt;AsOf,"Overdue",IF(D60=AsOf,"Due today","Upcoming")))))</f>
        <v/>
      </c>
    </row>
    <row r="61">
      <c r="A61" s="38" t="n"/>
      <c r="B61" s="38" t="n"/>
      <c r="C61" s="38" t="n"/>
      <c r="D61" s="47" t="n"/>
      <c r="E61" s="38" t="n"/>
      <c r="F61" s="38" t="n"/>
      <c r="G61" s="38" t="n"/>
      <c r="H61" s="49">
        <f>IF(A61="","",IF(F61="Done","✓ Done",IF(D61="","",IF(D61&lt;AsOf,"Overdue",IF(D61=AsOf,"Due today","Upcoming")))))</f>
        <v/>
      </c>
    </row>
    <row r="62">
      <c r="A62" s="38" t="n"/>
      <c r="B62" s="38" t="n"/>
      <c r="C62" s="38" t="n"/>
      <c r="D62" s="47" t="n"/>
      <c r="E62" s="38" t="n"/>
      <c r="F62" s="38" t="n"/>
      <c r="G62" s="38" t="n"/>
      <c r="H62" s="49">
        <f>IF(A62="","",IF(F62="Done","✓ Done",IF(D62="","",IF(D62&lt;AsOf,"Overdue",IF(D62=AsOf,"Due today","Upcoming")))))</f>
        <v/>
      </c>
    </row>
    <row r="63">
      <c r="A63" s="38" t="n"/>
      <c r="B63" s="38" t="n"/>
      <c r="C63" s="38" t="n"/>
      <c r="D63" s="47" t="n"/>
      <c r="E63" s="38" t="n"/>
      <c r="F63" s="38" t="n"/>
      <c r="G63" s="38" t="n"/>
      <c r="H63" s="49">
        <f>IF(A63="","",IF(F63="Done","✓ Done",IF(D63="","",IF(D63&lt;AsOf,"Overdue",IF(D63=AsOf,"Due today","Upcoming")))))</f>
        <v/>
      </c>
    </row>
    <row r="64">
      <c r="A64" s="38" t="n"/>
      <c r="B64" s="38" t="n"/>
      <c r="C64" s="38" t="n"/>
      <c r="D64" s="47" t="n"/>
      <c r="E64" s="38" t="n"/>
      <c r="F64" s="38" t="n"/>
      <c r="G64" s="38" t="n"/>
      <c r="H64" s="49">
        <f>IF(A64="","",IF(F64="Done","✓ Done",IF(D64="","",IF(D64&lt;AsOf,"Overdue",IF(D64=AsOf,"Due today","Upcoming")))))</f>
        <v/>
      </c>
    </row>
    <row r="65">
      <c r="A65" s="38" t="n"/>
      <c r="B65" s="38" t="n"/>
      <c r="C65" s="38" t="n"/>
      <c r="D65" s="47" t="n"/>
      <c r="E65" s="38" t="n"/>
      <c r="F65" s="38" t="n"/>
      <c r="G65" s="38" t="n"/>
      <c r="H65" s="49">
        <f>IF(A65="","",IF(F65="Done","✓ Done",IF(D65="","",IF(D65&lt;AsOf,"Overdue",IF(D65=AsOf,"Due today","Upcoming")))))</f>
        <v/>
      </c>
    </row>
    <row r="66">
      <c r="A66" s="38" t="n"/>
      <c r="B66" s="38" t="n"/>
      <c r="C66" s="38" t="n"/>
      <c r="D66" s="47" t="n"/>
      <c r="E66" s="38" t="n"/>
      <c r="F66" s="38" t="n"/>
      <c r="G66" s="38" t="n"/>
      <c r="H66" s="49">
        <f>IF(A66="","",IF(F66="Done","✓ Done",IF(D66="","",IF(D66&lt;AsOf,"Overdue",IF(D66=AsOf,"Due today","Upcoming")))))</f>
        <v/>
      </c>
    </row>
    <row r="67">
      <c r="A67" s="38" t="n"/>
      <c r="B67" s="38" t="n"/>
      <c r="C67" s="38" t="n"/>
      <c r="D67" s="47" t="n"/>
      <c r="E67" s="38" t="n"/>
      <c r="F67" s="38" t="n"/>
      <c r="G67" s="38" t="n"/>
      <c r="H67" s="49">
        <f>IF(A67="","",IF(F67="Done","✓ Done",IF(D67="","",IF(D67&lt;AsOf,"Overdue",IF(D67=AsOf,"Due today","Upcoming")))))</f>
        <v/>
      </c>
    </row>
    <row r="68">
      <c r="A68" s="38" t="n"/>
      <c r="B68" s="38" t="n"/>
      <c r="C68" s="38" t="n"/>
      <c r="D68" s="47" t="n"/>
      <c r="E68" s="38" t="n"/>
      <c r="F68" s="38" t="n"/>
      <c r="G68" s="38" t="n"/>
      <c r="H68" s="49">
        <f>IF(A68="","",IF(F68="Done","✓ Done",IF(D68="","",IF(D68&lt;AsOf,"Overdue",IF(D68=AsOf,"Due today","Upcoming")))))</f>
        <v/>
      </c>
    </row>
    <row r="69">
      <c r="A69" s="38" t="n"/>
      <c r="B69" s="38" t="n"/>
      <c r="C69" s="38" t="n"/>
      <c r="D69" s="47" t="n"/>
      <c r="E69" s="38" t="n"/>
      <c r="F69" s="38" t="n"/>
      <c r="G69" s="38" t="n"/>
      <c r="H69" s="49">
        <f>IF(A69="","",IF(F69="Done","✓ Done",IF(D69="","",IF(D69&lt;AsOf,"Overdue",IF(D69=AsOf,"Due today","Upcoming")))))</f>
        <v/>
      </c>
    </row>
    <row r="70">
      <c r="A70" s="38" t="n"/>
      <c r="B70" s="38" t="n"/>
      <c r="C70" s="38" t="n"/>
      <c r="D70" s="47" t="n"/>
      <c r="E70" s="38" t="n"/>
      <c r="F70" s="38" t="n"/>
      <c r="G70" s="38" t="n"/>
      <c r="H70" s="49">
        <f>IF(A70="","",IF(F70="Done","✓ Done",IF(D70="","",IF(D70&lt;AsOf,"Overdue",IF(D70=AsOf,"Due today","Upcoming")))))</f>
        <v/>
      </c>
    </row>
    <row r="71">
      <c r="A71" s="38" t="n"/>
      <c r="B71" s="38" t="n"/>
      <c r="C71" s="38" t="n"/>
      <c r="D71" s="47" t="n"/>
      <c r="E71" s="38" t="n"/>
      <c r="F71" s="38" t="n"/>
      <c r="G71" s="38" t="n"/>
      <c r="H71" s="49">
        <f>IF(A71="","",IF(F71="Done","✓ Done",IF(D71="","",IF(D71&lt;AsOf,"Overdue",IF(D71=AsOf,"Due today","Upcoming")))))</f>
        <v/>
      </c>
    </row>
    <row r="72">
      <c r="A72" s="38" t="n"/>
      <c r="B72" s="38" t="n"/>
      <c r="C72" s="38" t="n"/>
      <c r="D72" s="47" t="n"/>
      <c r="E72" s="38" t="n"/>
      <c r="F72" s="38" t="n"/>
      <c r="G72" s="38" t="n"/>
      <c r="H72" s="49">
        <f>IF(A72="","",IF(F72="Done","✓ Done",IF(D72="","",IF(D72&lt;AsOf,"Overdue",IF(D72=AsOf,"Due today","Upcoming")))))</f>
        <v/>
      </c>
    </row>
    <row r="73">
      <c r="A73" s="38" t="n"/>
      <c r="B73" s="38" t="n"/>
      <c r="C73" s="38" t="n"/>
      <c r="D73" s="47" t="n"/>
      <c r="E73" s="38" t="n"/>
      <c r="F73" s="38" t="n"/>
      <c r="G73" s="38" t="n"/>
      <c r="H73" s="49">
        <f>IF(A73="","",IF(F73="Done","✓ Done",IF(D73="","",IF(D73&lt;AsOf,"Overdue",IF(D73=AsOf,"Due today","Upcoming")))))</f>
        <v/>
      </c>
    </row>
    <row r="74">
      <c r="A74" s="38" t="n"/>
      <c r="B74" s="38" t="n"/>
      <c r="C74" s="38" t="n"/>
      <c r="D74" s="47" t="n"/>
      <c r="E74" s="38" t="n"/>
      <c r="F74" s="38" t="n"/>
      <c r="G74" s="38" t="n"/>
      <c r="H74" s="49">
        <f>IF(A74="","",IF(F74="Done","✓ Done",IF(D74="","",IF(D74&lt;AsOf,"Overdue",IF(D74=AsOf,"Due today","Upcoming")))))</f>
        <v/>
      </c>
    </row>
    <row r="75">
      <c r="A75" s="38" t="n"/>
      <c r="B75" s="38" t="n"/>
      <c r="C75" s="38" t="n"/>
      <c r="D75" s="47" t="n"/>
      <c r="E75" s="38" t="n"/>
      <c r="F75" s="38" t="n"/>
      <c r="G75" s="38" t="n"/>
      <c r="H75" s="49">
        <f>IF(A75="","",IF(F75="Done","✓ Done",IF(D75="","",IF(D75&lt;AsOf,"Overdue",IF(D75=AsOf,"Due today","Upcoming")))))</f>
        <v/>
      </c>
    </row>
    <row r="76">
      <c r="A76" s="38" t="n"/>
      <c r="B76" s="38" t="n"/>
      <c r="C76" s="38" t="n"/>
      <c r="D76" s="47" t="n"/>
      <c r="E76" s="38" t="n"/>
      <c r="F76" s="38" t="n"/>
      <c r="G76" s="38" t="n"/>
      <c r="H76" s="49">
        <f>IF(A76="","",IF(F76="Done","✓ Done",IF(D76="","",IF(D76&lt;AsOf,"Overdue",IF(D76=AsOf,"Due today","Upcoming")))))</f>
        <v/>
      </c>
    </row>
    <row r="77">
      <c r="A77" s="38" t="n"/>
      <c r="B77" s="38" t="n"/>
      <c r="C77" s="38" t="n"/>
      <c r="D77" s="47" t="n"/>
      <c r="E77" s="38" t="n"/>
      <c r="F77" s="38" t="n"/>
      <c r="G77" s="38" t="n"/>
      <c r="H77" s="49">
        <f>IF(A77="","",IF(F77="Done","✓ Done",IF(D77="","",IF(D77&lt;AsOf,"Overdue",IF(D77=AsOf,"Due today","Upcoming")))))</f>
        <v/>
      </c>
    </row>
    <row r="78">
      <c r="A78" s="38" t="n"/>
      <c r="B78" s="38" t="n"/>
      <c r="C78" s="38" t="n"/>
      <c r="D78" s="47" t="n"/>
      <c r="E78" s="38" t="n"/>
      <c r="F78" s="38" t="n"/>
      <c r="G78" s="38" t="n"/>
      <c r="H78" s="49">
        <f>IF(A78="","",IF(F78="Done","✓ Done",IF(D78="","",IF(D78&lt;AsOf,"Overdue",IF(D78=AsOf,"Due today","Upcoming")))))</f>
        <v/>
      </c>
    </row>
    <row r="79">
      <c r="A79" s="38" t="n"/>
      <c r="B79" s="38" t="n"/>
      <c r="C79" s="38" t="n"/>
      <c r="D79" s="47" t="n"/>
      <c r="E79" s="38" t="n"/>
      <c r="F79" s="38" t="n"/>
      <c r="G79" s="38" t="n"/>
      <c r="H79" s="49">
        <f>IF(A79="","",IF(F79="Done","✓ Done",IF(D79="","",IF(D79&lt;AsOf,"Overdue",IF(D79=AsOf,"Due today","Upcoming")))))</f>
        <v/>
      </c>
    </row>
    <row r="80">
      <c r="A80" s="38" t="n"/>
      <c r="B80" s="38" t="n"/>
      <c r="C80" s="38" t="n"/>
      <c r="D80" s="47" t="n"/>
      <c r="E80" s="38" t="n"/>
      <c r="F80" s="38" t="n"/>
      <c r="G80" s="38" t="n"/>
      <c r="H80" s="49">
        <f>IF(A80="","",IF(F80="Done","✓ Done",IF(D80="","",IF(D80&lt;AsOf,"Overdue",IF(D80=AsOf,"Due today","Upcoming")))))</f>
        <v/>
      </c>
    </row>
    <row r="81">
      <c r="A81" s="38" t="n"/>
      <c r="B81" s="38" t="n"/>
      <c r="C81" s="38" t="n"/>
      <c r="D81" s="47" t="n"/>
      <c r="E81" s="38" t="n"/>
      <c r="F81" s="38" t="n"/>
      <c r="G81" s="38" t="n"/>
      <c r="H81" s="49">
        <f>IF(A81="","",IF(F81="Done","✓ Done",IF(D81="","",IF(D81&lt;AsOf,"Overdue",IF(D81=AsOf,"Due today","Upcoming")))))</f>
        <v/>
      </c>
    </row>
    <row r="82">
      <c r="A82" s="38" t="n"/>
      <c r="B82" s="38" t="n"/>
      <c r="C82" s="38" t="n"/>
      <c r="D82" s="47" t="n"/>
      <c r="E82" s="38" t="n"/>
      <c r="F82" s="38" t="n"/>
      <c r="G82" s="38" t="n"/>
      <c r="H82" s="49">
        <f>IF(A82="","",IF(F82="Done","✓ Done",IF(D82="","",IF(D82&lt;AsOf,"Overdue",IF(D82=AsOf,"Due today","Upcoming")))))</f>
        <v/>
      </c>
    </row>
    <row r="83">
      <c r="A83" s="38" t="n"/>
      <c r="B83" s="38" t="n"/>
      <c r="C83" s="38" t="n"/>
      <c r="D83" s="47" t="n"/>
      <c r="E83" s="38" t="n"/>
      <c r="F83" s="38" t="n"/>
      <c r="G83" s="38" t="n"/>
      <c r="H83" s="49">
        <f>IF(A83="","",IF(F83="Done","✓ Done",IF(D83="","",IF(D83&lt;AsOf,"Overdue",IF(D83=AsOf,"Due today","Upcoming")))))</f>
        <v/>
      </c>
    </row>
    <row r="84">
      <c r="A84" s="38" t="n"/>
      <c r="B84" s="38" t="n"/>
      <c r="C84" s="38" t="n"/>
      <c r="D84" s="47" t="n"/>
      <c r="E84" s="38" t="n"/>
      <c r="F84" s="38" t="n"/>
      <c r="G84" s="38" t="n"/>
      <c r="H84" s="49">
        <f>IF(A84="","",IF(F84="Done","✓ Done",IF(D84="","",IF(D84&lt;AsOf,"Overdue",IF(D84=AsOf,"Due today","Upcoming")))))</f>
        <v/>
      </c>
    </row>
    <row r="85">
      <c r="A85" s="38" t="n"/>
      <c r="B85" s="38" t="n"/>
      <c r="C85" s="38" t="n"/>
      <c r="D85" s="47" t="n"/>
      <c r="E85" s="38" t="n"/>
      <c r="F85" s="38" t="n"/>
      <c r="G85" s="38" t="n"/>
      <c r="H85" s="49">
        <f>IF(A85="","",IF(F85="Done","✓ Done",IF(D85="","",IF(D85&lt;AsOf,"Overdue",IF(D85=AsOf,"Due today","Upcoming")))))</f>
        <v/>
      </c>
    </row>
    <row r="86">
      <c r="A86" s="38" t="n"/>
      <c r="B86" s="38" t="n"/>
      <c r="C86" s="38" t="n"/>
      <c r="D86" s="47" t="n"/>
      <c r="E86" s="38" t="n"/>
      <c r="F86" s="38" t="n"/>
      <c r="G86" s="38" t="n"/>
      <c r="H86" s="49">
        <f>IF(A86="","",IF(F86="Done","✓ Done",IF(D86="","",IF(D86&lt;AsOf,"Overdue",IF(D86=AsOf,"Due today","Upcoming")))))</f>
        <v/>
      </c>
    </row>
    <row r="87">
      <c r="A87" s="38" t="n"/>
      <c r="B87" s="38" t="n"/>
      <c r="C87" s="38" t="n"/>
      <c r="D87" s="47" t="n"/>
      <c r="E87" s="38" t="n"/>
      <c r="F87" s="38" t="n"/>
      <c r="G87" s="38" t="n"/>
      <c r="H87" s="49">
        <f>IF(A87="","",IF(F87="Done","✓ Done",IF(D87="","",IF(D87&lt;AsOf,"Overdue",IF(D87=AsOf,"Due today","Upcoming")))))</f>
        <v/>
      </c>
    </row>
    <row r="88">
      <c r="A88" s="38" t="n"/>
      <c r="B88" s="38" t="n"/>
      <c r="C88" s="38" t="n"/>
      <c r="D88" s="47" t="n"/>
      <c r="E88" s="38" t="n"/>
      <c r="F88" s="38" t="n"/>
      <c r="G88" s="38" t="n"/>
      <c r="H88" s="49">
        <f>IF(A88="","",IF(F88="Done","✓ Done",IF(D88="","",IF(D88&lt;AsOf,"Overdue",IF(D88=AsOf,"Due today","Upcoming")))))</f>
        <v/>
      </c>
    </row>
    <row r="89">
      <c r="A89" s="38" t="n"/>
      <c r="B89" s="38" t="n"/>
      <c r="C89" s="38" t="n"/>
      <c r="D89" s="47" t="n"/>
      <c r="E89" s="38" t="n"/>
      <c r="F89" s="38" t="n"/>
      <c r="G89" s="38" t="n"/>
      <c r="H89" s="49">
        <f>IF(A89="","",IF(F89="Done","✓ Done",IF(D89="","",IF(D89&lt;AsOf,"Overdue",IF(D89=AsOf,"Due today","Upcoming")))))</f>
        <v/>
      </c>
    </row>
    <row r="90">
      <c r="A90" s="38" t="n"/>
      <c r="B90" s="38" t="n"/>
      <c r="C90" s="38" t="n"/>
      <c r="D90" s="47" t="n"/>
      <c r="E90" s="38" t="n"/>
      <c r="F90" s="38" t="n"/>
      <c r="G90" s="38" t="n"/>
      <c r="H90" s="49">
        <f>IF(A90="","",IF(F90="Done","✓ Done",IF(D90="","",IF(D90&lt;AsOf,"Overdue",IF(D90=AsOf,"Due today","Upcoming")))))</f>
        <v/>
      </c>
    </row>
    <row r="91">
      <c r="A91" s="38" t="n"/>
      <c r="B91" s="38" t="n"/>
      <c r="C91" s="38" t="n"/>
      <c r="D91" s="47" t="n"/>
      <c r="E91" s="38" t="n"/>
      <c r="F91" s="38" t="n"/>
      <c r="G91" s="38" t="n"/>
      <c r="H91" s="49">
        <f>IF(A91="","",IF(F91="Done","✓ Done",IF(D91="","",IF(D91&lt;AsOf,"Overdue",IF(D91=AsOf,"Due today","Upcoming")))))</f>
        <v/>
      </c>
    </row>
    <row r="92">
      <c r="A92" s="38" t="n"/>
      <c r="B92" s="38" t="n"/>
      <c r="C92" s="38" t="n"/>
      <c r="D92" s="47" t="n"/>
      <c r="E92" s="38" t="n"/>
      <c r="F92" s="38" t="n"/>
      <c r="G92" s="38" t="n"/>
      <c r="H92" s="49">
        <f>IF(A92="","",IF(F92="Done","✓ Done",IF(D92="","",IF(D92&lt;AsOf,"Overdue",IF(D92=AsOf,"Due today","Upcoming")))))</f>
        <v/>
      </c>
    </row>
    <row r="93">
      <c r="A93" s="38" t="n"/>
      <c r="B93" s="38" t="n"/>
      <c r="C93" s="38" t="n"/>
      <c r="D93" s="47" t="n"/>
      <c r="E93" s="38" t="n"/>
      <c r="F93" s="38" t="n"/>
      <c r="G93" s="38" t="n"/>
      <c r="H93" s="49">
        <f>IF(A93="","",IF(F93="Done","✓ Done",IF(D93="","",IF(D93&lt;AsOf,"Overdue",IF(D93=AsOf,"Due today","Upcoming")))))</f>
        <v/>
      </c>
    </row>
    <row r="94">
      <c r="A94" s="38" t="n"/>
      <c r="B94" s="38" t="n"/>
      <c r="C94" s="38" t="n"/>
      <c r="D94" s="47" t="n"/>
      <c r="E94" s="38" t="n"/>
      <c r="F94" s="38" t="n"/>
      <c r="G94" s="38" t="n"/>
      <c r="H94" s="49">
        <f>IF(A94="","",IF(F94="Done","✓ Done",IF(D94="","",IF(D94&lt;AsOf,"Overdue",IF(D94=AsOf,"Due today","Upcoming")))))</f>
        <v/>
      </c>
    </row>
    <row r="95">
      <c r="A95" s="38" t="n"/>
      <c r="B95" s="38" t="n"/>
      <c r="C95" s="38" t="n"/>
      <c r="D95" s="47" t="n"/>
      <c r="E95" s="38" t="n"/>
      <c r="F95" s="38" t="n"/>
      <c r="G95" s="38" t="n"/>
      <c r="H95" s="49">
        <f>IF(A95="","",IF(F95="Done","✓ Done",IF(D95="","",IF(D95&lt;AsOf,"Overdue",IF(D95=AsOf,"Due today","Upcoming")))))</f>
        <v/>
      </c>
    </row>
    <row r="96">
      <c r="A96" s="38" t="n"/>
      <c r="B96" s="38" t="n"/>
      <c r="C96" s="38" t="n"/>
      <c r="D96" s="47" t="n"/>
      <c r="E96" s="38" t="n"/>
      <c r="F96" s="38" t="n"/>
      <c r="G96" s="38" t="n"/>
      <c r="H96" s="49">
        <f>IF(A96="","",IF(F96="Done","✓ Done",IF(D96="","",IF(D96&lt;AsOf,"Overdue",IF(D96=AsOf,"Due today","Upcoming")))))</f>
        <v/>
      </c>
    </row>
    <row r="97">
      <c r="A97" s="38" t="n"/>
      <c r="B97" s="38" t="n"/>
      <c r="C97" s="38" t="n"/>
      <c r="D97" s="47" t="n"/>
      <c r="E97" s="38" t="n"/>
      <c r="F97" s="38" t="n"/>
      <c r="G97" s="38" t="n"/>
      <c r="H97" s="49">
        <f>IF(A97="","",IF(F97="Done","✓ Done",IF(D97="","",IF(D97&lt;AsOf,"Overdue",IF(D97=AsOf,"Due today","Upcoming")))))</f>
        <v/>
      </c>
    </row>
    <row r="98">
      <c r="A98" s="38" t="n"/>
      <c r="B98" s="38" t="n"/>
      <c r="C98" s="38" t="n"/>
      <c r="D98" s="47" t="n"/>
      <c r="E98" s="38" t="n"/>
      <c r="F98" s="38" t="n"/>
      <c r="G98" s="38" t="n"/>
      <c r="H98" s="49">
        <f>IF(A98="","",IF(F98="Done","✓ Done",IF(D98="","",IF(D98&lt;AsOf,"Overdue",IF(D98=AsOf,"Due today","Upcoming")))))</f>
        <v/>
      </c>
    </row>
    <row r="99">
      <c r="A99" s="38" t="n"/>
      <c r="B99" s="38" t="n"/>
      <c r="C99" s="38" t="n"/>
      <c r="D99" s="47" t="n"/>
      <c r="E99" s="38" t="n"/>
      <c r="F99" s="38" t="n"/>
      <c r="G99" s="38" t="n"/>
      <c r="H99" s="49">
        <f>IF(A99="","",IF(F99="Done","✓ Done",IF(D99="","",IF(D99&lt;AsOf,"Overdue",IF(D99=AsOf,"Due today","Upcoming")))))</f>
        <v/>
      </c>
    </row>
    <row r="100">
      <c r="A100" s="38" t="n"/>
      <c r="B100" s="38" t="n"/>
      <c r="C100" s="38" t="n"/>
      <c r="D100" s="47" t="n"/>
      <c r="E100" s="38" t="n"/>
      <c r="F100" s="38" t="n"/>
      <c r="G100" s="38" t="n"/>
      <c r="H100" s="49">
        <f>IF(A100="","",IF(F100="Done","✓ Done",IF(D100="","",IF(D100&lt;AsOf,"Overdue",IF(D100=AsOf,"Due today","Upcoming")))))</f>
        <v/>
      </c>
    </row>
    <row r="101">
      <c r="A101" s="38" t="n"/>
      <c r="B101" s="38" t="n"/>
      <c r="C101" s="38" t="n"/>
      <c r="D101" s="47" t="n"/>
      <c r="E101" s="38" t="n"/>
      <c r="F101" s="38" t="n"/>
      <c r="G101" s="38" t="n"/>
      <c r="H101" s="49">
        <f>IF(A101="","",IF(F101="Done","✓ Done",IF(D101="","",IF(D101&lt;AsOf,"Overdue",IF(D101=AsOf,"Due today","Upcoming")))))</f>
        <v/>
      </c>
    </row>
    <row r="102">
      <c r="A102" s="38" t="n"/>
      <c r="B102" s="38" t="n"/>
      <c r="C102" s="38" t="n"/>
      <c r="D102" s="47" t="n"/>
      <c r="E102" s="38" t="n"/>
      <c r="F102" s="38" t="n"/>
      <c r="G102" s="38" t="n"/>
      <c r="H102" s="49">
        <f>IF(A102="","",IF(F102="Done","✓ Done",IF(D102="","",IF(D102&lt;AsOf,"Overdue",IF(D102=AsOf,"Due today","Upcoming")))))</f>
        <v/>
      </c>
    </row>
    <row r="103">
      <c r="A103" s="38" t="n"/>
      <c r="B103" s="38" t="n"/>
      <c r="C103" s="38" t="n"/>
      <c r="D103" s="47" t="n"/>
      <c r="E103" s="38" t="n"/>
      <c r="F103" s="38" t="n"/>
      <c r="G103" s="38" t="n"/>
      <c r="H103" s="49">
        <f>IF(A103="","",IF(F103="Done","✓ Done",IF(D103="","",IF(D103&lt;AsOf,"Overdue",IF(D103=AsOf,"Due today","Upcoming")))))</f>
        <v/>
      </c>
    </row>
    <row r="104">
      <c r="A104" s="38" t="n"/>
      <c r="B104" s="38" t="n"/>
      <c r="C104" s="38" t="n"/>
      <c r="D104" s="47" t="n"/>
      <c r="E104" s="38" t="n"/>
      <c r="F104" s="38" t="n"/>
      <c r="G104" s="38" t="n"/>
      <c r="H104" s="49">
        <f>IF(A104="","",IF(F104="Done","✓ Done",IF(D104="","",IF(D104&lt;AsOf,"Overdue",IF(D104=AsOf,"Due today","Upcoming")))))</f>
        <v/>
      </c>
    </row>
    <row r="105">
      <c r="A105" s="38" t="n"/>
      <c r="B105" s="38" t="n"/>
      <c r="C105" s="38" t="n"/>
      <c r="D105" s="47" t="n"/>
      <c r="E105" s="38" t="n"/>
      <c r="F105" s="38" t="n"/>
      <c r="G105" s="38" t="n"/>
      <c r="H105" s="49">
        <f>IF(A105="","",IF(F105="Done","✓ Done",IF(D105="","",IF(D105&lt;AsOf,"Overdue",IF(D105=AsOf,"Due today","Upcoming")))))</f>
        <v/>
      </c>
    </row>
    <row r="106">
      <c r="A106" s="38" t="n"/>
      <c r="B106" s="38" t="n"/>
      <c r="C106" s="38" t="n"/>
      <c r="D106" s="47" t="n"/>
      <c r="E106" s="38" t="n"/>
      <c r="F106" s="38" t="n"/>
      <c r="G106" s="38" t="n"/>
      <c r="H106" s="49">
        <f>IF(A106="","",IF(F106="Done","✓ Done",IF(D106="","",IF(D106&lt;AsOf,"Overdue",IF(D106=AsOf,"Due today","Upcoming")))))</f>
        <v/>
      </c>
    </row>
    <row r="107">
      <c r="A107" s="38" t="n"/>
      <c r="B107" s="38" t="n"/>
      <c r="C107" s="38" t="n"/>
      <c r="D107" s="47" t="n"/>
      <c r="E107" s="38" t="n"/>
      <c r="F107" s="38" t="n"/>
      <c r="G107" s="38" t="n"/>
      <c r="H107" s="49">
        <f>IF(A107="","",IF(F107="Done","✓ Done",IF(D107="","",IF(D107&lt;AsOf,"Overdue",IF(D107=AsOf,"Due today","Upcoming")))))</f>
        <v/>
      </c>
    </row>
    <row r="108">
      <c r="A108" s="38" t="n"/>
      <c r="B108" s="38" t="n"/>
      <c r="C108" s="38" t="n"/>
      <c r="D108" s="47" t="n"/>
      <c r="E108" s="38" t="n"/>
      <c r="F108" s="38" t="n"/>
      <c r="G108" s="38" t="n"/>
      <c r="H108" s="49">
        <f>IF(A108="","",IF(F108="Done","✓ Done",IF(D108="","",IF(D108&lt;AsOf,"Overdue",IF(D108=AsOf,"Due today","Upcoming")))))</f>
        <v/>
      </c>
    </row>
    <row r="109">
      <c r="A109" s="38" t="n"/>
      <c r="B109" s="38" t="n"/>
      <c r="C109" s="38" t="n"/>
      <c r="D109" s="47" t="n"/>
      <c r="E109" s="38" t="n"/>
      <c r="F109" s="38" t="n"/>
      <c r="G109" s="38" t="n"/>
      <c r="H109" s="49">
        <f>IF(A109="","",IF(F109="Done","✓ Done",IF(D109="","",IF(D109&lt;AsOf,"Overdue",IF(D109=AsOf,"Due today","Upcoming")))))</f>
        <v/>
      </c>
    </row>
    <row r="110">
      <c r="A110" s="38" t="n"/>
      <c r="B110" s="38" t="n"/>
      <c r="C110" s="38" t="n"/>
      <c r="D110" s="47" t="n"/>
      <c r="E110" s="38" t="n"/>
      <c r="F110" s="38" t="n"/>
      <c r="G110" s="38" t="n"/>
      <c r="H110" s="49">
        <f>IF(A110="","",IF(F110="Done","✓ Done",IF(D110="","",IF(D110&lt;AsOf,"Overdue",IF(D110=AsOf,"Due today","Upcoming")))))</f>
        <v/>
      </c>
    </row>
    <row r="111">
      <c r="A111" s="38" t="n"/>
      <c r="B111" s="38" t="n"/>
      <c r="C111" s="38" t="n"/>
      <c r="D111" s="47" t="n"/>
      <c r="E111" s="38" t="n"/>
      <c r="F111" s="38" t="n"/>
      <c r="G111" s="38" t="n"/>
      <c r="H111" s="49">
        <f>IF(A111="","",IF(F111="Done","✓ Done",IF(D111="","",IF(D111&lt;AsOf,"Overdue",IF(D111=AsOf,"Due today","Upcoming")))))</f>
        <v/>
      </c>
    </row>
    <row r="112">
      <c r="A112" s="38" t="n"/>
      <c r="B112" s="38" t="n"/>
      <c r="C112" s="38" t="n"/>
      <c r="D112" s="47" t="n"/>
      <c r="E112" s="38" t="n"/>
      <c r="F112" s="38" t="n"/>
      <c r="G112" s="38" t="n"/>
      <c r="H112" s="49">
        <f>IF(A112="","",IF(F112="Done","✓ Done",IF(D112="","",IF(D112&lt;AsOf,"Overdue",IF(D112=AsOf,"Due today","Upcoming")))))</f>
        <v/>
      </c>
    </row>
    <row r="113">
      <c r="A113" s="38" t="n"/>
      <c r="B113" s="38" t="n"/>
      <c r="C113" s="38" t="n"/>
      <c r="D113" s="47" t="n"/>
      <c r="E113" s="38" t="n"/>
      <c r="F113" s="38" t="n"/>
      <c r="G113" s="38" t="n"/>
      <c r="H113" s="49">
        <f>IF(A113="","",IF(F113="Done","✓ Done",IF(D113="","",IF(D113&lt;AsOf,"Overdue",IF(D113=AsOf,"Due today","Upcoming")))))</f>
        <v/>
      </c>
    </row>
    <row r="114">
      <c r="A114" s="38" t="n"/>
      <c r="B114" s="38" t="n"/>
      <c r="C114" s="38" t="n"/>
      <c r="D114" s="47" t="n"/>
      <c r="E114" s="38" t="n"/>
      <c r="F114" s="38" t="n"/>
      <c r="G114" s="38" t="n"/>
      <c r="H114" s="49">
        <f>IF(A114="","",IF(F114="Done","✓ Done",IF(D114="","",IF(D114&lt;AsOf,"Overdue",IF(D114=AsOf,"Due today","Upcoming")))))</f>
        <v/>
      </c>
    </row>
    <row r="115">
      <c r="A115" s="38" t="n"/>
      <c r="B115" s="38" t="n"/>
      <c r="C115" s="38" t="n"/>
      <c r="D115" s="47" t="n"/>
      <c r="E115" s="38" t="n"/>
      <c r="F115" s="38" t="n"/>
      <c r="G115" s="38" t="n"/>
      <c r="H115" s="49">
        <f>IF(A115="","",IF(F115="Done","✓ Done",IF(D115="","",IF(D115&lt;AsOf,"Overdue",IF(D115=AsOf,"Due today","Upcoming")))))</f>
        <v/>
      </c>
    </row>
    <row r="116">
      <c r="A116" s="38" t="n"/>
      <c r="B116" s="38" t="n"/>
      <c r="C116" s="38" t="n"/>
      <c r="D116" s="47" t="n"/>
      <c r="E116" s="38" t="n"/>
      <c r="F116" s="38" t="n"/>
      <c r="G116" s="38" t="n"/>
      <c r="H116" s="49">
        <f>IF(A116="","",IF(F116="Done","✓ Done",IF(D116="","",IF(D116&lt;AsOf,"Overdue",IF(D116=AsOf,"Due today","Upcoming")))))</f>
        <v/>
      </c>
    </row>
    <row r="117">
      <c r="A117" s="38" t="n"/>
      <c r="B117" s="38" t="n"/>
      <c r="C117" s="38" t="n"/>
      <c r="D117" s="47" t="n"/>
      <c r="E117" s="38" t="n"/>
      <c r="F117" s="38" t="n"/>
      <c r="G117" s="38" t="n"/>
      <c r="H117" s="49">
        <f>IF(A117="","",IF(F117="Done","✓ Done",IF(D117="","",IF(D117&lt;AsOf,"Overdue",IF(D117=AsOf,"Due today","Upcoming")))))</f>
        <v/>
      </c>
    </row>
    <row r="118">
      <c r="A118" s="38" t="n"/>
      <c r="B118" s="38" t="n"/>
      <c r="C118" s="38" t="n"/>
      <c r="D118" s="47" t="n"/>
      <c r="E118" s="38" t="n"/>
      <c r="F118" s="38" t="n"/>
      <c r="G118" s="38" t="n"/>
      <c r="H118" s="49">
        <f>IF(A118="","",IF(F118="Done","✓ Done",IF(D118="","",IF(D118&lt;AsOf,"Overdue",IF(D118=AsOf,"Due today","Upcoming")))))</f>
        <v/>
      </c>
    </row>
    <row r="119">
      <c r="A119" s="38" t="n"/>
      <c r="B119" s="38" t="n"/>
      <c r="C119" s="38" t="n"/>
      <c r="D119" s="47" t="n"/>
      <c r="E119" s="38" t="n"/>
      <c r="F119" s="38" t="n"/>
      <c r="G119" s="38" t="n"/>
      <c r="H119" s="49">
        <f>IF(A119="","",IF(F119="Done","✓ Done",IF(D119="","",IF(D119&lt;AsOf,"Overdue",IF(D119=AsOf,"Due today","Upcoming")))))</f>
        <v/>
      </c>
    </row>
    <row r="120">
      <c r="A120" s="38" t="n"/>
      <c r="B120" s="38" t="n"/>
      <c r="C120" s="38" t="n"/>
      <c r="D120" s="47" t="n"/>
      <c r="E120" s="38" t="n"/>
      <c r="F120" s="38" t="n"/>
      <c r="G120" s="38" t="n"/>
      <c r="H120" s="49">
        <f>IF(A120="","",IF(F120="Done","✓ Done",IF(D120="","",IF(D120&lt;AsOf,"Overdue",IF(D120=AsOf,"Due today","Upcoming")))))</f>
        <v/>
      </c>
    </row>
    <row r="121">
      <c r="A121" s="38" t="n"/>
      <c r="B121" s="38" t="n"/>
      <c r="C121" s="38" t="n"/>
      <c r="D121" s="47" t="n"/>
      <c r="E121" s="38" t="n"/>
      <c r="F121" s="38" t="n"/>
      <c r="G121" s="38" t="n"/>
      <c r="H121" s="49">
        <f>IF(A121="","",IF(F121="Done","✓ Done",IF(D121="","",IF(D121&lt;AsOf,"Overdue",IF(D121=AsOf,"Due today","Upcoming")))))</f>
        <v/>
      </c>
    </row>
    <row r="122">
      <c r="A122" s="38" t="n"/>
      <c r="B122" s="38" t="n"/>
      <c r="C122" s="38" t="n"/>
      <c r="D122" s="47" t="n"/>
      <c r="E122" s="38" t="n"/>
      <c r="F122" s="38" t="n"/>
      <c r="G122" s="38" t="n"/>
      <c r="H122" s="49">
        <f>IF(A122="","",IF(F122="Done","✓ Done",IF(D122="","",IF(D122&lt;AsOf,"Overdue",IF(D122=AsOf,"Due today","Upcoming")))))</f>
        <v/>
      </c>
    </row>
    <row r="123">
      <c r="A123" s="38" t="n"/>
      <c r="B123" s="38" t="n"/>
      <c r="C123" s="38" t="n"/>
      <c r="D123" s="47" t="n"/>
      <c r="E123" s="38" t="n"/>
      <c r="F123" s="38" t="n"/>
      <c r="G123" s="38" t="n"/>
      <c r="H123" s="49">
        <f>IF(A123="","",IF(F123="Done","✓ Done",IF(D123="","",IF(D123&lt;AsOf,"Overdue",IF(D123=AsOf,"Due today","Upcoming")))))</f>
        <v/>
      </c>
    </row>
    <row r="124">
      <c r="A124" s="38" t="n"/>
      <c r="B124" s="38" t="n"/>
      <c r="C124" s="38" t="n"/>
      <c r="D124" s="47" t="n"/>
      <c r="E124" s="38" t="n"/>
      <c r="F124" s="38" t="n"/>
      <c r="G124" s="38" t="n"/>
      <c r="H124" s="49">
        <f>IF(A124="","",IF(F124="Done","✓ Done",IF(D124="","",IF(D124&lt;AsOf,"Overdue",IF(D124=AsOf,"Due today","Upcoming")))))</f>
        <v/>
      </c>
    </row>
    <row r="125">
      <c r="A125" s="38" t="n"/>
      <c r="B125" s="38" t="n"/>
      <c r="C125" s="38" t="n"/>
      <c r="D125" s="47" t="n"/>
      <c r="E125" s="38" t="n"/>
      <c r="F125" s="38" t="n"/>
      <c r="G125" s="38" t="n"/>
      <c r="H125" s="49">
        <f>IF(A125="","",IF(F125="Done","✓ Done",IF(D125="","",IF(D125&lt;AsOf,"Overdue",IF(D125=AsOf,"Due today","Upcoming")))))</f>
        <v/>
      </c>
    </row>
    <row r="126">
      <c r="A126" s="38" t="n"/>
      <c r="B126" s="38" t="n"/>
      <c r="C126" s="38" t="n"/>
      <c r="D126" s="47" t="n"/>
      <c r="E126" s="38" t="n"/>
      <c r="F126" s="38" t="n"/>
      <c r="G126" s="38" t="n"/>
      <c r="H126" s="49">
        <f>IF(A126="","",IF(F126="Done","✓ Done",IF(D126="","",IF(D126&lt;AsOf,"Overdue",IF(D126=AsOf,"Due today","Upcoming")))))</f>
        <v/>
      </c>
    </row>
    <row r="127">
      <c r="A127" s="38" t="n"/>
      <c r="B127" s="38" t="n"/>
      <c r="C127" s="38" t="n"/>
      <c r="D127" s="47" t="n"/>
      <c r="E127" s="38" t="n"/>
      <c r="F127" s="38" t="n"/>
      <c r="G127" s="38" t="n"/>
      <c r="H127" s="49">
        <f>IF(A127="","",IF(F127="Done","✓ Done",IF(D127="","",IF(D127&lt;AsOf,"Overdue",IF(D127=AsOf,"Due today","Upcoming")))))</f>
        <v/>
      </c>
    </row>
    <row r="128">
      <c r="A128" s="38" t="n"/>
      <c r="B128" s="38" t="n"/>
      <c r="C128" s="38" t="n"/>
      <c r="D128" s="47" t="n"/>
      <c r="E128" s="38" t="n"/>
      <c r="F128" s="38" t="n"/>
      <c r="G128" s="38" t="n"/>
      <c r="H128" s="49">
        <f>IF(A128="","",IF(F128="Done","✓ Done",IF(D128="","",IF(D128&lt;AsOf,"Overdue",IF(D128=AsOf,"Due today","Upcoming")))))</f>
        <v/>
      </c>
    </row>
    <row r="129">
      <c r="A129" s="38" t="n"/>
      <c r="B129" s="38" t="n"/>
      <c r="C129" s="38" t="n"/>
      <c r="D129" s="47" t="n"/>
      <c r="E129" s="38" t="n"/>
      <c r="F129" s="38" t="n"/>
      <c r="G129" s="38" t="n"/>
      <c r="H129" s="49">
        <f>IF(A129="","",IF(F129="Done","✓ Done",IF(D129="","",IF(D129&lt;AsOf,"Overdue",IF(D129=AsOf,"Due today","Upcoming")))))</f>
        <v/>
      </c>
    </row>
    <row r="130">
      <c r="A130" s="38" t="n"/>
      <c r="B130" s="38" t="n"/>
      <c r="C130" s="38" t="n"/>
      <c r="D130" s="47" t="n"/>
      <c r="E130" s="38" t="n"/>
      <c r="F130" s="38" t="n"/>
      <c r="G130" s="38" t="n"/>
      <c r="H130" s="49">
        <f>IF(A130="","",IF(F130="Done","✓ Done",IF(D130="","",IF(D130&lt;AsOf,"Overdue",IF(D130=AsOf,"Due today","Upcoming")))))</f>
        <v/>
      </c>
    </row>
    <row r="131">
      <c r="A131" s="38" t="n"/>
      <c r="B131" s="38" t="n"/>
      <c r="C131" s="38" t="n"/>
      <c r="D131" s="47" t="n"/>
      <c r="E131" s="38" t="n"/>
      <c r="F131" s="38" t="n"/>
      <c r="G131" s="38" t="n"/>
      <c r="H131" s="49">
        <f>IF(A131="","",IF(F131="Done","✓ Done",IF(D131="","",IF(D131&lt;AsOf,"Overdue",IF(D131=AsOf,"Due today","Upcoming")))))</f>
        <v/>
      </c>
    </row>
    <row r="132">
      <c r="A132" s="38" t="n"/>
      <c r="B132" s="38" t="n"/>
      <c r="C132" s="38" t="n"/>
      <c r="D132" s="47" t="n"/>
      <c r="E132" s="38" t="n"/>
      <c r="F132" s="38" t="n"/>
      <c r="G132" s="38" t="n"/>
      <c r="H132" s="49">
        <f>IF(A132="","",IF(F132="Done","✓ Done",IF(D132="","",IF(D132&lt;AsOf,"Overdue",IF(D132=AsOf,"Due today","Upcoming")))))</f>
        <v/>
      </c>
    </row>
    <row r="133">
      <c r="A133" s="38" t="n"/>
      <c r="B133" s="38" t="n"/>
      <c r="C133" s="38" t="n"/>
      <c r="D133" s="47" t="n"/>
      <c r="E133" s="38" t="n"/>
      <c r="F133" s="38" t="n"/>
      <c r="G133" s="38" t="n"/>
      <c r="H133" s="49">
        <f>IF(A133="","",IF(F133="Done","✓ Done",IF(D133="","",IF(D133&lt;AsOf,"Overdue",IF(D133=AsOf,"Due today","Upcoming")))))</f>
        <v/>
      </c>
    </row>
    <row r="134">
      <c r="A134" s="38" t="n"/>
      <c r="B134" s="38" t="n"/>
      <c r="C134" s="38" t="n"/>
      <c r="D134" s="47" t="n"/>
      <c r="E134" s="38" t="n"/>
      <c r="F134" s="38" t="n"/>
      <c r="G134" s="38" t="n"/>
      <c r="H134" s="49">
        <f>IF(A134="","",IF(F134="Done","✓ Done",IF(D134="","",IF(D134&lt;AsOf,"Overdue",IF(D134=AsOf,"Due today","Upcoming")))))</f>
        <v/>
      </c>
    </row>
    <row r="135">
      <c r="A135" s="38" t="n"/>
      <c r="B135" s="38" t="n"/>
      <c r="C135" s="38" t="n"/>
      <c r="D135" s="47" t="n"/>
      <c r="E135" s="38" t="n"/>
      <c r="F135" s="38" t="n"/>
      <c r="G135" s="38" t="n"/>
      <c r="H135" s="49">
        <f>IF(A135="","",IF(F135="Done","✓ Done",IF(D135="","",IF(D135&lt;AsOf,"Overdue",IF(D135=AsOf,"Due today","Upcoming")))))</f>
        <v/>
      </c>
    </row>
    <row r="136">
      <c r="A136" s="38" t="n"/>
      <c r="B136" s="38" t="n"/>
      <c r="C136" s="38" t="n"/>
      <c r="D136" s="47" t="n"/>
      <c r="E136" s="38" t="n"/>
      <c r="F136" s="38" t="n"/>
      <c r="G136" s="38" t="n"/>
      <c r="H136" s="49">
        <f>IF(A136="","",IF(F136="Done","✓ Done",IF(D136="","",IF(D136&lt;AsOf,"Overdue",IF(D136=AsOf,"Due today","Upcoming")))))</f>
        <v/>
      </c>
    </row>
    <row r="137">
      <c r="A137" s="38" t="n"/>
      <c r="B137" s="38" t="n"/>
      <c r="C137" s="38" t="n"/>
      <c r="D137" s="47" t="n"/>
      <c r="E137" s="38" t="n"/>
      <c r="F137" s="38" t="n"/>
      <c r="G137" s="38" t="n"/>
      <c r="H137" s="49">
        <f>IF(A137="","",IF(F137="Done","✓ Done",IF(D137="","",IF(D137&lt;AsOf,"Overdue",IF(D137=AsOf,"Due today","Upcoming")))))</f>
        <v/>
      </c>
    </row>
    <row r="138">
      <c r="A138" s="38" t="n"/>
      <c r="B138" s="38" t="n"/>
      <c r="C138" s="38" t="n"/>
      <c r="D138" s="47" t="n"/>
      <c r="E138" s="38" t="n"/>
      <c r="F138" s="38" t="n"/>
      <c r="G138" s="38" t="n"/>
      <c r="H138" s="49">
        <f>IF(A138="","",IF(F138="Done","✓ Done",IF(D138="","",IF(D138&lt;AsOf,"Overdue",IF(D138=AsOf,"Due today","Upcoming")))))</f>
        <v/>
      </c>
    </row>
    <row r="139">
      <c r="A139" s="38" t="n"/>
      <c r="B139" s="38" t="n"/>
      <c r="C139" s="38" t="n"/>
      <c r="D139" s="47" t="n"/>
      <c r="E139" s="38" t="n"/>
      <c r="F139" s="38" t="n"/>
      <c r="G139" s="38" t="n"/>
      <c r="H139" s="49">
        <f>IF(A139="","",IF(F139="Done","✓ Done",IF(D139="","",IF(D139&lt;AsOf,"Overdue",IF(D139=AsOf,"Due today","Upcoming")))))</f>
        <v/>
      </c>
    </row>
    <row r="140">
      <c r="A140" s="38" t="n"/>
      <c r="B140" s="38" t="n"/>
      <c r="C140" s="38" t="n"/>
      <c r="D140" s="47" t="n"/>
      <c r="E140" s="38" t="n"/>
      <c r="F140" s="38" t="n"/>
      <c r="G140" s="38" t="n"/>
      <c r="H140" s="49">
        <f>IF(A140="","",IF(F140="Done","✓ Done",IF(D140="","",IF(D140&lt;AsOf,"Overdue",IF(D140=AsOf,"Due today","Upcoming")))))</f>
        <v/>
      </c>
    </row>
    <row r="141">
      <c r="A141" s="38" t="n"/>
      <c r="B141" s="38" t="n"/>
      <c r="C141" s="38" t="n"/>
      <c r="D141" s="47" t="n"/>
      <c r="E141" s="38" t="n"/>
      <c r="F141" s="38" t="n"/>
      <c r="G141" s="38" t="n"/>
      <c r="H141" s="49">
        <f>IF(A141="","",IF(F141="Done","✓ Done",IF(D141="","",IF(D141&lt;AsOf,"Overdue",IF(D141=AsOf,"Due today","Upcoming")))))</f>
        <v/>
      </c>
    </row>
    <row r="142">
      <c r="A142" s="38" t="n"/>
      <c r="B142" s="38" t="n"/>
      <c r="C142" s="38" t="n"/>
      <c r="D142" s="47" t="n"/>
      <c r="E142" s="38" t="n"/>
      <c r="F142" s="38" t="n"/>
      <c r="G142" s="38" t="n"/>
      <c r="H142" s="49">
        <f>IF(A142="","",IF(F142="Done","✓ Done",IF(D142="","",IF(D142&lt;AsOf,"Overdue",IF(D142=AsOf,"Due today","Upcoming")))))</f>
        <v/>
      </c>
    </row>
    <row r="143">
      <c r="A143" s="38" t="n"/>
      <c r="B143" s="38" t="n"/>
      <c r="C143" s="38" t="n"/>
      <c r="D143" s="47" t="n"/>
      <c r="E143" s="38" t="n"/>
      <c r="F143" s="38" t="n"/>
      <c r="G143" s="38" t="n"/>
      <c r="H143" s="49">
        <f>IF(A143="","",IF(F143="Done","✓ Done",IF(D143="","",IF(D143&lt;AsOf,"Overdue",IF(D143=AsOf,"Due today","Upcoming")))))</f>
        <v/>
      </c>
    </row>
    <row r="144">
      <c r="A144" s="38" t="n"/>
      <c r="B144" s="38" t="n"/>
      <c r="C144" s="38" t="n"/>
      <c r="D144" s="47" t="n"/>
      <c r="E144" s="38" t="n"/>
      <c r="F144" s="38" t="n"/>
      <c r="G144" s="38" t="n"/>
      <c r="H144" s="49">
        <f>IF(A144="","",IF(F144="Done","✓ Done",IF(D144="","",IF(D144&lt;AsOf,"Overdue",IF(D144=AsOf,"Due today","Upcoming")))))</f>
        <v/>
      </c>
    </row>
    <row r="145">
      <c r="A145" s="38" t="n"/>
      <c r="B145" s="38" t="n"/>
      <c r="C145" s="38" t="n"/>
      <c r="D145" s="47" t="n"/>
      <c r="E145" s="38" t="n"/>
      <c r="F145" s="38" t="n"/>
      <c r="G145" s="38" t="n"/>
      <c r="H145" s="49">
        <f>IF(A145="","",IF(F145="Done","✓ Done",IF(D145="","",IF(D145&lt;AsOf,"Overdue",IF(D145=AsOf,"Due today","Upcoming")))))</f>
        <v/>
      </c>
    </row>
    <row r="146">
      <c r="A146" s="38" t="n"/>
      <c r="B146" s="38" t="n"/>
      <c r="C146" s="38" t="n"/>
      <c r="D146" s="47" t="n"/>
      <c r="E146" s="38" t="n"/>
      <c r="F146" s="38" t="n"/>
      <c r="G146" s="38" t="n"/>
      <c r="H146" s="49">
        <f>IF(A146="","",IF(F146="Done","✓ Done",IF(D146="","",IF(D146&lt;AsOf,"Overdue",IF(D146=AsOf,"Due today","Upcoming")))))</f>
        <v/>
      </c>
    </row>
    <row r="147">
      <c r="A147" s="38" t="n"/>
      <c r="B147" s="38" t="n"/>
      <c r="C147" s="38" t="n"/>
      <c r="D147" s="47" t="n"/>
      <c r="E147" s="38" t="n"/>
      <c r="F147" s="38" t="n"/>
      <c r="G147" s="38" t="n"/>
      <c r="H147" s="49">
        <f>IF(A147="","",IF(F147="Done","✓ Done",IF(D147="","",IF(D147&lt;AsOf,"Overdue",IF(D147=AsOf,"Due today","Upcoming")))))</f>
        <v/>
      </c>
    </row>
    <row r="148">
      <c r="A148" s="38" t="n"/>
      <c r="B148" s="38" t="n"/>
      <c r="C148" s="38" t="n"/>
      <c r="D148" s="47" t="n"/>
      <c r="E148" s="38" t="n"/>
      <c r="F148" s="38" t="n"/>
      <c r="G148" s="38" t="n"/>
      <c r="H148" s="49">
        <f>IF(A148="","",IF(F148="Done","✓ Done",IF(D148="","",IF(D148&lt;AsOf,"Overdue",IF(D148=AsOf,"Due today","Upcoming")))))</f>
        <v/>
      </c>
    </row>
    <row r="149">
      <c r="A149" s="38" t="n"/>
      <c r="B149" s="38" t="n"/>
      <c r="C149" s="38" t="n"/>
      <c r="D149" s="47" t="n"/>
      <c r="E149" s="38" t="n"/>
      <c r="F149" s="38" t="n"/>
      <c r="G149" s="38" t="n"/>
      <c r="H149" s="49">
        <f>IF(A149="","",IF(F149="Done","✓ Done",IF(D149="","",IF(D149&lt;AsOf,"Overdue",IF(D149=AsOf,"Due today","Upcoming")))))</f>
        <v/>
      </c>
    </row>
    <row r="150">
      <c r="A150" s="38" t="n"/>
      <c r="B150" s="38" t="n"/>
      <c r="C150" s="38" t="n"/>
      <c r="D150" s="47" t="n"/>
      <c r="E150" s="38" t="n"/>
      <c r="F150" s="38" t="n"/>
      <c r="G150" s="38" t="n"/>
      <c r="H150" s="49">
        <f>IF(A150="","",IF(F150="Done","✓ Done",IF(D150="","",IF(D150&lt;AsOf,"Overdue",IF(D150=AsOf,"Due today","Upcoming")))))</f>
        <v/>
      </c>
    </row>
    <row r="151">
      <c r="A151" s="38" t="n"/>
      <c r="B151" s="38" t="n"/>
      <c r="C151" s="38" t="n"/>
      <c r="D151" s="47" t="n"/>
      <c r="E151" s="38" t="n"/>
      <c r="F151" s="38" t="n"/>
      <c r="G151" s="38" t="n"/>
      <c r="H151" s="49">
        <f>IF(A151="","",IF(F151="Done","✓ Done",IF(D151="","",IF(D151&lt;AsOf,"Overdue",IF(D151=AsOf,"Due today","Upcoming")))))</f>
        <v/>
      </c>
    </row>
    <row r="152">
      <c r="A152" s="38" t="n"/>
      <c r="B152" s="38" t="n"/>
      <c r="C152" s="38" t="n"/>
      <c r="D152" s="47" t="n"/>
      <c r="E152" s="38" t="n"/>
      <c r="F152" s="38" t="n"/>
      <c r="G152" s="38" t="n"/>
      <c r="H152" s="49">
        <f>IF(A152="","",IF(F152="Done","✓ Done",IF(D152="","",IF(D152&lt;AsOf,"Overdue",IF(D152=AsOf,"Due today","Upcoming")))))</f>
        <v/>
      </c>
    </row>
    <row r="153">
      <c r="A153" s="38" t="n"/>
      <c r="B153" s="38" t="n"/>
      <c r="C153" s="38" t="n"/>
      <c r="D153" s="47" t="n"/>
      <c r="E153" s="38" t="n"/>
      <c r="F153" s="38" t="n"/>
      <c r="G153" s="38" t="n"/>
      <c r="H153" s="49">
        <f>IF(A153="","",IF(F153="Done","✓ Done",IF(D153="","",IF(D153&lt;AsOf,"Overdue",IF(D153=AsOf,"Due today","Upcoming")))))</f>
        <v/>
      </c>
    </row>
    <row r="154">
      <c r="A154" s="38" t="n"/>
      <c r="B154" s="38" t="n"/>
      <c r="C154" s="38" t="n"/>
      <c r="D154" s="47" t="n"/>
      <c r="E154" s="38" t="n"/>
      <c r="F154" s="38" t="n"/>
      <c r="G154" s="38" t="n"/>
      <c r="H154" s="49">
        <f>IF(A154="","",IF(F154="Done","✓ Done",IF(D154="","",IF(D154&lt;AsOf,"Overdue",IF(D154=AsOf,"Due today","Upcoming")))))</f>
        <v/>
      </c>
    </row>
    <row r="155">
      <c r="A155" s="38" t="n"/>
      <c r="B155" s="38" t="n"/>
      <c r="C155" s="38" t="n"/>
      <c r="D155" s="47" t="n"/>
      <c r="E155" s="38" t="n"/>
      <c r="F155" s="38" t="n"/>
      <c r="G155" s="38" t="n"/>
      <c r="H155" s="49">
        <f>IF(A155="","",IF(F155="Done","✓ Done",IF(D155="","",IF(D155&lt;AsOf,"Overdue",IF(D155=AsOf,"Due today","Upcoming")))))</f>
        <v/>
      </c>
    </row>
    <row r="156">
      <c r="A156" s="38" t="n"/>
      <c r="B156" s="38" t="n"/>
      <c r="C156" s="38" t="n"/>
      <c r="D156" s="47" t="n"/>
      <c r="E156" s="38" t="n"/>
      <c r="F156" s="38" t="n"/>
      <c r="G156" s="38" t="n"/>
      <c r="H156" s="49">
        <f>IF(A156="","",IF(F156="Done","✓ Done",IF(D156="","",IF(D156&lt;AsOf,"Overdue",IF(D156=AsOf,"Due today","Upcoming")))))</f>
        <v/>
      </c>
    </row>
    <row r="157">
      <c r="A157" s="38" t="n"/>
      <c r="B157" s="38" t="n"/>
      <c r="C157" s="38" t="n"/>
      <c r="D157" s="47" t="n"/>
      <c r="E157" s="38" t="n"/>
      <c r="F157" s="38" t="n"/>
      <c r="G157" s="38" t="n"/>
      <c r="H157" s="49">
        <f>IF(A157="","",IF(F157="Done","✓ Done",IF(D157="","",IF(D157&lt;AsOf,"Overdue",IF(D157=AsOf,"Due today","Upcoming")))))</f>
        <v/>
      </c>
    </row>
    <row r="158">
      <c r="A158" s="38" t="n"/>
      <c r="B158" s="38" t="n"/>
      <c r="C158" s="38" t="n"/>
      <c r="D158" s="47" t="n"/>
      <c r="E158" s="38" t="n"/>
      <c r="F158" s="38" t="n"/>
      <c r="G158" s="38" t="n"/>
      <c r="H158" s="49">
        <f>IF(A158="","",IF(F158="Done","✓ Done",IF(D158="","",IF(D158&lt;AsOf,"Overdue",IF(D158=AsOf,"Due today","Upcoming")))))</f>
        <v/>
      </c>
    </row>
    <row r="159">
      <c r="A159" s="38" t="n"/>
      <c r="B159" s="38" t="n"/>
      <c r="C159" s="38" t="n"/>
      <c r="D159" s="47" t="n"/>
      <c r="E159" s="38" t="n"/>
      <c r="F159" s="38" t="n"/>
      <c r="G159" s="38" t="n"/>
      <c r="H159" s="49">
        <f>IF(A159="","",IF(F159="Done","✓ Done",IF(D159="","",IF(D159&lt;AsOf,"Overdue",IF(D159=AsOf,"Due today","Upcoming")))))</f>
        <v/>
      </c>
    </row>
    <row r="160">
      <c r="A160" s="38" t="n"/>
      <c r="B160" s="38" t="n"/>
      <c r="C160" s="38" t="n"/>
      <c r="D160" s="47" t="n"/>
      <c r="E160" s="38" t="n"/>
      <c r="F160" s="38" t="n"/>
      <c r="G160" s="38" t="n"/>
      <c r="H160" s="49">
        <f>IF(A160="","",IF(F160="Done","✓ Done",IF(D160="","",IF(D160&lt;AsOf,"Overdue",IF(D160=AsOf,"Due today","Upcoming")))))</f>
        <v/>
      </c>
    </row>
    <row r="161">
      <c r="A161" s="38" t="n"/>
      <c r="B161" s="38" t="n"/>
      <c r="C161" s="38" t="n"/>
      <c r="D161" s="47" t="n"/>
      <c r="E161" s="38" t="n"/>
      <c r="F161" s="38" t="n"/>
      <c r="G161" s="38" t="n"/>
      <c r="H161" s="49">
        <f>IF(A161="","",IF(F161="Done","✓ Done",IF(D161="","",IF(D161&lt;AsOf,"Overdue",IF(D161=AsOf,"Due today","Upcoming")))))</f>
        <v/>
      </c>
    </row>
    <row r="162">
      <c r="A162" s="38" t="n"/>
      <c r="B162" s="38" t="n"/>
      <c r="C162" s="38" t="n"/>
      <c r="D162" s="47" t="n"/>
      <c r="E162" s="38" t="n"/>
      <c r="F162" s="38" t="n"/>
      <c r="G162" s="38" t="n"/>
      <c r="H162" s="49">
        <f>IF(A162="","",IF(F162="Done","✓ Done",IF(D162="","",IF(D162&lt;AsOf,"Overdue",IF(D162=AsOf,"Due today","Upcoming")))))</f>
        <v/>
      </c>
    </row>
    <row r="163">
      <c r="A163" s="38" t="n"/>
      <c r="B163" s="38" t="n"/>
      <c r="C163" s="38" t="n"/>
      <c r="D163" s="47" t="n"/>
      <c r="E163" s="38" t="n"/>
      <c r="F163" s="38" t="n"/>
      <c r="G163" s="38" t="n"/>
      <c r="H163" s="49">
        <f>IF(A163="","",IF(F163="Done","✓ Done",IF(D163="","",IF(D163&lt;AsOf,"Overdue",IF(D163=AsOf,"Due today","Upcoming")))))</f>
        <v/>
      </c>
    </row>
    <row r="164">
      <c r="A164" s="38" t="n"/>
      <c r="B164" s="38" t="n"/>
      <c r="C164" s="38" t="n"/>
      <c r="D164" s="47" t="n"/>
      <c r="E164" s="38" t="n"/>
      <c r="F164" s="38" t="n"/>
      <c r="G164" s="38" t="n"/>
      <c r="H164" s="49">
        <f>IF(A164="","",IF(F164="Done","✓ Done",IF(D164="","",IF(D164&lt;AsOf,"Overdue",IF(D164=AsOf,"Due today","Upcoming")))))</f>
        <v/>
      </c>
    </row>
    <row r="165">
      <c r="A165" s="38" t="n"/>
      <c r="B165" s="38" t="n"/>
      <c r="C165" s="38" t="n"/>
      <c r="D165" s="47" t="n"/>
      <c r="E165" s="38" t="n"/>
      <c r="F165" s="38" t="n"/>
      <c r="G165" s="38" t="n"/>
      <c r="H165" s="49">
        <f>IF(A165="","",IF(F165="Done","✓ Done",IF(D165="","",IF(D165&lt;AsOf,"Overdue",IF(D165=AsOf,"Due today","Upcoming")))))</f>
        <v/>
      </c>
    </row>
    <row r="166">
      <c r="A166" s="38" t="n"/>
      <c r="B166" s="38" t="n"/>
      <c r="C166" s="38" t="n"/>
      <c r="D166" s="47" t="n"/>
      <c r="E166" s="38" t="n"/>
      <c r="F166" s="38" t="n"/>
      <c r="G166" s="38" t="n"/>
      <c r="H166" s="49">
        <f>IF(A166="","",IF(F166="Done","✓ Done",IF(D166="","",IF(D166&lt;AsOf,"Overdue",IF(D166=AsOf,"Due today","Upcoming")))))</f>
        <v/>
      </c>
    </row>
    <row r="167">
      <c r="A167" s="38" t="n"/>
      <c r="B167" s="38" t="n"/>
      <c r="C167" s="38" t="n"/>
      <c r="D167" s="47" t="n"/>
      <c r="E167" s="38" t="n"/>
      <c r="F167" s="38" t="n"/>
      <c r="G167" s="38" t="n"/>
      <c r="H167" s="49">
        <f>IF(A167="","",IF(F167="Done","✓ Done",IF(D167="","",IF(D167&lt;AsOf,"Overdue",IF(D167=AsOf,"Due today","Upcoming")))))</f>
        <v/>
      </c>
    </row>
    <row r="168">
      <c r="A168" s="38" t="n"/>
      <c r="B168" s="38" t="n"/>
      <c r="C168" s="38" t="n"/>
      <c r="D168" s="47" t="n"/>
      <c r="E168" s="38" t="n"/>
      <c r="F168" s="38" t="n"/>
      <c r="G168" s="38" t="n"/>
      <c r="H168" s="49">
        <f>IF(A168="","",IF(F168="Done","✓ Done",IF(D168="","",IF(D168&lt;AsOf,"Overdue",IF(D168=AsOf,"Due today","Upcoming")))))</f>
        <v/>
      </c>
    </row>
    <row r="169">
      <c r="A169" s="38" t="n"/>
      <c r="B169" s="38" t="n"/>
      <c r="C169" s="38" t="n"/>
      <c r="D169" s="47" t="n"/>
      <c r="E169" s="38" t="n"/>
      <c r="F169" s="38" t="n"/>
      <c r="G169" s="38" t="n"/>
      <c r="H169" s="49">
        <f>IF(A169="","",IF(F169="Done","✓ Done",IF(D169="","",IF(D169&lt;AsOf,"Overdue",IF(D169=AsOf,"Due today","Upcoming")))))</f>
        <v/>
      </c>
    </row>
    <row r="170">
      <c r="A170" s="38" t="n"/>
      <c r="B170" s="38" t="n"/>
      <c r="C170" s="38" t="n"/>
      <c r="D170" s="47" t="n"/>
      <c r="E170" s="38" t="n"/>
      <c r="F170" s="38" t="n"/>
      <c r="G170" s="38" t="n"/>
      <c r="H170" s="49">
        <f>IF(A170="","",IF(F170="Done","✓ Done",IF(D170="","",IF(D170&lt;AsOf,"Overdue",IF(D170=AsOf,"Due today","Upcoming")))))</f>
        <v/>
      </c>
    </row>
    <row r="171">
      <c r="A171" s="38" t="n"/>
      <c r="B171" s="38" t="n"/>
      <c r="C171" s="38" t="n"/>
      <c r="D171" s="47" t="n"/>
      <c r="E171" s="38" t="n"/>
      <c r="F171" s="38" t="n"/>
      <c r="G171" s="38" t="n"/>
      <c r="H171" s="49">
        <f>IF(A171="","",IF(F171="Done","✓ Done",IF(D171="","",IF(D171&lt;AsOf,"Overdue",IF(D171=AsOf,"Due today","Upcoming")))))</f>
        <v/>
      </c>
    </row>
    <row r="172">
      <c r="A172" s="38" t="n"/>
      <c r="B172" s="38" t="n"/>
      <c r="C172" s="38" t="n"/>
      <c r="D172" s="47" t="n"/>
      <c r="E172" s="38" t="n"/>
      <c r="F172" s="38" t="n"/>
      <c r="G172" s="38" t="n"/>
      <c r="H172" s="49">
        <f>IF(A172="","",IF(F172="Done","✓ Done",IF(D172="","",IF(D172&lt;AsOf,"Overdue",IF(D172=AsOf,"Due today","Upcoming")))))</f>
        <v/>
      </c>
    </row>
    <row r="173">
      <c r="A173" s="38" t="n"/>
      <c r="B173" s="38" t="n"/>
      <c r="C173" s="38" t="n"/>
      <c r="D173" s="47" t="n"/>
      <c r="E173" s="38" t="n"/>
      <c r="F173" s="38" t="n"/>
      <c r="G173" s="38" t="n"/>
      <c r="H173" s="49">
        <f>IF(A173="","",IF(F173="Done","✓ Done",IF(D173="","",IF(D173&lt;AsOf,"Overdue",IF(D173=AsOf,"Due today","Upcoming")))))</f>
        <v/>
      </c>
    </row>
    <row r="174">
      <c r="A174" s="38" t="n"/>
      <c r="B174" s="38" t="n"/>
      <c r="C174" s="38" t="n"/>
      <c r="D174" s="47" t="n"/>
      <c r="E174" s="38" t="n"/>
      <c r="F174" s="38" t="n"/>
      <c r="G174" s="38" t="n"/>
      <c r="H174" s="49">
        <f>IF(A174="","",IF(F174="Done","✓ Done",IF(D174="","",IF(D174&lt;AsOf,"Overdue",IF(D174=AsOf,"Due today","Upcoming")))))</f>
        <v/>
      </c>
    </row>
    <row r="175">
      <c r="A175" s="38" t="n"/>
      <c r="B175" s="38" t="n"/>
      <c r="C175" s="38" t="n"/>
      <c r="D175" s="47" t="n"/>
      <c r="E175" s="38" t="n"/>
      <c r="F175" s="38" t="n"/>
      <c r="G175" s="38" t="n"/>
      <c r="H175" s="49">
        <f>IF(A175="","",IF(F175="Done","✓ Done",IF(D175="","",IF(D175&lt;AsOf,"Overdue",IF(D175=AsOf,"Due today","Upcoming")))))</f>
        <v/>
      </c>
    </row>
    <row r="176">
      <c r="A176" s="38" t="n"/>
      <c r="B176" s="38" t="n"/>
      <c r="C176" s="38" t="n"/>
      <c r="D176" s="47" t="n"/>
      <c r="E176" s="38" t="n"/>
      <c r="F176" s="38" t="n"/>
      <c r="G176" s="38" t="n"/>
      <c r="H176" s="49">
        <f>IF(A176="","",IF(F176="Done","✓ Done",IF(D176="","",IF(D176&lt;AsOf,"Overdue",IF(D176=AsOf,"Due today","Upcoming")))))</f>
        <v/>
      </c>
    </row>
    <row r="177">
      <c r="A177" s="38" t="n"/>
      <c r="B177" s="38" t="n"/>
      <c r="C177" s="38" t="n"/>
      <c r="D177" s="47" t="n"/>
      <c r="E177" s="38" t="n"/>
      <c r="F177" s="38" t="n"/>
      <c r="G177" s="38" t="n"/>
      <c r="H177" s="49">
        <f>IF(A177="","",IF(F177="Done","✓ Done",IF(D177="","",IF(D177&lt;AsOf,"Overdue",IF(D177=AsOf,"Due today","Upcoming")))))</f>
        <v/>
      </c>
    </row>
    <row r="178">
      <c r="A178" s="38" t="n"/>
      <c r="B178" s="38" t="n"/>
      <c r="C178" s="38" t="n"/>
      <c r="D178" s="47" t="n"/>
      <c r="E178" s="38" t="n"/>
      <c r="F178" s="38" t="n"/>
      <c r="G178" s="38" t="n"/>
      <c r="H178" s="49">
        <f>IF(A178="","",IF(F178="Done","✓ Done",IF(D178="","",IF(D178&lt;AsOf,"Overdue",IF(D178=AsOf,"Due today","Upcoming")))))</f>
        <v/>
      </c>
    </row>
    <row r="179">
      <c r="A179" s="38" t="n"/>
      <c r="B179" s="38" t="n"/>
      <c r="C179" s="38" t="n"/>
      <c r="D179" s="47" t="n"/>
      <c r="E179" s="38" t="n"/>
      <c r="F179" s="38" t="n"/>
      <c r="G179" s="38" t="n"/>
      <c r="H179" s="49">
        <f>IF(A179="","",IF(F179="Done","✓ Done",IF(D179="","",IF(D179&lt;AsOf,"Overdue",IF(D179=AsOf,"Due today","Upcoming")))))</f>
        <v/>
      </c>
    </row>
    <row r="180">
      <c r="A180" s="38" t="n"/>
      <c r="B180" s="38" t="n"/>
      <c r="C180" s="38" t="n"/>
      <c r="D180" s="47" t="n"/>
      <c r="E180" s="38" t="n"/>
      <c r="F180" s="38" t="n"/>
      <c r="G180" s="38" t="n"/>
      <c r="H180" s="49">
        <f>IF(A180="","",IF(F180="Done","✓ Done",IF(D180="","",IF(D180&lt;AsOf,"Overdue",IF(D180=AsOf,"Due today","Upcoming")))))</f>
        <v/>
      </c>
    </row>
    <row r="181">
      <c r="A181" s="38" t="n"/>
      <c r="B181" s="38" t="n"/>
      <c r="C181" s="38" t="n"/>
      <c r="D181" s="47" t="n"/>
      <c r="E181" s="38" t="n"/>
      <c r="F181" s="38" t="n"/>
      <c r="G181" s="38" t="n"/>
      <c r="H181" s="49">
        <f>IF(A181="","",IF(F181="Done","✓ Done",IF(D181="","",IF(D181&lt;AsOf,"Overdue",IF(D181=AsOf,"Due today","Upcoming")))))</f>
        <v/>
      </c>
    </row>
    <row r="182">
      <c r="A182" s="38" t="n"/>
      <c r="B182" s="38" t="n"/>
      <c r="C182" s="38" t="n"/>
      <c r="D182" s="47" t="n"/>
      <c r="E182" s="38" t="n"/>
      <c r="F182" s="38" t="n"/>
      <c r="G182" s="38" t="n"/>
      <c r="H182" s="49">
        <f>IF(A182="","",IF(F182="Done","✓ Done",IF(D182="","",IF(D182&lt;AsOf,"Overdue",IF(D182=AsOf,"Due today","Upcoming")))))</f>
        <v/>
      </c>
    </row>
    <row r="183">
      <c r="A183" s="38" t="n"/>
      <c r="B183" s="38" t="n"/>
      <c r="C183" s="38" t="n"/>
      <c r="D183" s="47" t="n"/>
      <c r="E183" s="38" t="n"/>
      <c r="F183" s="38" t="n"/>
      <c r="G183" s="38" t="n"/>
      <c r="H183" s="49">
        <f>IF(A183="","",IF(F183="Done","✓ Done",IF(D183="","",IF(D183&lt;AsOf,"Overdue",IF(D183=AsOf,"Due today","Upcoming")))))</f>
        <v/>
      </c>
    </row>
    <row r="184">
      <c r="A184" s="38" t="n"/>
      <c r="B184" s="38" t="n"/>
      <c r="C184" s="38" t="n"/>
      <c r="D184" s="47" t="n"/>
      <c r="E184" s="38" t="n"/>
      <c r="F184" s="38" t="n"/>
      <c r="G184" s="38" t="n"/>
      <c r="H184" s="49">
        <f>IF(A184="","",IF(F184="Done","✓ Done",IF(D184="","",IF(D184&lt;AsOf,"Overdue",IF(D184=AsOf,"Due today","Upcoming")))))</f>
        <v/>
      </c>
    </row>
    <row r="185">
      <c r="A185" s="38" t="n"/>
      <c r="B185" s="38" t="n"/>
      <c r="C185" s="38" t="n"/>
      <c r="D185" s="47" t="n"/>
      <c r="E185" s="38" t="n"/>
      <c r="F185" s="38" t="n"/>
      <c r="G185" s="38" t="n"/>
      <c r="H185" s="49">
        <f>IF(A185="","",IF(F185="Done","✓ Done",IF(D185="","",IF(D185&lt;AsOf,"Overdue",IF(D185=AsOf,"Due today","Upcoming")))))</f>
        <v/>
      </c>
    </row>
    <row r="186">
      <c r="A186" s="38" t="n"/>
      <c r="B186" s="38" t="n"/>
      <c r="C186" s="38" t="n"/>
      <c r="D186" s="47" t="n"/>
      <c r="E186" s="38" t="n"/>
      <c r="F186" s="38" t="n"/>
      <c r="G186" s="38" t="n"/>
      <c r="H186" s="49">
        <f>IF(A186="","",IF(F186="Done","✓ Done",IF(D186="","",IF(D186&lt;AsOf,"Overdue",IF(D186=AsOf,"Due today","Upcoming")))))</f>
        <v/>
      </c>
    </row>
    <row r="187">
      <c r="A187" s="38" t="n"/>
      <c r="B187" s="38" t="n"/>
      <c r="C187" s="38" t="n"/>
      <c r="D187" s="47" t="n"/>
      <c r="E187" s="38" t="n"/>
      <c r="F187" s="38" t="n"/>
      <c r="G187" s="38" t="n"/>
      <c r="H187" s="49">
        <f>IF(A187="","",IF(F187="Done","✓ Done",IF(D187="","",IF(D187&lt;AsOf,"Overdue",IF(D187=AsOf,"Due today","Upcoming")))))</f>
        <v/>
      </c>
    </row>
    <row r="188">
      <c r="A188" s="38" t="n"/>
      <c r="B188" s="38" t="n"/>
      <c r="C188" s="38" t="n"/>
      <c r="D188" s="47" t="n"/>
      <c r="E188" s="38" t="n"/>
      <c r="F188" s="38" t="n"/>
      <c r="G188" s="38" t="n"/>
      <c r="H188" s="49">
        <f>IF(A188="","",IF(F188="Done","✓ Done",IF(D188="","",IF(D188&lt;AsOf,"Overdue",IF(D188=AsOf,"Due today","Upcoming")))))</f>
        <v/>
      </c>
    </row>
    <row r="189">
      <c r="A189" s="38" t="n"/>
      <c r="B189" s="38" t="n"/>
      <c r="C189" s="38" t="n"/>
      <c r="D189" s="47" t="n"/>
      <c r="E189" s="38" t="n"/>
      <c r="F189" s="38" t="n"/>
      <c r="G189" s="38" t="n"/>
      <c r="H189" s="49">
        <f>IF(A189="","",IF(F189="Done","✓ Done",IF(D189="","",IF(D189&lt;AsOf,"Overdue",IF(D189=AsOf,"Due today","Upcoming")))))</f>
        <v/>
      </c>
    </row>
    <row r="190">
      <c r="A190" s="38" t="n"/>
      <c r="B190" s="38" t="n"/>
      <c r="C190" s="38" t="n"/>
      <c r="D190" s="47" t="n"/>
      <c r="E190" s="38" t="n"/>
      <c r="F190" s="38" t="n"/>
      <c r="G190" s="38" t="n"/>
      <c r="H190" s="49">
        <f>IF(A190="","",IF(F190="Done","✓ Done",IF(D190="","",IF(D190&lt;AsOf,"Overdue",IF(D190=AsOf,"Due today","Upcoming")))))</f>
        <v/>
      </c>
    </row>
    <row r="191">
      <c r="A191" s="38" t="n"/>
      <c r="B191" s="38" t="n"/>
      <c r="C191" s="38" t="n"/>
      <c r="D191" s="47" t="n"/>
      <c r="E191" s="38" t="n"/>
      <c r="F191" s="38" t="n"/>
      <c r="G191" s="38" t="n"/>
      <c r="H191" s="49">
        <f>IF(A191="","",IF(F191="Done","✓ Done",IF(D191="","",IF(D191&lt;AsOf,"Overdue",IF(D191=AsOf,"Due today","Upcoming")))))</f>
        <v/>
      </c>
    </row>
    <row r="192">
      <c r="A192" s="38" t="n"/>
      <c r="B192" s="38" t="n"/>
      <c r="C192" s="38" t="n"/>
      <c r="D192" s="47" t="n"/>
      <c r="E192" s="38" t="n"/>
      <c r="F192" s="38" t="n"/>
      <c r="G192" s="38" t="n"/>
      <c r="H192" s="49">
        <f>IF(A192="","",IF(F192="Done","✓ Done",IF(D192="","",IF(D192&lt;AsOf,"Overdue",IF(D192=AsOf,"Due today","Upcoming")))))</f>
        <v/>
      </c>
    </row>
    <row r="193">
      <c r="A193" s="38" t="n"/>
      <c r="B193" s="38" t="n"/>
      <c r="C193" s="38" t="n"/>
      <c r="D193" s="47" t="n"/>
      <c r="E193" s="38" t="n"/>
      <c r="F193" s="38" t="n"/>
      <c r="G193" s="38" t="n"/>
      <c r="H193" s="49">
        <f>IF(A193="","",IF(F193="Done","✓ Done",IF(D193="","",IF(D193&lt;AsOf,"Overdue",IF(D193=AsOf,"Due today","Upcoming")))))</f>
        <v/>
      </c>
    </row>
    <row r="194">
      <c r="A194" s="38" t="n"/>
      <c r="B194" s="38" t="n"/>
      <c r="C194" s="38" t="n"/>
      <c r="D194" s="47" t="n"/>
      <c r="E194" s="38" t="n"/>
      <c r="F194" s="38" t="n"/>
      <c r="G194" s="38" t="n"/>
      <c r="H194" s="49">
        <f>IF(A194="","",IF(F194="Done","✓ Done",IF(D194="","",IF(D194&lt;AsOf,"Overdue",IF(D194=AsOf,"Due today","Upcoming")))))</f>
        <v/>
      </c>
    </row>
    <row r="195">
      <c r="A195" s="38" t="n"/>
      <c r="B195" s="38" t="n"/>
      <c r="C195" s="38" t="n"/>
      <c r="D195" s="47" t="n"/>
      <c r="E195" s="38" t="n"/>
      <c r="F195" s="38" t="n"/>
      <c r="G195" s="38" t="n"/>
      <c r="H195" s="49">
        <f>IF(A195="","",IF(F195="Done","✓ Done",IF(D195="","",IF(D195&lt;AsOf,"Overdue",IF(D195=AsOf,"Due today","Upcoming")))))</f>
        <v/>
      </c>
    </row>
    <row r="196">
      <c r="A196" s="38" t="n"/>
      <c r="B196" s="38" t="n"/>
      <c r="C196" s="38" t="n"/>
      <c r="D196" s="47" t="n"/>
      <c r="E196" s="38" t="n"/>
      <c r="F196" s="38" t="n"/>
      <c r="G196" s="38" t="n"/>
      <c r="H196" s="49">
        <f>IF(A196="","",IF(F196="Done","✓ Done",IF(D196="","",IF(D196&lt;AsOf,"Overdue",IF(D196=AsOf,"Due today","Upcoming")))))</f>
        <v/>
      </c>
    </row>
    <row r="197">
      <c r="A197" s="38" t="n"/>
      <c r="B197" s="38" t="n"/>
      <c r="C197" s="38" t="n"/>
      <c r="D197" s="47" t="n"/>
      <c r="E197" s="38" t="n"/>
      <c r="F197" s="38" t="n"/>
      <c r="G197" s="38" t="n"/>
      <c r="H197" s="49">
        <f>IF(A197="","",IF(F197="Done","✓ Done",IF(D197="","",IF(D197&lt;AsOf,"Overdue",IF(D197=AsOf,"Due today","Upcoming")))))</f>
        <v/>
      </c>
    </row>
    <row r="198">
      <c r="A198" s="38" t="n"/>
      <c r="B198" s="38" t="n"/>
      <c r="C198" s="38" t="n"/>
      <c r="D198" s="47" t="n"/>
      <c r="E198" s="38" t="n"/>
      <c r="F198" s="38" t="n"/>
      <c r="G198" s="38" t="n"/>
      <c r="H198" s="49">
        <f>IF(A198="","",IF(F198="Done","✓ Done",IF(D198="","",IF(D198&lt;AsOf,"Overdue",IF(D198=AsOf,"Due today","Upcoming")))))</f>
        <v/>
      </c>
    </row>
    <row r="199">
      <c r="A199" s="38" t="n"/>
      <c r="B199" s="38" t="n"/>
      <c r="C199" s="38" t="n"/>
      <c r="D199" s="47" t="n"/>
      <c r="E199" s="38" t="n"/>
      <c r="F199" s="38" t="n"/>
      <c r="G199" s="38" t="n"/>
      <c r="H199" s="49">
        <f>IF(A199="","",IF(F199="Done","✓ Done",IF(D199="","",IF(D199&lt;AsOf,"Overdue",IF(D199=AsOf,"Due today","Upcoming")))))</f>
        <v/>
      </c>
    </row>
    <row r="200">
      <c r="A200" s="38" t="n"/>
      <c r="B200" s="38" t="n"/>
      <c r="C200" s="38" t="n"/>
      <c r="D200" s="47" t="n"/>
      <c r="E200" s="38" t="n"/>
      <c r="F200" s="38" t="n"/>
      <c r="G200" s="38" t="n"/>
      <c r="H200" s="49">
        <f>IF(A200="","",IF(F200="Done","✓ Done",IF(D200="","",IF(D200&lt;AsOf,"Overdue",IF(D200=AsOf,"Due today","Upcoming")))))</f>
        <v/>
      </c>
    </row>
    <row r="201">
      <c r="A201" s="38" t="n"/>
      <c r="B201" s="38" t="n"/>
      <c r="C201" s="38" t="n"/>
      <c r="D201" s="47" t="n"/>
      <c r="E201" s="38" t="n"/>
      <c r="F201" s="38" t="n"/>
      <c r="G201" s="38" t="n"/>
      <c r="H201" s="49">
        <f>IF(A201="","",IF(F201="Done","✓ Done",IF(D201="","",IF(D201&lt;AsOf,"Overdue",IF(D201=AsOf,"Due today","Upcoming")))))</f>
        <v/>
      </c>
    </row>
    <row r="202">
      <c r="A202" s="38" t="n"/>
      <c r="B202" s="38" t="n"/>
      <c r="C202" s="38" t="n"/>
      <c r="D202" s="47" t="n"/>
      <c r="E202" s="38" t="n"/>
      <c r="F202" s="38" t="n"/>
      <c r="G202" s="38" t="n"/>
      <c r="H202" s="49">
        <f>IF(A202="","",IF(F202="Done","✓ Done",IF(D202="","",IF(D202&lt;AsOf,"Overdue",IF(D202=AsOf,"Due today","Upcoming")))))</f>
        <v/>
      </c>
    </row>
    <row r="203">
      <c r="A203" s="38" t="n"/>
      <c r="B203" s="38" t="n"/>
      <c r="C203" s="38" t="n"/>
      <c r="D203" s="47" t="n"/>
      <c r="E203" s="38" t="n"/>
      <c r="F203" s="38" t="n"/>
      <c r="G203" s="38" t="n"/>
      <c r="H203" s="49">
        <f>IF(A203="","",IF(F203="Done","✓ Done",IF(D203="","",IF(D203&lt;AsOf,"Overdue",IF(D203=AsOf,"Due today","Upcoming")))))</f>
        <v/>
      </c>
    </row>
    <row r="204">
      <c r="A204" s="38" t="n"/>
      <c r="B204" s="38" t="n"/>
      <c r="C204" s="38" t="n"/>
      <c r="D204" s="47" t="n"/>
      <c r="E204" s="38" t="n"/>
      <c r="F204" s="38" t="n"/>
      <c r="G204" s="38" t="n"/>
      <c r="H204" s="49">
        <f>IF(A204="","",IF(F204="Done","✓ Done",IF(D204="","",IF(D204&lt;AsOf,"Overdue",IF(D204=AsOf,"Due today","Upcoming")))))</f>
        <v/>
      </c>
    </row>
    <row r="205">
      <c r="A205" s="38" t="n"/>
      <c r="B205" s="38" t="n"/>
      <c r="C205" s="38" t="n"/>
      <c r="D205" s="47" t="n"/>
      <c r="E205" s="38" t="n"/>
      <c r="F205" s="38" t="n"/>
      <c r="G205" s="38" t="n"/>
      <c r="H205" s="49">
        <f>IF(A205="","",IF(F205="Done","✓ Done",IF(D205="","",IF(D205&lt;AsOf,"Overdue",IF(D205=AsOf,"Due today","Upcoming")))))</f>
        <v/>
      </c>
    </row>
    <row r="206">
      <c r="A206" s="38" t="n"/>
      <c r="B206" s="38" t="n"/>
      <c r="C206" s="38" t="n"/>
      <c r="D206" s="47" t="n"/>
      <c r="E206" s="38" t="n"/>
      <c r="F206" s="38" t="n"/>
      <c r="G206" s="38" t="n"/>
      <c r="H206" s="49">
        <f>IF(A206="","",IF(F206="Done","✓ Done",IF(D206="","",IF(D206&lt;AsOf,"Overdue",IF(D206=AsOf,"Due today","Upcoming")))))</f>
        <v/>
      </c>
    </row>
    <row r="207">
      <c r="A207" s="38" t="n"/>
      <c r="B207" s="38" t="n"/>
      <c r="C207" s="38" t="n"/>
      <c r="D207" s="47" t="n"/>
      <c r="E207" s="38" t="n"/>
      <c r="F207" s="38" t="n"/>
      <c r="G207" s="38" t="n"/>
      <c r="H207" s="49">
        <f>IF(A207="","",IF(F207="Done","✓ Done",IF(D207="","",IF(D207&lt;AsOf,"Overdue",IF(D207=AsOf,"Due today","Upcoming")))))</f>
        <v/>
      </c>
    </row>
    <row r="208">
      <c r="A208" s="38" t="n"/>
      <c r="B208" s="38" t="n"/>
      <c r="C208" s="38" t="n"/>
      <c r="D208" s="47" t="n"/>
      <c r="E208" s="38" t="n"/>
      <c r="F208" s="38" t="n"/>
      <c r="G208" s="38" t="n"/>
      <c r="H208" s="49">
        <f>IF(A208="","",IF(F208="Done","✓ Done",IF(D208="","",IF(D208&lt;AsOf,"Overdue",IF(D208=AsOf,"Due today","Upcoming")))))</f>
        <v/>
      </c>
    </row>
    <row r="209">
      <c r="A209" s="38" t="n"/>
      <c r="B209" s="38" t="n"/>
      <c r="C209" s="38" t="n"/>
      <c r="D209" s="47" t="n"/>
      <c r="E209" s="38" t="n"/>
      <c r="F209" s="38" t="n"/>
      <c r="G209" s="38" t="n"/>
      <c r="H209" s="49">
        <f>IF(A209="","",IF(F209="Done","✓ Done",IF(D209="","",IF(D209&lt;AsOf,"Overdue",IF(D209=AsOf,"Due today","Upcoming")))))</f>
        <v/>
      </c>
    </row>
    <row r="210">
      <c r="A210" s="38" t="n"/>
      <c r="B210" s="38" t="n"/>
      <c r="C210" s="38" t="n"/>
      <c r="D210" s="47" t="n"/>
      <c r="E210" s="38" t="n"/>
      <c r="F210" s="38" t="n"/>
      <c r="G210" s="38" t="n"/>
      <c r="H210" s="49">
        <f>IF(A210="","",IF(F210="Done","✓ Done",IF(D210="","",IF(D210&lt;AsOf,"Overdue",IF(D210=AsOf,"Due today","Upcoming")))))</f>
        <v/>
      </c>
    </row>
    <row r="211">
      <c r="A211" s="38" t="n"/>
      <c r="B211" s="38" t="n"/>
      <c r="C211" s="38" t="n"/>
      <c r="D211" s="47" t="n"/>
      <c r="E211" s="38" t="n"/>
      <c r="F211" s="38" t="n"/>
      <c r="G211" s="38" t="n"/>
      <c r="H211" s="49">
        <f>IF(A211="","",IF(F211="Done","✓ Done",IF(D211="","",IF(D211&lt;AsOf,"Overdue",IF(D211=AsOf,"Due today","Upcoming")))))</f>
        <v/>
      </c>
    </row>
    <row r="212">
      <c r="A212" s="38" t="n"/>
      <c r="B212" s="38" t="n"/>
      <c r="C212" s="38" t="n"/>
      <c r="D212" s="47" t="n"/>
      <c r="E212" s="38" t="n"/>
      <c r="F212" s="38" t="n"/>
      <c r="G212" s="38" t="n"/>
      <c r="H212" s="49">
        <f>IF(A212="","",IF(F212="Done","✓ Done",IF(D212="","",IF(D212&lt;AsOf,"Overdue",IF(D212=AsOf,"Due today","Upcoming")))))</f>
        <v/>
      </c>
    </row>
    <row r="213">
      <c r="A213" s="38" t="n"/>
      <c r="B213" s="38" t="n"/>
      <c r="C213" s="38" t="n"/>
      <c r="D213" s="47" t="n"/>
      <c r="E213" s="38" t="n"/>
      <c r="F213" s="38" t="n"/>
      <c r="G213" s="38" t="n"/>
      <c r="H213" s="49">
        <f>IF(A213="","",IF(F213="Done","✓ Done",IF(D213="","",IF(D213&lt;AsOf,"Overdue",IF(D213=AsOf,"Due today","Upcoming")))))</f>
        <v/>
      </c>
    </row>
    <row r="214">
      <c r="A214" s="38" t="n"/>
      <c r="B214" s="38" t="n"/>
      <c r="C214" s="38" t="n"/>
      <c r="D214" s="47" t="n"/>
      <c r="E214" s="38" t="n"/>
      <c r="F214" s="38" t="n"/>
      <c r="G214" s="38" t="n"/>
      <c r="H214" s="49">
        <f>IF(A214="","",IF(F214="Done","✓ Done",IF(D214="","",IF(D214&lt;AsOf,"Overdue",IF(D214=AsOf,"Due today","Upcoming")))))</f>
        <v/>
      </c>
    </row>
    <row r="215">
      <c r="A215" s="38" t="n"/>
      <c r="B215" s="38" t="n"/>
      <c r="C215" s="38" t="n"/>
      <c r="D215" s="47" t="n"/>
      <c r="E215" s="38" t="n"/>
      <c r="F215" s="38" t="n"/>
      <c r="G215" s="38" t="n"/>
      <c r="H215" s="49">
        <f>IF(A215="","",IF(F215="Done","✓ Done",IF(D215="","",IF(D215&lt;AsOf,"Overdue",IF(D215=AsOf,"Due today","Upcoming")))))</f>
        <v/>
      </c>
    </row>
    <row r="216">
      <c r="A216" s="38" t="n"/>
      <c r="B216" s="38" t="n"/>
      <c r="C216" s="38" t="n"/>
      <c r="D216" s="47" t="n"/>
      <c r="E216" s="38" t="n"/>
      <c r="F216" s="38" t="n"/>
      <c r="G216" s="38" t="n"/>
      <c r="H216" s="49">
        <f>IF(A216="","",IF(F216="Done","✓ Done",IF(D216="","",IF(D216&lt;AsOf,"Overdue",IF(D216=AsOf,"Due today","Upcoming")))))</f>
        <v/>
      </c>
    </row>
    <row r="217">
      <c r="A217" s="38" t="n"/>
      <c r="B217" s="38" t="n"/>
      <c r="C217" s="38" t="n"/>
      <c r="D217" s="47" t="n"/>
      <c r="E217" s="38" t="n"/>
      <c r="F217" s="38" t="n"/>
      <c r="G217" s="38" t="n"/>
      <c r="H217" s="49">
        <f>IF(A217="","",IF(F217="Done","✓ Done",IF(D217="","",IF(D217&lt;AsOf,"Overdue",IF(D217=AsOf,"Due today","Upcoming")))))</f>
        <v/>
      </c>
    </row>
    <row r="218">
      <c r="A218" s="38" t="n"/>
      <c r="B218" s="38" t="n"/>
      <c r="C218" s="38" t="n"/>
      <c r="D218" s="47" t="n"/>
      <c r="E218" s="38" t="n"/>
      <c r="F218" s="38" t="n"/>
      <c r="G218" s="38" t="n"/>
      <c r="H218" s="49">
        <f>IF(A218="","",IF(F218="Done","✓ Done",IF(D218="","",IF(D218&lt;AsOf,"Overdue",IF(D218=AsOf,"Due today","Upcoming")))))</f>
        <v/>
      </c>
    </row>
    <row r="219">
      <c r="A219" s="38" t="n"/>
      <c r="B219" s="38" t="n"/>
      <c r="C219" s="38" t="n"/>
      <c r="D219" s="47" t="n"/>
      <c r="E219" s="38" t="n"/>
      <c r="F219" s="38" t="n"/>
      <c r="G219" s="38" t="n"/>
      <c r="H219" s="49">
        <f>IF(A219="","",IF(F219="Done","✓ Done",IF(D219="","",IF(D219&lt;AsOf,"Overdue",IF(D219=AsOf,"Due today","Upcoming")))))</f>
        <v/>
      </c>
    </row>
    <row r="220">
      <c r="A220" s="38" t="n"/>
      <c r="B220" s="38" t="n"/>
      <c r="C220" s="38" t="n"/>
      <c r="D220" s="47" t="n"/>
      <c r="E220" s="38" t="n"/>
      <c r="F220" s="38" t="n"/>
      <c r="G220" s="38" t="n"/>
      <c r="H220" s="49">
        <f>IF(A220="","",IF(F220="Done","✓ Done",IF(D220="","",IF(D220&lt;AsOf,"Overdue",IF(D220=AsOf,"Due today","Upcoming")))))</f>
        <v/>
      </c>
    </row>
    <row r="221">
      <c r="A221" s="38" t="n"/>
      <c r="B221" s="38" t="n"/>
      <c r="C221" s="38" t="n"/>
      <c r="D221" s="47" t="n"/>
      <c r="E221" s="38" t="n"/>
      <c r="F221" s="38" t="n"/>
      <c r="G221" s="38" t="n"/>
      <c r="H221" s="49">
        <f>IF(A221="","",IF(F221="Done","✓ Done",IF(D221="","",IF(D221&lt;AsOf,"Overdue",IF(D221=AsOf,"Due today","Upcoming")))))</f>
        <v/>
      </c>
    </row>
    <row r="222">
      <c r="A222" s="38" t="n"/>
      <c r="B222" s="38" t="n"/>
      <c r="C222" s="38" t="n"/>
      <c r="D222" s="47" t="n"/>
      <c r="E222" s="38" t="n"/>
      <c r="F222" s="38" t="n"/>
      <c r="G222" s="38" t="n"/>
      <c r="H222" s="49">
        <f>IF(A222="","",IF(F222="Done","✓ Done",IF(D222="","",IF(D222&lt;AsOf,"Overdue",IF(D222=AsOf,"Due today","Upcoming")))))</f>
        <v/>
      </c>
    </row>
    <row r="223">
      <c r="A223" s="38" t="n"/>
      <c r="B223" s="38" t="n"/>
      <c r="C223" s="38" t="n"/>
      <c r="D223" s="47" t="n"/>
      <c r="E223" s="38" t="n"/>
      <c r="F223" s="38" t="n"/>
      <c r="G223" s="38" t="n"/>
      <c r="H223" s="49">
        <f>IF(A223="","",IF(F223="Done","✓ Done",IF(D223="","",IF(D223&lt;AsOf,"Overdue",IF(D223=AsOf,"Due today","Upcoming")))))</f>
        <v/>
      </c>
    </row>
    <row r="224">
      <c r="A224" s="38" t="n"/>
      <c r="B224" s="38" t="n"/>
      <c r="C224" s="38" t="n"/>
      <c r="D224" s="47" t="n"/>
      <c r="E224" s="38" t="n"/>
      <c r="F224" s="38" t="n"/>
      <c r="G224" s="38" t="n"/>
      <c r="H224" s="49">
        <f>IF(A224="","",IF(F224="Done","✓ Done",IF(D224="","",IF(D224&lt;AsOf,"Overdue",IF(D224=AsOf,"Due today","Upcoming")))))</f>
        <v/>
      </c>
    </row>
    <row r="225">
      <c r="A225" s="38" t="n"/>
      <c r="B225" s="38" t="n"/>
      <c r="C225" s="38" t="n"/>
      <c r="D225" s="47" t="n"/>
      <c r="E225" s="38" t="n"/>
      <c r="F225" s="38" t="n"/>
      <c r="G225" s="38" t="n"/>
      <c r="H225" s="49">
        <f>IF(A225="","",IF(F225="Done","✓ Done",IF(D225="","",IF(D225&lt;AsOf,"Overdue",IF(D225=AsOf,"Due today","Upcoming")))))</f>
        <v/>
      </c>
    </row>
    <row r="226">
      <c r="A226" s="38" t="n"/>
      <c r="B226" s="38" t="n"/>
      <c r="C226" s="38" t="n"/>
      <c r="D226" s="47" t="n"/>
      <c r="E226" s="38" t="n"/>
      <c r="F226" s="38" t="n"/>
      <c r="G226" s="38" t="n"/>
      <c r="H226" s="49">
        <f>IF(A226="","",IF(F226="Done","✓ Done",IF(D226="","",IF(D226&lt;AsOf,"Overdue",IF(D226=AsOf,"Due today","Upcoming")))))</f>
        <v/>
      </c>
    </row>
    <row r="227">
      <c r="A227" s="38" t="n"/>
      <c r="B227" s="38" t="n"/>
      <c r="C227" s="38" t="n"/>
      <c r="D227" s="47" t="n"/>
      <c r="E227" s="38" t="n"/>
      <c r="F227" s="38" t="n"/>
      <c r="G227" s="38" t="n"/>
      <c r="H227" s="49">
        <f>IF(A227="","",IF(F227="Done","✓ Done",IF(D227="","",IF(D227&lt;AsOf,"Overdue",IF(D227=AsOf,"Due today","Upcoming")))))</f>
        <v/>
      </c>
    </row>
    <row r="228">
      <c r="A228" s="38" t="n"/>
      <c r="B228" s="38" t="n"/>
      <c r="C228" s="38" t="n"/>
      <c r="D228" s="47" t="n"/>
      <c r="E228" s="38" t="n"/>
      <c r="F228" s="38" t="n"/>
      <c r="G228" s="38" t="n"/>
      <c r="H228" s="49">
        <f>IF(A228="","",IF(F228="Done","✓ Done",IF(D228="","",IF(D228&lt;AsOf,"Overdue",IF(D228=AsOf,"Due today","Upcoming")))))</f>
        <v/>
      </c>
    </row>
    <row r="229">
      <c r="A229" s="38" t="n"/>
      <c r="B229" s="38" t="n"/>
      <c r="C229" s="38" t="n"/>
      <c r="D229" s="47" t="n"/>
      <c r="E229" s="38" t="n"/>
      <c r="F229" s="38" t="n"/>
      <c r="G229" s="38" t="n"/>
      <c r="H229" s="49">
        <f>IF(A229="","",IF(F229="Done","✓ Done",IF(D229="","",IF(D229&lt;AsOf,"Overdue",IF(D229=AsOf,"Due today","Upcoming")))))</f>
        <v/>
      </c>
    </row>
    <row r="230">
      <c r="A230" s="38" t="n"/>
      <c r="B230" s="38" t="n"/>
      <c r="C230" s="38" t="n"/>
      <c r="D230" s="47" t="n"/>
      <c r="E230" s="38" t="n"/>
      <c r="F230" s="38" t="n"/>
      <c r="G230" s="38" t="n"/>
      <c r="H230" s="49">
        <f>IF(A230="","",IF(F230="Done","✓ Done",IF(D230="","",IF(D230&lt;AsOf,"Overdue",IF(D230=AsOf,"Due today","Upcoming")))))</f>
        <v/>
      </c>
    </row>
  </sheetData>
  <autoFilter ref="A30:H230"/>
  <mergeCells count="2">
    <mergeCell ref="A2:M2"/>
    <mergeCell ref="A1:M1"/>
  </mergeCells>
  <conditionalFormatting sqref="H31:H230">
    <cfRule type="expression" priority="1" dxfId="0">
      <formula>H31="Overdue"</formula>
    </cfRule>
    <cfRule type="expression" priority="2" dxfId="3">
      <formula>H31="✓ Done"</formula>
    </cfRule>
  </conditionalFormatting>
  <dataValidations count="6">
    <dataValidation sqref="B5:B24" showDropDown="0" showInputMessage="0" showErrorMessage="0" allowBlank="1" type="list">
      <formula1>='SETTINGS'!$T$5:$T$24</formula1>
    </dataValidation>
    <dataValidation sqref="F5:F24" showDropDown="0" showInputMessage="0" showErrorMessage="0" allowBlank="1" type="list">
      <formula1>='SETTINGS'!$S$5:$S$6</formula1>
    </dataValidation>
    <dataValidation sqref="B31:B230" showDropDown="0" showInputMessage="0" showErrorMessage="0" allowBlank="1" type="list">
      <formula1>='STAFF &amp; TASKS'!$A$5:$A$24</formula1>
    </dataValidation>
    <dataValidation sqref="C31:C230" showDropDown="0" showInputMessage="0" showErrorMessage="0" allowBlank="1" type="list">
      <formula1>='JOBS'!$A$5:$A$1504</formula1>
    </dataValidation>
    <dataValidation sqref="E31:E230" showDropDown="0" showInputMessage="0" showErrorMessage="0" allowBlank="1" type="list">
      <formula1>='SETTINGS'!$U$5:$U$7</formula1>
    </dataValidation>
    <dataValidation sqref="F31:F230" showDropDown="0" showInputMessage="0" showErrorMessage="0" allowBlank="1" type="list">
      <formula1>='SETTINGS'!$V$5:$V$7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2.xml><?xml version="1.0" encoding="utf-8"?>
<worksheet xmlns="http://schemas.openxmlformats.org/spreadsheetml/2006/main">
  <sheetPr>
    <tabColor rgb="001E7F4F"/>
    <outlinePr summaryBelow="1" summaryRight="1"/>
    <pageSetUpPr fitToPage="1"/>
  </sheetPr>
  <dimension ref="A1:K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5" customWidth="1" min="5" max="5"/>
    <col width="13" customWidth="1" min="6" max="6"/>
    <col width="26" customWidth="1" min="7" max="7"/>
    <col width="20" customWidth="1" min="8" max="8"/>
    <col width="16" customWidth="1" min="9" max="9"/>
    <col width="13" customWidth="1" min="10" max="10"/>
    <col width="13" customWidth="1" min="11" max="11"/>
  </cols>
  <sheetData>
    <row r="1" ht="34" customHeight="1">
      <c r="A1" s="42" t="inlineStr">
        <is>
          <t>REVENUE  —  PAYMENTS RECEIVED</t>
        </is>
      </c>
      <c r="B1" s="1" t="n"/>
      <c r="C1" s="1" t="n"/>
      <c r="D1" s="1" t="n"/>
      <c r="E1" s="1" t="n"/>
      <c r="F1" s="1" t="n"/>
      <c r="G1" s="1" t="n"/>
      <c r="H1" s="1" t="n"/>
      <c r="I1" s="1" t="n"/>
      <c r="J1" s="1" t="n"/>
      <c r="K1" s="1" t="n"/>
    </row>
    <row r="2" ht="30" customHeight="1">
      <c r="A2" s="43" t="inlineStr">
        <is>
          <t>Log every payment against its Job ID. JOBS then shows Paid / Partial / Unpaid automatically. Tips are tracked separately and are not counted as job revenue.</t>
        </is>
      </c>
    </row>
    <row r="3" ht="18" customHeight="1">
      <c r="A3" s="24" t="inlineStr">
        <is>
          <t>← Start Here</t>
        </is>
      </c>
      <c r="B3" s="24" t="inlineStr">
        <is>
          <t>Dashboard →</t>
        </is>
      </c>
    </row>
    <row r="4" ht="42" customHeight="1">
      <c r="A4" s="44" t="inlineStr">
        <is>
          <t>Payment Date</t>
        </is>
      </c>
      <c r="B4" s="44" t="inlineStr">
        <is>
          <t>Job ID</t>
        </is>
      </c>
      <c r="C4" s="44" t="inlineStr">
        <is>
          <t>Amount Received ($)</t>
        </is>
      </c>
      <c r="D4" s="44" t="inlineStr">
        <is>
          <t>Tip ($, optional)</t>
        </is>
      </c>
      <c r="E4" s="44" t="inlineStr">
        <is>
          <t>Payment Method</t>
        </is>
      </c>
      <c r="F4" s="44" t="inlineStr">
        <is>
          <t>Invoice / Ref #</t>
        </is>
      </c>
      <c r="G4" s="44" t="inlineStr">
        <is>
          <t>Notes</t>
        </is>
      </c>
      <c r="H4" s="45" t="inlineStr">
        <is>
          <t>Customer ⚙</t>
        </is>
      </c>
      <c r="I4" s="45" t="inlineStr">
        <is>
          <t>Service ⚙</t>
        </is>
      </c>
      <c r="J4" s="45" t="inlineStr">
        <is>
          <t>Est. Processing Fee ⚙</t>
        </is>
      </c>
      <c r="K4" s="45" t="inlineStr">
        <is>
          <t>Month ⚙</t>
        </is>
      </c>
    </row>
    <row r="5">
      <c r="A5" s="47" t="n">
        <v>46031</v>
      </c>
      <c r="B5" s="38" t="inlineStr">
        <is>
          <t>J-0001</t>
        </is>
      </c>
      <c r="C5" s="48" t="n">
        <v>450</v>
      </c>
      <c r="D5" s="48" t="n"/>
      <c r="E5" s="38" t="inlineStr">
        <is>
          <t>Online Invoice</t>
        </is>
      </c>
      <c r="F5" s="38" t="inlineStr">
        <is>
          <t>INV-0001</t>
        </is>
      </c>
      <c r="G5" s="38" t="inlineStr"/>
      <c r="H5" s="49">
        <f>IF(B5="","",IFERROR(INDEX('JOBS'!$D$5:$D$1504,MATCH(B5,'JOBS'!$A$5:$A$1504,0)),"Job ID not found"))</f>
        <v/>
      </c>
      <c r="I5" s="49">
        <f>IF(B5="","",IFERROR(INDEX('JOBS'!$F$5:$F$1504,MATCH(B5,'JOBS'!$A$5:$A$1504,0)),""))</f>
        <v/>
      </c>
      <c r="J5" s="55">
        <f>IF(C5="","",ROUND(C5*IF(IFERROR(INDEX('SETTINGS'!$K$5:$K$24,MATCH(E5,'SETTINGS'!$J$5:$J$24,0)),"No")="Yes",FeePct,0),2))</f>
        <v/>
      </c>
      <c r="K5" s="51">
        <f>IF(A5="","",DATE(YEAR(A5),MONTH(A5),1))</f>
        <v/>
      </c>
    </row>
    <row r="6">
      <c r="A6" s="47" t="n">
        <v>46038</v>
      </c>
      <c r="B6" s="38" t="inlineStr">
        <is>
          <t>J-0002</t>
        </is>
      </c>
      <c r="C6" s="48" t="n">
        <v>345</v>
      </c>
      <c r="D6" s="48" t="n"/>
      <c r="E6" s="38" t="inlineStr">
        <is>
          <t>Card</t>
        </is>
      </c>
      <c r="F6" s="38" t="inlineStr">
        <is>
          <t>INV-0002</t>
        </is>
      </c>
      <c r="G6" s="38" t="inlineStr"/>
      <c r="H6" s="49">
        <f>IF(B6="","",IFERROR(INDEX('JOBS'!$D$5:$D$1504,MATCH(B6,'JOBS'!$A$5:$A$1504,0)),"Job ID not found"))</f>
        <v/>
      </c>
      <c r="I6" s="49">
        <f>IF(B6="","",IFERROR(INDEX('JOBS'!$F$5:$F$1504,MATCH(B6,'JOBS'!$A$5:$A$1504,0)),""))</f>
        <v/>
      </c>
      <c r="J6" s="55">
        <f>IF(C6="","",ROUND(C6*IF(IFERROR(INDEX('SETTINGS'!$K$5:$K$24,MATCH(E6,'SETTINGS'!$J$5:$J$24,0)),"No")="Yes",FeePct,0),2))</f>
        <v/>
      </c>
      <c r="K6" s="51">
        <f>IF(A6="","",DATE(YEAR(A6),MONTH(A6),1))</f>
        <v/>
      </c>
    </row>
    <row r="7">
      <c r="A7" s="47" t="n">
        <v>46039</v>
      </c>
      <c r="B7" s="38" t="inlineStr">
        <is>
          <t>J-0003</t>
        </is>
      </c>
      <c r="C7" s="48" t="n">
        <v>195</v>
      </c>
      <c r="D7" s="48" t="n"/>
      <c r="E7" s="38" t="inlineStr">
        <is>
          <t>Online Invoice</t>
        </is>
      </c>
      <c r="F7" s="38" t="inlineStr">
        <is>
          <t>INV-0003</t>
        </is>
      </c>
      <c r="G7" s="38" t="inlineStr"/>
      <c r="H7" s="49">
        <f>IF(B7="","",IFERROR(INDEX('JOBS'!$D$5:$D$1504,MATCH(B7,'JOBS'!$A$5:$A$1504,0)),"Job ID not found"))</f>
        <v/>
      </c>
      <c r="I7" s="49">
        <f>IF(B7="","",IFERROR(INDEX('JOBS'!$F$5:$F$1504,MATCH(B7,'JOBS'!$A$5:$A$1504,0)),""))</f>
        <v/>
      </c>
      <c r="J7" s="55">
        <f>IF(C7="","",ROUND(C7*IF(IFERROR(INDEX('SETTINGS'!$K$5:$K$24,MATCH(E7,'SETTINGS'!$J$5:$J$24,0)),"No")="Yes",FeePct,0),2))</f>
        <v/>
      </c>
      <c r="K7" s="51">
        <f>IF(A7="","",DATE(YEAR(A7),MONTH(A7),1))</f>
        <v/>
      </c>
    </row>
    <row r="8">
      <c r="A8" s="47" t="n">
        <v>46043</v>
      </c>
      <c r="B8" s="38" t="inlineStr">
        <is>
          <t>J-0005</t>
        </is>
      </c>
      <c r="C8" s="48" t="n">
        <v>150</v>
      </c>
      <c r="D8" s="48" t="n"/>
      <c r="E8" s="38" t="inlineStr">
        <is>
          <t>Cash</t>
        </is>
      </c>
      <c r="F8" s="38" t="inlineStr">
        <is>
          <t>INV-0005</t>
        </is>
      </c>
      <c r="G8" s="38" t="inlineStr"/>
      <c r="H8" s="49">
        <f>IF(B8="","",IFERROR(INDEX('JOBS'!$D$5:$D$1504,MATCH(B8,'JOBS'!$A$5:$A$1504,0)),"Job ID not found"))</f>
        <v/>
      </c>
      <c r="I8" s="49">
        <f>IF(B8="","",IFERROR(INDEX('JOBS'!$F$5:$F$1504,MATCH(B8,'JOBS'!$A$5:$A$1504,0)),""))</f>
        <v/>
      </c>
      <c r="J8" s="55">
        <f>IF(C8="","",ROUND(C8*IF(IFERROR(INDEX('SETTINGS'!$K$5:$K$24,MATCH(E8,'SETTINGS'!$J$5:$J$24,0)),"No")="Yes",FeePct,0),2))</f>
        <v/>
      </c>
      <c r="K8" s="51">
        <f>IF(A8="","",DATE(YEAR(A8),MONTH(A8),1))</f>
        <v/>
      </c>
    </row>
    <row r="9">
      <c r="A9" s="47" t="n">
        <v>46045</v>
      </c>
      <c r="B9" s="38" t="inlineStr">
        <is>
          <t>J-0004</t>
        </is>
      </c>
      <c r="C9" s="48" t="n">
        <v>135</v>
      </c>
      <c r="D9" s="48" t="n"/>
      <c r="E9" s="38" t="inlineStr">
        <is>
          <t>Card</t>
        </is>
      </c>
      <c r="F9" s="38" t="inlineStr">
        <is>
          <t>INV-0004</t>
        </is>
      </c>
      <c r="G9" s="38" t="inlineStr"/>
      <c r="H9" s="49">
        <f>IF(B9="","",IFERROR(INDEX('JOBS'!$D$5:$D$1504,MATCH(B9,'JOBS'!$A$5:$A$1504,0)),"Job ID not found"))</f>
        <v/>
      </c>
      <c r="I9" s="49">
        <f>IF(B9="","",IFERROR(INDEX('JOBS'!$F$5:$F$1504,MATCH(B9,'JOBS'!$A$5:$A$1504,0)),""))</f>
        <v/>
      </c>
      <c r="J9" s="55">
        <f>IF(C9="","",ROUND(C9*IF(IFERROR(INDEX('SETTINGS'!$K$5:$K$24,MATCH(E9,'SETTINGS'!$J$5:$J$24,0)),"No")="Yes",FeePct,0),2))</f>
        <v/>
      </c>
      <c r="K9" s="51">
        <f>IF(A9="","",DATE(YEAR(A9),MONTH(A9),1))</f>
        <v/>
      </c>
    </row>
    <row r="10">
      <c r="A10" s="47" t="n">
        <v>46048</v>
      </c>
      <c r="B10" s="38" t="inlineStr">
        <is>
          <t>J-0007</t>
        </is>
      </c>
      <c r="C10" s="48" t="n">
        <v>150</v>
      </c>
      <c r="D10" s="48" t="n"/>
      <c r="E10" s="38" t="inlineStr">
        <is>
          <t>Card</t>
        </is>
      </c>
      <c r="F10" s="38" t="inlineStr">
        <is>
          <t>INV-0007</t>
        </is>
      </c>
      <c r="G10" s="38" t="inlineStr"/>
      <c r="H10" s="49">
        <f>IF(B10="","",IFERROR(INDEX('JOBS'!$D$5:$D$1504,MATCH(B10,'JOBS'!$A$5:$A$1504,0)),"Job ID not found"))</f>
        <v/>
      </c>
      <c r="I10" s="49">
        <f>IF(B10="","",IFERROR(INDEX('JOBS'!$F$5:$F$1504,MATCH(B10,'JOBS'!$A$5:$A$1504,0)),""))</f>
        <v/>
      </c>
      <c r="J10" s="55">
        <f>IF(C10="","",ROUND(C10*IF(IFERROR(INDEX('SETTINGS'!$K$5:$K$24,MATCH(E10,'SETTINGS'!$J$5:$J$24,0)),"No")="Yes",FeePct,0),2))</f>
        <v/>
      </c>
      <c r="K10" s="51">
        <f>IF(A10="","",DATE(YEAR(A10),MONTH(A10),1))</f>
        <v/>
      </c>
    </row>
    <row r="11">
      <c r="A11" s="47" t="n">
        <v>46048</v>
      </c>
      <c r="B11" s="38" t="inlineStr">
        <is>
          <t>J-0008</t>
        </is>
      </c>
      <c r="C11" s="48" t="n">
        <v>330</v>
      </c>
      <c r="D11" s="48" t="n"/>
      <c r="E11" s="38" t="inlineStr">
        <is>
          <t>Card</t>
        </is>
      </c>
      <c r="F11" s="38" t="inlineStr">
        <is>
          <t>INV-0008</t>
        </is>
      </c>
      <c r="G11" s="38" t="inlineStr"/>
      <c r="H11" s="49">
        <f>IF(B11="","",IFERROR(INDEX('JOBS'!$D$5:$D$1504,MATCH(B11,'JOBS'!$A$5:$A$1504,0)),"Job ID not found"))</f>
        <v/>
      </c>
      <c r="I11" s="49">
        <f>IF(B11="","",IFERROR(INDEX('JOBS'!$F$5:$F$1504,MATCH(B11,'JOBS'!$A$5:$A$1504,0)),""))</f>
        <v/>
      </c>
      <c r="J11" s="55">
        <f>IF(C11="","",ROUND(C11*IF(IFERROR(INDEX('SETTINGS'!$K$5:$K$24,MATCH(E11,'SETTINGS'!$J$5:$J$24,0)),"No")="Yes",FeePct,0),2))</f>
        <v/>
      </c>
      <c r="K11" s="51">
        <f>IF(A11="","",DATE(YEAR(A11),MONTH(A11),1))</f>
        <v/>
      </c>
    </row>
    <row r="12">
      <c r="A12" s="47" t="n">
        <v>46051</v>
      </c>
      <c r="B12" s="38" t="inlineStr">
        <is>
          <t>J-0009</t>
        </is>
      </c>
      <c r="C12" s="48" t="n">
        <v>150</v>
      </c>
      <c r="D12" s="48" t="n"/>
      <c r="E12" s="38" t="inlineStr">
        <is>
          <t>Card</t>
        </is>
      </c>
      <c r="F12" s="38" t="inlineStr">
        <is>
          <t>INV-0009</t>
        </is>
      </c>
      <c r="G12" s="38" t="inlineStr"/>
      <c r="H12" s="49">
        <f>IF(B12="","",IFERROR(INDEX('JOBS'!$D$5:$D$1504,MATCH(B12,'JOBS'!$A$5:$A$1504,0)),"Job ID not found"))</f>
        <v/>
      </c>
      <c r="I12" s="49">
        <f>IF(B12="","",IFERROR(INDEX('JOBS'!$F$5:$F$1504,MATCH(B12,'JOBS'!$A$5:$A$1504,0)),""))</f>
        <v/>
      </c>
      <c r="J12" s="55">
        <f>IF(C12="","",ROUND(C12*IF(IFERROR(INDEX('SETTINGS'!$K$5:$K$24,MATCH(E12,'SETTINGS'!$J$5:$J$24,0)),"No")="Yes",FeePct,0),2))</f>
        <v/>
      </c>
      <c r="K12" s="51">
        <f>IF(A12="","",DATE(YEAR(A12),MONTH(A12),1))</f>
        <v/>
      </c>
    </row>
    <row r="13">
      <c r="A13" s="47" t="n">
        <v>46054</v>
      </c>
      <c r="B13" s="38" t="inlineStr">
        <is>
          <t>J-0010</t>
        </is>
      </c>
      <c r="C13" s="48" t="n">
        <v>450</v>
      </c>
      <c r="D13" s="48" t="n">
        <v>20</v>
      </c>
      <c r="E13" s="38" t="inlineStr">
        <is>
          <t>Online Invoice</t>
        </is>
      </c>
      <c r="F13" s="38" t="inlineStr">
        <is>
          <t>INV-0010</t>
        </is>
      </c>
      <c r="G13" s="38" t="inlineStr"/>
      <c r="H13" s="49">
        <f>IF(B13="","",IFERROR(INDEX('JOBS'!$D$5:$D$1504,MATCH(B13,'JOBS'!$A$5:$A$1504,0)),"Job ID not found"))</f>
        <v/>
      </c>
      <c r="I13" s="49">
        <f>IF(B13="","",IFERROR(INDEX('JOBS'!$F$5:$F$1504,MATCH(B13,'JOBS'!$A$5:$A$1504,0)),""))</f>
        <v/>
      </c>
      <c r="J13" s="55">
        <f>IF(C13="","",ROUND(C13*IF(IFERROR(INDEX('SETTINGS'!$K$5:$K$24,MATCH(E13,'SETTINGS'!$J$5:$J$24,0)),"No")="Yes",FeePct,0),2))</f>
        <v/>
      </c>
      <c r="K13" s="51">
        <f>IF(A13="","",DATE(YEAR(A13),MONTH(A13),1))</f>
        <v/>
      </c>
    </row>
    <row r="14">
      <c r="A14" s="47" t="n">
        <v>46054</v>
      </c>
      <c r="B14" s="38" t="inlineStr">
        <is>
          <t>J-0012</t>
        </is>
      </c>
      <c r="C14" s="48" t="n">
        <v>135</v>
      </c>
      <c r="D14" s="48" t="n"/>
      <c r="E14" s="38" t="inlineStr">
        <is>
          <t>Online Invoice</t>
        </is>
      </c>
      <c r="F14" s="38" t="inlineStr">
        <is>
          <t>INV-0012</t>
        </is>
      </c>
      <c r="G14" s="38" t="inlineStr"/>
      <c r="H14" s="49">
        <f>IF(B14="","",IFERROR(INDEX('JOBS'!$D$5:$D$1504,MATCH(B14,'JOBS'!$A$5:$A$1504,0)),"Job ID not found"))</f>
        <v/>
      </c>
      <c r="I14" s="49">
        <f>IF(B14="","",IFERROR(INDEX('JOBS'!$F$5:$F$1504,MATCH(B14,'JOBS'!$A$5:$A$1504,0)),""))</f>
        <v/>
      </c>
      <c r="J14" s="55">
        <f>IF(C14="","",ROUND(C14*IF(IFERROR(INDEX('SETTINGS'!$K$5:$K$24,MATCH(E14,'SETTINGS'!$J$5:$J$24,0)),"No")="Yes",FeePct,0),2))</f>
        <v/>
      </c>
      <c r="K14" s="51">
        <f>IF(A14="","",DATE(YEAR(A14),MONTH(A14),1))</f>
        <v/>
      </c>
    </row>
    <row r="15">
      <c r="A15" s="47" t="n">
        <v>46055</v>
      </c>
      <c r="B15" s="38" t="inlineStr">
        <is>
          <t>J-0013</t>
        </is>
      </c>
      <c r="C15" s="48" t="n">
        <v>145</v>
      </c>
      <c r="D15" s="48" t="n"/>
      <c r="E15" s="38" t="inlineStr">
        <is>
          <t>Card</t>
        </is>
      </c>
      <c r="F15" s="38" t="inlineStr">
        <is>
          <t>INV-0013</t>
        </is>
      </c>
      <c r="G15" s="38" t="inlineStr"/>
      <c r="H15" s="49">
        <f>IF(B15="","",IFERROR(INDEX('JOBS'!$D$5:$D$1504,MATCH(B15,'JOBS'!$A$5:$A$1504,0)),"Job ID not found"))</f>
        <v/>
      </c>
      <c r="I15" s="49">
        <f>IF(B15="","",IFERROR(INDEX('JOBS'!$F$5:$F$1504,MATCH(B15,'JOBS'!$A$5:$A$1504,0)),""))</f>
        <v/>
      </c>
      <c r="J15" s="55">
        <f>IF(C15="","",ROUND(C15*IF(IFERROR(INDEX('SETTINGS'!$K$5:$K$24,MATCH(E15,'SETTINGS'!$J$5:$J$24,0)),"No")="Yes",FeePct,0),2))</f>
        <v/>
      </c>
      <c r="K15" s="51">
        <f>IF(A15="","",DATE(YEAR(A15),MONTH(A15),1))</f>
        <v/>
      </c>
    </row>
    <row r="16">
      <c r="A16" s="47" t="n">
        <v>46057</v>
      </c>
      <c r="B16" s="38" t="inlineStr">
        <is>
          <t>J-0014</t>
        </is>
      </c>
      <c r="C16" s="48" t="n">
        <v>175</v>
      </c>
      <c r="D16" s="48" t="n"/>
      <c r="E16" s="38" t="inlineStr">
        <is>
          <t>Card</t>
        </is>
      </c>
      <c r="F16" s="38" t="inlineStr">
        <is>
          <t>INV-0014</t>
        </is>
      </c>
      <c r="G16" s="38" t="inlineStr"/>
      <c r="H16" s="49">
        <f>IF(B16="","",IFERROR(INDEX('JOBS'!$D$5:$D$1504,MATCH(B16,'JOBS'!$A$5:$A$1504,0)),"Job ID not found"))</f>
        <v/>
      </c>
      <c r="I16" s="49">
        <f>IF(B16="","",IFERROR(INDEX('JOBS'!$F$5:$F$1504,MATCH(B16,'JOBS'!$A$5:$A$1504,0)),""))</f>
        <v/>
      </c>
      <c r="J16" s="55">
        <f>IF(C16="","",ROUND(C16*IF(IFERROR(INDEX('SETTINGS'!$K$5:$K$24,MATCH(E16,'SETTINGS'!$J$5:$J$24,0)),"No")="Yes",FeePct,0),2))</f>
        <v/>
      </c>
      <c r="K16" s="51">
        <f>IF(A16="","",DATE(YEAR(A16),MONTH(A16),1))</f>
        <v/>
      </c>
    </row>
    <row r="17">
      <c r="A17" s="47" t="n">
        <v>46058</v>
      </c>
      <c r="B17" s="38" t="inlineStr">
        <is>
          <t>J-0011</t>
        </is>
      </c>
      <c r="C17" s="48" t="n">
        <v>685</v>
      </c>
      <c r="D17" s="48" t="n"/>
      <c r="E17" s="38" t="inlineStr">
        <is>
          <t>Card</t>
        </is>
      </c>
      <c r="F17" s="38" t="inlineStr">
        <is>
          <t>INV-0011</t>
        </is>
      </c>
      <c r="G17" s="38" t="inlineStr"/>
      <c r="H17" s="49">
        <f>IF(B17="","",IFERROR(INDEX('JOBS'!$D$5:$D$1504,MATCH(B17,'JOBS'!$A$5:$A$1504,0)),"Job ID not found"))</f>
        <v/>
      </c>
      <c r="I17" s="49">
        <f>IF(B17="","",IFERROR(INDEX('JOBS'!$F$5:$F$1504,MATCH(B17,'JOBS'!$A$5:$A$1504,0)),""))</f>
        <v/>
      </c>
      <c r="J17" s="55">
        <f>IF(C17="","",ROUND(C17*IF(IFERROR(INDEX('SETTINGS'!$K$5:$K$24,MATCH(E17,'SETTINGS'!$J$5:$J$24,0)),"No")="Yes",FeePct,0),2))</f>
        <v/>
      </c>
      <c r="K17" s="51">
        <f>IF(A17="","",DATE(YEAR(A17),MONTH(A17),1))</f>
        <v/>
      </c>
    </row>
    <row r="18">
      <c r="A18" s="47" t="n">
        <v>46060</v>
      </c>
      <c r="B18" s="38" t="inlineStr">
        <is>
          <t>J-0015</t>
        </is>
      </c>
      <c r="C18" s="48" t="n">
        <v>100</v>
      </c>
      <c r="D18" s="48" t="n"/>
      <c r="E18" s="38" t="inlineStr">
        <is>
          <t>Online Invoice</t>
        </is>
      </c>
      <c r="F18" s="38" t="inlineStr">
        <is>
          <t>INV-0015</t>
        </is>
      </c>
      <c r="G18" s="38" t="inlineStr"/>
      <c r="H18" s="49">
        <f>IF(B18="","",IFERROR(INDEX('JOBS'!$D$5:$D$1504,MATCH(B18,'JOBS'!$A$5:$A$1504,0)),"Job ID not found"))</f>
        <v/>
      </c>
      <c r="I18" s="49">
        <f>IF(B18="","",IFERROR(INDEX('JOBS'!$F$5:$F$1504,MATCH(B18,'JOBS'!$A$5:$A$1504,0)),""))</f>
        <v/>
      </c>
      <c r="J18" s="55">
        <f>IF(C18="","",ROUND(C18*IF(IFERROR(INDEX('SETTINGS'!$K$5:$K$24,MATCH(E18,'SETTINGS'!$J$5:$J$24,0)),"No")="Yes",FeePct,0),2))</f>
        <v/>
      </c>
      <c r="K18" s="51">
        <f>IF(A18="","",DATE(YEAR(A18),MONTH(A18),1))</f>
        <v/>
      </c>
    </row>
    <row r="19">
      <c r="A19" s="47" t="n">
        <v>46063</v>
      </c>
      <c r="B19" s="38" t="inlineStr">
        <is>
          <t>J-0017</t>
        </is>
      </c>
      <c r="C19" s="48" t="n">
        <v>175</v>
      </c>
      <c r="D19" s="48" t="n"/>
      <c r="E19" s="38" t="inlineStr">
        <is>
          <t>Online Invoice</t>
        </is>
      </c>
      <c r="F19" s="38" t="inlineStr">
        <is>
          <t>INV-0017</t>
        </is>
      </c>
      <c r="G19" s="38" t="inlineStr"/>
      <c r="H19" s="49">
        <f>IF(B19="","",IFERROR(INDEX('JOBS'!$D$5:$D$1504,MATCH(B19,'JOBS'!$A$5:$A$1504,0)),"Job ID not found"))</f>
        <v/>
      </c>
      <c r="I19" s="49">
        <f>IF(B19="","",IFERROR(INDEX('JOBS'!$F$5:$F$1504,MATCH(B19,'JOBS'!$A$5:$A$1504,0)),""))</f>
        <v/>
      </c>
      <c r="J19" s="55">
        <f>IF(C19="","",ROUND(C19*IF(IFERROR(INDEX('SETTINGS'!$K$5:$K$24,MATCH(E19,'SETTINGS'!$J$5:$J$24,0)),"No")="Yes",FeePct,0),2))</f>
        <v/>
      </c>
      <c r="K19" s="51">
        <f>IF(A19="","",DATE(YEAR(A19),MONTH(A19),1))</f>
        <v/>
      </c>
    </row>
    <row r="20">
      <c r="A20" s="47" t="n">
        <v>46065</v>
      </c>
      <c r="B20" s="38" t="inlineStr">
        <is>
          <t>J-0016</t>
        </is>
      </c>
      <c r="C20" s="48" t="n">
        <v>135</v>
      </c>
      <c r="D20" s="48" t="n"/>
      <c r="E20" s="38" t="inlineStr">
        <is>
          <t>Card</t>
        </is>
      </c>
      <c r="F20" s="38" t="inlineStr">
        <is>
          <t>INV-0016</t>
        </is>
      </c>
      <c r="G20" s="38" t="inlineStr"/>
      <c r="H20" s="49">
        <f>IF(B20="","",IFERROR(INDEX('JOBS'!$D$5:$D$1504,MATCH(B20,'JOBS'!$A$5:$A$1504,0)),"Job ID not found"))</f>
        <v/>
      </c>
      <c r="I20" s="49">
        <f>IF(B20="","",IFERROR(INDEX('JOBS'!$F$5:$F$1504,MATCH(B20,'JOBS'!$A$5:$A$1504,0)),""))</f>
        <v/>
      </c>
      <c r="J20" s="55">
        <f>IF(C20="","",ROUND(C20*IF(IFERROR(INDEX('SETTINGS'!$K$5:$K$24,MATCH(E20,'SETTINGS'!$J$5:$J$24,0)),"No")="Yes",FeePct,0),2))</f>
        <v/>
      </c>
      <c r="K20" s="51">
        <f>IF(A20="","",DATE(YEAR(A20),MONTH(A20),1))</f>
        <v/>
      </c>
    </row>
    <row r="21">
      <c r="A21" s="47" t="n">
        <v>46067</v>
      </c>
      <c r="B21" s="38" t="inlineStr">
        <is>
          <t>J-0019</t>
        </is>
      </c>
      <c r="C21" s="48" t="n">
        <v>195</v>
      </c>
      <c r="D21" s="48" t="n"/>
      <c r="E21" s="38" t="inlineStr">
        <is>
          <t>Cash</t>
        </is>
      </c>
      <c r="F21" s="38" t="inlineStr">
        <is>
          <t>INV-0019</t>
        </is>
      </c>
      <c r="G21" s="38" t="inlineStr"/>
      <c r="H21" s="49">
        <f>IF(B21="","",IFERROR(INDEX('JOBS'!$D$5:$D$1504,MATCH(B21,'JOBS'!$A$5:$A$1504,0)),"Job ID not found"))</f>
        <v/>
      </c>
      <c r="I21" s="49">
        <f>IF(B21="","",IFERROR(INDEX('JOBS'!$F$5:$F$1504,MATCH(B21,'JOBS'!$A$5:$A$1504,0)),""))</f>
        <v/>
      </c>
      <c r="J21" s="55">
        <f>IF(C21="","",ROUND(C21*IF(IFERROR(INDEX('SETTINGS'!$K$5:$K$24,MATCH(E21,'SETTINGS'!$J$5:$J$24,0)),"No")="Yes",FeePct,0),2))</f>
        <v/>
      </c>
      <c r="K21" s="51">
        <f>IF(A21="","",DATE(YEAR(A21),MONTH(A21),1))</f>
        <v/>
      </c>
    </row>
    <row r="22">
      <c r="A22" s="47" t="n">
        <v>46067</v>
      </c>
      <c r="B22" s="38" t="inlineStr">
        <is>
          <t>J-0021</t>
        </is>
      </c>
      <c r="C22" s="48" t="n">
        <v>150</v>
      </c>
      <c r="D22" s="48" t="n"/>
      <c r="E22" s="38" t="inlineStr">
        <is>
          <t>Check</t>
        </is>
      </c>
      <c r="F22" s="38" t="inlineStr">
        <is>
          <t>INV-0021</t>
        </is>
      </c>
      <c r="G22" s="38" t="inlineStr"/>
      <c r="H22" s="49">
        <f>IF(B22="","",IFERROR(INDEX('JOBS'!$D$5:$D$1504,MATCH(B22,'JOBS'!$A$5:$A$1504,0)),"Job ID not found"))</f>
        <v/>
      </c>
      <c r="I22" s="49">
        <f>IF(B22="","",IFERROR(INDEX('JOBS'!$F$5:$F$1504,MATCH(B22,'JOBS'!$A$5:$A$1504,0)),""))</f>
        <v/>
      </c>
      <c r="J22" s="55">
        <f>IF(C22="","",ROUND(C22*IF(IFERROR(INDEX('SETTINGS'!$K$5:$K$24,MATCH(E22,'SETTINGS'!$J$5:$J$24,0)),"No")="Yes",FeePct,0),2))</f>
        <v/>
      </c>
      <c r="K22" s="51">
        <f>IF(A22="","",DATE(YEAR(A22),MONTH(A22),1))</f>
        <v/>
      </c>
    </row>
    <row r="23">
      <c r="A23" s="47" t="n">
        <v>46069</v>
      </c>
      <c r="B23" s="38" t="inlineStr">
        <is>
          <t>J-0022</t>
        </is>
      </c>
      <c r="C23" s="48" t="n">
        <v>135</v>
      </c>
      <c r="D23" s="48" t="n"/>
      <c r="E23" s="38" t="inlineStr">
        <is>
          <t>Check</t>
        </is>
      </c>
      <c r="F23" s="38" t="inlineStr">
        <is>
          <t>INV-0022</t>
        </is>
      </c>
      <c r="G23" s="38" t="inlineStr"/>
      <c r="H23" s="49">
        <f>IF(B23="","",IFERROR(INDEX('JOBS'!$D$5:$D$1504,MATCH(B23,'JOBS'!$A$5:$A$1504,0)),"Job ID not found"))</f>
        <v/>
      </c>
      <c r="I23" s="49">
        <f>IF(B23="","",IFERROR(INDEX('JOBS'!$F$5:$F$1504,MATCH(B23,'JOBS'!$A$5:$A$1504,0)),""))</f>
        <v/>
      </c>
      <c r="J23" s="55">
        <f>IF(C23="","",ROUND(C23*IF(IFERROR(INDEX('SETTINGS'!$K$5:$K$24,MATCH(E23,'SETTINGS'!$J$5:$J$24,0)),"No")="Yes",FeePct,0),2))</f>
        <v/>
      </c>
      <c r="K23" s="51">
        <f>IF(A23="","",DATE(YEAR(A23),MONTH(A23),1))</f>
        <v/>
      </c>
    </row>
    <row r="24">
      <c r="A24" s="47" t="n">
        <v>46070</v>
      </c>
      <c r="B24" s="38" t="inlineStr">
        <is>
          <t>J-0018</t>
        </is>
      </c>
      <c r="C24" s="48" t="n">
        <v>150</v>
      </c>
      <c r="D24" s="48" t="n"/>
      <c r="E24" s="38" t="inlineStr">
        <is>
          <t>Card</t>
        </is>
      </c>
      <c r="F24" s="38" t="inlineStr">
        <is>
          <t>INV-0018</t>
        </is>
      </c>
      <c r="G24" s="38" t="inlineStr"/>
      <c r="H24" s="49">
        <f>IF(B24="","",IFERROR(INDEX('JOBS'!$D$5:$D$1504,MATCH(B24,'JOBS'!$A$5:$A$1504,0)),"Job ID not found"))</f>
        <v/>
      </c>
      <c r="I24" s="49">
        <f>IF(B24="","",IFERROR(INDEX('JOBS'!$F$5:$F$1504,MATCH(B24,'JOBS'!$A$5:$A$1504,0)),""))</f>
        <v/>
      </c>
      <c r="J24" s="55">
        <f>IF(C24="","",ROUND(C24*IF(IFERROR(INDEX('SETTINGS'!$K$5:$K$24,MATCH(E24,'SETTINGS'!$J$5:$J$24,0)),"No")="Yes",FeePct,0),2))</f>
        <v/>
      </c>
      <c r="K24" s="51">
        <f>IF(A24="","",DATE(YEAR(A24),MONTH(A24),1))</f>
        <v/>
      </c>
    </row>
    <row r="25">
      <c r="A25" s="47" t="n">
        <v>46071</v>
      </c>
      <c r="B25" s="38" t="inlineStr">
        <is>
          <t>J-0020</t>
        </is>
      </c>
      <c r="C25" s="48" t="n">
        <v>100</v>
      </c>
      <c r="D25" s="48" t="n">
        <v>10</v>
      </c>
      <c r="E25" s="38" t="inlineStr">
        <is>
          <t>Online Invoice</t>
        </is>
      </c>
      <c r="F25" s="38" t="inlineStr">
        <is>
          <t>INV-0020</t>
        </is>
      </c>
      <c r="G25" s="38" t="inlineStr"/>
      <c r="H25" s="49">
        <f>IF(B25="","",IFERROR(INDEX('JOBS'!$D$5:$D$1504,MATCH(B25,'JOBS'!$A$5:$A$1504,0)),"Job ID not found"))</f>
        <v/>
      </c>
      <c r="I25" s="49">
        <f>IF(B25="","",IFERROR(INDEX('JOBS'!$F$5:$F$1504,MATCH(B25,'JOBS'!$A$5:$A$1504,0)),""))</f>
        <v/>
      </c>
      <c r="J25" s="55">
        <f>IF(C25="","",ROUND(C25*IF(IFERROR(INDEX('SETTINGS'!$K$5:$K$24,MATCH(E25,'SETTINGS'!$J$5:$J$24,0)),"No")="Yes",FeePct,0),2))</f>
        <v/>
      </c>
      <c r="K25" s="51">
        <f>IF(A25="","",DATE(YEAR(A25),MONTH(A25),1))</f>
        <v/>
      </c>
    </row>
    <row r="26">
      <c r="A26" s="47" t="n">
        <v>46071</v>
      </c>
      <c r="B26" s="38" t="inlineStr">
        <is>
          <t>J-0023</t>
        </is>
      </c>
      <c r="C26" s="48" t="n">
        <v>175</v>
      </c>
      <c r="D26" s="48" t="n"/>
      <c r="E26" s="38" t="inlineStr">
        <is>
          <t>Cash</t>
        </is>
      </c>
      <c r="F26" s="38" t="inlineStr">
        <is>
          <t>INV-0023</t>
        </is>
      </c>
      <c r="G26" s="38" t="inlineStr"/>
      <c r="H26" s="49">
        <f>IF(B26="","",IFERROR(INDEX('JOBS'!$D$5:$D$1504,MATCH(B26,'JOBS'!$A$5:$A$1504,0)),"Job ID not found"))</f>
        <v/>
      </c>
      <c r="I26" s="49">
        <f>IF(B26="","",IFERROR(INDEX('JOBS'!$F$5:$F$1504,MATCH(B26,'JOBS'!$A$5:$A$1504,0)),""))</f>
        <v/>
      </c>
      <c r="J26" s="55">
        <f>IF(C26="","",ROUND(C26*IF(IFERROR(INDEX('SETTINGS'!$K$5:$K$24,MATCH(E26,'SETTINGS'!$J$5:$J$24,0)),"No")="Yes",FeePct,0),2))</f>
        <v/>
      </c>
      <c r="K26" s="51">
        <f>IF(A26="","",DATE(YEAR(A26),MONTH(A26),1))</f>
        <v/>
      </c>
    </row>
    <row r="27">
      <c r="A27" s="47" t="n">
        <v>46071</v>
      </c>
      <c r="B27" s="38" t="inlineStr">
        <is>
          <t>J-0024</t>
        </is>
      </c>
      <c r="C27" s="48" t="n">
        <v>135</v>
      </c>
      <c r="D27" s="48" t="n"/>
      <c r="E27" s="38" t="inlineStr">
        <is>
          <t>Cash</t>
        </is>
      </c>
      <c r="F27" s="38" t="inlineStr">
        <is>
          <t>INV-0024</t>
        </is>
      </c>
      <c r="G27" s="38" t="inlineStr"/>
      <c r="H27" s="49">
        <f>IF(B27="","",IFERROR(INDEX('JOBS'!$D$5:$D$1504,MATCH(B27,'JOBS'!$A$5:$A$1504,0)),"Job ID not found"))</f>
        <v/>
      </c>
      <c r="I27" s="49">
        <f>IF(B27="","",IFERROR(INDEX('JOBS'!$F$5:$F$1504,MATCH(B27,'JOBS'!$A$5:$A$1504,0)),""))</f>
        <v/>
      </c>
      <c r="J27" s="55">
        <f>IF(C27="","",ROUND(C27*IF(IFERROR(INDEX('SETTINGS'!$K$5:$K$24,MATCH(E27,'SETTINGS'!$J$5:$J$24,0)),"No")="Yes",FeePct,0),2))</f>
        <v/>
      </c>
      <c r="K27" s="51">
        <f>IF(A27="","",DATE(YEAR(A27),MONTH(A27),1))</f>
        <v/>
      </c>
    </row>
    <row r="28">
      <c r="A28" s="47" t="n">
        <v>46073</v>
      </c>
      <c r="B28" s="38" t="inlineStr">
        <is>
          <t>J-0025</t>
        </is>
      </c>
      <c r="C28" s="48" t="n">
        <v>100</v>
      </c>
      <c r="D28" s="48" t="n"/>
      <c r="E28" s="38" t="inlineStr">
        <is>
          <t>Online Invoice</t>
        </is>
      </c>
      <c r="F28" s="38" t="inlineStr">
        <is>
          <t>INV-0025</t>
        </is>
      </c>
      <c r="G28" s="38" t="inlineStr"/>
      <c r="H28" s="49">
        <f>IF(B28="","",IFERROR(INDEX('JOBS'!$D$5:$D$1504,MATCH(B28,'JOBS'!$A$5:$A$1504,0)),"Job ID not found"))</f>
        <v/>
      </c>
      <c r="I28" s="49">
        <f>IF(B28="","",IFERROR(INDEX('JOBS'!$F$5:$F$1504,MATCH(B28,'JOBS'!$A$5:$A$1504,0)),""))</f>
        <v/>
      </c>
      <c r="J28" s="55">
        <f>IF(C28="","",ROUND(C28*IF(IFERROR(INDEX('SETTINGS'!$K$5:$K$24,MATCH(E28,'SETTINGS'!$J$5:$J$24,0)),"No")="Yes",FeePct,0),2))</f>
        <v/>
      </c>
      <c r="K28" s="51">
        <f>IF(A28="","",DATE(YEAR(A28),MONTH(A28),1))</f>
        <v/>
      </c>
    </row>
    <row r="29">
      <c r="A29" s="47" t="n">
        <v>46076</v>
      </c>
      <c r="B29" s="38" t="inlineStr">
        <is>
          <t>J-0026</t>
        </is>
      </c>
      <c r="C29" s="48" t="n">
        <v>150</v>
      </c>
      <c r="D29" s="48" t="n"/>
      <c r="E29" s="38" t="inlineStr">
        <is>
          <t>Card</t>
        </is>
      </c>
      <c r="F29" s="38" t="inlineStr">
        <is>
          <t>INV-0026</t>
        </is>
      </c>
      <c r="G29" s="38" t="inlineStr"/>
      <c r="H29" s="49">
        <f>IF(B29="","",IFERROR(INDEX('JOBS'!$D$5:$D$1504,MATCH(B29,'JOBS'!$A$5:$A$1504,0)),"Job ID not found"))</f>
        <v/>
      </c>
      <c r="I29" s="49">
        <f>IF(B29="","",IFERROR(INDEX('JOBS'!$F$5:$F$1504,MATCH(B29,'JOBS'!$A$5:$A$1504,0)),""))</f>
        <v/>
      </c>
      <c r="J29" s="55">
        <f>IF(C29="","",ROUND(C29*IF(IFERROR(INDEX('SETTINGS'!$K$5:$K$24,MATCH(E29,'SETTINGS'!$J$5:$J$24,0)),"No")="Yes",FeePct,0),2))</f>
        <v/>
      </c>
      <c r="K29" s="51">
        <f>IF(A29="","",DATE(YEAR(A29),MONTH(A29),1))</f>
        <v/>
      </c>
    </row>
    <row r="30">
      <c r="A30" s="47" t="n">
        <v>46078</v>
      </c>
      <c r="B30" s="38" t="inlineStr">
        <is>
          <t>J-0027</t>
        </is>
      </c>
      <c r="C30" s="48" t="n">
        <v>175</v>
      </c>
      <c r="D30" s="48" t="n"/>
      <c r="E30" s="38" t="inlineStr">
        <is>
          <t>Online Invoice</t>
        </is>
      </c>
      <c r="F30" s="38" t="inlineStr">
        <is>
          <t>INV-0027</t>
        </is>
      </c>
      <c r="G30" s="38" t="inlineStr"/>
      <c r="H30" s="49">
        <f>IF(B30="","",IFERROR(INDEX('JOBS'!$D$5:$D$1504,MATCH(B30,'JOBS'!$A$5:$A$1504,0)),"Job ID not found"))</f>
        <v/>
      </c>
      <c r="I30" s="49">
        <f>IF(B30="","",IFERROR(INDEX('JOBS'!$F$5:$F$1504,MATCH(B30,'JOBS'!$A$5:$A$1504,0)),""))</f>
        <v/>
      </c>
      <c r="J30" s="55">
        <f>IF(C30="","",ROUND(C30*IF(IFERROR(INDEX('SETTINGS'!$K$5:$K$24,MATCH(E30,'SETTINGS'!$J$5:$J$24,0)),"No")="Yes",FeePct,0),2))</f>
        <v/>
      </c>
      <c r="K30" s="51">
        <f>IF(A30="","",DATE(YEAR(A30),MONTH(A30),1))</f>
        <v/>
      </c>
    </row>
    <row r="31">
      <c r="A31" s="47" t="n">
        <v>46081</v>
      </c>
      <c r="B31" s="38" t="inlineStr">
        <is>
          <t>J-0030</t>
        </is>
      </c>
      <c r="C31" s="48" t="n">
        <v>300</v>
      </c>
      <c r="D31" s="48" t="n"/>
      <c r="E31" s="38" t="inlineStr">
        <is>
          <t>Online Invoice</t>
        </is>
      </c>
      <c r="F31" s="38" t="inlineStr">
        <is>
          <t>INV-0030</t>
        </is>
      </c>
      <c r="G31" s="38" t="inlineStr"/>
      <c r="H31" s="49">
        <f>IF(B31="","",IFERROR(INDEX('JOBS'!$D$5:$D$1504,MATCH(B31,'JOBS'!$A$5:$A$1504,0)),"Job ID not found"))</f>
        <v/>
      </c>
      <c r="I31" s="49">
        <f>IF(B31="","",IFERROR(INDEX('JOBS'!$F$5:$F$1504,MATCH(B31,'JOBS'!$A$5:$A$1504,0)),""))</f>
        <v/>
      </c>
      <c r="J31" s="55">
        <f>IF(C31="","",ROUND(C31*IF(IFERROR(INDEX('SETTINGS'!$K$5:$K$24,MATCH(E31,'SETTINGS'!$J$5:$J$24,0)),"No")="Yes",FeePct,0),2))</f>
        <v/>
      </c>
      <c r="K31" s="51">
        <f>IF(A31="","",DATE(YEAR(A31),MONTH(A31),1))</f>
        <v/>
      </c>
    </row>
    <row r="32">
      <c r="A32" s="47" t="n">
        <v>46084</v>
      </c>
      <c r="B32" s="38" t="inlineStr">
        <is>
          <t>J-0031</t>
        </is>
      </c>
      <c r="C32" s="48" t="n">
        <v>145</v>
      </c>
      <c r="D32" s="48" t="n"/>
      <c r="E32" s="38" t="inlineStr">
        <is>
          <t>Cash</t>
        </is>
      </c>
      <c r="F32" s="38" t="inlineStr">
        <is>
          <t>INV-0031</t>
        </is>
      </c>
      <c r="G32" s="38" t="inlineStr"/>
      <c r="H32" s="49">
        <f>IF(B32="","",IFERROR(INDEX('JOBS'!$D$5:$D$1504,MATCH(B32,'JOBS'!$A$5:$A$1504,0)),"Job ID not found"))</f>
        <v/>
      </c>
      <c r="I32" s="49">
        <f>IF(B32="","",IFERROR(INDEX('JOBS'!$F$5:$F$1504,MATCH(B32,'JOBS'!$A$5:$A$1504,0)),""))</f>
        <v/>
      </c>
      <c r="J32" s="55">
        <f>IF(C32="","",ROUND(C32*IF(IFERROR(INDEX('SETTINGS'!$K$5:$K$24,MATCH(E32,'SETTINGS'!$J$5:$J$24,0)),"No")="Yes",FeePct,0),2))</f>
        <v/>
      </c>
      <c r="K32" s="51">
        <f>IF(A32="","",DATE(YEAR(A32),MONTH(A32),1))</f>
        <v/>
      </c>
    </row>
    <row r="33">
      <c r="A33" s="47" t="n">
        <v>46084</v>
      </c>
      <c r="B33" s="38" t="inlineStr">
        <is>
          <t>J-0032</t>
        </is>
      </c>
      <c r="C33" s="48" t="n">
        <v>150</v>
      </c>
      <c r="D33" s="48" t="n"/>
      <c r="E33" s="38" t="inlineStr">
        <is>
          <t>Card</t>
        </is>
      </c>
      <c r="F33" s="38" t="inlineStr">
        <is>
          <t>INV-0032</t>
        </is>
      </c>
      <c r="G33" s="38" t="inlineStr"/>
      <c r="H33" s="49">
        <f>IF(B33="","",IFERROR(INDEX('JOBS'!$D$5:$D$1504,MATCH(B33,'JOBS'!$A$5:$A$1504,0)),"Job ID not found"))</f>
        <v/>
      </c>
      <c r="I33" s="49">
        <f>IF(B33="","",IFERROR(INDEX('JOBS'!$F$5:$F$1504,MATCH(B33,'JOBS'!$A$5:$A$1504,0)),""))</f>
        <v/>
      </c>
      <c r="J33" s="55">
        <f>IF(C33="","",ROUND(C33*IF(IFERROR(INDEX('SETTINGS'!$K$5:$K$24,MATCH(E33,'SETTINGS'!$J$5:$J$24,0)),"No")="Yes",FeePct,0),2))</f>
        <v/>
      </c>
      <c r="K33" s="51">
        <f>IF(A33="","",DATE(YEAR(A33),MONTH(A33),1))</f>
        <v/>
      </c>
    </row>
    <row r="34">
      <c r="A34" s="47" t="n">
        <v>46084</v>
      </c>
      <c r="B34" s="38" t="inlineStr">
        <is>
          <t>J-0033</t>
        </is>
      </c>
      <c r="C34" s="48" t="n">
        <v>175</v>
      </c>
      <c r="D34" s="48" t="n"/>
      <c r="E34" s="38" t="inlineStr">
        <is>
          <t>Card</t>
        </is>
      </c>
      <c r="F34" s="38" t="inlineStr">
        <is>
          <t>INV-0033</t>
        </is>
      </c>
      <c r="G34" s="38" t="inlineStr"/>
      <c r="H34" s="49">
        <f>IF(B34="","",IFERROR(INDEX('JOBS'!$D$5:$D$1504,MATCH(B34,'JOBS'!$A$5:$A$1504,0)),"Job ID not found"))</f>
        <v/>
      </c>
      <c r="I34" s="49">
        <f>IF(B34="","",IFERROR(INDEX('JOBS'!$F$5:$F$1504,MATCH(B34,'JOBS'!$A$5:$A$1504,0)),""))</f>
        <v/>
      </c>
      <c r="J34" s="55">
        <f>IF(C34="","",ROUND(C34*IF(IFERROR(INDEX('SETTINGS'!$K$5:$K$24,MATCH(E34,'SETTINGS'!$J$5:$J$24,0)),"No")="Yes",FeePct,0),2))</f>
        <v/>
      </c>
      <c r="K34" s="51">
        <f>IF(A34="","",DATE(YEAR(A34),MONTH(A34),1))</f>
        <v/>
      </c>
    </row>
    <row r="35">
      <c r="A35" s="47" t="n">
        <v>46084</v>
      </c>
      <c r="B35" s="38" t="inlineStr">
        <is>
          <t>J-0034</t>
        </is>
      </c>
      <c r="C35" s="48" t="n">
        <v>135</v>
      </c>
      <c r="D35" s="48" t="n"/>
      <c r="E35" s="38" t="inlineStr">
        <is>
          <t>Card</t>
        </is>
      </c>
      <c r="F35" s="38" t="inlineStr">
        <is>
          <t>INV-0034</t>
        </is>
      </c>
      <c r="G35" s="38" t="inlineStr"/>
      <c r="H35" s="49">
        <f>IF(B35="","",IFERROR(INDEX('JOBS'!$D$5:$D$1504,MATCH(B35,'JOBS'!$A$5:$A$1504,0)),"Job ID not found"))</f>
        <v/>
      </c>
      <c r="I35" s="49">
        <f>IF(B35="","",IFERROR(INDEX('JOBS'!$F$5:$F$1504,MATCH(B35,'JOBS'!$A$5:$A$1504,0)),""))</f>
        <v/>
      </c>
      <c r="J35" s="55">
        <f>IF(C35="","",ROUND(C35*IF(IFERROR(INDEX('SETTINGS'!$K$5:$K$24,MATCH(E35,'SETTINGS'!$J$5:$J$24,0)),"No")="Yes",FeePct,0),2))</f>
        <v/>
      </c>
      <c r="K35" s="51">
        <f>IF(A35="","",DATE(YEAR(A35),MONTH(A35),1))</f>
        <v/>
      </c>
    </row>
    <row r="36">
      <c r="A36" s="47" t="n">
        <v>46085</v>
      </c>
      <c r="B36" s="38" t="inlineStr">
        <is>
          <t>J-0028</t>
        </is>
      </c>
      <c r="C36" s="48" t="n">
        <v>100</v>
      </c>
      <c r="D36" s="48" t="n"/>
      <c r="E36" s="38" t="inlineStr">
        <is>
          <t>Online Invoice</t>
        </is>
      </c>
      <c r="F36" s="38" t="inlineStr">
        <is>
          <t>INV-0028</t>
        </is>
      </c>
      <c r="G36" s="38" t="inlineStr"/>
      <c r="H36" s="49">
        <f>IF(B36="","",IFERROR(INDEX('JOBS'!$D$5:$D$1504,MATCH(B36,'JOBS'!$A$5:$A$1504,0)),"Job ID not found"))</f>
        <v/>
      </c>
      <c r="I36" s="49">
        <f>IF(B36="","",IFERROR(INDEX('JOBS'!$F$5:$F$1504,MATCH(B36,'JOBS'!$A$5:$A$1504,0)),""))</f>
        <v/>
      </c>
      <c r="J36" s="55">
        <f>IF(C36="","",ROUND(C36*IF(IFERROR(INDEX('SETTINGS'!$K$5:$K$24,MATCH(E36,'SETTINGS'!$J$5:$J$24,0)),"No")="Yes",FeePct,0),2))</f>
        <v/>
      </c>
      <c r="K36" s="51">
        <f>IF(A36="","",DATE(YEAR(A36),MONTH(A36),1))</f>
        <v/>
      </c>
    </row>
    <row r="37">
      <c r="A37" s="47" t="n">
        <v>46085</v>
      </c>
      <c r="B37" s="38" t="inlineStr">
        <is>
          <t>J-0029</t>
        </is>
      </c>
      <c r="C37" s="48" t="n">
        <v>135</v>
      </c>
      <c r="D37" s="48" t="n">
        <v>10</v>
      </c>
      <c r="E37" s="38" t="inlineStr">
        <is>
          <t>Card</t>
        </is>
      </c>
      <c r="F37" s="38" t="inlineStr">
        <is>
          <t>INV-0029</t>
        </is>
      </c>
      <c r="G37" s="38" t="inlineStr"/>
      <c r="H37" s="49">
        <f>IF(B37="","",IFERROR(INDEX('JOBS'!$D$5:$D$1504,MATCH(B37,'JOBS'!$A$5:$A$1504,0)),"Job ID not found"))</f>
        <v/>
      </c>
      <c r="I37" s="49">
        <f>IF(B37="","",IFERROR(INDEX('JOBS'!$F$5:$F$1504,MATCH(B37,'JOBS'!$A$5:$A$1504,0)),""))</f>
        <v/>
      </c>
      <c r="J37" s="55">
        <f>IF(C37="","",ROUND(C37*IF(IFERROR(INDEX('SETTINGS'!$K$5:$K$24,MATCH(E37,'SETTINGS'!$J$5:$J$24,0)),"No")="Yes",FeePct,0),2))</f>
        <v/>
      </c>
      <c r="K37" s="51">
        <f>IF(A37="","",DATE(YEAR(A37),MONTH(A37),1))</f>
        <v/>
      </c>
    </row>
    <row r="38">
      <c r="A38" s="47" t="n">
        <v>46086</v>
      </c>
      <c r="B38" s="38" t="inlineStr">
        <is>
          <t>J-0035</t>
        </is>
      </c>
      <c r="C38" s="48" t="n">
        <v>300</v>
      </c>
      <c r="D38" s="48" t="n"/>
      <c r="E38" s="38" t="inlineStr">
        <is>
          <t>Payment App</t>
        </is>
      </c>
      <c r="F38" s="38" t="inlineStr">
        <is>
          <t>INV-0035</t>
        </is>
      </c>
      <c r="G38" s="38" t="inlineStr"/>
      <c r="H38" s="49">
        <f>IF(B38="","",IFERROR(INDEX('JOBS'!$D$5:$D$1504,MATCH(B38,'JOBS'!$A$5:$A$1504,0)),"Job ID not found"))</f>
        <v/>
      </c>
      <c r="I38" s="49">
        <f>IF(B38="","",IFERROR(INDEX('JOBS'!$F$5:$F$1504,MATCH(B38,'JOBS'!$A$5:$A$1504,0)),""))</f>
        <v/>
      </c>
      <c r="J38" s="55">
        <f>IF(C38="","",ROUND(C38*IF(IFERROR(INDEX('SETTINGS'!$K$5:$K$24,MATCH(E38,'SETTINGS'!$J$5:$J$24,0)),"No")="Yes",FeePct,0),2))</f>
        <v/>
      </c>
      <c r="K38" s="51">
        <f>IF(A38="","",DATE(YEAR(A38),MONTH(A38),1))</f>
        <v/>
      </c>
    </row>
    <row r="39">
      <c r="A39" s="47" t="n">
        <v>46089</v>
      </c>
      <c r="B39" s="38" t="inlineStr">
        <is>
          <t>J-0036</t>
        </is>
      </c>
      <c r="C39" s="48" t="n">
        <v>100</v>
      </c>
      <c r="D39" s="48" t="n"/>
      <c r="E39" s="38" t="inlineStr">
        <is>
          <t>Online Invoice</t>
        </is>
      </c>
      <c r="F39" s="38" t="inlineStr">
        <is>
          <t>INV-0036</t>
        </is>
      </c>
      <c r="G39" s="38" t="inlineStr"/>
      <c r="H39" s="49">
        <f>IF(B39="","",IFERROR(INDEX('JOBS'!$D$5:$D$1504,MATCH(B39,'JOBS'!$A$5:$A$1504,0)),"Job ID not found"))</f>
        <v/>
      </c>
      <c r="I39" s="49">
        <f>IF(B39="","",IFERROR(INDEX('JOBS'!$F$5:$F$1504,MATCH(B39,'JOBS'!$A$5:$A$1504,0)),""))</f>
        <v/>
      </c>
      <c r="J39" s="55">
        <f>IF(C39="","",ROUND(C39*IF(IFERROR(INDEX('SETTINGS'!$K$5:$K$24,MATCH(E39,'SETTINGS'!$J$5:$J$24,0)),"No")="Yes",FeePct,0),2))</f>
        <v/>
      </c>
      <c r="K39" s="51">
        <f>IF(A39="","",DATE(YEAR(A39),MONTH(A39),1))</f>
        <v/>
      </c>
    </row>
    <row r="40">
      <c r="A40" s="47" t="n">
        <v>46089</v>
      </c>
      <c r="B40" s="38" t="inlineStr">
        <is>
          <t>J-0037</t>
        </is>
      </c>
      <c r="C40" s="48" t="n">
        <v>150</v>
      </c>
      <c r="D40" s="48" t="n">
        <v>10</v>
      </c>
      <c r="E40" s="38" t="inlineStr">
        <is>
          <t>Online Invoice</t>
        </is>
      </c>
      <c r="F40" s="38" t="inlineStr">
        <is>
          <t>INV-0037</t>
        </is>
      </c>
      <c r="G40" s="38" t="inlineStr"/>
      <c r="H40" s="49">
        <f>IF(B40="","",IFERROR(INDEX('JOBS'!$D$5:$D$1504,MATCH(B40,'JOBS'!$A$5:$A$1504,0)),"Job ID not found"))</f>
        <v/>
      </c>
      <c r="I40" s="49">
        <f>IF(B40="","",IFERROR(INDEX('JOBS'!$F$5:$F$1504,MATCH(B40,'JOBS'!$A$5:$A$1504,0)),""))</f>
        <v/>
      </c>
      <c r="J40" s="55">
        <f>IF(C40="","",ROUND(C40*IF(IFERROR(INDEX('SETTINGS'!$K$5:$K$24,MATCH(E40,'SETTINGS'!$J$5:$J$24,0)),"No")="Yes",FeePct,0),2))</f>
        <v/>
      </c>
      <c r="K40" s="51">
        <f>IF(A40="","",DATE(YEAR(A40),MONTH(A40),1))</f>
        <v/>
      </c>
    </row>
    <row r="41">
      <c r="A41" s="47" t="n">
        <v>46093</v>
      </c>
      <c r="B41" s="38" t="inlineStr">
        <is>
          <t>J-0038</t>
        </is>
      </c>
      <c r="C41" s="48" t="n">
        <v>175</v>
      </c>
      <c r="D41" s="48" t="n"/>
      <c r="E41" s="38" t="inlineStr">
        <is>
          <t>Cash</t>
        </is>
      </c>
      <c r="F41" s="38" t="inlineStr">
        <is>
          <t>INV-0038</t>
        </is>
      </c>
      <c r="G41" s="38" t="inlineStr"/>
      <c r="H41" s="49">
        <f>IF(B41="","",IFERROR(INDEX('JOBS'!$D$5:$D$1504,MATCH(B41,'JOBS'!$A$5:$A$1504,0)),"Job ID not found"))</f>
        <v/>
      </c>
      <c r="I41" s="49">
        <f>IF(B41="","",IFERROR(INDEX('JOBS'!$F$5:$F$1504,MATCH(B41,'JOBS'!$A$5:$A$1504,0)),""))</f>
        <v/>
      </c>
      <c r="J41" s="55">
        <f>IF(C41="","",ROUND(C41*IF(IFERROR(INDEX('SETTINGS'!$K$5:$K$24,MATCH(E41,'SETTINGS'!$J$5:$J$24,0)),"No")="Yes",FeePct,0),2))</f>
        <v/>
      </c>
      <c r="K41" s="51">
        <f>IF(A41="","",DATE(YEAR(A41),MONTH(A41),1))</f>
        <v/>
      </c>
    </row>
    <row r="42">
      <c r="A42" s="47" t="n">
        <v>46093</v>
      </c>
      <c r="B42" s="38" t="inlineStr">
        <is>
          <t>J-0039</t>
        </is>
      </c>
      <c r="C42" s="48" t="n">
        <v>135</v>
      </c>
      <c r="D42" s="48" t="n"/>
      <c r="E42" s="38" t="inlineStr">
        <is>
          <t>Cash</t>
        </is>
      </c>
      <c r="F42" s="38" t="inlineStr">
        <is>
          <t>INV-0039</t>
        </is>
      </c>
      <c r="G42" s="38" t="inlineStr"/>
      <c r="H42" s="49">
        <f>IF(B42="","",IFERROR(INDEX('JOBS'!$D$5:$D$1504,MATCH(B42,'JOBS'!$A$5:$A$1504,0)),"Job ID not found"))</f>
        <v/>
      </c>
      <c r="I42" s="49">
        <f>IF(B42="","",IFERROR(INDEX('JOBS'!$F$5:$F$1504,MATCH(B42,'JOBS'!$A$5:$A$1504,0)),""))</f>
        <v/>
      </c>
      <c r="J42" s="55">
        <f>IF(C42="","",ROUND(C42*IF(IFERROR(INDEX('SETTINGS'!$K$5:$K$24,MATCH(E42,'SETTINGS'!$J$5:$J$24,0)),"No")="Yes",FeePct,0),2))</f>
        <v/>
      </c>
      <c r="K42" s="51">
        <f>IF(A42="","",DATE(YEAR(A42),MONTH(A42),1))</f>
        <v/>
      </c>
    </row>
    <row r="43">
      <c r="A43" s="47" t="n">
        <v>46094</v>
      </c>
      <c r="B43" s="38" t="inlineStr">
        <is>
          <t>J-0040</t>
        </is>
      </c>
      <c r="C43" s="48" t="n">
        <v>100</v>
      </c>
      <c r="D43" s="48" t="n"/>
      <c r="E43" s="38" t="inlineStr">
        <is>
          <t>Online Invoice</t>
        </is>
      </c>
      <c r="F43" s="38" t="inlineStr">
        <is>
          <t>INV-0040</t>
        </is>
      </c>
      <c r="G43" s="38" t="inlineStr"/>
      <c r="H43" s="49">
        <f>IF(B43="","",IFERROR(INDEX('JOBS'!$D$5:$D$1504,MATCH(B43,'JOBS'!$A$5:$A$1504,0)),"Job ID not found"))</f>
        <v/>
      </c>
      <c r="I43" s="49">
        <f>IF(B43="","",IFERROR(INDEX('JOBS'!$F$5:$F$1504,MATCH(B43,'JOBS'!$A$5:$A$1504,0)),""))</f>
        <v/>
      </c>
      <c r="J43" s="55">
        <f>IF(C43="","",ROUND(C43*IF(IFERROR(INDEX('SETTINGS'!$K$5:$K$24,MATCH(E43,'SETTINGS'!$J$5:$J$24,0)),"No")="Yes",FeePct,0),2))</f>
        <v/>
      </c>
      <c r="K43" s="51">
        <f>IF(A43="","",DATE(YEAR(A43),MONTH(A43),1))</f>
        <v/>
      </c>
    </row>
    <row r="44">
      <c r="A44" s="47" t="n">
        <v>46094</v>
      </c>
      <c r="B44" s="38" t="inlineStr">
        <is>
          <t>J-0041</t>
        </is>
      </c>
      <c r="C44" s="48" t="n">
        <v>195</v>
      </c>
      <c r="D44" s="48" t="n"/>
      <c r="E44" s="38" t="inlineStr">
        <is>
          <t>Cash</t>
        </is>
      </c>
      <c r="F44" s="38" t="inlineStr">
        <is>
          <t>INV-0041</t>
        </is>
      </c>
      <c r="G44" s="38" t="inlineStr"/>
      <c r="H44" s="49">
        <f>IF(B44="","",IFERROR(INDEX('JOBS'!$D$5:$D$1504,MATCH(B44,'JOBS'!$A$5:$A$1504,0)),"Job ID not found"))</f>
        <v/>
      </c>
      <c r="I44" s="49">
        <f>IF(B44="","",IFERROR(INDEX('JOBS'!$F$5:$F$1504,MATCH(B44,'JOBS'!$A$5:$A$1504,0)),""))</f>
        <v/>
      </c>
      <c r="J44" s="55">
        <f>IF(C44="","",ROUND(C44*IF(IFERROR(INDEX('SETTINGS'!$K$5:$K$24,MATCH(E44,'SETTINGS'!$J$5:$J$24,0)),"No")="Yes",FeePct,0),2))</f>
        <v/>
      </c>
      <c r="K44" s="51">
        <f>IF(A44="","",DATE(YEAR(A44),MONTH(A44),1))</f>
        <v/>
      </c>
    </row>
    <row r="45">
      <c r="A45" s="47" t="n">
        <v>46096</v>
      </c>
      <c r="B45" s="38" t="inlineStr">
        <is>
          <t>J-0043</t>
        </is>
      </c>
      <c r="C45" s="48" t="n">
        <v>150</v>
      </c>
      <c r="D45" s="48" t="n">
        <v>10</v>
      </c>
      <c r="E45" s="38" t="inlineStr">
        <is>
          <t>Card</t>
        </is>
      </c>
      <c r="F45" s="38" t="inlineStr">
        <is>
          <t>INV-0043</t>
        </is>
      </c>
      <c r="G45" s="38" t="inlineStr"/>
      <c r="H45" s="49">
        <f>IF(B45="","",IFERROR(INDEX('JOBS'!$D$5:$D$1504,MATCH(B45,'JOBS'!$A$5:$A$1504,0)),"Job ID not found"))</f>
        <v/>
      </c>
      <c r="I45" s="49">
        <f>IF(B45="","",IFERROR(INDEX('JOBS'!$F$5:$F$1504,MATCH(B45,'JOBS'!$A$5:$A$1504,0)),""))</f>
        <v/>
      </c>
      <c r="J45" s="55">
        <f>IF(C45="","",ROUND(C45*IF(IFERROR(INDEX('SETTINGS'!$K$5:$K$24,MATCH(E45,'SETTINGS'!$J$5:$J$24,0)),"No")="Yes",FeePct,0),2))</f>
        <v/>
      </c>
      <c r="K45" s="51">
        <f>IF(A45="","",DATE(YEAR(A45),MONTH(A45),1))</f>
        <v/>
      </c>
    </row>
    <row r="46">
      <c r="A46" s="47" t="n">
        <v>46097</v>
      </c>
      <c r="B46" s="38" t="inlineStr">
        <is>
          <t>J-0045</t>
        </is>
      </c>
      <c r="C46" s="48" t="n">
        <v>160</v>
      </c>
      <c r="D46" s="48" t="n"/>
      <c r="E46" s="38" t="inlineStr">
        <is>
          <t>Online Invoice</t>
        </is>
      </c>
      <c r="F46" s="38" t="inlineStr">
        <is>
          <t>INV-0045</t>
        </is>
      </c>
      <c r="G46" s="38" t="inlineStr"/>
      <c r="H46" s="49">
        <f>IF(B46="","",IFERROR(INDEX('JOBS'!$D$5:$D$1504,MATCH(B46,'JOBS'!$A$5:$A$1504,0)),"Job ID not found"))</f>
        <v/>
      </c>
      <c r="I46" s="49">
        <f>IF(B46="","",IFERROR(INDEX('JOBS'!$F$5:$F$1504,MATCH(B46,'JOBS'!$A$5:$A$1504,0)),""))</f>
        <v/>
      </c>
      <c r="J46" s="55">
        <f>IF(C46="","",ROUND(C46*IF(IFERROR(INDEX('SETTINGS'!$K$5:$K$24,MATCH(E46,'SETTINGS'!$J$5:$J$24,0)),"No")="Yes",FeePct,0),2))</f>
        <v/>
      </c>
      <c r="K46" s="51">
        <f>IF(A46="","",DATE(YEAR(A46),MONTH(A46),1))</f>
        <v/>
      </c>
    </row>
    <row r="47">
      <c r="A47" s="47" t="n">
        <v>46098</v>
      </c>
      <c r="B47" s="38" t="inlineStr">
        <is>
          <t>J-0046</t>
        </is>
      </c>
      <c r="C47" s="48" t="n">
        <v>135</v>
      </c>
      <c r="D47" s="48" t="n"/>
      <c r="E47" s="38" t="inlineStr">
        <is>
          <t>Cash</t>
        </is>
      </c>
      <c r="F47" s="38" t="inlineStr">
        <is>
          <t>INV-0046</t>
        </is>
      </c>
      <c r="G47" s="38" t="inlineStr"/>
      <c r="H47" s="49">
        <f>IF(B47="","",IFERROR(INDEX('JOBS'!$D$5:$D$1504,MATCH(B47,'JOBS'!$A$5:$A$1504,0)),"Job ID not found"))</f>
        <v/>
      </c>
      <c r="I47" s="49">
        <f>IF(B47="","",IFERROR(INDEX('JOBS'!$F$5:$F$1504,MATCH(B47,'JOBS'!$A$5:$A$1504,0)),""))</f>
        <v/>
      </c>
      <c r="J47" s="55">
        <f>IF(C47="","",ROUND(C47*IF(IFERROR(INDEX('SETTINGS'!$K$5:$K$24,MATCH(E47,'SETTINGS'!$J$5:$J$24,0)),"No")="Yes",FeePct,0),2))</f>
        <v/>
      </c>
      <c r="K47" s="51">
        <f>IF(A47="","",DATE(YEAR(A47),MONTH(A47),1))</f>
        <v/>
      </c>
    </row>
    <row r="48">
      <c r="A48" s="47" t="n">
        <v>46099</v>
      </c>
      <c r="B48" s="38" t="inlineStr">
        <is>
          <t>J-0042</t>
        </is>
      </c>
      <c r="C48" s="48" t="n">
        <v>530</v>
      </c>
      <c r="D48" s="48" t="n">
        <v>20</v>
      </c>
      <c r="E48" s="38" t="inlineStr">
        <is>
          <t>Online Invoice</t>
        </is>
      </c>
      <c r="F48" s="38" t="inlineStr">
        <is>
          <t>INV-0042</t>
        </is>
      </c>
      <c r="G48" s="38" t="inlineStr"/>
      <c r="H48" s="49">
        <f>IF(B48="","",IFERROR(INDEX('JOBS'!$D$5:$D$1504,MATCH(B48,'JOBS'!$A$5:$A$1504,0)),"Job ID not found"))</f>
        <v/>
      </c>
      <c r="I48" s="49">
        <f>IF(B48="","",IFERROR(INDEX('JOBS'!$F$5:$F$1504,MATCH(B48,'JOBS'!$A$5:$A$1504,0)),""))</f>
        <v/>
      </c>
      <c r="J48" s="55">
        <f>IF(C48="","",ROUND(C48*IF(IFERROR(INDEX('SETTINGS'!$K$5:$K$24,MATCH(E48,'SETTINGS'!$J$5:$J$24,0)),"No")="Yes",FeePct,0),2))</f>
        <v/>
      </c>
      <c r="K48" s="51">
        <f>IF(A48="","",DATE(YEAR(A48),MONTH(A48),1))</f>
        <v/>
      </c>
    </row>
    <row r="49">
      <c r="A49" s="47" t="n">
        <v>46099</v>
      </c>
      <c r="B49" s="38" t="inlineStr">
        <is>
          <t>J-0047</t>
        </is>
      </c>
      <c r="C49" s="48" t="n">
        <v>175</v>
      </c>
      <c r="D49" s="48" t="n"/>
      <c r="E49" s="38" t="inlineStr">
        <is>
          <t>Online Invoice</t>
        </is>
      </c>
      <c r="F49" s="38" t="inlineStr">
        <is>
          <t>INV-0047</t>
        </is>
      </c>
      <c r="G49" s="38" t="inlineStr"/>
      <c r="H49" s="49">
        <f>IF(B49="","",IFERROR(INDEX('JOBS'!$D$5:$D$1504,MATCH(B49,'JOBS'!$A$5:$A$1504,0)),"Job ID not found"))</f>
        <v/>
      </c>
      <c r="I49" s="49">
        <f>IF(B49="","",IFERROR(INDEX('JOBS'!$F$5:$F$1504,MATCH(B49,'JOBS'!$A$5:$A$1504,0)),""))</f>
        <v/>
      </c>
      <c r="J49" s="55">
        <f>IF(C49="","",ROUND(C49*IF(IFERROR(INDEX('SETTINGS'!$K$5:$K$24,MATCH(E49,'SETTINGS'!$J$5:$J$24,0)),"No")="Yes",FeePct,0),2))</f>
        <v/>
      </c>
      <c r="K49" s="51">
        <f>IF(A49="","",DATE(YEAR(A49),MONTH(A49),1))</f>
        <v/>
      </c>
    </row>
    <row r="50">
      <c r="A50" s="47" t="n">
        <v>46100</v>
      </c>
      <c r="B50" s="38" t="inlineStr">
        <is>
          <t>J-0044</t>
        </is>
      </c>
      <c r="C50" s="48" t="n">
        <v>650</v>
      </c>
      <c r="D50" s="48" t="n"/>
      <c r="E50" s="38" t="inlineStr">
        <is>
          <t>Card</t>
        </is>
      </c>
      <c r="F50" s="38" t="inlineStr">
        <is>
          <t>INV-0044</t>
        </is>
      </c>
      <c r="G50" s="38" t="inlineStr"/>
      <c r="H50" s="49">
        <f>IF(B50="","",IFERROR(INDEX('JOBS'!$D$5:$D$1504,MATCH(B50,'JOBS'!$A$5:$A$1504,0)),"Job ID not found"))</f>
        <v/>
      </c>
      <c r="I50" s="49">
        <f>IF(B50="","",IFERROR(INDEX('JOBS'!$F$5:$F$1504,MATCH(B50,'JOBS'!$A$5:$A$1504,0)),""))</f>
        <v/>
      </c>
      <c r="J50" s="55">
        <f>IF(C50="","",ROUND(C50*IF(IFERROR(INDEX('SETTINGS'!$K$5:$K$24,MATCH(E50,'SETTINGS'!$J$5:$J$24,0)),"No")="Yes",FeePct,0),2))</f>
        <v/>
      </c>
      <c r="K50" s="51">
        <f>IF(A50="","",DATE(YEAR(A50),MONTH(A50),1))</f>
        <v/>
      </c>
    </row>
    <row r="51">
      <c r="A51" s="47" t="n">
        <v>46101</v>
      </c>
      <c r="B51" s="38" t="inlineStr">
        <is>
          <t>J-0050</t>
        </is>
      </c>
      <c r="C51" s="48" t="n">
        <v>100</v>
      </c>
      <c r="D51" s="48" t="n"/>
      <c r="E51" s="38" t="inlineStr">
        <is>
          <t>Online Invoice</t>
        </is>
      </c>
      <c r="F51" s="38" t="inlineStr">
        <is>
          <t>INV-0050</t>
        </is>
      </c>
      <c r="G51" s="38" t="inlineStr"/>
      <c r="H51" s="49">
        <f>IF(B51="","",IFERROR(INDEX('JOBS'!$D$5:$D$1504,MATCH(B51,'JOBS'!$A$5:$A$1504,0)),"Job ID not found"))</f>
        <v/>
      </c>
      <c r="I51" s="49">
        <f>IF(B51="","",IFERROR(INDEX('JOBS'!$F$5:$F$1504,MATCH(B51,'JOBS'!$A$5:$A$1504,0)),""))</f>
        <v/>
      </c>
      <c r="J51" s="55">
        <f>IF(C51="","",ROUND(C51*IF(IFERROR(INDEX('SETTINGS'!$K$5:$K$24,MATCH(E51,'SETTINGS'!$J$5:$J$24,0)),"No")="Yes",FeePct,0),2))</f>
        <v/>
      </c>
      <c r="K51" s="51">
        <f>IF(A51="","",DATE(YEAR(A51),MONTH(A51),1))</f>
        <v/>
      </c>
    </row>
    <row r="52">
      <c r="A52" s="47" t="n">
        <v>46102</v>
      </c>
      <c r="B52" s="38" t="inlineStr">
        <is>
          <t>J-0048</t>
        </is>
      </c>
      <c r="C52" s="48" t="n">
        <v>150</v>
      </c>
      <c r="D52" s="48" t="n"/>
      <c r="E52" s="38" t="inlineStr">
        <is>
          <t>Cash</t>
        </is>
      </c>
      <c r="F52" s="38" t="inlineStr">
        <is>
          <t>INV-0048</t>
        </is>
      </c>
      <c r="G52" s="38" t="inlineStr"/>
      <c r="H52" s="49">
        <f>IF(B52="","",IFERROR(INDEX('JOBS'!$D$5:$D$1504,MATCH(B52,'JOBS'!$A$5:$A$1504,0)),"Job ID not found"))</f>
        <v/>
      </c>
      <c r="I52" s="49">
        <f>IF(B52="","",IFERROR(INDEX('JOBS'!$F$5:$F$1504,MATCH(B52,'JOBS'!$A$5:$A$1504,0)),""))</f>
        <v/>
      </c>
      <c r="J52" s="55">
        <f>IF(C52="","",ROUND(C52*IF(IFERROR(INDEX('SETTINGS'!$K$5:$K$24,MATCH(E52,'SETTINGS'!$J$5:$J$24,0)),"No")="Yes",FeePct,0),2))</f>
        <v/>
      </c>
      <c r="K52" s="51">
        <f>IF(A52="","",DATE(YEAR(A52),MONTH(A52),1))</f>
        <v/>
      </c>
    </row>
    <row r="53">
      <c r="A53" s="47" t="n">
        <v>46105</v>
      </c>
      <c r="B53" s="38" t="inlineStr">
        <is>
          <t>J-0053</t>
        </is>
      </c>
      <c r="C53" s="48" t="n">
        <v>135</v>
      </c>
      <c r="D53" s="48" t="n"/>
      <c r="E53" s="38" t="inlineStr">
        <is>
          <t>Cash</t>
        </is>
      </c>
      <c r="F53" s="38" t="inlineStr">
        <is>
          <t>INV-0053</t>
        </is>
      </c>
      <c r="G53" s="38" t="inlineStr"/>
      <c r="H53" s="49">
        <f>IF(B53="","",IFERROR(INDEX('JOBS'!$D$5:$D$1504,MATCH(B53,'JOBS'!$A$5:$A$1504,0)),"Job ID not found"))</f>
        <v/>
      </c>
      <c r="I53" s="49">
        <f>IF(B53="","",IFERROR(INDEX('JOBS'!$F$5:$F$1504,MATCH(B53,'JOBS'!$A$5:$A$1504,0)),""))</f>
        <v/>
      </c>
      <c r="J53" s="55">
        <f>IF(C53="","",ROUND(C53*IF(IFERROR(INDEX('SETTINGS'!$K$5:$K$24,MATCH(E53,'SETTINGS'!$J$5:$J$24,0)),"No")="Yes",FeePct,0),2))</f>
        <v/>
      </c>
      <c r="K53" s="51">
        <f>IF(A53="","",DATE(YEAR(A53),MONTH(A53),1))</f>
        <v/>
      </c>
    </row>
    <row r="54">
      <c r="A54" s="47" t="n">
        <v>46106</v>
      </c>
      <c r="B54" s="38" t="inlineStr">
        <is>
          <t>J-0054</t>
        </is>
      </c>
      <c r="C54" s="48" t="n">
        <v>175</v>
      </c>
      <c r="D54" s="48" t="n"/>
      <c r="E54" s="38" t="inlineStr">
        <is>
          <t>Online Invoice</t>
        </is>
      </c>
      <c r="F54" s="38" t="inlineStr">
        <is>
          <t>INV-0054</t>
        </is>
      </c>
      <c r="G54" s="38" t="inlineStr"/>
      <c r="H54" s="49">
        <f>IF(B54="","",IFERROR(INDEX('JOBS'!$D$5:$D$1504,MATCH(B54,'JOBS'!$A$5:$A$1504,0)),"Job ID not found"))</f>
        <v/>
      </c>
      <c r="I54" s="49">
        <f>IF(B54="","",IFERROR(INDEX('JOBS'!$F$5:$F$1504,MATCH(B54,'JOBS'!$A$5:$A$1504,0)),""))</f>
        <v/>
      </c>
      <c r="J54" s="55">
        <f>IF(C54="","",ROUND(C54*IF(IFERROR(INDEX('SETTINGS'!$K$5:$K$24,MATCH(E54,'SETTINGS'!$J$5:$J$24,0)),"No")="Yes",FeePct,0),2))</f>
        <v/>
      </c>
      <c r="K54" s="51">
        <f>IF(A54="","",DATE(YEAR(A54),MONTH(A54),1))</f>
        <v/>
      </c>
    </row>
    <row r="55">
      <c r="A55" s="47" t="n">
        <v>46106</v>
      </c>
      <c r="B55" s="38" t="inlineStr">
        <is>
          <t>J-0055</t>
        </is>
      </c>
      <c r="C55" s="48" t="n">
        <v>150</v>
      </c>
      <c r="D55" s="48" t="n"/>
      <c r="E55" s="38" t="inlineStr">
        <is>
          <t>Cash</t>
        </is>
      </c>
      <c r="F55" s="38" t="inlineStr">
        <is>
          <t>INV-0055</t>
        </is>
      </c>
      <c r="G55" s="38" t="inlineStr"/>
      <c r="H55" s="49">
        <f>IF(B55="","",IFERROR(INDEX('JOBS'!$D$5:$D$1504,MATCH(B55,'JOBS'!$A$5:$A$1504,0)),"Job ID not found"))</f>
        <v/>
      </c>
      <c r="I55" s="49">
        <f>IF(B55="","",IFERROR(INDEX('JOBS'!$F$5:$F$1504,MATCH(B55,'JOBS'!$A$5:$A$1504,0)),""))</f>
        <v/>
      </c>
      <c r="J55" s="55">
        <f>IF(C55="","",ROUND(C55*IF(IFERROR(INDEX('SETTINGS'!$K$5:$K$24,MATCH(E55,'SETTINGS'!$J$5:$J$24,0)),"No")="Yes",FeePct,0),2))</f>
        <v/>
      </c>
      <c r="K55" s="51">
        <f>IF(A55="","",DATE(YEAR(A55),MONTH(A55),1))</f>
        <v/>
      </c>
    </row>
    <row r="56">
      <c r="A56" s="47" t="n">
        <v>46107</v>
      </c>
      <c r="B56" s="38" t="inlineStr">
        <is>
          <t>J-0051</t>
        </is>
      </c>
      <c r="C56" s="48" t="n">
        <v>150</v>
      </c>
      <c r="D56" s="48" t="n"/>
      <c r="E56" s="38" t="inlineStr">
        <is>
          <t>Card</t>
        </is>
      </c>
      <c r="F56" s="38" t="inlineStr">
        <is>
          <t>INV-0051</t>
        </is>
      </c>
      <c r="G56" s="38" t="inlineStr"/>
      <c r="H56" s="49">
        <f>IF(B56="","",IFERROR(INDEX('JOBS'!$D$5:$D$1504,MATCH(B56,'JOBS'!$A$5:$A$1504,0)),"Job ID not found"))</f>
        <v/>
      </c>
      <c r="I56" s="49">
        <f>IF(B56="","",IFERROR(INDEX('JOBS'!$F$5:$F$1504,MATCH(B56,'JOBS'!$A$5:$A$1504,0)),""))</f>
        <v/>
      </c>
      <c r="J56" s="55">
        <f>IF(C56="","",ROUND(C56*IF(IFERROR(INDEX('SETTINGS'!$K$5:$K$24,MATCH(E56,'SETTINGS'!$J$5:$J$24,0)),"No")="Yes",FeePct,0),2))</f>
        <v/>
      </c>
      <c r="K56" s="51">
        <f>IF(A56="","",DATE(YEAR(A56),MONTH(A56),1))</f>
        <v/>
      </c>
    </row>
    <row r="57">
      <c r="A57" s="47" t="n">
        <v>46107</v>
      </c>
      <c r="B57" s="38" t="inlineStr">
        <is>
          <t>J-0052</t>
        </is>
      </c>
      <c r="C57" s="48" t="n">
        <v>300</v>
      </c>
      <c r="D57" s="48" t="n"/>
      <c r="E57" s="38" t="inlineStr">
        <is>
          <t>Card</t>
        </is>
      </c>
      <c r="F57" s="38" t="inlineStr">
        <is>
          <t>INV-0052</t>
        </is>
      </c>
      <c r="G57" s="38" t="inlineStr"/>
      <c r="H57" s="49">
        <f>IF(B57="","",IFERROR(INDEX('JOBS'!$D$5:$D$1504,MATCH(B57,'JOBS'!$A$5:$A$1504,0)),"Job ID not found"))</f>
        <v/>
      </c>
      <c r="I57" s="49">
        <f>IF(B57="","",IFERROR(INDEX('JOBS'!$F$5:$F$1504,MATCH(B57,'JOBS'!$A$5:$A$1504,0)),""))</f>
        <v/>
      </c>
      <c r="J57" s="55">
        <f>IF(C57="","",ROUND(C57*IF(IFERROR(INDEX('SETTINGS'!$K$5:$K$24,MATCH(E57,'SETTINGS'!$J$5:$J$24,0)),"No")="Yes",FeePct,0),2))</f>
        <v/>
      </c>
      <c r="K57" s="51">
        <f>IF(A57="","",DATE(YEAR(A57),MONTH(A57),1))</f>
        <v/>
      </c>
    </row>
    <row r="58">
      <c r="A58" s="47" t="n">
        <v>46108</v>
      </c>
      <c r="B58" s="38" t="inlineStr">
        <is>
          <t>J-0056</t>
        </is>
      </c>
      <c r="C58" s="48" t="n">
        <v>530</v>
      </c>
      <c r="D58" s="48" t="n"/>
      <c r="E58" s="38" t="inlineStr">
        <is>
          <t>Payment App</t>
        </is>
      </c>
      <c r="F58" s="38" t="inlineStr">
        <is>
          <t>INV-0056</t>
        </is>
      </c>
      <c r="G58" s="38" t="inlineStr"/>
      <c r="H58" s="49">
        <f>IF(B58="","",IFERROR(INDEX('JOBS'!$D$5:$D$1504,MATCH(B58,'JOBS'!$A$5:$A$1504,0)),"Job ID not found"))</f>
        <v/>
      </c>
      <c r="I58" s="49">
        <f>IF(B58="","",IFERROR(INDEX('JOBS'!$F$5:$F$1504,MATCH(B58,'JOBS'!$A$5:$A$1504,0)),""))</f>
        <v/>
      </c>
      <c r="J58" s="55">
        <f>IF(C58="","",ROUND(C58*IF(IFERROR(INDEX('SETTINGS'!$K$5:$K$24,MATCH(E58,'SETTINGS'!$J$5:$J$24,0)),"No")="Yes",FeePct,0),2))</f>
        <v/>
      </c>
      <c r="K58" s="51">
        <f>IF(A58="","",DATE(YEAR(A58),MONTH(A58),1))</f>
        <v/>
      </c>
    </row>
    <row r="59">
      <c r="A59" s="47" t="n">
        <v>46108</v>
      </c>
      <c r="B59" s="38" t="inlineStr">
        <is>
          <t>J-0057</t>
        </is>
      </c>
      <c r="C59" s="48" t="n">
        <v>100</v>
      </c>
      <c r="D59" s="48" t="n"/>
      <c r="E59" s="38" t="inlineStr">
        <is>
          <t>Online Invoice</t>
        </is>
      </c>
      <c r="F59" s="38" t="inlineStr">
        <is>
          <t>INV-0057</t>
        </is>
      </c>
      <c r="G59" s="38" t="inlineStr"/>
      <c r="H59" s="49">
        <f>IF(B59="","",IFERROR(INDEX('JOBS'!$D$5:$D$1504,MATCH(B59,'JOBS'!$A$5:$A$1504,0)),"Job ID not found"))</f>
        <v/>
      </c>
      <c r="I59" s="49">
        <f>IF(B59="","",IFERROR(INDEX('JOBS'!$F$5:$F$1504,MATCH(B59,'JOBS'!$A$5:$A$1504,0)),""))</f>
        <v/>
      </c>
      <c r="J59" s="55">
        <f>IF(C59="","",ROUND(C59*IF(IFERROR(INDEX('SETTINGS'!$K$5:$K$24,MATCH(E59,'SETTINGS'!$J$5:$J$24,0)),"No")="Yes",FeePct,0),2))</f>
        <v/>
      </c>
      <c r="K59" s="51">
        <f>IF(A59="","",DATE(YEAR(A59),MONTH(A59),1))</f>
        <v/>
      </c>
    </row>
    <row r="60">
      <c r="A60" s="47" t="n">
        <v>46109</v>
      </c>
      <c r="B60" s="38" t="inlineStr">
        <is>
          <t>J-0058</t>
        </is>
      </c>
      <c r="C60" s="48" t="n">
        <v>595</v>
      </c>
      <c r="D60" s="48" t="n"/>
      <c r="E60" s="38" t="inlineStr">
        <is>
          <t>Card</t>
        </is>
      </c>
      <c r="F60" s="38" t="inlineStr">
        <is>
          <t>INV-0058</t>
        </is>
      </c>
      <c r="G60" s="38" t="inlineStr"/>
      <c r="H60" s="49">
        <f>IF(B60="","",IFERROR(INDEX('JOBS'!$D$5:$D$1504,MATCH(B60,'JOBS'!$A$5:$A$1504,0)),"Job ID not found"))</f>
        <v/>
      </c>
      <c r="I60" s="49">
        <f>IF(B60="","",IFERROR(INDEX('JOBS'!$F$5:$F$1504,MATCH(B60,'JOBS'!$A$5:$A$1504,0)),""))</f>
        <v/>
      </c>
      <c r="J60" s="55">
        <f>IF(C60="","",ROUND(C60*IF(IFERROR(INDEX('SETTINGS'!$K$5:$K$24,MATCH(E60,'SETTINGS'!$J$5:$J$24,0)),"No")="Yes",FeePct,0),2))</f>
        <v/>
      </c>
      <c r="K60" s="51">
        <f>IF(A60="","",DATE(YEAR(A60),MONTH(A60),1))</f>
        <v/>
      </c>
    </row>
    <row r="61">
      <c r="A61" s="47" t="n">
        <v>46111</v>
      </c>
      <c r="B61" s="38" t="inlineStr">
        <is>
          <t>J-0060</t>
        </is>
      </c>
      <c r="C61" s="48" t="n">
        <v>135</v>
      </c>
      <c r="D61" s="48" t="n"/>
      <c r="E61" s="38" t="inlineStr">
        <is>
          <t>Card</t>
        </is>
      </c>
      <c r="F61" s="38" t="inlineStr">
        <is>
          <t>INV-0060</t>
        </is>
      </c>
      <c r="G61" s="38" t="inlineStr"/>
      <c r="H61" s="49">
        <f>IF(B61="","",IFERROR(INDEX('JOBS'!$D$5:$D$1504,MATCH(B61,'JOBS'!$A$5:$A$1504,0)),"Job ID not found"))</f>
        <v/>
      </c>
      <c r="I61" s="49">
        <f>IF(B61="","",IFERROR(INDEX('JOBS'!$F$5:$F$1504,MATCH(B61,'JOBS'!$A$5:$A$1504,0)),""))</f>
        <v/>
      </c>
      <c r="J61" s="55">
        <f>IF(C61="","",ROUND(C61*IF(IFERROR(INDEX('SETTINGS'!$K$5:$K$24,MATCH(E61,'SETTINGS'!$J$5:$J$24,0)),"No")="Yes",FeePct,0),2))</f>
        <v/>
      </c>
      <c r="K61" s="51">
        <f>IF(A61="","",DATE(YEAR(A61),MONTH(A61),1))</f>
        <v/>
      </c>
    </row>
    <row r="62">
      <c r="A62" s="47" t="n">
        <v>46111</v>
      </c>
      <c r="B62" s="38" t="inlineStr">
        <is>
          <t>J-0061</t>
        </is>
      </c>
      <c r="C62" s="48" t="n">
        <v>150</v>
      </c>
      <c r="D62" s="48" t="n">
        <v>10</v>
      </c>
      <c r="E62" s="38" t="inlineStr">
        <is>
          <t>Card</t>
        </is>
      </c>
      <c r="F62" s="38" t="inlineStr">
        <is>
          <t>INV-0061</t>
        </is>
      </c>
      <c r="G62" s="38" t="inlineStr"/>
      <c r="H62" s="49">
        <f>IF(B62="","",IFERROR(INDEX('JOBS'!$D$5:$D$1504,MATCH(B62,'JOBS'!$A$5:$A$1504,0)),"Job ID not found"))</f>
        <v/>
      </c>
      <c r="I62" s="49">
        <f>IF(B62="","",IFERROR(INDEX('JOBS'!$F$5:$F$1504,MATCH(B62,'JOBS'!$A$5:$A$1504,0)),""))</f>
        <v/>
      </c>
      <c r="J62" s="55">
        <f>IF(C62="","",ROUND(C62*IF(IFERROR(INDEX('SETTINGS'!$K$5:$K$24,MATCH(E62,'SETTINGS'!$J$5:$J$24,0)),"No")="Yes",FeePct,0),2))</f>
        <v/>
      </c>
      <c r="K62" s="51">
        <f>IF(A62="","",DATE(YEAR(A62),MONTH(A62),1))</f>
        <v/>
      </c>
    </row>
    <row r="63">
      <c r="A63" s="47" t="n">
        <v>46112</v>
      </c>
      <c r="B63" s="38" t="inlineStr">
        <is>
          <t>J-0062</t>
        </is>
      </c>
      <c r="C63" s="48" t="n">
        <v>175</v>
      </c>
      <c r="D63" s="48" t="n"/>
      <c r="E63" s="38" t="inlineStr">
        <is>
          <t>Card</t>
        </is>
      </c>
      <c r="F63" s="38" t="inlineStr">
        <is>
          <t>INV-0062</t>
        </is>
      </c>
      <c r="G63" s="38" t="inlineStr"/>
      <c r="H63" s="49">
        <f>IF(B63="","",IFERROR(INDEX('JOBS'!$D$5:$D$1504,MATCH(B63,'JOBS'!$A$5:$A$1504,0)),"Job ID not found"))</f>
        <v/>
      </c>
      <c r="I63" s="49">
        <f>IF(B63="","",IFERROR(INDEX('JOBS'!$F$5:$F$1504,MATCH(B63,'JOBS'!$A$5:$A$1504,0)),""))</f>
        <v/>
      </c>
      <c r="J63" s="55">
        <f>IF(C63="","",ROUND(C63*IF(IFERROR(INDEX('SETTINGS'!$K$5:$K$24,MATCH(E63,'SETTINGS'!$J$5:$J$24,0)),"No")="Yes",FeePct,0),2))</f>
        <v/>
      </c>
      <c r="K63" s="51">
        <f>IF(A63="","",DATE(YEAR(A63),MONTH(A63),1))</f>
        <v/>
      </c>
    </row>
    <row r="64">
      <c r="A64" s="47" t="n">
        <v>46114</v>
      </c>
      <c r="B64" s="38" t="inlineStr">
        <is>
          <t>J-0063</t>
        </is>
      </c>
      <c r="C64" s="48" t="n">
        <v>220</v>
      </c>
      <c r="D64" s="48" t="n"/>
      <c r="E64" s="38" t="inlineStr">
        <is>
          <t>Card</t>
        </is>
      </c>
      <c r="F64" s="38" t="inlineStr">
        <is>
          <t>INV-0063</t>
        </is>
      </c>
      <c r="G64" s="38" t="inlineStr"/>
      <c r="H64" s="49">
        <f>IF(B64="","",IFERROR(INDEX('JOBS'!$D$5:$D$1504,MATCH(B64,'JOBS'!$A$5:$A$1504,0)),"Job ID not found"))</f>
        <v/>
      </c>
      <c r="I64" s="49">
        <f>IF(B64="","",IFERROR(INDEX('JOBS'!$F$5:$F$1504,MATCH(B64,'JOBS'!$A$5:$A$1504,0)),""))</f>
        <v/>
      </c>
      <c r="J64" s="55">
        <f>IF(C64="","",ROUND(C64*IF(IFERROR(INDEX('SETTINGS'!$K$5:$K$24,MATCH(E64,'SETTINGS'!$J$5:$J$24,0)),"No")="Yes",FeePct,0),2))</f>
        <v/>
      </c>
      <c r="K64" s="51">
        <f>IF(A64="","",DATE(YEAR(A64),MONTH(A64),1))</f>
        <v/>
      </c>
    </row>
    <row r="65">
      <c r="A65" s="47" t="n">
        <v>46115</v>
      </c>
      <c r="B65" s="38" t="inlineStr">
        <is>
          <t>J-0066</t>
        </is>
      </c>
      <c r="C65" s="48" t="n">
        <v>220</v>
      </c>
      <c r="D65" s="48" t="n"/>
      <c r="E65" s="38" t="inlineStr">
        <is>
          <t>Check</t>
        </is>
      </c>
      <c r="F65" s="38" t="inlineStr">
        <is>
          <t>INV-0066</t>
        </is>
      </c>
      <c r="G65" s="38" t="inlineStr"/>
      <c r="H65" s="49">
        <f>IF(B65="","",IFERROR(INDEX('JOBS'!$D$5:$D$1504,MATCH(B65,'JOBS'!$A$5:$A$1504,0)),"Job ID not found"))</f>
        <v/>
      </c>
      <c r="I65" s="49">
        <f>IF(B65="","",IFERROR(INDEX('JOBS'!$F$5:$F$1504,MATCH(B65,'JOBS'!$A$5:$A$1504,0)),""))</f>
        <v/>
      </c>
      <c r="J65" s="55">
        <f>IF(C65="","",ROUND(C65*IF(IFERROR(INDEX('SETTINGS'!$K$5:$K$24,MATCH(E65,'SETTINGS'!$J$5:$J$24,0)),"No")="Yes",FeePct,0),2))</f>
        <v/>
      </c>
      <c r="K65" s="51">
        <f>IF(A65="","",DATE(YEAR(A65),MONTH(A65),1))</f>
        <v/>
      </c>
    </row>
    <row r="66">
      <c r="A66" s="47" t="n">
        <v>46116</v>
      </c>
      <c r="B66" s="38" t="inlineStr">
        <is>
          <t>J-0059</t>
        </is>
      </c>
      <c r="C66" s="48" t="n">
        <v>145</v>
      </c>
      <c r="D66" s="48" t="n"/>
      <c r="E66" s="38" t="inlineStr">
        <is>
          <t>Payment App</t>
        </is>
      </c>
      <c r="F66" s="38" t="inlineStr">
        <is>
          <t>INV-0059</t>
        </is>
      </c>
      <c r="G66" s="38" t="inlineStr"/>
      <c r="H66" s="49">
        <f>IF(B66="","",IFERROR(INDEX('JOBS'!$D$5:$D$1504,MATCH(B66,'JOBS'!$A$5:$A$1504,0)),"Job ID not found"))</f>
        <v/>
      </c>
      <c r="I66" s="49">
        <f>IF(B66="","",IFERROR(INDEX('JOBS'!$F$5:$F$1504,MATCH(B66,'JOBS'!$A$5:$A$1504,0)),""))</f>
        <v/>
      </c>
      <c r="J66" s="55">
        <f>IF(C66="","",ROUND(C66*IF(IFERROR(INDEX('SETTINGS'!$K$5:$K$24,MATCH(E66,'SETTINGS'!$J$5:$J$24,0)),"No")="Yes",FeePct,0),2))</f>
        <v/>
      </c>
      <c r="K66" s="51">
        <f>IF(A66="","",DATE(YEAR(A66),MONTH(A66),1))</f>
        <v/>
      </c>
    </row>
    <row r="67">
      <c r="A67" s="47" t="n">
        <v>46116</v>
      </c>
      <c r="B67" s="38" t="inlineStr">
        <is>
          <t>J-0067</t>
        </is>
      </c>
      <c r="C67" s="48" t="n">
        <v>250</v>
      </c>
      <c r="D67" s="48" t="n"/>
      <c r="E67" s="38" t="inlineStr">
        <is>
          <t>Online Invoice</t>
        </is>
      </c>
      <c r="F67" s="38" t="inlineStr">
        <is>
          <t>INV-0067</t>
        </is>
      </c>
      <c r="G67" s="38" t="inlineStr"/>
      <c r="H67" s="49">
        <f>IF(B67="","",IFERROR(INDEX('JOBS'!$D$5:$D$1504,MATCH(B67,'JOBS'!$A$5:$A$1504,0)),"Job ID not found"))</f>
        <v/>
      </c>
      <c r="I67" s="49">
        <f>IF(B67="","",IFERROR(INDEX('JOBS'!$F$5:$F$1504,MATCH(B67,'JOBS'!$A$5:$A$1504,0)),""))</f>
        <v/>
      </c>
      <c r="J67" s="55">
        <f>IF(C67="","",ROUND(C67*IF(IFERROR(INDEX('SETTINGS'!$K$5:$K$24,MATCH(E67,'SETTINGS'!$J$5:$J$24,0)),"No")="Yes",FeePct,0),2))</f>
        <v/>
      </c>
      <c r="K67" s="51">
        <f>IF(A67="","",DATE(YEAR(A67),MONTH(A67),1))</f>
        <v/>
      </c>
    </row>
    <row r="68">
      <c r="A68" s="47" t="n">
        <v>46116</v>
      </c>
      <c r="B68" s="38" t="inlineStr">
        <is>
          <t>J-0068</t>
        </is>
      </c>
      <c r="C68" s="48" t="n">
        <v>245</v>
      </c>
      <c r="D68" s="48" t="n"/>
      <c r="E68" s="38" t="inlineStr">
        <is>
          <t>Online Invoice</t>
        </is>
      </c>
      <c r="F68" s="38" t="inlineStr">
        <is>
          <t>INV-0068</t>
        </is>
      </c>
      <c r="G68" s="38" t="inlineStr"/>
      <c r="H68" s="49">
        <f>IF(B68="","",IFERROR(INDEX('JOBS'!$D$5:$D$1504,MATCH(B68,'JOBS'!$A$5:$A$1504,0)),"Job ID not found"))</f>
        <v/>
      </c>
      <c r="I68" s="49">
        <f>IF(B68="","",IFERROR(INDEX('JOBS'!$F$5:$F$1504,MATCH(B68,'JOBS'!$A$5:$A$1504,0)),""))</f>
        <v/>
      </c>
      <c r="J68" s="55">
        <f>IF(C68="","",ROUND(C68*IF(IFERROR(INDEX('SETTINGS'!$K$5:$K$24,MATCH(E68,'SETTINGS'!$J$5:$J$24,0)),"No")="Yes",FeePct,0),2))</f>
        <v/>
      </c>
      <c r="K68" s="51">
        <f>IF(A68="","",DATE(YEAR(A68),MONTH(A68),1))</f>
        <v/>
      </c>
    </row>
    <row r="69">
      <c r="A69" s="47" t="n">
        <v>46118</v>
      </c>
      <c r="B69" s="38" t="inlineStr">
        <is>
          <t>J-0069</t>
        </is>
      </c>
      <c r="C69" s="48" t="n">
        <v>135</v>
      </c>
      <c r="D69" s="48" t="n"/>
      <c r="E69" s="38" t="inlineStr">
        <is>
          <t>Card</t>
        </is>
      </c>
      <c r="F69" s="38" t="inlineStr">
        <is>
          <t>INV-0069</t>
        </is>
      </c>
      <c r="G69" s="38" t="inlineStr"/>
      <c r="H69" s="49">
        <f>IF(B69="","",IFERROR(INDEX('JOBS'!$D$5:$D$1504,MATCH(B69,'JOBS'!$A$5:$A$1504,0)),"Job ID not found"))</f>
        <v/>
      </c>
      <c r="I69" s="49">
        <f>IF(B69="","",IFERROR(INDEX('JOBS'!$F$5:$F$1504,MATCH(B69,'JOBS'!$A$5:$A$1504,0)),""))</f>
        <v/>
      </c>
      <c r="J69" s="55">
        <f>IF(C69="","",ROUND(C69*IF(IFERROR(INDEX('SETTINGS'!$K$5:$K$24,MATCH(E69,'SETTINGS'!$J$5:$J$24,0)),"No")="Yes",FeePct,0),2))</f>
        <v/>
      </c>
      <c r="K69" s="51">
        <f>IF(A69="","",DATE(YEAR(A69),MONTH(A69),1))</f>
        <v/>
      </c>
    </row>
    <row r="70">
      <c r="A70" s="47" t="n">
        <v>46119</v>
      </c>
      <c r="B70" s="38" t="inlineStr">
        <is>
          <t>J-0070</t>
        </is>
      </c>
      <c r="C70" s="48" t="n">
        <v>175</v>
      </c>
      <c r="D70" s="48" t="n"/>
      <c r="E70" s="38" t="inlineStr">
        <is>
          <t>Online Invoice</t>
        </is>
      </c>
      <c r="F70" s="38" t="inlineStr">
        <is>
          <t>INV-0070</t>
        </is>
      </c>
      <c r="G70" s="38" t="inlineStr"/>
      <c r="H70" s="49">
        <f>IF(B70="","",IFERROR(INDEX('JOBS'!$D$5:$D$1504,MATCH(B70,'JOBS'!$A$5:$A$1504,0)),"Job ID not found"))</f>
        <v/>
      </c>
      <c r="I70" s="49">
        <f>IF(B70="","",IFERROR(INDEX('JOBS'!$F$5:$F$1504,MATCH(B70,'JOBS'!$A$5:$A$1504,0)),""))</f>
        <v/>
      </c>
      <c r="J70" s="55">
        <f>IF(C70="","",ROUND(C70*IF(IFERROR(INDEX('SETTINGS'!$K$5:$K$24,MATCH(E70,'SETTINGS'!$J$5:$J$24,0)),"No")="Yes",FeePct,0),2))</f>
        <v/>
      </c>
      <c r="K70" s="51">
        <f>IF(A70="","",DATE(YEAR(A70),MONTH(A70),1))</f>
        <v/>
      </c>
    </row>
    <row r="71">
      <c r="A71" s="47" t="n">
        <v>46120</v>
      </c>
      <c r="B71" s="38" t="inlineStr">
        <is>
          <t>J-0064</t>
        </is>
      </c>
      <c r="C71" s="48" t="n">
        <v>100</v>
      </c>
      <c r="D71" s="48" t="n"/>
      <c r="E71" s="38" t="inlineStr">
        <is>
          <t>Online Invoice</t>
        </is>
      </c>
      <c r="F71" s="38" t="inlineStr">
        <is>
          <t>INV-0064</t>
        </is>
      </c>
      <c r="G71" s="38" t="inlineStr"/>
      <c r="H71" s="49">
        <f>IF(B71="","",IFERROR(INDEX('JOBS'!$D$5:$D$1504,MATCH(B71,'JOBS'!$A$5:$A$1504,0)),"Job ID not found"))</f>
        <v/>
      </c>
      <c r="I71" s="49">
        <f>IF(B71="","",IFERROR(INDEX('JOBS'!$F$5:$F$1504,MATCH(B71,'JOBS'!$A$5:$A$1504,0)),""))</f>
        <v/>
      </c>
      <c r="J71" s="55">
        <f>IF(C71="","",ROUND(C71*IF(IFERROR(INDEX('SETTINGS'!$K$5:$K$24,MATCH(E71,'SETTINGS'!$J$5:$J$24,0)),"No")="Yes",FeePct,0),2))</f>
        <v/>
      </c>
      <c r="K71" s="51">
        <f>IF(A71="","",DATE(YEAR(A71),MONTH(A71),1))</f>
        <v/>
      </c>
    </row>
    <row r="72">
      <c r="A72" s="47" t="n">
        <v>46120</v>
      </c>
      <c r="B72" s="38" t="inlineStr">
        <is>
          <t>J-0065</t>
        </is>
      </c>
      <c r="C72" s="48" t="n">
        <v>140</v>
      </c>
      <c r="D72" s="48" t="n">
        <v>20</v>
      </c>
      <c r="E72" s="38" t="inlineStr">
        <is>
          <t>Online Invoice</t>
        </is>
      </c>
      <c r="F72" s="38" t="inlineStr">
        <is>
          <t>INV-0065</t>
        </is>
      </c>
      <c r="G72" s="38" t="inlineStr"/>
      <c r="H72" s="49">
        <f>IF(B72="","",IFERROR(INDEX('JOBS'!$D$5:$D$1504,MATCH(B72,'JOBS'!$A$5:$A$1504,0)),"Job ID not found"))</f>
        <v/>
      </c>
      <c r="I72" s="49">
        <f>IF(B72="","",IFERROR(INDEX('JOBS'!$F$5:$F$1504,MATCH(B72,'JOBS'!$A$5:$A$1504,0)),""))</f>
        <v/>
      </c>
      <c r="J72" s="55">
        <f>IF(C72="","",ROUND(C72*IF(IFERROR(INDEX('SETTINGS'!$K$5:$K$24,MATCH(E72,'SETTINGS'!$J$5:$J$24,0)),"No")="Yes",FeePct,0),2))</f>
        <v/>
      </c>
      <c r="K72" s="51">
        <f>IF(A72="","",DATE(YEAR(A72),MONTH(A72),1))</f>
        <v/>
      </c>
    </row>
    <row r="73">
      <c r="A73" s="47" t="n">
        <v>46122</v>
      </c>
      <c r="B73" s="38" t="inlineStr">
        <is>
          <t>J-0071</t>
        </is>
      </c>
      <c r="C73" s="48" t="n">
        <v>685</v>
      </c>
      <c r="D73" s="48" t="n"/>
      <c r="E73" s="38" t="inlineStr">
        <is>
          <t>Card</t>
        </is>
      </c>
      <c r="F73" s="38" t="inlineStr">
        <is>
          <t>INV-0071</t>
        </is>
      </c>
      <c r="G73" s="38" t="inlineStr"/>
      <c r="H73" s="49">
        <f>IF(B73="","",IFERROR(INDEX('JOBS'!$D$5:$D$1504,MATCH(B73,'JOBS'!$A$5:$A$1504,0)),"Job ID not found"))</f>
        <v/>
      </c>
      <c r="I73" s="49">
        <f>IF(B73="","",IFERROR(INDEX('JOBS'!$F$5:$F$1504,MATCH(B73,'JOBS'!$A$5:$A$1504,0)),""))</f>
        <v/>
      </c>
      <c r="J73" s="55">
        <f>IF(C73="","",ROUND(C73*IF(IFERROR(INDEX('SETTINGS'!$K$5:$K$24,MATCH(E73,'SETTINGS'!$J$5:$J$24,0)),"No")="Yes",FeePct,0),2))</f>
        <v/>
      </c>
      <c r="K73" s="51">
        <f>IF(A73="","",DATE(YEAR(A73),MONTH(A73),1))</f>
        <v/>
      </c>
    </row>
    <row r="74">
      <c r="A74" s="47" t="n">
        <v>46122</v>
      </c>
      <c r="B74" s="38" t="inlineStr">
        <is>
          <t>J-0072</t>
        </is>
      </c>
      <c r="C74" s="48" t="n">
        <v>100</v>
      </c>
      <c r="D74" s="48" t="n"/>
      <c r="E74" s="38" t="inlineStr">
        <is>
          <t>Online Invoice</t>
        </is>
      </c>
      <c r="F74" s="38" t="inlineStr">
        <is>
          <t>INV-0072</t>
        </is>
      </c>
      <c r="G74" s="38" t="inlineStr"/>
      <c r="H74" s="49">
        <f>IF(B74="","",IFERROR(INDEX('JOBS'!$D$5:$D$1504,MATCH(B74,'JOBS'!$A$5:$A$1504,0)),"Job ID not found"))</f>
        <v/>
      </c>
      <c r="I74" s="49">
        <f>IF(B74="","",IFERROR(INDEX('JOBS'!$F$5:$F$1504,MATCH(B74,'JOBS'!$A$5:$A$1504,0)),""))</f>
        <v/>
      </c>
      <c r="J74" s="55">
        <f>IF(C74="","",ROUND(C74*IF(IFERROR(INDEX('SETTINGS'!$K$5:$K$24,MATCH(E74,'SETTINGS'!$J$5:$J$24,0)),"No")="Yes",FeePct,0),2))</f>
        <v/>
      </c>
      <c r="K74" s="51">
        <f>IF(A74="","",DATE(YEAR(A74),MONTH(A74),1))</f>
        <v/>
      </c>
    </row>
    <row r="75">
      <c r="A75" s="47" t="n">
        <v>46122</v>
      </c>
      <c r="B75" s="38" t="inlineStr">
        <is>
          <t>J-0074</t>
        </is>
      </c>
      <c r="C75" s="48" t="n">
        <v>195</v>
      </c>
      <c r="D75" s="48" t="n"/>
      <c r="E75" s="38" t="inlineStr">
        <is>
          <t>Cash</t>
        </is>
      </c>
      <c r="F75" s="38" t="inlineStr">
        <is>
          <t>INV-0074</t>
        </is>
      </c>
      <c r="G75" s="38" t="inlineStr"/>
      <c r="H75" s="49">
        <f>IF(B75="","",IFERROR(INDEX('JOBS'!$D$5:$D$1504,MATCH(B75,'JOBS'!$A$5:$A$1504,0)),"Job ID not found"))</f>
        <v/>
      </c>
      <c r="I75" s="49">
        <f>IF(B75="","",IFERROR(INDEX('JOBS'!$F$5:$F$1504,MATCH(B75,'JOBS'!$A$5:$A$1504,0)),""))</f>
        <v/>
      </c>
      <c r="J75" s="55">
        <f>IF(C75="","",ROUND(C75*IF(IFERROR(INDEX('SETTINGS'!$K$5:$K$24,MATCH(E75,'SETTINGS'!$J$5:$J$24,0)),"No")="Yes",FeePct,0),2))</f>
        <v/>
      </c>
      <c r="K75" s="51">
        <f>IF(A75="","",DATE(YEAR(A75),MONTH(A75),1))</f>
        <v/>
      </c>
    </row>
    <row r="76">
      <c r="A76" s="47" t="n">
        <v>46123</v>
      </c>
      <c r="B76" s="38" t="inlineStr">
        <is>
          <t>J-0075</t>
        </is>
      </c>
      <c r="C76" s="48" t="n">
        <v>110</v>
      </c>
      <c r="D76" s="48" t="n"/>
      <c r="E76" s="38" t="inlineStr">
        <is>
          <t>Card</t>
        </is>
      </c>
      <c r="F76" s="38" t="inlineStr">
        <is>
          <t>INV-0075</t>
        </is>
      </c>
      <c r="G76" s="38" t="inlineStr"/>
      <c r="H76" s="49">
        <f>IF(B76="","",IFERROR(INDEX('JOBS'!$D$5:$D$1504,MATCH(B76,'JOBS'!$A$5:$A$1504,0)),"Job ID not found"))</f>
        <v/>
      </c>
      <c r="I76" s="49">
        <f>IF(B76="","",IFERROR(INDEX('JOBS'!$F$5:$F$1504,MATCH(B76,'JOBS'!$A$5:$A$1504,0)),""))</f>
        <v/>
      </c>
      <c r="J76" s="55">
        <f>IF(C76="","",ROUND(C76*IF(IFERROR(INDEX('SETTINGS'!$K$5:$K$24,MATCH(E76,'SETTINGS'!$J$5:$J$24,0)),"No")="Yes",FeePct,0),2))</f>
        <v/>
      </c>
      <c r="K76" s="51">
        <f>IF(A76="","",DATE(YEAR(A76),MONTH(A76),1))</f>
        <v/>
      </c>
    </row>
    <row r="77">
      <c r="A77" s="47" t="n">
        <v>46124</v>
      </c>
      <c r="B77" s="38" t="inlineStr">
        <is>
          <t>J-0073</t>
        </is>
      </c>
      <c r="C77" s="48" t="n">
        <v>140</v>
      </c>
      <c r="D77" s="48" t="n"/>
      <c r="E77" s="38" t="inlineStr">
        <is>
          <t>Online Invoice</t>
        </is>
      </c>
      <c r="F77" s="38" t="inlineStr">
        <is>
          <t>INV-0073</t>
        </is>
      </c>
      <c r="G77" s="38" t="inlineStr"/>
      <c r="H77" s="49">
        <f>IF(B77="","",IFERROR(INDEX('JOBS'!$D$5:$D$1504,MATCH(B77,'JOBS'!$A$5:$A$1504,0)),"Job ID not found"))</f>
        <v/>
      </c>
      <c r="I77" s="49">
        <f>IF(B77="","",IFERROR(INDEX('JOBS'!$F$5:$F$1504,MATCH(B77,'JOBS'!$A$5:$A$1504,0)),""))</f>
        <v/>
      </c>
      <c r="J77" s="55">
        <f>IF(C77="","",ROUND(C77*IF(IFERROR(INDEX('SETTINGS'!$K$5:$K$24,MATCH(E77,'SETTINGS'!$J$5:$J$24,0)),"No")="Yes",FeePct,0),2))</f>
        <v/>
      </c>
      <c r="K77" s="51">
        <f>IF(A77="","",DATE(YEAR(A77),MONTH(A77),1))</f>
        <v/>
      </c>
    </row>
    <row r="78">
      <c r="A78" s="47" t="n">
        <v>46124</v>
      </c>
      <c r="B78" s="38" t="inlineStr">
        <is>
          <t>J-0076</t>
        </is>
      </c>
      <c r="C78" s="48" t="n">
        <v>150</v>
      </c>
      <c r="D78" s="48" t="n"/>
      <c r="E78" s="38" t="inlineStr">
        <is>
          <t>Check</t>
        </is>
      </c>
      <c r="F78" s="38" t="inlineStr">
        <is>
          <t>INV-0076</t>
        </is>
      </c>
      <c r="G78" s="38" t="inlineStr"/>
      <c r="H78" s="49">
        <f>IF(B78="","",IFERROR(INDEX('JOBS'!$D$5:$D$1504,MATCH(B78,'JOBS'!$A$5:$A$1504,0)),"Job ID not found"))</f>
        <v/>
      </c>
      <c r="I78" s="49">
        <f>IF(B78="","",IFERROR(INDEX('JOBS'!$F$5:$F$1504,MATCH(B78,'JOBS'!$A$5:$A$1504,0)),""))</f>
        <v/>
      </c>
      <c r="J78" s="55">
        <f>IF(C78="","",ROUND(C78*IF(IFERROR(INDEX('SETTINGS'!$K$5:$K$24,MATCH(E78,'SETTINGS'!$J$5:$J$24,0)),"No")="Yes",FeePct,0),2))</f>
        <v/>
      </c>
      <c r="K78" s="51">
        <f>IF(A78="","",DATE(YEAR(A78),MONTH(A78),1))</f>
        <v/>
      </c>
    </row>
    <row r="79">
      <c r="A79" s="47" t="n">
        <v>46126</v>
      </c>
      <c r="B79" s="38" t="inlineStr">
        <is>
          <t>J-0078</t>
        </is>
      </c>
      <c r="C79" s="48" t="n">
        <v>135</v>
      </c>
      <c r="D79" s="48" t="n">
        <v>20</v>
      </c>
      <c r="E79" s="38" t="inlineStr">
        <is>
          <t>Card</t>
        </is>
      </c>
      <c r="F79" s="38" t="inlineStr">
        <is>
          <t>INV-0078</t>
        </is>
      </c>
      <c r="G79" s="38" t="inlineStr"/>
      <c r="H79" s="49">
        <f>IF(B79="","",IFERROR(INDEX('JOBS'!$D$5:$D$1504,MATCH(B79,'JOBS'!$A$5:$A$1504,0)),"Job ID not found"))</f>
        <v/>
      </c>
      <c r="I79" s="49">
        <f>IF(B79="","",IFERROR(INDEX('JOBS'!$F$5:$F$1504,MATCH(B79,'JOBS'!$A$5:$A$1504,0)),""))</f>
        <v/>
      </c>
      <c r="J79" s="55">
        <f>IF(C79="","",ROUND(C79*IF(IFERROR(INDEX('SETTINGS'!$K$5:$K$24,MATCH(E79,'SETTINGS'!$J$5:$J$24,0)),"No")="Yes",FeePct,0),2))</f>
        <v/>
      </c>
      <c r="K79" s="51">
        <f>IF(A79="","",DATE(YEAR(A79),MONTH(A79),1))</f>
        <v/>
      </c>
    </row>
    <row r="80">
      <c r="A80" s="47" t="n">
        <v>46127</v>
      </c>
      <c r="B80" s="38" t="inlineStr">
        <is>
          <t>J-0077</t>
        </is>
      </c>
      <c r="C80" s="48" t="n">
        <v>175</v>
      </c>
      <c r="D80" s="48" t="n">
        <v>10</v>
      </c>
      <c r="E80" s="38" t="inlineStr">
        <is>
          <t>Card</t>
        </is>
      </c>
      <c r="F80" s="38" t="inlineStr">
        <is>
          <t>INV-0077</t>
        </is>
      </c>
      <c r="G80" s="38" t="inlineStr"/>
      <c r="H80" s="49">
        <f>IF(B80="","",IFERROR(INDEX('JOBS'!$D$5:$D$1504,MATCH(B80,'JOBS'!$A$5:$A$1504,0)),"Job ID not found"))</f>
        <v/>
      </c>
      <c r="I80" s="49">
        <f>IF(B80="","",IFERROR(INDEX('JOBS'!$F$5:$F$1504,MATCH(B80,'JOBS'!$A$5:$A$1504,0)),""))</f>
        <v/>
      </c>
      <c r="J80" s="55">
        <f>IF(C80="","",ROUND(C80*IF(IFERROR(INDEX('SETTINGS'!$K$5:$K$24,MATCH(E80,'SETTINGS'!$J$5:$J$24,0)),"No")="Yes",FeePct,0),2))</f>
        <v/>
      </c>
      <c r="K80" s="51">
        <f>IF(A80="","",DATE(YEAR(A80),MONTH(A80),1))</f>
        <v/>
      </c>
    </row>
    <row r="81">
      <c r="A81" s="47" t="n">
        <v>46127</v>
      </c>
      <c r="B81" s="38" t="inlineStr">
        <is>
          <t>J-0080</t>
        </is>
      </c>
      <c r="C81" s="48" t="n">
        <v>220</v>
      </c>
      <c r="D81" s="48" t="n"/>
      <c r="E81" s="38" t="inlineStr">
        <is>
          <t>Check</t>
        </is>
      </c>
      <c r="F81" s="38" t="inlineStr">
        <is>
          <t>INV-0080</t>
        </is>
      </c>
      <c r="G81" s="38" t="inlineStr"/>
      <c r="H81" s="49">
        <f>IF(B81="","",IFERROR(INDEX('JOBS'!$D$5:$D$1504,MATCH(B81,'JOBS'!$A$5:$A$1504,0)),"Job ID not found"))</f>
        <v/>
      </c>
      <c r="I81" s="49">
        <f>IF(B81="","",IFERROR(INDEX('JOBS'!$F$5:$F$1504,MATCH(B81,'JOBS'!$A$5:$A$1504,0)),""))</f>
        <v/>
      </c>
      <c r="J81" s="55">
        <f>IF(C81="","",ROUND(C81*IF(IFERROR(INDEX('SETTINGS'!$K$5:$K$24,MATCH(E81,'SETTINGS'!$J$5:$J$24,0)),"No")="Yes",FeePct,0),2))</f>
        <v/>
      </c>
      <c r="K81" s="51">
        <f>IF(A81="","",DATE(YEAR(A81),MONTH(A81),1))</f>
        <v/>
      </c>
    </row>
    <row r="82">
      <c r="A82" s="47" t="n">
        <v>46128</v>
      </c>
      <c r="B82" s="38" t="inlineStr">
        <is>
          <t>J-0079</t>
        </is>
      </c>
      <c r="C82" s="48" t="n">
        <v>135</v>
      </c>
      <c r="D82" s="48" t="n"/>
      <c r="E82" s="38" t="inlineStr">
        <is>
          <t>Card</t>
        </is>
      </c>
      <c r="F82" s="38" t="inlineStr">
        <is>
          <t>INV-0079</t>
        </is>
      </c>
      <c r="G82" s="38" t="inlineStr"/>
      <c r="H82" s="49">
        <f>IF(B82="","",IFERROR(INDEX('JOBS'!$D$5:$D$1504,MATCH(B82,'JOBS'!$A$5:$A$1504,0)),"Job ID not found"))</f>
        <v/>
      </c>
      <c r="I82" s="49">
        <f>IF(B82="","",IFERROR(INDEX('JOBS'!$F$5:$F$1504,MATCH(B82,'JOBS'!$A$5:$A$1504,0)),""))</f>
        <v/>
      </c>
      <c r="J82" s="55">
        <f>IF(C82="","",ROUND(C82*IF(IFERROR(INDEX('SETTINGS'!$K$5:$K$24,MATCH(E82,'SETTINGS'!$J$5:$J$24,0)),"No")="Yes",FeePct,0),2))</f>
        <v/>
      </c>
      <c r="K82" s="51">
        <f>IF(A82="","",DATE(YEAR(A82),MONTH(A82),1))</f>
        <v/>
      </c>
    </row>
    <row r="83">
      <c r="A83" s="47" t="n">
        <v>46130</v>
      </c>
      <c r="B83" s="38" t="inlineStr">
        <is>
          <t>J-0084</t>
        </is>
      </c>
      <c r="C83" s="48" t="n">
        <v>245</v>
      </c>
      <c r="D83" s="48" t="n">
        <v>10</v>
      </c>
      <c r="E83" s="38" t="inlineStr">
        <is>
          <t>Card</t>
        </is>
      </c>
      <c r="F83" s="38" t="inlineStr">
        <is>
          <t>INV-0084</t>
        </is>
      </c>
      <c r="G83" s="38" t="inlineStr"/>
      <c r="H83" s="49">
        <f>IF(B83="","",IFERROR(INDEX('JOBS'!$D$5:$D$1504,MATCH(B83,'JOBS'!$A$5:$A$1504,0)),"Job ID not found"))</f>
        <v/>
      </c>
      <c r="I83" s="49">
        <f>IF(B83="","",IFERROR(INDEX('JOBS'!$F$5:$F$1504,MATCH(B83,'JOBS'!$A$5:$A$1504,0)),""))</f>
        <v/>
      </c>
      <c r="J83" s="55">
        <f>IF(C83="","",ROUND(C83*IF(IFERROR(INDEX('SETTINGS'!$K$5:$K$24,MATCH(E83,'SETTINGS'!$J$5:$J$24,0)),"No")="Yes",FeePct,0),2))</f>
        <v/>
      </c>
      <c r="K83" s="51">
        <f>IF(A83="","",DATE(YEAR(A83),MONTH(A83),1))</f>
        <v/>
      </c>
    </row>
    <row r="84">
      <c r="A84" s="47" t="n">
        <v>46131</v>
      </c>
      <c r="B84" s="38" t="inlineStr">
        <is>
          <t>J-0082</t>
        </is>
      </c>
      <c r="C84" s="48" t="n">
        <v>100</v>
      </c>
      <c r="D84" s="48" t="n"/>
      <c r="E84" s="38" t="inlineStr">
        <is>
          <t>Online Invoice</t>
        </is>
      </c>
      <c r="F84" s="38" t="inlineStr">
        <is>
          <t>INV-0082</t>
        </is>
      </c>
      <c r="G84" s="38" t="inlineStr"/>
      <c r="H84" s="49">
        <f>IF(B84="","",IFERROR(INDEX('JOBS'!$D$5:$D$1504,MATCH(B84,'JOBS'!$A$5:$A$1504,0)),"Job ID not found"))</f>
        <v/>
      </c>
      <c r="I84" s="49">
        <f>IF(B84="","",IFERROR(INDEX('JOBS'!$F$5:$F$1504,MATCH(B84,'JOBS'!$A$5:$A$1504,0)),""))</f>
        <v/>
      </c>
      <c r="J84" s="55">
        <f>IF(C84="","",ROUND(C84*IF(IFERROR(INDEX('SETTINGS'!$K$5:$K$24,MATCH(E84,'SETTINGS'!$J$5:$J$24,0)),"No")="Yes",FeePct,0),2))</f>
        <v/>
      </c>
      <c r="K84" s="51">
        <f>IF(A84="","",DATE(YEAR(A84),MONTH(A84),1))</f>
        <v/>
      </c>
    </row>
    <row r="85">
      <c r="A85" s="47" t="n">
        <v>46133</v>
      </c>
      <c r="B85" s="38" t="inlineStr">
        <is>
          <t>J-0085</t>
        </is>
      </c>
      <c r="C85" s="48" t="n">
        <v>150</v>
      </c>
      <c r="D85" s="48" t="n"/>
      <c r="E85" s="38" t="inlineStr">
        <is>
          <t>Online Invoice</t>
        </is>
      </c>
      <c r="F85" s="38" t="inlineStr">
        <is>
          <t>INV-0085</t>
        </is>
      </c>
      <c r="G85" s="38" t="inlineStr"/>
      <c r="H85" s="49">
        <f>IF(B85="","",IFERROR(INDEX('JOBS'!$D$5:$D$1504,MATCH(B85,'JOBS'!$A$5:$A$1504,0)),"Job ID not found"))</f>
        <v/>
      </c>
      <c r="I85" s="49">
        <f>IF(B85="","",IFERROR(INDEX('JOBS'!$F$5:$F$1504,MATCH(B85,'JOBS'!$A$5:$A$1504,0)),""))</f>
        <v/>
      </c>
      <c r="J85" s="55">
        <f>IF(C85="","",ROUND(C85*IF(IFERROR(INDEX('SETTINGS'!$K$5:$K$24,MATCH(E85,'SETTINGS'!$J$5:$J$24,0)),"No")="Yes",FeePct,0),2))</f>
        <v/>
      </c>
      <c r="K85" s="51">
        <f>IF(A85="","",DATE(YEAR(A85),MONTH(A85),1))</f>
        <v/>
      </c>
    </row>
    <row r="86">
      <c r="A86" s="47" t="n">
        <v>46133</v>
      </c>
      <c r="B86" s="38" t="inlineStr">
        <is>
          <t>J-0086</t>
        </is>
      </c>
      <c r="C86" s="48" t="n">
        <v>175</v>
      </c>
      <c r="D86" s="48" t="n">
        <v>10</v>
      </c>
      <c r="E86" s="38" t="inlineStr">
        <is>
          <t>Card</t>
        </is>
      </c>
      <c r="F86" s="38" t="inlineStr">
        <is>
          <t>INV-0086</t>
        </is>
      </c>
      <c r="G86" s="38" t="inlineStr"/>
      <c r="H86" s="49">
        <f>IF(B86="","",IFERROR(INDEX('JOBS'!$D$5:$D$1504,MATCH(B86,'JOBS'!$A$5:$A$1504,0)),"Job ID not found"))</f>
        <v/>
      </c>
      <c r="I86" s="49">
        <f>IF(B86="","",IFERROR(INDEX('JOBS'!$F$5:$F$1504,MATCH(B86,'JOBS'!$A$5:$A$1504,0)),""))</f>
        <v/>
      </c>
      <c r="J86" s="55">
        <f>IF(C86="","",ROUND(C86*IF(IFERROR(INDEX('SETTINGS'!$K$5:$K$24,MATCH(E86,'SETTINGS'!$J$5:$J$24,0)),"No")="Yes",FeePct,0),2))</f>
        <v/>
      </c>
      <c r="K86" s="51">
        <f>IF(A86="","",DATE(YEAR(A86),MONTH(A86),1))</f>
        <v/>
      </c>
    </row>
    <row r="87">
      <c r="A87" s="47" t="n">
        <v>46133</v>
      </c>
      <c r="B87" s="38" t="inlineStr">
        <is>
          <t>J-0087</t>
        </is>
      </c>
      <c r="C87" s="48" t="n">
        <v>150</v>
      </c>
      <c r="D87" s="48" t="n"/>
      <c r="E87" s="38" t="inlineStr">
        <is>
          <t>Payment App</t>
        </is>
      </c>
      <c r="F87" s="38" t="inlineStr">
        <is>
          <t>INV-0087</t>
        </is>
      </c>
      <c r="G87" s="38" t="inlineStr"/>
      <c r="H87" s="49">
        <f>IF(B87="","",IFERROR(INDEX('JOBS'!$D$5:$D$1504,MATCH(B87,'JOBS'!$A$5:$A$1504,0)),"Job ID not found"))</f>
        <v/>
      </c>
      <c r="I87" s="49">
        <f>IF(B87="","",IFERROR(INDEX('JOBS'!$F$5:$F$1504,MATCH(B87,'JOBS'!$A$5:$A$1504,0)),""))</f>
        <v/>
      </c>
      <c r="J87" s="55">
        <f>IF(C87="","",ROUND(C87*IF(IFERROR(INDEX('SETTINGS'!$K$5:$K$24,MATCH(E87,'SETTINGS'!$J$5:$J$24,0)),"No")="Yes",FeePct,0),2))</f>
        <v/>
      </c>
      <c r="K87" s="51">
        <f>IF(A87="","",DATE(YEAR(A87),MONTH(A87),1))</f>
        <v/>
      </c>
    </row>
    <row r="88">
      <c r="A88" s="47" t="n">
        <v>46134</v>
      </c>
      <c r="B88" s="38" t="inlineStr">
        <is>
          <t>J-0081</t>
        </is>
      </c>
      <c r="C88" s="48" t="n">
        <v>220</v>
      </c>
      <c r="D88" s="48" t="n"/>
      <c r="E88" s="38" t="inlineStr">
        <is>
          <t>Card</t>
        </is>
      </c>
      <c r="F88" s="38" t="inlineStr">
        <is>
          <t>INV-0081</t>
        </is>
      </c>
      <c r="G88" s="38" t="inlineStr"/>
      <c r="H88" s="49">
        <f>IF(B88="","",IFERROR(INDEX('JOBS'!$D$5:$D$1504,MATCH(B88,'JOBS'!$A$5:$A$1504,0)),"Job ID not found"))</f>
        <v/>
      </c>
      <c r="I88" s="49">
        <f>IF(B88="","",IFERROR(INDEX('JOBS'!$F$5:$F$1504,MATCH(B88,'JOBS'!$A$5:$A$1504,0)),""))</f>
        <v/>
      </c>
      <c r="J88" s="55">
        <f>IF(C88="","",ROUND(C88*IF(IFERROR(INDEX('SETTINGS'!$K$5:$K$24,MATCH(E88,'SETTINGS'!$J$5:$J$24,0)),"No")="Yes",FeePct,0),2))</f>
        <v/>
      </c>
      <c r="K88" s="51">
        <f>IF(A88="","",DATE(YEAR(A88),MONTH(A88),1))</f>
        <v/>
      </c>
    </row>
    <row r="89">
      <c r="A89" s="47" t="n">
        <v>46135</v>
      </c>
      <c r="B89" s="38" t="inlineStr">
        <is>
          <t>J-0088</t>
        </is>
      </c>
      <c r="C89" s="48" t="n">
        <v>150</v>
      </c>
      <c r="D89" s="48" t="n"/>
      <c r="E89" s="38" t="inlineStr">
        <is>
          <t>Cash</t>
        </is>
      </c>
      <c r="F89" s="38" t="inlineStr">
        <is>
          <t>INV-0088</t>
        </is>
      </c>
      <c r="G89" s="38" t="inlineStr"/>
      <c r="H89" s="49">
        <f>IF(B89="","",IFERROR(INDEX('JOBS'!$D$5:$D$1504,MATCH(B89,'JOBS'!$A$5:$A$1504,0)),"Job ID not found"))</f>
        <v/>
      </c>
      <c r="I89" s="49">
        <f>IF(B89="","",IFERROR(INDEX('JOBS'!$F$5:$F$1504,MATCH(B89,'JOBS'!$A$5:$A$1504,0)),""))</f>
        <v/>
      </c>
      <c r="J89" s="55">
        <f>IF(C89="","",ROUND(C89*IF(IFERROR(INDEX('SETTINGS'!$K$5:$K$24,MATCH(E89,'SETTINGS'!$J$5:$J$24,0)),"No")="Yes",FeePct,0),2))</f>
        <v/>
      </c>
      <c r="K89" s="51">
        <f>IF(A89="","",DATE(YEAR(A89),MONTH(A89),1))</f>
        <v/>
      </c>
    </row>
    <row r="90">
      <c r="A90" s="47" t="n">
        <v>46137</v>
      </c>
      <c r="B90" s="38" t="inlineStr">
        <is>
          <t>J-0089</t>
        </is>
      </c>
      <c r="C90" s="48" t="n">
        <v>100</v>
      </c>
      <c r="D90" s="48" t="n"/>
      <c r="E90" s="38" t="inlineStr">
        <is>
          <t>Online Invoice</t>
        </is>
      </c>
      <c r="F90" s="38" t="inlineStr">
        <is>
          <t>INV-0089</t>
        </is>
      </c>
      <c r="G90" s="38" t="inlineStr"/>
      <c r="H90" s="49">
        <f>IF(B90="","",IFERROR(INDEX('JOBS'!$D$5:$D$1504,MATCH(B90,'JOBS'!$A$5:$A$1504,0)),"Job ID not found"))</f>
        <v/>
      </c>
      <c r="I90" s="49">
        <f>IF(B90="","",IFERROR(INDEX('JOBS'!$F$5:$F$1504,MATCH(B90,'JOBS'!$A$5:$A$1504,0)),""))</f>
        <v/>
      </c>
      <c r="J90" s="55">
        <f>IF(C90="","",ROUND(C90*IF(IFERROR(INDEX('SETTINGS'!$K$5:$K$24,MATCH(E90,'SETTINGS'!$J$5:$J$24,0)),"No")="Yes",FeePct,0),2))</f>
        <v/>
      </c>
      <c r="K90" s="51">
        <f>IF(A90="","",DATE(YEAR(A90),MONTH(A90),1))</f>
        <v/>
      </c>
    </row>
    <row r="91">
      <c r="A91" s="47" t="n">
        <v>46137</v>
      </c>
      <c r="B91" s="38" t="inlineStr">
        <is>
          <t>J-0090</t>
        </is>
      </c>
      <c r="C91" s="48" t="n">
        <v>140</v>
      </c>
      <c r="D91" s="48" t="n"/>
      <c r="E91" s="38" t="inlineStr">
        <is>
          <t>Online Invoice</t>
        </is>
      </c>
      <c r="F91" s="38" t="inlineStr">
        <is>
          <t>INV-0090</t>
        </is>
      </c>
      <c r="G91" s="38" t="inlineStr"/>
      <c r="H91" s="49">
        <f>IF(B91="","",IFERROR(INDEX('JOBS'!$D$5:$D$1504,MATCH(B91,'JOBS'!$A$5:$A$1504,0)),"Job ID not found"))</f>
        <v/>
      </c>
      <c r="I91" s="49">
        <f>IF(B91="","",IFERROR(INDEX('JOBS'!$F$5:$F$1504,MATCH(B91,'JOBS'!$A$5:$A$1504,0)),""))</f>
        <v/>
      </c>
      <c r="J91" s="55">
        <f>IF(C91="","",ROUND(C91*IF(IFERROR(INDEX('SETTINGS'!$K$5:$K$24,MATCH(E91,'SETTINGS'!$J$5:$J$24,0)),"No")="Yes",FeePct,0),2))</f>
        <v/>
      </c>
      <c r="K91" s="51">
        <f>IF(A91="","",DATE(YEAR(A91),MONTH(A91),1))</f>
        <v/>
      </c>
    </row>
    <row r="92">
      <c r="A92" s="47" t="n">
        <v>46138</v>
      </c>
      <c r="B92" s="38" t="inlineStr">
        <is>
          <t>J-0092</t>
        </is>
      </c>
      <c r="C92" s="48" t="n">
        <v>135</v>
      </c>
      <c r="D92" s="48" t="n"/>
      <c r="E92" s="38" t="inlineStr">
        <is>
          <t>Card</t>
        </is>
      </c>
      <c r="F92" s="38" t="inlineStr">
        <is>
          <t>INV-0092</t>
        </is>
      </c>
      <c r="G92" s="38" t="inlineStr"/>
      <c r="H92" s="49">
        <f>IF(B92="","",IFERROR(INDEX('JOBS'!$D$5:$D$1504,MATCH(B92,'JOBS'!$A$5:$A$1504,0)),"Job ID not found"))</f>
        <v/>
      </c>
      <c r="I92" s="49">
        <f>IF(B92="","",IFERROR(INDEX('JOBS'!$F$5:$F$1504,MATCH(B92,'JOBS'!$A$5:$A$1504,0)),""))</f>
        <v/>
      </c>
      <c r="J92" s="55">
        <f>IF(C92="","",ROUND(C92*IF(IFERROR(INDEX('SETTINGS'!$K$5:$K$24,MATCH(E92,'SETTINGS'!$J$5:$J$24,0)),"No")="Yes",FeePct,0),2))</f>
        <v/>
      </c>
      <c r="K92" s="51">
        <f>IF(A92="","",DATE(YEAR(A92),MONTH(A92),1))</f>
        <v/>
      </c>
    </row>
    <row r="93">
      <c r="A93" s="47" t="n">
        <v>46139</v>
      </c>
      <c r="B93" s="38" t="inlineStr">
        <is>
          <t>J-0091</t>
        </is>
      </c>
      <c r="C93" s="48" t="n">
        <v>110</v>
      </c>
      <c r="D93" s="48" t="n">
        <v>20</v>
      </c>
      <c r="E93" s="38" t="inlineStr">
        <is>
          <t>Card</t>
        </is>
      </c>
      <c r="F93" s="38" t="inlineStr">
        <is>
          <t>INV-0091</t>
        </is>
      </c>
      <c r="G93" s="38" t="inlineStr"/>
      <c r="H93" s="49">
        <f>IF(B93="","",IFERROR(INDEX('JOBS'!$D$5:$D$1504,MATCH(B93,'JOBS'!$A$5:$A$1504,0)),"Job ID not found"))</f>
        <v/>
      </c>
      <c r="I93" s="49">
        <f>IF(B93="","",IFERROR(INDEX('JOBS'!$F$5:$F$1504,MATCH(B93,'JOBS'!$A$5:$A$1504,0)),""))</f>
        <v/>
      </c>
      <c r="J93" s="55">
        <f>IF(C93="","",ROUND(C93*IF(IFERROR(INDEX('SETTINGS'!$K$5:$K$24,MATCH(E93,'SETTINGS'!$J$5:$J$24,0)),"No")="Yes",FeePct,0),2))</f>
        <v/>
      </c>
      <c r="K93" s="51">
        <f>IF(A93="","",DATE(YEAR(A93),MONTH(A93),1))</f>
        <v/>
      </c>
    </row>
    <row r="94">
      <c r="A94" s="47" t="n">
        <v>46139</v>
      </c>
      <c r="B94" s="38" t="inlineStr">
        <is>
          <t>J-0093</t>
        </is>
      </c>
      <c r="C94" s="48" t="n">
        <v>320</v>
      </c>
      <c r="D94" s="48" t="n"/>
      <c r="E94" s="38" t="inlineStr">
        <is>
          <t>Cash</t>
        </is>
      </c>
      <c r="F94" s="38" t="inlineStr">
        <is>
          <t>INV-0093</t>
        </is>
      </c>
      <c r="G94" s="38" t="inlineStr"/>
      <c r="H94" s="49">
        <f>IF(B94="","",IFERROR(INDEX('JOBS'!$D$5:$D$1504,MATCH(B94,'JOBS'!$A$5:$A$1504,0)),"Job ID not found"))</f>
        <v/>
      </c>
      <c r="I94" s="49">
        <f>IF(B94="","",IFERROR(INDEX('JOBS'!$F$5:$F$1504,MATCH(B94,'JOBS'!$A$5:$A$1504,0)),""))</f>
        <v/>
      </c>
      <c r="J94" s="55">
        <f>IF(C94="","",ROUND(C94*IF(IFERROR(INDEX('SETTINGS'!$K$5:$K$24,MATCH(E94,'SETTINGS'!$J$5:$J$24,0)),"No")="Yes",FeePct,0),2))</f>
        <v/>
      </c>
      <c r="K94" s="51">
        <f>IF(A94="","",DATE(YEAR(A94),MONTH(A94),1))</f>
        <v/>
      </c>
    </row>
    <row r="95">
      <c r="A95" s="47" t="n">
        <v>46140</v>
      </c>
      <c r="B95" s="38" t="inlineStr">
        <is>
          <t>J-0094</t>
        </is>
      </c>
      <c r="C95" s="48" t="n">
        <v>145</v>
      </c>
      <c r="D95" s="48" t="n"/>
      <c r="E95" s="38" t="inlineStr">
        <is>
          <t>Card</t>
        </is>
      </c>
      <c r="F95" s="38" t="inlineStr">
        <is>
          <t>INV-0094</t>
        </is>
      </c>
      <c r="G95" s="38" t="inlineStr"/>
      <c r="H95" s="49">
        <f>IF(B95="","",IFERROR(INDEX('JOBS'!$D$5:$D$1504,MATCH(B95,'JOBS'!$A$5:$A$1504,0)),"Job ID not found"))</f>
        <v/>
      </c>
      <c r="I95" s="49">
        <f>IF(B95="","",IFERROR(INDEX('JOBS'!$F$5:$F$1504,MATCH(B95,'JOBS'!$A$5:$A$1504,0)),""))</f>
        <v/>
      </c>
      <c r="J95" s="55">
        <f>IF(C95="","",ROUND(C95*IF(IFERROR(INDEX('SETTINGS'!$K$5:$K$24,MATCH(E95,'SETTINGS'!$J$5:$J$24,0)),"No")="Yes",FeePct,0),2))</f>
        <v/>
      </c>
      <c r="K95" s="51">
        <f>IF(A95="","",DATE(YEAR(A95),MONTH(A95),1))</f>
        <v/>
      </c>
    </row>
    <row r="96">
      <c r="A96" s="47" t="n">
        <v>46140</v>
      </c>
      <c r="B96" s="38" t="inlineStr">
        <is>
          <t>J-0096</t>
        </is>
      </c>
      <c r="C96" s="48" t="n">
        <v>135</v>
      </c>
      <c r="D96" s="48" t="n"/>
      <c r="E96" s="38" t="inlineStr">
        <is>
          <t>Payment App</t>
        </is>
      </c>
      <c r="F96" s="38" t="inlineStr">
        <is>
          <t>INV-0096</t>
        </is>
      </c>
      <c r="G96" s="38" t="inlineStr"/>
      <c r="H96" s="49">
        <f>IF(B96="","",IFERROR(INDEX('JOBS'!$D$5:$D$1504,MATCH(B96,'JOBS'!$A$5:$A$1504,0)),"Job ID not found"))</f>
        <v/>
      </c>
      <c r="I96" s="49">
        <f>IF(B96="","",IFERROR(INDEX('JOBS'!$F$5:$F$1504,MATCH(B96,'JOBS'!$A$5:$A$1504,0)),""))</f>
        <v/>
      </c>
      <c r="J96" s="55">
        <f>IF(C96="","",ROUND(C96*IF(IFERROR(INDEX('SETTINGS'!$K$5:$K$24,MATCH(E96,'SETTINGS'!$J$5:$J$24,0)),"No")="Yes",FeePct,0),2))</f>
        <v/>
      </c>
      <c r="K96" s="51">
        <f>IF(A96="","",DATE(YEAR(A96),MONTH(A96),1))</f>
        <v/>
      </c>
    </row>
    <row r="97">
      <c r="A97" s="47" t="n">
        <v>46140</v>
      </c>
      <c r="B97" s="38" t="inlineStr">
        <is>
          <t>J-0097</t>
        </is>
      </c>
      <c r="C97" s="48" t="n">
        <v>150</v>
      </c>
      <c r="D97" s="48" t="n"/>
      <c r="E97" s="38" t="inlineStr">
        <is>
          <t>Online Invoice</t>
        </is>
      </c>
      <c r="F97" s="38" t="inlineStr">
        <is>
          <t>INV-0097</t>
        </is>
      </c>
      <c r="G97" s="38" t="inlineStr"/>
      <c r="H97" s="49">
        <f>IF(B97="","",IFERROR(INDEX('JOBS'!$D$5:$D$1504,MATCH(B97,'JOBS'!$A$5:$A$1504,0)),"Job ID not found"))</f>
        <v/>
      </c>
      <c r="I97" s="49">
        <f>IF(B97="","",IFERROR(INDEX('JOBS'!$F$5:$F$1504,MATCH(B97,'JOBS'!$A$5:$A$1504,0)),""))</f>
        <v/>
      </c>
      <c r="J97" s="55">
        <f>IF(C97="","",ROUND(C97*IF(IFERROR(INDEX('SETTINGS'!$K$5:$K$24,MATCH(E97,'SETTINGS'!$J$5:$J$24,0)),"No")="Yes",FeePct,0),2))</f>
        <v/>
      </c>
      <c r="K97" s="51">
        <f>IF(A97="","",DATE(YEAR(A97),MONTH(A97),1))</f>
        <v/>
      </c>
    </row>
    <row r="98">
      <c r="A98" s="47" t="n">
        <v>46141</v>
      </c>
      <c r="B98" s="38" t="inlineStr">
        <is>
          <t>J-0098</t>
        </is>
      </c>
      <c r="C98" s="48" t="n">
        <v>220</v>
      </c>
      <c r="D98" s="48" t="n"/>
      <c r="E98" s="38" t="inlineStr">
        <is>
          <t>Card</t>
        </is>
      </c>
      <c r="F98" s="38" t="inlineStr">
        <is>
          <t>INV-0098</t>
        </is>
      </c>
      <c r="G98" s="38" t="inlineStr"/>
      <c r="H98" s="49">
        <f>IF(B98="","",IFERROR(INDEX('JOBS'!$D$5:$D$1504,MATCH(B98,'JOBS'!$A$5:$A$1504,0)),"Job ID not found"))</f>
        <v/>
      </c>
      <c r="I98" s="49">
        <f>IF(B98="","",IFERROR(INDEX('JOBS'!$F$5:$F$1504,MATCH(B98,'JOBS'!$A$5:$A$1504,0)),""))</f>
        <v/>
      </c>
      <c r="J98" s="55">
        <f>IF(C98="","",ROUND(C98*IF(IFERROR(INDEX('SETTINGS'!$K$5:$K$24,MATCH(E98,'SETTINGS'!$J$5:$J$24,0)),"No")="Yes",FeePct,0),2))</f>
        <v/>
      </c>
      <c r="K98" s="51">
        <f>IF(A98="","",DATE(YEAR(A98),MONTH(A98),1))</f>
        <v/>
      </c>
    </row>
    <row r="99">
      <c r="A99" s="47" t="n">
        <v>46143</v>
      </c>
      <c r="B99" s="38" t="inlineStr">
        <is>
          <t>J-0101</t>
        </is>
      </c>
      <c r="C99" s="48" t="n">
        <v>100</v>
      </c>
      <c r="D99" s="48" t="n"/>
      <c r="E99" s="38" t="inlineStr">
        <is>
          <t>Online Invoice</t>
        </is>
      </c>
      <c r="F99" s="38" t="inlineStr">
        <is>
          <t>INV-0101</t>
        </is>
      </c>
      <c r="G99" s="38" t="inlineStr"/>
      <c r="H99" s="49">
        <f>IF(B99="","",IFERROR(INDEX('JOBS'!$D$5:$D$1504,MATCH(B99,'JOBS'!$A$5:$A$1504,0)),"Job ID not found"))</f>
        <v/>
      </c>
      <c r="I99" s="49">
        <f>IF(B99="","",IFERROR(INDEX('JOBS'!$F$5:$F$1504,MATCH(B99,'JOBS'!$A$5:$A$1504,0)),""))</f>
        <v/>
      </c>
      <c r="J99" s="55">
        <f>IF(C99="","",ROUND(C99*IF(IFERROR(INDEX('SETTINGS'!$K$5:$K$24,MATCH(E99,'SETTINGS'!$J$5:$J$24,0)),"No")="Yes",FeePct,0),2))</f>
        <v/>
      </c>
      <c r="K99" s="51">
        <f>IF(A99="","",DATE(YEAR(A99),MONTH(A99),1))</f>
        <v/>
      </c>
    </row>
    <row r="100">
      <c r="A100" s="47" t="n">
        <v>46143</v>
      </c>
      <c r="B100" s="38" t="inlineStr">
        <is>
          <t>J-0102</t>
        </is>
      </c>
      <c r="C100" s="48" t="n">
        <v>140</v>
      </c>
      <c r="D100" s="48" t="n"/>
      <c r="E100" s="38" t="inlineStr">
        <is>
          <t>Online Invoice</t>
        </is>
      </c>
      <c r="F100" s="38" t="inlineStr">
        <is>
          <t>INV-0102</t>
        </is>
      </c>
      <c r="G100" s="38" t="inlineStr"/>
      <c r="H100" s="49">
        <f>IF(B100="","",IFERROR(INDEX('JOBS'!$D$5:$D$1504,MATCH(B100,'JOBS'!$A$5:$A$1504,0)),"Job ID not found"))</f>
        <v/>
      </c>
      <c r="I100" s="49">
        <f>IF(B100="","",IFERROR(INDEX('JOBS'!$F$5:$F$1504,MATCH(B100,'JOBS'!$A$5:$A$1504,0)),""))</f>
        <v/>
      </c>
      <c r="J100" s="55">
        <f>IF(C100="","",ROUND(C100*IF(IFERROR(INDEX('SETTINGS'!$K$5:$K$24,MATCH(E100,'SETTINGS'!$J$5:$J$24,0)),"No")="Yes",FeePct,0),2))</f>
        <v/>
      </c>
      <c r="K100" s="51">
        <f>IF(A100="","",DATE(YEAR(A100),MONTH(A100),1))</f>
        <v/>
      </c>
    </row>
    <row r="101">
      <c r="A101" s="47" t="n">
        <v>46144</v>
      </c>
      <c r="B101" s="38" t="inlineStr">
        <is>
          <t>J-0099</t>
        </is>
      </c>
      <c r="C101" s="48" t="n">
        <v>220</v>
      </c>
      <c r="D101" s="48" t="n"/>
      <c r="E101" s="38" t="inlineStr">
        <is>
          <t>Card</t>
        </is>
      </c>
      <c r="F101" s="38" t="inlineStr">
        <is>
          <t>INV-0099</t>
        </is>
      </c>
      <c r="G101" s="38" t="inlineStr"/>
      <c r="H101" s="49">
        <f>IF(B101="","",IFERROR(INDEX('JOBS'!$D$5:$D$1504,MATCH(B101,'JOBS'!$A$5:$A$1504,0)),"Job ID not found"))</f>
        <v/>
      </c>
      <c r="I101" s="49">
        <f>IF(B101="","",IFERROR(INDEX('JOBS'!$F$5:$F$1504,MATCH(B101,'JOBS'!$A$5:$A$1504,0)),""))</f>
        <v/>
      </c>
      <c r="J101" s="55">
        <f>IF(C101="","",ROUND(C101*IF(IFERROR(INDEX('SETTINGS'!$K$5:$K$24,MATCH(E101,'SETTINGS'!$J$5:$J$24,0)),"No")="Yes",FeePct,0),2))</f>
        <v/>
      </c>
      <c r="K101" s="51">
        <f>IF(A101="","",DATE(YEAR(A101),MONTH(A101),1))</f>
        <v/>
      </c>
    </row>
    <row r="102">
      <c r="A102" s="47" t="n">
        <v>46144</v>
      </c>
      <c r="B102" s="38" t="inlineStr">
        <is>
          <t>J-0100</t>
        </is>
      </c>
      <c r="C102" s="48" t="n">
        <v>150</v>
      </c>
      <c r="D102" s="48" t="n">
        <v>10</v>
      </c>
      <c r="E102" s="38" t="inlineStr">
        <is>
          <t>Card</t>
        </is>
      </c>
      <c r="F102" s="38" t="inlineStr">
        <is>
          <t>INV-0100</t>
        </is>
      </c>
      <c r="G102" s="38" t="inlineStr"/>
      <c r="H102" s="49">
        <f>IF(B102="","",IFERROR(INDEX('JOBS'!$D$5:$D$1504,MATCH(B102,'JOBS'!$A$5:$A$1504,0)),"Job ID not found"))</f>
        <v/>
      </c>
      <c r="I102" s="49">
        <f>IF(B102="","",IFERROR(INDEX('JOBS'!$F$5:$F$1504,MATCH(B102,'JOBS'!$A$5:$A$1504,0)),""))</f>
        <v/>
      </c>
      <c r="J102" s="55">
        <f>IF(C102="","",ROUND(C102*IF(IFERROR(INDEX('SETTINGS'!$K$5:$K$24,MATCH(E102,'SETTINGS'!$J$5:$J$24,0)),"No")="Yes",FeePct,0),2))</f>
        <v/>
      </c>
      <c r="K102" s="51">
        <f>IF(A102="","",DATE(YEAR(A102),MONTH(A102),1))</f>
        <v/>
      </c>
    </row>
    <row r="103">
      <c r="A103" s="47" t="n">
        <v>46144</v>
      </c>
      <c r="B103" s="38" t="inlineStr">
        <is>
          <t>J-0103</t>
        </is>
      </c>
      <c r="C103" s="48" t="n">
        <v>245</v>
      </c>
      <c r="D103" s="48" t="n"/>
      <c r="E103" s="38" t="inlineStr">
        <is>
          <t>Online Invoice</t>
        </is>
      </c>
      <c r="F103" s="38" t="inlineStr">
        <is>
          <t>INV-0103</t>
        </is>
      </c>
      <c r="G103" s="38" t="inlineStr"/>
      <c r="H103" s="49">
        <f>IF(B103="","",IFERROR(INDEX('JOBS'!$D$5:$D$1504,MATCH(B103,'JOBS'!$A$5:$A$1504,0)),"Job ID not found"))</f>
        <v/>
      </c>
      <c r="I103" s="49">
        <f>IF(B103="","",IFERROR(INDEX('JOBS'!$F$5:$F$1504,MATCH(B103,'JOBS'!$A$5:$A$1504,0)),""))</f>
        <v/>
      </c>
      <c r="J103" s="55">
        <f>IF(C103="","",ROUND(C103*IF(IFERROR(INDEX('SETTINGS'!$K$5:$K$24,MATCH(E103,'SETTINGS'!$J$5:$J$24,0)),"No")="Yes",FeePct,0),2))</f>
        <v/>
      </c>
      <c r="K103" s="51">
        <f>IF(A103="","",DATE(YEAR(A103),MONTH(A103),1))</f>
        <v/>
      </c>
    </row>
    <row r="104">
      <c r="A104" s="47" t="n">
        <v>46145</v>
      </c>
      <c r="B104" s="38" t="inlineStr">
        <is>
          <t>J-0095</t>
        </is>
      </c>
      <c r="C104" s="48" t="n">
        <v>175</v>
      </c>
      <c r="D104" s="48" t="n"/>
      <c r="E104" s="38" t="inlineStr">
        <is>
          <t>Card</t>
        </is>
      </c>
      <c r="F104" s="38" t="inlineStr">
        <is>
          <t>INV-0095</t>
        </is>
      </c>
      <c r="G104" s="38" t="inlineStr"/>
      <c r="H104" s="49">
        <f>IF(B104="","",IFERROR(INDEX('JOBS'!$D$5:$D$1504,MATCH(B104,'JOBS'!$A$5:$A$1504,0)),"Job ID not found"))</f>
        <v/>
      </c>
      <c r="I104" s="49">
        <f>IF(B104="","",IFERROR(INDEX('JOBS'!$F$5:$F$1504,MATCH(B104,'JOBS'!$A$5:$A$1504,0)),""))</f>
        <v/>
      </c>
      <c r="J104" s="55">
        <f>IF(C104="","",ROUND(C104*IF(IFERROR(INDEX('SETTINGS'!$K$5:$K$24,MATCH(E104,'SETTINGS'!$J$5:$J$24,0)),"No")="Yes",FeePct,0),2))</f>
        <v/>
      </c>
      <c r="K104" s="51">
        <f>IF(A104="","",DATE(YEAR(A104),MONTH(A104),1))</f>
        <v/>
      </c>
    </row>
    <row r="105">
      <c r="A105" s="47" t="n">
        <v>46147</v>
      </c>
      <c r="B105" s="38" t="inlineStr">
        <is>
          <t>J-0104</t>
        </is>
      </c>
      <c r="C105" s="48" t="n">
        <v>175</v>
      </c>
      <c r="D105" s="48" t="n"/>
      <c r="E105" s="38" t="inlineStr">
        <is>
          <t>Online Invoice</t>
        </is>
      </c>
      <c r="F105" s="38" t="inlineStr">
        <is>
          <t>INV-0104</t>
        </is>
      </c>
      <c r="G105" s="38" t="inlineStr"/>
      <c r="H105" s="49">
        <f>IF(B105="","",IFERROR(INDEX('JOBS'!$D$5:$D$1504,MATCH(B105,'JOBS'!$A$5:$A$1504,0)),"Job ID not found"))</f>
        <v/>
      </c>
      <c r="I105" s="49">
        <f>IF(B105="","",IFERROR(INDEX('JOBS'!$F$5:$F$1504,MATCH(B105,'JOBS'!$A$5:$A$1504,0)),""))</f>
        <v/>
      </c>
      <c r="J105" s="55">
        <f>IF(C105="","",ROUND(C105*IF(IFERROR(INDEX('SETTINGS'!$K$5:$K$24,MATCH(E105,'SETTINGS'!$J$5:$J$24,0)),"No")="Yes",FeePct,0),2))</f>
        <v/>
      </c>
      <c r="K105" s="51">
        <f>IF(A105="","",DATE(YEAR(A105),MONTH(A105),1))</f>
        <v/>
      </c>
    </row>
    <row r="106">
      <c r="A106" s="47" t="n">
        <v>46150</v>
      </c>
      <c r="B106" s="38" t="inlineStr">
        <is>
          <t>J-0105</t>
        </is>
      </c>
      <c r="C106" s="48" t="n">
        <v>195</v>
      </c>
      <c r="D106" s="48" t="n"/>
      <c r="E106" s="38" t="inlineStr">
        <is>
          <t>Payment App</t>
        </is>
      </c>
      <c r="F106" s="38" t="inlineStr">
        <is>
          <t>INV-0105</t>
        </is>
      </c>
      <c r="G106" s="38" t="inlineStr"/>
      <c r="H106" s="49">
        <f>IF(B106="","",IFERROR(INDEX('JOBS'!$D$5:$D$1504,MATCH(B106,'JOBS'!$A$5:$A$1504,0)),"Job ID not found"))</f>
        <v/>
      </c>
      <c r="I106" s="49">
        <f>IF(B106="","",IFERROR(INDEX('JOBS'!$F$5:$F$1504,MATCH(B106,'JOBS'!$A$5:$A$1504,0)),""))</f>
        <v/>
      </c>
      <c r="J106" s="55">
        <f>IF(C106="","",ROUND(C106*IF(IFERROR(INDEX('SETTINGS'!$K$5:$K$24,MATCH(E106,'SETTINGS'!$J$5:$J$24,0)),"No")="Yes",FeePct,0),2))</f>
        <v/>
      </c>
      <c r="K106" s="51">
        <f>IF(A106="","",DATE(YEAR(A106),MONTH(A106),1))</f>
        <v/>
      </c>
    </row>
    <row r="107">
      <c r="A107" s="47" t="n">
        <v>46150</v>
      </c>
      <c r="B107" s="38" t="inlineStr">
        <is>
          <t>J-0106</t>
        </is>
      </c>
      <c r="C107" s="48" t="n">
        <v>100</v>
      </c>
      <c r="D107" s="48" t="n">
        <v>10</v>
      </c>
      <c r="E107" s="38" t="inlineStr">
        <is>
          <t>Online Invoice</t>
        </is>
      </c>
      <c r="F107" s="38" t="inlineStr">
        <is>
          <t>INV-0106</t>
        </is>
      </c>
      <c r="G107" s="38" t="inlineStr"/>
      <c r="H107" s="49">
        <f>IF(B107="","",IFERROR(INDEX('JOBS'!$D$5:$D$1504,MATCH(B107,'JOBS'!$A$5:$A$1504,0)),"Job ID not found"))</f>
        <v/>
      </c>
      <c r="I107" s="49">
        <f>IF(B107="","",IFERROR(INDEX('JOBS'!$F$5:$F$1504,MATCH(B107,'JOBS'!$A$5:$A$1504,0)),""))</f>
        <v/>
      </c>
      <c r="J107" s="55">
        <f>IF(C107="","",ROUND(C107*IF(IFERROR(INDEX('SETTINGS'!$K$5:$K$24,MATCH(E107,'SETTINGS'!$J$5:$J$24,0)),"No")="Yes",FeePct,0),2))</f>
        <v/>
      </c>
      <c r="K107" s="51">
        <f>IF(A107="","",DATE(YEAR(A107),MONTH(A107),1))</f>
        <v/>
      </c>
    </row>
    <row r="108">
      <c r="A108" s="47" t="n">
        <v>46150</v>
      </c>
      <c r="B108" s="38" t="inlineStr">
        <is>
          <t>J-0107</t>
        </is>
      </c>
      <c r="C108" s="48" t="n">
        <v>140</v>
      </c>
      <c r="D108" s="48" t="n"/>
      <c r="E108" s="38" t="inlineStr">
        <is>
          <t>Online Invoice</t>
        </is>
      </c>
      <c r="F108" s="38" t="inlineStr">
        <is>
          <t>INV-0107</t>
        </is>
      </c>
      <c r="G108" s="38" t="inlineStr"/>
      <c r="H108" s="49">
        <f>IF(B108="","",IFERROR(INDEX('JOBS'!$D$5:$D$1504,MATCH(B108,'JOBS'!$A$5:$A$1504,0)),"Job ID not found"))</f>
        <v/>
      </c>
      <c r="I108" s="49">
        <f>IF(B108="","",IFERROR(INDEX('JOBS'!$F$5:$F$1504,MATCH(B108,'JOBS'!$A$5:$A$1504,0)),""))</f>
        <v/>
      </c>
      <c r="J108" s="55">
        <f>IF(C108="","",ROUND(C108*IF(IFERROR(INDEX('SETTINGS'!$K$5:$K$24,MATCH(E108,'SETTINGS'!$J$5:$J$24,0)),"No")="Yes",FeePct,0),2))</f>
        <v/>
      </c>
      <c r="K108" s="51">
        <f>IF(A108="","",DATE(YEAR(A108),MONTH(A108),1))</f>
        <v/>
      </c>
    </row>
    <row r="109">
      <c r="A109" s="47" t="n">
        <v>46151</v>
      </c>
      <c r="B109" s="38" t="inlineStr">
        <is>
          <t>J-0108</t>
        </is>
      </c>
      <c r="C109" s="48" t="n">
        <v>160</v>
      </c>
      <c r="D109" s="48" t="n"/>
      <c r="E109" s="38" t="inlineStr">
        <is>
          <t>Online Invoice</t>
        </is>
      </c>
      <c r="F109" s="38" t="inlineStr">
        <is>
          <t>INV-0108</t>
        </is>
      </c>
      <c r="G109" s="38" t="inlineStr"/>
      <c r="H109" s="49">
        <f>IF(B109="","",IFERROR(INDEX('JOBS'!$D$5:$D$1504,MATCH(B109,'JOBS'!$A$5:$A$1504,0)),"Job ID not found"))</f>
        <v/>
      </c>
      <c r="I109" s="49">
        <f>IF(B109="","",IFERROR(INDEX('JOBS'!$F$5:$F$1504,MATCH(B109,'JOBS'!$A$5:$A$1504,0)),""))</f>
        <v/>
      </c>
      <c r="J109" s="55">
        <f>IF(C109="","",ROUND(C109*IF(IFERROR(INDEX('SETTINGS'!$K$5:$K$24,MATCH(E109,'SETTINGS'!$J$5:$J$24,0)),"No")="Yes",FeePct,0),2))</f>
        <v/>
      </c>
      <c r="K109" s="51">
        <f>IF(A109="","",DATE(YEAR(A109),MONTH(A109),1))</f>
        <v/>
      </c>
    </row>
    <row r="110">
      <c r="A110" s="47" t="n">
        <v>46151</v>
      </c>
      <c r="B110" s="38" t="inlineStr">
        <is>
          <t>J-0109</t>
        </is>
      </c>
      <c r="C110" s="48" t="n">
        <v>110</v>
      </c>
      <c r="D110" s="48" t="n"/>
      <c r="E110" s="38" t="inlineStr">
        <is>
          <t>Cash</t>
        </is>
      </c>
      <c r="F110" s="38" t="inlineStr">
        <is>
          <t>INV-0109</t>
        </is>
      </c>
      <c r="G110" s="38" t="inlineStr"/>
      <c r="H110" s="49">
        <f>IF(B110="","",IFERROR(INDEX('JOBS'!$D$5:$D$1504,MATCH(B110,'JOBS'!$A$5:$A$1504,0)),"Job ID not found"))</f>
        <v/>
      </c>
      <c r="I110" s="49">
        <f>IF(B110="","",IFERROR(INDEX('JOBS'!$F$5:$F$1504,MATCH(B110,'JOBS'!$A$5:$A$1504,0)),""))</f>
        <v/>
      </c>
      <c r="J110" s="55">
        <f>IF(C110="","",ROUND(C110*IF(IFERROR(INDEX('SETTINGS'!$K$5:$K$24,MATCH(E110,'SETTINGS'!$J$5:$J$24,0)),"No")="Yes",FeePct,0),2))</f>
        <v/>
      </c>
      <c r="K110" s="51">
        <f>IF(A110="","",DATE(YEAR(A110),MONTH(A110),1))</f>
        <v/>
      </c>
    </row>
    <row r="111">
      <c r="A111" s="47" t="n">
        <v>46156</v>
      </c>
      <c r="B111" s="38" t="inlineStr">
        <is>
          <t>J-0110</t>
        </is>
      </c>
      <c r="C111" s="48" t="n">
        <v>175</v>
      </c>
      <c r="D111" s="48" t="n"/>
      <c r="E111" s="38" t="inlineStr">
        <is>
          <t>Check</t>
        </is>
      </c>
      <c r="F111" s="38" t="inlineStr">
        <is>
          <t>INV-0110</t>
        </is>
      </c>
      <c r="G111" s="38" t="inlineStr"/>
      <c r="H111" s="49">
        <f>IF(B111="","",IFERROR(INDEX('JOBS'!$D$5:$D$1504,MATCH(B111,'JOBS'!$A$5:$A$1504,0)),"Job ID not found"))</f>
        <v/>
      </c>
      <c r="I111" s="49">
        <f>IF(B111="","",IFERROR(INDEX('JOBS'!$F$5:$F$1504,MATCH(B111,'JOBS'!$A$5:$A$1504,0)),""))</f>
        <v/>
      </c>
      <c r="J111" s="55">
        <f>IF(C111="","",ROUND(C111*IF(IFERROR(INDEX('SETTINGS'!$K$5:$K$24,MATCH(E111,'SETTINGS'!$J$5:$J$24,0)),"No")="Yes",FeePct,0),2))</f>
        <v/>
      </c>
      <c r="K111" s="51">
        <f>IF(A111="","",DATE(YEAR(A111),MONTH(A111),1))</f>
        <v/>
      </c>
    </row>
    <row r="112">
      <c r="A112" s="47" t="n">
        <v>46156</v>
      </c>
      <c r="B112" s="38" t="inlineStr">
        <is>
          <t>J-0112</t>
        </is>
      </c>
      <c r="C112" s="48" t="n">
        <v>220</v>
      </c>
      <c r="D112" s="48" t="n">
        <v>10</v>
      </c>
      <c r="E112" s="38" t="inlineStr">
        <is>
          <t>Cash</t>
        </is>
      </c>
      <c r="F112" s="38" t="inlineStr">
        <is>
          <t>INV-0112</t>
        </is>
      </c>
      <c r="G112" s="38" t="inlineStr"/>
      <c r="H112" s="49">
        <f>IF(B112="","",IFERROR(INDEX('JOBS'!$D$5:$D$1504,MATCH(B112,'JOBS'!$A$5:$A$1504,0)),"Job ID not found"))</f>
        <v/>
      </c>
      <c r="I112" s="49">
        <f>IF(B112="","",IFERROR(INDEX('JOBS'!$F$5:$F$1504,MATCH(B112,'JOBS'!$A$5:$A$1504,0)),""))</f>
        <v/>
      </c>
      <c r="J112" s="55">
        <f>IF(C112="","",ROUND(C112*IF(IFERROR(INDEX('SETTINGS'!$K$5:$K$24,MATCH(E112,'SETTINGS'!$J$5:$J$24,0)),"No")="Yes",FeePct,0),2))</f>
        <v/>
      </c>
      <c r="K112" s="51">
        <f>IF(A112="","",DATE(YEAR(A112),MONTH(A112),1))</f>
        <v/>
      </c>
    </row>
    <row r="113">
      <c r="A113" s="47" t="n">
        <v>46156</v>
      </c>
      <c r="B113" s="38" t="inlineStr">
        <is>
          <t>J-0114</t>
        </is>
      </c>
      <c r="C113" s="48" t="n">
        <v>650</v>
      </c>
      <c r="D113" s="48" t="n"/>
      <c r="E113" s="38" t="inlineStr">
        <is>
          <t>Online Invoice</t>
        </is>
      </c>
      <c r="F113" s="38" t="inlineStr">
        <is>
          <t>INV-0114</t>
        </is>
      </c>
      <c r="G113" s="38" t="inlineStr"/>
      <c r="H113" s="49">
        <f>IF(B113="","",IFERROR(INDEX('JOBS'!$D$5:$D$1504,MATCH(B113,'JOBS'!$A$5:$A$1504,0)),"Job ID not found"))</f>
        <v/>
      </c>
      <c r="I113" s="49">
        <f>IF(B113="","",IFERROR(INDEX('JOBS'!$F$5:$F$1504,MATCH(B113,'JOBS'!$A$5:$A$1504,0)),""))</f>
        <v/>
      </c>
      <c r="J113" s="55">
        <f>IF(C113="","",ROUND(C113*IF(IFERROR(INDEX('SETTINGS'!$K$5:$K$24,MATCH(E113,'SETTINGS'!$J$5:$J$24,0)),"No")="Yes",FeePct,0),2))</f>
        <v/>
      </c>
      <c r="K113" s="51">
        <f>IF(A113="","",DATE(YEAR(A113),MONTH(A113),1))</f>
        <v/>
      </c>
    </row>
    <row r="114">
      <c r="A114" s="47" t="n">
        <v>46157</v>
      </c>
      <c r="B114" s="38" t="inlineStr">
        <is>
          <t>J-0113</t>
        </is>
      </c>
      <c r="C114" s="48" t="n">
        <v>300</v>
      </c>
      <c r="D114" s="48" t="n"/>
      <c r="E114" s="38" t="inlineStr">
        <is>
          <t>Online Invoice</t>
        </is>
      </c>
      <c r="F114" s="38" t="inlineStr">
        <is>
          <t>INV-0113</t>
        </is>
      </c>
      <c r="G114" s="38" t="inlineStr"/>
      <c r="H114" s="49">
        <f>IF(B114="","",IFERROR(INDEX('JOBS'!$D$5:$D$1504,MATCH(B114,'JOBS'!$A$5:$A$1504,0)),"Job ID not found"))</f>
        <v/>
      </c>
      <c r="I114" s="49">
        <f>IF(B114="","",IFERROR(INDEX('JOBS'!$F$5:$F$1504,MATCH(B114,'JOBS'!$A$5:$A$1504,0)),""))</f>
        <v/>
      </c>
      <c r="J114" s="55">
        <f>IF(C114="","",ROUND(C114*IF(IFERROR(INDEX('SETTINGS'!$K$5:$K$24,MATCH(E114,'SETTINGS'!$J$5:$J$24,0)),"No")="Yes",FeePct,0),2))</f>
        <v/>
      </c>
      <c r="K114" s="51">
        <f>IF(A114="","",DATE(YEAR(A114),MONTH(A114),1))</f>
        <v/>
      </c>
    </row>
    <row r="115">
      <c r="A115" s="47" t="n">
        <v>46157</v>
      </c>
      <c r="B115" s="38" t="inlineStr">
        <is>
          <t>J-0116</t>
        </is>
      </c>
      <c r="C115" s="48" t="n">
        <v>100</v>
      </c>
      <c r="D115" s="48" t="n">
        <v>10</v>
      </c>
      <c r="E115" s="38" t="inlineStr">
        <is>
          <t>Online Invoice</t>
        </is>
      </c>
      <c r="F115" s="38" t="inlineStr">
        <is>
          <t>INV-0116</t>
        </is>
      </c>
      <c r="G115" s="38" t="inlineStr"/>
      <c r="H115" s="49">
        <f>IF(B115="","",IFERROR(INDEX('JOBS'!$D$5:$D$1504,MATCH(B115,'JOBS'!$A$5:$A$1504,0)),"Job ID not found"))</f>
        <v/>
      </c>
      <c r="I115" s="49">
        <f>IF(B115="","",IFERROR(INDEX('JOBS'!$F$5:$F$1504,MATCH(B115,'JOBS'!$A$5:$A$1504,0)),""))</f>
        <v/>
      </c>
      <c r="J115" s="55">
        <f>IF(C115="","",ROUND(C115*IF(IFERROR(INDEX('SETTINGS'!$K$5:$K$24,MATCH(E115,'SETTINGS'!$J$5:$J$24,0)),"No")="Yes",FeePct,0),2))</f>
        <v/>
      </c>
      <c r="K115" s="51">
        <f>IF(A115="","",DATE(YEAR(A115),MONTH(A115),1))</f>
        <v/>
      </c>
    </row>
    <row r="116">
      <c r="A116" s="47" t="n">
        <v>46157</v>
      </c>
      <c r="B116" s="38" t="inlineStr">
        <is>
          <t>J-0117</t>
        </is>
      </c>
      <c r="C116" s="48" t="n">
        <v>140</v>
      </c>
      <c r="D116" s="48" t="n">
        <v>20</v>
      </c>
      <c r="E116" s="38" t="inlineStr">
        <is>
          <t>Online Invoice</t>
        </is>
      </c>
      <c r="F116" s="38" t="inlineStr">
        <is>
          <t>INV-0117</t>
        </is>
      </c>
      <c r="G116" s="38" t="inlineStr"/>
      <c r="H116" s="49">
        <f>IF(B116="","",IFERROR(INDEX('JOBS'!$D$5:$D$1504,MATCH(B116,'JOBS'!$A$5:$A$1504,0)),"Job ID not found"))</f>
        <v/>
      </c>
      <c r="I116" s="49">
        <f>IF(B116="","",IFERROR(INDEX('JOBS'!$F$5:$F$1504,MATCH(B116,'JOBS'!$A$5:$A$1504,0)),""))</f>
        <v/>
      </c>
      <c r="J116" s="55">
        <f>IF(C116="","",ROUND(C116*IF(IFERROR(INDEX('SETTINGS'!$K$5:$K$24,MATCH(E116,'SETTINGS'!$J$5:$J$24,0)),"No")="Yes",FeePct,0),2))</f>
        <v/>
      </c>
      <c r="K116" s="51">
        <f>IF(A116="","",DATE(YEAR(A116),MONTH(A116),1))</f>
        <v/>
      </c>
    </row>
    <row r="117">
      <c r="A117" s="47" t="n">
        <v>46157</v>
      </c>
      <c r="B117" s="38" t="inlineStr">
        <is>
          <t>J-0119</t>
        </is>
      </c>
      <c r="C117" s="48" t="n">
        <v>150</v>
      </c>
      <c r="D117" s="48" t="n"/>
      <c r="E117" s="38" t="inlineStr">
        <is>
          <t>Payment App</t>
        </is>
      </c>
      <c r="F117" s="38" t="inlineStr">
        <is>
          <t>INV-0119</t>
        </is>
      </c>
      <c r="G117" s="38" t="inlineStr"/>
      <c r="H117" s="49">
        <f>IF(B117="","",IFERROR(INDEX('JOBS'!$D$5:$D$1504,MATCH(B117,'JOBS'!$A$5:$A$1504,0)),"Job ID not found"))</f>
        <v/>
      </c>
      <c r="I117" s="49">
        <f>IF(B117="","",IFERROR(INDEX('JOBS'!$F$5:$F$1504,MATCH(B117,'JOBS'!$A$5:$A$1504,0)),""))</f>
        <v/>
      </c>
      <c r="J117" s="55">
        <f>IF(C117="","",ROUND(C117*IF(IFERROR(INDEX('SETTINGS'!$K$5:$K$24,MATCH(E117,'SETTINGS'!$J$5:$J$24,0)),"No")="Yes",FeePct,0),2))</f>
        <v/>
      </c>
      <c r="K117" s="51">
        <f>IF(A117="","",DATE(YEAR(A117),MONTH(A117),1))</f>
        <v/>
      </c>
    </row>
    <row r="118">
      <c r="A118" s="47" t="n">
        <v>46158</v>
      </c>
      <c r="B118" s="38" t="inlineStr">
        <is>
          <t>J-0120</t>
        </is>
      </c>
      <c r="C118" s="48" t="n">
        <v>245</v>
      </c>
      <c r="D118" s="48" t="n"/>
      <c r="E118" s="38" t="inlineStr">
        <is>
          <t>Cash</t>
        </is>
      </c>
      <c r="F118" s="38" t="inlineStr">
        <is>
          <t>INV-0120</t>
        </is>
      </c>
      <c r="G118" s="38" t="inlineStr"/>
      <c r="H118" s="49">
        <f>IF(B118="","",IFERROR(INDEX('JOBS'!$D$5:$D$1504,MATCH(B118,'JOBS'!$A$5:$A$1504,0)),"Job ID not found"))</f>
        <v/>
      </c>
      <c r="I118" s="49">
        <f>IF(B118="","",IFERROR(INDEX('JOBS'!$F$5:$F$1504,MATCH(B118,'JOBS'!$A$5:$A$1504,0)),""))</f>
        <v/>
      </c>
      <c r="J118" s="55">
        <f>IF(C118="","",ROUND(C118*IF(IFERROR(INDEX('SETTINGS'!$K$5:$K$24,MATCH(E118,'SETTINGS'!$J$5:$J$24,0)),"No")="Yes",FeePct,0),2))</f>
        <v/>
      </c>
      <c r="K118" s="51">
        <f>IF(A118="","",DATE(YEAR(A118),MONTH(A118),1))</f>
        <v/>
      </c>
    </row>
    <row r="119">
      <c r="A119" s="47" t="n">
        <v>46159</v>
      </c>
      <c r="B119" s="38" t="inlineStr">
        <is>
          <t>J-0111</t>
        </is>
      </c>
      <c r="C119" s="48" t="n">
        <v>135</v>
      </c>
      <c r="D119" s="48" t="n"/>
      <c r="E119" s="38" t="inlineStr">
        <is>
          <t>Payment App</t>
        </is>
      </c>
      <c r="F119" s="38" t="inlineStr">
        <is>
          <t>INV-0111</t>
        </is>
      </c>
      <c r="G119" s="38" t="inlineStr"/>
      <c r="H119" s="49">
        <f>IF(B119="","",IFERROR(INDEX('JOBS'!$D$5:$D$1504,MATCH(B119,'JOBS'!$A$5:$A$1504,0)),"Job ID not found"))</f>
        <v/>
      </c>
      <c r="I119" s="49">
        <f>IF(B119="","",IFERROR(INDEX('JOBS'!$F$5:$F$1504,MATCH(B119,'JOBS'!$A$5:$A$1504,0)),""))</f>
        <v/>
      </c>
      <c r="J119" s="55">
        <f>IF(C119="","",ROUND(C119*IF(IFERROR(INDEX('SETTINGS'!$K$5:$K$24,MATCH(E119,'SETTINGS'!$J$5:$J$24,0)),"No")="Yes",FeePct,0),2))</f>
        <v/>
      </c>
      <c r="K119" s="51">
        <f>IF(A119="","",DATE(YEAR(A119),MONTH(A119),1))</f>
        <v/>
      </c>
    </row>
    <row r="120">
      <c r="A120" s="47" t="n">
        <v>46159</v>
      </c>
      <c r="B120" s="38" t="inlineStr">
        <is>
          <t>J-0115</t>
        </is>
      </c>
      <c r="C120" s="48" t="n">
        <v>220</v>
      </c>
      <c r="D120" s="48" t="n"/>
      <c r="E120" s="38" t="inlineStr">
        <is>
          <t>Card</t>
        </is>
      </c>
      <c r="F120" s="38" t="inlineStr">
        <is>
          <t>INV-0115</t>
        </is>
      </c>
      <c r="G120" s="38" t="inlineStr"/>
      <c r="H120" s="49">
        <f>IF(B120="","",IFERROR(INDEX('JOBS'!$D$5:$D$1504,MATCH(B120,'JOBS'!$A$5:$A$1504,0)),"Job ID not found"))</f>
        <v/>
      </c>
      <c r="I120" s="49">
        <f>IF(B120="","",IFERROR(INDEX('JOBS'!$F$5:$F$1504,MATCH(B120,'JOBS'!$A$5:$A$1504,0)),""))</f>
        <v/>
      </c>
      <c r="J120" s="55">
        <f>IF(C120="","",ROUND(C120*IF(IFERROR(INDEX('SETTINGS'!$K$5:$K$24,MATCH(E120,'SETTINGS'!$J$5:$J$24,0)),"No")="Yes",FeePct,0),2))</f>
        <v/>
      </c>
      <c r="K120" s="51">
        <f>IF(A120="","",DATE(YEAR(A120),MONTH(A120),1))</f>
        <v/>
      </c>
    </row>
    <row r="121">
      <c r="A121" s="47" t="n">
        <v>46160</v>
      </c>
      <c r="B121" s="38" t="inlineStr">
        <is>
          <t>J-0121</t>
        </is>
      </c>
      <c r="C121" s="48" t="n">
        <v>150</v>
      </c>
      <c r="D121" s="48" t="n"/>
      <c r="E121" s="38" t="inlineStr">
        <is>
          <t>Online Invoice</t>
        </is>
      </c>
      <c r="F121" s="38" t="inlineStr">
        <is>
          <t>INV-0121</t>
        </is>
      </c>
      <c r="G121" s="38" t="inlineStr"/>
      <c r="H121" s="49">
        <f>IF(B121="","",IFERROR(INDEX('JOBS'!$D$5:$D$1504,MATCH(B121,'JOBS'!$A$5:$A$1504,0)),"Job ID not found"))</f>
        <v/>
      </c>
      <c r="I121" s="49">
        <f>IF(B121="","",IFERROR(INDEX('JOBS'!$F$5:$F$1504,MATCH(B121,'JOBS'!$A$5:$A$1504,0)),""))</f>
        <v/>
      </c>
      <c r="J121" s="55">
        <f>IF(C121="","",ROUND(C121*IF(IFERROR(INDEX('SETTINGS'!$K$5:$K$24,MATCH(E121,'SETTINGS'!$J$5:$J$24,0)),"No")="Yes",FeePct,0),2))</f>
        <v/>
      </c>
      <c r="K121" s="51">
        <f>IF(A121="","",DATE(YEAR(A121),MONTH(A121),1))</f>
        <v/>
      </c>
    </row>
    <row r="122">
      <c r="A122" s="47" t="n">
        <v>46161</v>
      </c>
      <c r="B122" s="38" t="inlineStr">
        <is>
          <t>J-0122</t>
        </is>
      </c>
      <c r="C122" s="48" t="n">
        <v>175</v>
      </c>
      <c r="D122" s="48" t="n"/>
      <c r="E122" s="38" t="inlineStr">
        <is>
          <t>Payment App</t>
        </is>
      </c>
      <c r="F122" s="38" t="inlineStr">
        <is>
          <t>INV-0122</t>
        </is>
      </c>
      <c r="G122" s="38" t="inlineStr"/>
      <c r="H122" s="49">
        <f>IF(B122="","",IFERROR(INDEX('JOBS'!$D$5:$D$1504,MATCH(B122,'JOBS'!$A$5:$A$1504,0)),"Job ID not found"))</f>
        <v/>
      </c>
      <c r="I122" s="49">
        <f>IF(B122="","",IFERROR(INDEX('JOBS'!$F$5:$F$1504,MATCH(B122,'JOBS'!$A$5:$A$1504,0)),""))</f>
        <v/>
      </c>
      <c r="J122" s="55">
        <f>IF(C122="","",ROUND(C122*IF(IFERROR(INDEX('SETTINGS'!$K$5:$K$24,MATCH(E122,'SETTINGS'!$J$5:$J$24,0)),"No")="Yes",FeePct,0),2))</f>
        <v/>
      </c>
      <c r="K122" s="51">
        <f>IF(A122="","",DATE(YEAR(A122),MONTH(A122),1))</f>
        <v/>
      </c>
    </row>
    <row r="123">
      <c r="A123" s="47" t="n">
        <v>46162</v>
      </c>
      <c r="B123" s="38" t="inlineStr">
        <is>
          <t>J-0118</t>
        </is>
      </c>
      <c r="C123" s="48" t="n">
        <v>135</v>
      </c>
      <c r="D123" s="48" t="n">
        <v>10</v>
      </c>
      <c r="E123" s="38" t="inlineStr">
        <is>
          <t>Online Invoice</t>
        </is>
      </c>
      <c r="F123" s="38" t="inlineStr">
        <is>
          <t>INV-0118</t>
        </is>
      </c>
      <c r="G123" s="38" t="inlineStr"/>
      <c r="H123" s="49">
        <f>IF(B123="","",IFERROR(INDEX('JOBS'!$D$5:$D$1504,MATCH(B123,'JOBS'!$A$5:$A$1504,0)),"Job ID not found"))</f>
        <v/>
      </c>
      <c r="I123" s="49">
        <f>IF(B123="","",IFERROR(INDEX('JOBS'!$F$5:$F$1504,MATCH(B123,'JOBS'!$A$5:$A$1504,0)),""))</f>
        <v/>
      </c>
      <c r="J123" s="55">
        <f>IF(C123="","",ROUND(C123*IF(IFERROR(INDEX('SETTINGS'!$K$5:$K$24,MATCH(E123,'SETTINGS'!$J$5:$J$24,0)),"No")="Yes",FeePct,0),2))</f>
        <v/>
      </c>
      <c r="K123" s="51">
        <f>IF(A123="","",DATE(YEAR(A123),MONTH(A123),1))</f>
        <v/>
      </c>
    </row>
    <row r="124">
      <c r="A124" s="47" t="n">
        <v>46163</v>
      </c>
      <c r="B124" s="38" t="inlineStr">
        <is>
          <t>J-0123</t>
        </is>
      </c>
      <c r="C124" s="48" t="n">
        <v>150</v>
      </c>
      <c r="D124" s="48" t="n">
        <v>10</v>
      </c>
      <c r="E124" s="38" t="inlineStr">
        <is>
          <t>Online Invoice</t>
        </is>
      </c>
      <c r="F124" s="38" t="inlineStr">
        <is>
          <t>INV-0123</t>
        </is>
      </c>
      <c r="G124" s="38" t="inlineStr"/>
      <c r="H124" s="49">
        <f>IF(B124="","",IFERROR(INDEX('JOBS'!$D$5:$D$1504,MATCH(B124,'JOBS'!$A$5:$A$1504,0)),"Job ID not found"))</f>
        <v/>
      </c>
      <c r="I124" s="49">
        <f>IF(B124="","",IFERROR(INDEX('JOBS'!$F$5:$F$1504,MATCH(B124,'JOBS'!$A$5:$A$1504,0)),""))</f>
        <v/>
      </c>
      <c r="J124" s="55">
        <f>IF(C124="","",ROUND(C124*IF(IFERROR(INDEX('SETTINGS'!$K$5:$K$24,MATCH(E124,'SETTINGS'!$J$5:$J$24,0)),"No")="Yes",FeePct,0),2))</f>
        <v/>
      </c>
      <c r="K124" s="51">
        <f>IF(A124="","",DATE(YEAR(A124),MONTH(A124),1))</f>
        <v/>
      </c>
    </row>
    <row r="125">
      <c r="A125" s="47" t="n">
        <v>46164</v>
      </c>
      <c r="B125" s="38" t="inlineStr">
        <is>
          <t>J-0124</t>
        </is>
      </c>
      <c r="C125" s="48" t="n">
        <v>255</v>
      </c>
      <c r="D125" s="48" t="n"/>
      <c r="E125" s="38" t="inlineStr">
        <is>
          <t>Card</t>
        </is>
      </c>
      <c r="F125" s="38" t="inlineStr">
        <is>
          <t>INV-0124</t>
        </is>
      </c>
      <c r="G125" s="38" t="inlineStr"/>
      <c r="H125" s="49">
        <f>IF(B125="","",IFERROR(INDEX('JOBS'!$D$5:$D$1504,MATCH(B125,'JOBS'!$A$5:$A$1504,0)),"Job ID not found"))</f>
        <v/>
      </c>
      <c r="I125" s="49">
        <f>IF(B125="","",IFERROR(INDEX('JOBS'!$F$5:$F$1504,MATCH(B125,'JOBS'!$A$5:$A$1504,0)),""))</f>
        <v/>
      </c>
      <c r="J125" s="55">
        <f>IF(C125="","",ROUND(C125*IF(IFERROR(INDEX('SETTINGS'!$K$5:$K$24,MATCH(E125,'SETTINGS'!$J$5:$J$24,0)),"No")="Yes",FeePct,0),2))</f>
        <v/>
      </c>
      <c r="K125" s="51">
        <f>IF(A125="","",DATE(YEAR(A125),MONTH(A125),1))</f>
        <v/>
      </c>
    </row>
    <row r="126">
      <c r="A126" s="47" t="n">
        <v>46164</v>
      </c>
      <c r="B126" s="38" t="inlineStr">
        <is>
          <t>J-0125</t>
        </is>
      </c>
      <c r="C126" s="48" t="n">
        <v>140</v>
      </c>
      <c r="D126" s="48" t="n"/>
      <c r="E126" s="38" t="inlineStr">
        <is>
          <t>Online Invoice</t>
        </is>
      </c>
      <c r="F126" s="38" t="inlineStr">
        <is>
          <t>INV-0125</t>
        </is>
      </c>
      <c r="G126" s="38" t="inlineStr"/>
      <c r="H126" s="49">
        <f>IF(B126="","",IFERROR(INDEX('JOBS'!$D$5:$D$1504,MATCH(B126,'JOBS'!$A$5:$A$1504,0)),"Job ID not found"))</f>
        <v/>
      </c>
      <c r="I126" s="49">
        <f>IF(B126="","",IFERROR(INDEX('JOBS'!$F$5:$F$1504,MATCH(B126,'JOBS'!$A$5:$A$1504,0)),""))</f>
        <v/>
      </c>
      <c r="J126" s="55">
        <f>IF(C126="","",ROUND(C126*IF(IFERROR(INDEX('SETTINGS'!$K$5:$K$24,MATCH(E126,'SETTINGS'!$J$5:$J$24,0)),"No")="Yes",FeePct,0),2))</f>
        <v/>
      </c>
      <c r="K126" s="51">
        <f>IF(A126="","",DATE(YEAR(A126),MONTH(A126),1))</f>
        <v/>
      </c>
    </row>
    <row r="127">
      <c r="A127" s="47" t="n">
        <v>46164</v>
      </c>
      <c r="B127" s="38" t="inlineStr">
        <is>
          <t>J-0127</t>
        </is>
      </c>
      <c r="C127" s="48" t="n">
        <v>530</v>
      </c>
      <c r="D127" s="48" t="n"/>
      <c r="E127" s="38" t="inlineStr">
        <is>
          <t>Payment App</t>
        </is>
      </c>
      <c r="F127" s="38" t="inlineStr">
        <is>
          <t>INV-0127</t>
        </is>
      </c>
      <c r="G127" s="38" t="inlineStr"/>
      <c r="H127" s="49">
        <f>IF(B127="","",IFERROR(INDEX('JOBS'!$D$5:$D$1504,MATCH(B127,'JOBS'!$A$5:$A$1504,0)),"Job ID not found"))</f>
        <v/>
      </c>
      <c r="I127" s="49">
        <f>IF(B127="","",IFERROR(INDEX('JOBS'!$F$5:$F$1504,MATCH(B127,'JOBS'!$A$5:$A$1504,0)),""))</f>
        <v/>
      </c>
      <c r="J127" s="55">
        <f>IF(C127="","",ROUND(C127*IF(IFERROR(INDEX('SETTINGS'!$K$5:$K$24,MATCH(E127,'SETTINGS'!$J$5:$J$24,0)),"No")="Yes",FeePct,0),2))</f>
        <v/>
      </c>
      <c r="K127" s="51">
        <f>IF(A127="","",DATE(YEAR(A127),MONTH(A127),1))</f>
        <v/>
      </c>
    </row>
    <row r="128">
      <c r="A128" s="47" t="n">
        <v>46165</v>
      </c>
      <c r="B128" s="38" t="inlineStr">
        <is>
          <t>J-0126</t>
        </is>
      </c>
      <c r="C128" s="48" t="n">
        <v>100</v>
      </c>
      <c r="D128" s="48" t="n"/>
      <c r="E128" s="38" t="inlineStr">
        <is>
          <t>Online Invoice</t>
        </is>
      </c>
      <c r="F128" s="38" t="inlineStr">
        <is>
          <t>INV-0126</t>
        </is>
      </c>
      <c r="G128" s="38" t="inlineStr"/>
      <c r="H128" s="49">
        <f>IF(B128="","",IFERROR(INDEX('JOBS'!$D$5:$D$1504,MATCH(B128,'JOBS'!$A$5:$A$1504,0)),"Job ID not found"))</f>
        <v/>
      </c>
      <c r="I128" s="49">
        <f>IF(B128="","",IFERROR(INDEX('JOBS'!$F$5:$F$1504,MATCH(B128,'JOBS'!$A$5:$A$1504,0)),""))</f>
        <v/>
      </c>
      <c r="J128" s="55">
        <f>IF(C128="","",ROUND(C128*IF(IFERROR(INDEX('SETTINGS'!$K$5:$K$24,MATCH(E128,'SETTINGS'!$J$5:$J$24,0)),"No")="Yes",FeePct,0),2))</f>
        <v/>
      </c>
      <c r="K128" s="51">
        <f>IF(A128="","",DATE(YEAR(A128),MONTH(A128),1))</f>
        <v/>
      </c>
    </row>
    <row r="129">
      <c r="A129" s="47" t="n">
        <v>46167</v>
      </c>
      <c r="B129" s="38" t="inlineStr">
        <is>
          <t>J-0128</t>
        </is>
      </c>
      <c r="C129" s="48" t="n">
        <v>110</v>
      </c>
      <c r="D129" s="48" t="n"/>
      <c r="E129" s="38" t="inlineStr">
        <is>
          <t>Check</t>
        </is>
      </c>
      <c r="F129" s="38" t="inlineStr">
        <is>
          <t>INV-0128</t>
        </is>
      </c>
      <c r="G129" s="38" t="inlineStr"/>
      <c r="H129" s="49">
        <f>IF(B129="","",IFERROR(INDEX('JOBS'!$D$5:$D$1504,MATCH(B129,'JOBS'!$A$5:$A$1504,0)),"Job ID not found"))</f>
        <v/>
      </c>
      <c r="I129" s="49">
        <f>IF(B129="","",IFERROR(INDEX('JOBS'!$F$5:$F$1504,MATCH(B129,'JOBS'!$A$5:$A$1504,0)),""))</f>
        <v/>
      </c>
      <c r="J129" s="55">
        <f>IF(C129="","",ROUND(C129*IF(IFERROR(INDEX('SETTINGS'!$K$5:$K$24,MATCH(E129,'SETTINGS'!$J$5:$J$24,0)),"No")="Yes",FeePct,0),2))</f>
        <v/>
      </c>
      <c r="K129" s="51">
        <f>IF(A129="","",DATE(YEAR(A129),MONTH(A129),1))</f>
        <v/>
      </c>
    </row>
    <row r="130">
      <c r="A130" s="47" t="n">
        <v>46167</v>
      </c>
      <c r="B130" s="38" t="inlineStr">
        <is>
          <t>J-0129</t>
        </is>
      </c>
      <c r="C130" s="48" t="n">
        <v>260</v>
      </c>
      <c r="D130" s="48" t="n"/>
      <c r="E130" s="38" t="inlineStr">
        <is>
          <t>Cash</t>
        </is>
      </c>
      <c r="F130" s="38" t="inlineStr">
        <is>
          <t>INV-0129</t>
        </is>
      </c>
      <c r="G130" s="38" t="inlineStr"/>
      <c r="H130" s="49">
        <f>IF(B130="","",IFERROR(INDEX('JOBS'!$D$5:$D$1504,MATCH(B130,'JOBS'!$A$5:$A$1504,0)),"Job ID not found"))</f>
        <v/>
      </c>
      <c r="I130" s="49">
        <f>IF(B130="","",IFERROR(INDEX('JOBS'!$F$5:$F$1504,MATCH(B130,'JOBS'!$A$5:$A$1504,0)),""))</f>
        <v/>
      </c>
      <c r="J130" s="55">
        <f>IF(C130="","",ROUND(C130*IF(IFERROR(INDEX('SETTINGS'!$K$5:$K$24,MATCH(E130,'SETTINGS'!$J$5:$J$24,0)),"No")="Yes",FeePct,0),2))</f>
        <v/>
      </c>
      <c r="K130" s="51">
        <f>IF(A130="","",DATE(YEAR(A130),MONTH(A130),1))</f>
        <v/>
      </c>
    </row>
    <row r="131">
      <c r="A131" s="47" t="n">
        <v>46167</v>
      </c>
      <c r="B131" s="38" t="inlineStr">
        <is>
          <t>J-0130</t>
        </is>
      </c>
      <c r="C131" s="48" t="n">
        <v>145</v>
      </c>
      <c r="D131" s="48" t="n"/>
      <c r="E131" s="38" t="inlineStr">
        <is>
          <t>Check</t>
        </is>
      </c>
      <c r="F131" s="38" t="inlineStr">
        <is>
          <t>INV-0130</t>
        </is>
      </c>
      <c r="G131" s="38" t="inlineStr"/>
      <c r="H131" s="49">
        <f>IF(B131="","",IFERROR(INDEX('JOBS'!$D$5:$D$1504,MATCH(B131,'JOBS'!$A$5:$A$1504,0)),"Job ID not found"))</f>
        <v/>
      </c>
      <c r="I131" s="49">
        <f>IF(B131="","",IFERROR(INDEX('JOBS'!$F$5:$F$1504,MATCH(B131,'JOBS'!$A$5:$A$1504,0)),""))</f>
        <v/>
      </c>
      <c r="J131" s="55">
        <f>IF(C131="","",ROUND(C131*IF(IFERROR(INDEX('SETTINGS'!$K$5:$K$24,MATCH(E131,'SETTINGS'!$J$5:$J$24,0)),"No")="Yes",FeePct,0),2))</f>
        <v/>
      </c>
      <c r="K131" s="51">
        <f>IF(A131="","",DATE(YEAR(A131),MONTH(A131),1))</f>
        <v/>
      </c>
    </row>
    <row r="132">
      <c r="A132" s="47" t="n">
        <v>46168</v>
      </c>
      <c r="B132" s="38" t="inlineStr">
        <is>
          <t>J-0131</t>
        </is>
      </c>
      <c r="C132" s="48" t="n">
        <v>175</v>
      </c>
      <c r="D132" s="48" t="n">
        <v>20</v>
      </c>
      <c r="E132" s="38" t="inlineStr">
        <is>
          <t>Card</t>
        </is>
      </c>
      <c r="F132" s="38" t="inlineStr">
        <is>
          <t>INV-0131</t>
        </is>
      </c>
      <c r="G132" s="38" t="inlineStr"/>
      <c r="H132" s="49">
        <f>IF(B132="","",IFERROR(INDEX('JOBS'!$D$5:$D$1504,MATCH(B132,'JOBS'!$A$5:$A$1504,0)),"Job ID not found"))</f>
        <v/>
      </c>
      <c r="I132" s="49">
        <f>IF(B132="","",IFERROR(INDEX('JOBS'!$F$5:$F$1504,MATCH(B132,'JOBS'!$A$5:$A$1504,0)),""))</f>
        <v/>
      </c>
      <c r="J132" s="55">
        <f>IF(C132="","",ROUND(C132*IF(IFERROR(INDEX('SETTINGS'!$K$5:$K$24,MATCH(E132,'SETTINGS'!$J$5:$J$24,0)),"No")="Yes",FeePct,0),2))</f>
        <v/>
      </c>
      <c r="K132" s="51">
        <f>IF(A132="","",DATE(YEAR(A132),MONTH(A132),1))</f>
        <v/>
      </c>
    </row>
    <row r="133">
      <c r="A133" s="47" t="n">
        <v>46171</v>
      </c>
      <c r="B133" s="38" t="inlineStr">
        <is>
          <t>J-0135</t>
        </is>
      </c>
      <c r="C133" s="48" t="n">
        <v>150</v>
      </c>
      <c r="D133" s="48" t="n"/>
      <c r="E133" s="38" t="inlineStr">
        <is>
          <t>Card</t>
        </is>
      </c>
      <c r="F133" s="38" t="inlineStr">
        <is>
          <t>INV-0135</t>
        </is>
      </c>
      <c r="G133" s="38" t="inlineStr"/>
      <c r="H133" s="49">
        <f>IF(B133="","",IFERROR(INDEX('JOBS'!$D$5:$D$1504,MATCH(B133,'JOBS'!$A$5:$A$1504,0)),"Job ID not found"))</f>
        <v/>
      </c>
      <c r="I133" s="49">
        <f>IF(B133="","",IFERROR(INDEX('JOBS'!$F$5:$F$1504,MATCH(B133,'JOBS'!$A$5:$A$1504,0)),""))</f>
        <v/>
      </c>
      <c r="J133" s="55">
        <f>IF(C133="","",ROUND(C133*IF(IFERROR(INDEX('SETTINGS'!$K$5:$K$24,MATCH(E133,'SETTINGS'!$J$5:$J$24,0)),"No")="Yes",FeePct,0),2))</f>
        <v/>
      </c>
      <c r="K133" s="51">
        <f>IF(A133="","",DATE(YEAR(A133),MONTH(A133),1))</f>
        <v/>
      </c>
    </row>
    <row r="134">
      <c r="A134" s="47" t="n">
        <v>46171</v>
      </c>
      <c r="B134" s="38" t="inlineStr">
        <is>
          <t>J-0137</t>
        </is>
      </c>
      <c r="C134" s="48" t="n">
        <v>100</v>
      </c>
      <c r="D134" s="48" t="n"/>
      <c r="E134" s="38" t="inlineStr">
        <is>
          <t>Online Invoice</t>
        </is>
      </c>
      <c r="F134" s="38" t="inlineStr">
        <is>
          <t>INV-0137</t>
        </is>
      </c>
      <c r="G134" s="38" t="inlineStr"/>
      <c r="H134" s="49">
        <f>IF(B134="","",IFERROR(INDEX('JOBS'!$D$5:$D$1504,MATCH(B134,'JOBS'!$A$5:$A$1504,0)),"Job ID not found"))</f>
        <v/>
      </c>
      <c r="I134" s="49">
        <f>IF(B134="","",IFERROR(INDEX('JOBS'!$F$5:$F$1504,MATCH(B134,'JOBS'!$A$5:$A$1504,0)),""))</f>
        <v/>
      </c>
      <c r="J134" s="55">
        <f>IF(C134="","",ROUND(C134*IF(IFERROR(INDEX('SETTINGS'!$K$5:$K$24,MATCH(E134,'SETTINGS'!$J$5:$J$24,0)),"No")="Yes",FeePct,0),2))</f>
        <v/>
      </c>
      <c r="K134" s="51">
        <f>IF(A134="","",DATE(YEAR(A134),MONTH(A134),1))</f>
        <v/>
      </c>
    </row>
    <row r="135">
      <c r="A135" s="47" t="n">
        <v>46171</v>
      </c>
      <c r="B135" s="38" t="inlineStr">
        <is>
          <t>J-0138</t>
        </is>
      </c>
      <c r="C135" s="48" t="n">
        <v>375</v>
      </c>
      <c r="D135" s="48" t="n"/>
      <c r="E135" s="38" t="inlineStr">
        <is>
          <t>Online Invoice</t>
        </is>
      </c>
      <c r="F135" s="38" t="inlineStr">
        <is>
          <t>INV-0138</t>
        </is>
      </c>
      <c r="G135" s="38" t="inlineStr"/>
      <c r="H135" s="49">
        <f>IF(B135="","",IFERROR(INDEX('JOBS'!$D$5:$D$1504,MATCH(B135,'JOBS'!$A$5:$A$1504,0)),"Job ID not found"))</f>
        <v/>
      </c>
      <c r="I135" s="49">
        <f>IF(B135="","",IFERROR(INDEX('JOBS'!$F$5:$F$1504,MATCH(B135,'JOBS'!$A$5:$A$1504,0)),""))</f>
        <v/>
      </c>
      <c r="J135" s="55">
        <f>IF(C135="","",ROUND(C135*IF(IFERROR(INDEX('SETTINGS'!$K$5:$K$24,MATCH(E135,'SETTINGS'!$J$5:$J$24,0)),"No")="Yes",FeePct,0),2))</f>
        <v/>
      </c>
      <c r="K135" s="51">
        <f>IF(A135="","",DATE(YEAR(A135),MONTH(A135),1))</f>
        <v/>
      </c>
    </row>
    <row r="136">
      <c r="A136" s="47" t="n">
        <v>46171</v>
      </c>
      <c r="B136" s="38" t="inlineStr">
        <is>
          <t>J-0140</t>
        </is>
      </c>
      <c r="C136" s="48" t="n">
        <v>220</v>
      </c>
      <c r="D136" s="48" t="n"/>
      <c r="E136" s="38" t="inlineStr">
        <is>
          <t>Online Invoice</t>
        </is>
      </c>
      <c r="F136" s="38" t="inlineStr">
        <is>
          <t>INV-0140</t>
        </is>
      </c>
      <c r="G136" s="38" t="inlineStr"/>
      <c r="H136" s="49">
        <f>IF(B136="","",IFERROR(INDEX('JOBS'!$D$5:$D$1504,MATCH(B136,'JOBS'!$A$5:$A$1504,0)),"Job ID not found"))</f>
        <v/>
      </c>
      <c r="I136" s="49">
        <f>IF(B136="","",IFERROR(INDEX('JOBS'!$F$5:$F$1504,MATCH(B136,'JOBS'!$A$5:$A$1504,0)),""))</f>
        <v/>
      </c>
      <c r="J136" s="55">
        <f>IF(C136="","",ROUND(C136*IF(IFERROR(INDEX('SETTINGS'!$K$5:$K$24,MATCH(E136,'SETTINGS'!$J$5:$J$24,0)),"No")="Yes",FeePct,0),2))</f>
        <v/>
      </c>
      <c r="K136" s="51">
        <f>IF(A136="","",DATE(YEAR(A136),MONTH(A136),1))</f>
        <v/>
      </c>
    </row>
    <row r="137">
      <c r="A137" s="47" t="n">
        <v>46172</v>
      </c>
      <c r="B137" s="38" t="inlineStr">
        <is>
          <t>J-0139</t>
        </is>
      </c>
      <c r="C137" s="48" t="n">
        <v>220</v>
      </c>
      <c r="D137" s="48" t="n"/>
      <c r="E137" s="38" t="inlineStr">
        <is>
          <t>Card</t>
        </is>
      </c>
      <c r="F137" s="38" t="inlineStr">
        <is>
          <t>INV-0139</t>
        </is>
      </c>
      <c r="G137" s="38" t="inlineStr"/>
      <c r="H137" s="49">
        <f>IF(B137="","",IFERROR(INDEX('JOBS'!$D$5:$D$1504,MATCH(B137,'JOBS'!$A$5:$A$1504,0)),"Job ID not found"))</f>
        <v/>
      </c>
      <c r="I137" s="49">
        <f>IF(B137="","",IFERROR(INDEX('JOBS'!$F$5:$F$1504,MATCH(B137,'JOBS'!$A$5:$A$1504,0)),""))</f>
        <v/>
      </c>
      <c r="J137" s="55">
        <f>IF(C137="","",ROUND(C137*IF(IFERROR(INDEX('SETTINGS'!$K$5:$K$24,MATCH(E137,'SETTINGS'!$J$5:$J$24,0)),"No")="Yes",FeePct,0),2))</f>
        <v/>
      </c>
      <c r="K137" s="51">
        <f>IF(A137="","",DATE(YEAR(A137),MONTH(A137),1))</f>
        <v/>
      </c>
    </row>
    <row r="138">
      <c r="A138" s="47" t="n">
        <v>46172</v>
      </c>
      <c r="B138" s="38" t="inlineStr">
        <is>
          <t>J-0141</t>
        </is>
      </c>
      <c r="C138" s="48" t="n">
        <v>245</v>
      </c>
      <c r="D138" s="48" t="n"/>
      <c r="E138" s="38" t="inlineStr">
        <is>
          <t>Check</t>
        </is>
      </c>
      <c r="F138" s="38" t="inlineStr">
        <is>
          <t>INV-0141</t>
        </is>
      </c>
      <c r="G138" s="38" t="inlineStr"/>
      <c r="H138" s="49">
        <f>IF(B138="","",IFERROR(INDEX('JOBS'!$D$5:$D$1504,MATCH(B138,'JOBS'!$A$5:$A$1504,0)),"Job ID not found"))</f>
        <v/>
      </c>
      <c r="I138" s="49">
        <f>IF(B138="","",IFERROR(INDEX('JOBS'!$F$5:$F$1504,MATCH(B138,'JOBS'!$A$5:$A$1504,0)),""))</f>
        <v/>
      </c>
      <c r="J138" s="55">
        <f>IF(C138="","",ROUND(C138*IF(IFERROR(INDEX('SETTINGS'!$K$5:$K$24,MATCH(E138,'SETTINGS'!$J$5:$J$24,0)),"No")="Yes",FeePct,0),2))</f>
        <v/>
      </c>
      <c r="K138" s="51">
        <f>IF(A138="","",DATE(YEAR(A138),MONTH(A138),1))</f>
        <v/>
      </c>
    </row>
    <row r="139">
      <c r="A139" s="47" t="n">
        <v>46174</v>
      </c>
      <c r="B139" s="38" t="inlineStr">
        <is>
          <t>J-0132</t>
        </is>
      </c>
      <c r="C139" s="48" t="n">
        <v>220</v>
      </c>
      <c r="D139" s="48" t="n"/>
      <c r="E139" s="38" t="inlineStr">
        <is>
          <t>Online Invoice</t>
        </is>
      </c>
      <c r="F139" s="38" t="inlineStr">
        <is>
          <t>INV-0132</t>
        </is>
      </c>
      <c r="G139" s="38" t="inlineStr"/>
      <c r="H139" s="49">
        <f>IF(B139="","",IFERROR(INDEX('JOBS'!$D$5:$D$1504,MATCH(B139,'JOBS'!$A$5:$A$1504,0)),"Job ID not found"))</f>
        <v/>
      </c>
      <c r="I139" s="49">
        <f>IF(B139="","",IFERROR(INDEX('JOBS'!$F$5:$F$1504,MATCH(B139,'JOBS'!$A$5:$A$1504,0)),""))</f>
        <v/>
      </c>
      <c r="J139" s="55">
        <f>IF(C139="","",ROUND(C139*IF(IFERROR(INDEX('SETTINGS'!$K$5:$K$24,MATCH(E139,'SETTINGS'!$J$5:$J$24,0)),"No")="Yes",FeePct,0),2))</f>
        <v/>
      </c>
      <c r="K139" s="51">
        <f>IF(A139="","",DATE(YEAR(A139),MONTH(A139),1))</f>
        <v/>
      </c>
    </row>
    <row r="140">
      <c r="A140" s="47" t="n">
        <v>46174</v>
      </c>
      <c r="B140" s="38" t="inlineStr">
        <is>
          <t>J-0142</t>
        </is>
      </c>
      <c r="C140" s="48" t="n">
        <v>135</v>
      </c>
      <c r="D140" s="48" t="n"/>
      <c r="E140" s="38" t="inlineStr">
        <is>
          <t>Cash</t>
        </is>
      </c>
      <c r="F140" s="38" t="inlineStr">
        <is>
          <t>INV-0142</t>
        </is>
      </c>
      <c r="G140" s="38" t="inlineStr"/>
      <c r="H140" s="49">
        <f>IF(B140="","",IFERROR(INDEX('JOBS'!$D$5:$D$1504,MATCH(B140,'JOBS'!$A$5:$A$1504,0)),"Job ID not found"))</f>
        <v/>
      </c>
      <c r="I140" s="49">
        <f>IF(B140="","",IFERROR(INDEX('JOBS'!$F$5:$F$1504,MATCH(B140,'JOBS'!$A$5:$A$1504,0)),""))</f>
        <v/>
      </c>
      <c r="J140" s="55">
        <f>IF(C140="","",ROUND(C140*IF(IFERROR(INDEX('SETTINGS'!$K$5:$K$24,MATCH(E140,'SETTINGS'!$J$5:$J$24,0)),"No")="Yes",FeePct,0),2))</f>
        <v/>
      </c>
      <c r="K140" s="51">
        <f>IF(A140="","",DATE(YEAR(A140),MONTH(A140),1))</f>
        <v/>
      </c>
    </row>
    <row r="141">
      <c r="A141" s="47" t="n">
        <v>46174</v>
      </c>
      <c r="B141" s="38" t="inlineStr">
        <is>
          <t>J-0143</t>
        </is>
      </c>
      <c r="C141" s="48" t="n">
        <v>300</v>
      </c>
      <c r="D141" s="48" t="n"/>
      <c r="E141" s="38" t="inlineStr">
        <is>
          <t>Online Invoice</t>
        </is>
      </c>
      <c r="F141" s="38" t="inlineStr">
        <is>
          <t>INV-0143</t>
        </is>
      </c>
      <c r="G141" s="38" t="inlineStr"/>
      <c r="H141" s="49">
        <f>IF(B141="","",IFERROR(INDEX('JOBS'!$D$5:$D$1504,MATCH(B141,'JOBS'!$A$5:$A$1504,0)),"Job ID not found"))</f>
        <v/>
      </c>
      <c r="I141" s="49">
        <f>IF(B141="","",IFERROR(INDEX('JOBS'!$F$5:$F$1504,MATCH(B141,'JOBS'!$A$5:$A$1504,0)),""))</f>
        <v/>
      </c>
      <c r="J141" s="55">
        <f>IF(C141="","",ROUND(C141*IF(IFERROR(INDEX('SETTINGS'!$K$5:$K$24,MATCH(E141,'SETTINGS'!$J$5:$J$24,0)),"No")="Yes",FeePct,0),2))</f>
        <v/>
      </c>
      <c r="K141" s="51">
        <f>IF(A141="","",DATE(YEAR(A141),MONTH(A141),1))</f>
        <v/>
      </c>
    </row>
    <row r="142">
      <c r="A142" s="47" t="n">
        <v>46175</v>
      </c>
      <c r="B142" s="38" t="inlineStr">
        <is>
          <t>J-0133</t>
        </is>
      </c>
      <c r="C142" s="48" t="n">
        <v>135</v>
      </c>
      <c r="D142" s="48" t="n"/>
      <c r="E142" s="38" t="inlineStr">
        <is>
          <t>Card</t>
        </is>
      </c>
      <c r="F142" s="38" t="inlineStr">
        <is>
          <t>INV-0133</t>
        </is>
      </c>
      <c r="G142" s="38" t="inlineStr"/>
      <c r="H142" s="49">
        <f>IF(B142="","",IFERROR(INDEX('JOBS'!$D$5:$D$1504,MATCH(B142,'JOBS'!$A$5:$A$1504,0)),"Job ID not found"))</f>
        <v/>
      </c>
      <c r="I142" s="49">
        <f>IF(B142="","",IFERROR(INDEX('JOBS'!$F$5:$F$1504,MATCH(B142,'JOBS'!$A$5:$A$1504,0)),""))</f>
        <v/>
      </c>
      <c r="J142" s="55">
        <f>IF(C142="","",ROUND(C142*IF(IFERROR(INDEX('SETTINGS'!$K$5:$K$24,MATCH(E142,'SETTINGS'!$J$5:$J$24,0)),"No")="Yes",FeePct,0),2))</f>
        <v/>
      </c>
      <c r="K142" s="51">
        <f>IF(A142="","",DATE(YEAR(A142),MONTH(A142),1))</f>
        <v/>
      </c>
    </row>
    <row r="143">
      <c r="A143" s="47" t="n">
        <v>46175</v>
      </c>
      <c r="B143" s="38" t="inlineStr">
        <is>
          <t>J-0134</t>
        </is>
      </c>
      <c r="C143" s="48" t="n">
        <v>255</v>
      </c>
      <c r="D143" s="48" t="n">
        <v>10</v>
      </c>
      <c r="E143" s="38" t="inlineStr">
        <is>
          <t>Check</t>
        </is>
      </c>
      <c r="F143" s="38" t="inlineStr">
        <is>
          <t>INV-0134</t>
        </is>
      </c>
      <c r="G143" s="38" t="inlineStr"/>
      <c r="H143" s="49">
        <f>IF(B143="","",IFERROR(INDEX('JOBS'!$D$5:$D$1504,MATCH(B143,'JOBS'!$A$5:$A$1504,0)),"Job ID not found"))</f>
        <v/>
      </c>
      <c r="I143" s="49">
        <f>IF(B143="","",IFERROR(INDEX('JOBS'!$F$5:$F$1504,MATCH(B143,'JOBS'!$A$5:$A$1504,0)),""))</f>
        <v/>
      </c>
      <c r="J143" s="55">
        <f>IF(C143="","",ROUND(C143*IF(IFERROR(INDEX('SETTINGS'!$K$5:$K$24,MATCH(E143,'SETTINGS'!$J$5:$J$24,0)),"No")="Yes",FeePct,0),2))</f>
        <v/>
      </c>
      <c r="K143" s="51">
        <f>IF(A143="","",DATE(YEAR(A143),MONTH(A143),1))</f>
        <v/>
      </c>
    </row>
    <row r="144">
      <c r="A144" s="47" t="n">
        <v>46176</v>
      </c>
      <c r="B144" s="38" t="inlineStr">
        <is>
          <t>J-0136</t>
        </is>
      </c>
      <c r="C144" s="48" t="n">
        <v>140</v>
      </c>
      <c r="D144" s="48" t="n"/>
      <c r="E144" s="38" t="inlineStr">
        <is>
          <t>Online Invoice</t>
        </is>
      </c>
      <c r="F144" s="38" t="inlineStr">
        <is>
          <t>INV-0136</t>
        </is>
      </c>
      <c r="G144" s="38" t="inlineStr"/>
      <c r="H144" s="49">
        <f>IF(B144="","",IFERROR(INDEX('JOBS'!$D$5:$D$1504,MATCH(B144,'JOBS'!$A$5:$A$1504,0)),"Job ID not found"))</f>
        <v/>
      </c>
      <c r="I144" s="49">
        <f>IF(B144="","",IFERROR(INDEX('JOBS'!$F$5:$F$1504,MATCH(B144,'JOBS'!$A$5:$A$1504,0)),""))</f>
        <v/>
      </c>
      <c r="J144" s="55">
        <f>IF(C144="","",ROUND(C144*IF(IFERROR(INDEX('SETTINGS'!$K$5:$K$24,MATCH(E144,'SETTINGS'!$J$5:$J$24,0)),"No")="Yes",FeePct,0),2))</f>
        <v/>
      </c>
      <c r="K144" s="51">
        <f>IF(A144="","",DATE(YEAR(A144),MONTH(A144),1))</f>
        <v/>
      </c>
    </row>
    <row r="145">
      <c r="A145" s="47" t="n">
        <v>46177</v>
      </c>
      <c r="B145" s="38" t="inlineStr">
        <is>
          <t>J-0144</t>
        </is>
      </c>
      <c r="C145" s="48" t="n">
        <v>175</v>
      </c>
      <c r="D145" s="48" t="n"/>
      <c r="E145" s="38" t="inlineStr">
        <is>
          <t>Card</t>
        </is>
      </c>
      <c r="F145" s="38" t="inlineStr">
        <is>
          <t>INV-0144</t>
        </is>
      </c>
      <c r="G145" s="38" t="inlineStr"/>
      <c r="H145" s="49">
        <f>IF(B145="","",IFERROR(INDEX('JOBS'!$D$5:$D$1504,MATCH(B145,'JOBS'!$A$5:$A$1504,0)),"Job ID not found"))</f>
        <v/>
      </c>
      <c r="I145" s="49">
        <f>IF(B145="","",IFERROR(INDEX('JOBS'!$F$5:$F$1504,MATCH(B145,'JOBS'!$A$5:$A$1504,0)),""))</f>
        <v/>
      </c>
      <c r="J145" s="55">
        <f>IF(C145="","",ROUND(C145*IF(IFERROR(INDEX('SETTINGS'!$K$5:$K$24,MATCH(E145,'SETTINGS'!$J$5:$J$24,0)),"No")="Yes",FeePct,0),2))</f>
        <v/>
      </c>
      <c r="K145" s="51">
        <f>IF(A145="","",DATE(YEAR(A145),MONTH(A145),1))</f>
        <v/>
      </c>
    </row>
    <row r="146">
      <c r="A146" s="47" t="n">
        <v>46177</v>
      </c>
      <c r="B146" s="38" t="inlineStr">
        <is>
          <t>J-0145</t>
        </is>
      </c>
      <c r="C146" s="48" t="n">
        <v>255</v>
      </c>
      <c r="D146" s="48" t="n"/>
      <c r="E146" s="38" t="inlineStr">
        <is>
          <t>Check</t>
        </is>
      </c>
      <c r="F146" s="38" t="inlineStr">
        <is>
          <t>INV-0145</t>
        </is>
      </c>
      <c r="G146" s="38" t="inlineStr"/>
      <c r="H146" s="49">
        <f>IF(B146="","",IFERROR(INDEX('JOBS'!$D$5:$D$1504,MATCH(B146,'JOBS'!$A$5:$A$1504,0)),"Job ID not found"))</f>
        <v/>
      </c>
      <c r="I146" s="49">
        <f>IF(B146="","",IFERROR(INDEX('JOBS'!$F$5:$F$1504,MATCH(B146,'JOBS'!$A$5:$A$1504,0)),""))</f>
        <v/>
      </c>
      <c r="J146" s="55">
        <f>IF(C146="","",ROUND(C146*IF(IFERROR(INDEX('SETTINGS'!$K$5:$K$24,MATCH(E146,'SETTINGS'!$J$5:$J$24,0)),"No")="Yes",FeePct,0),2))</f>
        <v/>
      </c>
      <c r="K146" s="51">
        <f>IF(A146="","",DATE(YEAR(A146),MONTH(A146),1))</f>
        <v/>
      </c>
    </row>
    <row r="147">
      <c r="A147" s="47" t="n">
        <v>46178</v>
      </c>
      <c r="B147" s="38" t="inlineStr">
        <is>
          <t>J-0147</t>
        </is>
      </c>
      <c r="C147" s="48" t="n">
        <v>140</v>
      </c>
      <c r="D147" s="48" t="n"/>
      <c r="E147" s="38" t="inlineStr">
        <is>
          <t>Online Invoice</t>
        </is>
      </c>
      <c r="F147" s="38" t="inlineStr">
        <is>
          <t>INV-0147</t>
        </is>
      </c>
      <c r="G147" s="38" t="inlineStr"/>
      <c r="H147" s="49">
        <f>IF(B147="","",IFERROR(INDEX('JOBS'!$D$5:$D$1504,MATCH(B147,'JOBS'!$A$5:$A$1504,0)),"Job ID not found"))</f>
        <v/>
      </c>
      <c r="I147" s="49">
        <f>IF(B147="","",IFERROR(INDEX('JOBS'!$F$5:$F$1504,MATCH(B147,'JOBS'!$A$5:$A$1504,0)),""))</f>
        <v/>
      </c>
      <c r="J147" s="55">
        <f>IF(C147="","",ROUND(C147*IF(IFERROR(INDEX('SETTINGS'!$K$5:$K$24,MATCH(E147,'SETTINGS'!$J$5:$J$24,0)),"No")="Yes",FeePct,0),2))</f>
        <v/>
      </c>
      <c r="K147" s="51">
        <f>IF(A147="","",DATE(YEAR(A147),MONTH(A147),1))</f>
        <v/>
      </c>
    </row>
    <row r="148">
      <c r="A148" s="47" t="n">
        <v>46178</v>
      </c>
      <c r="B148" s="38" t="inlineStr">
        <is>
          <t>J-0148</t>
        </is>
      </c>
      <c r="C148" s="48" t="n">
        <v>195</v>
      </c>
      <c r="D148" s="48" t="n"/>
      <c r="E148" s="38" t="inlineStr">
        <is>
          <t>Check</t>
        </is>
      </c>
      <c r="F148" s="38" t="inlineStr">
        <is>
          <t>INV-0148</t>
        </is>
      </c>
      <c r="G148" s="38" t="inlineStr"/>
      <c r="H148" s="49">
        <f>IF(B148="","",IFERROR(INDEX('JOBS'!$D$5:$D$1504,MATCH(B148,'JOBS'!$A$5:$A$1504,0)),"Job ID not found"))</f>
        <v/>
      </c>
      <c r="I148" s="49">
        <f>IF(B148="","",IFERROR(INDEX('JOBS'!$F$5:$F$1504,MATCH(B148,'JOBS'!$A$5:$A$1504,0)),""))</f>
        <v/>
      </c>
      <c r="J148" s="55">
        <f>IF(C148="","",ROUND(C148*IF(IFERROR(INDEX('SETTINGS'!$K$5:$K$24,MATCH(E148,'SETTINGS'!$J$5:$J$24,0)),"No")="Yes",FeePct,0),2))</f>
        <v/>
      </c>
      <c r="K148" s="51">
        <f>IF(A148="","",DATE(YEAR(A148),MONTH(A148),1))</f>
        <v/>
      </c>
    </row>
    <row r="149">
      <c r="A149" s="47" t="n">
        <v>46179</v>
      </c>
      <c r="B149" s="38" t="inlineStr">
        <is>
          <t>J-0146</t>
        </is>
      </c>
      <c r="C149" s="48" t="n">
        <v>100</v>
      </c>
      <c r="D149" s="48" t="n"/>
      <c r="E149" s="38" t="inlineStr">
        <is>
          <t>Online Invoice</t>
        </is>
      </c>
      <c r="F149" s="38" t="inlineStr">
        <is>
          <t>INV-0146</t>
        </is>
      </c>
      <c r="G149" s="38" t="inlineStr"/>
      <c r="H149" s="49">
        <f>IF(B149="","",IFERROR(INDEX('JOBS'!$D$5:$D$1504,MATCH(B149,'JOBS'!$A$5:$A$1504,0)),"Job ID not found"))</f>
        <v/>
      </c>
      <c r="I149" s="49">
        <f>IF(B149="","",IFERROR(INDEX('JOBS'!$F$5:$F$1504,MATCH(B149,'JOBS'!$A$5:$A$1504,0)),""))</f>
        <v/>
      </c>
      <c r="J149" s="55">
        <f>IF(C149="","",ROUND(C149*IF(IFERROR(INDEX('SETTINGS'!$K$5:$K$24,MATCH(E149,'SETTINGS'!$J$5:$J$24,0)),"No")="Yes",FeePct,0),2))</f>
        <v/>
      </c>
      <c r="K149" s="51">
        <f>IF(A149="","",DATE(YEAR(A149),MONTH(A149),1))</f>
        <v/>
      </c>
    </row>
    <row r="150">
      <c r="A150" s="47" t="n">
        <v>46179</v>
      </c>
      <c r="B150" s="38" t="inlineStr">
        <is>
          <t>J-0149</t>
        </is>
      </c>
      <c r="C150" s="48" t="n">
        <v>150</v>
      </c>
      <c r="D150" s="48" t="n"/>
      <c r="E150" s="38" t="inlineStr">
        <is>
          <t>Card</t>
        </is>
      </c>
      <c r="F150" s="38" t="inlineStr">
        <is>
          <t>INV-0149</t>
        </is>
      </c>
      <c r="G150" s="38" t="inlineStr"/>
      <c r="H150" s="49">
        <f>IF(B150="","",IFERROR(INDEX('JOBS'!$D$5:$D$1504,MATCH(B150,'JOBS'!$A$5:$A$1504,0)),"Job ID not found"))</f>
        <v/>
      </c>
      <c r="I150" s="49">
        <f>IF(B150="","",IFERROR(INDEX('JOBS'!$F$5:$F$1504,MATCH(B150,'JOBS'!$A$5:$A$1504,0)),""))</f>
        <v/>
      </c>
      <c r="J150" s="55">
        <f>IF(C150="","",ROUND(C150*IF(IFERROR(INDEX('SETTINGS'!$K$5:$K$24,MATCH(E150,'SETTINGS'!$J$5:$J$24,0)),"No")="Yes",FeePct,0),2))</f>
        <v/>
      </c>
      <c r="K150" s="51">
        <f>IF(A150="","",DATE(YEAR(A150),MONTH(A150),1))</f>
        <v/>
      </c>
    </row>
    <row r="151">
      <c r="A151" s="47" t="n">
        <v>46182</v>
      </c>
      <c r="B151" s="38" t="inlineStr">
        <is>
          <t>J-0151</t>
        </is>
      </c>
      <c r="C151" s="48" t="n">
        <v>175</v>
      </c>
      <c r="D151" s="48" t="n"/>
      <c r="E151" s="38" t="inlineStr">
        <is>
          <t>Card</t>
        </is>
      </c>
      <c r="F151" s="38" t="inlineStr">
        <is>
          <t>INV-0151</t>
        </is>
      </c>
      <c r="G151" s="38" t="inlineStr"/>
      <c r="H151" s="49">
        <f>IF(B151="","",IFERROR(INDEX('JOBS'!$D$5:$D$1504,MATCH(B151,'JOBS'!$A$5:$A$1504,0)),"Job ID not found"))</f>
        <v/>
      </c>
      <c r="I151" s="49">
        <f>IF(B151="","",IFERROR(INDEX('JOBS'!$F$5:$F$1504,MATCH(B151,'JOBS'!$A$5:$A$1504,0)),""))</f>
        <v/>
      </c>
      <c r="J151" s="55">
        <f>IF(C151="","",ROUND(C151*IF(IFERROR(INDEX('SETTINGS'!$K$5:$K$24,MATCH(E151,'SETTINGS'!$J$5:$J$24,0)),"No")="Yes",FeePct,0),2))</f>
        <v/>
      </c>
      <c r="K151" s="51">
        <f>IF(A151="","",DATE(YEAR(A151),MONTH(A151),1))</f>
        <v/>
      </c>
    </row>
    <row r="152">
      <c r="A152" s="47" t="n">
        <v>46184</v>
      </c>
      <c r="B152" s="38" t="inlineStr">
        <is>
          <t>J-0150</t>
        </is>
      </c>
      <c r="C152" s="48" t="n">
        <v>110</v>
      </c>
      <c r="D152" s="48" t="n"/>
      <c r="E152" s="38" t="inlineStr">
        <is>
          <t>Card</t>
        </is>
      </c>
      <c r="F152" s="38" t="inlineStr">
        <is>
          <t>INV-0150</t>
        </is>
      </c>
      <c r="G152" s="38" t="inlineStr"/>
      <c r="H152" s="49">
        <f>IF(B152="","",IFERROR(INDEX('JOBS'!$D$5:$D$1504,MATCH(B152,'JOBS'!$A$5:$A$1504,0)),"Job ID not found"))</f>
        <v/>
      </c>
      <c r="I152" s="49">
        <f>IF(B152="","",IFERROR(INDEX('JOBS'!$F$5:$F$1504,MATCH(B152,'JOBS'!$A$5:$A$1504,0)),""))</f>
        <v/>
      </c>
      <c r="J152" s="55">
        <f>IF(C152="","",ROUND(C152*IF(IFERROR(INDEX('SETTINGS'!$K$5:$K$24,MATCH(E152,'SETTINGS'!$J$5:$J$24,0)),"No")="Yes",FeePct,0),2))</f>
        <v/>
      </c>
      <c r="K152" s="51">
        <f>IF(A152="","",DATE(YEAR(A152),MONTH(A152),1))</f>
        <v/>
      </c>
    </row>
    <row r="153">
      <c r="A153" s="47" t="n">
        <v>46184</v>
      </c>
      <c r="B153" s="38" t="inlineStr">
        <is>
          <t>J-0152</t>
        </is>
      </c>
      <c r="C153" s="48" t="n">
        <v>220</v>
      </c>
      <c r="D153" s="48" t="n"/>
      <c r="E153" s="38" t="inlineStr">
        <is>
          <t>Payment App</t>
        </is>
      </c>
      <c r="F153" s="38" t="inlineStr">
        <is>
          <t>INV-0152</t>
        </is>
      </c>
      <c r="G153" s="38" t="inlineStr"/>
      <c r="H153" s="49">
        <f>IF(B153="","",IFERROR(INDEX('JOBS'!$D$5:$D$1504,MATCH(B153,'JOBS'!$A$5:$A$1504,0)),"Job ID not found"))</f>
        <v/>
      </c>
      <c r="I153" s="49">
        <f>IF(B153="","",IFERROR(INDEX('JOBS'!$F$5:$F$1504,MATCH(B153,'JOBS'!$A$5:$A$1504,0)),""))</f>
        <v/>
      </c>
      <c r="J153" s="55">
        <f>IF(C153="","",ROUND(C153*IF(IFERROR(INDEX('SETTINGS'!$K$5:$K$24,MATCH(E153,'SETTINGS'!$J$5:$J$24,0)),"No")="Yes",FeePct,0),2))</f>
        <v/>
      </c>
      <c r="K153" s="51">
        <f>IF(A153="","",DATE(YEAR(A153),MONTH(A153),1))</f>
        <v/>
      </c>
    </row>
    <row r="154">
      <c r="A154" s="47" t="n">
        <v>46185</v>
      </c>
      <c r="B154" s="38" t="inlineStr">
        <is>
          <t>J-0154</t>
        </is>
      </c>
      <c r="C154" s="48" t="n">
        <v>135</v>
      </c>
      <c r="D154" s="48" t="n">
        <v>20</v>
      </c>
      <c r="E154" s="38" t="inlineStr">
        <is>
          <t>Card</t>
        </is>
      </c>
      <c r="F154" s="38" t="inlineStr">
        <is>
          <t>INV-0154</t>
        </is>
      </c>
      <c r="G154" s="38" t="inlineStr"/>
      <c r="H154" s="49">
        <f>IF(B154="","",IFERROR(INDEX('JOBS'!$D$5:$D$1504,MATCH(B154,'JOBS'!$A$5:$A$1504,0)),"Job ID not found"))</f>
        <v/>
      </c>
      <c r="I154" s="49">
        <f>IF(B154="","",IFERROR(INDEX('JOBS'!$F$5:$F$1504,MATCH(B154,'JOBS'!$A$5:$A$1504,0)),""))</f>
        <v/>
      </c>
      <c r="J154" s="55">
        <f>IF(C154="","",ROUND(C154*IF(IFERROR(INDEX('SETTINGS'!$K$5:$K$24,MATCH(E154,'SETTINGS'!$J$5:$J$24,0)),"No")="Yes",FeePct,0),2))</f>
        <v/>
      </c>
      <c r="K154" s="51">
        <f>IF(A154="","",DATE(YEAR(A154),MONTH(A154),1))</f>
        <v/>
      </c>
    </row>
    <row r="155">
      <c r="A155" s="47" t="n">
        <v>46185</v>
      </c>
      <c r="B155" s="38" t="inlineStr">
        <is>
          <t>J-0155</t>
        </is>
      </c>
      <c r="C155" s="48" t="n">
        <v>220</v>
      </c>
      <c r="D155" s="48" t="n"/>
      <c r="E155" s="38" t="inlineStr">
        <is>
          <t>Card</t>
        </is>
      </c>
      <c r="F155" s="38" t="inlineStr">
        <is>
          <t>INV-0155</t>
        </is>
      </c>
      <c r="G155" s="38" t="inlineStr"/>
      <c r="H155" s="49">
        <f>IF(B155="","",IFERROR(INDEX('JOBS'!$D$5:$D$1504,MATCH(B155,'JOBS'!$A$5:$A$1504,0)),"Job ID not found"))</f>
        <v/>
      </c>
      <c r="I155" s="49">
        <f>IF(B155="","",IFERROR(INDEX('JOBS'!$F$5:$F$1504,MATCH(B155,'JOBS'!$A$5:$A$1504,0)),""))</f>
        <v/>
      </c>
      <c r="J155" s="55">
        <f>IF(C155="","",ROUND(C155*IF(IFERROR(INDEX('SETTINGS'!$K$5:$K$24,MATCH(E155,'SETTINGS'!$J$5:$J$24,0)),"No")="Yes",FeePct,0),2))</f>
        <v/>
      </c>
      <c r="K155" s="51">
        <f>IF(A155="","",DATE(YEAR(A155),MONTH(A155),1))</f>
        <v/>
      </c>
    </row>
    <row r="156">
      <c r="A156" s="47" t="n">
        <v>46185</v>
      </c>
      <c r="B156" s="38" t="inlineStr">
        <is>
          <t>J-0157</t>
        </is>
      </c>
      <c r="C156" s="48" t="n">
        <v>140</v>
      </c>
      <c r="D156" s="48" t="n"/>
      <c r="E156" s="38" t="inlineStr">
        <is>
          <t>Online Invoice</t>
        </is>
      </c>
      <c r="F156" s="38" t="inlineStr">
        <is>
          <t>INV-0157</t>
        </is>
      </c>
      <c r="G156" s="38" t="inlineStr"/>
      <c r="H156" s="49">
        <f>IF(B156="","",IFERROR(INDEX('JOBS'!$D$5:$D$1504,MATCH(B156,'JOBS'!$A$5:$A$1504,0)),"Job ID not found"))</f>
        <v/>
      </c>
      <c r="I156" s="49">
        <f>IF(B156="","",IFERROR(INDEX('JOBS'!$F$5:$F$1504,MATCH(B156,'JOBS'!$A$5:$A$1504,0)),""))</f>
        <v/>
      </c>
      <c r="J156" s="55">
        <f>IF(C156="","",ROUND(C156*IF(IFERROR(INDEX('SETTINGS'!$K$5:$K$24,MATCH(E156,'SETTINGS'!$J$5:$J$24,0)),"No")="Yes",FeePct,0),2))</f>
        <v/>
      </c>
      <c r="K156" s="51">
        <f>IF(A156="","",DATE(YEAR(A156),MONTH(A156),1))</f>
        <v/>
      </c>
    </row>
    <row r="157">
      <c r="A157" s="47" t="n">
        <v>46185</v>
      </c>
      <c r="B157" s="38" t="inlineStr">
        <is>
          <t>J-0158</t>
        </is>
      </c>
      <c r="C157" s="48" t="n">
        <v>220</v>
      </c>
      <c r="D157" s="48" t="n"/>
      <c r="E157" s="38" t="inlineStr">
        <is>
          <t>Payment App</t>
        </is>
      </c>
      <c r="F157" s="38" t="inlineStr">
        <is>
          <t>INV-0158</t>
        </is>
      </c>
      <c r="G157" s="38" t="inlineStr"/>
      <c r="H157" s="49">
        <f>IF(B157="","",IFERROR(INDEX('JOBS'!$D$5:$D$1504,MATCH(B157,'JOBS'!$A$5:$A$1504,0)),"Job ID not found"))</f>
        <v/>
      </c>
      <c r="I157" s="49">
        <f>IF(B157="","",IFERROR(INDEX('JOBS'!$F$5:$F$1504,MATCH(B157,'JOBS'!$A$5:$A$1504,0)),""))</f>
        <v/>
      </c>
      <c r="J157" s="55">
        <f>IF(C157="","",ROUND(C157*IF(IFERROR(INDEX('SETTINGS'!$K$5:$K$24,MATCH(E157,'SETTINGS'!$J$5:$J$24,0)),"No")="Yes",FeePct,0),2))</f>
        <v/>
      </c>
      <c r="K157" s="51">
        <f>IF(A157="","",DATE(YEAR(A157),MONTH(A157),1))</f>
        <v/>
      </c>
    </row>
    <row r="158">
      <c r="A158" s="47" t="n">
        <v>46187</v>
      </c>
      <c r="B158" s="38" t="inlineStr">
        <is>
          <t>J-0156</t>
        </is>
      </c>
      <c r="C158" s="48" t="n">
        <v>100</v>
      </c>
      <c r="D158" s="48" t="n"/>
      <c r="E158" s="38" t="inlineStr">
        <is>
          <t>Online Invoice</t>
        </is>
      </c>
      <c r="F158" s="38" t="inlineStr">
        <is>
          <t>INV-0156</t>
        </is>
      </c>
      <c r="G158" s="38" t="inlineStr"/>
      <c r="H158" s="49">
        <f>IF(B158="","",IFERROR(INDEX('JOBS'!$D$5:$D$1504,MATCH(B158,'JOBS'!$A$5:$A$1504,0)),"Job ID not found"))</f>
        <v/>
      </c>
      <c r="I158" s="49">
        <f>IF(B158="","",IFERROR(INDEX('JOBS'!$F$5:$F$1504,MATCH(B158,'JOBS'!$A$5:$A$1504,0)),""))</f>
        <v/>
      </c>
      <c r="J158" s="55">
        <f>IF(C158="","",ROUND(C158*IF(IFERROR(INDEX('SETTINGS'!$K$5:$K$24,MATCH(E158,'SETTINGS'!$J$5:$J$24,0)),"No")="Yes",FeePct,0),2))</f>
        <v/>
      </c>
      <c r="K158" s="51">
        <f>IF(A158="","",DATE(YEAR(A158),MONTH(A158),1))</f>
        <v/>
      </c>
    </row>
    <row r="159">
      <c r="A159" s="47" t="n">
        <v>46189</v>
      </c>
      <c r="B159" s="38" t="inlineStr">
        <is>
          <t>J-0153</t>
        </is>
      </c>
      <c r="C159" s="48" t="n">
        <v>255</v>
      </c>
      <c r="D159" s="48" t="n">
        <v>20</v>
      </c>
      <c r="E159" s="38" t="inlineStr">
        <is>
          <t>Card</t>
        </is>
      </c>
      <c r="F159" s="38" t="inlineStr">
        <is>
          <t>INV-0153</t>
        </is>
      </c>
      <c r="G159" s="38" t="inlineStr"/>
      <c r="H159" s="49">
        <f>IF(B159="","",IFERROR(INDEX('JOBS'!$D$5:$D$1504,MATCH(B159,'JOBS'!$A$5:$A$1504,0)),"Job ID not found"))</f>
        <v/>
      </c>
      <c r="I159" s="49">
        <f>IF(B159="","",IFERROR(INDEX('JOBS'!$F$5:$F$1504,MATCH(B159,'JOBS'!$A$5:$A$1504,0)),""))</f>
        <v/>
      </c>
      <c r="J159" s="55">
        <f>IF(C159="","",ROUND(C159*IF(IFERROR(INDEX('SETTINGS'!$K$5:$K$24,MATCH(E159,'SETTINGS'!$J$5:$J$24,0)),"No")="Yes",FeePct,0),2))</f>
        <v/>
      </c>
      <c r="K159" s="51">
        <f>IF(A159="","",DATE(YEAR(A159),MONTH(A159),1))</f>
        <v/>
      </c>
    </row>
    <row r="160">
      <c r="A160" s="47" t="n">
        <v>46189</v>
      </c>
      <c r="B160" s="38" t="inlineStr">
        <is>
          <t>J-0160</t>
        </is>
      </c>
      <c r="C160" s="48" t="n">
        <v>175</v>
      </c>
      <c r="D160" s="48" t="n"/>
      <c r="E160" s="38" t="inlineStr">
        <is>
          <t>Payment App</t>
        </is>
      </c>
      <c r="F160" s="38" t="inlineStr">
        <is>
          <t>INV-0160</t>
        </is>
      </c>
      <c r="G160" s="38" t="inlineStr"/>
      <c r="H160" s="49">
        <f>IF(B160="","",IFERROR(INDEX('JOBS'!$D$5:$D$1504,MATCH(B160,'JOBS'!$A$5:$A$1504,0)),"Job ID not found"))</f>
        <v/>
      </c>
      <c r="I160" s="49">
        <f>IF(B160="","",IFERROR(INDEX('JOBS'!$F$5:$F$1504,MATCH(B160,'JOBS'!$A$5:$A$1504,0)),""))</f>
        <v/>
      </c>
      <c r="J160" s="55">
        <f>IF(C160="","",ROUND(C160*IF(IFERROR(INDEX('SETTINGS'!$K$5:$K$24,MATCH(E160,'SETTINGS'!$J$5:$J$24,0)),"No")="Yes",FeePct,0),2))</f>
        <v/>
      </c>
      <c r="K160" s="51">
        <f>IF(A160="","",DATE(YEAR(A160),MONTH(A160),1))</f>
        <v/>
      </c>
    </row>
    <row r="161">
      <c r="A161" s="47" t="n">
        <v>46189</v>
      </c>
      <c r="B161" s="38" t="inlineStr">
        <is>
          <t>J-0161</t>
        </is>
      </c>
      <c r="C161" s="48" t="n">
        <v>490</v>
      </c>
      <c r="D161" s="48" t="n">
        <v>10</v>
      </c>
      <c r="E161" s="38" t="inlineStr">
        <is>
          <t>Card</t>
        </is>
      </c>
      <c r="F161" s="38" t="inlineStr">
        <is>
          <t>INV-0161</t>
        </is>
      </c>
      <c r="G161" s="38" t="inlineStr"/>
      <c r="H161" s="49">
        <f>IF(B161="","",IFERROR(INDEX('JOBS'!$D$5:$D$1504,MATCH(B161,'JOBS'!$A$5:$A$1504,0)),"Job ID not found"))</f>
        <v/>
      </c>
      <c r="I161" s="49">
        <f>IF(B161="","",IFERROR(INDEX('JOBS'!$F$5:$F$1504,MATCH(B161,'JOBS'!$A$5:$A$1504,0)),""))</f>
        <v/>
      </c>
      <c r="J161" s="55">
        <f>IF(C161="","",ROUND(C161*IF(IFERROR(INDEX('SETTINGS'!$K$5:$K$24,MATCH(E161,'SETTINGS'!$J$5:$J$24,0)),"No")="Yes",FeePct,0),2))</f>
        <v/>
      </c>
      <c r="K161" s="51">
        <f>IF(A161="","",DATE(YEAR(A161),MONTH(A161),1))</f>
        <v/>
      </c>
    </row>
    <row r="162">
      <c r="A162" s="47" t="n">
        <v>46190</v>
      </c>
      <c r="B162" s="38" t="inlineStr">
        <is>
          <t>J-0163</t>
        </is>
      </c>
      <c r="C162" s="48" t="n">
        <v>120</v>
      </c>
      <c r="D162" s="48" t="n"/>
      <c r="E162" s="38" t="inlineStr">
        <is>
          <t>Check</t>
        </is>
      </c>
      <c r="F162" s="38" t="inlineStr">
        <is>
          <t>INV-0163</t>
        </is>
      </c>
      <c r="G162" s="38" t="inlineStr"/>
      <c r="H162" s="49">
        <f>IF(B162="","",IFERROR(INDEX('JOBS'!$D$5:$D$1504,MATCH(B162,'JOBS'!$A$5:$A$1504,0)),"Job ID not found"))</f>
        <v/>
      </c>
      <c r="I162" s="49">
        <f>IF(B162="","",IFERROR(INDEX('JOBS'!$F$5:$F$1504,MATCH(B162,'JOBS'!$A$5:$A$1504,0)),""))</f>
        <v/>
      </c>
      <c r="J162" s="55">
        <f>IF(C162="","",ROUND(C162*IF(IFERROR(INDEX('SETTINGS'!$K$5:$K$24,MATCH(E162,'SETTINGS'!$J$5:$J$24,0)),"No")="Yes",FeePct,0),2))</f>
        <v/>
      </c>
      <c r="K162" s="51">
        <f>IF(A162="","",DATE(YEAR(A162),MONTH(A162),1))</f>
        <v/>
      </c>
    </row>
    <row r="163">
      <c r="A163" s="47" t="n">
        <v>46191</v>
      </c>
      <c r="B163" s="38" t="inlineStr">
        <is>
          <t>J-0159</t>
        </is>
      </c>
      <c r="C163" s="48" t="n">
        <v>245</v>
      </c>
      <c r="D163" s="48" t="n"/>
      <c r="E163" s="38" t="inlineStr">
        <is>
          <t>Online Invoice</t>
        </is>
      </c>
      <c r="F163" s="38" t="inlineStr">
        <is>
          <t>INV-0159</t>
        </is>
      </c>
      <c r="G163" s="38" t="inlineStr"/>
      <c r="H163" s="49">
        <f>IF(B163="","",IFERROR(INDEX('JOBS'!$D$5:$D$1504,MATCH(B163,'JOBS'!$A$5:$A$1504,0)),"Job ID not found"))</f>
        <v/>
      </c>
      <c r="I163" s="49">
        <f>IF(B163="","",IFERROR(INDEX('JOBS'!$F$5:$F$1504,MATCH(B163,'JOBS'!$A$5:$A$1504,0)),""))</f>
        <v/>
      </c>
      <c r="J163" s="55">
        <f>IF(C163="","",ROUND(C163*IF(IFERROR(INDEX('SETTINGS'!$K$5:$K$24,MATCH(E163,'SETTINGS'!$J$5:$J$24,0)),"No")="Yes",FeePct,0),2))</f>
        <v/>
      </c>
      <c r="K163" s="51">
        <f>IF(A163="","",DATE(YEAR(A163),MONTH(A163),1))</f>
        <v/>
      </c>
    </row>
    <row r="164">
      <c r="A164" s="47" t="n">
        <v>46191</v>
      </c>
      <c r="B164" s="38" t="inlineStr">
        <is>
          <t>J-0164</t>
        </is>
      </c>
      <c r="C164" s="48" t="n">
        <v>255</v>
      </c>
      <c r="D164" s="48" t="n"/>
      <c r="E164" s="38" t="inlineStr">
        <is>
          <t>Online Invoice</t>
        </is>
      </c>
      <c r="F164" s="38" t="inlineStr">
        <is>
          <t>INV-0164</t>
        </is>
      </c>
      <c r="G164" s="38" t="inlineStr"/>
      <c r="H164" s="49">
        <f>IF(B164="","",IFERROR(INDEX('JOBS'!$D$5:$D$1504,MATCH(B164,'JOBS'!$A$5:$A$1504,0)),"Job ID not found"))</f>
        <v/>
      </c>
      <c r="I164" s="49">
        <f>IF(B164="","",IFERROR(INDEX('JOBS'!$F$5:$F$1504,MATCH(B164,'JOBS'!$A$5:$A$1504,0)),""))</f>
        <v/>
      </c>
      <c r="J164" s="55">
        <f>IF(C164="","",ROUND(C164*IF(IFERROR(INDEX('SETTINGS'!$K$5:$K$24,MATCH(E164,'SETTINGS'!$J$5:$J$24,0)),"No")="Yes",FeePct,0),2))</f>
        <v/>
      </c>
      <c r="K164" s="51">
        <f>IF(A164="","",DATE(YEAR(A164),MONTH(A164),1))</f>
        <v/>
      </c>
    </row>
    <row r="165">
      <c r="A165" s="47" t="n">
        <v>46192</v>
      </c>
      <c r="B165" s="38" t="inlineStr">
        <is>
          <t>J-0165</t>
        </is>
      </c>
      <c r="C165" s="48" t="n">
        <v>140</v>
      </c>
      <c r="D165" s="48" t="n"/>
      <c r="E165" s="38" t="inlineStr">
        <is>
          <t>Online Invoice</t>
        </is>
      </c>
      <c r="F165" s="38" t="inlineStr">
        <is>
          <t>INV-0165</t>
        </is>
      </c>
      <c r="G165" s="38" t="inlineStr"/>
      <c r="H165" s="49">
        <f>IF(B165="","",IFERROR(INDEX('JOBS'!$D$5:$D$1504,MATCH(B165,'JOBS'!$A$5:$A$1504,0)),"Job ID not found"))</f>
        <v/>
      </c>
      <c r="I165" s="49">
        <f>IF(B165="","",IFERROR(INDEX('JOBS'!$F$5:$F$1504,MATCH(B165,'JOBS'!$A$5:$A$1504,0)),""))</f>
        <v/>
      </c>
      <c r="J165" s="55">
        <f>IF(C165="","",ROUND(C165*IF(IFERROR(INDEX('SETTINGS'!$K$5:$K$24,MATCH(E165,'SETTINGS'!$J$5:$J$24,0)),"No")="Yes",FeePct,0),2))</f>
        <v/>
      </c>
      <c r="K165" s="51">
        <f>IF(A165="","",DATE(YEAR(A165),MONTH(A165),1))</f>
        <v/>
      </c>
    </row>
    <row r="166">
      <c r="A166" s="47" t="n">
        <v>46194</v>
      </c>
      <c r="B166" s="38" t="inlineStr">
        <is>
          <t>J-0167</t>
        </is>
      </c>
      <c r="C166" s="48" t="n">
        <v>135</v>
      </c>
      <c r="D166" s="48" t="n"/>
      <c r="E166" s="38" t="inlineStr">
        <is>
          <t>Card</t>
        </is>
      </c>
      <c r="F166" s="38" t="inlineStr">
        <is>
          <t>INV-0167</t>
        </is>
      </c>
      <c r="G166" s="38" t="inlineStr"/>
      <c r="H166" s="49">
        <f>IF(B166="","",IFERROR(INDEX('JOBS'!$D$5:$D$1504,MATCH(B166,'JOBS'!$A$5:$A$1504,0)),"Job ID not found"))</f>
        <v/>
      </c>
      <c r="I166" s="49">
        <f>IF(B166="","",IFERROR(INDEX('JOBS'!$F$5:$F$1504,MATCH(B166,'JOBS'!$A$5:$A$1504,0)),""))</f>
        <v/>
      </c>
      <c r="J166" s="55">
        <f>IF(C166="","",ROUND(C166*IF(IFERROR(INDEX('SETTINGS'!$K$5:$K$24,MATCH(E166,'SETTINGS'!$J$5:$J$24,0)),"No")="Yes",FeePct,0),2))</f>
        <v/>
      </c>
      <c r="K166" s="51">
        <f>IF(A166="","",DATE(YEAR(A166),MONTH(A166),1))</f>
        <v/>
      </c>
    </row>
    <row r="167">
      <c r="A167" s="47" t="n">
        <v>46195</v>
      </c>
      <c r="B167" s="38" t="inlineStr">
        <is>
          <t>J-0162</t>
        </is>
      </c>
      <c r="C167" s="48" t="n">
        <v>150</v>
      </c>
      <c r="D167" s="48" t="n"/>
      <c r="E167" s="38" t="inlineStr">
        <is>
          <t>Payment App</t>
        </is>
      </c>
      <c r="F167" s="38" t="inlineStr">
        <is>
          <t>INV-0162</t>
        </is>
      </c>
      <c r="G167" s="38" t="inlineStr"/>
      <c r="H167" s="49">
        <f>IF(B167="","",IFERROR(INDEX('JOBS'!$D$5:$D$1504,MATCH(B167,'JOBS'!$A$5:$A$1504,0)),"Job ID not found"))</f>
        <v/>
      </c>
      <c r="I167" s="49">
        <f>IF(B167="","",IFERROR(INDEX('JOBS'!$F$5:$F$1504,MATCH(B167,'JOBS'!$A$5:$A$1504,0)),""))</f>
        <v/>
      </c>
      <c r="J167" s="55">
        <f>IF(C167="","",ROUND(C167*IF(IFERROR(INDEX('SETTINGS'!$K$5:$K$24,MATCH(E167,'SETTINGS'!$J$5:$J$24,0)),"No")="Yes",FeePct,0),2))</f>
        <v/>
      </c>
      <c r="K167" s="51">
        <f>IF(A167="","",DATE(YEAR(A167),MONTH(A167),1))</f>
        <v/>
      </c>
    </row>
    <row r="168">
      <c r="A168" s="47" t="n">
        <v>46195</v>
      </c>
      <c r="B168" s="38" t="inlineStr">
        <is>
          <t>J-0168</t>
        </is>
      </c>
      <c r="C168" s="48" t="n">
        <v>110</v>
      </c>
      <c r="D168" s="48" t="n"/>
      <c r="E168" s="38" t="inlineStr">
        <is>
          <t>Card</t>
        </is>
      </c>
      <c r="F168" s="38" t="inlineStr">
        <is>
          <t>INV-0168</t>
        </is>
      </c>
      <c r="G168" s="38" t="inlineStr"/>
      <c r="H168" s="49">
        <f>IF(B168="","",IFERROR(INDEX('JOBS'!$D$5:$D$1504,MATCH(B168,'JOBS'!$A$5:$A$1504,0)),"Job ID not found"))</f>
        <v/>
      </c>
      <c r="I168" s="49">
        <f>IF(B168="","",IFERROR(INDEX('JOBS'!$F$5:$F$1504,MATCH(B168,'JOBS'!$A$5:$A$1504,0)),""))</f>
        <v/>
      </c>
      <c r="J168" s="55">
        <f>IF(C168="","",ROUND(C168*IF(IFERROR(INDEX('SETTINGS'!$K$5:$K$24,MATCH(E168,'SETTINGS'!$J$5:$J$24,0)),"No")="Yes",FeePct,0),2))</f>
        <v/>
      </c>
      <c r="K168" s="51">
        <f>IF(A168="","",DATE(YEAR(A168),MONTH(A168),1))</f>
        <v/>
      </c>
    </row>
    <row r="169">
      <c r="A169" s="47" t="n">
        <v>46195</v>
      </c>
      <c r="B169" s="38" t="inlineStr">
        <is>
          <t>J-0171</t>
        </is>
      </c>
      <c r="C169" s="48" t="n">
        <v>150</v>
      </c>
      <c r="D169" s="48" t="n"/>
      <c r="E169" s="38" t="inlineStr">
        <is>
          <t>Card</t>
        </is>
      </c>
      <c r="F169" s="38" t="inlineStr">
        <is>
          <t>INV-0171</t>
        </is>
      </c>
      <c r="G169" s="38" t="inlineStr"/>
      <c r="H169" s="49">
        <f>IF(B169="","",IFERROR(INDEX('JOBS'!$D$5:$D$1504,MATCH(B169,'JOBS'!$A$5:$A$1504,0)),"Job ID not found"))</f>
        <v/>
      </c>
      <c r="I169" s="49">
        <f>IF(B169="","",IFERROR(INDEX('JOBS'!$F$5:$F$1504,MATCH(B169,'JOBS'!$A$5:$A$1504,0)),""))</f>
        <v/>
      </c>
      <c r="J169" s="55">
        <f>IF(C169="","",ROUND(C169*IF(IFERROR(INDEX('SETTINGS'!$K$5:$K$24,MATCH(E169,'SETTINGS'!$J$5:$J$24,0)),"No")="Yes",FeePct,0),2))</f>
        <v/>
      </c>
      <c r="K169" s="51">
        <f>IF(A169="","",DATE(YEAR(A169),MONTH(A169),1))</f>
        <v/>
      </c>
    </row>
    <row r="170">
      <c r="A170" s="47" t="n">
        <v>46196</v>
      </c>
      <c r="B170" s="38" t="inlineStr">
        <is>
          <t>J-0172</t>
        </is>
      </c>
      <c r="C170" s="48" t="n">
        <v>175</v>
      </c>
      <c r="D170" s="48" t="n"/>
      <c r="E170" s="38" t="inlineStr">
        <is>
          <t>Card</t>
        </is>
      </c>
      <c r="F170" s="38" t="inlineStr">
        <is>
          <t>INV-0172</t>
        </is>
      </c>
      <c r="G170" s="38" t="inlineStr"/>
      <c r="H170" s="49">
        <f>IF(B170="","",IFERROR(INDEX('JOBS'!$D$5:$D$1504,MATCH(B170,'JOBS'!$A$5:$A$1504,0)),"Job ID not found"))</f>
        <v/>
      </c>
      <c r="I170" s="49">
        <f>IF(B170="","",IFERROR(INDEX('JOBS'!$F$5:$F$1504,MATCH(B170,'JOBS'!$A$5:$A$1504,0)),""))</f>
        <v/>
      </c>
      <c r="J170" s="55">
        <f>IF(C170="","",ROUND(C170*IF(IFERROR(INDEX('SETTINGS'!$K$5:$K$24,MATCH(E170,'SETTINGS'!$J$5:$J$24,0)),"No")="Yes",FeePct,0),2))</f>
        <v/>
      </c>
      <c r="K170" s="51">
        <f>IF(A170="","",DATE(YEAR(A170),MONTH(A170),1))</f>
        <v/>
      </c>
    </row>
    <row r="171">
      <c r="A171" s="47" t="n">
        <v>46197</v>
      </c>
      <c r="B171" s="38" t="inlineStr">
        <is>
          <t>J-0166</t>
        </is>
      </c>
      <c r="C171" s="48" t="n">
        <v>100</v>
      </c>
      <c r="D171" s="48" t="n"/>
      <c r="E171" s="38" t="inlineStr">
        <is>
          <t>Online Invoice</t>
        </is>
      </c>
      <c r="F171" s="38" t="inlineStr">
        <is>
          <t>INV-0166</t>
        </is>
      </c>
      <c r="G171" s="38" t="inlineStr"/>
      <c r="H171" s="49">
        <f>IF(B171="","",IFERROR(INDEX('JOBS'!$D$5:$D$1504,MATCH(B171,'JOBS'!$A$5:$A$1504,0)),"Job ID not found"))</f>
        <v/>
      </c>
      <c r="I171" s="49">
        <f>IF(B171="","",IFERROR(INDEX('JOBS'!$F$5:$F$1504,MATCH(B171,'JOBS'!$A$5:$A$1504,0)),""))</f>
        <v/>
      </c>
      <c r="J171" s="55">
        <f>IF(C171="","",ROUND(C171*IF(IFERROR(INDEX('SETTINGS'!$K$5:$K$24,MATCH(E171,'SETTINGS'!$J$5:$J$24,0)),"No")="Yes",FeePct,0),2))</f>
        <v/>
      </c>
      <c r="K171" s="51">
        <f>IF(A171="","",DATE(YEAR(A171),MONTH(A171),1))</f>
        <v/>
      </c>
    </row>
    <row r="172">
      <c r="A172" s="47" t="n">
        <v>46199</v>
      </c>
      <c r="B172" s="38" t="inlineStr">
        <is>
          <t>J-0169</t>
        </is>
      </c>
      <c r="C172" s="48" t="n">
        <v>150</v>
      </c>
      <c r="D172" s="48" t="n"/>
      <c r="E172" s="38" t="inlineStr">
        <is>
          <t>Payment App</t>
        </is>
      </c>
      <c r="F172" s="38" t="inlineStr">
        <is>
          <t>INV-0169</t>
        </is>
      </c>
      <c r="G172" s="38" t="inlineStr"/>
      <c r="H172" s="49">
        <f>IF(B172="","",IFERROR(INDEX('JOBS'!$D$5:$D$1504,MATCH(B172,'JOBS'!$A$5:$A$1504,0)),"Job ID not found"))</f>
        <v/>
      </c>
      <c r="I172" s="49">
        <f>IF(B172="","",IFERROR(INDEX('JOBS'!$F$5:$F$1504,MATCH(B172,'JOBS'!$A$5:$A$1504,0)),""))</f>
        <v/>
      </c>
      <c r="J172" s="55">
        <f>IF(C172="","",ROUND(C172*IF(IFERROR(INDEX('SETTINGS'!$K$5:$K$24,MATCH(E172,'SETTINGS'!$J$5:$J$24,0)),"No")="Yes",FeePct,0),2))</f>
        <v/>
      </c>
      <c r="K172" s="51">
        <f>IF(A172="","",DATE(YEAR(A172),MONTH(A172),1))</f>
        <v/>
      </c>
    </row>
    <row r="173">
      <c r="A173" s="47" t="n">
        <v>46199</v>
      </c>
      <c r="B173" s="38" t="inlineStr">
        <is>
          <t>J-0173</t>
        </is>
      </c>
      <c r="C173" s="48" t="n">
        <v>220</v>
      </c>
      <c r="D173" s="48" t="n"/>
      <c r="E173" s="38" t="inlineStr">
        <is>
          <t>Check</t>
        </is>
      </c>
      <c r="F173" s="38" t="inlineStr">
        <is>
          <t>INV-0173</t>
        </is>
      </c>
      <c r="G173" s="38" t="inlineStr"/>
      <c r="H173" s="49">
        <f>IF(B173="","",IFERROR(INDEX('JOBS'!$D$5:$D$1504,MATCH(B173,'JOBS'!$A$5:$A$1504,0)),"Job ID not found"))</f>
        <v/>
      </c>
      <c r="I173" s="49">
        <f>IF(B173="","",IFERROR(INDEX('JOBS'!$F$5:$F$1504,MATCH(B173,'JOBS'!$A$5:$A$1504,0)),""))</f>
        <v/>
      </c>
      <c r="J173" s="55">
        <f>IF(C173="","",ROUND(C173*IF(IFERROR(INDEX('SETTINGS'!$K$5:$K$24,MATCH(E173,'SETTINGS'!$J$5:$J$24,0)),"No")="Yes",FeePct,0),2))</f>
        <v/>
      </c>
      <c r="K173" s="51">
        <f>IF(A173="","",DATE(YEAR(A173),MONTH(A173),1))</f>
        <v/>
      </c>
    </row>
    <row r="174">
      <c r="A174" s="47" t="n">
        <v>46199</v>
      </c>
      <c r="B174" s="38" t="inlineStr">
        <is>
          <t>J-0176</t>
        </is>
      </c>
      <c r="C174" s="48" t="n">
        <v>220</v>
      </c>
      <c r="D174" s="48" t="n"/>
      <c r="E174" s="38" t="inlineStr">
        <is>
          <t>Card</t>
        </is>
      </c>
      <c r="F174" s="38" t="inlineStr">
        <is>
          <t>INV-0176</t>
        </is>
      </c>
      <c r="G174" s="38" t="inlineStr"/>
      <c r="H174" s="49">
        <f>IF(B174="","",IFERROR(INDEX('JOBS'!$D$5:$D$1504,MATCH(B174,'JOBS'!$A$5:$A$1504,0)),"Job ID not found"))</f>
        <v/>
      </c>
      <c r="I174" s="49">
        <f>IF(B174="","",IFERROR(INDEX('JOBS'!$F$5:$F$1504,MATCH(B174,'JOBS'!$A$5:$A$1504,0)),""))</f>
        <v/>
      </c>
      <c r="J174" s="55">
        <f>IF(C174="","",ROUND(C174*IF(IFERROR(INDEX('SETTINGS'!$K$5:$K$24,MATCH(E174,'SETTINGS'!$J$5:$J$24,0)),"No")="Yes",FeePct,0),2))</f>
        <v/>
      </c>
      <c r="K174" s="51">
        <f>IF(A174="","",DATE(YEAR(A174),MONTH(A174),1))</f>
        <v/>
      </c>
    </row>
    <row r="175">
      <c r="A175" s="47" t="n">
        <v>46199</v>
      </c>
      <c r="B175" s="38" t="inlineStr">
        <is>
          <t>J-0178</t>
        </is>
      </c>
      <c r="C175" s="48" t="n">
        <v>100</v>
      </c>
      <c r="D175" s="48" t="n">
        <v>10</v>
      </c>
      <c r="E175" s="38" t="inlineStr">
        <is>
          <t>Online Invoice</t>
        </is>
      </c>
      <c r="F175" s="38" t="inlineStr">
        <is>
          <t>INV-0178</t>
        </is>
      </c>
      <c r="G175" s="38" t="inlineStr"/>
      <c r="H175" s="49">
        <f>IF(B175="","",IFERROR(INDEX('JOBS'!$D$5:$D$1504,MATCH(B175,'JOBS'!$A$5:$A$1504,0)),"Job ID not found"))</f>
        <v/>
      </c>
      <c r="I175" s="49">
        <f>IF(B175="","",IFERROR(INDEX('JOBS'!$F$5:$F$1504,MATCH(B175,'JOBS'!$A$5:$A$1504,0)),""))</f>
        <v/>
      </c>
      <c r="J175" s="55">
        <f>IF(C175="","",ROUND(C175*IF(IFERROR(INDEX('SETTINGS'!$K$5:$K$24,MATCH(E175,'SETTINGS'!$J$5:$J$24,0)),"No")="Yes",FeePct,0),2))</f>
        <v/>
      </c>
      <c r="K175" s="51">
        <f>IF(A175="","",DATE(YEAR(A175),MONTH(A175),1))</f>
        <v/>
      </c>
    </row>
    <row r="176">
      <c r="A176" s="47" t="n">
        <v>46200</v>
      </c>
      <c r="B176" s="38" t="inlineStr">
        <is>
          <t>J-0170</t>
        </is>
      </c>
      <c r="C176" s="48" t="n">
        <v>145</v>
      </c>
      <c r="D176" s="48" t="n"/>
      <c r="E176" s="38" t="inlineStr">
        <is>
          <t>Online Invoice</t>
        </is>
      </c>
      <c r="F176" s="38" t="inlineStr">
        <is>
          <t>INV-0170</t>
        </is>
      </c>
      <c r="G176" s="38" t="inlineStr"/>
      <c r="H176" s="49">
        <f>IF(B176="","",IFERROR(INDEX('JOBS'!$D$5:$D$1504,MATCH(B176,'JOBS'!$A$5:$A$1504,0)),"Job ID not found"))</f>
        <v/>
      </c>
      <c r="I176" s="49">
        <f>IF(B176="","",IFERROR(INDEX('JOBS'!$F$5:$F$1504,MATCH(B176,'JOBS'!$A$5:$A$1504,0)),""))</f>
        <v/>
      </c>
      <c r="J176" s="55">
        <f>IF(C176="","",ROUND(C176*IF(IFERROR(INDEX('SETTINGS'!$K$5:$K$24,MATCH(E176,'SETTINGS'!$J$5:$J$24,0)),"No")="Yes",FeePct,0),2))</f>
        <v/>
      </c>
      <c r="K176" s="51">
        <f>IF(A176="","",DATE(YEAR(A176),MONTH(A176),1))</f>
        <v/>
      </c>
    </row>
    <row r="177">
      <c r="A177" s="47" t="n">
        <v>46200</v>
      </c>
      <c r="B177" s="38" t="inlineStr">
        <is>
          <t>J-0177</t>
        </is>
      </c>
      <c r="C177" s="48" t="n">
        <v>220</v>
      </c>
      <c r="D177" s="48" t="n"/>
      <c r="E177" s="38" t="inlineStr">
        <is>
          <t>Online Invoice</t>
        </is>
      </c>
      <c r="F177" s="38" t="inlineStr">
        <is>
          <t>INV-0177</t>
        </is>
      </c>
      <c r="G177" s="38" t="inlineStr"/>
      <c r="H177" s="49">
        <f>IF(B177="","",IFERROR(INDEX('JOBS'!$D$5:$D$1504,MATCH(B177,'JOBS'!$A$5:$A$1504,0)),"Job ID not found"))</f>
        <v/>
      </c>
      <c r="I177" s="49">
        <f>IF(B177="","",IFERROR(INDEX('JOBS'!$F$5:$F$1504,MATCH(B177,'JOBS'!$A$5:$A$1504,0)),""))</f>
        <v/>
      </c>
      <c r="J177" s="55">
        <f>IF(C177="","",ROUND(C177*IF(IFERROR(INDEX('SETTINGS'!$K$5:$K$24,MATCH(E177,'SETTINGS'!$J$5:$J$24,0)),"No")="Yes",FeePct,0),2))</f>
        <v/>
      </c>
      <c r="K177" s="51">
        <f>IF(A177="","",DATE(YEAR(A177),MONTH(A177),1))</f>
        <v/>
      </c>
    </row>
    <row r="178">
      <c r="A178" s="47" t="n">
        <v>46200</v>
      </c>
      <c r="B178" s="38" t="inlineStr">
        <is>
          <t>J-0179</t>
        </is>
      </c>
      <c r="C178" s="48" t="n">
        <v>245</v>
      </c>
      <c r="D178" s="48" t="n"/>
      <c r="E178" s="38" t="inlineStr">
        <is>
          <t>Cash</t>
        </is>
      </c>
      <c r="F178" s="38" t="inlineStr">
        <is>
          <t>INV-0179</t>
        </is>
      </c>
      <c r="G178" s="38" t="inlineStr"/>
      <c r="H178" s="49">
        <f>IF(B178="","",IFERROR(INDEX('JOBS'!$D$5:$D$1504,MATCH(B178,'JOBS'!$A$5:$A$1504,0)),"Job ID not found"))</f>
        <v/>
      </c>
      <c r="I178" s="49">
        <f>IF(B178="","",IFERROR(INDEX('JOBS'!$F$5:$F$1504,MATCH(B178,'JOBS'!$A$5:$A$1504,0)),""))</f>
        <v/>
      </c>
      <c r="J178" s="55">
        <f>IF(C178="","",ROUND(C178*IF(IFERROR(INDEX('SETTINGS'!$K$5:$K$24,MATCH(E178,'SETTINGS'!$J$5:$J$24,0)),"No")="Yes",FeePct,0),2))</f>
        <v/>
      </c>
      <c r="K178" s="51">
        <f>IF(A178="","",DATE(YEAR(A178),MONTH(A178),1))</f>
        <v/>
      </c>
    </row>
    <row r="179">
      <c r="A179" s="47" t="n">
        <v>46201</v>
      </c>
      <c r="B179" s="38" t="inlineStr">
        <is>
          <t>J-0174</t>
        </is>
      </c>
      <c r="C179" s="48" t="n">
        <v>140</v>
      </c>
      <c r="D179" s="48" t="n">
        <v>20</v>
      </c>
      <c r="E179" s="38" t="inlineStr">
        <is>
          <t>Online Invoice</t>
        </is>
      </c>
      <c r="F179" s="38" t="inlineStr">
        <is>
          <t>INV-0174</t>
        </is>
      </c>
      <c r="G179" s="38" t="inlineStr"/>
      <c r="H179" s="49">
        <f>IF(B179="","",IFERROR(INDEX('JOBS'!$D$5:$D$1504,MATCH(B179,'JOBS'!$A$5:$A$1504,0)),"Job ID not found"))</f>
        <v/>
      </c>
      <c r="I179" s="49">
        <f>IF(B179="","",IFERROR(INDEX('JOBS'!$F$5:$F$1504,MATCH(B179,'JOBS'!$A$5:$A$1504,0)),""))</f>
        <v/>
      </c>
      <c r="J179" s="55">
        <f>IF(C179="","",ROUND(C179*IF(IFERROR(INDEX('SETTINGS'!$K$5:$K$24,MATCH(E179,'SETTINGS'!$J$5:$J$24,0)),"No")="Yes",FeePct,0),2))</f>
        <v/>
      </c>
      <c r="K179" s="51">
        <f>IF(A179="","",DATE(YEAR(A179),MONTH(A179),1))</f>
        <v/>
      </c>
    </row>
    <row r="180">
      <c r="A180" s="47" t="n">
        <v>46201</v>
      </c>
      <c r="B180" s="38" t="inlineStr">
        <is>
          <t>J-0175</t>
        </is>
      </c>
      <c r="C180" s="48" t="n">
        <v>135</v>
      </c>
      <c r="D180" s="48" t="n"/>
      <c r="E180" s="38" t="inlineStr">
        <is>
          <t>Card</t>
        </is>
      </c>
      <c r="F180" s="38" t="inlineStr">
        <is>
          <t>INV-0175</t>
        </is>
      </c>
      <c r="G180" s="38" t="inlineStr"/>
      <c r="H180" s="49">
        <f>IF(B180="","",IFERROR(INDEX('JOBS'!$D$5:$D$1504,MATCH(B180,'JOBS'!$A$5:$A$1504,0)),"Job ID not found"))</f>
        <v/>
      </c>
      <c r="I180" s="49">
        <f>IF(B180="","",IFERROR(INDEX('JOBS'!$F$5:$F$1504,MATCH(B180,'JOBS'!$A$5:$A$1504,0)),""))</f>
        <v/>
      </c>
      <c r="J180" s="55">
        <f>IF(C180="","",ROUND(C180*IF(IFERROR(INDEX('SETTINGS'!$K$5:$K$24,MATCH(E180,'SETTINGS'!$J$5:$J$24,0)),"No")="Yes",FeePct,0),2))</f>
        <v/>
      </c>
      <c r="K180" s="51">
        <f>IF(A180="","",DATE(YEAR(A180),MONTH(A180),1))</f>
        <v/>
      </c>
    </row>
    <row r="181">
      <c r="A181" s="47" t="n">
        <v>46202</v>
      </c>
      <c r="B181" s="38" t="inlineStr">
        <is>
          <t>J-0180</t>
        </is>
      </c>
      <c r="C181" s="48" t="n">
        <v>150</v>
      </c>
      <c r="D181" s="48" t="n">
        <v>20</v>
      </c>
      <c r="E181" s="38" t="inlineStr">
        <is>
          <t>Card</t>
        </is>
      </c>
      <c r="F181" s="38" t="inlineStr">
        <is>
          <t>INV-0180</t>
        </is>
      </c>
      <c r="G181" s="38" t="inlineStr"/>
      <c r="H181" s="49">
        <f>IF(B181="","",IFERROR(INDEX('JOBS'!$D$5:$D$1504,MATCH(B181,'JOBS'!$A$5:$A$1504,0)),"Job ID not found"))</f>
        <v/>
      </c>
      <c r="I181" s="49">
        <f>IF(B181="","",IFERROR(INDEX('JOBS'!$F$5:$F$1504,MATCH(B181,'JOBS'!$A$5:$A$1504,0)),""))</f>
        <v/>
      </c>
      <c r="J181" s="55">
        <f>IF(C181="","",ROUND(C181*IF(IFERROR(INDEX('SETTINGS'!$K$5:$K$24,MATCH(E181,'SETTINGS'!$J$5:$J$24,0)),"No")="Yes",FeePct,0),2))</f>
        <v/>
      </c>
      <c r="K181" s="51">
        <f>IF(A181="","",DATE(YEAR(A181),MONTH(A181),1))</f>
        <v/>
      </c>
    </row>
    <row r="182">
      <c r="A182" s="47" t="n">
        <v>46204</v>
      </c>
      <c r="B182" s="38" t="inlineStr">
        <is>
          <t>J-0181</t>
        </is>
      </c>
      <c r="C182" s="48" t="n">
        <v>175</v>
      </c>
      <c r="D182" s="48" t="n"/>
      <c r="E182" s="38" t="inlineStr">
        <is>
          <t>Online Invoice</t>
        </is>
      </c>
      <c r="F182" s="38" t="inlineStr">
        <is>
          <t>INV-0181</t>
        </is>
      </c>
      <c r="G182" s="38" t="inlineStr"/>
      <c r="H182" s="49">
        <f>IF(B182="","",IFERROR(INDEX('JOBS'!$D$5:$D$1504,MATCH(B182,'JOBS'!$A$5:$A$1504,0)),"Job ID not found"))</f>
        <v/>
      </c>
      <c r="I182" s="49">
        <f>IF(B182="","",IFERROR(INDEX('JOBS'!$F$5:$F$1504,MATCH(B182,'JOBS'!$A$5:$A$1504,0)),""))</f>
        <v/>
      </c>
      <c r="J182" s="55">
        <f>IF(C182="","",ROUND(C182*IF(IFERROR(INDEX('SETTINGS'!$K$5:$K$24,MATCH(E182,'SETTINGS'!$J$5:$J$24,0)),"No")="Yes",FeePct,0),2))</f>
        <v/>
      </c>
      <c r="K182" s="51">
        <f>IF(A182="","",DATE(YEAR(A182),MONTH(A182),1))</f>
        <v/>
      </c>
    </row>
    <row r="183">
      <c r="A183" s="47" t="n">
        <v>46204</v>
      </c>
      <c r="B183" s="38" t="inlineStr">
        <is>
          <t>J-0182</t>
        </is>
      </c>
      <c r="C183" s="48" t="n">
        <v>135</v>
      </c>
      <c r="D183" s="48" t="n"/>
      <c r="E183" s="38" t="inlineStr">
        <is>
          <t>Card</t>
        </is>
      </c>
      <c r="F183" s="38" t="inlineStr">
        <is>
          <t>INV-0182</t>
        </is>
      </c>
      <c r="G183" s="38" t="inlineStr"/>
      <c r="H183" s="49">
        <f>IF(B183="","",IFERROR(INDEX('JOBS'!$D$5:$D$1504,MATCH(B183,'JOBS'!$A$5:$A$1504,0)),"Job ID not found"))</f>
        <v/>
      </c>
      <c r="I183" s="49">
        <f>IF(B183="","",IFERROR(INDEX('JOBS'!$F$5:$F$1504,MATCH(B183,'JOBS'!$A$5:$A$1504,0)),""))</f>
        <v/>
      </c>
      <c r="J183" s="55">
        <f>IF(C183="","",ROUND(C183*IF(IFERROR(INDEX('SETTINGS'!$K$5:$K$24,MATCH(E183,'SETTINGS'!$J$5:$J$24,0)),"No")="Yes",FeePct,0),2))</f>
        <v/>
      </c>
      <c r="K183" s="51">
        <f>IF(A183="","",DATE(YEAR(A183),MONTH(A183),1))</f>
        <v/>
      </c>
    </row>
    <row r="184">
      <c r="A184" s="47" t="n">
        <v>46206</v>
      </c>
      <c r="B184" s="38" t="inlineStr">
        <is>
          <t>J-0184</t>
        </is>
      </c>
      <c r="C184" s="48" t="n">
        <v>140</v>
      </c>
      <c r="D184" s="48" t="n"/>
      <c r="E184" s="38" t="inlineStr">
        <is>
          <t>Online Invoice</t>
        </is>
      </c>
      <c r="F184" s="38" t="inlineStr">
        <is>
          <t>INV-0184</t>
        </is>
      </c>
      <c r="G184" s="38" t="inlineStr"/>
      <c r="H184" s="49">
        <f>IF(B184="","",IFERROR(INDEX('JOBS'!$D$5:$D$1504,MATCH(B184,'JOBS'!$A$5:$A$1504,0)),"Job ID not found"))</f>
        <v/>
      </c>
      <c r="I184" s="49">
        <f>IF(B184="","",IFERROR(INDEX('JOBS'!$F$5:$F$1504,MATCH(B184,'JOBS'!$A$5:$A$1504,0)),""))</f>
        <v/>
      </c>
      <c r="J184" s="55">
        <f>IF(C184="","",ROUND(C184*IF(IFERROR(INDEX('SETTINGS'!$K$5:$K$24,MATCH(E184,'SETTINGS'!$J$5:$J$24,0)),"No")="Yes",FeePct,0),2))</f>
        <v/>
      </c>
      <c r="K184" s="51">
        <f>IF(A184="","",DATE(YEAR(A184),MONTH(A184),1))</f>
        <v/>
      </c>
    </row>
    <row r="185">
      <c r="A185" s="47" t="n">
        <v>46206</v>
      </c>
      <c r="B185" s="38" t="inlineStr">
        <is>
          <t>J-0185</t>
        </is>
      </c>
      <c r="C185" s="48" t="n">
        <v>100</v>
      </c>
      <c r="D185" s="48" t="n">
        <v>10</v>
      </c>
      <c r="E185" s="38" t="inlineStr">
        <is>
          <t>Online Invoice</t>
        </is>
      </c>
      <c r="F185" s="38" t="inlineStr">
        <is>
          <t>INV-0185</t>
        </is>
      </c>
      <c r="G185" s="38" t="inlineStr"/>
      <c r="H185" s="49">
        <f>IF(B185="","",IFERROR(INDEX('JOBS'!$D$5:$D$1504,MATCH(B185,'JOBS'!$A$5:$A$1504,0)),"Job ID not found"))</f>
        <v/>
      </c>
      <c r="I185" s="49">
        <f>IF(B185="","",IFERROR(INDEX('JOBS'!$F$5:$F$1504,MATCH(B185,'JOBS'!$A$5:$A$1504,0)),""))</f>
        <v/>
      </c>
      <c r="J185" s="55">
        <f>IF(C185="","",ROUND(C185*IF(IFERROR(INDEX('SETTINGS'!$K$5:$K$24,MATCH(E185,'SETTINGS'!$J$5:$J$24,0)),"No")="Yes",FeePct,0),2))</f>
        <v/>
      </c>
      <c r="K185" s="51">
        <f>IF(A185="","",DATE(YEAR(A185),MONTH(A185),1))</f>
        <v/>
      </c>
    </row>
    <row r="186">
      <c r="A186" s="47" t="n">
        <v>46207</v>
      </c>
      <c r="B186" s="38" t="inlineStr">
        <is>
          <t>J-0186</t>
        </is>
      </c>
      <c r="C186" s="48" t="n">
        <v>110</v>
      </c>
      <c r="D186" s="48" t="n"/>
      <c r="E186" s="38" t="inlineStr">
        <is>
          <t>Card</t>
        </is>
      </c>
      <c r="F186" s="38" t="inlineStr">
        <is>
          <t>INV-0186</t>
        </is>
      </c>
      <c r="G186" s="38" t="inlineStr"/>
      <c r="H186" s="49">
        <f>IF(B186="","",IFERROR(INDEX('JOBS'!$D$5:$D$1504,MATCH(B186,'JOBS'!$A$5:$A$1504,0)),"Job ID not found"))</f>
        <v/>
      </c>
      <c r="I186" s="49">
        <f>IF(B186="","",IFERROR(INDEX('JOBS'!$F$5:$F$1504,MATCH(B186,'JOBS'!$A$5:$A$1504,0)),""))</f>
        <v/>
      </c>
      <c r="J186" s="55">
        <f>IF(C186="","",ROUND(C186*IF(IFERROR(INDEX('SETTINGS'!$K$5:$K$24,MATCH(E186,'SETTINGS'!$J$5:$J$24,0)),"No")="Yes",FeePct,0),2))</f>
        <v/>
      </c>
      <c r="K186" s="51">
        <f>IF(A186="","",DATE(YEAR(A186),MONTH(A186),1))</f>
        <v/>
      </c>
    </row>
    <row r="187">
      <c r="A187" s="47" t="n">
        <v>46209</v>
      </c>
      <c r="B187" s="38" t="inlineStr">
        <is>
          <t>J-0187</t>
        </is>
      </c>
      <c r="C187" s="48" t="n">
        <v>135</v>
      </c>
      <c r="D187" s="48" t="n"/>
      <c r="E187" s="38" t="inlineStr">
        <is>
          <t>Online Invoice</t>
        </is>
      </c>
      <c r="F187" s="38" t="inlineStr">
        <is>
          <t>INV-0187</t>
        </is>
      </c>
      <c r="G187" s="38" t="inlineStr"/>
      <c r="H187" s="49">
        <f>IF(B187="","",IFERROR(INDEX('JOBS'!$D$5:$D$1504,MATCH(B187,'JOBS'!$A$5:$A$1504,0)),"Job ID not found"))</f>
        <v/>
      </c>
      <c r="I187" s="49">
        <f>IF(B187="","",IFERROR(INDEX('JOBS'!$F$5:$F$1504,MATCH(B187,'JOBS'!$A$5:$A$1504,0)),""))</f>
        <v/>
      </c>
      <c r="J187" s="55">
        <f>IF(C187="","",ROUND(C187*IF(IFERROR(INDEX('SETTINGS'!$K$5:$K$24,MATCH(E187,'SETTINGS'!$J$5:$J$24,0)),"No")="Yes",FeePct,0),2))</f>
        <v/>
      </c>
      <c r="K187" s="51">
        <f>IF(A187="","",DATE(YEAR(A187),MONTH(A187),1))</f>
        <v/>
      </c>
    </row>
    <row r="188">
      <c r="A188" s="47" t="n">
        <v>46211</v>
      </c>
      <c r="B188" s="38" t="inlineStr">
        <is>
          <t>J-0183</t>
        </is>
      </c>
      <c r="C188" s="48" t="n">
        <v>195</v>
      </c>
      <c r="D188" s="48" t="n"/>
      <c r="E188" s="38" t="inlineStr">
        <is>
          <t>Card</t>
        </is>
      </c>
      <c r="F188" s="38" t="inlineStr">
        <is>
          <t>INV-0183</t>
        </is>
      </c>
      <c r="G188" s="38" t="inlineStr"/>
      <c r="H188" s="49">
        <f>IF(B188="","",IFERROR(INDEX('JOBS'!$D$5:$D$1504,MATCH(B188,'JOBS'!$A$5:$A$1504,0)),"Job ID not found"))</f>
        <v/>
      </c>
      <c r="I188" s="49">
        <f>IF(B188="","",IFERROR(INDEX('JOBS'!$F$5:$F$1504,MATCH(B188,'JOBS'!$A$5:$A$1504,0)),""))</f>
        <v/>
      </c>
      <c r="J188" s="55">
        <f>IF(C188="","",ROUND(C188*IF(IFERROR(INDEX('SETTINGS'!$K$5:$K$24,MATCH(E188,'SETTINGS'!$J$5:$J$24,0)),"No")="Yes",FeePct,0),2))</f>
        <v/>
      </c>
      <c r="K188" s="51">
        <f>IF(A188="","",DATE(YEAR(A188),MONTH(A188),1))</f>
        <v/>
      </c>
    </row>
    <row r="189">
      <c r="A189" s="47" t="n">
        <v>46211</v>
      </c>
      <c r="B189" s="38" t="inlineStr">
        <is>
          <t>J-0188</t>
        </is>
      </c>
      <c r="C189" s="48" t="n">
        <v>150</v>
      </c>
      <c r="D189" s="48" t="n">
        <v>10</v>
      </c>
      <c r="E189" s="38" t="inlineStr">
        <is>
          <t>Card</t>
        </is>
      </c>
      <c r="F189" s="38" t="inlineStr">
        <is>
          <t>INV-0188</t>
        </is>
      </c>
      <c r="G189" s="38" t="inlineStr"/>
      <c r="H189" s="49">
        <f>IF(B189="","",IFERROR(INDEX('JOBS'!$D$5:$D$1504,MATCH(B189,'JOBS'!$A$5:$A$1504,0)),"Job ID not found"))</f>
        <v/>
      </c>
      <c r="I189" s="49">
        <f>IF(B189="","",IFERROR(INDEX('JOBS'!$F$5:$F$1504,MATCH(B189,'JOBS'!$A$5:$A$1504,0)),""))</f>
        <v/>
      </c>
      <c r="J189" s="55">
        <f>IF(C189="","",ROUND(C189*IF(IFERROR(INDEX('SETTINGS'!$K$5:$K$24,MATCH(E189,'SETTINGS'!$J$5:$J$24,0)),"No")="Yes",FeePct,0),2))</f>
        <v/>
      </c>
      <c r="K189" s="51">
        <f>IF(A189="","",DATE(YEAR(A189),MONTH(A189),1))</f>
        <v/>
      </c>
    </row>
    <row r="190">
      <c r="A190" s="47" t="n">
        <v>46211</v>
      </c>
      <c r="B190" s="38" t="inlineStr">
        <is>
          <t>J-0190</t>
        </is>
      </c>
      <c r="C190" s="48" t="n">
        <v>220</v>
      </c>
      <c r="D190" s="48" t="n">
        <v>20</v>
      </c>
      <c r="E190" s="38" t="inlineStr">
        <is>
          <t>Card</t>
        </is>
      </c>
      <c r="F190" s="38" t="inlineStr">
        <is>
          <t>INV-0190</t>
        </is>
      </c>
      <c r="G190" s="38" t="inlineStr"/>
      <c r="H190" s="49">
        <f>IF(B190="","",IFERROR(INDEX('JOBS'!$D$5:$D$1504,MATCH(B190,'JOBS'!$A$5:$A$1504,0)),"Job ID not found"))</f>
        <v/>
      </c>
      <c r="I190" s="49">
        <f>IF(B190="","",IFERROR(INDEX('JOBS'!$F$5:$F$1504,MATCH(B190,'JOBS'!$A$5:$A$1504,0)),""))</f>
        <v/>
      </c>
      <c r="J190" s="55">
        <f>IF(C190="","",ROUND(C190*IF(IFERROR(INDEX('SETTINGS'!$K$5:$K$24,MATCH(E190,'SETTINGS'!$J$5:$J$24,0)),"No")="Yes",FeePct,0),2))</f>
        <v/>
      </c>
      <c r="K190" s="51">
        <f>IF(A190="","",DATE(YEAR(A190),MONTH(A190),1))</f>
        <v/>
      </c>
    </row>
    <row r="191">
      <c r="A191" s="47" t="n">
        <v>46212</v>
      </c>
      <c r="B191" s="38" t="inlineStr">
        <is>
          <t>J-0189</t>
        </is>
      </c>
      <c r="C191" s="48" t="n">
        <v>175</v>
      </c>
      <c r="D191" s="48" t="n"/>
      <c r="E191" s="38" t="inlineStr">
        <is>
          <t>Check</t>
        </is>
      </c>
      <c r="F191" s="38" t="inlineStr">
        <is>
          <t>INV-0189</t>
        </is>
      </c>
      <c r="G191" s="38" t="inlineStr"/>
      <c r="H191" s="49">
        <f>IF(B191="","",IFERROR(INDEX('JOBS'!$D$5:$D$1504,MATCH(B191,'JOBS'!$A$5:$A$1504,0)),"Job ID not found"))</f>
        <v/>
      </c>
      <c r="I191" s="49">
        <f>IF(B191="","",IFERROR(INDEX('JOBS'!$F$5:$F$1504,MATCH(B191,'JOBS'!$A$5:$A$1504,0)),""))</f>
        <v/>
      </c>
      <c r="J191" s="55">
        <f>IF(C191="","",ROUND(C191*IF(IFERROR(INDEX('SETTINGS'!$K$5:$K$24,MATCH(E191,'SETTINGS'!$J$5:$J$24,0)),"No")="Yes",FeePct,0),2))</f>
        <v/>
      </c>
      <c r="K191" s="51">
        <f>IF(A191="","",DATE(YEAR(A191),MONTH(A191),1))</f>
        <v/>
      </c>
    </row>
    <row r="192">
      <c r="A192" s="47" t="n">
        <v>46213</v>
      </c>
      <c r="B192" s="38" t="inlineStr">
        <is>
          <t>J-0191</t>
        </is>
      </c>
      <c r="C192" s="48" t="n">
        <v>140</v>
      </c>
      <c r="D192" s="48" t="n"/>
      <c r="E192" s="38" t="inlineStr">
        <is>
          <t>Online Invoice</t>
        </is>
      </c>
      <c r="F192" s="38" t="inlineStr">
        <is>
          <t>INV-0191</t>
        </is>
      </c>
      <c r="G192" s="38" t="inlineStr"/>
      <c r="H192" s="49">
        <f>IF(B192="","",IFERROR(INDEX('JOBS'!$D$5:$D$1504,MATCH(B192,'JOBS'!$A$5:$A$1504,0)),"Job ID not found"))</f>
        <v/>
      </c>
      <c r="I192" s="49">
        <f>IF(B192="","",IFERROR(INDEX('JOBS'!$F$5:$F$1504,MATCH(B192,'JOBS'!$A$5:$A$1504,0)),""))</f>
        <v/>
      </c>
      <c r="J192" s="55">
        <f>IF(C192="","",ROUND(C192*IF(IFERROR(INDEX('SETTINGS'!$K$5:$K$24,MATCH(E192,'SETTINGS'!$J$5:$J$24,0)),"No")="Yes",FeePct,0),2))</f>
        <v/>
      </c>
      <c r="K192" s="51">
        <f>IF(A192="","",DATE(YEAR(A192),MONTH(A192),1))</f>
        <v/>
      </c>
    </row>
    <row r="193">
      <c r="A193" s="47" t="n">
        <v>46213</v>
      </c>
      <c r="B193" s="38" t="inlineStr">
        <is>
          <t>J-0193</t>
        </is>
      </c>
      <c r="C193" s="48" t="n">
        <v>100</v>
      </c>
      <c r="D193" s="48" t="n"/>
      <c r="E193" s="38" t="inlineStr">
        <is>
          <t>Online Invoice</t>
        </is>
      </c>
      <c r="F193" s="38" t="inlineStr">
        <is>
          <t>INV-0193</t>
        </is>
      </c>
      <c r="G193" s="38" t="inlineStr"/>
      <c r="H193" s="49">
        <f>IF(B193="","",IFERROR(INDEX('JOBS'!$D$5:$D$1504,MATCH(B193,'JOBS'!$A$5:$A$1504,0)),"Job ID not found"))</f>
        <v/>
      </c>
      <c r="I193" s="49">
        <f>IF(B193="","",IFERROR(INDEX('JOBS'!$F$5:$F$1504,MATCH(B193,'JOBS'!$A$5:$A$1504,0)),""))</f>
        <v/>
      </c>
      <c r="J193" s="55">
        <f>IF(C193="","",ROUND(C193*IF(IFERROR(INDEX('SETTINGS'!$K$5:$K$24,MATCH(E193,'SETTINGS'!$J$5:$J$24,0)),"No")="Yes",FeePct,0),2))</f>
        <v/>
      </c>
      <c r="K193" s="51">
        <f>IF(A193="","",DATE(YEAR(A193),MONTH(A193),1))</f>
        <v/>
      </c>
    </row>
    <row r="194">
      <c r="A194" s="47" t="n">
        <v>46214</v>
      </c>
      <c r="B194" s="38" t="inlineStr">
        <is>
          <t>J-0192</t>
        </is>
      </c>
      <c r="C194" s="48" t="n">
        <v>220</v>
      </c>
      <c r="D194" s="48" t="n"/>
      <c r="E194" s="38" t="inlineStr">
        <is>
          <t>Card</t>
        </is>
      </c>
      <c r="F194" s="38" t="inlineStr">
        <is>
          <t>INV-0192</t>
        </is>
      </c>
      <c r="G194" s="38" t="inlineStr"/>
      <c r="H194" s="49">
        <f>IF(B194="","",IFERROR(INDEX('JOBS'!$D$5:$D$1504,MATCH(B194,'JOBS'!$A$5:$A$1504,0)),"Job ID not found"))</f>
        <v/>
      </c>
      <c r="I194" s="49">
        <f>IF(B194="","",IFERROR(INDEX('JOBS'!$F$5:$F$1504,MATCH(B194,'JOBS'!$A$5:$A$1504,0)),""))</f>
        <v/>
      </c>
      <c r="J194" s="55">
        <f>IF(C194="","",ROUND(C194*IF(IFERROR(INDEX('SETTINGS'!$K$5:$K$24,MATCH(E194,'SETTINGS'!$J$5:$J$24,0)),"No")="Yes",FeePct,0),2))</f>
        <v/>
      </c>
      <c r="K194" s="51">
        <f>IF(A194="","",DATE(YEAR(A194),MONTH(A194),1))</f>
        <v/>
      </c>
    </row>
    <row r="195">
      <c r="A195" s="47" t="n">
        <v>46214</v>
      </c>
      <c r="B195" s="38" t="inlineStr">
        <is>
          <t>J-0195</t>
        </is>
      </c>
      <c r="C195" s="48" t="n">
        <v>160</v>
      </c>
      <c r="D195" s="48" t="n"/>
      <c r="E195" s="38" t="inlineStr">
        <is>
          <t>Online Invoice</t>
        </is>
      </c>
      <c r="F195" s="38" t="inlineStr">
        <is>
          <t>INV-0195</t>
        </is>
      </c>
      <c r="G195" s="38" t="inlineStr"/>
      <c r="H195" s="49">
        <f>IF(B195="","",IFERROR(INDEX('JOBS'!$D$5:$D$1504,MATCH(B195,'JOBS'!$A$5:$A$1504,0)),"Job ID not found"))</f>
        <v/>
      </c>
      <c r="I195" s="49">
        <f>IF(B195="","",IFERROR(INDEX('JOBS'!$F$5:$F$1504,MATCH(B195,'JOBS'!$A$5:$A$1504,0)),""))</f>
        <v/>
      </c>
      <c r="J195" s="55">
        <f>IF(C195="","",ROUND(C195*IF(IFERROR(INDEX('SETTINGS'!$K$5:$K$24,MATCH(E195,'SETTINGS'!$J$5:$J$24,0)),"No")="Yes",FeePct,0),2))</f>
        <v/>
      </c>
      <c r="K195" s="51">
        <f>IF(A195="","",DATE(YEAR(A195),MONTH(A195),1))</f>
        <v/>
      </c>
    </row>
    <row r="196">
      <c r="A196" s="47" t="n">
        <v>46215</v>
      </c>
      <c r="B196" s="38" t="inlineStr">
        <is>
          <t>J-0194</t>
        </is>
      </c>
      <c r="C196" s="48" t="n">
        <v>220</v>
      </c>
      <c r="D196" s="48" t="n">
        <v>10</v>
      </c>
      <c r="E196" s="38" t="inlineStr">
        <is>
          <t>Card</t>
        </is>
      </c>
      <c r="F196" s="38" t="inlineStr">
        <is>
          <t>INV-0194</t>
        </is>
      </c>
      <c r="G196" s="38" t="inlineStr"/>
      <c r="H196" s="49">
        <f>IF(B196="","",IFERROR(INDEX('JOBS'!$D$5:$D$1504,MATCH(B196,'JOBS'!$A$5:$A$1504,0)),"Job ID not found"))</f>
        <v/>
      </c>
      <c r="I196" s="49">
        <f>IF(B196="","",IFERROR(INDEX('JOBS'!$F$5:$F$1504,MATCH(B196,'JOBS'!$A$5:$A$1504,0)),""))</f>
        <v/>
      </c>
      <c r="J196" s="55">
        <f>IF(C196="","",ROUND(C196*IF(IFERROR(INDEX('SETTINGS'!$K$5:$K$24,MATCH(E196,'SETTINGS'!$J$5:$J$24,0)),"No")="Yes",FeePct,0),2))</f>
        <v/>
      </c>
      <c r="K196" s="51">
        <f>IF(A196="","",DATE(YEAR(A196),MONTH(A196),1))</f>
        <v/>
      </c>
    </row>
    <row r="197">
      <c r="A197" s="47" t="n">
        <v>46217</v>
      </c>
      <c r="B197" s="38" t="inlineStr">
        <is>
          <t>J-0197</t>
        </is>
      </c>
      <c r="C197" s="48" t="n">
        <v>175</v>
      </c>
      <c r="D197" s="48" t="n"/>
      <c r="E197" s="38" t="inlineStr">
        <is>
          <t>Online Invoice</t>
        </is>
      </c>
      <c r="F197" s="38" t="inlineStr">
        <is>
          <t>INV-0197</t>
        </is>
      </c>
      <c r="G197" s="38" t="inlineStr"/>
      <c r="H197" s="49">
        <f>IF(B197="","",IFERROR(INDEX('JOBS'!$D$5:$D$1504,MATCH(B197,'JOBS'!$A$5:$A$1504,0)),"Job ID not found"))</f>
        <v/>
      </c>
      <c r="I197" s="49">
        <f>IF(B197="","",IFERROR(INDEX('JOBS'!$F$5:$F$1504,MATCH(B197,'JOBS'!$A$5:$A$1504,0)),""))</f>
        <v/>
      </c>
      <c r="J197" s="55">
        <f>IF(C197="","",ROUND(C197*IF(IFERROR(INDEX('SETTINGS'!$K$5:$K$24,MATCH(E197,'SETTINGS'!$J$5:$J$24,0)),"No")="Yes",FeePct,0),2))</f>
        <v/>
      </c>
      <c r="K197" s="51">
        <f>IF(A197="","",DATE(YEAR(A197),MONTH(A197),1))</f>
        <v/>
      </c>
    </row>
    <row r="198">
      <c r="A198" s="47" t="n">
        <v>46219</v>
      </c>
      <c r="B198" s="38" t="inlineStr">
        <is>
          <t>J-0196</t>
        </is>
      </c>
      <c r="C198" s="48" t="n">
        <v>245</v>
      </c>
      <c r="D198" s="48" t="n"/>
      <c r="E198" s="38" t="inlineStr">
        <is>
          <t>Card</t>
        </is>
      </c>
      <c r="F198" s="38" t="inlineStr">
        <is>
          <t>INV-0196</t>
        </is>
      </c>
      <c r="G198" s="38" t="inlineStr"/>
      <c r="H198" s="49">
        <f>IF(B198="","",IFERROR(INDEX('JOBS'!$D$5:$D$1504,MATCH(B198,'JOBS'!$A$5:$A$1504,0)),"Job ID not found"))</f>
        <v/>
      </c>
      <c r="I198" s="49">
        <f>IF(B198="","",IFERROR(INDEX('JOBS'!$F$5:$F$1504,MATCH(B198,'JOBS'!$A$5:$A$1504,0)),""))</f>
        <v/>
      </c>
      <c r="J198" s="55">
        <f>IF(C198="","",ROUND(C198*IF(IFERROR(INDEX('SETTINGS'!$K$5:$K$24,MATCH(E198,'SETTINGS'!$J$5:$J$24,0)),"No")="Yes",FeePct,0),2))</f>
        <v/>
      </c>
      <c r="K198" s="51">
        <f>IF(A198="","",DATE(YEAR(A198),MONTH(A198),1))</f>
        <v/>
      </c>
    </row>
    <row r="199">
      <c r="A199" s="47" t="n">
        <v>46219</v>
      </c>
      <c r="B199" s="38" t="inlineStr">
        <is>
          <t>J-0198</t>
        </is>
      </c>
      <c r="C199" s="48" t="n">
        <v>530</v>
      </c>
      <c r="D199" s="48" t="n"/>
      <c r="E199" s="38" t="inlineStr">
        <is>
          <t>Online Invoice</t>
        </is>
      </c>
      <c r="F199" s="38" t="inlineStr">
        <is>
          <t>INV-0198</t>
        </is>
      </c>
      <c r="G199" s="38" t="inlineStr"/>
      <c r="H199" s="49">
        <f>IF(B199="","",IFERROR(INDEX('JOBS'!$D$5:$D$1504,MATCH(B199,'JOBS'!$A$5:$A$1504,0)),"Job ID not found"))</f>
        <v/>
      </c>
      <c r="I199" s="49">
        <f>IF(B199="","",IFERROR(INDEX('JOBS'!$F$5:$F$1504,MATCH(B199,'JOBS'!$A$5:$A$1504,0)),""))</f>
        <v/>
      </c>
      <c r="J199" s="55">
        <f>IF(C199="","",ROUND(C199*IF(IFERROR(INDEX('SETTINGS'!$K$5:$K$24,MATCH(E199,'SETTINGS'!$J$5:$J$24,0)),"No")="Yes",FeePct,0),2))</f>
        <v/>
      </c>
      <c r="K199" s="51">
        <f>IF(A199="","",DATE(YEAR(A199),MONTH(A199),1))</f>
        <v/>
      </c>
    </row>
    <row r="200">
      <c r="A200" s="47" t="n">
        <v>46219</v>
      </c>
      <c r="B200" s="38" t="inlineStr">
        <is>
          <t>J-0199</t>
        </is>
      </c>
      <c r="C200" s="48" t="n">
        <v>150</v>
      </c>
      <c r="D200" s="48" t="n"/>
      <c r="E200" s="38" t="inlineStr">
        <is>
          <t>Check</t>
        </is>
      </c>
      <c r="F200" s="38" t="inlineStr">
        <is>
          <t>INV-0199</t>
        </is>
      </c>
      <c r="G200" s="38" t="inlineStr"/>
      <c r="H200" s="49">
        <f>IF(B200="","",IFERROR(INDEX('JOBS'!$D$5:$D$1504,MATCH(B200,'JOBS'!$A$5:$A$1504,0)),"Job ID not found"))</f>
        <v/>
      </c>
      <c r="I200" s="49">
        <f>IF(B200="","",IFERROR(INDEX('JOBS'!$F$5:$F$1504,MATCH(B200,'JOBS'!$A$5:$A$1504,0)),""))</f>
        <v/>
      </c>
      <c r="J200" s="55">
        <f>IF(C200="","",ROUND(C200*IF(IFERROR(INDEX('SETTINGS'!$K$5:$K$24,MATCH(E200,'SETTINGS'!$J$5:$J$24,0)),"No")="Yes",FeePct,0),2))</f>
        <v/>
      </c>
      <c r="K200" s="51">
        <f>IF(A200="","",DATE(YEAR(A200),MONTH(A200),1))</f>
        <v/>
      </c>
    </row>
    <row r="201">
      <c r="A201" s="47" t="n">
        <v>46219</v>
      </c>
      <c r="B201" s="38" t="inlineStr">
        <is>
          <t>J-0200</t>
        </is>
      </c>
      <c r="C201" s="48" t="n">
        <v>120</v>
      </c>
      <c r="D201" s="48" t="n"/>
      <c r="E201" s="38" t="inlineStr">
        <is>
          <t>Check</t>
        </is>
      </c>
      <c r="F201" s="38" t="inlineStr">
        <is>
          <t>INV-0200</t>
        </is>
      </c>
      <c r="G201" s="38" t="inlineStr"/>
      <c r="H201" s="49">
        <f>IF(B201="","",IFERROR(INDEX('JOBS'!$D$5:$D$1504,MATCH(B201,'JOBS'!$A$5:$A$1504,0)),"Job ID not found"))</f>
        <v/>
      </c>
      <c r="I201" s="49">
        <f>IF(B201="","",IFERROR(INDEX('JOBS'!$F$5:$F$1504,MATCH(B201,'JOBS'!$A$5:$A$1504,0)),""))</f>
        <v/>
      </c>
      <c r="J201" s="55">
        <f>IF(C201="","",ROUND(C201*IF(IFERROR(INDEX('SETTINGS'!$K$5:$K$24,MATCH(E201,'SETTINGS'!$J$5:$J$24,0)),"No")="Yes",FeePct,0),2))</f>
        <v/>
      </c>
      <c r="K201" s="51">
        <f>IF(A201="","",DATE(YEAR(A201),MONTH(A201),1))</f>
        <v/>
      </c>
    </row>
    <row r="202">
      <c r="A202" s="47" t="n">
        <v>46221</v>
      </c>
      <c r="B202" s="38" t="inlineStr">
        <is>
          <t>J-0203</t>
        </is>
      </c>
      <c r="C202" s="48" t="n">
        <v>100</v>
      </c>
      <c r="D202" s="48" t="n"/>
      <c r="E202" s="38" t="inlineStr">
        <is>
          <t>Online Invoice</t>
        </is>
      </c>
      <c r="F202" s="38" t="inlineStr">
        <is>
          <t>INV-0203</t>
        </is>
      </c>
      <c r="G202" s="38" t="inlineStr"/>
      <c r="H202" s="49">
        <f>IF(B202="","",IFERROR(INDEX('JOBS'!$D$5:$D$1504,MATCH(B202,'JOBS'!$A$5:$A$1504,0)),"Job ID not found"))</f>
        <v/>
      </c>
      <c r="I202" s="49">
        <f>IF(B202="","",IFERROR(INDEX('JOBS'!$F$5:$F$1504,MATCH(B202,'JOBS'!$A$5:$A$1504,0)),""))</f>
        <v/>
      </c>
      <c r="J202" s="55">
        <f>IF(C202="","",ROUND(C202*IF(IFERROR(INDEX('SETTINGS'!$K$5:$K$24,MATCH(E202,'SETTINGS'!$J$5:$J$24,0)),"No")="Yes",FeePct,0),2))</f>
        <v/>
      </c>
      <c r="K202" s="51">
        <f>IF(A202="","",DATE(YEAR(A202),MONTH(A202),1))</f>
        <v/>
      </c>
    </row>
    <row r="203">
      <c r="A203" s="47" t="n">
        <v>46222</v>
      </c>
      <c r="B203" s="38" t="inlineStr">
        <is>
          <t>J-0202</t>
        </is>
      </c>
      <c r="C203" s="48" t="n">
        <v>140</v>
      </c>
      <c r="D203" s="48" t="n"/>
      <c r="E203" s="38" t="inlineStr">
        <is>
          <t>Online Invoice</t>
        </is>
      </c>
      <c r="F203" s="38" t="inlineStr">
        <is>
          <t>INV-0202</t>
        </is>
      </c>
      <c r="G203" s="38" t="inlineStr"/>
      <c r="H203" s="49">
        <f>IF(B203="","",IFERROR(INDEX('JOBS'!$D$5:$D$1504,MATCH(B203,'JOBS'!$A$5:$A$1504,0)),"Job ID not found"))</f>
        <v/>
      </c>
      <c r="I203" s="49">
        <f>IF(B203="","",IFERROR(INDEX('JOBS'!$F$5:$F$1504,MATCH(B203,'JOBS'!$A$5:$A$1504,0)),""))</f>
        <v/>
      </c>
      <c r="J203" s="55">
        <f>IF(C203="","",ROUND(C203*IF(IFERROR(INDEX('SETTINGS'!$K$5:$K$24,MATCH(E203,'SETTINGS'!$J$5:$J$24,0)),"No")="Yes",FeePct,0),2))</f>
        <v/>
      </c>
      <c r="K203" s="51">
        <f>IF(A203="","",DATE(YEAR(A203),MONTH(A203),1))</f>
        <v/>
      </c>
    </row>
    <row r="204">
      <c r="A204" s="47" t="n">
        <v>46223</v>
      </c>
      <c r="B204" s="38" t="inlineStr">
        <is>
          <t>J-0205</t>
        </is>
      </c>
      <c r="C204" s="48" t="n">
        <v>145</v>
      </c>
      <c r="D204" s="48" t="n"/>
      <c r="E204" s="38" t="inlineStr">
        <is>
          <t>Card</t>
        </is>
      </c>
      <c r="F204" s="38" t="inlineStr">
        <is>
          <t>INV-0205</t>
        </is>
      </c>
      <c r="G204" s="38" t="inlineStr"/>
      <c r="H204" s="49">
        <f>IF(B204="","",IFERROR(INDEX('JOBS'!$D$5:$D$1504,MATCH(B204,'JOBS'!$A$5:$A$1504,0)),"Job ID not found"))</f>
        <v/>
      </c>
      <c r="I204" s="49">
        <f>IF(B204="","",IFERROR(INDEX('JOBS'!$F$5:$F$1504,MATCH(B204,'JOBS'!$A$5:$A$1504,0)),""))</f>
        <v/>
      </c>
      <c r="J204" s="55">
        <f>IF(C204="","",ROUND(C204*IF(IFERROR(INDEX('SETTINGS'!$K$5:$K$24,MATCH(E204,'SETTINGS'!$J$5:$J$24,0)),"No")="Yes",FeePct,0),2))</f>
        <v/>
      </c>
      <c r="K204" s="51">
        <f>IF(A204="","",DATE(YEAR(A204),MONTH(A204),1))</f>
        <v/>
      </c>
    </row>
    <row r="205">
      <c r="A205" s="47" t="n">
        <v>46224</v>
      </c>
      <c r="B205" s="38" t="inlineStr">
        <is>
          <t>J-0207</t>
        </is>
      </c>
      <c r="C205" s="48" t="n">
        <v>175</v>
      </c>
      <c r="D205" s="48" t="n"/>
      <c r="E205" s="38" t="inlineStr">
        <is>
          <t>Card</t>
        </is>
      </c>
      <c r="F205" s="38" t="inlineStr">
        <is>
          <t>INV-0207</t>
        </is>
      </c>
      <c r="G205" s="38" t="inlineStr"/>
      <c r="H205" s="49">
        <f>IF(B205="","",IFERROR(INDEX('JOBS'!$D$5:$D$1504,MATCH(B205,'JOBS'!$A$5:$A$1504,0)),"Job ID not found"))</f>
        <v/>
      </c>
      <c r="I205" s="49">
        <f>IF(B205="","",IFERROR(INDEX('JOBS'!$F$5:$F$1504,MATCH(B205,'JOBS'!$A$5:$A$1504,0)),""))</f>
        <v/>
      </c>
      <c r="J205" s="55">
        <f>IF(C205="","",ROUND(C205*IF(IFERROR(INDEX('SETTINGS'!$K$5:$K$24,MATCH(E205,'SETTINGS'!$J$5:$J$24,0)),"No")="Yes",FeePct,0),2))</f>
        <v/>
      </c>
      <c r="K205" s="51">
        <f>IF(A205="","",DATE(YEAR(A205),MONTH(A205),1))</f>
        <v/>
      </c>
    </row>
    <row r="206">
      <c r="A206" s="47" t="n">
        <v>46225</v>
      </c>
      <c r="B206" s="38" t="inlineStr">
        <is>
          <t>J-0201</t>
        </is>
      </c>
      <c r="C206" s="48" t="n">
        <v>135</v>
      </c>
      <c r="D206" s="48" t="n"/>
      <c r="E206" s="38" t="inlineStr">
        <is>
          <t>Card</t>
        </is>
      </c>
      <c r="F206" s="38" t="inlineStr">
        <is>
          <t>INV-0201</t>
        </is>
      </c>
      <c r="G206" s="38" t="inlineStr"/>
      <c r="H206" s="49">
        <f>IF(B206="","",IFERROR(INDEX('JOBS'!$D$5:$D$1504,MATCH(B206,'JOBS'!$A$5:$A$1504,0)),"Job ID not found"))</f>
        <v/>
      </c>
      <c r="I206" s="49">
        <f>IF(B206="","",IFERROR(INDEX('JOBS'!$F$5:$F$1504,MATCH(B206,'JOBS'!$A$5:$A$1504,0)),""))</f>
        <v/>
      </c>
      <c r="J206" s="55">
        <f>IF(C206="","",ROUND(C206*IF(IFERROR(INDEX('SETTINGS'!$K$5:$K$24,MATCH(E206,'SETTINGS'!$J$5:$J$24,0)),"No")="Yes",FeePct,0),2))</f>
        <v/>
      </c>
      <c r="K206" s="51">
        <f>IF(A206="","",DATE(YEAR(A206),MONTH(A206),1))</f>
        <v/>
      </c>
    </row>
    <row r="207">
      <c r="A207" s="47" t="n">
        <v>46225</v>
      </c>
      <c r="B207" s="38" t="inlineStr">
        <is>
          <t>J-0208</t>
        </is>
      </c>
      <c r="C207" s="48" t="n">
        <v>220</v>
      </c>
      <c r="D207" s="48" t="n"/>
      <c r="E207" s="38" t="inlineStr">
        <is>
          <t>Card</t>
        </is>
      </c>
      <c r="F207" s="38" t="inlineStr">
        <is>
          <t>INV-0208</t>
        </is>
      </c>
      <c r="G207" s="38" t="inlineStr"/>
      <c r="H207" s="49">
        <f>IF(B207="","",IFERROR(INDEX('JOBS'!$D$5:$D$1504,MATCH(B207,'JOBS'!$A$5:$A$1504,0)),"Job ID not found"))</f>
        <v/>
      </c>
      <c r="I207" s="49">
        <f>IF(B207="","",IFERROR(INDEX('JOBS'!$F$5:$F$1504,MATCH(B207,'JOBS'!$A$5:$A$1504,0)),""))</f>
        <v/>
      </c>
      <c r="J207" s="55">
        <f>IF(C207="","",ROUND(C207*IF(IFERROR(INDEX('SETTINGS'!$K$5:$K$24,MATCH(E207,'SETTINGS'!$J$5:$J$24,0)),"No")="Yes",FeePct,0),2))</f>
        <v/>
      </c>
      <c r="K207" s="51">
        <f>IF(A207="","",DATE(YEAR(A207),MONTH(A207),1))</f>
        <v/>
      </c>
    </row>
    <row r="208">
      <c r="A208" s="47" t="n">
        <v>46226</v>
      </c>
      <c r="B208" s="38" t="inlineStr">
        <is>
          <t>J-0206</t>
        </is>
      </c>
      <c r="C208" s="48" t="n">
        <v>150</v>
      </c>
      <c r="D208" s="48" t="n"/>
      <c r="E208" s="38" t="inlineStr">
        <is>
          <t>Card</t>
        </is>
      </c>
      <c r="F208" s="38" t="inlineStr">
        <is>
          <t>INV-0206</t>
        </is>
      </c>
      <c r="G208" s="38" t="inlineStr"/>
      <c r="H208" s="49">
        <f>IF(B208="","",IFERROR(INDEX('JOBS'!$D$5:$D$1504,MATCH(B208,'JOBS'!$A$5:$A$1504,0)),"Job ID not found"))</f>
        <v/>
      </c>
      <c r="I208" s="49">
        <f>IF(B208="","",IFERROR(INDEX('JOBS'!$F$5:$F$1504,MATCH(B208,'JOBS'!$A$5:$A$1504,0)),""))</f>
        <v/>
      </c>
      <c r="J208" s="55">
        <f>IF(C208="","",ROUND(C208*IF(IFERROR(INDEX('SETTINGS'!$K$5:$K$24,MATCH(E208,'SETTINGS'!$J$5:$J$24,0)),"No")="Yes",FeePct,0),2))</f>
        <v/>
      </c>
      <c r="K208" s="51">
        <f>IF(A208="","",DATE(YEAR(A208),MONTH(A208),1))</f>
        <v/>
      </c>
    </row>
    <row r="209">
      <c r="A209" s="47" t="n">
        <v>46227</v>
      </c>
      <c r="B209" s="38" t="inlineStr">
        <is>
          <t>J-0209</t>
        </is>
      </c>
      <c r="C209" s="48" t="n">
        <v>220</v>
      </c>
      <c r="D209" s="48" t="n"/>
      <c r="E209" s="38" t="inlineStr">
        <is>
          <t>Card</t>
        </is>
      </c>
      <c r="F209" s="38" t="inlineStr">
        <is>
          <t>INV-0209</t>
        </is>
      </c>
      <c r="G209" s="38" t="inlineStr"/>
      <c r="H209" s="49">
        <f>IF(B209="","",IFERROR(INDEX('JOBS'!$D$5:$D$1504,MATCH(B209,'JOBS'!$A$5:$A$1504,0)),"Job ID not found"))</f>
        <v/>
      </c>
      <c r="I209" s="49">
        <f>IF(B209="","",IFERROR(INDEX('JOBS'!$F$5:$F$1504,MATCH(B209,'JOBS'!$A$5:$A$1504,0)),""))</f>
        <v/>
      </c>
      <c r="J209" s="55">
        <f>IF(C209="","",ROUND(C209*IF(IFERROR(INDEX('SETTINGS'!$K$5:$K$24,MATCH(E209,'SETTINGS'!$J$5:$J$24,0)),"No")="Yes",FeePct,0),2))</f>
        <v/>
      </c>
      <c r="K209" s="51">
        <f>IF(A209="","",DATE(YEAR(A209),MONTH(A209),1))</f>
        <v/>
      </c>
    </row>
    <row r="210">
      <c r="A210" s="47" t="n">
        <v>46227</v>
      </c>
      <c r="B210" s="38" t="inlineStr">
        <is>
          <t>J-0210</t>
        </is>
      </c>
      <c r="C210" s="48" t="n">
        <v>150</v>
      </c>
      <c r="D210" s="48" t="n"/>
      <c r="E210" s="38" t="inlineStr">
        <is>
          <t>Online Invoice</t>
        </is>
      </c>
      <c r="F210" s="38" t="inlineStr">
        <is>
          <t>INV-0210</t>
        </is>
      </c>
      <c r="G210" s="38" t="inlineStr"/>
      <c r="H210" s="49">
        <f>IF(B210="","",IFERROR(INDEX('JOBS'!$D$5:$D$1504,MATCH(B210,'JOBS'!$A$5:$A$1504,0)),"Job ID not found"))</f>
        <v/>
      </c>
      <c r="I210" s="49">
        <f>IF(B210="","",IFERROR(INDEX('JOBS'!$F$5:$F$1504,MATCH(B210,'JOBS'!$A$5:$A$1504,0)),""))</f>
        <v/>
      </c>
      <c r="J210" s="55">
        <f>IF(C210="","",ROUND(C210*IF(IFERROR(INDEX('SETTINGS'!$K$5:$K$24,MATCH(E210,'SETTINGS'!$J$5:$J$24,0)),"No")="Yes",FeePct,0),2))</f>
        <v/>
      </c>
      <c r="K210" s="51">
        <f>IF(A210="","",DATE(YEAR(A210),MONTH(A210),1))</f>
        <v/>
      </c>
    </row>
    <row r="211">
      <c r="A211" s="47" t="n">
        <v>46227</v>
      </c>
      <c r="B211" s="38" t="inlineStr">
        <is>
          <t>J-0212</t>
        </is>
      </c>
      <c r="C211" s="48" t="n">
        <v>100</v>
      </c>
      <c r="D211" s="48" t="n">
        <v>10</v>
      </c>
      <c r="E211" s="38" t="inlineStr">
        <is>
          <t>Online Invoice</t>
        </is>
      </c>
      <c r="F211" s="38" t="inlineStr">
        <is>
          <t>INV-0212</t>
        </is>
      </c>
      <c r="G211" s="38" t="inlineStr"/>
      <c r="H211" s="49">
        <f>IF(B211="","",IFERROR(INDEX('JOBS'!$D$5:$D$1504,MATCH(B211,'JOBS'!$A$5:$A$1504,0)),"Job ID not found"))</f>
        <v/>
      </c>
      <c r="I211" s="49">
        <f>IF(B211="","",IFERROR(INDEX('JOBS'!$F$5:$F$1504,MATCH(B211,'JOBS'!$A$5:$A$1504,0)),""))</f>
        <v/>
      </c>
      <c r="J211" s="55">
        <f>IF(C211="","",ROUND(C211*IF(IFERROR(INDEX('SETTINGS'!$K$5:$K$24,MATCH(E211,'SETTINGS'!$J$5:$J$24,0)),"No")="Yes",FeePct,0),2))</f>
        <v/>
      </c>
      <c r="K211" s="51">
        <f>IF(A211="","",DATE(YEAR(A211),MONTH(A211),1))</f>
        <v/>
      </c>
    </row>
    <row r="212">
      <c r="A212" s="47" t="n">
        <v>46227</v>
      </c>
      <c r="B212" s="38" t="inlineStr">
        <is>
          <t>J-0213</t>
        </is>
      </c>
      <c r="C212" s="48" t="n">
        <v>220</v>
      </c>
      <c r="D212" s="48" t="n"/>
      <c r="E212" s="38" t="inlineStr">
        <is>
          <t>Online Invoice</t>
        </is>
      </c>
      <c r="F212" s="38" t="inlineStr">
        <is>
          <t>INV-0213</t>
        </is>
      </c>
      <c r="G212" s="38" t="inlineStr"/>
      <c r="H212" s="49">
        <f>IF(B212="","",IFERROR(INDEX('JOBS'!$D$5:$D$1504,MATCH(B212,'JOBS'!$A$5:$A$1504,0)),"Job ID not found"))</f>
        <v/>
      </c>
      <c r="I212" s="49">
        <f>IF(B212="","",IFERROR(INDEX('JOBS'!$F$5:$F$1504,MATCH(B212,'JOBS'!$A$5:$A$1504,0)),""))</f>
        <v/>
      </c>
      <c r="J212" s="55">
        <f>IF(C212="","",ROUND(C212*IF(IFERROR(INDEX('SETTINGS'!$K$5:$K$24,MATCH(E212,'SETTINGS'!$J$5:$J$24,0)),"No")="Yes",FeePct,0),2))</f>
        <v/>
      </c>
      <c r="K212" s="51">
        <f>IF(A212="","",DATE(YEAR(A212),MONTH(A212),1))</f>
        <v/>
      </c>
    </row>
    <row r="213">
      <c r="A213" s="47" t="n">
        <v>46228</v>
      </c>
      <c r="B213" s="38" t="inlineStr">
        <is>
          <t>J-0211</t>
        </is>
      </c>
      <c r="C213" s="48" t="n">
        <v>140</v>
      </c>
      <c r="D213" s="48" t="n"/>
      <c r="E213" s="38" t="inlineStr">
        <is>
          <t>Online Invoice</t>
        </is>
      </c>
      <c r="F213" s="38" t="inlineStr">
        <is>
          <t>INV-0211</t>
        </is>
      </c>
      <c r="G213" s="38" t="inlineStr"/>
      <c r="H213" s="49">
        <f>IF(B213="","",IFERROR(INDEX('JOBS'!$D$5:$D$1504,MATCH(B213,'JOBS'!$A$5:$A$1504,0)),"Job ID not found"))</f>
        <v/>
      </c>
      <c r="I213" s="49">
        <f>IF(B213="","",IFERROR(INDEX('JOBS'!$F$5:$F$1504,MATCH(B213,'JOBS'!$A$5:$A$1504,0)),""))</f>
        <v/>
      </c>
      <c r="J213" s="55">
        <f>IF(C213="","",ROUND(C213*IF(IFERROR(INDEX('SETTINGS'!$K$5:$K$24,MATCH(E213,'SETTINGS'!$J$5:$J$24,0)),"No")="Yes",FeePct,0),2))</f>
        <v/>
      </c>
      <c r="K213" s="51">
        <f>IF(A213="","",DATE(YEAR(A213),MONTH(A213),1))</f>
        <v/>
      </c>
    </row>
    <row r="214">
      <c r="A214" s="47" t="n">
        <v>46230</v>
      </c>
      <c r="B214" s="38" t="inlineStr">
        <is>
          <t>J-0216</t>
        </is>
      </c>
      <c r="C214" s="48" t="n">
        <v>400</v>
      </c>
      <c r="D214" s="48" t="n"/>
      <c r="E214" s="38" t="inlineStr">
        <is>
          <t>Card</t>
        </is>
      </c>
      <c r="F214" s="38" t="inlineStr">
        <is>
          <t>INV-0216</t>
        </is>
      </c>
      <c r="G214" s="38" t="inlineStr"/>
      <c r="H214" s="49">
        <f>IF(B214="","",IFERROR(INDEX('JOBS'!$D$5:$D$1504,MATCH(B214,'JOBS'!$A$5:$A$1504,0)),"Job ID not found"))</f>
        <v/>
      </c>
      <c r="I214" s="49">
        <f>IF(B214="","",IFERROR(INDEX('JOBS'!$F$5:$F$1504,MATCH(B214,'JOBS'!$A$5:$A$1504,0)),""))</f>
        <v/>
      </c>
      <c r="J214" s="55">
        <f>IF(C214="","",ROUND(C214*IF(IFERROR(INDEX('SETTINGS'!$K$5:$K$24,MATCH(E214,'SETTINGS'!$J$5:$J$24,0)),"No")="Yes",FeePct,0),2))</f>
        <v/>
      </c>
      <c r="K214" s="51">
        <f>IF(A214="","",DATE(YEAR(A214),MONTH(A214),1))</f>
        <v/>
      </c>
    </row>
    <row r="215">
      <c r="A215" s="47" t="n">
        <v>46230</v>
      </c>
      <c r="B215" s="38" t="inlineStr">
        <is>
          <t>J-0217</t>
        </is>
      </c>
      <c r="C215" s="48" t="n">
        <v>150</v>
      </c>
      <c r="D215" s="48" t="n"/>
      <c r="E215" s="38" t="inlineStr">
        <is>
          <t>Card</t>
        </is>
      </c>
      <c r="F215" s="38" t="inlineStr">
        <is>
          <t>INV-0217</t>
        </is>
      </c>
      <c r="G215" s="38" t="inlineStr"/>
      <c r="H215" s="49">
        <f>IF(B215="","",IFERROR(INDEX('JOBS'!$D$5:$D$1504,MATCH(B215,'JOBS'!$A$5:$A$1504,0)),"Job ID not found"))</f>
        <v/>
      </c>
      <c r="I215" s="49">
        <f>IF(B215="","",IFERROR(INDEX('JOBS'!$F$5:$F$1504,MATCH(B215,'JOBS'!$A$5:$A$1504,0)),""))</f>
        <v/>
      </c>
      <c r="J215" s="55">
        <f>IF(C215="","",ROUND(C215*IF(IFERROR(INDEX('SETTINGS'!$K$5:$K$24,MATCH(E215,'SETTINGS'!$J$5:$J$24,0)),"No")="Yes",FeePct,0),2))</f>
        <v/>
      </c>
      <c r="K215" s="51">
        <f>IF(A215="","",DATE(YEAR(A215),MONTH(A215),1))</f>
        <v/>
      </c>
    </row>
    <row r="216">
      <c r="A216" s="47" t="n">
        <v>46231</v>
      </c>
      <c r="B216" s="38" t="inlineStr">
        <is>
          <t>J-0218</t>
        </is>
      </c>
      <c r="C216" s="48" t="n">
        <v>175</v>
      </c>
      <c r="D216" s="48" t="n"/>
      <c r="E216" s="38" t="inlineStr">
        <is>
          <t>Card</t>
        </is>
      </c>
      <c r="F216" s="38" t="inlineStr">
        <is>
          <t>INV-0218</t>
        </is>
      </c>
      <c r="G216" s="38" t="inlineStr"/>
      <c r="H216" s="49">
        <f>IF(B216="","",IFERROR(INDEX('JOBS'!$D$5:$D$1504,MATCH(B216,'JOBS'!$A$5:$A$1504,0)),"Job ID not found"))</f>
        <v/>
      </c>
      <c r="I216" s="49">
        <f>IF(B216="","",IFERROR(INDEX('JOBS'!$F$5:$F$1504,MATCH(B216,'JOBS'!$A$5:$A$1504,0)),""))</f>
        <v/>
      </c>
      <c r="J216" s="55">
        <f>IF(C216="","",ROUND(C216*IF(IFERROR(INDEX('SETTINGS'!$K$5:$K$24,MATCH(E216,'SETTINGS'!$J$5:$J$24,0)),"No")="Yes",FeePct,0),2))</f>
        <v/>
      </c>
      <c r="K216" s="51">
        <f>IF(A216="","",DATE(YEAR(A216),MONTH(A216),1))</f>
        <v/>
      </c>
    </row>
    <row r="217">
      <c r="A217" s="47" t="n">
        <v>46233</v>
      </c>
      <c r="B217" s="38" t="inlineStr">
        <is>
          <t>J-0214</t>
        </is>
      </c>
      <c r="C217" s="48" t="n">
        <v>245</v>
      </c>
      <c r="D217" s="48" t="n">
        <v>20</v>
      </c>
      <c r="E217" s="38" t="inlineStr">
        <is>
          <t>Payment App</t>
        </is>
      </c>
      <c r="F217" s="38" t="inlineStr">
        <is>
          <t>INV-0214</t>
        </is>
      </c>
      <c r="G217" s="38" t="inlineStr"/>
      <c r="H217" s="49">
        <f>IF(B217="","",IFERROR(INDEX('JOBS'!$D$5:$D$1504,MATCH(B217,'JOBS'!$A$5:$A$1504,0)),"Job ID not found"))</f>
        <v/>
      </c>
      <c r="I217" s="49">
        <f>IF(B217="","",IFERROR(INDEX('JOBS'!$F$5:$F$1504,MATCH(B217,'JOBS'!$A$5:$A$1504,0)),""))</f>
        <v/>
      </c>
      <c r="J217" s="55">
        <f>IF(C217="","",ROUND(C217*IF(IFERROR(INDEX('SETTINGS'!$K$5:$K$24,MATCH(E217,'SETTINGS'!$J$5:$J$24,0)),"No")="Yes",FeePct,0),2))</f>
        <v/>
      </c>
      <c r="K217" s="51">
        <f>IF(A217="","",DATE(YEAR(A217),MONTH(A217),1))</f>
        <v/>
      </c>
    </row>
    <row r="218">
      <c r="A218" s="47" t="n">
        <v>46233</v>
      </c>
      <c r="B218" s="38" t="inlineStr">
        <is>
          <t>J-0219</t>
        </is>
      </c>
      <c r="C218" s="48" t="n">
        <v>685</v>
      </c>
      <c r="D218" s="48" t="n">
        <v>10</v>
      </c>
      <c r="E218" s="38" t="inlineStr">
        <is>
          <t>Payment App</t>
        </is>
      </c>
      <c r="F218" s="38" t="inlineStr">
        <is>
          <t>INV-0219</t>
        </is>
      </c>
      <c r="G218" s="38" t="inlineStr"/>
      <c r="H218" s="49">
        <f>IF(B218="","",IFERROR(INDEX('JOBS'!$D$5:$D$1504,MATCH(B218,'JOBS'!$A$5:$A$1504,0)),"Job ID not found"))</f>
        <v/>
      </c>
      <c r="I218" s="49">
        <f>IF(B218="","",IFERROR(INDEX('JOBS'!$F$5:$F$1504,MATCH(B218,'JOBS'!$A$5:$A$1504,0)),""))</f>
        <v/>
      </c>
      <c r="J218" s="55">
        <f>IF(C218="","",ROUND(C218*IF(IFERROR(INDEX('SETTINGS'!$K$5:$K$24,MATCH(E218,'SETTINGS'!$J$5:$J$24,0)),"No")="Yes",FeePct,0),2))</f>
        <v/>
      </c>
      <c r="K218" s="51">
        <f>IF(A218="","",DATE(YEAR(A218),MONTH(A218),1))</f>
        <v/>
      </c>
    </row>
    <row r="219">
      <c r="A219" s="47" t="n">
        <v>46234</v>
      </c>
      <c r="B219" s="38" t="inlineStr">
        <is>
          <t>J-0215</t>
        </is>
      </c>
      <c r="C219" s="48" t="n">
        <v>135</v>
      </c>
      <c r="D219" s="48" t="n"/>
      <c r="E219" s="38" t="inlineStr">
        <is>
          <t>Online Invoice</t>
        </is>
      </c>
      <c r="F219" s="38" t="inlineStr">
        <is>
          <t>INV-0215</t>
        </is>
      </c>
      <c r="G219" s="38" t="inlineStr"/>
      <c r="H219" s="49">
        <f>IF(B219="","",IFERROR(INDEX('JOBS'!$D$5:$D$1504,MATCH(B219,'JOBS'!$A$5:$A$1504,0)),"Job ID not found"))</f>
        <v/>
      </c>
      <c r="I219" s="49">
        <f>IF(B219="","",IFERROR(INDEX('JOBS'!$F$5:$F$1504,MATCH(B219,'JOBS'!$A$5:$A$1504,0)),""))</f>
        <v/>
      </c>
      <c r="J219" s="55">
        <f>IF(C219="","",ROUND(C219*IF(IFERROR(INDEX('SETTINGS'!$K$5:$K$24,MATCH(E219,'SETTINGS'!$J$5:$J$24,0)),"No")="Yes",FeePct,0),2))</f>
        <v/>
      </c>
      <c r="K219" s="51">
        <f>IF(A219="","",DATE(YEAR(A219),MONTH(A219),1))</f>
        <v/>
      </c>
    </row>
    <row r="220">
      <c r="A220" s="47" t="n">
        <v>46234</v>
      </c>
      <c r="B220" s="38" t="inlineStr">
        <is>
          <t>J-0222</t>
        </is>
      </c>
      <c r="C220" s="48" t="n">
        <v>195</v>
      </c>
      <c r="D220" s="48" t="n"/>
      <c r="E220" s="38" t="inlineStr">
        <is>
          <t>Card</t>
        </is>
      </c>
      <c r="F220" s="38" t="inlineStr">
        <is>
          <t>INV-0222</t>
        </is>
      </c>
      <c r="G220" s="38" t="inlineStr"/>
      <c r="H220" s="49">
        <f>IF(B220="","",IFERROR(INDEX('JOBS'!$D$5:$D$1504,MATCH(B220,'JOBS'!$A$5:$A$1504,0)),"Job ID not found"))</f>
        <v/>
      </c>
      <c r="I220" s="49">
        <f>IF(B220="","",IFERROR(INDEX('JOBS'!$F$5:$F$1504,MATCH(B220,'JOBS'!$A$5:$A$1504,0)),""))</f>
        <v/>
      </c>
      <c r="J220" s="55">
        <f>IF(C220="","",ROUND(C220*IF(IFERROR(INDEX('SETTINGS'!$K$5:$K$24,MATCH(E220,'SETTINGS'!$J$5:$J$24,0)),"No")="Yes",FeePct,0),2))</f>
        <v/>
      </c>
      <c r="K220" s="51">
        <f>IF(A220="","",DATE(YEAR(A220),MONTH(A220),1))</f>
        <v/>
      </c>
    </row>
    <row r="221">
      <c r="A221" s="47" t="n">
        <v>46234</v>
      </c>
      <c r="B221" s="38" t="inlineStr">
        <is>
          <t>J-0223</t>
        </is>
      </c>
      <c r="C221" s="48" t="n">
        <v>100</v>
      </c>
      <c r="D221" s="48" t="n"/>
      <c r="E221" s="38" t="inlineStr">
        <is>
          <t>Online Invoice</t>
        </is>
      </c>
      <c r="F221" s="38" t="inlineStr">
        <is>
          <t>INV-0223</t>
        </is>
      </c>
      <c r="G221" s="38" t="inlineStr"/>
      <c r="H221" s="49">
        <f>IF(B221="","",IFERROR(INDEX('JOBS'!$D$5:$D$1504,MATCH(B221,'JOBS'!$A$5:$A$1504,0)),"Job ID not found"))</f>
        <v/>
      </c>
      <c r="I221" s="49">
        <f>IF(B221="","",IFERROR(INDEX('JOBS'!$F$5:$F$1504,MATCH(B221,'JOBS'!$A$5:$A$1504,0)),""))</f>
        <v/>
      </c>
      <c r="J221" s="55">
        <f>IF(C221="","",ROUND(C221*IF(IFERROR(INDEX('SETTINGS'!$K$5:$K$24,MATCH(E221,'SETTINGS'!$J$5:$J$24,0)),"No")="Yes",FeePct,0),2))</f>
        <v/>
      </c>
      <c r="K221" s="51">
        <f>IF(A221="","",DATE(YEAR(A221),MONTH(A221),1))</f>
        <v/>
      </c>
    </row>
    <row r="222">
      <c r="A222" s="47" t="n">
        <v>46237</v>
      </c>
      <c r="B222" s="38" t="inlineStr">
        <is>
          <t>J-0225</t>
        </is>
      </c>
      <c r="C222" s="48" t="n">
        <v>150</v>
      </c>
      <c r="D222" s="48" t="n"/>
      <c r="E222" s="38" t="inlineStr">
        <is>
          <t>Card</t>
        </is>
      </c>
      <c r="F222" s="38" t="inlineStr">
        <is>
          <t>INV-0225</t>
        </is>
      </c>
      <c r="G222" s="38" t="inlineStr"/>
      <c r="H222" s="49">
        <f>IF(B222="","",IFERROR(INDEX('JOBS'!$D$5:$D$1504,MATCH(B222,'JOBS'!$A$5:$A$1504,0)),"Job ID not found"))</f>
        <v/>
      </c>
      <c r="I222" s="49">
        <f>IF(B222="","",IFERROR(INDEX('JOBS'!$F$5:$F$1504,MATCH(B222,'JOBS'!$A$5:$A$1504,0)),""))</f>
        <v/>
      </c>
      <c r="J222" s="55">
        <f>IF(C222="","",ROUND(C222*IF(IFERROR(INDEX('SETTINGS'!$K$5:$K$24,MATCH(E222,'SETTINGS'!$J$5:$J$24,0)),"No")="Yes",FeePct,0),2))</f>
        <v/>
      </c>
      <c r="K222" s="51">
        <f>IF(A222="","",DATE(YEAR(A222),MONTH(A222),1))</f>
        <v/>
      </c>
    </row>
    <row r="223">
      <c r="A223" s="47" t="n">
        <v>46237</v>
      </c>
      <c r="B223" s="38" t="inlineStr">
        <is>
          <t>J-0226</t>
        </is>
      </c>
      <c r="C223" s="48" t="n">
        <v>135</v>
      </c>
      <c r="D223" s="48" t="n"/>
      <c r="E223" s="38" t="inlineStr">
        <is>
          <t>Payment App</t>
        </is>
      </c>
      <c r="F223" s="38" t="inlineStr">
        <is>
          <t>INV-0226</t>
        </is>
      </c>
      <c r="G223" s="38" t="inlineStr"/>
      <c r="H223" s="49">
        <f>IF(B223="","",IFERROR(INDEX('JOBS'!$D$5:$D$1504,MATCH(B223,'JOBS'!$A$5:$A$1504,0)),"Job ID not found"))</f>
        <v/>
      </c>
      <c r="I223" s="49">
        <f>IF(B223="","",IFERROR(INDEX('JOBS'!$F$5:$F$1504,MATCH(B223,'JOBS'!$A$5:$A$1504,0)),""))</f>
        <v/>
      </c>
      <c r="J223" s="55">
        <f>IF(C223="","",ROUND(C223*IF(IFERROR(INDEX('SETTINGS'!$K$5:$K$24,MATCH(E223,'SETTINGS'!$J$5:$J$24,0)),"No")="Yes",FeePct,0),2))</f>
        <v/>
      </c>
      <c r="K223" s="51">
        <f>IF(A223="","",DATE(YEAR(A223),MONTH(A223),1))</f>
        <v/>
      </c>
    </row>
    <row r="224">
      <c r="A224" s="47" t="n">
        <v>46239</v>
      </c>
      <c r="B224" s="38" t="inlineStr">
        <is>
          <t>J-0220</t>
        </is>
      </c>
      <c r="C224" s="48" t="n">
        <v>140</v>
      </c>
      <c r="D224" s="48" t="n"/>
      <c r="E224" s="38" t="inlineStr">
        <is>
          <t>Online Invoice</t>
        </is>
      </c>
      <c r="F224" s="38" t="inlineStr">
        <is>
          <t>INV-0220</t>
        </is>
      </c>
      <c r="G224" s="38" t="inlineStr"/>
      <c r="H224" s="49">
        <f>IF(B224="","",IFERROR(INDEX('JOBS'!$D$5:$D$1504,MATCH(B224,'JOBS'!$A$5:$A$1504,0)),"Job ID not found"))</f>
        <v/>
      </c>
      <c r="I224" s="49">
        <f>IF(B224="","",IFERROR(INDEX('JOBS'!$F$5:$F$1504,MATCH(B224,'JOBS'!$A$5:$A$1504,0)),""))</f>
        <v/>
      </c>
      <c r="J224" s="55">
        <f>IF(C224="","",ROUND(C224*IF(IFERROR(INDEX('SETTINGS'!$K$5:$K$24,MATCH(E224,'SETTINGS'!$J$5:$J$24,0)),"No")="Yes",FeePct,0),2))</f>
        <v/>
      </c>
      <c r="K224" s="51">
        <f>IF(A224="","",DATE(YEAR(A224),MONTH(A224),1))</f>
        <v/>
      </c>
    </row>
    <row r="225">
      <c r="A225" s="47" t="n">
        <v>46239</v>
      </c>
      <c r="B225" s="38" t="inlineStr">
        <is>
          <t>J-0221</t>
        </is>
      </c>
      <c r="C225" s="48" t="n">
        <v>430</v>
      </c>
      <c r="D225" s="48" t="n">
        <v>10</v>
      </c>
      <c r="E225" s="38" t="inlineStr">
        <is>
          <t>Online Invoice</t>
        </is>
      </c>
      <c r="F225" s="38" t="inlineStr">
        <is>
          <t>INV-0221</t>
        </is>
      </c>
      <c r="G225" s="38" t="inlineStr"/>
      <c r="H225" s="49">
        <f>IF(B225="","",IFERROR(INDEX('JOBS'!$D$5:$D$1504,MATCH(B225,'JOBS'!$A$5:$A$1504,0)),"Job ID not found"))</f>
        <v/>
      </c>
      <c r="I225" s="49">
        <f>IF(B225="","",IFERROR(INDEX('JOBS'!$F$5:$F$1504,MATCH(B225,'JOBS'!$A$5:$A$1504,0)),""))</f>
        <v/>
      </c>
      <c r="J225" s="55">
        <f>IF(C225="","",ROUND(C225*IF(IFERROR(INDEX('SETTINGS'!$K$5:$K$24,MATCH(E225,'SETTINGS'!$J$5:$J$24,0)),"No")="Yes",FeePct,0),2))</f>
        <v/>
      </c>
      <c r="K225" s="51">
        <f>IF(A225="","",DATE(YEAR(A225),MONTH(A225),1))</f>
        <v/>
      </c>
    </row>
    <row r="226">
      <c r="A226" s="47" t="n">
        <v>46239</v>
      </c>
      <c r="B226" s="38" t="inlineStr">
        <is>
          <t>J-0228</t>
        </is>
      </c>
      <c r="C226" s="48" t="n">
        <v>220</v>
      </c>
      <c r="D226" s="48" t="n"/>
      <c r="E226" s="38" t="inlineStr">
        <is>
          <t>Online Invoice</t>
        </is>
      </c>
      <c r="F226" s="38" t="inlineStr">
        <is>
          <t>INV-0228</t>
        </is>
      </c>
      <c r="G226" s="38" t="inlineStr"/>
      <c r="H226" s="49">
        <f>IF(B226="","",IFERROR(INDEX('JOBS'!$D$5:$D$1504,MATCH(B226,'JOBS'!$A$5:$A$1504,0)),"Job ID not found"))</f>
        <v/>
      </c>
      <c r="I226" s="49">
        <f>IF(B226="","",IFERROR(INDEX('JOBS'!$F$5:$F$1504,MATCH(B226,'JOBS'!$A$5:$A$1504,0)),""))</f>
        <v/>
      </c>
      <c r="J226" s="55">
        <f>IF(C226="","",ROUND(C226*IF(IFERROR(INDEX('SETTINGS'!$K$5:$K$24,MATCH(E226,'SETTINGS'!$J$5:$J$24,0)),"No")="Yes",FeePct,0),2))</f>
        <v/>
      </c>
      <c r="K226" s="51">
        <f>IF(A226="","",DATE(YEAR(A226),MONTH(A226),1))</f>
        <v/>
      </c>
    </row>
    <row r="227">
      <c r="A227" s="47" t="n">
        <v>46241</v>
      </c>
      <c r="B227" s="38" t="inlineStr">
        <is>
          <t>J-0229</t>
        </is>
      </c>
      <c r="C227" s="48" t="n">
        <v>100</v>
      </c>
      <c r="D227" s="48" t="n"/>
      <c r="E227" s="38" t="inlineStr">
        <is>
          <t>Online Invoice</t>
        </is>
      </c>
      <c r="F227" s="38" t="inlineStr">
        <is>
          <t>INV-0229</t>
        </is>
      </c>
      <c r="G227" s="38" t="inlineStr"/>
      <c r="H227" s="49">
        <f>IF(B227="","",IFERROR(INDEX('JOBS'!$D$5:$D$1504,MATCH(B227,'JOBS'!$A$5:$A$1504,0)),"Job ID not found"))</f>
        <v/>
      </c>
      <c r="I227" s="49">
        <f>IF(B227="","",IFERROR(INDEX('JOBS'!$F$5:$F$1504,MATCH(B227,'JOBS'!$A$5:$A$1504,0)),""))</f>
        <v/>
      </c>
      <c r="J227" s="55">
        <f>IF(C227="","",ROUND(C227*IF(IFERROR(INDEX('SETTINGS'!$K$5:$K$24,MATCH(E227,'SETTINGS'!$J$5:$J$24,0)),"No")="Yes",FeePct,0),2))</f>
        <v/>
      </c>
      <c r="K227" s="51">
        <f>IF(A227="","",DATE(YEAR(A227),MONTH(A227),1))</f>
        <v/>
      </c>
    </row>
    <row r="228">
      <c r="A228" s="47" t="n">
        <v>46241</v>
      </c>
      <c r="B228" s="38" t="inlineStr">
        <is>
          <t>J-0230</t>
        </is>
      </c>
      <c r="C228" s="48" t="n">
        <v>140</v>
      </c>
      <c r="D228" s="48" t="n"/>
      <c r="E228" s="38" t="inlineStr">
        <is>
          <t>Online Invoice</t>
        </is>
      </c>
      <c r="F228" s="38" t="inlineStr">
        <is>
          <t>INV-0230</t>
        </is>
      </c>
      <c r="G228" s="38" t="inlineStr"/>
      <c r="H228" s="49">
        <f>IF(B228="","",IFERROR(INDEX('JOBS'!$D$5:$D$1504,MATCH(B228,'JOBS'!$A$5:$A$1504,0)),"Job ID not found"))</f>
        <v/>
      </c>
      <c r="I228" s="49">
        <f>IF(B228="","",IFERROR(INDEX('JOBS'!$F$5:$F$1504,MATCH(B228,'JOBS'!$A$5:$A$1504,0)),""))</f>
        <v/>
      </c>
      <c r="J228" s="55">
        <f>IF(C228="","",ROUND(C228*IF(IFERROR(INDEX('SETTINGS'!$K$5:$K$24,MATCH(E228,'SETTINGS'!$J$5:$J$24,0)),"No")="Yes",FeePct,0),2))</f>
        <v/>
      </c>
      <c r="K228" s="51">
        <f>IF(A228="","",DATE(YEAR(A228),MONTH(A228),1))</f>
        <v/>
      </c>
    </row>
    <row r="229">
      <c r="A229" s="47" t="n">
        <v>46242</v>
      </c>
      <c r="B229" s="38" t="inlineStr">
        <is>
          <t>J-0232</t>
        </is>
      </c>
      <c r="C229" s="48" t="n">
        <v>220</v>
      </c>
      <c r="D229" s="48" t="n">
        <v>20</v>
      </c>
      <c r="E229" s="38" t="inlineStr">
        <is>
          <t>Card</t>
        </is>
      </c>
      <c r="F229" s="38" t="inlineStr">
        <is>
          <t>INV-0232</t>
        </is>
      </c>
      <c r="G229" s="38" t="inlineStr"/>
      <c r="H229" s="49">
        <f>IF(B229="","",IFERROR(INDEX('JOBS'!$D$5:$D$1504,MATCH(B229,'JOBS'!$A$5:$A$1504,0)),"Job ID not found"))</f>
        <v/>
      </c>
      <c r="I229" s="49">
        <f>IF(B229="","",IFERROR(INDEX('JOBS'!$F$5:$F$1504,MATCH(B229,'JOBS'!$A$5:$A$1504,0)),""))</f>
        <v/>
      </c>
      <c r="J229" s="55">
        <f>IF(C229="","",ROUND(C229*IF(IFERROR(INDEX('SETTINGS'!$K$5:$K$24,MATCH(E229,'SETTINGS'!$J$5:$J$24,0)),"No")="Yes",FeePct,0),2))</f>
        <v/>
      </c>
      <c r="K229" s="51">
        <f>IF(A229="","",DATE(YEAR(A229),MONTH(A229),1))</f>
        <v/>
      </c>
    </row>
    <row r="230">
      <c r="A230" s="47" t="n">
        <v>46243</v>
      </c>
      <c r="B230" s="38" t="inlineStr">
        <is>
          <t>J-0227</t>
        </is>
      </c>
      <c r="C230" s="48" t="n">
        <v>175</v>
      </c>
      <c r="D230" s="48" t="n">
        <v>10</v>
      </c>
      <c r="E230" s="38" t="inlineStr">
        <is>
          <t>Payment App</t>
        </is>
      </c>
      <c r="F230" s="38" t="inlineStr">
        <is>
          <t>INV-0227</t>
        </is>
      </c>
      <c r="G230" s="38" t="inlineStr"/>
      <c r="H230" s="49">
        <f>IF(B230="","",IFERROR(INDEX('JOBS'!$D$5:$D$1504,MATCH(B230,'JOBS'!$A$5:$A$1504,0)),"Job ID not found"))</f>
        <v/>
      </c>
      <c r="I230" s="49">
        <f>IF(B230="","",IFERROR(INDEX('JOBS'!$F$5:$F$1504,MATCH(B230,'JOBS'!$A$5:$A$1504,0)),""))</f>
        <v/>
      </c>
      <c r="J230" s="55">
        <f>IF(C230="","",ROUND(C230*IF(IFERROR(INDEX('SETTINGS'!$K$5:$K$24,MATCH(E230,'SETTINGS'!$J$5:$J$24,0)),"No")="Yes",FeePct,0),2))</f>
        <v/>
      </c>
      <c r="K230" s="51">
        <f>IF(A230="","",DATE(YEAR(A230),MONTH(A230),1))</f>
        <v/>
      </c>
    </row>
    <row r="231">
      <c r="A231" s="47" t="n">
        <v>46243</v>
      </c>
      <c r="B231" s="38" t="inlineStr">
        <is>
          <t>J-0231</t>
        </is>
      </c>
      <c r="C231" s="48" t="n">
        <v>220</v>
      </c>
      <c r="D231" s="48" t="n"/>
      <c r="E231" s="38" t="inlineStr">
        <is>
          <t>Payment App</t>
        </is>
      </c>
      <c r="F231" s="38" t="inlineStr">
        <is>
          <t>INV-0231</t>
        </is>
      </c>
      <c r="G231" s="38" t="inlineStr"/>
      <c r="H231" s="49">
        <f>IF(B231="","",IFERROR(INDEX('JOBS'!$D$5:$D$1504,MATCH(B231,'JOBS'!$A$5:$A$1504,0)),"Job ID not found"))</f>
        <v/>
      </c>
      <c r="I231" s="49">
        <f>IF(B231="","",IFERROR(INDEX('JOBS'!$F$5:$F$1504,MATCH(B231,'JOBS'!$A$5:$A$1504,0)),""))</f>
        <v/>
      </c>
      <c r="J231" s="55">
        <f>IF(C231="","",ROUND(C231*IF(IFERROR(INDEX('SETTINGS'!$K$5:$K$24,MATCH(E231,'SETTINGS'!$J$5:$J$24,0)),"No")="Yes",FeePct,0),2))</f>
        <v/>
      </c>
      <c r="K231" s="51">
        <f>IF(A231="","",DATE(YEAR(A231),MONTH(A231),1))</f>
        <v/>
      </c>
    </row>
    <row r="232">
      <c r="A232" s="47" t="n">
        <v>46244</v>
      </c>
      <c r="B232" s="38" t="inlineStr">
        <is>
          <t>J-0234</t>
        </is>
      </c>
      <c r="C232" s="48" t="n">
        <v>150</v>
      </c>
      <c r="D232" s="48" t="n"/>
      <c r="E232" s="38" t="inlineStr">
        <is>
          <t>Card</t>
        </is>
      </c>
      <c r="F232" s="38" t="inlineStr">
        <is>
          <t>INV-0234</t>
        </is>
      </c>
      <c r="G232" s="38" t="inlineStr"/>
      <c r="H232" s="49">
        <f>IF(B232="","",IFERROR(INDEX('JOBS'!$D$5:$D$1504,MATCH(B232,'JOBS'!$A$5:$A$1504,0)),"Job ID not found"))</f>
        <v/>
      </c>
      <c r="I232" s="49">
        <f>IF(B232="","",IFERROR(INDEX('JOBS'!$F$5:$F$1504,MATCH(B232,'JOBS'!$A$5:$A$1504,0)),""))</f>
        <v/>
      </c>
      <c r="J232" s="55">
        <f>IF(C232="","",ROUND(C232*IF(IFERROR(INDEX('SETTINGS'!$K$5:$K$24,MATCH(E232,'SETTINGS'!$J$5:$J$24,0)),"No")="Yes",FeePct,0),2))</f>
        <v/>
      </c>
      <c r="K232" s="51">
        <f>IF(A232="","",DATE(YEAR(A232),MONTH(A232),1))</f>
        <v/>
      </c>
    </row>
    <row r="233">
      <c r="A233" s="47" t="n">
        <v>46244</v>
      </c>
      <c r="B233" s="38" t="inlineStr">
        <is>
          <t>J-0235</t>
        </is>
      </c>
      <c r="C233" s="48" t="n">
        <v>135</v>
      </c>
      <c r="D233" s="48" t="n"/>
      <c r="E233" s="38" t="inlineStr">
        <is>
          <t>Online Invoice</t>
        </is>
      </c>
      <c r="F233" s="38" t="inlineStr">
        <is>
          <t>INV-0235</t>
        </is>
      </c>
      <c r="G233" s="38" t="inlineStr"/>
      <c r="H233" s="49">
        <f>IF(B233="","",IFERROR(INDEX('JOBS'!$D$5:$D$1504,MATCH(B233,'JOBS'!$A$5:$A$1504,0)),"Job ID not found"))</f>
        <v/>
      </c>
      <c r="I233" s="49">
        <f>IF(B233="","",IFERROR(INDEX('JOBS'!$F$5:$F$1504,MATCH(B233,'JOBS'!$A$5:$A$1504,0)),""))</f>
        <v/>
      </c>
      <c r="J233" s="55">
        <f>IF(C233="","",ROUND(C233*IF(IFERROR(INDEX('SETTINGS'!$K$5:$K$24,MATCH(E233,'SETTINGS'!$J$5:$J$24,0)),"No")="Yes",FeePct,0),2))</f>
        <v/>
      </c>
      <c r="K233" s="51">
        <f>IF(A233="","",DATE(YEAR(A233),MONTH(A233),1))</f>
        <v/>
      </c>
    </row>
    <row r="234">
      <c r="A234" s="47" t="n">
        <v>46245</v>
      </c>
      <c r="B234" s="38" t="inlineStr">
        <is>
          <t>J-0236</t>
        </is>
      </c>
      <c r="C234" s="48" t="n">
        <v>175</v>
      </c>
      <c r="D234" s="48" t="n"/>
      <c r="E234" s="38" t="inlineStr">
        <is>
          <t>Card</t>
        </is>
      </c>
      <c r="F234" s="38" t="inlineStr">
        <is>
          <t>INV-0236</t>
        </is>
      </c>
      <c r="G234" s="38" t="inlineStr"/>
      <c r="H234" s="49">
        <f>IF(B234="","",IFERROR(INDEX('JOBS'!$D$5:$D$1504,MATCH(B234,'JOBS'!$A$5:$A$1504,0)),"Job ID not found"))</f>
        <v/>
      </c>
      <c r="I234" s="49">
        <f>IF(B234="","",IFERROR(INDEX('JOBS'!$F$5:$F$1504,MATCH(B234,'JOBS'!$A$5:$A$1504,0)),""))</f>
        <v/>
      </c>
      <c r="J234" s="55">
        <f>IF(C234="","",ROUND(C234*IF(IFERROR(INDEX('SETTINGS'!$K$5:$K$24,MATCH(E234,'SETTINGS'!$J$5:$J$24,0)),"No")="Yes",FeePct,0),2))</f>
        <v/>
      </c>
      <c r="K234" s="51">
        <f>IF(A234="","",DATE(YEAR(A234),MONTH(A234),1))</f>
        <v/>
      </c>
    </row>
    <row r="235">
      <c r="A235" s="47" t="n">
        <v>46247</v>
      </c>
      <c r="B235" s="38" t="inlineStr">
        <is>
          <t>J-0233</t>
        </is>
      </c>
      <c r="C235" s="48" t="n">
        <v>245</v>
      </c>
      <c r="D235" s="48" t="n"/>
      <c r="E235" s="38" t="inlineStr">
        <is>
          <t>Check</t>
        </is>
      </c>
      <c r="F235" s="38" t="inlineStr">
        <is>
          <t>INV-0233</t>
        </is>
      </c>
      <c r="G235" s="38" t="inlineStr"/>
      <c r="H235" s="49">
        <f>IF(B235="","",IFERROR(INDEX('JOBS'!$D$5:$D$1504,MATCH(B235,'JOBS'!$A$5:$A$1504,0)),"Job ID not found"))</f>
        <v/>
      </c>
      <c r="I235" s="49">
        <f>IF(B235="","",IFERROR(INDEX('JOBS'!$F$5:$F$1504,MATCH(B235,'JOBS'!$A$5:$A$1504,0)),""))</f>
        <v/>
      </c>
      <c r="J235" s="55">
        <f>IF(C235="","",ROUND(C235*IF(IFERROR(INDEX('SETTINGS'!$K$5:$K$24,MATCH(E235,'SETTINGS'!$J$5:$J$24,0)),"No")="Yes",FeePct,0),2))</f>
        <v/>
      </c>
      <c r="K235" s="51">
        <f>IF(A235="","",DATE(YEAR(A235),MONTH(A235),1))</f>
        <v/>
      </c>
    </row>
    <row r="236">
      <c r="A236" s="47" t="n">
        <v>46248</v>
      </c>
      <c r="B236" s="38" t="inlineStr">
        <is>
          <t>J-0239</t>
        </is>
      </c>
      <c r="C236" s="48" t="n">
        <v>100</v>
      </c>
      <c r="D236" s="48" t="n">
        <v>20</v>
      </c>
      <c r="E236" s="38" t="inlineStr">
        <is>
          <t>Online Invoice</t>
        </is>
      </c>
      <c r="F236" s="38" t="inlineStr">
        <is>
          <t>INV-0239</t>
        </is>
      </c>
      <c r="G236" s="38" t="inlineStr"/>
      <c r="H236" s="49">
        <f>IF(B236="","",IFERROR(INDEX('JOBS'!$D$5:$D$1504,MATCH(B236,'JOBS'!$A$5:$A$1504,0)),"Job ID not found"))</f>
        <v/>
      </c>
      <c r="I236" s="49">
        <f>IF(B236="","",IFERROR(INDEX('JOBS'!$F$5:$F$1504,MATCH(B236,'JOBS'!$A$5:$A$1504,0)),""))</f>
        <v/>
      </c>
      <c r="J236" s="55">
        <f>IF(C236="","",ROUND(C236*IF(IFERROR(INDEX('SETTINGS'!$K$5:$K$24,MATCH(E236,'SETTINGS'!$J$5:$J$24,0)),"No")="Yes",FeePct,0),2))</f>
        <v/>
      </c>
      <c r="K236" s="51">
        <f>IF(A236="","",DATE(YEAR(A236),MONTH(A236),1))</f>
        <v/>
      </c>
    </row>
    <row r="237">
      <c r="A237" s="47" t="n">
        <v>46248</v>
      </c>
      <c r="B237" s="38" t="inlineStr">
        <is>
          <t>J-0240</t>
        </is>
      </c>
      <c r="C237" s="48" t="n">
        <v>140</v>
      </c>
      <c r="D237" s="48" t="n">
        <v>10</v>
      </c>
      <c r="E237" s="38" t="inlineStr">
        <is>
          <t>Online Invoice</t>
        </is>
      </c>
      <c r="F237" s="38" t="inlineStr">
        <is>
          <t>INV-0240</t>
        </is>
      </c>
      <c r="G237" s="38" t="inlineStr"/>
      <c r="H237" s="49">
        <f>IF(B237="","",IFERROR(INDEX('JOBS'!$D$5:$D$1504,MATCH(B237,'JOBS'!$A$5:$A$1504,0)),"Job ID not found"))</f>
        <v/>
      </c>
      <c r="I237" s="49">
        <f>IF(B237="","",IFERROR(INDEX('JOBS'!$F$5:$F$1504,MATCH(B237,'JOBS'!$A$5:$A$1504,0)),""))</f>
        <v/>
      </c>
      <c r="J237" s="55">
        <f>IF(C237="","",ROUND(C237*IF(IFERROR(INDEX('SETTINGS'!$K$5:$K$24,MATCH(E237,'SETTINGS'!$J$5:$J$24,0)),"No")="Yes",FeePct,0),2))</f>
        <v/>
      </c>
      <c r="K237" s="51">
        <f>IF(A237="","",DATE(YEAR(A237),MONTH(A237),1))</f>
        <v/>
      </c>
    </row>
    <row r="238">
      <c r="A238" s="47" t="n">
        <v>46249</v>
      </c>
      <c r="B238" s="38" t="inlineStr">
        <is>
          <t>J-0237</t>
        </is>
      </c>
      <c r="C238" s="48" t="n">
        <v>380</v>
      </c>
      <c r="D238" s="48" t="n"/>
      <c r="E238" s="38" t="inlineStr">
        <is>
          <t>Card</t>
        </is>
      </c>
      <c r="F238" s="38" t="inlineStr">
        <is>
          <t>INV-0237</t>
        </is>
      </c>
      <c r="G238" s="38" t="inlineStr"/>
      <c r="H238" s="49">
        <f>IF(B238="","",IFERROR(INDEX('JOBS'!$D$5:$D$1504,MATCH(B238,'JOBS'!$A$5:$A$1504,0)),"Job ID not found"))</f>
        <v/>
      </c>
      <c r="I238" s="49">
        <f>IF(B238="","",IFERROR(INDEX('JOBS'!$F$5:$F$1504,MATCH(B238,'JOBS'!$A$5:$A$1504,0)),""))</f>
        <v/>
      </c>
      <c r="J238" s="55">
        <f>IF(C238="","",ROUND(C238*IF(IFERROR(INDEX('SETTINGS'!$K$5:$K$24,MATCH(E238,'SETTINGS'!$J$5:$J$24,0)),"No")="Yes",FeePct,0),2))</f>
        <v/>
      </c>
      <c r="K238" s="51">
        <f>IF(A238="","",DATE(YEAR(A238),MONTH(A238),1))</f>
        <v/>
      </c>
    </row>
    <row r="239">
      <c r="A239" s="47" t="n">
        <v>46249</v>
      </c>
      <c r="B239" s="38" t="inlineStr">
        <is>
          <t>J-0238</t>
        </is>
      </c>
      <c r="C239" s="48" t="n">
        <v>135</v>
      </c>
      <c r="D239" s="48" t="n"/>
      <c r="E239" s="38" t="inlineStr">
        <is>
          <t>Online Invoice</t>
        </is>
      </c>
      <c r="F239" s="38" t="inlineStr">
        <is>
          <t>INV-0238</t>
        </is>
      </c>
      <c r="G239" s="38" t="inlineStr"/>
      <c r="H239" s="49">
        <f>IF(B239="","",IFERROR(INDEX('JOBS'!$D$5:$D$1504,MATCH(B239,'JOBS'!$A$5:$A$1504,0)),"Job ID not found"))</f>
        <v/>
      </c>
      <c r="I239" s="49">
        <f>IF(B239="","",IFERROR(INDEX('JOBS'!$F$5:$F$1504,MATCH(B239,'JOBS'!$A$5:$A$1504,0)),""))</f>
        <v/>
      </c>
      <c r="J239" s="55">
        <f>IF(C239="","",ROUND(C239*IF(IFERROR(INDEX('SETTINGS'!$K$5:$K$24,MATCH(E239,'SETTINGS'!$J$5:$J$24,0)),"No")="Yes",FeePct,0),2))</f>
        <v/>
      </c>
      <c r="K239" s="51">
        <f>IF(A239="","",DATE(YEAR(A239),MONTH(A239),1))</f>
        <v/>
      </c>
    </row>
    <row r="240">
      <c r="A240" s="47" t="n">
        <v>46249</v>
      </c>
      <c r="B240" s="38" t="inlineStr">
        <is>
          <t>J-0241</t>
        </is>
      </c>
      <c r="C240" s="48" t="n">
        <v>110</v>
      </c>
      <c r="D240" s="48" t="n"/>
      <c r="E240" s="38" t="inlineStr">
        <is>
          <t>Check</t>
        </is>
      </c>
      <c r="F240" s="38" t="inlineStr">
        <is>
          <t>INV-0241</t>
        </is>
      </c>
      <c r="G240" s="38" t="inlineStr"/>
      <c r="H240" s="49">
        <f>IF(B240="","",IFERROR(INDEX('JOBS'!$D$5:$D$1504,MATCH(B240,'JOBS'!$A$5:$A$1504,0)),"Job ID not found"))</f>
        <v/>
      </c>
      <c r="I240" s="49">
        <f>IF(B240="","",IFERROR(INDEX('JOBS'!$F$5:$F$1504,MATCH(B240,'JOBS'!$A$5:$A$1504,0)),""))</f>
        <v/>
      </c>
      <c r="J240" s="55">
        <f>IF(C240="","",ROUND(C240*IF(IFERROR(INDEX('SETTINGS'!$K$5:$K$24,MATCH(E240,'SETTINGS'!$J$5:$J$24,0)),"No")="Yes",FeePct,0),2))</f>
        <v/>
      </c>
      <c r="K240" s="51">
        <f>IF(A240="","",DATE(YEAR(A240),MONTH(A240),1))</f>
        <v/>
      </c>
    </row>
    <row r="241">
      <c r="A241" s="47" t="n">
        <v>46251</v>
      </c>
      <c r="B241" s="38" t="inlineStr">
        <is>
          <t>J-0242</t>
        </is>
      </c>
      <c r="C241" s="48" t="n">
        <v>150</v>
      </c>
      <c r="D241" s="48" t="n"/>
      <c r="E241" s="38" t="inlineStr">
        <is>
          <t>Online Invoice</t>
        </is>
      </c>
      <c r="F241" s="38" t="inlineStr">
        <is>
          <t>INV-0242</t>
        </is>
      </c>
      <c r="G241" s="38" t="inlineStr"/>
      <c r="H241" s="49">
        <f>IF(B241="","",IFERROR(INDEX('JOBS'!$D$5:$D$1504,MATCH(B241,'JOBS'!$A$5:$A$1504,0)),"Job ID not found"))</f>
        <v/>
      </c>
      <c r="I241" s="49">
        <f>IF(B241="","",IFERROR(INDEX('JOBS'!$F$5:$F$1504,MATCH(B241,'JOBS'!$A$5:$A$1504,0)),""))</f>
        <v/>
      </c>
      <c r="J241" s="55">
        <f>IF(C241="","",ROUND(C241*IF(IFERROR(INDEX('SETTINGS'!$K$5:$K$24,MATCH(E241,'SETTINGS'!$J$5:$J$24,0)),"No")="Yes",FeePct,0),2))</f>
        <v/>
      </c>
      <c r="K241" s="51">
        <f>IF(A241="","",DATE(YEAR(A241),MONTH(A241),1))</f>
        <v/>
      </c>
    </row>
    <row r="242">
      <c r="A242" s="47" t="n">
        <v>46251</v>
      </c>
      <c r="B242" s="38" t="inlineStr">
        <is>
          <t>J-0243</t>
        </is>
      </c>
      <c r="C242" s="48" t="n">
        <v>145</v>
      </c>
      <c r="D242" s="48" t="n"/>
      <c r="E242" s="38" t="inlineStr">
        <is>
          <t>Cash</t>
        </is>
      </c>
      <c r="F242" s="38" t="inlineStr">
        <is>
          <t>INV-0243</t>
        </is>
      </c>
      <c r="G242" s="38" t="inlineStr"/>
      <c r="H242" s="49">
        <f>IF(B242="","",IFERROR(INDEX('JOBS'!$D$5:$D$1504,MATCH(B242,'JOBS'!$A$5:$A$1504,0)),"Job ID not found"))</f>
        <v/>
      </c>
      <c r="I242" s="49">
        <f>IF(B242="","",IFERROR(INDEX('JOBS'!$F$5:$F$1504,MATCH(B242,'JOBS'!$A$5:$A$1504,0)),""))</f>
        <v/>
      </c>
      <c r="J242" s="55">
        <f>IF(C242="","",ROUND(C242*IF(IFERROR(INDEX('SETTINGS'!$K$5:$K$24,MATCH(E242,'SETTINGS'!$J$5:$J$24,0)),"No")="Yes",FeePct,0),2))</f>
        <v/>
      </c>
      <c r="K242" s="51">
        <f>IF(A242="","",DATE(YEAR(A242),MONTH(A242),1))</f>
        <v/>
      </c>
    </row>
    <row r="243">
      <c r="A243" s="47" t="n">
        <v>46252</v>
      </c>
      <c r="B243" s="38" t="inlineStr">
        <is>
          <t>J-0244</t>
        </is>
      </c>
      <c r="C243" s="48" t="n">
        <v>175</v>
      </c>
      <c r="D243" s="48" t="n"/>
      <c r="E243" s="38" t="inlineStr">
        <is>
          <t>Card</t>
        </is>
      </c>
      <c r="F243" s="38" t="inlineStr">
        <is>
          <t>INV-0244</t>
        </is>
      </c>
      <c r="G243" s="38" t="inlineStr"/>
      <c r="H243" s="49">
        <f>IF(B243="","",IFERROR(INDEX('JOBS'!$D$5:$D$1504,MATCH(B243,'JOBS'!$A$5:$A$1504,0)),"Job ID not found"))</f>
        <v/>
      </c>
      <c r="I243" s="49">
        <f>IF(B243="","",IFERROR(INDEX('JOBS'!$F$5:$F$1504,MATCH(B243,'JOBS'!$A$5:$A$1504,0)),""))</f>
        <v/>
      </c>
      <c r="J243" s="55">
        <f>IF(C243="","",ROUND(C243*IF(IFERROR(INDEX('SETTINGS'!$K$5:$K$24,MATCH(E243,'SETTINGS'!$J$5:$J$24,0)),"No")="Yes",FeePct,0),2))</f>
        <v/>
      </c>
      <c r="K243" s="51">
        <f>IF(A243="","",DATE(YEAR(A243),MONTH(A243),1))</f>
        <v/>
      </c>
    </row>
    <row r="244">
      <c r="A244" s="47" t="n">
        <v>46255</v>
      </c>
      <c r="B244" s="38" t="inlineStr">
        <is>
          <t>J-0246</t>
        </is>
      </c>
      <c r="C244" s="48" t="n">
        <v>220</v>
      </c>
      <c r="D244" s="48" t="n"/>
      <c r="E244" s="38" t="inlineStr">
        <is>
          <t>Online Invoice</t>
        </is>
      </c>
      <c r="F244" s="38" t="inlineStr">
        <is>
          <t>INV-0246</t>
        </is>
      </c>
      <c r="G244" s="38" t="inlineStr"/>
      <c r="H244" s="49">
        <f>IF(B244="","",IFERROR(INDEX('JOBS'!$D$5:$D$1504,MATCH(B244,'JOBS'!$A$5:$A$1504,0)),"Job ID not found"))</f>
        <v/>
      </c>
      <c r="I244" s="49">
        <f>IF(B244="","",IFERROR(INDEX('JOBS'!$F$5:$F$1504,MATCH(B244,'JOBS'!$A$5:$A$1504,0)),""))</f>
        <v/>
      </c>
      <c r="J244" s="55">
        <f>IF(C244="","",ROUND(C244*IF(IFERROR(INDEX('SETTINGS'!$K$5:$K$24,MATCH(E244,'SETTINGS'!$J$5:$J$24,0)),"No")="Yes",FeePct,0),2))</f>
        <v/>
      </c>
      <c r="K244" s="51">
        <f>IF(A244="","",DATE(YEAR(A244),MONTH(A244),1))</f>
        <v/>
      </c>
    </row>
    <row r="245">
      <c r="A245" s="47" t="n">
        <v>46255</v>
      </c>
      <c r="B245" s="38" t="inlineStr">
        <is>
          <t>J-0247</t>
        </is>
      </c>
      <c r="C245" s="48" t="n">
        <v>220</v>
      </c>
      <c r="D245" s="48" t="n"/>
      <c r="E245" s="38" t="inlineStr">
        <is>
          <t>Card</t>
        </is>
      </c>
      <c r="F245" s="38" t="inlineStr">
        <is>
          <t>INV-0247</t>
        </is>
      </c>
      <c r="G245" s="38" t="inlineStr"/>
      <c r="H245" s="49">
        <f>IF(B245="","",IFERROR(INDEX('JOBS'!$D$5:$D$1504,MATCH(B245,'JOBS'!$A$5:$A$1504,0)),"Job ID not found"))</f>
        <v/>
      </c>
      <c r="I245" s="49">
        <f>IF(B245="","",IFERROR(INDEX('JOBS'!$F$5:$F$1504,MATCH(B245,'JOBS'!$A$5:$A$1504,0)),""))</f>
        <v/>
      </c>
      <c r="J245" s="55">
        <f>IF(C245="","",ROUND(C245*IF(IFERROR(INDEX('SETTINGS'!$K$5:$K$24,MATCH(E245,'SETTINGS'!$J$5:$J$24,0)),"No")="Yes",FeePct,0),2))</f>
        <v/>
      </c>
      <c r="K245" s="51">
        <f>IF(A245="","",DATE(YEAR(A245),MONTH(A245),1))</f>
        <v/>
      </c>
    </row>
    <row r="246">
      <c r="A246" s="47" t="n">
        <v>46255</v>
      </c>
      <c r="B246" s="38" t="inlineStr">
        <is>
          <t>J-0249</t>
        </is>
      </c>
      <c r="C246" s="48" t="n">
        <v>150</v>
      </c>
      <c r="D246" s="48" t="n">
        <v>10</v>
      </c>
      <c r="E246" s="38" t="inlineStr">
        <is>
          <t>Card</t>
        </is>
      </c>
      <c r="F246" s="38" t="inlineStr">
        <is>
          <t>INV-0249</t>
        </is>
      </c>
      <c r="G246" s="38" t="inlineStr"/>
      <c r="H246" s="49">
        <f>IF(B246="","",IFERROR(INDEX('JOBS'!$D$5:$D$1504,MATCH(B246,'JOBS'!$A$5:$A$1504,0)),"Job ID not found"))</f>
        <v/>
      </c>
      <c r="I246" s="49">
        <f>IF(B246="","",IFERROR(INDEX('JOBS'!$F$5:$F$1504,MATCH(B246,'JOBS'!$A$5:$A$1504,0)),""))</f>
        <v/>
      </c>
      <c r="J246" s="55">
        <f>IF(C246="","",ROUND(C246*IF(IFERROR(INDEX('SETTINGS'!$K$5:$K$24,MATCH(E246,'SETTINGS'!$J$5:$J$24,0)),"No")="Yes",FeePct,0),2))</f>
        <v/>
      </c>
      <c r="K246" s="51">
        <f>IF(A246="","",DATE(YEAR(A246),MONTH(A246),1))</f>
        <v/>
      </c>
    </row>
    <row r="247">
      <c r="A247" s="47" t="n">
        <v>46258</v>
      </c>
      <c r="B247" s="38" t="inlineStr">
        <is>
          <t>J-0245</t>
        </is>
      </c>
      <c r="C247" s="48" t="n">
        <v>220</v>
      </c>
      <c r="D247" s="48" t="n"/>
      <c r="E247" s="38" t="inlineStr">
        <is>
          <t>Online Invoice</t>
        </is>
      </c>
      <c r="F247" s="38" t="inlineStr">
        <is>
          <t>INV-0245</t>
        </is>
      </c>
      <c r="G247" s="38" t="inlineStr"/>
      <c r="H247" s="49">
        <f>IF(B247="","",IFERROR(INDEX('JOBS'!$D$5:$D$1504,MATCH(B247,'JOBS'!$A$5:$A$1504,0)),"Job ID not found"))</f>
        <v/>
      </c>
      <c r="I247" s="49">
        <f>IF(B247="","",IFERROR(INDEX('JOBS'!$F$5:$F$1504,MATCH(B247,'JOBS'!$A$5:$A$1504,0)),""))</f>
        <v/>
      </c>
      <c r="J247" s="55">
        <f>IF(C247="","",ROUND(C247*IF(IFERROR(INDEX('SETTINGS'!$K$5:$K$24,MATCH(E247,'SETTINGS'!$J$5:$J$24,0)),"No")="Yes",FeePct,0),2))</f>
        <v/>
      </c>
      <c r="K247" s="51">
        <f>IF(A247="","",DATE(YEAR(A247),MONTH(A247),1))</f>
        <v/>
      </c>
    </row>
    <row r="248">
      <c r="A248" s="47" t="n">
        <v>46260</v>
      </c>
      <c r="B248" s="38" t="inlineStr">
        <is>
          <t>J-0248</t>
        </is>
      </c>
      <c r="C248" s="48" t="n">
        <v>140</v>
      </c>
      <c r="D248" s="48" t="n"/>
      <c r="E248" s="38" t="inlineStr">
        <is>
          <t>Online Invoice</t>
        </is>
      </c>
      <c r="F248" s="38" t="inlineStr">
        <is>
          <t>INV-0248</t>
        </is>
      </c>
      <c r="G248" s="38" t="inlineStr"/>
      <c r="H248" s="49">
        <f>IF(B248="","",IFERROR(INDEX('JOBS'!$D$5:$D$1504,MATCH(B248,'JOBS'!$A$5:$A$1504,0)),"Job ID not found"))</f>
        <v/>
      </c>
      <c r="I248" s="49">
        <f>IF(B248="","",IFERROR(INDEX('JOBS'!$F$5:$F$1504,MATCH(B248,'JOBS'!$A$5:$A$1504,0)),""))</f>
        <v/>
      </c>
      <c r="J248" s="55">
        <f>IF(C248="","",ROUND(C248*IF(IFERROR(INDEX('SETTINGS'!$K$5:$K$24,MATCH(E248,'SETTINGS'!$J$5:$J$24,0)),"No")="Yes",FeePct,0),2))</f>
        <v/>
      </c>
      <c r="K248" s="51">
        <f>IF(A248="","",DATE(YEAR(A248),MONTH(A248),1))</f>
        <v/>
      </c>
    </row>
    <row r="249">
      <c r="A249" s="47" t="n">
        <v>46260</v>
      </c>
      <c r="B249" s="38" t="inlineStr">
        <is>
          <t>J-0250</t>
        </is>
      </c>
      <c r="C249" s="48" t="n">
        <v>100</v>
      </c>
      <c r="D249" s="48" t="n"/>
      <c r="E249" s="38" t="inlineStr">
        <is>
          <t>Online Invoice</t>
        </is>
      </c>
      <c r="F249" s="38" t="inlineStr">
        <is>
          <t>INV-0250</t>
        </is>
      </c>
      <c r="G249" s="38" t="inlineStr"/>
      <c r="H249" s="49">
        <f>IF(B249="","",IFERROR(INDEX('JOBS'!$D$5:$D$1504,MATCH(B249,'JOBS'!$A$5:$A$1504,0)),"Job ID not found"))</f>
        <v/>
      </c>
      <c r="I249" s="49">
        <f>IF(B249="","",IFERROR(INDEX('JOBS'!$F$5:$F$1504,MATCH(B249,'JOBS'!$A$5:$A$1504,0)),""))</f>
        <v/>
      </c>
      <c r="J249" s="55">
        <f>IF(C249="","",ROUND(C249*IF(IFERROR(INDEX('SETTINGS'!$K$5:$K$24,MATCH(E249,'SETTINGS'!$J$5:$J$24,0)),"No")="Yes",FeePct,0),2))</f>
        <v/>
      </c>
      <c r="K249" s="51">
        <f>IF(A249="","",DATE(YEAR(A249),MONTH(A249),1))</f>
        <v/>
      </c>
    </row>
    <row r="250">
      <c r="A250" s="47" t="n">
        <v>46261</v>
      </c>
      <c r="B250" s="38" t="inlineStr">
        <is>
          <t>J-0251</t>
        </is>
      </c>
      <c r="C250" s="48" t="n">
        <v>175</v>
      </c>
      <c r="D250" s="48" t="n"/>
      <c r="E250" s="38" t="inlineStr">
        <is>
          <t>Card</t>
        </is>
      </c>
      <c r="F250" s="38" t="inlineStr">
        <is>
          <t>INV-0251</t>
        </is>
      </c>
      <c r="G250" s="38" t="inlineStr"/>
      <c r="H250" s="49">
        <f>IF(B250="","",IFERROR(INDEX('JOBS'!$D$5:$D$1504,MATCH(B250,'JOBS'!$A$5:$A$1504,0)),"Job ID not found"))</f>
        <v/>
      </c>
      <c r="I250" s="49">
        <f>IF(B250="","",IFERROR(INDEX('JOBS'!$F$5:$F$1504,MATCH(B250,'JOBS'!$A$5:$A$1504,0)),""))</f>
        <v/>
      </c>
      <c r="J250" s="55">
        <f>IF(C250="","",ROUND(C250*IF(IFERROR(INDEX('SETTINGS'!$K$5:$K$24,MATCH(E250,'SETTINGS'!$J$5:$J$24,0)),"No")="Yes",FeePct,0),2))</f>
        <v/>
      </c>
      <c r="K250" s="51">
        <f>IF(A250="","",DATE(YEAR(A250),MONTH(A250),1))</f>
        <v/>
      </c>
    </row>
    <row r="251">
      <c r="A251" s="47" t="n">
        <v>46261</v>
      </c>
      <c r="B251" s="38" t="inlineStr">
        <is>
          <t>J-0252</t>
        </is>
      </c>
      <c r="C251" s="48" t="n">
        <v>135</v>
      </c>
      <c r="D251" s="48" t="n"/>
      <c r="E251" s="38" t="inlineStr">
        <is>
          <t>Card</t>
        </is>
      </c>
      <c r="F251" s="38" t="inlineStr">
        <is>
          <t>INV-0252</t>
        </is>
      </c>
      <c r="G251" s="38" t="inlineStr"/>
      <c r="H251" s="49">
        <f>IF(B251="","",IFERROR(INDEX('JOBS'!$D$5:$D$1504,MATCH(B251,'JOBS'!$A$5:$A$1504,0)),"Job ID not found"))</f>
        <v/>
      </c>
      <c r="I251" s="49">
        <f>IF(B251="","",IFERROR(INDEX('JOBS'!$F$5:$F$1504,MATCH(B251,'JOBS'!$A$5:$A$1504,0)),""))</f>
        <v/>
      </c>
      <c r="J251" s="55">
        <f>IF(C251="","",ROUND(C251*IF(IFERROR(INDEX('SETTINGS'!$K$5:$K$24,MATCH(E251,'SETTINGS'!$J$5:$J$24,0)),"No")="Yes",FeePct,0),2))</f>
        <v/>
      </c>
      <c r="K251" s="51">
        <f>IF(A251="","",DATE(YEAR(A251),MONTH(A251),1))</f>
        <v/>
      </c>
    </row>
    <row r="252">
      <c r="A252" s="47" t="n">
        <v>46261</v>
      </c>
      <c r="B252" s="38" t="inlineStr">
        <is>
          <t>J-0253</t>
        </is>
      </c>
      <c r="C252" s="48" t="n">
        <v>150</v>
      </c>
      <c r="D252" s="48" t="n"/>
      <c r="E252" s="38" t="inlineStr">
        <is>
          <t>Cash</t>
        </is>
      </c>
      <c r="F252" s="38" t="inlineStr">
        <is>
          <t>INV-0253</t>
        </is>
      </c>
      <c r="G252" s="38" t="inlineStr"/>
      <c r="H252" s="49">
        <f>IF(B252="","",IFERROR(INDEX('JOBS'!$D$5:$D$1504,MATCH(B252,'JOBS'!$A$5:$A$1504,0)),"Job ID not found"))</f>
        <v/>
      </c>
      <c r="I252" s="49">
        <f>IF(B252="","",IFERROR(INDEX('JOBS'!$F$5:$F$1504,MATCH(B252,'JOBS'!$A$5:$A$1504,0)),""))</f>
        <v/>
      </c>
      <c r="J252" s="55">
        <f>IF(C252="","",ROUND(C252*IF(IFERROR(INDEX('SETTINGS'!$K$5:$K$24,MATCH(E252,'SETTINGS'!$J$5:$J$24,0)),"No")="Yes",FeePct,0),2))</f>
        <v/>
      </c>
      <c r="K252" s="51">
        <f>IF(A252="","",DATE(YEAR(A252),MONTH(A252),1))</f>
        <v/>
      </c>
    </row>
    <row r="253">
      <c r="A253" s="47" t="n">
        <v>46263</v>
      </c>
      <c r="B253" s="38" t="inlineStr">
        <is>
          <t>J-0257</t>
        </is>
      </c>
      <c r="C253" s="48" t="n">
        <v>110</v>
      </c>
      <c r="D253" s="48" t="n"/>
      <c r="E253" s="38" t="inlineStr">
        <is>
          <t>Card</t>
        </is>
      </c>
      <c r="F253" s="38" t="inlineStr">
        <is>
          <t>INV-0257</t>
        </is>
      </c>
      <c r="G253" s="38" t="inlineStr"/>
      <c r="H253" s="49">
        <f>IF(B253="","",IFERROR(INDEX('JOBS'!$D$5:$D$1504,MATCH(B253,'JOBS'!$A$5:$A$1504,0)),"Job ID not found"))</f>
        <v/>
      </c>
      <c r="I253" s="49">
        <f>IF(B253="","",IFERROR(INDEX('JOBS'!$F$5:$F$1504,MATCH(B253,'JOBS'!$A$5:$A$1504,0)),""))</f>
        <v/>
      </c>
      <c r="J253" s="55">
        <f>IF(C253="","",ROUND(C253*IF(IFERROR(INDEX('SETTINGS'!$K$5:$K$24,MATCH(E253,'SETTINGS'!$J$5:$J$24,0)),"No")="Yes",FeePct,0),2))</f>
        <v/>
      </c>
      <c r="K253" s="51">
        <f>IF(A253="","",DATE(YEAR(A253),MONTH(A253),1))</f>
        <v/>
      </c>
    </row>
    <row r="254">
      <c r="A254" s="47" t="n">
        <v>46264</v>
      </c>
      <c r="B254" s="38" t="inlineStr">
        <is>
          <t>J-0254</t>
        </is>
      </c>
      <c r="C254" s="48" t="n">
        <v>100</v>
      </c>
      <c r="D254" s="48" t="n"/>
      <c r="E254" s="38" t="inlineStr">
        <is>
          <t>Online Invoice</t>
        </is>
      </c>
      <c r="F254" s="38" t="inlineStr">
        <is>
          <t>INV-0254</t>
        </is>
      </c>
      <c r="G254" s="38" t="inlineStr"/>
      <c r="H254" s="49">
        <f>IF(B254="","",IFERROR(INDEX('JOBS'!$D$5:$D$1504,MATCH(B254,'JOBS'!$A$5:$A$1504,0)),"Job ID not found"))</f>
        <v/>
      </c>
      <c r="I254" s="49">
        <f>IF(B254="","",IFERROR(INDEX('JOBS'!$F$5:$F$1504,MATCH(B254,'JOBS'!$A$5:$A$1504,0)),""))</f>
        <v/>
      </c>
      <c r="J254" s="55">
        <f>IF(C254="","",ROUND(C254*IF(IFERROR(INDEX('SETTINGS'!$K$5:$K$24,MATCH(E254,'SETTINGS'!$J$5:$J$24,0)),"No")="Yes",FeePct,0),2))</f>
        <v/>
      </c>
      <c r="K254" s="51">
        <f>IF(A254="","",DATE(YEAR(A254),MONTH(A254),1))</f>
        <v/>
      </c>
    </row>
    <row r="255">
      <c r="A255" s="47" t="n">
        <v>46264</v>
      </c>
      <c r="B255" s="38" t="inlineStr">
        <is>
          <t>J-0255</t>
        </is>
      </c>
      <c r="C255" s="48" t="n">
        <v>140</v>
      </c>
      <c r="D255" s="48" t="n"/>
      <c r="E255" s="38" t="inlineStr">
        <is>
          <t>Online Invoice</t>
        </is>
      </c>
      <c r="F255" s="38" t="inlineStr">
        <is>
          <t>INV-0255</t>
        </is>
      </c>
      <c r="G255" s="38" t="inlineStr"/>
      <c r="H255" s="49">
        <f>IF(B255="","",IFERROR(INDEX('JOBS'!$D$5:$D$1504,MATCH(B255,'JOBS'!$A$5:$A$1504,0)),"Job ID not found"))</f>
        <v/>
      </c>
      <c r="I255" s="49">
        <f>IF(B255="","",IFERROR(INDEX('JOBS'!$F$5:$F$1504,MATCH(B255,'JOBS'!$A$5:$A$1504,0)),""))</f>
        <v/>
      </c>
      <c r="J255" s="55">
        <f>IF(C255="","",ROUND(C255*IF(IFERROR(INDEX('SETTINGS'!$K$5:$K$24,MATCH(E255,'SETTINGS'!$J$5:$J$24,0)),"No")="Yes",FeePct,0),2))</f>
        <v/>
      </c>
      <c r="K255" s="51">
        <f>IF(A255="","",DATE(YEAR(A255),MONTH(A255),1))</f>
        <v/>
      </c>
    </row>
    <row r="256">
      <c r="A256" s="47" t="n">
        <v>46264</v>
      </c>
      <c r="B256" s="38" t="inlineStr">
        <is>
          <t>J-0258</t>
        </is>
      </c>
      <c r="C256" s="48" t="n">
        <v>135</v>
      </c>
      <c r="D256" s="48" t="n">
        <v>10</v>
      </c>
      <c r="E256" s="38" t="inlineStr">
        <is>
          <t>Payment App</t>
        </is>
      </c>
      <c r="F256" s="38" t="inlineStr">
        <is>
          <t>INV-0258</t>
        </is>
      </c>
      <c r="G256" s="38" t="inlineStr"/>
      <c r="H256" s="49">
        <f>IF(B256="","",IFERROR(INDEX('JOBS'!$D$5:$D$1504,MATCH(B256,'JOBS'!$A$5:$A$1504,0)),"Job ID not found"))</f>
        <v/>
      </c>
      <c r="I256" s="49">
        <f>IF(B256="","",IFERROR(INDEX('JOBS'!$F$5:$F$1504,MATCH(B256,'JOBS'!$A$5:$A$1504,0)),""))</f>
        <v/>
      </c>
      <c r="J256" s="55">
        <f>IF(C256="","",ROUND(C256*IF(IFERROR(INDEX('SETTINGS'!$K$5:$K$24,MATCH(E256,'SETTINGS'!$J$5:$J$24,0)),"No")="Yes",FeePct,0),2))</f>
        <v/>
      </c>
      <c r="K256" s="51">
        <f>IF(A256="","",DATE(YEAR(A256),MONTH(A256),1))</f>
        <v/>
      </c>
    </row>
    <row r="257">
      <c r="A257" s="47" t="n">
        <v>46265</v>
      </c>
      <c r="B257" s="38" t="inlineStr">
        <is>
          <t>J-0259</t>
        </is>
      </c>
      <c r="C257" s="48" t="n">
        <v>150</v>
      </c>
      <c r="D257" s="48" t="n"/>
      <c r="E257" s="38" t="inlineStr">
        <is>
          <t>Payment App</t>
        </is>
      </c>
      <c r="F257" s="38" t="inlineStr">
        <is>
          <t>INV-0259</t>
        </is>
      </c>
      <c r="G257" s="38" t="inlineStr"/>
      <c r="H257" s="49">
        <f>IF(B257="","",IFERROR(INDEX('JOBS'!$D$5:$D$1504,MATCH(B257,'JOBS'!$A$5:$A$1504,0)),"Job ID not found"))</f>
        <v/>
      </c>
      <c r="I257" s="49">
        <f>IF(B257="","",IFERROR(INDEX('JOBS'!$F$5:$F$1504,MATCH(B257,'JOBS'!$A$5:$A$1504,0)),""))</f>
        <v/>
      </c>
      <c r="J257" s="55">
        <f>IF(C257="","",ROUND(C257*IF(IFERROR(INDEX('SETTINGS'!$K$5:$K$24,MATCH(E257,'SETTINGS'!$J$5:$J$24,0)),"No")="Yes",FeePct,0),2))</f>
        <v/>
      </c>
      <c r="K257" s="51">
        <f>IF(A257="","",DATE(YEAR(A257),MONTH(A257),1))</f>
        <v/>
      </c>
    </row>
    <row r="258">
      <c r="A258" s="47" t="n">
        <v>46266</v>
      </c>
      <c r="B258" s="38" t="inlineStr">
        <is>
          <t>J-0261</t>
        </is>
      </c>
      <c r="C258" s="48" t="n">
        <v>175</v>
      </c>
      <c r="D258" s="48" t="n">
        <v>10</v>
      </c>
      <c r="E258" s="38" t="inlineStr">
        <is>
          <t>Card</t>
        </is>
      </c>
      <c r="F258" s="38" t="inlineStr">
        <is>
          <t>INV-0261</t>
        </is>
      </c>
      <c r="G258" s="38" t="inlineStr"/>
      <c r="H258" s="49">
        <f>IF(B258="","",IFERROR(INDEX('JOBS'!$D$5:$D$1504,MATCH(B258,'JOBS'!$A$5:$A$1504,0)),"Job ID not found"))</f>
        <v/>
      </c>
      <c r="I258" s="49">
        <f>IF(B258="","",IFERROR(INDEX('JOBS'!$F$5:$F$1504,MATCH(B258,'JOBS'!$A$5:$A$1504,0)),""))</f>
        <v/>
      </c>
      <c r="J258" s="55">
        <f>IF(C258="","",ROUND(C258*IF(IFERROR(INDEX('SETTINGS'!$K$5:$K$24,MATCH(E258,'SETTINGS'!$J$5:$J$24,0)),"No")="Yes",FeePct,0),2))</f>
        <v/>
      </c>
      <c r="K258" s="51">
        <f>IF(A258="","",DATE(YEAR(A258),MONTH(A258),1))</f>
        <v/>
      </c>
    </row>
    <row r="259">
      <c r="A259" s="47" t="n">
        <v>46267</v>
      </c>
      <c r="B259" s="38" t="inlineStr">
        <is>
          <t>J-0256</t>
        </is>
      </c>
      <c r="C259" s="48" t="n">
        <v>195</v>
      </c>
      <c r="D259" s="48" t="n">
        <v>20</v>
      </c>
      <c r="E259" s="38" t="inlineStr">
        <is>
          <t>Payment App</t>
        </is>
      </c>
      <c r="F259" s="38" t="inlineStr">
        <is>
          <t>INV-0256</t>
        </is>
      </c>
      <c r="G259" s="38" t="inlineStr"/>
      <c r="H259" s="49">
        <f>IF(B259="","",IFERROR(INDEX('JOBS'!$D$5:$D$1504,MATCH(B259,'JOBS'!$A$5:$A$1504,0)),"Job ID not found"))</f>
        <v/>
      </c>
      <c r="I259" s="49">
        <f>IF(B259="","",IFERROR(INDEX('JOBS'!$F$5:$F$1504,MATCH(B259,'JOBS'!$A$5:$A$1504,0)),""))</f>
        <v/>
      </c>
      <c r="J259" s="55">
        <f>IF(C259="","",ROUND(C259*IF(IFERROR(INDEX('SETTINGS'!$K$5:$K$24,MATCH(E259,'SETTINGS'!$J$5:$J$24,0)),"No")="Yes",FeePct,0),2))</f>
        <v/>
      </c>
      <c r="K259" s="51">
        <f>IF(A259="","",DATE(YEAR(A259),MONTH(A259),1))</f>
        <v/>
      </c>
    </row>
    <row r="260">
      <c r="A260" s="47" t="n">
        <v>46269</v>
      </c>
      <c r="B260" s="38" t="inlineStr">
        <is>
          <t>J-0264</t>
        </is>
      </c>
      <c r="C260" s="48" t="n">
        <v>100</v>
      </c>
      <c r="D260" s="48" t="n">
        <v>20</v>
      </c>
      <c r="E260" s="38" t="inlineStr">
        <is>
          <t>Online Invoice</t>
        </is>
      </c>
      <c r="F260" s="38" t="inlineStr">
        <is>
          <t>INV-0264</t>
        </is>
      </c>
      <c r="G260" s="38" t="inlineStr"/>
      <c r="H260" s="49">
        <f>IF(B260="","",IFERROR(INDEX('JOBS'!$D$5:$D$1504,MATCH(B260,'JOBS'!$A$5:$A$1504,0)),"Job ID not found"))</f>
        <v/>
      </c>
      <c r="I260" s="49">
        <f>IF(B260="","",IFERROR(INDEX('JOBS'!$F$5:$F$1504,MATCH(B260,'JOBS'!$A$5:$A$1504,0)),""))</f>
        <v/>
      </c>
      <c r="J260" s="55">
        <f>IF(C260="","",ROUND(C260*IF(IFERROR(INDEX('SETTINGS'!$K$5:$K$24,MATCH(E260,'SETTINGS'!$J$5:$J$24,0)),"No")="Yes",FeePct,0),2))</f>
        <v/>
      </c>
      <c r="K260" s="51">
        <f>IF(A260="","",DATE(YEAR(A260),MONTH(A260),1))</f>
        <v/>
      </c>
    </row>
    <row r="261">
      <c r="A261" s="47" t="n">
        <v>46269</v>
      </c>
      <c r="B261" s="38" t="inlineStr">
        <is>
          <t>J-0265</t>
        </is>
      </c>
      <c r="C261" s="48" t="n">
        <v>220</v>
      </c>
      <c r="D261" s="48" t="n"/>
      <c r="E261" s="38" t="inlineStr">
        <is>
          <t>Check</t>
        </is>
      </c>
      <c r="F261" s="38" t="inlineStr">
        <is>
          <t>INV-0265</t>
        </is>
      </c>
      <c r="G261" s="38" t="inlineStr"/>
      <c r="H261" s="49">
        <f>IF(B261="","",IFERROR(INDEX('JOBS'!$D$5:$D$1504,MATCH(B261,'JOBS'!$A$5:$A$1504,0)),"Job ID not found"))</f>
        <v/>
      </c>
      <c r="I261" s="49">
        <f>IF(B261="","",IFERROR(INDEX('JOBS'!$F$5:$F$1504,MATCH(B261,'JOBS'!$A$5:$A$1504,0)),""))</f>
        <v/>
      </c>
      <c r="J261" s="55">
        <f>IF(C261="","",ROUND(C261*IF(IFERROR(INDEX('SETTINGS'!$K$5:$K$24,MATCH(E261,'SETTINGS'!$J$5:$J$24,0)),"No")="Yes",FeePct,0),2))</f>
        <v/>
      </c>
      <c r="K261" s="51">
        <f>IF(A261="","",DATE(YEAR(A261),MONTH(A261),1))</f>
        <v/>
      </c>
    </row>
    <row r="262">
      <c r="A262" s="47" t="n">
        <v>46269</v>
      </c>
      <c r="B262" s="38" t="inlineStr">
        <is>
          <t>J-0266</t>
        </is>
      </c>
      <c r="C262" s="48" t="n">
        <v>140</v>
      </c>
      <c r="D262" s="48" t="n"/>
      <c r="E262" s="38" t="inlineStr">
        <is>
          <t>Online Invoice</t>
        </is>
      </c>
      <c r="F262" s="38" t="inlineStr">
        <is>
          <t>INV-0266</t>
        </is>
      </c>
      <c r="G262" s="38" t="inlineStr"/>
      <c r="H262" s="49">
        <f>IF(B262="","",IFERROR(INDEX('JOBS'!$D$5:$D$1504,MATCH(B262,'JOBS'!$A$5:$A$1504,0)),"Job ID not found"))</f>
        <v/>
      </c>
      <c r="I262" s="49">
        <f>IF(B262="","",IFERROR(INDEX('JOBS'!$F$5:$F$1504,MATCH(B262,'JOBS'!$A$5:$A$1504,0)),""))</f>
        <v/>
      </c>
      <c r="J262" s="55">
        <f>IF(C262="","",ROUND(C262*IF(IFERROR(INDEX('SETTINGS'!$K$5:$K$24,MATCH(E262,'SETTINGS'!$J$5:$J$24,0)),"No")="Yes",FeePct,0),2))</f>
        <v/>
      </c>
      <c r="K262" s="51">
        <f>IF(A262="","",DATE(YEAR(A262),MONTH(A262),1))</f>
        <v/>
      </c>
    </row>
    <row r="263">
      <c r="A263" s="47" t="n">
        <v>46270</v>
      </c>
      <c r="B263" s="38" t="inlineStr">
        <is>
          <t>J-0260</t>
        </is>
      </c>
      <c r="C263" s="48" t="n">
        <v>150</v>
      </c>
      <c r="D263" s="48" t="n">
        <v>20</v>
      </c>
      <c r="E263" s="38" t="inlineStr">
        <is>
          <t>Online Invoice</t>
        </is>
      </c>
      <c r="F263" s="38" t="inlineStr">
        <is>
          <t>INV-0260</t>
        </is>
      </c>
      <c r="G263" s="38" t="inlineStr"/>
      <c r="H263" s="49">
        <f>IF(B263="","",IFERROR(INDEX('JOBS'!$D$5:$D$1504,MATCH(B263,'JOBS'!$A$5:$A$1504,0)),"Job ID not found"))</f>
        <v/>
      </c>
      <c r="I263" s="49">
        <f>IF(B263="","",IFERROR(INDEX('JOBS'!$F$5:$F$1504,MATCH(B263,'JOBS'!$A$5:$A$1504,0)),""))</f>
        <v/>
      </c>
      <c r="J263" s="55">
        <f>IF(C263="","",ROUND(C263*IF(IFERROR(INDEX('SETTINGS'!$K$5:$K$24,MATCH(E263,'SETTINGS'!$J$5:$J$24,0)),"No")="Yes",FeePct,0),2))</f>
        <v/>
      </c>
      <c r="K263" s="51">
        <f>IF(A263="","",DATE(YEAR(A263),MONTH(A263),1))</f>
        <v/>
      </c>
    </row>
    <row r="264">
      <c r="A264" s="47" t="n">
        <v>46272</v>
      </c>
      <c r="B264" s="38" t="inlineStr">
        <is>
          <t>J-0262</t>
        </is>
      </c>
      <c r="C264" s="48" t="n">
        <v>220</v>
      </c>
      <c r="D264" s="48" t="n"/>
      <c r="E264" s="38" t="inlineStr">
        <is>
          <t>Payment App</t>
        </is>
      </c>
      <c r="F264" s="38" t="inlineStr">
        <is>
          <t>INV-0262</t>
        </is>
      </c>
      <c r="G264" s="38" t="inlineStr"/>
      <c r="H264" s="49">
        <f>IF(B264="","",IFERROR(INDEX('JOBS'!$D$5:$D$1504,MATCH(B264,'JOBS'!$A$5:$A$1504,0)),"Job ID not found"))</f>
        <v/>
      </c>
      <c r="I264" s="49">
        <f>IF(B264="","",IFERROR(INDEX('JOBS'!$F$5:$F$1504,MATCH(B264,'JOBS'!$A$5:$A$1504,0)),""))</f>
        <v/>
      </c>
      <c r="J264" s="55">
        <f>IF(C264="","",ROUND(C264*IF(IFERROR(INDEX('SETTINGS'!$K$5:$K$24,MATCH(E264,'SETTINGS'!$J$5:$J$24,0)),"No")="Yes",FeePct,0),2))</f>
        <v/>
      </c>
      <c r="K264" s="51">
        <f>IF(A264="","",DATE(YEAR(A264),MONTH(A264),1))</f>
        <v/>
      </c>
    </row>
    <row r="265">
      <c r="A265" s="47" t="n">
        <v>46272</v>
      </c>
      <c r="B265" s="38" t="inlineStr">
        <is>
          <t>J-0268</t>
        </is>
      </c>
      <c r="C265" s="48" t="n">
        <v>365</v>
      </c>
      <c r="D265" s="48" t="n">
        <v>10</v>
      </c>
      <c r="E265" s="38" t="inlineStr">
        <is>
          <t>Check</t>
        </is>
      </c>
      <c r="F265" s="38" t="inlineStr">
        <is>
          <t>INV-0268</t>
        </is>
      </c>
      <c r="G265" s="38" t="inlineStr"/>
      <c r="H265" s="49">
        <f>IF(B265="","",IFERROR(INDEX('JOBS'!$D$5:$D$1504,MATCH(B265,'JOBS'!$A$5:$A$1504,0)),"Job ID not found"))</f>
        <v/>
      </c>
      <c r="I265" s="49">
        <f>IF(B265="","",IFERROR(INDEX('JOBS'!$F$5:$F$1504,MATCH(B265,'JOBS'!$A$5:$A$1504,0)),""))</f>
        <v/>
      </c>
      <c r="J265" s="55">
        <f>IF(C265="","",ROUND(C265*IF(IFERROR(INDEX('SETTINGS'!$K$5:$K$24,MATCH(E265,'SETTINGS'!$J$5:$J$24,0)),"No")="Yes",FeePct,0),2))</f>
        <v/>
      </c>
      <c r="K265" s="51">
        <f>IF(A265="","",DATE(YEAR(A265),MONTH(A265),1))</f>
        <v/>
      </c>
    </row>
    <row r="266">
      <c r="A266" s="47" t="n">
        <v>46273</v>
      </c>
      <c r="B266" s="38" t="inlineStr">
        <is>
          <t>J-0269</t>
        </is>
      </c>
      <c r="C266" s="48" t="n">
        <v>150</v>
      </c>
      <c r="D266" s="48" t="n"/>
      <c r="E266" s="38" t="inlineStr">
        <is>
          <t>Online Invoice</t>
        </is>
      </c>
      <c r="F266" s="38" t="inlineStr">
        <is>
          <t>INV-0269</t>
        </is>
      </c>
      <c r="G266" s="38" t="inlineStr"/>
      <c r="H266" s="49">
        <f>IF(B266="","",IFERROR(INDEX('JOBS'!$D$5:$D$1504,MATCH(B266,'JOBS'!$A$5:$A$1504,0)),"Job ID not found"))</f>
        <v/>
      </c>
      <c r="I266" s="49">
        <f>IF(B266="","",IFERROR(INDEX('JOBS'!$F$5:$F$1504,MATCH(B266,'JOBS'!$A$5:$A$1504,0)),""))</f>
        <v/>
      </c>
      <c r="J266" s="55">
        <f>IF(C266="","",ROUND(C266*IF(IFERROR(INDEX('SETTINGS'!$K$5:$K$24,MATCH(E266,'SETTINGS'!$J$5:$J$24,0)),"No")="Yes",FeePct,0),2))</f>
        <v/>
      </c>
      <c r="K266" s="51">
        <f>IF(A266="","",DATE(YEAR(A266),MONTH(A266),1))</f>
        <v/>
      </c>
    </row>
    <row r="267">
      <c r="A267" s="47" t="n">
        <v>46276</v>
      </c>
      <c r="B267" s="38" t="inlineStr">
        <is>
          <t>J-0267</t>
        </is>
      </c>
      <c r="C267" s="48" t="n">
        <v>245</v>
      </c>
      <c r="D267" s="48" t="n"/>
      <c r="E267" s="38" t="inlineStr">
        <is>
          <t>Card</t>
        </is>
      </c>
      <c r="F267" s="38" t="inlineStr">
        <is>
          <t>INV-0267</t>
        </is>
      </c>
      <c r="G267" s="38" t="inlineStr"/>
      <c r="H267" s="49">
        <f>IF(B267="","",IFERROR(INDEX('JOBS'!$D$5:$D$1504,MATCH(B267,'JOBS'!$A$5:$A$1504,0)),"Job ID not found"))</f>
        <v/>
      </c>
      <c r="I267" s="49">
        <f>IF(B267="","",IFERROR(INDEX('JOBS'!$F$5:$F$1504,MATCH(B267,'JOBS'!$A$5:$A$1504,0)),""))</f>
        <v/>
      </c>
      <c r="J267" s="55">
        <f>IF(C267="","",ROUND(C267*IF(IFERROR(INDEX('SETTINGS'!$K$5:$K$24,MATCH(E267,'SETTINGS'!$J$5:$J$24,0)),"No")="Yes",FeePct,0),2))</f>
        <v/>
      </c>
      <c r="K267" s="51">
        <f>IF(A267="","",DATE(YEAR(A267),MONTH(A267),1))</f>
        <v/>
      </c>
    </row>
    <row r="268">
      <c r="A268" s="47" t="n">
        <v>46277</v>
      </c>
      <c r="B268" s="38" t="inlineStr">
        <is>
          <t>J-0272</t>
        </is>
      </c>
      <c r="C268" s="48" t="n">
        <v>140</v>
      </c>
      <c r="D268" s="48" t="n"/>
      <c r="E268" s="38" t="inlineStr">
        <is>
          <t>Online Invoice</t>
        </is>
      </c>
      <c r="F268" s="38" t="inlineStr">
        <is>
          <t>INV-0272</t>
        </is>
      </c>
      <c r="G268" s="38" t="inlineStr"/>
      <c r="H268" s="49">
        <f>IF(B268="","",IFERROR(INDEX('JOBS'!$D$5:$D$1504,MATCH(B268,'JOBS'!$A$5:$A$1504,0)),"Job ID not found"))</f>
        <v/>
      </c>
      <c r="I268" s="49">
        <f>IF(B268="","",IFERROR(INDEX('JOBS'!$F$5:$F$1504,MATCH(B268,'JOBS'!$A$5:$A$1504,0)),""))</f>
        <v/>
      </c>
      <c r="J268" s="55">
        <f>IF(C268="","",ROUND(C268*IF(IFERROR(INDEX('SETTINGS'!$K$5:$K$24,MATCH(E268,'SETTINGS'!$J$5:$J$24,0)),"No")="Yes",FeePct,0),2))</f>
        <v/>
      </c>
      <c r="K268" s="51">
        <f>IF(A268="","",DATE(YEAR(A268),MONTH(A268),1))</f>
        <v/>
      </c>
    </row>
    <row r="269">
      <c r="A269" s="47" t="n">
        <v>46278</v>
      </c>
      <c r="B269" s="38" t="inlineStr">
        <is>
          <t>J-0270</t>
        </is>
      </c>
      <c r="C269" s="48" t="n">
        <v>175</v>
      </c>
      <c r="D269" s="48" t="n"/>
      <c r="E269" s="38" t="inlineStr">
        <is>
          <t>Card</t>
        </is>
      </c>
      <c r="F269" s="38" t="inlineStr">
        <is>
          <t>INV-0270</t>
        </is>
      </c>
      <c r="G269" s="38" t="inlineStr"/>
      <c r="H269" s="49">
        <f>IF(B269="","",IFERROR(INDEX('JOBS'!$D$5:$D$1504,MATCH(B269,'JOBS'!$A$5:$A$1504,0)),"Job ID not found"))</f>
        <v/>
      </c>
      <c r="I269" s="49">
        <f>IF(B269="","",IFERROR(INDEX('JOBS'!$F$5:$F$1504,MATCH(B269,'JOBS'!$A$5:$A$1504,0)),""))</f>
        <v/>
      </c>
      <c r="J269" s="55">
        <f>IF(C269="","",ROUND(C269*IF(IFERROR(INDEX('SETTINGS'!$K$5:$K$24,MATCH(E269,'SETTINGS'!$J$5:$J$24,0)),"No")="Yes",FeePct,0),2))</f>
        <v/>
      </c>
      <c r="K269" s="51">
        <f>IF(A269="","",DATE(YEAR(A269),MONTH(A269),1))</f>
        <v/>
      </c>
    </row>
    <row r="270">
      <c r="A270" s="47" t="n">
        <v>46279</v>
      </c>
      <c r="B270" s="38" t="inlineStr">
        <is>
          <t>J-0274</t>
        </is>
      </c>
      <c r="C270" s="48" t="n">
        <v>110</v>
      </c>
      <c r="D270" s="48" t="n">
        <v>10</v>
      </c>
      <c r="E270" s="38" t="inlineStr">
        <is>
          <t>Check</t>
        </is>
      </c>
      <c r="F270" s="38" t="inlineStr">
        <is>
          <t>INV-0274</t>
        </is>
      </c>
      <c r="G270" s="38" t="inlineStr"/>
      <c r="H270" s="49">
        <f>IF(B270="","",IFERROR(INDEX('JOBS'!$D$5:$D$1504,MATCH(B270,'JOBS'!$A$5:$A$1504,0)),"Job ID not found"))</f>
        <v/>
      </c>
      <c r="I270" s="49">
        <f>IF(B270="","",IFERROR(INDEX('JOBS'!$F$5:$F$1504,MATCH(B270,'JOBS'!$A$5:$A$1504,0)),""))</f>
        <v/>
      </c>
      <c r="J270" s="55">
        <f>IF(C270="","",ROUND(C270*IF(IFERROR(INDEX('SETTINGS'!$K$5:$K$24,MATCH(E270,'SETTINGS'!$J$5:$J$24,0)),"No")="Yes",FeePct,0),2))</f>
        <v/>
      </c>
      <c r="K270" s="51">
        <f>IF(A270="","",DATE(YEAR(A270),MONTH(A270),1))</f>
        <v/>
      </c>
    </row>
    <row r="271">
      <c r="A271" s="47" t="n">
        <v>46279</v>
      </c>
      <c r="B271" s="38" t="inlineStr">
        <is>
          <t>J-0276</t>
        </is>
      </c>
      <c r="C271" s="48" t="n">
        <v>145</v>
      </c>
      <c r="D271" s="48" t="n"/>
      <c r="E271" s="38" t="inlineStr">
        <is>
          <t>Card</t>
        </is>
      </c>
      <c r="F271" s="38" t="inlineStr">
        <is>
          <t>INV-0276</t>
        </is>
      </c>
      <c r="G271" s="38" t="inlineStr"/>
      <c r="H271" s="49">
        <f>IF(B271="","",IFERROR(INDEX('JOBS'!$D$5:$D$1504,MATCH(B271,'JOBS'!$A$5:$A$1504,0)),"Job ID not found"))</f>
        <v/>
      </c>
      <c r="I271" s="49">
        <f>IF(B271="","",IFERROR(INDEX('JOBS'!$F$5:$F$1504,MATCH(B271,'JOBS'!$A$5:$A$1504,0)),""))</f>
        <v/>
      </c>
      <c r="J271" s="55">
        <f>IF(C271="","",ROUND(C271*IF(IFERROR(INDEX('SETTINGS'!$K$5:$K$24,MATCH(E271,'SETTINGS'!$J$5:$J$24,0)),"No")="Yes",FeePct,0),2))</f>
        <v/>
      </c>
      <c r="K271" s="51">
        <f>IF(A271="","",DATE(YEAR(A271),MONTH(A271),1))</f>
        <v/>
      </c>
    </row>
    <row r="272">
      <c r="A272" s="47" t="n">
        <v>46280</v>
      </c>
      <c r="B272" s="38" t="inlineStr">
        <is>
          <t>J-0278</t>
        </is>
      </c>
      <c r="C272" s="48" t="n">
        <v>135</v>
      </c>
      <c r="D272" s="48" t="n">
        <v>20</v>
      </c>
      <c r="E272" s="38" t="inlineStr">
        <is>
          <t>Online Invoice</t>
        </is>
      </c>
      <c r="F272" s="38" t="inlineStr">
        <is>
          <t>INV-0278</t>
        </is>
      </c>
      <c r="G272" s="38" t="inlineStr"/>
      <c r="H272" s="49">
        <f>IF(B272="","",IFERROR(INDEX('JOBS'!$D$5:$D$1504,MATCH(B272,'JOBS'!$A$5:$A$1504,0)),"Job ID not found"))</f>
        <v/>
      </c>
      <c r="I272" s="49">
        <f>IF(B272="","",IFERROR(INDEX('JOBS'!$F$5:$F$1504,MATCH(B272,'JOBS'!$A$5:$A$1504,0)),""))</f>
        <v/>
      </c>
      <c r="J272" s="55">
        <f>IF(C272="","",ROUND(C272*IF(IFERROR(INDEX('SETTINGS'!$K$5:$K$24,MATCH(E272,'SETTINGS'!$J$5:$J$24,0)),"No")="Yes",FeePct,0),2))</f>
        <v/>
      </c>
      <c r="K272" s="51">
        <f>IF(A272="","",DATE(YEAR(A272),MONTH(A272),1))</f>
        <v/>
      </c>
    </row>
    <row r="273">
      <c r="A273" s="47" t="n">
        <v>46281</v>
      </c>
      <c r="B273" s="38" t="inlineStr">
        <is>
          <t>J-0271</t>
        </is>
      </c>
      <c r="C273" s="48" t="n">
        <v>100</v>
      </c>
      <c r="D273" s="48" t="n"/>
      <c r="E273" s="38" t="inlineStr">
        <is>
          <t>Online Invoice</t>
        </is>
      </c>
      <c r="F273" s="38" t="inlineStr">
        <is>
          <t>INV-0271</t>
        </is>
      </c>
      <c r="G273" s="38" t="inlineStr"/>
      <c r="H273" s="49">
        <f>IF(B273="","",IFERROR(INDEX('JOBS'!$D$5:$D$1504,MATCH(B273,'JOBS'!$A$5:$A$1504,0)),"Job ID not found"))</f>
        <v/>
      </c>
      <c r="I273" s="49">
        <f>IF(B273="","",IFERROR(INDEX('JOBS'!$F$5:$F$1504,MATCH(B273,'JOBS'!$A$5:$A$1504,0)),""))</f>
        <v/>
      </c>
      <c r="J273" s="55">
        <f>IF(C273="","",ROUND(C273*IF(IFERROR(INDEX('SETTINGS'!$K$5:$K$24,MATCH(E273,'SETTINGS'!$J$5:$J$24,0)),"No")="Yes",FeePct,0),2))</f>
        <v/>
      </c>
      <c r="K273" s="51">
        <f>IF(A273="","",DATE(YEAR(A273),MONTH(A273),1))</f>
        <v/>
      </c>
    </row>
    <row r="274">
      <c r="A274" s="47" t="n">
        <v>46281</v>
      </c>
      <c r="B274" s="38" t="inlineStr">
        <is>
          <t>J-0277</t>
        </is>
      </c>
      <c r="C274" s="48" t="n">
        <v>300</v>
      </c>
      <c r="D274" s="48" t="n"/>
      <c r="E274" s="38" t="inlineStr">
        <is>
          <t>Check</t>
        </is>
      </c>
      <c r="F274" s="38" t="inlineStr">
        <is>
          <t>INV-0277</t>
        </is>
      </c>
      <c r="G274" s="38" t="inlineStr"/>
      <c r="H274" s="49">
        <f>IF(B274="","",IFERROR(INDEX('JOBS'!$D$5:$D$1504,MATCH(B274,'JOBS'!$A$5:$A$1504,0)),"Job ID not found"))</f>
        <v/>
      </c>
      <c r="I274" s="49">
        <f>IF(B274="","",IFERROR(INDEX('JOBS'!$F$5:$F$1504,MATCH(B274,'JOBS'!$A$5:$A$1504,0)),""))</f>
        <v/>
      </c>
      <c r="J274" s="55">
        <f>IF(C274="","",ROUND(C274*IF(IFERROR(INDEX('SETTINGS'!$K$5:$K$24,MATCH(E274,'SETTINGS'!$J$5:$J$24,0)),"No")="Yes",FeePct,0),2))</f>
        <v/>
      </c>
      <c r="K274" s="51">
        <f>IF(A274="","",DATE(YEAR(A274),MONTH(A274),1))</f>
        <v/>
      </c>
    </row>
    <row r="275">
      <c r="A275" s="47" t="n">
        <v>46281</v>
      </c>
      <c r="B275" s="38" t="inlineStr">
        <is>
          <t>J-0280</t>
        </is>
      </c>
      <c r="C275" s="48" t="n">
        <v>220</v>
      </c>
      <c r="D275" s="48" t="n">
        <v>10</v>
      </c>
      <c r="E275" s="38" t="inlineStr">
        <is>
          <t>Card</t>
        </is>
      </c>
      <c r="F275" s="38" t="inlineStr">
        <is>
          <t>INV-0280</t>
        </is>
      </c>
      <c r="G275" s="38" t="inlineStr"/>
      <c r="H275" s="49">
        <f>IF(B275="","",IFERROR(INDEX('JOBS'!$D$5:$D$1504,MATCH(B275,'JOBS'!$A$5:$A$1504,0)),"Job ID not found"))</f>
        <v/>
      </c>
      <c r="I275" s="49">
        <f>IF(B275="","",IFERROR(INDEX('JOBS'!$F$5:$F$1504,MATCH(B275,'JOBS'!$A$5:$A$1504,0)),""))</f>
        <v/>
      </c>
      <c r="J275" s="55">
        <f>IF(C275="","",ROUND(C275*IF(IFERROR(INDEX('SETTINGS'!$K$5:$K$24,MATCH(E275,'SETTINGS'!$J$5:$J$24,0)),"No")="Yes",FeePct,0),2))</f>
        <v/>
      </c>
      <c r="K275" s="51">
        <f>IF(A275="","",DATE(YEAR(A275),MONTH(A275),1))</f>
        <v/>
      </c>
    </row>
    <row r="276">
      <c r="A276" s="47" t="n">
        <v>46282</v>
      </c>
      <c r="B276" s="38" t="inlineStr">
        <is>
          <t>J-0279</t>
        </is>
      </c>
      <c r="C276" s="48" t="n">
        <v>175</v>
      </c>
      <c r="D276" s="48" t="n">
        <v>20</v>
      </c>
      <c r="E276" s="38" t="inlineStr">
        <is>
          <t>Online Invoice</t>
        </is>
      </c>
      <c r="F276" s="38" t="inlineStr">
        <is>
          <t>INV-0279</t>
        </is>
      </c>
      <c r="G276" s="38" t="inlineStr"/>
      <c r="H276" s="49">
        <f>IF(B276="","",IFERROR(INDEX('JOBS'!$D$5:$D$1504,MATCH(B276,'JOBS'!$A$5:$A$1504,0)),"Job ID not found"))</f>
        <v/>
      </c>
      <c r="I276" s="49">
        <f>IF(B276="","",IFERROR(INDEX('JOBS'!$F$5:$F$1504,MATCH(B276,'JOBS'!$A$5:$A$1504,0)),""))</f>
        <v/>
      </c>
      <c r="J276" s="55">
        <f>IF(C276="","",ROUND(C276*IF(IFERROR(INDEX('SETTINGS'!$K$5:$K$24,MATCH(E276,'SETTINGS'!$J$5:$J$24,0)),"No")="Yes",FeePct,0),2))</f>
        <v/>
      </c>
      <c r="K276" s="51">
        <f>IF(A276="","",DATE(YEAR(A276),MONTH(A276),1))</f>
        <v/>
      </c>
    </row>
    <row r="277">
      <c r="A277" s="47" t="n">
        <v>46283</v>
      </c>
      <c r="B277" s="38" t="inlineStr">
        <is>
          <t>J-0282</t>
        </is>
      </c>
      <c r="C277" s="48" t="n">
        <v>100</v>
      </c>
      <c r="D277" s="48" t="n"/>
      <c r="E277" s="38" t="inlineStr">
        <is>
          <t>Online Invoice</t>
        </is>
      </c>
      <c r="F277" s="38" t="inlineStr">
        <is>
          <t>INV-0282</t>
        </is>
      </c>
      <c r="G277" s="38" t="inlineStr"/>
      <c r="H277" s="49">
        <f>IF(B277="","",IFERROR(INDEX('JOBS'!$D$5:$D$1504,MATCH(B277,'JOBS'!$A$5:$A$1504,0)),"Job ID not found"))</f>
        <v/>
      </c>
      <c r="I277" s="49">
        <f>IF(B277="","",IFERROR(INDEX('JOBS'!$F$5:$F$1504,MATCH(B277,'JOBS'!$A$5:$A$1504,0)),""))</f>
        <v/>
      </c>
      <c r="J277" s="55">
        <f>IF(C277="","",ROUND(C277*IF(IFERROR(INDEX('SETTINGS'!$K$5:$K$24,MATCH(E277,'SETTINGS'!$J$5:$J$24,0)),"No")="Yes",FeePct,0),2))</f>
        <v/>
      </c>
      <c r="K277" s="51">
        <f>IF(A277="","",DATE(YEAR(A277),MONTH(A277),1))</f>
        <v/>
      </c>
    </row>
    <row r="278">
      <c r="A278" s="47" t="n">
        <v>46283</v>
      </c>
      <c r="B278" s="38" t="inlineStr">
        <is>
          <t>J-0283</t>
        </is>
      </c>
      <c r="C278" s="48" t="n">
        <v>180</v>
      </c>
      <c r="D278" s="48" t="n"/>
      <c r="E278" s="38" t="inlineStr">
        <is>
          <t>Check</t>
        </is>
      </c>
      <c r="F278" s="38" t="inlineStr">
        <is>
          <t>INV-0283</t>
        </is>
      </c>
      <c r="G278" s="38" t="inlineStr"/>
      <c r="H278" s="49">
        <f>IF(B278="","",IFERROR(INDEX('JOBS'!$D$5:$D$1504,MATCH(B278,'JOBS'!$A$5:$A$1504,0)),"Job ID not found"))</f>
        <v/>
      </c>
      <c r="I278" s="49">
        <f>IF(B278="","",IFERROR(INDEX('JOBS'!$F$5:$F$1504,MATCH(B278,'JOBS'!$A$5:$A$1504,0)),""))</f>
        <v/>
      </c>
      <c r="J278" s="55">
        <f>IF(C278="","",ROUND(C278*IF(IFERROR(INDEX('SETTINGS'!$K$5:$K$24,MATCH(E278,'SETTINGS'!$J$5:$J$24,0)),"No")="Yes",FeePct,0),2))</f>
        <v/>
      </c>
      <c r="K278" s="51">
        <f>IF(A278="","",DATE(YEAR(A278),MONTH(A278),1))</f>
        <v/>
      </c>
    </row>
    <row r="279">
      <c r="A279" s="47" t="n">
        <v>46283</v>
      </c>
      <c r="B279" s="38" t="inlineStr">
        <is>
          <t>J-0284</t>
        </is>
      </c>
      <c r="C279" s="48" t="n">
        <v>220</v>
      </c>
      <c r="D279" s="48" t="n">
        <v>20</v>
      </c>
      <c r="E279" s="38" t="inlineStr">
        <is>
          <t>Cash</t>
        </is>
      </c>
      <c r="F279" s="38" t="inlineStr">
        <is>
          <t>INV-0284</t>
        </is>
      </c>
      <c r="G279" s="38" t="inlineStr"/>
      <c r="H279" s="49">
        <f>IF(B279="","",IFERROR(INDEX('JOBS'!$D$5:$D$1504,MATCH(B279,'JOBS'!$A$5:$A$1504,0)),"Job ID not found"))</f>
        <v/>
      </c>
      <c r="I279" s="49">
        <f>IF(B279="","",IFERROR(INDEX('JOBS'!$F$5:$F$1504,MATCH(B279,'JOBS'!$A$5:$A$1504,0)),""))</f>
        <v/>
      </c>
      <c r="J279" s="55">
        <f>IF(C279="","",ROUND(C279*IF(IFERROR(INDEX('SETTINGS'!$K$5:$K$24,MATCH(E279,'SETTINGS'!$J$5:$J$24,0)),"No")="Yes",FeePct,0),2))</f>
        <v/>
      </c>
      <c r="K279" s="51">
        <f>IF(A279="","",DATE(YEAR(A279),MONTH(A279),1))</f>
        <v/>
      </c>
    </row>
    <row r="280">
      <c r="A280" s="47" t="n">
        <v>46285</v>
      </c>
      <c r="B280" s="38" t="inlineStr">
        <is>
          <t>J-0285</t>
        </is>
      </c>
      <c r="C280" s="48" t="n">
        <v>220</v>
      </c>
      <c r="D280" s="48" t="n"/>
      <c r="E280" s="38" t="inlineStr">
        <is>
          <t>Payment App</t>
        </is>
      </c>
      <c r="F280" s="38" t="inlineStr">
        <is>
          <t>INV-0285</t>
        </is>
      </c>
      <c r="G280" s="38" t="inlineStr"/>
      <c r="H280" s="49">
        <f>IF(B280="","",IFERROR(INDEX('JOBS'!$D$5:$D$1504,MATCH(B280,'JOBS'!$A$5:$A$1504,0)),"Job ID not found"))</f>
        <v/>
      </c>
      <c r="I280" s="49">
        <f>IF(B280="","",IFERROR(INDEX('JOBS'!$F$5:$F$1504,MATCH(B280,'JOBS'!$A$5:$A$1504,0)),""))</f>
        <v/>
      </c>
      <c r="J280" s="55">
        <f>IF(C280="","",ROUND(C280*IF(IFERROR(INDEX('SETTINGS'!$K$5:$K$24,MATCH(E280,'SETTINGS'!$J$5:$J$24,0)),"No")="Yes",FeePct,0),2))</f>
        <v/>
      </c>
      <c r="K280" s="51">
        <f>IF(A280="","",DATE(YEAR(A280),MONTH(A280),1))</f>
        <v/>
      </c>
    </row>
    <row r="281">
      <c r="A281" s="47" t="n">
        <v>46287</v>
      </c>
      <c r="B281" s="38" t="inlineStr">
        <is>
          <t>J-0288</t>
        </is>
      </c>
      <c r="C281" s="48" t="n">
        <v>150</v>
      </c>
      <c r="D281" s="48" t="n"/>
      <c r="E281" s="38" t="inlineStr">
        <is>
          <t>Cash</t>
        </is>
      </c>
      <c r="F281" s="38" t="inlineStr">
        <is>
          <t>INV-0288</t>
        </is>
      </c>
      <c r="G281" s="38" t="inlineStr"/>
      <c r="H281" s="49">
        <f>IF(B281="","",IFERROR(INDEX('JOBS'!$D$5:$D$1504,MATCH(B281,'JOBS'!$A$5:$A$1504,0)),"Job ID not found"))</f>
        <v/>
      </c>
      <c r="I281" s="49">
        <f>IF(B281="","",IFERROR(INDEX('JOBS'!$F$5:$F$1504,MATCH(B281,'JOBS'!$A$5:$A$1504,0)),""))</f>
        <v/>
      </c>
      <c r="J281" s="55">
        <f>IF(C281="","",ROUND(C281*IF(IFERROR(INDEX('SETTINGS'!$K$5:$K$24,MATCH(E281,'SETTINGS'!$J$5:$J$24,0)),"No")="Yes",FeePct,0),2))</f>
        <v/>
      </c>
      <c r="K281" s="51">
        <f>IF(A281="","",DATE(YEAR(A281),MONTH(A281),1))</f>
        <v/>
      </c>
    </row>
    <row r="282">
      <c r="A282" s="47" t="n">
        <v>46289</v>
      </c>
      <c r="B282" s="38" t="inlineStr">
        <is>
          <t>J-0289</t>
        </is>
      </c>
      <c r="C282" s="48" t="n">
        <v>150</v>
      </c>
      <c r="D282" s="48" t="n"/>
      <c r="E282" s="38" t="inlineStr">
        <is>
          <t>Card</t>
        </is>
      </c>
      <c r="F282" s="38" t="inlineStr">
        <is>
          <t>INV-0289</t>
        </is>
      </c>
      <c r="G282" s="38" t="inlineStr"/>
      <c r="H282" s="49">
        <f>IF(B282="","",IFERROR(INDEX('JOBS'!$D$5:$D$1504,MATCH(B282,'JOBS'!$A$5:$A$1504,0)),"Job ID not found"))</f>
        <v/>
      </c>
      <c r="I282" s="49">
        <f>IF(B282="","",IFERROR(INDEX('JOBS'!$F$5:$F$1504,MATCH(B282,'JOBS'!$A$5:$A$1504,0)),""))</f>
        <v/>
      </c>
      <c r="J282" s="55">
        <f>IF(C282="","",ROUND(C282*IF(IFERROR(INDEX('SETTINGS'!$K$5:$K$24,MATCH(E282,'SETTINGS'!$J$5:$J$24,0)),"No")="Yes",FeePct,0),2))</f>
        <v/>
      </c>
      <c r="K282" s="51">
        <f>IF(A282="","",DATE(YEAR(A282),MONTH(A282),1))</f>
        <v/>
      </c>
    </row>
    <row r="283">
      <c r="A283" s="47" t="n">
        <v>46290</v>
      </c>
      <c r="B283" s="38" t="inlineStr">
        <is>
          <t>J-0290</t>
        </is>
      </c>
      <c r="C283" s="48" t="n">
        <v>140</v>
      </c>
      <c r="D283" s="48" t="n"/>
      <c r="E283" s="38" t="inlineStr">
        <is>
          <t>Online Invoice</t>
        </is>
      </c>
      <c r="F283" s="38" t="inlineStr">
        <is>
          <t>INV-0290</t>
        </is>
      </c>
      <c r="G283" s="38" t="inlineStr"/>
      <c r="H283" s="49">
        <f>IF(B283="","",IFERROR(INDEX('JOBS'!$D$5:$D$1504,MATCH(B283,'JOBS'!$A$5:$A$1504,0)),"Job ID not found"))</f>
        <v/>
      </c>
      <c r="I283" s="49">
        <f>IF(B283="","",IFERROR(INDEX('JOBS'!$F$5:$F$1504,MATCH(B283,'JOBS'!$A$5:$A$1504,0)),""))</f>
        <v/>
      </c>
      <c r="J283" s="55">
        <f>IF(C283="","",ROUND(C283*IF(IFERROR(INDEX('SETTINGS'!$K$5:$K$24,MATCH(E283,'SETTINGS'!$J$5:$J$24,0)),"No")="Yes",FeePct,0),2))</f>
        <v/>
      </c>
      <c r="K283" s="51">
        <f>IF(A283="","",DATE(YEAR(A283),MONTH(A283),1))</f>
        <v/>
      </c>
    </row>
    <row r="284">
      <c r="A284" s="47" t="n">
        <v>46290</v>
      </c>
      <c r="B284" s="38" t="inlineStr">
        <is>
          <t>J-0293</t>
        </is>
      </c>
      <c r="C284" s="48" t="n">
        <v>300</v>
      </c>
      <c r="D284" s="48" t="n"/>
      <c r="E284" s="38" t="inlineStr">
        <is>
          <t>Online Invoice</t>
        </is>
      </c>
      <c r="F284" s="38" t="inlineStr">
        <is>
          <t>INV-0293</t>
        </is>
      </c>
      <c r="G284" s="38" t="inlineStr"/>
      <c r="H284" s="49">
        <f>IF(B284="","",IFERROR(INDEX('JOBS'!$D$5:$D$1504,MATCH(B284,'JOBS'!$A$5:$A$1504,0)),"Job ID not found"))</f>
        <v/>
      </c>
      <c r="I284" s="49">
        <f>IF(B284="","",IFERROR(INDEX('JOBS'!$F$5:$F$1504,MATCH(B284,'JOBS'!$A$5:$A$1504,0)),""))</f>
        <v/>
      </c>
      <c r="J284" s="55">
        <f>IF(C284="","",ROUND(C284*IF(IFERROR(INDEX('SETTINGS'!$K$5:$K$24,MATCH(E284,'SETTINGS'!$J$5:$J$24,0)),"No")="Yes",FeePct,0),2))</f>
        <v/>
      </c>
      <c r="K284" s="51">
        <f>IF(A284="","",DATE(YEAR(A284),MONTH(A284),1))</f>
        <v/>
      </c>
    </row>
    <row r="285">
      <c r="A285" s="47" t="n">
        <v>46295</v>
      </c>
      <c r="B285" s="38" t="inlineStr">
        <is>
          <t>J-0292</t>
        </is>
      </c>
      <c r="C285" s="48" t="n">
        <v>195</v>
      </c>
      <c r="D285" s="48" t="n"/>
      <c r="E285" s="38" t="inlineStr">
        <is>
          <t>Card</t>
        </is>
      </c>
      <c r="F285" s="38" t="inlineStr">
        <is>
          <t>INV-0292</t>
        </is>
      </c>
      <c r="G285" s="38" t="inlineStr"/>
      <c r="H285" s="49">
        <f>IF(B285="","",IFERROR(INDEX('JOBS'!$D$5:$D$1504,MATCH(B285,'JOBS'!$A$5:$A$1504,0)),"Job ID not found"))</f>
        <v/>
      </c>
      <c r="I285" s="49">
        <f>IF(B285="","",IFERROR(INDEX('JOBS'!$F$5:$F$1504,MATCH(B285,'JOBS'!$A$5:$A$1504,0)),""))</f>
        <v/>
      </c>
      <c r="J285" s="55">
        <f>IF(C285="","",ROUND(C285*IF(IFERROR(INDEX('SETTINGS'!$K$5:$K$24,MATCH(E285,'SETTINGS'!$J$5:$J$24,0)),"No")="Yes",FeePct,0),2))</f>
        <v/>
      </c>
      <c r="K285" s="51">
        <f>IF(A285="","",DATE(YEAR(A285),MONTH(A285),1))</f>
        <v/>
      </c>
    </row>
    <row r="286">
      <c r="A286" s="47" t="n">
        <v>46295</v>
      </c>
      <c r="B286" s="38" t="inlineStr">
        <is>
          <t>J-0296</t>
        </is>
      </c>
      <c r="C286" s="48" t="n">
        <v>220</v>
      </c>
      <c r="D286" s="48" t="n"/>
      <c r="E286" s="38" t="inlineStr">
        <is>
          <t>Card</t>
        </is>
      </c>
      <c r="F286" s="38" t="inlineStr">
        <is>
          <t>INV-0296</t>
        </is>
      </c>
      <c r="G286" s="38" t="inlineStr"/>
      <c r="H286" s="49">
        <f>IF(B286="","",IFERROR(INDEX('JOBS'!$D$5:$D$1504,MATCH(B286,'JOBS'!$A$5:$A$1504,0)),"Job ID not found"))</f>
        <v/>
      </c>
      <c r="I286" s="49">
        <f>IF(B286="","",IFERROR(INDEX('JOBS'!$F$5:$F$1504,MATCH(B286,'JOBS'!$A$5:$A$1504,0)),""))</f>
        <v/>
      </c>
      <c r="J286" s="55">
        <f>IF(C286="","",ROUND(C286*IF(IFERROR(INDEX('SETTINGS'!$K$5:$K$24,MATCH(E286,'SETTINGS'!$J$5:$J$24,0)),"No")="Yes",FeePct,0),2))</f>
        <v/>
      </c>
      <c r="K286" s="51">
        <f>IF(A286="","",DATE(YEAR(A286),MONTH(A286),1))</f>
        <v/>
      </c>
    </row>
    <row r="287">
      <c r="A287" s="47" t="n"/>
      <c r="B287" s="38" t="n"/>
      <c r="C287" s="48" t="n"/>
      <c r="D287" s="48" t="n"/>
      <c r="E287" s="38" t="n"/>
      <c r="F287" s="38" t="n"/>
      <c r="G287" s="38" t="n"/>
      <c r="H287" s="49">
        <f>IF(B287="","",IFERROR(INDEX('JOBS'!$D$5:$D$1504,MATCH(B287,'JOBS'!$A$5:$A$1504,0)),"Job ID not found"))</f>
        <v/>
      </c>
      <c r="I287" s="49">
        <f>IF(B287="","",IFERROR(INDEX('JOBS'!$F$5:$F$1504,MATCH(B287,'JOBS'!$A$5:$A$1504,0)),""))</f>
        <v/>
      </c>
      <c r="J287" s="55">
        <f>IF(C287="","",ROUND(C287*IF(IFERROR(INDEX('SETTINGS'!$K$5:$K$24,MATCH(E287,'SETTINGS'!$J$5:$J$24,0)),"No")="Yes",FeePct,0),2))</f>
        <v/>
      </c>
      <c r="K287" s="51">
        <f>IF(A287="","",DATE(YEAR(A287),MONTH(A287),1))</f>
        <v/>
      </c>
    </row>
    <row r="288">
      <c r="A288" s="47" t="n"/>
      <c r="B288" s="38" t="n"/>
      <c r="C288" s="48" t="n"/>
      <c r="D288" s="48" t="n"/>
      <c r="E288" s="38" t="n"/>
      <c r="F288" s="38" t="n"/>
      <c r="G288" s="38" t="n"/>
      <c r="H288" s="49">
        <f>IF(B288="","",IFERROR(INDEX('JOBS'!$D$5:$D$1504,MATCH(B288,'JOBS'!$A$5:$A$1504,0)),"Job ID not found"))</f>
        <v/>
      </c>
      <c r="I288" s="49">
        <f>IF(B288="","",IFERROR(INDEX('JOBS'!$F$5:$F$1504,MATCH(B288,'JOBS'!$A$5:$A$1504,0)),""))</f>
        <v/>
      </c>
      <c r="J288" s="55">
        <f>IF(C288="","",ROUND(C288*IF(IFERROR(INDEX('SETTINGS'!$K$5:$K$24,MATCH(E288,'SETTINGS'!$J$5:$J$24,0)),"No")="Yes",FeePct,0),2))</f>
        <v/>
      </c>
      <c r="K288" s="51">
        <f>IF(A288="","",DATE(YEAR(A288),MONTH(A288),1))</f>
        <v/>
      </c>
    </row>
    <row r="289">
      <c r="A289" s="47" t="n"/>
      <c r="B289" s="38" t="n"/>
      <c r="C289" s="48" t="n"/>
      <c r="D289" s="48" t="n"/>
      <c r="E289" s="38" t="n"/>
      <c r="F289" s="38" t="n"/>
      <c r="G289" s="38" t="n"/>
      <c r="H289" s="49">
        <f>IF(B289="","",IFERROR(INDEX('JOBS'!$D$5:$D$1504,MATCH(B289,'JOBS'!$A$5:$A$1504,0)),"Job ID not found"))</f>
        <v/>
      </c>
      <c r="I289" s="49">
        <f>IF(B289="","",IFERROR(INDEX('JOBS'!$F$5:$F$1504,MATCH(B289,'JOBS'!$A$5:$A$1504,0)),""))</f>
        <v/>
      </c>
      <c r="J289" s="55">
        <f>IF(C289="","",ROUND(C289*IF(IFERROR(INDEX('SETTINGS'!$K$5:$K$24,MATCH(E289,'SETTINGS'!$J$5:$J$24,0)),"No")="Yes",FeePct,0),2))</f>
        <v/>
      </c>
      <c r="K289" s="51">
        <f>IF(A289="","",DATE(YEAR(A289),MONTH(A289),1))</f>
        <v/>
      </c>
    </row>
    <row r="290">
      <c r="A290" s="47" t="n"/>
      <c r="B290" s="38" t="n"/>
      <c r="C290" s="48" t="n"/>
      <c r="D290" s="48" t="n"/>
      <c r="E290" s="38" t="n"/>
      <c r="F290" s="38" t="n"/>
      <c r="G290" s="38" t="n"/>
      <c r="H290" s="49">
        <f>IF(B290="","",IFERROR(INDEX('JOBS'!$D$5:$D$1504,MATCH(B290,'JOBS'!$A$5:$A$1504,0)),"Job ID not found"))</f>
        <v/>
      </c>
      <c r="I290" s="49">
        <f>IF(B290="","",IFERROR(INDEX('JOBS'!$F$5:$F$1504,MATCH(B290,'JOBS'!$A$5:$A$1504,0)),""))</f>
        <v/>
      </c>
      <c r="J290" s="55">
        <f>IF(C290="","",ROUND(C290*IF(IFERROR(INDEX('SETTINGS'!$K$5:$K$24,MATCH(E290,'SETTINGS'!$J$5:$J$24,0)),"No")="Yes",FeePct,0),2))</f>
        <v/>
      </c>
      <c r="K290" s="51">
        <f>IF(A290="","",DATE(YEAR(A290),MONTH(A290),1))</f>
        <v/>
      </c>
    </row>
    <row r="291">
      <c r="A291" s="47" t="n"/>
      <c r="B291" s="38" t="n"/>
      <c r="C291" s="48" t="n"/>
      <c r="D291" s="48" t="n"/>
      <c r="E291" s="38" t="n"/>
      <c r="F291" s="38" t="n"/>
      <c r="G291" s="38" t="n"/>
      <c r="H291" s="49">
        <f>IF(B291="","",IFERROR(INDEX('JOBS'!$D$5:$D$1504,MATCH(B291,'JOBS'!$A$5:$A$1504,0)),"Job ID not found"))</f>
        <v/>
      </c>
      <c r="I291" s="49">
        <f>IF(B291="","",IFERROR(INDEX('JOBS'!$F$5:$F$1504,MATCH(B291,'JOBS'!$A$5:$A$1504,0)),""))</f>
        <v/>
      </c>
      <c r="J291" s="55">
        <f>IF(C291="","",ROUND(C291*IF(IFERROR(INDEX('SETTINGS'!$K$5:$K$24,MATCH(E291,'SETTINGS'!$J$5:$J$24,0)),"No")="Yes",FeePct,0),2))</f>
        <v/>
      </c>
      <c r="K291" s="51">
        <f>IF(A291="","",DATE(YEAR(A291),MONTH(A291),1))</f>
        <v/>
      </c>
    </row>
    <row r="292">
      <c r="A292" s="47" t="n"/>
      <c r="B292" s="38" t="n"/>
      <c r="C292" s="48" t="n"/>
      <c r="D292" s="48" t="n"/>
      <c r="E292" s="38" t="n"/>
      <c r="F292" s="38" t="n"/>
      <c r="G292" s="38" t="n"/>
      <c r="H292" s="49">
        <f>IF(B292="","",IFERROR(INDEX('JOBS'!$D$5:$D$1504,MATCH(B292,'JOBS'!$A$5:$A$1504,0)),"Job ID not found"))</f>
        <v/>
      </c>
      <c r="I292" s="49">
        <f>IF(B292="","",IFERROR(INDEX('JOBS'!$F$5:$F$1504,MATCH(B292,'JOBS'!$A$5:$A$1504,0)),""))</f>
        <v/>
      </c>
      <c r="J292" s="55">
        <f>IF(C292="","",ROUND(C292*IF(IFERROR(INDEX('SETTINGS'!$K$5:$K$24,MATCH(E292,'SETTINGS'!$J$5:$J$24,0)),"No")="Yes",FeePct,0),2))</f>
        <v/>
      </c>
      <c r="K292" s="51">
        <f>IF(A292="","",DATE(YEAR(A292),MONTH(A292),1))</f>
        <v/>
      </c>
    </row>
    <row r="293">
      <c r="A293" s="47" t="n"/>
      <c r="B293" s="38" t="n"/>
      <c r="C293" s="48" t="n"/>
      <c r="D293" s="48" t="n"/>
      <c r="E293" s="38" t="n"/>
      <c r="F293" s="38" t="n"/>
      <c r="G293" s="38" t="n"/>
      <c r="H293" s="49">
        <f>IF(B293="","",IFERROR(INDEX('JOBS'!$D$5:$D$1504,MATCH(B293,'JOBS'!$A$5:$A$1504,0)),"Job ID not found"))</f>
        <v/>
      </c>
      <c r="I293" s="49">
        <f>IF(B293="","",IFERROR(INDEX('JOBS'!$F$5:$F$1504,MATCH(B293,'JOBS'!$A$5:$A$1504,0)),""))</f>
        <v/>
      </c>
      <c r="J293" s="55">
        <f>IF(C293="","",ROUND(C293*IF(IFERROR(INDEX('SETTINGS'!$K$5:$K$24,MATCH(E293,'SETTINGS'!$J$5:$J$24,0)),"No")="Yes",FeePct,0),2))</f>
        <v/>
      </c>
      <c r="K293" s="51">
        <f>IF(A293="","",DATE(YEAR(A293),MONTH(A293),1))</f>
        <v/>
      </c>
    </row>
    <row r="294">
      <c r="A294" s="47" t="n"/>
      <c r="B294" s="38" t="n"/>
      <c r="C294" s="48" t="n"/>
      <c r="D294" s="48" t="n"/>
      <c r="E294" s="38" t="n"/>
      <c r="F294" s="38" t="n"/>
      <c r="G294" s="38" t="n"/>
      <c r="H294" s="49">
        <f>IF(B294="","",IFERROR(INDEX('JOBS'!$D$5:$D$1504,MATCH(B294,'JOBS'!$A$5:$A$1504,0)),"Job ID not found"))</f>
        <v/>
      </c>
      <c r="I294" s="49">
        <f>IF(B294="","",IFERROR(INDEX('JOBS'!$F$5:$F$1504,MATCH(B294,'JOBS'!$A$5:$A$1504,0)),""))</f>
        <v/>
      </c>
      <c r="J294" s="55">
        <f>IF(C294="","",ROUND(C294*IF(IFERROR(INDEX('SETTINGS'!$K$5:$K$24,MATCH(E294,'SETTINGS'!$J$5:$J$24,0)),"No")="Yes",FeePct,0),2))</f>
        <v/>
      </c>
      <c r="K294" s="51">
        <f>IF(A294="","",DATE(YEAR(A294),MONTH(A294),1))</f>
        <v/>
      </c>
    </row>
    <row r="295">
      <c r="A295" s="47" t="n"/>
      <c r="B295" s="38" t="n"/>
      <c r="C295" s="48" t="n"/>
      <c r="D295" s="48" t="n"/>
      <c r="E295" s="38" t="n"/>
      <c r="F295" s="38" t="n"/>
      <c r="G295" s="38" t="n"/>
      <c r="H295" s="49">
        <f>IF(B295="","",IFERROR(INDEX('JOBS'!$D$5:$D$1504,MATCH(B295,'JOBS'!$A$5:$A$1504,0)),"Job ID not found"))</f>
        <v/>
      </c>
      <c r="I295" s="49">
        <f>IF(B295="","",IFERROR(INDEX('JOBS'!$F$5:$F$1504,MATCH(B295,'JOBS'!$A$5:$A$1504,0)),""))</f>
        <v/>
      </c>
      <c r="J295" s="55">
        <f>IF(C295="","",ROUND(C295*IF(IFERROR(INDEX('SETTINGS'!$K$5:$K$24,MATCH(E295,'SETTINGS'!$J$5:$J$24,0)),"No")="Yes",FeePct,0),2))</f>
        <v/>
      </c>
      <c r="K295" s="51">
        <f>IF(A295="","",DATE(YEAR(A295),MONTH(A295),1))</f>
        <v/>
      </c>
    </row>
    <row r="296">
      <c r="A296" s="47" t="n"/>
      <c r="B296" s="38" t="n"/>
      <c r="C296" s="48" t="n"/>
      <c r="D296" s="48" t="n"/>
      <c r="E296" s="38" t="n"/>
      <c r="F296" s="38" t="n"/>
      <c r="G296" s="38" t="n"/>
      <c r="H296" s="49">
        <f>IF(B296="","",IFERROR(INDEX('JOBS'!$D$5:$D$1504,MATCH(B296,'JOBS'!$A$5:$A$1504,0)),"Job ID not found"))</f>
        <v/>
      </c>
      <c r="I296" s="49">
        <f>IF(B296="","",IFERROR(INDEX('JOBS'!$F$5:$F$1504,MATCH(B296,'JOBS'!$A$5:$A$1504,0)),""))</f>
        <v/>
      </c>
      <c r="J296" s="55">
        <f>IF(C296="","",ROUND(C296*IF(IFERROR(INDEX('SETTINGS'!$K$5:$K$24,MATCH(E296,'SETTINGS'!$J$5:$J$24,0)),"No")="Yes",FeePct,0),2))</f>
        <v/>
      </c>
      <c r="K296" s="51">
        <f>IF(A296="","",DATE(YEAR(A296),MONTH(A296),1))</f>
        <v/>
      </c>
    </row>
    <row r="297">
      <c r="A297" s="47" t="n"/>
      <c r="B297" s="38" t="n"/>
      <c r="C297" s="48" t="n"/>
      <c r="D297" s="48" t="n"/>
      <c r="E297" s="38" t="n"/>
      <c r="F297" s="38" t="n"/>
      <c r="G297" s="38" t="n"/>
      <c r="H297" s="49">
        <f>IF(B297="","",IFERROR(INDEX('JOBS'!$D$5:$D$1504,MATCH(B297,'JOBS'!$A$5:$A$1504,0)),"Job ID not found"))</f>
        <v/>
      </c>
      <c r="I297" s="49">
        <f>IF(B297="","",IFERROR(INDEX('JOBS'!$F$5:$F$1504,MATCH(B297,'JOBS'!$A$5:$A$1504,0)),""))</f>
        <v/>
      </c>
      <c r="J297" s="55">
        <f>IF(C297="","",ROUND(C297*IF(IFERROR(INDEX('SETTINGS'!$K$5:$K$24,MATCH(E297,'SETTINGS'!$J$5:$J$24,0)),"No")="Yes",FeePct,0),2))</f>
        <v/>
      </c>
      <c r="K297" s="51">
        <f>IF(A297="","",DATE(YEAR(A297),MONTH(A297),1))</f>
        <v/>
      </c>
    </row>
    <row r="298">
      <c r="A298" s="47" t="n"/>
      <c r="B298" s="38" t="n"/>
      <c r="C298" s="48" t="n"/>
      <c r="D298" s="48" t="n"/>
      <c r="E298" s="38" t="n"/>
      <c r="F298" s="38" t="n"/>
      <c r="G298" s="38" t="n"/>
      <c r="H298" s="49">
        <f>IF(B298="","",IFERROR(INDEX('JOBS'!$D$5:$D$1504,MATCH(B298,'JOBS'!$A$5:$A$1504,0)),"Job ID not found"))</f>
        <v/>
      </c>
      <c r="I298" s="49">
        <f>IF(B298="","",IFERROR(INDEX('JOBS'!$F$5:$F$1504,MATCH(B298,'JOBS'!$A$5:$A$1504,0)),""))</f>
        <v/>
      </c>
      <c r="J298" s="55">
        <f>IF(C298="","",ROUND(C298*IF(IFERROR(INDEX('SETTINGS'!$K$5:$K$24,MATCH(E298,'SETTINGS'!$J$5:$J$24,0)),"No")="Yes",FeePct,0),2))</f>
        <v/>
      </c>
      <c r="K298" s="51">
        <f>IF(A298="","",DATE(YEAR(A298),MONTH(A298),1))</f>
        <v/>
      </c>
    </row>
    <row r="299">
      <c r="A299" s="47" t="n"/>
      <c r="B299" s="38" t="n"/>
      <c r="C299" s="48" t="n"/>
      <c r="D299" s="48" t="n"/>
      <c r="E299" s="38" t="n"/>
      <c r="F299" s="38" t="n"/>
      <c r="G299" s="38" t="n"/>
      <c r="H299" s="49">
        <f>IF(B299="","",IFERROR(INDEX('JOBS'!$D$5:$D$1504,MATCH(B299,'JOBS'!$A$5:$A$1504,0)),"Job ID not found"))</f>
        <v/>
      </c>
      <c r="I299" s="49">
        <f>IF(B299="","",IFERROR(INDEX('JOBS'!$F$5:$F$1504,MATCH(B299,'JOBS'!$A$5:$A$1504,0)),""))</f>
        <v/>
      </c>
      <c r="J299" s="55">
        <f>IF(C299="","",ROUND(C299*IF(IFERROR(INDEX('SETTINGS'!$K$5:$K$24,MATCH(E299,'SETTINGS'!$J$5:$J$24,0)),"No")="Yes",FeePct,0),2))</f>
        <v/>
      </c>
      <c r="K299" s="51">
        <f>IF(A299="","",DATE(YEAR(A299),MONTH(A299),1))</f>
        <v/>
      </c>
    </row>
    <row r="300">
      <c r="A300" s="47" t="n"/>
      <c r="B300" s="38" t="n"/>
      <c r="C300" s="48" t="n"/>
      <c r="D300" s="48" t="n"/>
      <c r="E300" s="38" t="n"/>
      <c r="F300" s="38" t="n"/>
      <c r="G300" s="38" t="n"/>
      <c r="H300" s="49">
        <f>IF(B300="","",IFERROR(INDEX('JOBS'!$D$5:$D$1504,MATCH(B300,'JOBS'!$A$5:$A$1504,0)),"Job ID not found"))</f>
        <v/>
      </c>
      <c r="I300" s="49">
        <f>IF(B300="","",IFERROR(INDEX('JOBS'!$F$5:$F$1504,MATCH(B300,'JOBS'!$A$5:$A$1504,0)),""))</f>
        <v/>
      </c>
      <c r="J300" s="55">
        <f>IF(C300="","",ROUND(C300*IF(IFERROR(INDEX('SETTINGS'!$K$5:$K$24,MATCH(E300,'SETTINGS'!$J$5:$J$24,0)),"No")="Yes",FeePct,0),2))</f>
        <v/>
      </c>
      <c r="K300" s="51">
        <f>IF(A300="","",DATE(YEAR(A300),MONTH(A300),1))</f>
        <v/>
      </c>
    </row>
    <row r="301">
      <c r="A301" s="47" t="n"/>
      <c r="B301" s="38" t="n"/>
      <c r="C301" s="48" t="n"/>
      <c r="D301" s="48" t="n"/>
      <c r="E301" s="38" t="n"/>
      <c r="F301" s="38" t="n"/>
      <c r="G301" s="38" t="n"/>
      <c r="H301" s="49">
        <f>IF(B301="","",IFERROR(INDEX('JOBS'!$D$5:$D$1504,MATCH(B301,'JOBS'!$A$5:$A$1504,0)),"Job ID not found"))</f>
        <v/>
      </c>
      <c r="I301" s="49">
        <f>IF(B301="","",IFERROR(INDEX('JOBS'!$F$5:$F$1504,MATCH(B301,'JOBS'!$A$5:$A$1504,0)),""))</f>
        <v/>
      </c>
      <c r="J301" s="55">
        <f>IF(C301="","",ROUND(C301*IF(IFERROR(INDEX('SETTINGS'!$K$5:$K$24,MATCH(E301,'SETTINGS'!$J$5:$J$24,0)),"No")="Yes",FeePct,0),2))</f>
        <v/>
      </c>
      <c r="K301" s="51">
        <f>IF(A301="","",DATE(YEAR(A301),MONTH(A301),1))</f>
        <v/>
      </c>
    </row>
    <row r="302">
      <c r="A302" s="47" t="n"/>
      <c r="B302" s="38" t="n"/>
      <c r="C302" s="48" t="n"/>
      <c r="D302" s="48" t="n"/>
      <c r="E302" s="38" t="n"/>
      <c r="F302" s="38" t="n"/>
      <c r="G302" s="38" t="n"/>
      <c r="H302" s="49">
        <f>IF(B302="","",IFERROR(INDEX('JOBS'!$D$5:$D$1504,MATCH(B302,'JOBS'!$A$5:$A$1504,0)),"Job ID not found"))</f>
        <v/>
      </c>
      <c r="I302" s="49">
        <f>IF(B302="","",IFERROR(INDEX('JOBS'!$F$5:$F$1504,MATCH(B302,'JOBS'!$A$5:$A$1504,0)),""))</f>
        <v/>
      </c>
      <c r="J302" s="55">
        <f>IF(C302="","",ROUND(C302*IF(IFERROR(INDEX('SETTINGS'!$K$5:$K$24,MATCH(E302,'SETTINGS'!$J$5:$J$24,0)),"No")="Yes",FeePct,0),2))</f>
        <v/>
      </c>
      <c r="K302" s="51">
        <f>IF(A302="","",DATE(YEAR(A302),MONTH(A302),1))</f>
        <v/>
      </c>
    </row>
    <row r="303">
      <c r="A303" s="47" t="n"/>
      <c r="B303" s="38" t="n"/>
      <c r="C303" s="48" t="n"/>
      <c r="D303" s="48" t="n"/>
      <c r="E303" s="38" t="n"/>
      <c r="F303" s="38" t="n"/>
      <c r="G303" s="38" t="n"/>
      <c r="H303" s="49">
        <f>IF(B303="","",IFERROR(INDEX('JOBS'!$D$5:$D$1504,MATCH(B303,'JOBS'!$A$5:$A$1504,0)),"Job ID not found"))</f>
        <v/>
      </c>
      <c r="I303" s="49">
        <f>IF(B303="","",IFERROR(INDEX('JOBS'!$F$5:$F$1504,MATCH(B303,'JOBS'!$A$5:$A$1504,0)),""))</f>
        <v/>
      </c>
      <c r="J303" s="55">
        <f>IF(C303="","",ROUND(C303*IF(IFERROR(INDEX('SETTINGS'!$K$5:$K$24,MATCH(E303,'SETTINGS'!$J$5:$J$24,0)),"No")="Yes",FeePct,0),2))</f>
        <v/>
      </c>
      <c r="K303" s="51">
        <f>IF(A303="","",DATE(YEAR(A303),MONTH(A303),1))</f>
        <v/>
      </c>
    </row>
    <row r="304">
      <c r="A304" s="47" t="n"/>
      <c r="B304" s="38" t="n"/>
      <c r="C304" s="48" t="n"/>
      <c r="D304" s="48" t="n"/>
      <c r="E304" s="38" t="n"/>
      <c r="F304" s="38" t="n"/>
      <c r="G304" s="38" t="n"/>
      <c r="H304" s="49">
        <f>IF(B304="","",IFERROR(INDEX('JOBS'!$D$5:$D$1504,MATCH(B304,'JOBS'!$A$5:$A$1504,0)),"Job ID not found"))</f>
        <v/>
      </c>
      <c r="I304" s="49">
        <f>IF(B304="","",IFERROR(INDEX('JOBS'!$F$5:$F$1504,MATCH(B304,'JOBS'!$A$5:$A$1504,0)),""))</f>
        <v/>
      </c>
      <c r="J304" s="55">
        <f>IF(C304="","",ROUND(C304*IF(IFERROR(INDEX('SETTINGS'!$K$5:$K$24,MATCH(E304,'SETTINGS'!$J$5:$J$24,0)),"No")="Yes",FeePct,0),2))</f>
        <v/>
      </c>
      <c r="K304" s="51">
        <f>IF(A304="","",DATE(YEAR(A304),MONTH(A304),1))</f>
        <v/>
      </c>
    </row>
    <row r="305">
      <c r="A305" s="47" t="n"/>
      <c r="B305" s="38" t="n"/>
      <c r="C305" s="48" t="n"/>
      <c r="D305" s="48" t="n"/>
      <c r="E305" s="38" t="n"/>
      <c r="F305" s="38" t="n"/>
      <c r="G305" s="38" t="n"/>
      <c r="H305" s="49">
        <f>IF(B305="","",IFERROR(INDEX('JOBS'!$D$5:$D$1504,MATCH(B305,'JOBS'!$A$5:$A$1504,0)),"Job ID not found"))</f>
        <v/>
      </c>
      <c r="I305" s="49">
        <f>IF(B305="","",IFERROR(INDEX('JOBS'!$F$5:$F$1504,MATCH(B305,'JOBS'!$A$5:$A$1504,0)),""))</f>
        <v/>
      </c>
      <c r="J305" s="55">
        <f>IF(C305="","",ROUND(C305*IF(IFERROR(INDEX('SETTINGS'!$K$5:$K$24,MATCH(E305,'SETTINGS'!$J$5:$J$24,0)),"No")="Yes",FeePct,0),2))</f>
        <v/>
      </c>
      <c r="K305" s="51">
        <f>IF(A305="","",DATE(YEAR(A305),MONTH(A305),1))</f>
        <v/>
      </c>
    </row>
    <row r="306">
      <c r="A306" s="47" t="n"/>
      <c r="B306" s="38" t="n"/>
      <c r="C306" s="48" t="n"/>
      <c r="D306" s="48" t="n"/>
      <c r="E306" s="38" t="n"/>
      <c r="F306" s="38" t="n"/>
      <c r="G306" s="38" t="n"/>
      <c r="H306" s="49">
        <f>IF(B306="","",IFERROR(INDEX('JOBS'!$D$5:$D$1504,MATCH(B306,'JOBS'!$A$5:$A$1504,0)),"Job ID not found"))</f>
        <v/>
      </c>
      <c r="I306" s="49">
        <f>IF(B306="","",IFERROR(INDEX('JOBS'!$F$5:$F$1504,MATCH(B306,'JOBS'!$A$5:$A$1504,0)),""))</f>
        <v/>
      </c>
      <c r="J306" s="55">
        <f>IF(C306="","",ROUND(C306*IF(IFERROR(INDEX('SETTINGS'!$K$5:$K$24,MATCH(E306,'SETTINGS'!$J$5:$J$24,0)),"No")="Yes",FeePct,0),2))</f>
        <v/>
      </c>
      <c r="K306" s="51">
        <f>IF(A306="","",DATE(YEAR(A306),MONTH(A306),1))</f>
        <v/>
      </c>
    </row>
    <row r="307">
      <c r="A307" s="47" t="n"/>
      <c r="B307" s="38" t="n"/>
      <c r="C307" s="48" t="n"/>
      <c r="D307" s="48" t="n"/>
      <c r="E307" s="38" t="n"/>
      <c r="F307" s="38" t="n"/>
      <c r="G307" s="38" t="n"/>
      <c r="H307" s="49">
        <f>IF(B307="","",IFERROR(INDEX('JOBS'!$D$5:$D$1504,MATCH(B307,'JOBS'!$A$5:$A$1504,0)),"Job ID not found"))</f>
        <v/>
      </c>
      <c r="I307" s="49">
        <f>IF(B307="","",IFERROR(INDEX('JOBS'!$F$5:$F$1504,MATCH(B307,'JOBS'!$A$5:$A$1504,0)),""))</f>
        <v/>
      </c>
      <c r="J307" s="55">
        <f>IF(C307="","",ROUND(C307*IF(IFERROR(INDEX('SETTINGS'!$K$5:$K$24,MATCH(E307,'SETTINGS'!$J$5:$J$24,0)),"No")="Yes",FeePct,0),2))</f>
        <v/>
      </c>
      <c r="K307" s="51">
        <f>IF(A307="","",DATE(YEAR(A307),MONTH(A307),1))</f>
        <v/>
      </c>
    </row>
    <row r="308">
      <c r="A308" s="47" t="n"/>
      <c r="B308" s="38" t="n"/>
      <c r="C308" s="48" t="n"/>
      <c r="D308" s="48" t="n"/>
      <c r="E308" s="38" t="n"/>
      <c r="F308" s="38" t="n"/>
      <c r="G308" s="38" t="n"/>
      <c r="H308" s="49">
        <f>IF(B308="","",IFERROR(INDEX('JOBS'!$D$5:$D$1504,MATCH(B308,'JOBS'!$A$5:$A$1504,0)),"Job ID not found"))</f>
        <v/>
      </c>
      <c r="I308" s="49">
        <f>IF(B308="","",IFERROR(INDEX('JOBS'!$F$5:$F$1504,MATCH(B308,'JOBS'!$A$5:$A$1504,0)),""))</f>
        <v/>
      </c>
      <c r="J308" s="55">
        <f>IF(C308="","",ROUND(C308*IF(IFERROR(INDEX('SETTINGS'!$K$5:$K$24,MATCH(E308,'SETTINGS'!$J$5:$J$24,0)),"No")="Yes",FeePct,0),2))</f>
        <v/>
      </c>
      <c r="K308" s="51">
        <f>IF(A308="","",DATE(YEAR(A308),MONTH(A308),1))</f>
        <v/>
      </c>
    </row>
    <row r="309">
      <c r="A309" s="47" t="n"/>
      <c r="B309" s="38" t="n"/>
      <c r="C309" s="48" t="n"/>
      <c r="D309" s="48" t="n"/>
      <c r="E309" s="38" t="n"/>
      <c r="F309" s="38" t="n"/>
      <c r="G309" s="38" t="n"/>
      <c r="H309" s="49">
        <f>IF(B309="","",IFERROR(INDEX('JOBS'!$D$5:$D$1504,MATCH(B309,'JOBS'!$A$5:$A$1504,0)),"Job ID not found"))</f>
        <v/>
      </c>
      <c r="I309" s="49">
        <f>IF(B309="","",IFERROR(INDEX('JOBS'!$F$5:$F$1504,MATCH(B309,'JOBS'!$A$5:$A$1504,0)),""))</f>
        <v/>
      </c>
      <c r="J309" s="55">
        <f>IF(C309="","",ROUND(C309*IF(IFERROR(INDEX('SETTINGS'!$K$5:$K$24,MATCH(E309,'SETTINGS'!$J$5:$J$24,0)),"No")="Yes",FeePct,0),2))</f>
        <v/>
      </c>
      <c r="K309" s="51">
        <f>IF(A309="","",DATE(YEAR(A309),MONTH(A309),1))</f>
        <v/>
      </c>
    </row>
    <row r="310">
      <c r="A310" s="47" t="n"/>
      <c r="B310" s="38" t="n"/>
      <c r="C310" s="48" t="n"/>
      <c r="D310" s="48" t="n"/>
      <c r="E310" s="38" t="n"/>
      <c r="F310" s="38" t="n"/>
      <c r="G310" s="38" t="n"/>
      <c r="H310" s="49">
        <f>IF(B310="","",IFERROR(INDEX('JOBS'!$D$5:$D$1504,MATCH(B310,'JOBS'!$A$5:$A$1504,0)),"Job ID not found"))</f>
        <v/>
      </c>
      <c r="I310" s="49">
        <f>IF(B310="","",IFERROR(INDEX('JOBS'!$F$5:$F$1504,MATCH(B310,'JOBS'!$A$5:$A$1504,0)),""))</f>
        <v/>
      </c>
      <c r="J310" s="55">
        <f>IF(C310="","",ROUND(C310*IF(IFERROR(INDEX('SETTINGS'!$K$5:$K$24,MATCH(E310,'SETTINGS'!$J$5:$J$24,0)),"No")="Yes",FeePct,0),2))</f>
        <v/>
      </c>
      <c r="K310" s="51">
        <f>IF(A310="","",DATE(YEAR(A310),MONTH(A310),1))</f>
        <v/>
      </c>
    </row>
    <row r="311">
      <c r="A311" s="47" t="n"/>
      <c r="B311" s="38" t="n"/>
      <c r="C311" s="48" t="n"/>
      <c r="D311" s="48" t="n"/>
      <c r="E311" s="38" t="n"/>
      <c r="F311" s="38" t="n"/>
      <c r="G311" s="38" t="n"/>
      <c r="H311" s="49">
        <f>IF(B311="","",IFERROR(INDEX('JOBS'!$D$5:$D$1504,MATCH(B311,'JOBS'!$A$5:$A$1504,0)),"Job ID not found"))</f>
        <v/>
      </c>
      <c r="I311" s="49">
        <f>IF(B311="","",IFERROR(INDEX('JOBS'!$F$5:$F$1504,MATCH(B311,'JOBS'!$A$5:$A$1504,0)),""))</f>
        <v/>
      </c>
      <c r="J311" s="55">
        <f>IF(C311="","",ROUND(C311*IF(IFERROR(INDEX('SETTINGS'!$K$5:$K$24,MATCH(E311,'SETTINGS'!$J$5:$J$24,0)),"No")="Yes",FeePct,0),2))</f>
        <v/>
      </c>
      <c r="K311" s="51">
        <f>IF(A311="","",DATE(YEAR(A311),MONTH(A311),1))</f>
        <v/>
      </c>
    </row>
    <row r="312">
      <c r="A312" s="47" t="n"/>
      <c r="B312" s="38" t="n"/>
      <c r="C312" s="48" t="n"/>
      <c r="D312" s="48" t="n"/>
      <c r="E312" s="38" t="n"/>
      <c r="F312" s="38" t="n"/>
      <c r="G312" s="38" t="n"/>
      <c r="H312" s="49">
        <f>IF(B312="","",IFERROR(INDEX('JOBS'!$D$5:$D$1504,MATCH(B312,'JOBS'!$A$5:$A$1504,0)),"Job ID not found"))</f>
        <v/>
      </c>
      <c r="I312" s="49">
        <f>IF(B312="","",IFERROR(INDEX('JOBS'!$F$5:$F$1504,MATCH(B312,'JOBS'!$A$5:$A$1504,0)),""))</f>
        <v/>
      </c>
      <c r="J312" s="55">
        <f>IF(C312="","",ROUND(C312*IF(IFERROR(INDEX('SETTINGS'!$K$5:$K$24,MATCH(E312,'SETTINGS'!$J$5:$J$24,0)),"No")="Yes",FeePct,0),2))</f>
        <v/>
      </c>
      <c r="K312" s="51">
        <f>IF(A312="","",DATE(YEAR(A312),MONTH(A312),1))</f>
        <v/>
      </c>
    </row>
    <row r="313">
      <c r="A313" s="47" t="n"/>
      <c r="B313" s="38" t="n"/>
      <c r="C313" s="48" t="n"/>
      <c r="D313" s="48" t="n"/>
      <c r="E313" s="38" t="n"/>
      <c r="F313" s="38" t="n"/>
      <c r="G313" s="38" t="n"/>
      <c r="H313" s="49">
        <f>IF(B313="","",IFERROR(INDEX('JOBS'!$D$5:$D$1504,MATCH(B313,'JOBS'!$A$5:$A$1504,0)),"Job ID not found"))</f>
        <v/>
      </c>
      <c r="I313" s="49">
        <f>IF(B313="","",IFERROR(INDEX('JOBS'!$F$5:$F$1504,MATCH(B313,'JOBS'!$A$5:$A$1504,0)),""))</f>
        <v/>
      </c>
      <c r="J313" s="55">
        <f>IF(C313="","",ROUND(C313*IF(IFERROR(INDEX('SETTINGS'!$K$5:$K$24,MATCH(E313,'SETTINGS'!$J$5:$J$24,0)),"No")="Yes",FeePct,0),2))</f>
        <v/>
      </c>
      <c r="K313" s="51">
        <f>IF(A313="","",DATE(YEAR(A313),MONTH(A313),1))</f>
        <v/>
      </c>
    </row>
    <row r="314">
      <c r="A314" s="47" t="n"/>
      <c r="B314" s="38" t="n"/>
      <c r="C314" s="48" t="n"/>
      <c r="D314" s="48" t="n"/>
      <c r="E314" s="38" t="n"/>
      <c r="F314" s="38" t="n"/>
      <c r="G314" s="38" t="n"/>
      <c r="H314" s="49">
        <f>IF(B314="","",IFERROR(INDEX('JOBS'!$D$5:$D$1504,MATCH(B314,'JOBS'!$A$5:$A$1504,0)),"Job ID not found"))</f>
        <v/>
      </c>
      <c r="I314" s="49">
        <f>IF(B314="","",IFERROR(INDEX('JOBS'!$F$5:$F$1504,MATCH(B314,'JOBS'!$A$5:$A$1504,0)),""))</f>
        <v/>
      </c>
      <c r="J314" s="55">
        <f>IF(C314="","",ROUND(C314*IF(IFERROR(INDEX('SETTINGS'!$K$5:$K$24,MATCH(E314,'SETTINGS'!$J$5:$J$24,0)),"No")="Yes",FeePct,0),2))</f>
        <v/>
      </c>
      <c r="K314" s="51">
        <f>IF(A314="","",DATE(YEAR(A314),MONTH(A314),1))</f>
        <v/>
      </c>
    </row>
    <row r="315">
      <c r="A315" s="47" t="n"/>
      <c r="B315" s="38" t="n"/>
      <c r="C315" s="48" t="n"/>
      <c r="D315" s="48" t="n"/>
      <c r="E315" s="38" t="n"/>
      <c r="F315" s="38" t="n"/>
      <c r="G315" s="38" t="n"/>
      <c r="H315" s="49">
        <f>IF(B315="","",IFERROR(INDEX('JOBS'!$D$5:$D$1504,MATCH(B315,'JOBS'!$A$5:$A$1504,0)),"Job ID not found"))</f>
        <v/>
      </c>
      <c r="I315" s="49">
        <f>IF(B315="","",IFERROR(INDEX('JOBS'!$F$5:$F$1504,MATCH(B315,'JOBS'!$A$5:$A$1504,0)),""))</f>
        <v/>
      </c>
      <c r="J315" s="55">
        <f>IF(C315="","",ROUND(C315*IF(IFERROR(INDEX('SETTINGS'!$K$5:$K$24,MATCH(E315,'SETTINGS'!$J$5:$J$24,0)),"No")="Yes",FeePct,0),2))</f>
        <v/>
      </c>
      <c r="K315" s="51">
        <f>IF(A315="","",DATE(YEAR(A315),MONTH(A315),1))</f>
        <v/>
      </c>
    </row>
    <row r="316">
      <c r="A316" s="47" t="n"/>
      <c r="B316" s="38" t="n"/>
      <c r="C316" s="48" t="n"/>
      <c r="D316" s="48" t="n"/>
      <c r="E316" s="38" t="n"/>
      <c r="F316" s="38" t="n"/>
      <c r="G316" s="38" t="n"/>
      <c r="H316" s="49">
        <f>IF(B316="","",IFERROR(INDEX('JOBS'!$D$5:$D$1504,MATCH(B316,'JOBS'!$A$5:$A$1504,0)),"Job ID not found"))</f>
        <v/>
      </c>
      <c r="I316" s="49">
        <f>IF(B316="","",IFERROR(INDEX('JOBS'!$F$5:$F$1504,MATCH(B316,'JOBS'!$A$5:$A$1504,0)),""))</f>
        <v/>
      </c>
      <c r="J316" s="55">
        <f>IF(C316="","",ROUND(C316*IF(IFERROR(INDEX('SETTINGS'!$K$5:$K$24,MATCH(E316,'SETTINGS'!$J$5:$J$24,0)),"No")="Yes",FeePct,0),2))</f>
        <v/>
      </c>
      <c r="K316" s="51">
        <f>IF(A316="","",DATE(YEAR(A316),MONTH(A316),1))</f>
        <v/>
      </c>
    </row>
    <row r="317">
      <c r="A317" s="47" t="n"/>
      <c r="B317" s="38" t="n"/>
      <c r="C317" s="48" t="n"/>
      <c r="D317" s="48" t="n"/>
      <c r="E317" s="38" t="n"/>
      <c r="F317" s="38" t="n"/>
      <c r="G317" s="38" t="n"/>
      <c r="H317" s="49">
        <f>IF(B317="","",IFERROR(INDEX('JOBS'!$D$5:$D$1504,MATCH(B317,'JOBS'!$A$5:$A$1504,0)),"Job ID not found"))</f>
        <v/>
      </c>
      <c r="I317" s="49">
        <f>IF(B317="","",IFERROR(INDEX('JOBS'!$F$5:$F$1504,MATCH(B317,'JOBS'!$A$5:$A$1504,0)),""))</f>
        <v/>
      </c>
      <c r="J317" s="55">
        <f>IF(C317="","",ROUND(C317*IF(IFERROR(INDEX('SETTINGS'!$K$5:$K$24,MATCH(E317,'SETTINGS'!$J$5:$J$24,0)),"No")="Yes",FeePct,0),2))</f>
        <v/>
      </c>
      <c r="K317" s="51">
        <f>IF(A317="","",DATE(YEAR(A317),MONTH(A317),1))</f>
        <v/>
      </c>
    </row>
    <row r="318">
      <c r="A318" s="47" t="n"/>
      <c r="B318" s="38" t="n"/>
      <c r="C318" s="48" t="n"/>
      <c r="D318" s="48" t="n"/>
      <c r="E318" s="38" t="n"/>
      <c r="F318" s="38" t="n"/>
      <c r="G318" s="38" t="n"/>
      <c r="H318" s="49">
        <f>IF(B318="","",IFERROR(INDEX('JOBS'!$D$5:$D$1504,MATCH(B318,'JOBS'!$A$5:$A$1504,0)),"Job ID not found"))</f>
        <v/>
      </c>
      <c r="I318" s="49">
        <f>IF(B318="","",IFERROR(INDEX('JOBS'!$F$5:$F$1504,MATCH(B318,'JOBS'!$A$5:$A$1504,0)),""))</f>
        <v/>
      </c>
      <c r="J318" s="55">
        <f>IF(C318="","",ROUND(C318*IF(IFERROR(INDEX('SETTINGS'!$K$5:$K$24,MATCH(E318,'SETTINGS'!$J$5:$J$24,0)),"No")="Yes",FeePct,0),2))</f>
        <v/>
      </c>
      <c r="K318" s="51">
        <f>IF(A318="","",DATE(YEAR(A318),MONTH(A318),1))</f>
        <v/>
      </c>
    </row>
    <row r="319">
      <c r="A319" s="47" t="n"/>
      <c r="B319" s="38" t="n"/>
      <c r="C319" s="48" t="n"/>
      <c r="D319" s="48" t="n"/>
      <c r="E319" s="38" t="n"/>
      <c r="F319" s="38" t="n"/>
      <c r="G319" s="38" t="n"/>
      <c r="H319" s="49">
        <f>IF(B319="","",IFERROR(INDEX('JOBS'!$D$5:$D$1504,MATCH(B319,'JOBS'!$A$5:$A$1504,0)),"Job ID not found"))</f>
        <v/>
      </c>
      <c r="I319" s="49">
        <f>IF(B319="","",IFERROR(INDEX('JOBS'!$F$5:$F$1504,MATCH(B319,'JOBS'!$A$5:$A$1504,0)),""))</f>
        <v/>
      </c>
      <c r="J319" s="55">
        <f>IF(C319="","",ROUND(C319*IF(IFERROR(INDEX('SETTINGS'!$K$5:$K$24,MATCH(E319,'SETTINGS'!$J$5:$J$24,0)),"No")="Yes",FeePct,0),2))</f>
        <v/>
      </c>
      <c r="K319" s="51">
        <f>IF(A319="","",DATE(YEAR(A319),MONTH(A319),1))</f>
        <v/>
      </c>
    </row>
    <row r="320">
      <c r="A320" s="47" t="n"/>
      <c r="B320" s="38" t="n"/>
      <c r="C320" s="48" t="n"/>
      <c r="D320" s="48" t="n"/>
      <c r="E320" s="38" t="n"/>
      <c r="F320" s="38" t="n"/>
      <c r="G320" s="38" t="n"/>
      <c r="H320" s="49">
        <f>IF(B320="","",IFERROR(INDEX('JOBS'!$D$5:$D$1504,MATCH(B320,'JOBS'!$A$5:$A$1504,0)),"Job ID not found"))</f>
        <v/>
      </c>
      <c r="I320" s="49">
        <f>IF(B320="","",IFERROR(INDEX('JOBS'!$F$5:$F$1504,MATCH(B320,'JOBS'!$A$5:$A$1504,0)),""))</f>
        <v/>
      </c>
      <c r="J320" s="55">
        <f>IF(C320="","",ROUND(C320*IF(IFERROR(INDEX('SETTINGS'!$K$5:$K$24,MATCH(E320,'SETTINGS'!$J$5:$J$24,0)),"No")="Yes",FeePct,0),2))</f>
        <v/>
      </c>
      <c r="K320" s="51">
        <f>IF(A320="","",DATE(YEAR(A320),MONTH(A320),1))</f>
        <v/>
      </c>
    </row>
    <row r="321">
      <c r="A321" s="47" t="n"/>
      <c r="B321" s="38" t="n"/>
      <c r="C321" s="48" t="n"/>
      <c r="D321" s="48" t="n"/>
      <c r="E321" s="38" t="n"/>
      <c r="F321" s="38" t="n"/>
      <c r="G321" s="38" t="n"/>
      <c r="H321" s="49">
        <f>IF(B321="","",IFERROR(INDEX('JOBS'!$D$5:$D$1504,MATCH(B321,'JOBS'!$A$5:$A$1504,0)),"Job ID not found"))</f>
        <v/>
      </c>
      <c r="I321" s="49">
        <f>IF(B321="","",IFERROR(INDEX('JOBS'!$F$5:$F$1504,MATCH(B321,'JOBS'!$A$5:$A$1504,0)),""))</f>
        <v/>
      </c>
      <c r="J321" s="55">
        <f>IF(C321="","",ROUND(C321*IF(IFERROR(INDEX('SETTINGS'!$K$5:$K$24,MATCH(E321,'SETTINGS'!$J$5:$J$24,0)),"No")="Yes",FeePct,0),2))</f>
        <v/>
      </c>
      <c r="K321" s="51">
        <f>IF(A321="","",DATE(YEAR(A321),MONTH(A321),1))</f>
        <v/>
      </c>
    </row>
    <row r="322">
      <c r="A322" s="47" t="n"/>
      <c r="B322" s="38" t="n"/>
      <c r="C322" s="48" t="n"/>
      <c r="D322" s="48" t="n"/>
      <c r="E322" s="38" t="n"/>
      <c r="F322" s="38" t="n"/>
      <c r="G322" s="38" t="n"/>
      <c r="H322" s="49">
        <f>IF(B322="","",IFERROR(INDEX('JOBS'!$D$5:$D$1504,MATCH(B322,'JOBS'!$A$5:$A$1504,0)),"Job ID not found"))</f>
        <v/>
      </c>
      <c r="I322" s="49">
        <f>IF(B322="","",IFERROR(INDEX('JOBS'!$F$5:$F$1504,MATCH(B322,'JOBS'!$A$5:$A$1504,0)),""))</f>
        <v/>
      </c>
      <c r="J322" s="55">
        <f>IF(C322="","",ROUND(C322*IF(IFERROR(INDEX('SETTINGS'!$K$5:$K$24,MATCH(E322,'SETTINGS'!$J$5:$J$24,0)),"No")="Yes",FeePct,0),2))</f>
        <v/>
      </c>
      <c r="K322" s="51">
        <f>IF(A322="","",DATE(YEAR(A322),MONTH(A322),1))</f>
        <v/>
      </c>
    </row>
    <row r="323">
      <c r="A323" s="47" t="n"/>
      <c r="B323" s="38" t="n"/>
      <c r="C323" s="48" t="n"/>
      <c r="D323" s="48" t="n"/>
      <c r="E323" s="38" t="n"/>
      <c r="F323" s="38" t="n"/>
      <c r="G323" s="38" t="n"/>
      <c r="H323" s="49">
        <f>IF(B323="","",IFERROR(INDEX('JOBS'!$D$5:$D$1504,MATCH(B323,'JOBS'!$A$5:$A$1504,0)),"Job ID not found"))</f>
        <v/>
      </c>
      <c r="I323" s="49">
        <f>IF(B323="","",IFERROR(INDEX('JOBS'!$F$5:$F$1504,MATCH(B323,'JOBS'!$A$5:$A$1504,0)),""))</f>
        <v/>
      </c>
      <c r="J323" s="55">
        <f>IF(C323="","",ROUND(C323*IF(IFERROR(INDEX('SETTINGS'!$K$5:$K$24,MATCH(E323,'SETTINGS'!$J$5:$J$24,0)),"No")="Yes",FeePct,0),2))</f>
        <v/>
      </c>
      <c r="K323" s="51">
        <f>IF(A323="","",DATE(YEAR(A323),MONTH(A323),1))</f>
        <v/>
      </c>
    </row>
    <row r="324">
      <c r="A324" s="47" t="n"/>
      <c r="B324" s="38" t="n"/>
      <c r="C324" s="48" t="n"/>
      <c r="D324" s="48" t="n"/>
      <c r="E324" s="38" t="n"/>
      <c r="F324" s="38" t="n"/>
      <c r="G324" s="38" t="n"/>
      <c r="H324" s="49">
        <f>IF(B324="","",IFERROR(INDEX('JOBS'!$D$5:$D$1504,MATCH(B324,'JOBS'!$A$5:$A$1504,0)),"Job ID not found"))</f>
        <v/>
      </c>
      <c r="I324" s="49">
        <f>IF(B324="","",IFERROR(INDEX('JOBS'!$F$5:$F$1504,MATCH(B324,'JOBS'!$A$5:$A$1504,0)),""))</f>
        <v/>
      </c>
      <c r="J324" s="55">
        <f>IF(C324="","",ROUND(C324*IF(IFERROR(INDEX('SETTINGS'!$K$5:$K$24,MATCH(E324,'SETTINGS'!$J$5:$J$24,0)),"No")="Yes",FeePct,0),2))</f>
        <v/>
      </c>
      <c r="K324" s="51">
        <f>IF(A324="","",DATE(YEAR(A324),MONTH(A324),1))</f>
        <v/>
      </c>
    </row>
    <row r="325">
      <c r="A325" s="47" t="n"/>
      <c r="B325" s="38" t="n"/>
      <c r="C325" s="48" t="n"/>
      <c r="D325" s="48" t="n"/>
      <c r="E325" s="38" t="n"/>
      <c r="F325" s="38" t="n"/>
      <c r="G325" s="38" t="n"/>
      <c r="H325" s="49">
        <f>IF(B325="","",IFERROR(INDEX('JOBS'!$D$5:$D$1504,MATCH(B325,'JOBS'!$A$5:$A$1504,0)),"Job ID not found"))</f>
        <v/>
      </c>
      <c r="I325" s="49">
        <f>IF(B325="","",IFERROR(INDEX('JOBS'!$F$5:$F$1504,MATCH(B325,'JOBS'!$A$5:$A$1504,0)),""))</f>
        <v/>
      </c>
      <c r="J325" s="55">
        <f>IF(C325="","",ROUND(C325*IF(IFERROR(INDEX('SETTINGS'!$K$5:$K$24,MATCH(E325,'SETTINGS'!$J$5:$J$24,0)),"No")="Yes",FeePct,0),2))</f>
        <v/>
      </c>
      <c r="K325" s="51">
        <f>IF(A325="","",DATE(YEAR(A325),MONTH(A325),1))</f>
        <v/>
      </c>
    </row>
    <row r="326">
      <c r="A326" s="47" t="n"/>
      <c r="B326" s="38" t="n"/>
      <c r="C326" s="48" t="n"/>
      <c r="D326" s="48" t="n"/>
      <c r="E326" s="38" t="n"/>
      <c r="F326" s="38" t="n"/>
      <c r="G326" s="38" t="n"/>
      <c r="H326" s="49">
        <f>IF(B326="","",IFERROR(INDEX('JOBS'!$D$5:$D$1504,MATCH(B326,'JOBS'!$A$5:$A$1504,0)),"Job ID not found"))</f>
        <v/>
      </c>
      <c r="I326" s="49">
        <f>IF(B326="","",IFERROR(INDEX('JOBS'!$F$5:$F$1504,MATCH(B326,'JOBS'!$A$5:$A$1504,0)),""))</f>
        <v/>
      </c>
      <c r="J326" s="55">
        <f>IF(C326="","",ROUND(C326*IF(IFERROR(INDEX('SETTINGS'!$K$5:$K$24,MATCH(E326,'SETTINGS'!$J$5:$J$24,0)),"No")="Yes",FeePct,0),2))</f>
        <v/>
      </c>
      <c r="K326" s="51">
        <f>IF(A326="","",DATE(YEAR(A326),MONTH(A326),1))</f>
        <v/>
      </c>
    </row>
    <row r="327">
      <c r="A327" s="47" t="n"/>
      <c r="B327" s="38" t="n"/>
      <c r="C327" s="48" t="n"/>
      <c r="D327" s="48" t="n"/>
      <c r="E327" s="38" t="n"/>
      <c r="F327" s="38" t="n"/>
      <c r="G327" s="38" t="n"/>
      <c r="H327" s="49">
        <f>IF(B327="","",IFERROR(INDEX('JOBS'!$D$5:$D$1504,MATCH(B327,'JOBS'!$A$5:$A$1504,0)),"Job ID not found"))</f>
        <v/>
      </c>
      <c r="I327" s="49">
        <f>IF(B327="","",IFERROR(INDEX('JOBS'!$F$5:$F$1504,MATCH(B327,'JOBS'!$A$5:$A$1504,0)),""))</f>
        <v/>
      </c>
      <c r="J327" s="55">
        <f>IF(C327="","",ROUND(C327*IF(IFERROR(INDEX('SETTINGS'!$K$5:$K$24,MATCH(E327,'SETTINGS'!$J$5:$J$24,0)),"No")="Yes",FeePct,0),2))</f>
        <v/>
      </c>
      <c r="K327" s="51">
        <f>IF(A327="","",DATE(YEAR(A327),MONTH(A327),1))</f>
        <v/>
      </c>
    </row>
    <row r="328">
      <c r="A328" s="47" t="n"/>
      <c r="B328" s="38" t="n"/>
      <c r="C328" s="48" t="n"/>
      <c r="D328" s="48" t="n"/>
      <c r="E328" s="38" t="n"/>
      <c r="F328" s="38" t="n"/>
      <c r="G328" s="38" t="n"/>
      <c r="H328" s="49">
        <f>IF(B328="","",IFERROR(INDEX('JOBS'!$D$5:$D$1504,MATCH(B328,'JOBS'!$A$5:$A$1504,0)),"Job ID not found"))</f>
        <v/>
      </c>
      <c r="I328" s="49">
        <f>IF(B328="","",IFERROR(INDEX('JOBS'!$F$5:$F$1504,MATCH(B328,'JOBS'!$A$5:$A$1504,0)),""))</f>
        <v/>
      </c>
      <c r="J328" s="55">
        <f>IF(C328="","",ROUND(C328*IF(IFERROR(INDEX('SETTINGS'!$K$5:$K$24,MATCH(E328,'SETTINGS'!$J$5:$J$24,0)),"No")="Yes",FeePct,0),2))</f>
        <v/>
      </c>
      <c r="K328" s="51">
        <f>IF(A328="","",DATE(YEAR(A328),MONTH(A328),1))</f>
        <v/>
      </c>
    </row>
    <row r="329">
      <c r="A329" s="47" t="n"/>
      <c r="B329" s="38" t="n"/>
      <c r="C329" s="48" t="n"/>
      <c r="D329" s="48" t="n"/>
      <c r="E329" s="38" t="n"/>
      <c r="F329" s="38" t="n"/>
      <c r="G329" s="38" t="n"/>
      <c r="H329" s="49">
        <f>IF(B329="","",IFERROR(INDEX('JOBS'!$D$5:$D$1504,MATCH(B329,'JOBS'!$A$5:$A$1504,0)),"Job ID not found"))</f>
        <v/>
      </c>
      <c r="I329" s="49">
        <f>IF(B329="","",IFERROR(INDEX('JOBS'!$F$5:$F$1504,MATCH(B329,'JOBS'!$A$5:$A$1504,0)),""))</f>
        <v/>
      </c>
      <c r="J329" s="55">
        <f>IF(C329="","",ROUND(C329*IF(IFERROR(INDEX('SETTINGS'!$K$5:$K$24,MATCH(E329,'SETTINGS'!$J$5:$J$24,0)),"No")="Yes",FeePct,0),2))</f>
        <v/>
      </c>
      <c r="K329" s="51">
        <f>IF(A329="","",DATE(YEAR(A329),MONTH(A329),1))</f>
        <v/>
      </c>
    </row>
    <row r="330">
      <c r="A330" s="47" t="n"/>
      <c r="B330" s="38" t="n"/>
      <c r="C330" s="48" t="n"/>
      <c r="D330" s="48" t="n"/>
      <c r="E330" s="38" t="n"/>
      <c r="F330" s="38" t="n"/>
      <c r="G330" s="38" t="n"/>
      <c r="H330" s="49">
        <f>IF(B330="","",IFERROR(INDEX('JOBS'!$D$5:$D$1504,MATCH(B330,'JOBS'!$A$5:$A$1504,0)),"Job ID not found"))</f>
        <v/>
      </c>
      <c r="I330" s="49">
        <f>IF(B330="","",IFERROR(INDEX('JOBS'!$F$5:$F$1504,MATCH(B330,'JOBS'!$A$5:$A$1504,0)),""))</f>
        <v/>
      </c>
      <c r="J330" s="55">
        <f>IF(C330="","",ROUND(C330*IF(IFERROR(INDEX('SETTINGS'!$K$5:$K$24,MATCH(E330,'SETTINGS'!$J$5:$J$24,0)),"No")="Yes",FeePct,0),2))</f>
        <v/>
      </c>
      <c r="K330" s="51">
        <f>IF(A330="","",DATE(YEAR(A330),MONTH(A330),1))</f>
        <v/>
      </c>
    </row>
    <row r="331">
      <c r="A331" s="47" t="n"/>
      <c r="B331" s="38" t="n"/>
      <c r="C331" s="48" t="n"/>
      <c r="D331" s="48" t="n"/>
      <c r="E331" s="38" t="n"/>
      <c r="F331" s="38" t="n"/>
      <c r="G331" s="38" t="n"/>
      <c r="H331" s="49">
        <f>IF(B331="","",IFERROR(INDEX('JOBS'!$D$5:$D$1504,MATCH(B331,'JOBS'!$A$5:$A$1504,0)),"Job ID not found"))</f>
        <v/>
      </c>
      <c r="I331" s="49">
        <f>IF(B331="","",IFERROR(INDEX('JOBS'!$F$5:$F$1504,MATCH(B331,'JOBS'!$A$5:$A$1504,0)),""))</f>
        <v/>
      </c>
      <c r="J331" s="55">
        <f>IF(C331="","",ROUND(C331*IF(IFERROR(INDEX('SETTINGS'!$K$5:$K$24,MATCH(E331,'SETTINGS'!$J$5:$J$24,0)),"No")="Yes",FeePct,0),2))</f>
        <v/>
      </c>
      <c r="K331" s="51">
        <f>IF(A331="","",DATE(YEAR(A331),MONTH(A331),1))</f>
        <v/>
      </c>
    </row>
    <row r="332">
      <c r="A332" s="47" t="n"/>
      <c r="B332" s="38" t="n"/>
      <c r="C332" s="48" t="n"/>
      <c r="D332" s="48" t="n"/>
      <c r="E332" s="38" t="n"/>
      <c r="F332" s="38" t="n"/>
      <c r="G332" s="38" t="n"/>
      <c r="H332" s="49">
        <f>IF(B332="","",IFERROR(INDEX('JOBS'!$D$5:$D$1504,MATCH(B332,'JOBS'!$A$5:$A$1504,0)),"Job ID not found"))</f>
        <v/>
      </c>
      <c r="I332" s="49">
        <f>IF(B332="","",IFERROR(INDEX('JOBS'!$F$5:$F$1504,MATCH(B332,'JOBS'!$A$5:$A$1504,0)),""))</f>
        <v/>
      </c>
      <c r="J332" s="55">
        <f>IF(C332="","",ROUND(C332*IF(IFERROR(INDEX('SETTINGS'!$K$5:$K$24,MATCH(E332,'SETTINGS'!$J$5:$J$24,0)),"No")="Yes",FeePct,0),2))</f>
        <v/>
      </c>
      <c r="K332" s="51">
        <f>IF(A332="","",DATE(YEAR(A332),MONTH(A332),1))</f>
        <v/>
      </c>
    </row>
    <row r="333">
      <c r="A333" s="47" t="n"/>
      <c r="B333" s="38" t="n"/>
      <c r="C333" s="48" t="n"/>
      <c r="D333" s="48" t="n"/>
      <c r="E333" s="38" t="n"/>
      <c r="F333" s="38" t="n"/>
      <c r="G333" s="38" t="n"/>
      <c r="H333" s="49">
        <f>IF(B333="","",IFERROR(INDEX('JOBS'!$D$5:$D$1504,MATCH(B333,'JOBS'!$A$5:$A$1504,0)),"Job ID not found"))</f>
        <v/>
      </c>
      <c r="I333" s="49">
        <f>IF(B333="","",IFERROR(INDEX('JOBS'!$F$5:$F$1504,MATCH(B333,'JOBS'!$A$5:$A$1504,0)),""))</f>
        <v/>
      </c>
      <c r="J333" s="55">
        <f>IF(C333="","",ROUND(C333*IF(IFERROR(INDEX('SETTINGS'!$K$5:$K$24,MATCH(E333,'SETTINGS'!$J$5:$J$24,0)),"No")="Yes",FeePct,0),2))</f>
        <v/>
      </c>
      <c r="K333" s="51">
        <f>IF(A333="","",DATE(YEAR(A333),MONTH(A333),1))</f>
        <v/>
      </c>
    </row>
    <row r="334">
      <c r="A334" s="47" t="n"/>
      <c r="B334" s="38" t="n"/>
      <c r="C334" s="48" t="n"/>
      <c r="D334" s="48" t="n"/>
      <c r="E334" s="38" t="n"/>
      <c r="F334" s="38" t="n"/>
      <c r="G334" s="38" t="n"/>
      <c r="H334" s="49">
        <f>IF(B334="","",IFERROR(INDEX('JOBS'!$D$5:$D$1504,MATCH(B334,'JOBS'!$A$5:$A$1504,0)),"Job ID not found"))</f>
        <v/>
      </c>
      <c r="I334" s="49">
        <f>IF(B334="","",IFERROR(INDEX('JOBS'!$F$5:$F$1504,MATCH(B334,'JOBS'!$A$5:$A$1504,0)),""))</f>
        <v/>
      </c>
      <c r="J334" s="55">
        <f>IF(C334="","",ROUND(C334*IF(IFERROR(INDEX('SETTINGS'!$K$5:$K$24,MATCH(E334,'SETTINGS'!$J$5:$J$24,0)),"No")="Yes",FeePct,0),2))</f>
        <v/>
      </c>
      <c r="K334" s="51">
        <f>IF(A334="","",DATE(YEAR(A334),MONTH(A334),1))</f>
        <v/>
      </c>
    </row>
    <row r="335">
      <c r="A335" s="47" t="n"/>
      <c r="B335" s="38" t="n"/>
      <c r="C335" s="48" t="n"/>
      <c r="D335" s="48" t="n"/>
      <c r="E335" s="38" t="n"/>
      <c r="F335" s="38" t="n"/>
      <c r="G335" s="38" t="n"/>
      <c r="H335" s="49">
        <f>IF(B335="","",IFERROR(INDEX('JOBS'!$D$5:$D$1504,MATCH(B335,'JOBS'!$A$5:$A$1504,0)),"Job ID not found"))</f>
        <v/>
      </c>
      <c r="I335" s="49">
        <f>IF(B335="","",IFERROR(INDEX('JOBS'!$F$5:$F$1504,MATCH(B335,'JOBS'!$A$5:$A$1504,0)),""))</f>
        <v/>
      </c>
      <c r="J335" s="55">
        <f>IF(C335="","",ROUND(C335*IF(IFERROR(INDEX('SETTINGS'!$K$5:$K$24,MATCH(E335,'SETTINGS'!$J$5:$J$24,0)),"No")="Yes",FeePct,0),2))</f>
        <v/>
      </c>
      <c r="K335" s="51">
        <f>IF(A335="","",DATE(YEAR(A335),MONTH(A335),1))</f>
        <v/>
      </c>
    </row>
    <row r="336">
      <c r="A336" s="47" t="n"/>
      <c r="B336" s="38" t="n"/>
      <c r="C336" s="48" t="n"/>
      <c r="D336" s="48" t="n"/>
      <c r="E336" s="38" t="n"/>
      <c r="F336" s="38" t="n"/>
      <c r="G336" s="38" t="n"/>
      <c r="H336" s="49">
        <f>IF(B336="","",IFERROR(INDEX('JOBS'!$D$5:$D$1504,MATCH(B336,'JOBS'!$A$5:$A$1504,0)),"Job ID not found"))</f>
        <v/>
      </c>
      <c r="I336" s="49">
        <f>IF(B336="","",IFERROR(INDEX('JOBS'!$F$5:$F$1504,MATCH(B336,'JOBS'!$A$5:$A$1504,0)),""))</f>
        <v/>
      </c>
      <c r="J336" s="55">
        <f>IF(C336="","",ROUND(C336*IF(IFERROR(INDEX('SETTINGS'!$K$5:$K$24,MATCH(E336,'SETTINGS'!$J$5:$J$24,0)),"No")="Yes",FeePct,0),2))</f>
        <v/>
      </c>
      <c r="K336" s="51">
        <f>IF(A336="","",DATE(YEAR(A336),MONTH(A336),1))</f>
        <v/>
      </c>
    </row>
    <row r="337">
      <c r="A337" s="47" t="n"/>
      <c r="B337" s="38" t="n"/>
      <c r="C337" s="48" t="n"/>
      <c r="D337" s="48" t="n"/>
      <c r="E337" s="38" t="n"/>
      <c r="F337" s="38" t="n"/>
      <c r="G337" s="38" t="n"/>
      <c r="H337" s="49">
        <f>IF(B337="","",IFERROR(INDEX('JOBS'!$D$5:$D$1504,MATCH(B337,'JOBS'!$A$5:$A$1504,0)),"Job ID not found"))</f>
        <v/>
      </c>
      <c r="I337" s="49">
        <f>IF(B337="","",IFERROR(INDEX('JOBS'!$F$5:$F$1504,MATCH(B337,'JOBS'!$A$5:$A$1504,0)),""))</f>
        <v/>
      </c>
      <c r="J337" s="55">
        <f>IF(C337="","",ROUND(C337*IF(IFERROR(INDEX('SETTINGS'!$K$5:$K$24,MATCH(E337,'SETTINGS'!$J$5:$J$24,0)),"No")="Yes",FeePct,0),2))</f>
        <v/>
      </c>
      <c r="K337" s="51">
        <f>IF(A337="","",DATE(YEAR(A337),MONTH(A337),1))</f>
        <v/>
      </c>
    </row>
    <row r="338">
      <c r="A338" s="47" t="n"/>
      <c r="B338" s="38" t="n"/>
      <c r="C338" s="48" t="n"/>
      <c r="D338" s="48" t="n"/>
      <c r="E338" s="38" t="n"/>
      <c r="F338" s="38" t="n"/>
      <c r="G338" s="38" t="n"/>
      <c r="H338" s="49">
        <f>IF(B338="","",IFERROR(INDEX('JOBS'!$D$5:$D$1504,MATCH(B338,'JOBS'!$A$5:$A$1504,0)),"Job ID not found"))</f>
        <v/>
      </c>
      <c r="I338" s="49">
        <f>IF(B338="","",IFERROR(INDEX('JOBS'!$F$5:$F$1504,MATCH(B338,'JOBS'!$A$5:$A$1504,0)),""))</f>
        <v/>
      </c>
      <c r="J338" s="55">
        <f>IF(C338="","",ROUND(C338*IF(IFERROR(INDEX('SETTINGS'!$K$5:$K$24,MATCH(E338,'SETTINGS'!$J$5:$J$24,0)),"No")="Yes",FeePct,0),2))</f>
        <v/>
      </c>
      <c r="K338" s="51">
        <f>IF(A338="","",DATE(YEAR(A338),MONTH(A338),1))</f>
        <v/>
      </c>
    </row>
    <row r="339">
      <c r="A339" s="47" t="n"/>
      <c r="B339" s="38" t="n"/>
      <c r="C339" s="48" t="n"/>
      <c r="D339" s="48" t="n"/>
      <c r="E339" s="38" t="n"/>
      <c r="F339" s="38" t="n"/>
      <c r="G339" s="38" t="n"/>
      <c r="H339" s="49">
        <f>IF(B339="","",IFERROR(INDEX('JOBS'!$D$5:$D$1504,MATCH(B339,'JOBS'!$A$5:$A$1504,0)),"Job ID not found"))</f>
        <v/>
      </c>
      <c r="I339" s="49">
        <f>IF(B339="","",IFERROR(INDEX('JOBS'!$F$5:$F$1504,MATCH(B339,'JOBS'!$A$5:$A$1504,0)),""))</f>
        <v/>
      </c>
      <c r="J339" s="55">
        <f>IF(C339="","",ROUND(C339*IF(IFERROR(INDEX('SETTINGS'!$K$5:$K$24,MATCH(E339,'SETTINGS'!$J$5:$J$24,0)),"No")="Yes",FeePct,0),2))</f>
        <v/>
      </c>
      <c r="K339" s="51">
        <f>IF(A339="","",DATE(YEAR(A339),MONTH(A339),1))</f>
        <v/>
      </c>
    </row>
    <row r="340">
      <c r="A340" s="47" t="n"/>
      <c r="B340" s="38" t="n"/>
      <c r="C340" s="48" t="n"/>
      <c r="D340" s="48" t="n"/>
      <c r="E340" s="38" t="n"/>
      <c r="F340" s="38" t="n"/>
      <c r="G340" s="38" t="n"/>
      <c r="H340" s="49">
        <f>IF(B340="","",IFERROR(INDEX('JOBS'!$D$5:$D$1504,MATCH(B340,'JOBS'!$A$5:$A$1504,0)),"Job ID not found"))</f>
        <v/>
      </c>
      <c r="I340" s="49">
        <f>IF(B340="","",IFERROR(INDEX('JOBS'!$F$5:$F$1504,MATCH(B340,'JOBS'!$A$5:$A$1504,0)),""))</f>
        <v/>
      </c>
      <c r="J340" s="55">
        <f>IF(C340="","",ROUND(C340*IF(IFERROR(INDEX('SETTINGS'!$K$5:$K$24,MATCH(E340,'SETTINGS'!$J$5:$J$24,0)),"No")="Yes",FeePct,0),2))</f>
        <v/>
      </c>
      <c r="K340" s="51">
        <f>IF(A340="","",DATE(YEAR(A340),MONTH(A340),1))</f>
        <v/>
      </c>
    </row>
    <row r="341">
      <c r="A341" s="47" t="n"/>
      <c r="B341" s="38" t="n"/>
      <c r="C341" s="48" t="n"/>
      <c r="D341" s="48" t="n"/>
      <c r="E341" s="38" t="n"/>
      <c r="F341" s="38" t="n"/>
      <c r="G341" s="38" t="n"/>
      <c r="H341" s="49">
        <f>IF(B341="","",IFERROR(INDEX('JOBS'!$D$5:$D$1504,MATCH(B341,'JOBS'!$A$5:$A$1504,0)),"Job ID not found"))</f>
        <v/>
      </c>
      <c r="I341" s="49">
        <f>IF(B341="","",IFERROR(INDEX('JOBS'!$F$5:$F$1504,MATCH(B341,'JOBS'!$A$5:$A$1504,0)),""))</f>
        <v/>
      </c>
      <c r="J341" s="55">
        <f>IF(C341="","",ROUND(C341*IF(IFERROR(INDEX('SETTINGS'!$K$5:$K$24,MATCH(E341,'SETTINGS'!$J$5:$J$24,0)),"No")="Yes",FeePct,0),2))</f>
        <v/>
      </c>
      <c r="K341" s="51">
        <f>IF(A341="","",DATE(YEAR(A341),MONTH(A341),1))</f>
        <v/>
      </c>
    </row>
    <row r="342">
      <c r="A342" s="47" t="n"/>
      <c r="B342" s="38" t="n"/>
      <c r="C342" s="48" t="n"/>
      <c r="D342" s="48" t="n"/>
      <c r="E342" s="38" t="n"/>
      <c r="F342" s="38" t="n"/>
      <c r="G342" s="38" t="n"/>
      <c r="H342" s="49">
        <f>IF(B342="","",IFERROR(INDEX('JOBS'!$D$5:$D$1504,MATCH(B342,'JOBS'!$A$5:$A$1504,0)),"Job ID not found"))</f>
        <v/>
      </c>
      <c r="I342" s="49">
        <f>IF(B342="","",IFERROR(INDEX('JOBS'!$F$5:$F$1504,MATCH(B342,'JOBS'!$A$5:$A$1504,0)),""))</f>
        <v/>
      </c>
      <c r="J342" s="55">
        <f>IF(C342="","",ROUND(C342*IF(IFERROR(INDEX('SETTINGS'!$K$5:$K$24,MATCH(E342,'SETTINGS'!$J$5:$J$24,0)),"No")="Yes",FeePct,0),2))</f>
        <v/>
      </c>
      <c r="K342" s="51">
        <f>IF(A342="","",DATE(YEAR(A342),MONTH(A342),1))</f>
        <v/>
      </c>
    </row>
    <row r="343">
      <c r="A343" s="47" t="n"/>
      <c r="B343" s="38" t="n"/>
      <c r="C343" s="48" t="n"/>
      <c r="D343" s="48" t="n"/>
      <c r="E343" s="38" t="n"/>
      <c r="F343" s="38" t="n"/>
      <c r="G343" s="38" t="n"/>
      <c r="H343" s="49">
        <f>IF(B343="","",IFERROR(INDEX('JOBS'!$D$5:$D$1504,MATCH(B343,'JOBS'!$A$5:$A$1504,0)),"Job ID not found"))</f>
        <v/>
      </c>
      <c r="I343" s="49">
        <f>IF(B343="","",IFERROR(INDEX('JOBS'!$F$5:$F$1504,MATCH(B343,'JOBS'!$A$5:$A$1504,0)),""))</f>
        <v/>
      </c>
      <c r="J343" s="55">
        <f>IF(C343="","",ROUND(C343*IF(IFERROR(INDEX('SETTINGS'!$K$5:$K$24,MATCH(E343,'SETTINGS'!$J$5:$J$24,0)),"No")="Yes",FeePct,0),2))</f>
        <v/>
      </c>
      <c r="K343" s="51">
        <f>IF(A343="","",DATE(YEAR(A343),MONTH(A343),1))</f>
        <v/>
      </c>
    </row>
    <row r="344">
      <c r="A344" s="47" t="n"/>
      <c r="B344" s="38" t="n"/>
      <c r="C344" s="48" t="n"/>
      <c r="D344" s="48" t="n"/>
      <c r="E344" s="38" t="n"/>
      <c r="F344" s="38" t="n"/>
      <c r="G344" s="38" t="n"/>
      <c r="H344" s="49">
        <f>IF(B344="","",IFERROR(INDEX('JOBS'!$D$5:$D$1504,MATCH(B344,'JOBS'!$A$5:$A$1504,0)),"Job ID not found"))</f>
        <v/>
      </c>
      <c r="I344" s="49">
        <f>IF(B344="","",IFERROR(INDEX('JOBS'!$F$5:$F$1504,MATCH(B344,'JOBS'!$A$5:$A$1504,0)),""))</f>
        <v/>
      </c>
      <c r="J344" s="55">
        <f>IF(C344="","",ROUND(C344*IF(IFERROR(INDEX('SETTINGS'!$K$5:$K$24,MATCH(E344,'SETTINGS'!$J$5:$J$24,0)),"No")="Yes",FeePct,0),2))</f>
        <v/>
      </c>
      <c r="K344" s="51">
        <f>IF(A344="","",DATE(YEAR(A344),MONTH(A344),1))</f>
        <v/>
      </c>
    </row>
    <row r="345">
      <c r="A345" s="47" t="n"/>
      <c r="B345" s="38" t="n"/>
      <c r="C345" s="48" t="n"/>
      <c r="D345" s="48" t="n"/>
      <c r="E345" s="38" t="n"/>
      <c r="F345" s="38" t="n"/>
      <c r="G345" s="38" t="n"/>
      <c r="H345" s="49">
        <f>IF(B345="","",IFERROR(INDEX('JOBS'!$D$5:$D$1504,MATCH(B345,'JOBS'!$A$5:$A$1504,0)),"Job ID not found"))</f>
        <v/>
      </c>
      <c r="I345" s="49">
        <f>IF(B345="","",IFERROR(INDEX('JOBS'!$F$5:$F$1504,MATCH(B345,'JOBS'!$A$5:$A$1504,0)),""))</f>
        <v/>
      </c>
      <c r="J345" s="55">
        <f>IF(C345="","",ROUND(C345*IF(IFERROR(INDEX('SETTINGS'!$K$5:$K$24,MATCH(E345,'SETTINGS'!$J$5:$J$24,0)),"No")="Yes",FeePct,0),2))</f>
        <v/>
      </c>
      <c r="K345" s="51">
        <f>IF(A345="","",DATE(YEAR(A345),MONTH(A345),1))</f>
        <v/>
      </c>
    </row>
    <row r="346">
      <c r="A346" s="47" t="n"/>
      <c r="B346" s="38" t="n"/>
      <c r="C346" s="48" t="n"/>
      <c r="D346" s="48" t="n"/>
      <c r="E346" s="38" t="n"/>
      <c r="F346" s="38" t="n"/>
      <c r="G346" s="38" t="n"/>
      <c r="H346" s="49">
        <f>IF(B346="","",IFERROR(INDEX('JOBS'!$D$5:$D$1504,MATCH(B346,'JOBS'!$A$5:$A$1504,0)),"Job ID not found"))</f>
        <v/>
      </c>
      <c r="I346" s="49">
        <f>IF(B346="","",IFERROR(INDEX('JOBS'!$F$5:$F$1504,MATCH(B346,'JOBS'!$A$5:$A$1504,0)),""))</f>
        <v/>
      </c>
      <c r="J346" s="55">
        <f>IF(C346="","",ROUND(C346*IF(IFERROR(INDEX('SETTINGS'!$K$5:$K$24,MATCH(E346,'SETTINGS'!$J$5:$J$24,0)),"No")="Yes",FeePct,0),2))</f>
        <v/>
      </c>
      <c r="K346" s="51">
        <f>IF(A346="","",DATE(YEAR(A346),MONTH(A346),1))</f>
        <v/>
      </c>
    </row>
    <row r="347">
      <c r="A347" s="47" t="n"/>
      <c r="B347" s="38" t="n"/>
      <c r="C347" s="48" t="n"/>
      <c r="D347" s="48" t="n"/>
      <c r="E347" s="38" t="n"/>
      <c r="F347" s="38" t="n"/>
      <c r="G347" s="38" t="n"/>
      <c r="H347" s="49">
        <f>IF(B347="","",IFERROR(INDEX('JOBS'!$D$5:$D$1504,MATCH(B347,'JOBS'!$A$5:$A$1504,0)),"Job ID not found"))</f>
        <v/>
      </c>
      <c r="I347" s="49">
        <f>IF(B347="","",IFERROR(INDEX('JOBS'!$F$5:$F$1504,MATCH(B347,'JOBS'!$A$5:$A$1504,0)),""))</f>
        <v/>
      </c>
      <c r="J347" s="55">
        <f>IF(C347="","",ROUND(C347*IF(IFERROR(INDEX('SETTINGS'!$K$5:$K$24,MATCH(E347,'SETTINGS'!$J$5:$J$24,0)),"No")="Yes",FeePct,0),2))</f>
        <v/>
      </c>
      <c r="K347" s="51">
        <f>IF(A347="","",DATE(YEAR(A347),MONTH(A347),1))</f>
        <v/>
      </c>
    </row>
    <row r="348">
      <c r="A348" s="47" t="n"/>
      <c r="B348" s="38" t="n"/>
      <c r="C348" s="48" t="n"/>
      <c r="D348" s="48" t="n"/>
      <c r="E348" s="38" t="n"/>
      <c r="F348" s="38" t="n"/>
      <c r="G348" s="38" t="n"/>
      <c r="H348" s="49">
        <f>IF(B348="","",IFERROR(INDEX('JOBS'!$D$5:$D$1504,MATCH(B348,'JOBS'!$A$5:$A$1504,0)),"Job ID not found"))</f>
        <v/>
      </c>
      <c r="I348" s="49">
        <f>IF(B348="","",IFERROR(INDEX('JOBS'!$F$5:$F$1504,MATCH(B348,'JOBS'!$A$5:$A$1504,0)),""))</f>
        <v/>
      </c>
      <c r="J348" s="55">
        <f>IF(C348="","",ROUND(C348*IF(IFERROR(INDEX('SETTINGS'!$K$5:$K$24,MATCH(E348,'SETTINGS'!$J$5:$J$24,0)),"No")="Yes",FeePct,0),2))</f>
        <v/>
      </c>
      <c r="K348" s="51">
        <f>IF(A348="","",DATE(YEAR(A348),MONTH(A348),1))</f>
        <v/>
      </c>
    </row>
    <row r="349">
      <c r="A349" s="47" t="n"/>
      <c r="B349" s="38" t="n"/>
      <c r="C349" s="48" t="n"/>
      <c r="D349" s="48" t="n"/>
      <c r="E349" s="38" t="n"/>
      <c r="F349" s="38" t="n"/>
      <c r="G349" s="38" t="n"/>
      <c r="H349" s="49">
        <f>IF(B349="","",IFERROR(INDEX('JOBS'!$D$5:$D$1504,MATCH(B349,'JOBS'!$A$5:$A$1504,0)),"Job ID not found"))</f>
        <v/>
      </c>
      <c r="I349" s="49">
        <f>IF(B349="","",IFERROR(INDEX('JOBS'!$F$5:$F$1504,MATCH(B349,'JOBS'!$A$5:$A$1504,0)),""))</f>
        <v/>
      </c>
      <c r="J349" s="55">
        <f>IF(C349="","",ROUND(C349*IF(IFERROR(INDEX('SETTINGS'!$K$5:$K$24,MATCH(E349,'SETTINGS'!$J$5:$J$24,0)),"No")="Yes",FeePct,0),2))</f>
        <v/>
      </c>
      <c r="K349" s="51">
        <f>IF(A349="","",DATE(YEAR(A349),MONTH(A349),1))</f>
        <v/>
      </c>
    </row>
    <row r="350">
      <c r="A350" s="47" t="n"/>
      <c r="B350" s="38" t="n"/>
      <c r="C350" s="48" t="n"/>
      <c r="D350" s="48" t="n"/>
      <c r="E350" s="38" t="n"/>
      <c r="F350" s="38" t="n"/>
      <c r="G350" s="38" t="n"/>
      <c r="H350" s="49">
        <f>IF(B350="","",IFERROR(INDEX('JOBS'!$D$5:$D$1504,MATCH(B350,'JOBS'!$A$5:$A$1504,0)),"Job ID not found"))</f>
        <v/>
      </c>
      <c r="I350" s="49">
        <f>IF(B350="","",IFERROR(INDEX('JOBS'!$F$5:$F$1504,MATCH(B350,'JOBS'!$A$5:$A$1504,0)),""))</f>
        <v/>
      </c>
      <c r="J350" s="55">
        <f>IF(C350="","",ROUND(C350*IF(IFERROR(INDEX('SETTINGS'!$K$5:$K$24,MATCH(E350,'SETTINGS'!$J$5:$J$24,0)),"No")="Yes",FeePct,0),2))</f>
        <v/>
      </c>
      <c r="K350" s="51">
        <f>IF(A350="","",DATE(YEAR(A350),MONTH(A350),1))</f>
        <v/>
      </c>
    </row>
    <row r="351">
      <c r="A351" s="47" t="n"/>
      <c r="B351" s="38" t="n"/>
      <c r="C351" s="48" t="n"/>
      <c r="D351" s="48" t="n"/>
      <c r="E351" s="38" t="n"/>
      <c r="F351" s="38" t="n"/>
      <c r="G351" s="38" t="n"/>
      <c r="H351" s="49">
        <f>IF(B351="","",IFERROR(INDEX('JOBS'!$D$5:$D$1504,MATCH(B351,'JOBS'!$A$5:$A$1504,0)),"Job ID not found"))</f>
        <v/>
      </c>
      <c r="I351" s="49">
        <f>IF(B351="","",IFERROR(INDEX('JOBS'!$F$5:$F$1504,MATCH(B351,'JOBS'!$A$5:$A$1504,0)),""))</f>
        <v/>
      </c>
      <c r="J351" s="55">
        <f>IF(C351="","",ROUND(C351*IF(IFERROR(INDEX('SETTINGS'!$K$5:$K$24,MATCH(E351,'SETTINGS'!$J$5:$J$24,0)),"No")="Yes",FeePct,0),2))</f>
        <v/>
      </c>
      <c r="K351" s="51">
        <f>IF(A351="","",DATE(YEAR(A351),MONTH(A351),1))</f>
        <v/>
      </c>
    </row>
    <row r="352">
      <c r="A352" s="47" t="n"/>
      <c r="B352" s="38" t="n"/>
      <c r="C352" s="48" t="n"/>
      <c r="D352" s="48" t="n"/>
      <c r="E352" s="38" t="n"/>
      <c r="F352" s="38" t="n"/>
      <c r="G352" s="38" t="n"/>
      <c r="H352" s="49">
        <f>IF(B352="","",IFERROR(INDEX('JOBS'!$D$5:$D$1504,MATCH(B352,'JOBS'!$A$5:$A$1504,0)),"Job ID not found"))</f>
        <v/>
      </c>
      <c r="I352" s="49">
        <f>IF(B352="","",IFERROR(INDEX('JOBS'!$F$5:$F$1504,MATCH(B352,'JOBS'!$A$5:$A$1504,0)),""))</f>
        <v/>
      </c>
      <c r="J352" s="55">
        <f>IF(C352="","",ROUND(C352*IF(IFERROR(INDEX('SETTINGS'!$K$5:$K$24,MATCH(E352,'SETTINGS'!$J$5:$J$24,0)),"No")="Yes",FeePct,0),2))</f>
        <v/>
      </c>
      <c r="K352" s="51">
        <f>IF(A352="","",DATE(YEAR(A352),MONTH(A352),1))</f>
        <v/>
      </c>
    </row>
    <row r="353">
      <c r="A353" s="47" t="n"/>
      <c r="B353" s="38" t="n"/>
      <c r="C353" s="48" t="n"/>
      <c r="D353" s="48" t="n"/>
      <c r="E353" s="38" t="n"/>
      <c r="F353" s="38" t="n"/>
      <c r="G353" s="38" t="n"/>
      <c r="H353" s="49">
        <f>IF(B353="","",IFERROR(INDEX('JOBS'!$D$5:$D$1504,MATCH(B353,'JOBS'!$A$5:$A$1504,0)),"Job ID not found"))</f>
        <v/>
      </c>
      <c r="I353" s="49">
        <f>IF(B353="","",IFERROR(INDEX('JOBS'!$F$5:$F$1504,MATCH(B353,'JOBS'!$A$5:$A$1504,0)),""))</f>
        <v/>
      </c>
      <c r="J353" s="55">
        <f>IF(C353="","",ROUND(C353*IF(IFERROR(INDEX('SETTINGS'!$K$5:$K$24,MATCH(E353,'SETTINGS'!$J$5:$J$24,0)),"No")="Yes",FeePct,0),2))</f>
        <v/>
      </c>
      <c r="K353" s="51">
        <f>IF(A353="","",DATE(YEAR(A353),MONTH(A353),1))</f>
        <v/>
      </c>
    </row>
    <row r="354">
      <c r="A354" s="47" t="n"/>
      <c r="B354" s="38" t="n"/>
      <c r="C354" s="48" t="n"/>
      <c r="D354" s="48" t="n"/>
      <c r="E354" s="38" t="n"/>
      <c r="F354" s="38" t="n"/>
      <c r="G354" s="38" t="n"/>
      <c r="H354" s="49">
        <f>IF(B354="","",IFERROR(INDEX('JOBS'!$D$5:$D$1504,MATCH(B354,'JOBS'!$A$5:$A$1504,0)),"Job ID not found"))</f>
        <v/>
      </c>
      <c r="I354" s="49">
        <f>IF(B354="","",IFERROR(INDEX('JOBS'!$F$5:$F$1504,MATCH(B354,'JOBS'!$A$5:$A$1504,0)),""))</f>
        <v/>
      </c>
      <c r="J354" s="55">
        <f>IF(C354="","",ROUND(C354*IF(IFERROR(INDEX('SETTINGS'!$K$5:$K$24,MATCH(E354,'SETTINGS'!$J$5:$J$24,0)),"No")="Yes",FeePct,0),2))</f>
        <v/>
      </c>
      <c r="K354" s="51">
        <f>IF(A354="","",DATE(YEAR(A354),MONTH(A354),1))</f>
        <v/>
      </c>
    </row>
    <row r="355">
      <c r="A355" s="47" t="n"/>
      <c r="B355" s="38" t="n"/>
      <c r="C355" s="48" t="n"/>
      <c r="D355" s="48" t="n"/>
      <c r="E355" s="38" t="n"/>
      <c r="F355" s="38" t="n"/>
      <c r="G355" s="38" t="n"/>
      <c r="H355" s="49">
        <f>IF(B355="","",IFERROR(INDEX('JOBS'!$D$5:$D$1504,MATCH(B355,'JOBS'!$A$5:$A$1504,0)),"Job ID not found"))</f>
        <v/>
      </c>
      <c r="I355" s="49">
        <f>IF(B355="","",IFERROR(INDEX('JOBS'!$F$5:$F$1504,MATCH(B355,'JOBS'!$A$5:$A$1504,0)),""))</f>
        <v/>
      </c>
      <c r="J355" s="55">
        <f>IF(C355="","",ROUND(C355*IF(IFERROR(INDEX('SETTINGS'!$K$5:$K$24,MATCH(E355,'SETTINGS'!$J$5:$J$24,0)),"No")="Yes",FeePct,0),2))</f>
        <v/>
      </c>
      <c r="K355" s="51">
        <f>IF(A355="","",DATE(YEAR(A355),MONTH(A355),1))</f>
        <v/>
      </c>
    </row>
    <row r="356">
      <c r="A356" s="47" t="n"/>
      <c r="B356" s="38" t="n"/>
      <c r="C356" s="48" t="n"/>
      <c r="D356" s="48" t="n"/>
      <c r="E356" s="38" t="n"/>
      <c r="F356" s="38" t="n"/>
      <c r="G356" s="38" t="n"/>
      <c r="H356" s="49">
        <f>IF(B356="","",IFERROR(INDEX('JOBS'!$D$5:$D$1504,MATCH(B356,'JOBS'!$A$5:$A$1504,0)),"Job ID not found"))</f>
        <v/>
      </c>
      <c r="I356" s="49">
        <f>IF(B356="","",IFERROR(INDEX('JOBS'!$F$5:$F$1504,MATCH(B356,'JOBS'!$A$5:$A$1504,0)),""))</f>
        <v/>
      </c>
      <c r="J356" s="55">
        <f>IF(C356="","",ROUND(C356*IF(IFERROR(INDEX('SETTINGS'!$K$5:$K$24,MATCH(E356,'SETTINGS'!$J$5:$J$24,0)),"No")="Yes",FeePct,0),2))</f>
        <v/>
      </c>
      <c r="K356" s="51">
        <f>IF(A356="","",DATE(YEAR(A356),MONTH(A356),1))</f>
        <v/>
      </c>
    </row>
    <row r="357">
      <c r="A357" s="47" t="n"/>
      <c r="B357" s="38" t="n"/>
      <c r="C357" s="48" t="n"/>
      <c r="D357" s="48" t="n"/>
      <c r="E357" s="38" t="n"/>
      <c r="F357" s="38" t="n"/>
      <c r="G357" s="38" t="n"/>
      <c r="H357" s="49">
        <f>IF(B357="","",IFERROR(INDEX('JOBS'!$D$5:$D$1504,MATCH(B357,'JOBS'!$A$5:$A$1504,0)),"Job ID not found"))</f>
        <v/>
      </c>
      <c r="I357" s="49">
        <f>IF(B357="","",IFERROR(INDEX('JOBS'!$F$5:$F$1504,MATCH(B357,'JOBS'!$A$5:$A$1504,0)),""))</f>
        <v/>
      </c>
      <c r="J357" s="55">
        <f>IF(C357="","",ROUND(C357*IF(IFERROR(INDEX('SETTINGS'!$K$5:$K$24,MATCH(E357,'SETTINGS'!$J$5:$J$24,0)),"No")="Yes",FeePct,0),2))</f>
        <v/>
      </c>
      <c r="K357" s="51">
        <f>IF(A357="","",DATE(YEAR(A357),MONTH(A357),1))</f>
        <v/>
      </c>
    </row>
    <row r="358">
      <c r="A358" s="47" t="n"/>
      <c r="B358" s="38" t="n"/>
      <c r="C358" s="48" t="n"/>
      <c r="D358" s="48" t="n"/>
      <c r="E358" s="38" t="n"/>
      <c r="F358" s="38" t="n"/>
      <c r="G358" s="38" t="n"/>
      <c r="H358" s="49">
        <f>IF(B358="","",IFERROR(INDEX('JOBS'!$D$5:$D$1504,MATCH(B358,'JOBS'!$A$5:$A$1504,0)),"Job ID not found"))</f>
        <v/>
      </c>
      <c r="I358" s="49">
        <f>IF(B358="","",IFERROR(INDEX('JOBS'!$F$5:$F$1504,MATCH(B358,'JOBS'!$A$5:$A$1504,0)),""))</f>
        <v/>
      </c>
      <c r="J358" s="55">
        <f>IF(C358="","",ROUND(C358*IF(IFERROR(INDEX('SETTINGS'!$K$5:$K$24,MATCH(E358,'SETTINGS'!$J$5:$J$24,0)),"No")="Yes",FeePct,0),2))</f>
        <v/>
      </c>
      <c r="K358" s="51">
        <f>IF(A358="","",DATE(YEAR(A358),MONTH(A358),1))</f>
        <v/>
      </c>
    </row>
    <row r="359">
      <c r="A359" s="47" t="n"/>
      <c r="B359" s="38" t="n"/>
      <c r="C359" s="48" t="n"/>
      <c r="D359" s="48" t="n"/>
      <c r="E359" s="38" t="n"/>
      <c r="F359" s="38" t="n"/>
      <c r="G359" s="38" t="n"/>
      <c r="H359" s="49">
        <f>IF(B359="","",IFERROR(INDEX('JOBS'!$D$5:$D$1504,MATCH(B359,'JOBS'!$A$5:$A$1504,0)),"Job ID not found"))</f>
        <v/>
      </c>
      <c r="I359" s="49">
        <f>IF(B359="","",IFERROR(INDEX('JOBS'!$F$5:$F$1504,MATCH(B359,'JOBS'!$A$5:$A$1504,0)),""))</f>
        <v/>
      </c>
      <c r="J359" s="55">
        <f>IF(C359="","",ROUND(C359*IF(IFERROR(INDEX('SETTINGS'!$K$5:$K$24,MATCH(E359,'SETTINGS'!$J$5:$J$24,0)),"No")="Yes",FeePct,0),2))</f>
        <v/>
      </c>
      <c r="K359" s="51">
        <f>IF(A359="","",DATE(YEAR(A359),MONTH(A359),1))</f>
        <v/>
      </c>
    </row>
    <row r="360">
      <c r="A360" s="47" t="n"/>
      <c r="B360" s="38" t="n"/>
      <c r="C360" s="48" t="n"/>
      <c r="D360" s="48" t="n"/>
      <c r="E360" s="38" t="n"/>
      <c r="F360" s="38" t="n"/>
      <c r="G360" s="38" t="n"/>
      <c r="H360" s="49">
        <f>IF(B360="","",IFERROR(INDEX('JOBS'!$D$5:$D$1504,MATCH(B360,'JOBS'!$A$5:$A$1504,0)),"Job ID not found"))</f>
        <v/>
      </c>
      <c r="I360" s="49">
        <f>IF(B360="","",IFERROR(INDEX('JOBS'!$F$5:$F$1504,MATCH(B360,'JOBS'!$A$5:$A$1504,0)),""))</f>
        <v/>
      </c>
      <c r="J360" s="55">
        <f>IF(C360="","",ROUND(C360*IF(IFERROR(INDEX('SETTINGS'!$K$5:$K$24,MATCH(E360,'SETTINGS'!$J$5:$J$24,0)),"No")="Yes",FeePct,0),2))</f>
        <v/>
      </c>
      <c r="K360" s="51">
        <f>IF(A360="","",DATE(YEAR(A360),MONTH(A360),1))</f>
        <v/>
      </c>
    </row>
    <row r="361">
      <c r="A361" s="47" t="n"/>
      <c r="B361" s="38" t="n"/>
      <c r="C361" s="48" t="n"/>
      <c r="D361" s="48" t="n"/>
      <c r="E361" s="38" t="n"/>
      <c r="F361" s="38" t="n"/>
      <c r="G361" s="38" t="n"/>
      <c r="H361" s="49">
        <f>IF(B361="","",IFERROR(INDEX('JOBS'!$D$5:$D$1504,MATCH(B361,'JOBS'!$A$5:$A$1504,0)),"Job ID not found"))</f>
        <v/>
      </c>
      <c r="I361" s="49">
        <f>IF(B361="","",IFERROR(INDEX('JOBS'!$F$5:$F$1504,MATCH(B361,'JOBS'!$A$5:$A$1504,0)),""))</f>
        <v/>
      </c>
      <c r="J361" s="55">
        <f>IF(C361="","",ROUND(C361*IF(IFERROR(INDEX('SETTINGS'!$K$5:$K$24,MATCH(E361,'SETTINGS'!$J$5:$J$24,0)),"No")="Yes",FeePct,0),2))</f>
        <v/>
      </c>
      <c r="K361" s="51">
        <f>IF(A361="","",DATE(YEAR(A361),MONTH(A361),1))</f>
        <v/>
      </c>
    </row>
    <row r="362">
      <c r="A362" s="47" t="n"/>
      <c r="B362" s="38" t="n"/>
      <c r="C362" s="48" t="n"/>
      <c r="D362" s="48" t="n"/>
      <c r="E362" s="38" t="n"/>
      <c r="F362" s="38" t="n"/>
      <c r="G362" s="38" t="n"/>
      <c r="H362" s="49">
        <f>IF(B362="","",IFERROR(INDEX('JOBS'!$D$5:$D$1504,MATCH(B362,'JOBS'!$A$5:$A$1504,0)),"Job ID not found"))</f>
        <v/>
      </c>
      <c r="I362" s="49">
        <f>IF(B362="","",IFERROR(INDEX('JOBS'!$F$5:$F$1504,MATCH(B362,'JOBS'!$A$5:$A$1504,0)),""))</f>
        <v/>
      </c>
      <c r="J362" s="55">
        <f>IF(C362="","",ROUND(C362*IF(IFERROR(INDEX('SETTINGS'!$K$5:$K$24,MATCH(E362,'SETTINGS'!$J$5:$J$24,0)),"No")="Yes",FeePct,0),2))</f>
        <v/>
      </c>
      <c r="K362" s="51">
        <f>IF(A362="","",DATE(YEAR(A362),MONTH(A362),1))</f>
        <v/>
      </c>
    </row>
    <row r="363">
      <c r="A363" s="47" t="n"/>
      <c r="B363" s="38" t="n"/>
      <c r="C363" s="48" t="n"/>
      <c r="D363" s="48" t="n"/>
      <c r="E363" s="38" t="n"/>
      <c r="F363" s="38" t="n"/>
      <c r="G363" s="38" t="n"/>
      <c r="H363" s="49">
        <f>IF(B363="","",IFERROR(INDEX('JOBS'!$D$5:$D$1504,MATCH(B363,'JOBS'!$A$5:$A$1504,0)),"Job ID not found"))</f>
        <v/>
      </c>
      <c r="I363" s="49">
        <f>IF(B363="","",IFERROR(INDEX('JOBS'!$F$5:$F$1504,MATCH(B363,'JOBS'!$A$5:$A$1504,0)),""))</f>
        <v/>
      </c>
      <c r="J363" s="55">
        <f>IF(C363="","",ROUND(C363*IF(IFERROR(INDEX('SETTINGS'!$K$5:$K$24,MATCH(E363,'SETTINGS'!$J$5:$J$24,0)),"No")="Yes",FeePct,0),2))</f>
        <v/>
      </c>
      <c r="K363" s="51">
        <f>IF(A363="","",DATE(YEAR(A363),MONTH(A363),1))</f>
        <v/>
      </c>
    </row>
    <row r="364">
      <c r="A364" s="47" t="n"/>
      <c r="B364" s="38" t="n"/>
      <c r="C364" s="48" t="n"/>
      <c r="D364" s="48" t="n"/>
      <c r="E364" s="38" t="n"/>
      <c r="F364" s="38" t="n"/>
      <c r="G364" s="38" t="n"/>
      <c r="H364" s="49">
        <f>IF(B364="","",IFERROR(INDEX('JOBS'!$D$5:$D$1504,MATCH(B364,'JOBS'!$A$5:$A$1504,0)),"Job ID not found"))</f>
        <v/>
      </c>
      <c r="I364" s="49">
        <f>IF(B364="","",IFERROR(INDEX('JOBS'!$F$5:$F$1504,MATCH(B364,'JOBS'!$A$5:$A$1504,0)),""))</f>
        <v/>
      </c>
      <c r="J364" s="55">
        <f>IF(C364="","",ROUND(C364*IF(IFERROR(INDEX('SETTINGS'!$K$5:$K$24,MATCH(E364,'SETTINGS'!$J$5:$J$24,0)),"No")="Yes",FeePct,0),2))</f>
        <v/>
      </c>
      <c r="K364" s="51">
        <f>IF(A364="","",DATE(YEAR(A364),MONTH(A364),1))</f>
        <v/>
      </c>
    </row>
    <row r="365">
      <c r="A365" s="47" t="n"/>
      <c r="B365" s="38" t="n"/>
      <c r="C365" s="48" t="n"/>
      <c r="D365" s="48" t="n"/>
      <c r="E365" s="38" t="n"/>
      <c r="F365" s="38" t="n"/>
      <c r="G365" s="38" t="n"/>
      <c r="H365" s="49">
        <f>IF(B365="","",IFERROR(INDEX('JOBS'!$D$5:$D$1504,MATCH(B365,'JOBS'!$A$5:$A$1504,0)),"Job ID not found"))</f>
        <v/>
      </c>
      <c r="I365" s="49">
        <f>IF(B365="","",IFERROR(INDEX('JOBS'!$F$5:$F$1504,MATCH(B365,'JOBS'!$A$5:$A$1504,0)),""))</f>
        <v/>
      </c>
      <c r="J365" s="55">
        <f>IF(C365="","",ROUND(C365*IF(IFERROR(INDEX('SETTINGS'!$K$5:$K$24,MATCH(E365,'SETTINGS'!$J$5:$J$24,0)),"No")="Yes",FeePct,0),2))</f>
        <v/>
      </c>
      <c r="K365" s="51">
        <f>IF(A365="","",DATE(YEAR(A365),MONTH(A365),1))</f>
        <v/>
      </c>
    </row>
    <row r="366">
      <c r="A366" s="47" t="n"/>
      <c r="B366" s="38" t="n"/>
      <c r="C366" s="48" t="n"/>
      <c r="D366" s="48" t="n"/>
      <c r="E366" s="38" t="n"/>
      <c r="F366" s="38" t="n"/>
      <c r="G366" s="38" t="n"/>
      <c r="H366" s="49">
        <f>IF(B366="","",IFERROR(INDEX('JOBS'!$D$5:$D$1504,MATCH(B366,'JOBS'!$A$5:$A$1504,0)),"Job ID not found"))</f>
        <v/>
      </c>
      <c r="I366" s="49">
        <f>IF(B366="","",IFERROR(INDEX('JOBS'!$F$5:$F$1504,MATCH(B366,'JOBS'!$A$5:$A$1504,0)),""))</f>
        <v/>
      </c>
      <c r="J366" s="55">
        <f>IF(C366="","",ROUND(C366*IF(IFERROR(INDEX('SETTINGS'!$K$5:$K$24,MATCH(E366,'SETTINGS'!$J$5:$J$24,0)),"No")="Yes",FeePct,0),2))</f>
        <v/>
      </c>
      <c r="K366" s="51">
        <f>IF(A366="","",DATE(YEAR(A366),MONTH(A366),1))</f>
        <v/>
      </c>
    </row>
    <row r="367">
      <c r="A367" s="47" t="n"/>
      <c r="B367" s="38" t="n"/>
      <c r="C367" s="48" t="n"/>
      <c r="D367" s="48" t="n"/>
      <c r="E367" s="38" t="n"/>
      <c r="F367" s="38" t="n"/>
      <c r="G367" s="38" t="n"/>
      <c r="H367" s="49">
        <f>IF(B367="","",IFERROR(INDEX('JOBS'!$D$5:$D$1504,MATCH(B367,'JOBS'!$A$5:$A$1504,0)),"Job ID not found"))</f>
        <v/>
      </c>
      <c r="I367" s="49">
        <f>IF(B367="","",IFERROR(INDEX('JOBS'!$F$5:$F$1504,MATCH(B367,'JOBS'!$A$5:$A$1504,0)),""))</f>
        <v/>
      </c>
      <c r="J367" s="55">
        <f>IF(C367="","",ROUND(C367*IF(IFERROR(INDEX('SETTINGS'!$K$5:$K$24,MATCH(E367,'SETTINGS'!$J$5:$J$24,0)),"No")="Yes",FeePct,0),2))</f>
        <v/>
      </c>
      <c r="K367" s="51">
        <f>IF(A367="","",DATE(YEAR(A367),MONTH(A367),1))</f>
        <v/>
      </c>
    </row>
    <row r="368">
      <c r="A368" s="47" t="n"/>
      <c r="B368" s="38" t="n"/>
      <c r="C368" s="48" t="n"/>
      <c r="D368" s="48" t="n"/>
      <c r="E368" s="38" t="n"/>
      <c r="F368" s="38" t="n"/>
      <c r="G368" s="38" t="n"/>
      <c r="H368" s="49">
        <f>IF(B368="","",IFERROR(INDEX('JOBS'!$D$5:$D$1504,MATCH(B368,'JOBS'!$A$5:$A$1504,0)),"Job ID not found"))</f>
        <v/>
      </c>
      <c r="I368" s="49">
        <f>IF(B368="","",IFERROR(INDEX('JOBS'!$F$5:$F$1504,MATCH(B368,'JOBS'!$A$5:$A$1504,0)),""))</f>
        <v/>
      </c>
      <c r="J368" s="55">
        <f>IF(C368="","",ROUND(C368*IF(IFERROR(INDEX('SETTINGS'!$K$5:$K$24,MATCH(E368,'SETTINGS'!$J$5:$J$24,0)),"No")="Yes",FeePct,0),2))</f>
        <v/>
      </c>
      <c r="K368" s="51">
        <f>IF(A368="","",DATE(YEAR(A368),MONTH(A368),1))</f>
        <v/>
      </c>
    </row>
    <row r="369">
      <c r="A369" s="47" t="n"/>
      <c r="B369" s="38" t="n"/>
      <c r="C369" s="48" t="n"/>
      <c r="D369" s="48" t="n"/>
      <c r="E369" s="38" t="n"/>
      <c r="F369" s="38" t="n"/>
      <c r="G369" s="38" t="n"/>
      <c r="H369" s="49">
        <f>IF(B369="","",IFERROR(INDEX('JOBS'!$D$5:$D$1504,MATCH(B369,'JOBS'!$A$5:$A$1504,0)),"Job ID not found"))</f>
        <v/>
      </c>
      <c r="I369" s="49">
        <f>IF(B369="","",IFERROR(INDEX('JOBS'!$F$5:$F$1504,MATCH(B369,'JOBS'!$A$5:$A$1504,0)),""))</f>
        <v/>
      </c>
      <c r="J369" s="55">
        <f>IF(C369="","",ROUND(C369*IF(IFERROR(INDEX('SETTINGS'!$K$5:$K$24,MATCH(E369,'SETTINGS'!$J$5:$J$24,0)),"No")="Yes",FeePct,0),2))</f>
        <v/>
      </c>
      <c r="K369" s="51">
        <f>IF(A369="","",DATE(YEAR(A369),MONTH(A369),1))</f>
        <v/>
      </c>
    </row>
    <row r="370">
      <c r="A370" s="47" t="n"/>
      <c r="B370" s="38" t="n"/>
      <c r="C370" s="48" t="n"/>
      <c r="D370" s="48" t="n"/>
      <c r="E370" s="38" t="n"/>
      <c r="F370" s="38" t="n"/>
      <c r="G370" s="38" t="n"/>
      <c r="H370" s="49">
        <f>IF(B370="","",IFERROR(INDEX('JOBS'!$D$5:$D$1504,MATCH(B370,'JOBS'!$A$5:$A$1504,0)),"Job ID not found"))</f>
        <v/>
      </c>
      <c r="I370" s="49">
        <f>IF(B370="","",IFERROR(INDEX('JOBS'!$F$5:$F$1504,MATCH(B370,'JOBS'!$A$5:$A$1504,0)),""))</f>
        <v/>
      </c>
      <c r="J370" s="55">
        <f>IF(C370="","",ROUND(C370*IF(IFERROR(INDEX('SETTINGS'!$K$5:$K$24,MATCH(E370,'SETTINGS'!$J$5:$J$24,0)),"No")="Yes",FeePct,0),2))</f>
        <v/>
      </c>
      <c r="K370" s="51">
        <f>IF(A370="","",DATE(YEAR(A370),MONTH(A370),1))</f>
        <v/>
      </c>
    </row>
    <row r="371">
      <c r="A371" s="47" t="n"/>
      <c r="B371" s="38" t="n"/>
      <c r="C371" s="48" t="n"/>
      <c r="D371" s="48" t="n"/>
      <c r="E371" s="38" t="n"/>
      <c r="F371" s="38" t="n"/>
      <c r="G371" s="38" t="n"/>
      <c r="H371" s="49">
        <f>IF(B371="","",IFERROR(INDEX('JOBS'!$D$5:$D$1504,MATCH(B371,'JOBS'!$A$5:$A$1504,0)),"Job ID not found"))</f>
        <v/>
      </c>
      <c r="I371" s="49">
        <f>IF(B371="","",IFERROR(INDEX('JOBS'!$F$5:$F$1504,MATCH(B371,'JOBS'!$A$5:$A$1504,0)),""))</f>
        <v/>
      </c>
      <c r="J371" s="55">
        <f>IF(C371="","",ROUND(C371*IF(IFERROR(INDEX('SETTINGS'!$K$5:$K$24,MATCH(E371,'SETTINGS'!$J$5:$J$24,0)),"No")="Yes",FeePct,0),2))</f>
        <v/>
      </c>
      <c r="K371" s="51">
        <f>IF(A371="","",DATE(YEAR(A371),MONTH(A371),1))</f>
        <v/>
      </c>
    </row>
    <row r="372">
      <c r="A372" s="47" t="n"/>
      <c r="B372" s="38" t="n"/>
      <c r="C372" s="48" t="n"/>
      <c r="D372" s="48" t="n"/>
      <c r="E372" s="38" t="n"/>
      <c r="F372" s="38" t="n"/>
      <c r="G372" s="38" t="n"/>
      <c r="H372" s="49">
        <f>IF(B372="","",IFERROR(INDEX('JOBS'!$D$5:$D$1504,MATCH(B372,'JOBS'!$A$5:$A$1504,0)),"Job ID not found"))</f>
        <v/>
      </c>
      <c r="I372" s="49">
        <f>IF(B372="","",IFERROR(INDEX('JOBS'!$F$5:$F$1504,MATCH(B372,'JOBS'!$A$5:$A$1504,0)),""))</f>
        <v/>
      </c>
      <c r="J372" s="55">
        <f>IF(C372="","",ROUND(C372*IF(IFERROR(INDEX('SETTINGS'!$K$5:$K$24,MATCH(E372,'SETTINGS'!$J$5:$J$24,0)),"No")="Yes",FeePct,0),2))</f>
        <v/>
      </c>
      <c r="K372" s="51">
        <f>IF(A372="","",DATE(YEAR(A372),MONTH(A372),1))</f>
        <v/>
      </c>
    </row>
    <row r="373">
      <c r="A373" s="47" t="n"/>
      <c r="B373" s="38" t="n"/>
      <c r="C373" s="48" t="n"/>
      <c r="D373" s="48" t="n"/>
      <c r="E373" s="38" t="n"/>
      <c r="F373" s="38" t="n"/>
      <c r="G373" s="38" t="n"/>
      <c r="H373" s="49">
        <f>IF(B373="","",IFERROR(INDEX('JOBS'!$D$5:$D$1504,MATCH(B373,'JOBS'!$A$5:$A$1504,0)),"Job ID not found"))</f>
        <v/>
      </c>
      <c r="I373" s="49">
        <f>IF(B373="","",IFERROR(INDEX('JOBS'!$F$5:$F$1504,MATCH(B373,'JOBS'!$A$5:$A$1504,0)),""))</f>
        <v/>
      </c>
      <c r="J373" s="55">
        <f>IF(C373="","",ROUND(C373*IF(IFERROR(INDEX('SETTINGS'!$K$5:$K$24,MATCH(E373,'SETTINGS'!$J$5:$J$24,0)),"No")="Yes",FeePct,0),2))</f>
        <v/>
      </c>
      <c r="K373" s="51">
        <f>IF(A373="","",DATE(YEAR(A373),MONTH(A373),1))</f>
        <v/>
      </c>
    </row>
    <row r="374">
      <c r="A374" s="47" t="n"/>
      <c r="B374" s="38" t="n"/>
      <c r="C374" s="48" t="n"/>
      <c r="D374" s="48" t="n"/>
      <c r="E374" s="38" t="n"/>
      <c r="F374" s="38" t="n"/>
      <c r="G374" s="38" t="n"/>
      <c r="H374" s="49">
        <f>IF(B374="","",IFERROR(INDEX('JOBS'!$D$5:$D$1504,MATCH(B374,'JOBS'!$A$5:$A$1504,0)),"Job ID not found"))</f>
        <v/>
      </c>
      <c r="I374" s="49">
        <f>IF(B374="","",IFERROR(INDEX('JOBS'!$F$5:$F$1504,MATCH(B374,'JOBS'!$A$5:$A$1504,0)),""))</f>
        <v/>
      </c>
      <c r="J374" s="55">
        <f>IF(C374="","",ROUND(C374*IF(IFERROR(INDEX('SETTINGS'!$K$5:$K$24,MATCH(E374,'SETTINGS'!$J$5:$J$24,0)),"No")="Yes",FeePct,0),2))</f>
        <v/>
      </c>
      <c r="K374" s="51">
        <f>IF(A374="","",DATE(YEAR(A374),MONTH(A374),1))</f>
        <v/>
      </c>
    </row>
    <row r="375">
      <c r="A375" s="47" t="n"/>
      <c r="B375" s="38" t="n"/>
      <c r="C375" s="48" t="n"/>
      <c r="D375" s="48" t="n"/>
      <c r="E375" s="38" t="n"/>
      <c r="F375" s="38" t="n"/>
      <c r="G375" s="38" t="n"/>
      <c r="H375" s="49">
        <f>IF(B375="","",IFERROR(INDEX('JOBS'!$D$5:$D$1504,MATCH(B375,'JOBS'!$A$5:$A$1504,0)),"Job ID not found"))</f>
        <v/>
      </c>
      <c r="I375" s="49">
        <f>IF(B375="","",IFERROR(INDEX('JOBS'!$F$5:$F$1504,MATCH(B375,'JOBS'!$A$5:$A$1504,0)),""))</f>
        <v/>
      </c>
      <c r="J375" s="55">
        <f>IF(C375="","",ROUND(C375*IF(IFERROR(INDEX('SETTINGS'!$K$5:$K$24,MATCH(E375,'SETTINGS'!$J$5:$J$24,0)),"No")="Yes",FeePct,0),2))</f>
        <v/>
      </c>
      <c r="K375" s="51">
        <f>IF(A375="","",DATE(YEAR(A375),MONTH(A375),1))</f>
        <v/>
      </c>
    </row>
    <row r="376">
      <c r="A376" s="47" t="n"/>
      <c r="B376" s="38" t="n"/>
      <c r="C376" s="48" t="n"/>
      <c r="D376" s="48" t="n"/>
      <c r="E376" s="38" t="n"/>
      <c r="F376" s="38" t="n"/>
      <c r="G376" s="38" t="n"/>
      <c r="H376" s="49">
        <f>IF(B376="","",IFERROR(INDEX('JOBS'!$D$5:$D$1504,MATCH(B376,'JOBS'!$A$5:$A$1504,0)),"Job ID not found"))</f>
        <v/>
      </c>
      <c r="I376" s="49">
        <f>IF(B376="","",IFERROR(INDEX('JOBS'!$F$5:$F$1504,MATCH(B376,'JOBS'!$A$5:$A$1504,0)),""))</f>
        <v/>
      </c>
      <c r="J376" s="55">
        <f>IF(C376="","",ROUND(C376*IF(IFERROR(INDEX('SETTINGS'!$K$5:$K$24,MATCH(E376,'SETTINGS'!$J$5:$J$24,0)),"No")="Yes",FeePct,0),2))</f>
        <v/>
      </c>
      <c r="K376" s="51">
        <f>IF(A376="","",DATE(YEAR(A376),MONTH(A376),1))</f>
        <v/>
      </c>
    </row>
    <row r="377">
      <c r="A377" s="47" t="n"/>
      <c r="B377" s="38" t="n"/>
      <c r="C377" s="48" t="n"/>
      <c r="D377" s="48" t="n"/>
      <c r="E377" s="38" t="n"/>
      <c r="F377" s="38" t="n"/>
      <c r="G377" s="38" t="n"/>
      <c r="H377" s="49">
        <f>IF(B377="","",IFERROR(INDEX('JOBS'!$D$5:$D$1504,MATCH(B377,'JOBS'!$A$5:$A$1504,0)),"Job ID not found"))</f>
        <v/>
      </c>
      <c r="I377" s="49">
        <f>IF(B377="","",IFERROR(INDEX('JOBS'!$F$5:$F$1504,MATCH(B377,'JOBS'!$A$5:$A$1504,0)),""))</f>
        <v/>
      </c>
      <c r="J377" s="55">
        <f>IF(C377="","",ROUND(C377*IF(IFERROR(INDEX('SETTINGS'!$K$5:$K$24,MATCH(E377,'SETTINGS'!$J$5:$J$24,0)),"No")="Yes",FeePct,0),2))</f>
        <v/>
      </c>
      <c r="K377" s="51">
        <f>IF(A377="","",DATE(YEAR(A377),MONTH(A377),1))</f>
        <v/>
      </c>
    </row>
    <row r="378">
      <c r="A378" s="47" t="n"/>
      <c r="B378" s="38" t="n"/>
      <c r="C378" s="48" t="n"/>
      <c r="D378" s="48" t="n"/>
      <c r="E378" s="38" t="n"/>
      <c r="F378" s="38" t="n"/>
      <c r="G378" s="38" t="n"/>
      <c r="H378" s="49">
        <f>IF(B378="","",IFERROR(INDEX('JOBS'!$D$5:$D$1504,MATCH(B378,'JOBS'!$A$5:$A$1504,0)),"Job ID not found"))</f>
        <v/>
      </c>
      <c r="I378" s="49">
        <f>IF(B378="","",IFERROR(INDEX('JOBS'!$F$5:$F$1504,MATCH(B378,'JOBS'!$A$5:$A$1504,0)),""))</f>
        <v/>
      </c>
      <c r="J378" s="55">
        <f>IF(C378="","",ROUND(C378*IF(IFERROR(INDEX('SETTINGS'!$K$5:$K$24,MATCH(E378,'SETTINGS'!$J$5:$J$24,0)),"No")="Yes",FeePct,0),2))</f>
        <v/>
      </c>
      <c r="K378" s="51">
        <f>IF(A378="","",DATE(YEAR(A378),MONTH(A378),1))</f>
        <v/>
      </c>
    </row>
    <row r="379">
      <c r="A379" s="47" t="n"/>
      <c r="B379" s="38" t="n"/>
      <c r="C379" s="48" t="n"/>
      <c r="D379" s="48" t="n"/>
      <c r="E379" s="38" t="n"/>
      <c r="F379" s="38" t="n"/>
      <c r="G379" s="38" t="n"/>
      <c r="H379" s="49">
        <f>IF(B379="","",IFERROR(INDEX('JOBS'!$D$5:$D$1504,MATCH(B379,'JOBS'!$A$5:$A$1504,0)),"Job ID not found"))</f>
        <v/>
      </c>
      <c r="I379" s="49">
        <f>IF(B379="","",IFERROR(INDEX('JOBS'!$F$5:$F$1504,MATCH(B379,'JOBS'!$A$5:$A$1504,0)),""))</f>
        <v/>
      </c>
      <c r="J379" s="55">
        <f>IF(C379="","",ROUND(C379*IF(IFERROR(INDEX('SETTINGS'!$K$5:$K$24,MATCH(E379,'SETTINGS'!$J$5:$J$24,0)),"No")="Yes",FeePct,0),2))</f>
        <v/>
      </c>
      <c r="K379" s="51">
        <f>IF(A379="","",DATE(YEAR(A379),MONTH(A379),1))</f>
        <v/>
      </c>
    </row>
    <row r="380">
      <c r="A380" s="47" t="n"/>
      <c r="B380" s="38" t="n"/>
      <c r="C380" s="48" t="n"/>
      <c r="D380" s="48" t="n"/>
      <c r="E380" s="38" t="n"/>
      <c r="F380" s="38" t="n"/>
      <c r="G380" s="38" t="n"/>
      <c r="H380" s="49">
        <f>IF(B380="","",IFERROR(INDEX('JOBS'!$D$5:$D$1504,MATCH(B380,'JOBS'!$A$5:$A$1504,0)),"Job ID not found"))</f>
        <v/>
      </c>
      <c r="I380" s="49">
        <f>IF(B380="","",IFERROR(INDEX('JOBS'!$F$5:$F$1504,MATCH(B380,'JOBS'!$A$5:$A$1504,0)),""))</f>
        <v/>
      </c>
      <c r="J380" s="55">
        <f>IF(C380="","",ROUND(C380*IF(IFERROR(INDEX('SETTINGS'!$K$5:$K$24,MATCH(E380,'SETTINGS'!$J$5:$J$24,0)),"No")="Yes",FeePct,0),2))</f>
        <v/>
      </c>
      <c r="K380" s="51">
        <f>IF(A380="","",DATE(YEAR(A380),MONTH(A380),1))</f>
        <v/>
      </c>
    </row>
    <row r="381">
      <c r="A381" s="47" t="n"/>
      <c r="B381" s="38" t="n"/>
      <c r="C381" s="48" t="n"/>
      <c r="D381" s="48" t="n"/>
      <c r="E381" s="38" t="n"/>
      <c r="F381" s="38" t="n"/>
      <c r="G381" s="38" t="n"/>
      <c r="H381" s="49">
        <f>IF(B381="","",IFERROR(INDEX('JOBS'!$D$5:$D$1504,MATCH(B381,'JOBS'!$A$5:$A$1504,0)),"Job ID not found"))</f>
        <v/>
      </c>
      <c r="I381" s="49">
        <f>IF(B381="","",IFERROR(INDEX('JOBS'!$F$5:$F$1504,MATCH(B381,'JOBS'!$A$5:$A$1504,0)),""))</f>
        <v/>
      </c>
      <c r="J381" s="55">
        <f>IF(C381="","",ROUND(C381*IF(IFERROR(INDEX('SETTINGS'!$K$5:$K$24,MATCH(E381,'SETTINGS'!$J$5:$J$24,0)),"No")="Yes",FeePct,0),2))</f>
        <v/>
      </c>
      <c r="K381" s="51">
        <f>IF(A381="","",DATE(YEAR(A381),MONTH(A381),1))</f>
        <v/>
      </c>
    </row>
    <row r="382">
      <c r="A382" s="47" t="n"/>
      <c r="B382" s="38" t="n"/>
      <c r="C382" s="48" t="n"/>
      <c r="D382" s="48" t="n"/>
      <c r="E382" s="38" t="n"/>
      <c r="F382" s="38" t="n"/>
      <c r="G382" s="38" t="n"/>
      <c r="H382" s="49">
        <f>IF(B382="","",IFERROR(INDEX('JOBS'!$D$5:$D$1504,MATCH(B382,'JOBS'!$A$5:$A$1504,0)),"Job ID not found"))</f>
        <v/>
      </c>
      <c r="I382" s="49">
        <f>IF(B382="","",IFERROR(INDEX('JOBS'!$F$5:$F$1504,MATCH(B382,'JOBS'!$A$5:$A$1504,0)),""))</f>
        <v/>
      </c>
      <c r="J382" s="55">
        <f>IF(C382="","",ROUND(C382*IF(IFERROR(INDEX('SETTINGS'!$K$5:$K$24,MATCH(E382,'SETTINGS'!$J$5:$J$24,0)),"No")="Yes",FeePct,0),2))</f>
        <v/>
      </c>
      <c r="K382" s="51">
        <f>IF(A382="","",DATE(YEAR(A382),MONTH(A382),1))</f>
        <v/>
      </c>
    </row>
    <row r="383">
      <c r="A383" s="47" t="n"/>
      <c r="B383" s="38" t="n"/>
      <c r="C383" s="48" t="n"/>
      <c r="D383" s="48" t="n"/>
      <c r="E383" s="38" t="n"/>
      <c r="F383" s="38" t="n"/>
      <c r="G383" s="38" t="n"/>
      <c r="H383" s="49">
        <f>IF(B383="","",IFERROR(INDEX('JOBS'!$D$5:$D$1504,MATCH(B383,'JOBS'!$A$5:$A$1504,0)),"Job ID not found"))</f>
        <v/>
      </c>
      <c r="I383" s="49">
        <f>IF(B383="","",IFERROR(INDEX('JOBS'!$F$5:$F$1504,MATCH(B383,'JOBS'!$A$5:$A$1504,0)),""))</f>
        <v/>
      </c>
      <c r="J383" s="55">
        <f>IF(C383="","",ROUND(C383*IF(IFERROR(INDEX('SETTINGS'!$K$5:$K$24,MATCH(E383,'SETTINGS'!$J$5:$J$24,0)),"No")="Yes",FeePct,0),2))</f>
        <v/>
      </c>
      <c r="K383" s="51">
        <f>IF(A383="","",DATE(YEAR(A383),MONTH(A383),1))</f>
        <v/>
      </c>
    </row>
    <row r="384">
      <c r="A384" s="47" t="n"/>
      <c r="B384" s="38" t="n"/>
      <c r="C384" s="48" t="n"/>
      <c r="D384" s="48" t="n"/>
      <c r="E384" s="38" t="n"/>
      <c r="F384" s="38" t="n"/>
      <c r="G384" s="38" t="n"/>
      <c r="H384" s="49">
        <f>IF(B384="","",IFERROR(INDEX('JOBS'!$D$5:$D$1504,MATCH(B384,'JOBS'!$A$5:$A$1504,0)),"Job ID not found"))</f>
        <v/>
      </c>
      <c r="I384" s="49">
        <f>IF(B384="","",IFERROR(INDEX('JOBS'!$F$5:$F$1504,MATCH(B384,'JOBS'!$A$5:$A$1504,0)),""))</f>
        <v/>
      </c>
      <c r="J384" s="55">
        <f>IF(C384="","",ROUND(C384*IF(IFERROR(INDEX('SETTINGS'!$K$5:$K$24,MATCH(E384,'SETTINGS'!$J$5:$J$24,0)),"No")="Yes",FeePct,0),2))</f>
        <v/>
      </c>
      <c r="K384" s="51">
        <f>IF(A384="","",DATE(YEAR(A384),MONTH(A384),1))</f>
        <v/>
      </c>
    </row>
    <row r="385">
      <c r="A385" s="47" t="n"/>
      <c r="B385" s="38" t="n"/>
      <c r="C385" s="48" t="n"/>
      <c r="D385" s="48" t="n"/>
      <c r="E385" s="38" t="n"/>
      <c r="F385" s="38" t="n"/>
      <c r="G385" s="38" t="n"/>
      <c r="H385" s="49">
        <f>IF(B385="","",IFERROR(INDEX('JOBS'!$D$5:$D$1504,MATCH(B385,'JOBS'!$A$5:$A$1504,0)),"Job ID not found"))</f>
        <v/>
      </c>
      <c r="I385" s="49">
        <f>IF(B385="","",IFERROR(INDEX('JOBS'!$F$5:$F$1504,MATCH(B385,'JOBS'!$A$5:$A$1504,0)),""))</f>
        <v/>
      </c>
      <c r="J385" s="55">
        <f>IF(C385="","",ROUND(C385*IF(IFERROR(INDEX('SETTINGS'!$K$5:$K$24,MATCH(E385,'SETTINGS'!$J$5:$J$24,0)),"No")="Yes",FeePct,0),2))</f>
        <v/>
      </c>
      <c r="K385" s="51">
        <f>IF(A385="","",DATE(YEAR(A385),MONTH(A385),1))</f>
        <v/>
      </c>
    </row>
    <row r="386">
      <c r="A386" s="47" t="n"/>
      <c r="B386" s="38" t="n"/>
      <c r="C386" s="48" t="n"/>
      <c r="D386" s="48" t="n"/>
      <c r="E386" s="38" t="n"/>
      <c r="F386" s="38" t="n"/>
      <c r="G386" s="38" t="n"/>
      <c r="H386" s="49">
        <f>IF(B386="","",IFERROR(INDEX('JOBS'!$D$5:$D$1504,MATCH(B386,'JOBS'!$A$5:$A$1504,0)),"Job ID not found"))</f>
        <v/>
      </c>
      <c r="I386" s="49">
        <f>IF(B386="","",IFERROR(INDEX('JOBS'!$F$5:$F$1504,MATCH(B386,'JOBS'!$A$5:$A$1504,0)),""))</f>
        <v/>
      </c>
      <c r="J386" s="55">
        <f>IF(C386="","",ROUND(C386*IF(IFERROR(INDEX('SETTINGS'!$K$5:$K$24,MATCH(E386,'SETTINGS'!$J$5:$J$24,0)),"No")="Yes",FeePct,0),2))</f>
        <v/>
      </c>
      <c r="K386" s="51">
        <f>IF(A386="","",DATE(YEAR(A386),MONTH(A386),1))</f>
        <v/>
      </c>
    </row>
    <row r="387">
      <c r="A387" s="47" t="n"/>
      <c r="B387" s="38" t="n"/>
      <c r="C387" s="48" t="n"/>
      <c r="D387" s="48" t="n"/>
      <c r="E387" s="38" t="n"/>
      <c r="F387" s="38" t="n"/>
      <c r="G387" s="38" t="n"/>
      <c r="H387" s="49">
        <f>IF(B387="","",IFERROR(INDEX('JOBS'!$D$5:$D$1504,MATCH(B387,'JOBS'!$A$5:$A$1504,0)),"Job ID not found"))</f>
        <v/>
      </c>
      <c r="I387" s="49">
        <f>IF(B387="","",IFERROR(INDEX('JOBS'!$F$5:$F$1504,MATCH(B387,'JOBS'!$A$5:$A$1504,0)),""))</f>
        <v/>
      </c>
      <c r="J387" s="55">
        <f>IF(C387="","",ROUND(C387*IF(IFERROR(INDEX('SETTINGS'!$K$5:$K$24,MATCH(E387,'SETTINGS'!$J$5:$J$24,0)),"No")="Yes",FeePct,0),2))</f>
        <v/>
      </c>
      <c r="K387" s="51">
        <f>IF(A387="","",DATE(YEAR(A387),MONTH(A387),1))</f>
        <v/>
      </c>
    </row>
    <row r="388">
      <c r="A388" s="47" t="n"/>
      <c r="B388" s="38" t="n"/>
      <c r="C388" s="48" t="n"/>
      <c r="D388" s="48" t="n"/>
      <c r="E388" s="38" t="n"/>
      <c r="F388" s="38" t="n"/>
      <c r="G388" s="38" t="n"/>
      <c r="H388" s="49">
        <f>IF(B388="","",IFERROR(INDEX('JOBS'!$D$5:$D$1504,MATCH(B388,'JOBS'!$A$5:$A$1504,0)),"Job ID not found"))</f>
        <v/>
      </c>
      <c r="I388" s="49">
        <f>IF(B388="","",IFERROR(INDEX('JOBS'!$F$5:$F$1504,MATCH(B388,'JOBS'!$A$5:$A$1504,0)),""))</f>
        <v/>
      </c>
      <c r="J388" s="55">
        <f>IF(C388="","",ROUND(C388*IF(IFERROR(INDEX('SETTINGS'!$K$5:$K$24,MATCH(E388,'SETTINGS'!$J$5:$J$24,0)),"No")="Yes",FeePct,0),2))</f>
        <v/>
      </c>
      <c r="K388" s="51">
        <f>IF(A388="","",DATE(YEAR(A388),MONTH(A388),1))</f>
        <v/>
      </c>
    </row>
    <row r="389">
      <c r="A389" s="47" t="n"/>
      <c r="B389" s="38" t="n"/>
      <c r="C389" s="48" t="n"/>
      <c r="D389" s="48" t="n"/>
      <c r="E389" s="38" t="n"/>
      <c r="F389" s="38" t="n"/>
      <c r="G389" s="38" t="n"/>
      <c r="H389" s="49">
        <f>IF(B389="","",IFERROR(INDEX('JOBS'!$D$5:$D$1504,MATCH(B389,'JOBS'!$A$5:$A$1504,0)),"Job ID not found"))</f>
        <v/>
      </c>
      <c r="I389" s="49">
        <f>IF(B389="","",IFERROR(INDEX('JOBS'!$F$5:$F$1504,MATCH(B389,'JOBS'!$A$5:$A$1504,0)),""))</f>
        <v/>
      </c>
      <c r="J389" s="55">
        <f>IF(C389="","",ROUND(C389*IF(IFERROR(INDEX('SETTINGS'!$K$5:$K$24,MATCH(E389,'SETTINGS'!$J$5:$J$24,0)),"No")="Yes",FeePct,0),2))</f>
        <v/>
      </c>
      <c r="K389" s="51">
        <f>IF(A389="","",DATE(YEAR(A389),MONTH(A389),1))</f>
        <v/>
      </c>
    </row>
    <row r="390">
      <c r="A390" s="47" t="n"/>
      <c r="B390" s="38" t="n"/>
      <c r="C390" s="48" t="n"/>
      <c r="D390" s="48" t="n"/>
      <c r="E390" s="38" t="n"/>
      <c r="F390" s="38" t="n"/>
      <c r="G390" s="38" t="n"/>
      <c r="H390" s="49">
        <f>IF(B390="","",IFERROR(INDEX('JOBS'!$D$5:$D$1504,MATCH(B390,'JOBS'!$A$5:$A$1504,0)),"Job ID not found"))</f>
        <v/>
      </c>
      <c r="I390" s="49">
        <f>IF(B390="","",IFERROR(INDEX('JOBS'!$F$5:$F$1504,MATCH(B390,'JOBS'!$A$5:$A$1504,0)),""))</f>
        <v/>
      </c>
      <c r="J390" s="55">
        <f>IF(C390="","",ROUND(C390*IF(IFERROR(INDEX('SETTINGS'!$K$5:$K$24,MATCH(E390,'SETTINGS'!$J$5:$J$24,0)),"No")="Yes",FeePct,0),2))</f>
        <v/>
      </c>
      <c r="K390" s="51">
        <f>IF(A390="","",DATE(YEAR(A390),MONTH(A390),1))</f>
        <v/>
      </c>
    </row>
    <row r="391">
      <c r="A391" s="47" t="n"/>
      <c r="B391" s="38" t="n"/>
      <c r="C391" s="48" t="n"/>
      <c r="D391" s="48" t="n"/>
      <c r="E391" s="38" t="n"/>
      <c r="F391" s="38" t="n"/>
      <c r="G391" s="38" t="n"/>
      <c r="H391" s="49">
        <f>IF(B391="","",IFERROR(INDEX('JOBS'!$D$5:$D$1504,MATCH(B391,'JOBS'!$A$5:$A$1504,0)),"Job ID not found"))</f>
        <v/>
      </c>
      <c r="I391" s="49">
        <f>IF(B391="","",IFERROR(INDEX('JOBS'!$F$5:$F$1504,MATCH(B391,'JOBS'!$A$5:$A$1504,0)),""))</f>
        <v/>
      </c>
      <c r="J391" s="55">
        <f>IF(C391="","",ROUND(C391*IF(IFERROR(INDEX('SETTINGS'!$K$5:$K$24,MATCH(E391,'SETTINGS'!$J$5:$J$24,0)),"No")="Yes",FeePct,0),2))</f>
        <v/>
      </c>
      <c r="K391" s="51">
        <f>IF(A391="","",DATE(YEAR(A391),MONTH(A391),1))</f>
        <v/>
      </c>
    </row>
    <row r="392">
      <c r="A392" s="47" t="n"/>
      <c r="B392" s="38" t="n"/>
      <c r="C392" s="48" t="n"/>
      <c r="D392" s="48" t="n"/>
      <c r="E392" s="38" t="n"/>
      <c r="F392" s="38" t="n"/>
      <c r="G392" s="38" t="n"/>
      <c r="H392" s="49">
        <f>IF(B392="","",IFERROR(INDEX('JOBS'!$D$5:$D$1504,MATCH(B392,'JOBS'!$A$5:$A$1504,0)),"Job ID not found"))</f>
        <v/>
      </c>
      <c r="I392" s="49">
        <f>IF(B392="","",IFERROR(INDEX('JOBS'!$F$5:$F$1504,MATCH(B392,'JOBS'!$A$5:$A$1504,0)),""))</f>
        <v/>
      </c>
      <c r="J392" s="55">
        <f>IF(C392="","",ROUND(C392*IF(IFERROR(INDEX('SETTINGS'!$K$5:$K$24,MATCH(E392,'SETTINGS'!$J$5:$J$24,0)),"No")="Yes",FeePct,0),2))</f>
        <v/>
      </c>
      <c r="K392" s="51">
        <f>IF(A392="","",DATE(YEAR(A392),MONTH(A392),1))</f>
        <v/>
      </c>
    </row>
    <row r="393">
      <c r="A393" s="47" t="n"/>
      <c r="B393" s="38" t="n"/>
      <c r="C393" s="48" t="n"/>
      <c r="D393" s="48" t="n"/>
      <c r="E393" s="38" t="n"/>
      <c r="F393" s="38" t="n"/>
      <c r="G393" s="38" t="n"/>
      <c r="H393" s="49">
        <f>IF(B393="","",IFERROR(INDEX('JOBS'!$D$5:$D$1504,MATCH(B393,'JOBS'!$A$5:$A$1504,0)),"Job ID not found"))</f>
        <v/>
      </c>
      <c r="I393" s="49">
        <f>IF(B393="","",IFERROR(INDEX('JOBS'!$F$5:$F$1504,MATCH(B393,'JOBS'!$A$5:$A$1504,0)),""))</f>
        <v/>
      </c>
      <c r="J393" s="55">
        <f>IF(C393="","",ROUND(C393*IF(IFERROR(INDEX('SETTINGS'!$K$5:$K$24,MATCH(E393,'SETTINGS'!$J$5:$J$24,0)),"No")="Yes",FeePct,0),2))</f>
        <v/>
      </c>
      <c r="K393" s="51">
        <f>IF(A393="","",DATE(YEAR(A393),MONTH(A393),1))</f>
        <v/>
      </c>
    </row>
    <row r="394">
      <c r="A394" s="47" t="n"/>
      <c r="B394" s="38" t="n"/>
      <c r="C394" s="48" t="n"/>
      <c r="D394" s="48" t="n"/>
      <c r="E394" s="38" t="n"/>
      <c r="F394" s="38" t="n"/>
      <c r="G394" s="38" t="n"/>
      <c r="H394" s="49">
        <f>IF(B394="","",IFERROR(INDEX('JOBS'!$D$5:$D$1504,MATCH(B394,'JOBS'!$A$5:$A$1504,0)),"Job ID not found"))</f>
        <v/>
      </c>
      <c r="I394" s="49">
        <f>IF(B394="","",IFERROR(INDEX('JOBS'!$F$5:$F$1504,MATCH(B394,'JOBS'!$A$5:$A$1504,0)),""))</f>
        <v/>
      </c>
      <c r="J394" s="55">
        <f>IF(C394="","",ROUND(C394*IF(IFERROR(INDEX('SETTINGS'!$K$5:$K$24,MATCH(E394,'SETTINGS'!$J$5:$J$24,0)),"No")="Yes",FeePct,0),2))</f>
        <v/>
      </c>
      <c r="K394" s="51">
        <f>IF(A394="","",DATE(YEAR(A394),MONTH(A394),1))</f>
        <v/>
      </c>
    </row>
    <row r="395">
      <c r="A395" s="47" t="n"/>
      <c r="B395" s="38" t="n"/>
      <c r="C395" s="48" t="n"/>
      <c r="D395" s="48" t="n"/>
      <c r="E395" s="38" t="n"/>
      <c r="F395" s="38" t="n"/>
      <c r="G395" s="38" t="n"/>
      <c r="H395" s="49">
        <f>IF(B395="","",IFERROR(INDEX('JOBS'!$D$5:$D$1504,MATCH(B395,'JOBS'!$A$5:$A$1504,0)),"Job ID not found"))</f>
        <v/>
      </c>
      <c r="I395" s="49">
        <f>IF(B395="","",IFERROR(INDEX('JOBS'!$F$5:$F$1504,MATCH(B395,'JOBS'!$A$5:$A$1504,0)),""))</f>
        <v/>
      </c>
      <c r="J395" s="55">
        <f>IF(C395="","",ROUND(C395*IF(IFERROR(INDEX('SETTINGS'!$K$5:$K$24,MATCH(E395,'SETTINGS'!$J$5:$J$24,0)),"No")="Yes",FeePct,0),2))</f>
        <v/>
      </c>
      <c r="K395" s="51">
        <f>IF(A395="","",DATE(YEAR(A395),MONTH(A395),1))</f>
        <v/>
      </c>
    </row>
    <row r="396">
      <c r="A396" s="47" t="n"/>
      <c r="B396" s="38" t="n"/>
      <c r="C396" s="48" t="n"/>
      <c r="D396" s="48" t="n"/>
      <c r="E396" s="38" t="n"/>
      <c r="F396" s="38" t="n"/>
      <c r="G396" s="38" t="n"/>
      <c r="H396" s="49">
        <f>IF(B396="","",IFERROR(INDEX('JOBS'!$D$5:$D$1504,MATCH(B396,'JOBS'!$A$5:$A$1504,0)),"Job ID not found"))</f>
        <v/>
      </c>
      <c r="I396" s="49">
        <f>IF(B396="","",IFERROR(INDEX('JOBS'!$F$5:$F$1504,MATCH(B396,'JOBS'!$A$5:$A$1504,0)),""))</f>
        <v/>
      </c>
      <c r="J396" s="55">
        <f>IF(C396="","",ROUND(C396*IF(IFERROR(INDEX('SETTINGS'!$K$5:$K$24,MATCH(E396,'SETTINGS'!$J$5:$J$24,0)),"No")="Yes",FeePct,0),2))</f>
        <v/>
      </c>
      <c r="K396" s="51">
        <f>IF(A396="","",DATE(YEAR(A396),MONTH(A396),1))</f>
        <v/>
      </c>
    </row>
    <row r="397">
      <c r="A397" s="47" t="n"/>
      <c r="B397" s="38" t="n"/>
      <c r="C397" s="48" t="n"/>
      <c r="D397" s="48" t="n"/>
      <c r="E397" s="38" t="n"/>
      <c r="F397" s="38" t="n"/>
      <c r="G397" s="38" t="n"/>
      <c r="H397" s="49">
        <f>IF(B397="","",IFERROR(INDEX('JOBS'!$D$5:$D$1504,MATCH(B397,'JOBS'!$A$5:$A$1504,0)),"Job ID not found"))</f>
        <v/>
      </c>
      <c r="I397" s="49">
        <f>IF(B397="","",IFERROR(INDEX('JOBS'!$F$5:$F$1504,MATCH(B397,'JOBS'!$A$5:$A$1504,0)),""))</f>
        <v/>
      </c>
      <c r="J397" s="55">
        <f>IF(C397="","",ROUND(C397*IF(IFERROR(INDEX('SETTINGS'!$K$5:$K$24,MATCH(E397,'SETTINGS'!$J$5:$J$24,0)),"No")="Yes",FeePct,0),2))</f>
        <v/>
      </c>
      <c r="K397" s="51">
        <f>IF(A397="","",DATE(YEAR(A397),MONTH(A397),1))</f>
        <v/>
      </c>
    </row>
    <row r="398">
      <c r="A398" s="47" t="n"/>
      <c r="B398" s="38" t="n"/>
      <c r="C398" s="48" t="n"/>
      <c r="D398" s="48" t="n"/>
      <c r="E398" s="38" t="n"/>
      <c r="F398" s="38" t="n"/>
      <c r="G398" s="38" t="n"/>
      <c r="H398" s="49">
        <f>IF(B398="","",IFERROR(INDEX('JOBS'!$D$5:$D$1504,MATCH(B398,'JOBS'!$A$5:$A$1504,0)),"Job ID not found"))</f>
        <v/>
      </c>
      <c r="I398" s="49">
        <f>IF(B398="","",IFERROR(INDEX('JOBS'!$F$5:$F$1504,MATCH(B398,'JOBS'!$A$5:$A$1504,0)),""))</f>
        <v/>
      </c>
      <c r="J398" s="55">
        <f>IF(C398="","",ROUND(C398*IF(IFERROR(INDEX('SETTINGS'!$K$5:$K$24,MATCH(E398,'SETTINGS'!$J$5:$J$24,0)),"No")="Yes",FeePct,0),2))</f>
        <v/>
      </c>
      <c r="K398" s="51">
        <f>IF(A398="","",DATE(YEAR(A398),MONTH(A398),1))</f>
        <v/>
      </c>
    </row>
    <row r="399">
      <c r="A399" s="47" t="n"/>
      <c r="B399" s="38" t="n"/>
      <c r="C399" s="48" t="n"/>
      <c r="D399" s="48" t="n"/>
      <c r="E399" s="38" t="n"/>
      <c r="F399" s="38" t="n"/>
      <c r="G399" s="38" t="n"/>
      <c r="H399" s="49">
        <f>IF(B399="","",IFERROR(INDEX('JOBS'!$D$5:$D$1504,MATCH(B399,'JOBS'!$A$5:$A$1504,0)),"Job ID not found"))</f>
        <v/>
      </c>
      <c r="I399" s="49">
        <f>IF(B399="","",IFERROR(INDEX('JOBS'!$F$5:$F$1504,MATCH(B399,'JOBS'!$A$5:$A$1504,0)),""))</f>
        <v/>
      </c>
      <c r="J399" s="55">
        <f>IF(C399="","",ROUND(C399*IF(IFERROR(INDEX('SETTINGS'!$K$5:$K$24,MATCH(E399,'SETTINGS'!$J$5:$J$24,0)),"No")="Yes",FeePct,0),2))</f>
        <v/>
      </c>
      <c r="K399" s="51">
        <f>IF(A399="","",DATE(YEAR(A399),MONTH(A399),1))</f>
        <v/>
      </c>
    </row>
    <row r="400">
      <c r="A400" s="47" t="n"/>
      <c r="B400" s="38" t="n"/>
      <c r="C400" s="48" t="n"/>
      <c r="D400" s="48" t="n"/>
      <c r="E400" s="38" t="n"/>
      <c r="F400" s="38" t="n"/>
      <c r="G400" s="38" t="n"/>
      <c r="H400" s="49">
        <f>IF(B400="","",IFERROR(INDEX('JOBS'!$D$5:$D$1504,MATCH(B400,'JOBS'!$A$5:$A$1504,0)),"Job ID not found"))</f>
        <v/>
      </c>
      <c r="I400" s="49">
        <f>IF(B400="","",IFERROR(INDEX('JOBS'!$F$5:$F$1504,MATCH(B400,'JOBS'!$A$5:$A$1504,0)),""))</f>
        <v/>
      </c>
      <c r="J400" s="55">
        <f>IF(C400="","",ROUND(C400*IF(IFERROR(INDEX('SETTINGS'!$K$5:$K$24,MATCH(E400,'SETTINGS'!$J$5:$J$24,0)),"No")="Yes",FeePct,0),2))</f>
        <v/>
      </c>
      <c r="K400" s="51">
        <f>IF(A400="","",DATE(YEAR(A400),MONTH(A400),1))</f>
        <v/>
      </c>
    </row>
    <row r="401">
      <c r="A401" s="47" t="n"/>
      <c r="B401" s="38" t="n"/>
      <c r="C401" s="48" t="n"/>
      <c r="D401" s="48" t="n"/>
      <c r="E401" s="38" t="n"/>
      <c r="F401" s="38" t="n"/>
      <c r="G401" s="38" t="n"/>
      <c r="H401" s="49">
        <f>IF(B401="","",IFERROR(INDEX('JOBS'!$D$5:$D$1504,MATCH(B401,'JOBS'!$A$5:$A$1504,0)),"Job ID not found"))</f>
        <v/>
      </c>
      <c r="I401" s="49">
        <f>IF(B401="","",IFERROR(INDEX('JOBS'!$F$5:$F$1504,MATCH(B401,'JOBS'!$A$5:$A$1504,0)),""))</f>
        <v/>
      </c>
      <c r="J401" s="55">
        <f>IF(C401="","",ROUND(C401*IF(IFERROR(INDEX('SETTINGS'!$K$5:$K$24,MATCH(E401,'SETTINGS'!$J$5:$J$24,0)),"No")="Yes",FeePct,0),2))</f>
        <v/>
      </c>
      <c r="K401" s="51">
        <f>IF(A401="","",DATE(YEAR(A401),MONTH(A401),1))</f>
        <v/>
      </c>
    </row>
    <row r="402">
      <c r="A402" s="47" t="n"/>
      <c r="B402" s="38" t="n"/>
      <c r="C402" s="48" t="n"/>
      <c r="D402" s="48" t="n"/>
      <c r="E402" s="38" t="n"/>
      <c r="F402" s="38" t="n"/>
      <c r="G402" s="38" t="n"/>
      <c r="H402" s="49">
        <f>IF(B402="","",IFERROR(INDEX('JOBS'!$D$5:$D$1504,MATCH(B402,'JOBS'!$A$5:$A$1504,0)),"Job ID not found"))</f>
        <v/>
      </c>
      <c r="I402" s="49">
        <f>IF(B402="","",IFERROR(INDEX('JOBS'!$F$5:$F$1504,MATCH(B402,'JOBS'!$A$5:$A$1504,0)),""))</f>
        <v/>
      </c>
      <c r="J402" s="55">
        <f>IF(C402="","",ROUND(C402*IF(IFERROR(INDEX('SETTINGS'!$K$5:$K$24,MATCH(E402,'SETTINGS'!$J$5:$J$24,0)),"No")="Yes",FeePct,0),2))</f>
        <v/>
      </c>
      <c r="K402" s="51">
        <f>IF(A402="","",DATE(YEAR(A402),MONTH(A402),1))</f>
        <v/>
      </c>
    </row>
    <row r="403">
      <c r="A403" s="47" t="n"/>
      <c r="B403" s="38" t="n"/>
      <c r="C403" s="48" t="n"/>
      <c r="D403" s="48" t="n"/>
      <c r="E403" s="38" t="n"/>
      <c r="F403" s="38" t="n"/>
      <c r="G403" s="38" t="n"/>
      <c r="H403" s="49">
        <f>IF(B403="","",IFERROR(INDEX('JOBS'!$D$5:$D$1504,MATCH(B403,'JOBS'!$A$5:$A$1504,0)),"Job ID not found"))</f>
        <v/>
      </c>
      <c r="I403" s="49">
        <f>IF(B403="","",IFERROR(INDEX('JOBS'!$F$5:$F$1504,MATCH(B403,'JOBS'!$A$5:$A$1504,0)),""))</f>
        <v/>
      </c>
      <c r="J403" s="55">
        <f>IF(C403="","",ROUND(C403*IF(IFERROR(INDEX('SETTINGS'!$K$5:$K$24,MATCH(E403,'SETTINGS'!$J$5:$J$24,0)),"No")="Yes",FeePct,0),2))</f>
        <v/>
      </c>
      <c r="K403" s="51">
        <f>IF(A403="","",DATE(YEAR(A403),MONTH(A403),1))</f>
        <v/>
      </c>
    </row>
    <row r="404">
      <c r="A404" s="47" t="n"/>
      <c r="B404" s="38" t="n"/>
      <c r="C404" s="48" t="n"/>
      <c r="D404" s="48" t="n"/>
      <c r="E404" s="38" t="n"/>
      <c r="F404" s="38" t="n"/>
      <c r="G404" s="38" t="n"/>
      <c r="H404" s="49">
        <f>IF(B404="","",IFERROR(INDEX('JOBS'!$D$5:$D$1504,MATCH(B404,'JOBS'!$A$5:$A$1504,0)),"Job ID not found"))</f>
        <v/>
      </c>
      <c r="I404" s="49">
        <f>IF(B404="","",IFERROR(INDEX('JOBS'!$F$5:$F$1504,MATCH(B404,'JOBS'!$A$5:$A$1504,0)),""))</f>
        <v/>
      </c>
      <c r="J404" s="55">
        <f>IF(C404="","",ROUND(C404*IF(IFERROR(INDEX('SETTINGS'!$K$5:$K$24,MATCH(E404,'SETTINGS'!$J$5:$J$24,0)),"No")="Yes",FeePct,0),2))</f>
        <v/>
      </c>
      <c r="K404" s="51">
        <f>IF(A404="","",DATE(YEAR(A404),MONTH(A404),1))</f>
        <v/>
      </c>
    </row>
    <row r="405">
      <c r="A405" s="47" t="n"/>
      <c r="B405" s="38" t="n"/>
      <c r="C405" s="48" t="n"/>
      <c r="D405" s="48" t="n"/>
      <c r="E405" s="38" t="n"/>
      <c r="F405" s="38" t="n"/>
      <c r="G405" s="38" t="n"/>
      <c r="H405" s="49">
        <f>IF(B405="","",IFERROR(INDEX('JOBS'!$D$5:$D$1504,MATCH(B405,'JOBS'!$A$5:$A$1504,0)),"Job ID not found"))</f>
        <v/>
      </c>
      <c r="I405" s="49">
        <f>IF(B405="","",IFERROR(INDEX('JOBS'!$F$5:$F$1504,MATCH(B405,'JOBS'!$A$5:$A$1504,0)),""))</f>
        <v/>
      </c>
      <c r="J405" s="55">
        <f>IF(C405="","",ROUND(C405*IF(IFERROR(INDEX('SETTINGS'!$K$5:$K$24,MATCH(E405,'SETTINGS'!$J$5:$J$24,0)),"No")="Yes",FeePct,0),2))</f>
        <v/>
      </c>
      <c r="K405" s="51">
        <f>IF(A405="","",DATE(YEAR(A405),MONTH(A405),1))</f>
        <v/>
      </c>
    </row>
    <row r="406">
      <c r="A406" s="47" t="n"/>
      <c r="B406" s="38" t="n"/>
      <c r="C406" s="48" t="n"/>
      <c r="D406" s="48" t="n"/>
      <c r="E406" s="38" t="n"/>
      <c r="F406" s="38" t="n"/>
      <c r="G406" s="38" t="n"/>
      <c r="H406" s="49">
        <f>IF(B406="","",IFERROR(INDEX('JOBS'!$D$5:$D$1504,MATCH(B406,'JOBS'!$A$5:$A$1504,0)),"Job ID not found"))</f>
        <v/>
      </c>
      <c r="I406" s="49">
        <f>IF(B406="","",IFERROR(INDEX('JOBS'!$F$5:$F$1504,MATCH(B406,'JOBS'!$A$5:$A$1504,0)),""))</f>
        <v/>
      </c>
      <c r="J406" s="55">
        <f>IF(C406="","",ROUND(C406*IF(IFERROR(INDEX('SETTINGS'!$K$5:$K$24,MATCH(E406,'SETTINGS'!$J$5:$J$24,0)),"No")="Yes",FeePct,0),2))</f>
        <v/>
      </c>
      <c r="K406" s="51">
        <f>IF(A406="","",DATE(YEAR(A406),MONTH(A406),1))</f>
        <v/>
      </c>
    </row>
    <row r="407">
      <c r="A407" s="47" t="n"/>
      <c r="B407" s="38" t="n"/>
      <c r="C407" s="48" t="n"/>
      <c r="D407" s="48" t="n"/>
      <c r="E407" s="38" t="n"/>
      <c r="F407" s="38" t="n"/>
      <c r="G407" s="38" t="n"/>
      <c r="H407" s="49">
        <f>IF(B407="","",IFERROR(INDEX('JOBS'!$D$5:$D$1504,MATCH(B407,'JOBS'!$A$5:$A$1504,0)),"Job ID not found"))</f>
        <v/>
      </c>
      <c r="I407" s="49">
        <f>IF(B407="","",IFERROR(INDEX('JOBS'!$F$5:$F$1504,MATCH(B407,'JOBS'!$A$5:$A$1504,0)),""))</f>
        <v/>
      </c>
      <c r="J407" s="55">
        <f>IF(C407="","",ROUND(C407*IF(IFERROR(INDEX('SETTINGS'!$K$5:$K$24,MATCH(E407,'SETTINGS'!$J$5:$J$24,0)),"No")="Yes",FeePct,0),2))</f>
        <v/>
      </c>
      <c r="K407" s="51">
        <f>IF(A407="","",DATE(YEAR(A407),MONTH(A407),1))</f>
        <v/>
      </c>
    </row>
    <row r="408">
      <c r="A408" s="47" t="n"/>
      <c r="B408" s="38" t="n"/>
      <c r="C408" s="48" t="n"/>
      <c r="D408" s="48" t="n"/>
      <c r="E408" s="38" t="n"/>
      <c r="F408" s="38" t="n"/>
      <c r="G408" s="38" t="n"/>
      <c r="H408" s="49">
        <f>IF(B408="","",IFERROR(INDEX('JOBS'!$D$5:$D$1504,MATCH(B408,'JOBS'!$A$5:$A$1504,0)),"Job ID not found"))</f>
        <v/>
      </c>
      <c r="I408" s="49">
        <f>IF(B408="","",IFERROR(INDEX('JOBS'!$F$5:$F$1504,MATCH(B408,'JOBS'!$A$5:$A$1504,0)),""))</f>
        <v/>
      </c>
      <c r="J408" s="55">
        <f>IF(C408="","",ROUND(C408*IF(IFERROR(INDEX('SETTINGS'!$K$5:$K$24,MATCH(E408,'SETTINGS'!$J$5:$J$24,0)),"No")="Yes",FeePct,0),2))</f>
        <v/>
      </c>
      <c r="K408" s="51">
        <f>IF(A408="","",DATE(YEAR(A408),MONTH(A408),1))</f>
        <v/>
      </c>
    </row>
    <row r="409">
      <c r="A409" s="47" t="n"/>
      <c r="B409" s="38" t="n"/>
      <c r="C409" s="48" t="n"/>
      <c r="D409" s="48" t="n"/>
      <c r="E409" s="38" t="n"/>
      <c r="F409" s="38" t="n"/>
      <c r="G409" s="38" t="n"/>
      <c r="H409" s="49">
        <f>IF(B409="","",IFERROR(INDEX('JOBS'!$D$5:$D$1504,MATCH(B409,'JOBS'!$A$5:$A$1504,0)),"Job ID not found"))</f>
        <v/>
      </c>
      <c r="I409" s="49">
        <f>IF(B409="","",IFERROR(INDEX('JOBS'!$F$5:$F$1504,MATCH(B409,'JOBS'!$A$5:$A$1504,0)),""))</f>
        <v/>
      </c>
      <c r="J409" s="55">
        <f>IF(C409="","",ROUND(C409*IF(IFERROR(INDEX('SETTINGS'!$K$5:$K$24,MATCH(E409,'SETTINGS'!$J$5:$J$24,0)),"No")="Yes",FeePct,0),2))</f>
        <v/>
      </c>
      <c r="K409" s="51">
        <f>IF(A409="","",DATE(YEAR(A409),MONTH(A409),1))</f>
        <v/>
      </c>
    </row>
    <row r="410">
      <c r="A410" s="47" t="n"/>
      <c r="B410" s="38" t="n"/>
      <c r="C410" s="48" t="n"/>
      <c r="D410" s="48" t="n"/>
      <c r="E410" s="38" t="n"/>
      <c r="F410" s="38" t="n"/>
      <c r="G410" s="38" t="n"/>
      <c r="H410" s="49">
        <f>IF(B410="","",IFERROR(INDEX('JOBS'!$D$5:$D$1504,MATCH(B410,'JOBS'!$A$5:$A$1504,0)),"Job ID not found"))</f>
        <v/>
      </c>
      <c r="I410" s="49">
        <f>IF(B410="","",IFERROR(INDEX('JOBS'!$F$5:$F$1504,MATCH(B410,'JOBS'!$A$5:$A$1504,0)),""))</f>
        <v/>
      </c>
      <c r="J410" s="55">
        <f>IF(C410="","",ROUND(C410*IF(IFERROR(INDEX('SETTINGS'!$K$5:$K$24,MATCH(E410,'SETTINGS'!$J$5:$J$24,0)),"No")="Yes",FeePct,0),2))</f>
        <v/>
      </c>
      <c r="K410" s="51">
        <f>IF(A410="","",DATE(YEAR(A410),MONTH(A410),1))</f>
        <v/>
      </c>
    </row>
    <row r="411">
      <c r="A411" s="47" t="n"/>
      <c r="B411" s="38" t="n"/>
      <c r="C411" s="48" t="n"/>
      <c r="D411" s="48" t="n"/>
      <c r="E411" s="38" t="n"/>
      <c r="F411" s="38" t="n"/>
      <c r="G411" s="38" t="n"/>
      <c r="H411" s="49">
        <f>IF(B411="","",IFERROR(INDEX('JOBS'!$D$5:$D$1504,MATCH(B411,'JOBS'!$A$5:$A$1504,0)),"Job ID not found"))</f>
        <v/>
      </c>
      <c r="I411" s="49">
        <f>IF(B411="","",IFERROR(INDEX('JOBS'!$F$5:$F$1504,MATCH(B411,'JOBS'!$A$5:$A$1504,0)),""))</f>
        <v/>
      </c>
      <c r="J411" s="55">
        <f>IF(C411="","",ROUND(C411*IF(IFERROR(INDEX('SETTINGS'!$K$5:$K$24,MATCH(E411,'SETTINGS'!$J$5:$J$24,0)),"No")="Yes",FeePct,0),2))</f>
        <v/>
      </c>
      <c r="K411" s="51">
        <f>IF(A411="","",DATE(YEAR(A411),MONTH(A411),1))</f>
        <v/>
      </c>
    </row>
    <row r="412">
      <c r="A412" s="47" t="n"/>
      <c r="B412" s="38" t="n"/>
      <c r="C412" s="48" t="n"/>
      <c r="D412" s="48" t="n"/>
      <c r="E412" s="38" t="n"/>
      <c r="F412" s="38" t="n"/>
      <c r="G412" s="38" t="n"/>
      <c r="H412" s="49">
        <f>IF(B412="","",IFERROR(INDEX('JOBS'!$D$5:$D$1504,MATCH(B412,'JOBS'!$A$5:$A$1504,0)),"Job ID not found"))</f>
        <v/>
      </c>
      <c r="I412" s="49">
        <f>IF(B412="","",IFERROR(INDEX('JOBS'!$F$5:$F$1504,MATCH(B412,'JOBS'!$A$5:$A$1504,0)),""))</f>
        <v/>
      </c>
      <c r="J412" s="55">
        <f>IF(C412="","",ROUND(C412*IF(IFERROR(INDEX('SETTINGS'!$K$5:$K$24,MATCH(E412,'SETTINGS'!$J$5:$J$24,0)),"No")="Yes",FeePct,0),2))</f>
        <v/>
      </c>
      <c r="K412" s="51">
        <f>IF(A412="","",DATE(YEAR(A412),MONTH(A412),1))</f>
        <v/>
      </c>
    </row>
    <row r="413">
      <c r="A413" s="47" t="n"/>
      <c r="B413" s="38" t="n"/>
      <c r="C413" s="48" t="n"/>
      <c r="D413" s="48" t="n"/>
      <c r="E413" s="38" t="n"/>
      <c r="F413" s="38" t="n"/>
      <c r="G413" s="38" t="n"/>
      <c r="H413" s="49">
        <f>IF(B413="","",IFERROR(INDEX('JOBS'!$D$5:$D$1504,MATCH(B413,'JOBS'!$A$5:$A$1504,0)),"Job ID not found"))</f>
        <v/>
      </c>
      <c r="I413" s="49">
        <f>IF(B413="","",IFERROR(INDEX('JOBS'!$F$5:$F$1504,MATCH(B413,'JOBS'!$A$5:$A$1504,0)),""))</f>
        <v/>
      </c>
      <c r="J413" s="55">
        <f>IF(C413="","",ROUND(C413*IF(IFERROR(INDEX('SETTINGS'!$K$5:$K$24,MATCH(E413,'SETTINGS'!$J$5:$J$24,0)),"No")="Yes",FeePct,0),2))</f>
        <v/>
      </c>
      <c r="K413" s="51">
        <f>IF(A413="","",DATE(YEAR(A413),MONTH(A413),1))</f>
        <v/>
      </c>
    </row>
    <row r="414">
      <c r="A414" s="47" t="n"/>
      <c r="B414" s="38" t="n"/>
      <c r="C414" s="48" t="n"/>
      <c r="D414" s="48" t="n"/>
      <c r="E414" s="38" t="n"/>
      <c r="F414" s="38" t="n"/>
      <c r="G414" s="38" t="n"/>
      <c r="H414" s="49">
        <f>IF(B414="","",IFERROR(INDEX('JOBS'!$D$5:$D$1504,MATCH(B414,'JOBS'!$A$5:$A$1504,0)),"Job ID not found"))</f>
        <v/>
      </c>
      <c r="I414" s="49">
        <f>IF(B414="","",IFERROR(INDEX('JOBS'!$F$5:$F$1504,MATCH(B414,'JOBS'!$A$5:$A$1504,0)),""))</f>
        <v/>
      </c>
      <c r="J414" s="55">
        <f>IF(C414="","",ROUND(C414*IF(IFERROR(INDEX('SETTINGS'!$K$5:$K$24,MATCH(E414,'SETTINGS'!$J$5:$J$24,0)),"No")="Yes",FeePct,0),2))</f>
        <v/>
      </c>
      <c r="K414" s="51">
        <f>IF(A414="","",DATE(YEAR(A414),MONTH(A414),1))</f>
        <v/>
      </c>
    </row>
    <row r="415">
      <c r="A415" s="47" t="n"/>
      <c r="B415" s="38" t="n"/>
      <c r="C415" s="48" t="n"/>
      <c r="D415" s="48" t="n"/>
      <c r="E415" s="38" t="n"/>
      <c r="F415" s="38" t="n"/>
      <c r="G415" s="38" t="n"/>
      <c r="H415" s="49">
        <f>IF(B415="","",IFERROR(INDEX('JOBS'!$D$5:$D$1504,MATCH(B415,'JOBS'!$A$5:$A$1504,0)),"Job ID not found"))</f>
        <v/>
      </c>
      <c r="I415" s="49">
        <f>IF(B415="","",IFERROR(INDEX('JOBS'!$F$5:$F$1504,MATCH(B415,'JOBS'!$A$5:$A$1504,0)),""))</f>
        <v/>
      </c>
      <c r="J415" s="55">
        <f>IF(C415="","",ROUND(C415*IF(IFERROR(INDEX('SETTINGS'!$K$5:$K$24,MATCH(E415,'SETTINGS'!$J$5:$J$24,0)),"No")="Yes",FeePct,0),2))</f>
        <v/>
      </c>
      <c r="K415" s="51">
        <f>IF(A415="","",DATE(YEAR(A415),MONTH(A415),1))</f>
        <v/>
      </c>
    </row>
    <row r="416">
      <c r="A416" s="47" t="n"/>
      <c r="B416" s="38" t="n"/>
      <c r="C416" s="48" t="n"/>
      <c r="D416" s="48" t="n"/>
      <c r="E416" s="38" t="n"/>
      <c r="F416" s="38" t="n"/>
      <c r="G416" s="38" t="n"/>
      <c r="H416" s="49">
        <f>IF(B416="","",IFERROR(INDEX('JOBS'!$D$5:$D$1504,MATCH(B416,'JOBS'!$A$5:$A$1504,0)),"Job ID not found"))</f>
        <v/>
      </c>
      <c r="I416" s="49">
        <f>IF(B416="","",IFERROR(INDEX('JOBS'!$F$5:$F$1504,MATCH(B416,'JOBS'!$A$5:$A$1504,0)),""))</f>
        <v/>
      </c>
      <c r="J416" s="55">
        <f>IF(C416="","",ROUND(C416*IF(IFERROR(INDEX('SETTINGS'!$K$5:$K$24,MATCH(E416,'SETTINGS'!$J$5:$J$24,0)),"No")="Yes",FeePct,0),2))</f>
        <v/>
      </c>
      <c r="K416" s="51">
        <f>IF(A416="","",DATE(YEAR(A416),MONTH(A416),1))</f>
        <v/>
      </c>
    </row>
    <row r="417">
      <c r="A417" s="47" t="n"/>
      <c r="B417" s="38" t="n"/>
      <c r="C417" s="48" t="n"/>
      <c r="D417" s="48" t="n"/>
      <c r="E417" s="38" t="n"/>
      <c r="F417" s="38" t="n"/>
      <c r="G417" s="38" t="n"/>
      <c r="H417" s="49">
        <f>IF(B417="","",IFERROR(INDEX('JOBS'!$D$5:$D$1504,MATCH(B417,'JOBS'!$A$5:$A$1504,0)),"Job ID not found"))</f>
        <v/>
      </c>
      <c r="I417" s="49">
        <f>IF(B417="","",IFERROR(INDEX('JOBS'!$F$5:$F$1504,MATCH(B417,'JOBS'!$A$5:$A$1504,0)),""))</f>
        <v/>
      </c>
      <c r="J417" s="55">
        <f>IF(C417="","",ROUND(C417*IF(IFERROR(INDEX('SETTINGS'!$K$5:$K$24,MATCH(E417,'SETTINGS'!$J$5:$J$24,0)),"No")="Yes",FeePct,0),2))</f>
        <v/>
      </c>
      <c r="K417" s="51">
        <f>IF(A417="","",DATE(YEAR(A417),MONTH(A417),1))</f>
        <v/>
      </c>
    </row>
    <row r="418">
      <c r="A418" s="47" t="n"/>
      <c r="B418" s="38" t="n"/>
      <c r="C418" s="48" t="n"/>
      <c r="D418" s="48" t="n"/>
      <c r="E418" s="38" t="n"/>
      <c r="F418" s="38" t="n"/>
      <c r="G418" s="38" t="n"/>
      <c r="H418" s="49">
        <f>IF(B418="","",IFERROR(INDEX('JOBS'!$D$5:$D$1504,MATCH(B418,'JOBS'!$A$5:$A$1504,0)),"Job ID not found"))</f>
        <v/>
      </c>
      <c r="I418" s="49">
        <f>IF(B418="","",IFERROR(INDEX('JOBS'!$F$5:$F$1504,MATCH(B418,'JOBS'!$A$5:$A$1504,0)),""))</f>
        <v/>
      </c>
      <c r="J418" s="55">
        <f>IF(C418="","",ROUND(C418*IF(IFERROR(INDEX('SETTINGS'!$K$5:$K$24,MATCH(E418,'SETTINGS'!$J$5:$J$24,0)),"No")="Yes",FeePct,0),2))</f>
        <v/>
      </c>
      <c r="K418" s="51">
        <f>IF(A418="","",DATE(YEAR(A418),MONTH(A418),1))</f>
        <v/>
      </c>
    </row>
    <row r="419">
      <c r="A419" s="47" t="n"/>
      <c r="B419" s="38" t="n"/>
      <c r="C419" s="48" t="n"/>
      <c r="D419" s="48" t="n"/>
      <c r="E419" s="38" t="n"/>
      <c r="F419" s="38" t="n"/>
      <c r="G419" s="38" t="n"/>
      <c r="H419" s="49">
        <f>IF(B419="","",IFERROR(INDEX('JOBS'!$D$5:$D$1504,MATCH(B419,'JOBS'!$A$5:$A$1504,0)),"Job ID not found"))</f>
        <v/>
      </c>
      <c r="I419" s="49">
        <f>IF(B419="","",IFERROR(INDEX('JOBS'!$F$5:$F$1504,MATCH(B419,'JOBS'!$A$5:$A$1504,0)),""))</f>
        <v/>
      </c>
      <c r="J419" s="55">
        <f>IF(C419="","",ROUND(C419*IF(IFERROR(INDEX('SETTINGS'!$K$5:$K$24,MATCH(E419,'SETTINGS'!$J$5:$J$24,0)),"No")="Yes",FeePct,0),2))</f>
        <v/>
      </c>
      <c r="K419" s="51">
        <f>IF(A419="","",DATE(YEAR(A419),MONTH(A419),1))</f>
        <v/>
      </c>
    </row>
    <row r="420">
      <c r="A420" s="47" t="n"/>
      <c r="B420" s="38" t="n"/>
      <c r="C420" s="48" t="n"/>
      <c r="D420" s="48" t="n"/>
      <c r="E420" s="38" t="n"/>
      <c r="F420" s="38" t="n"/>
      <c r="G420" s="38" t="n"/>
      <c r="H420" s="49">
        <f>IF(B420="","",IFERROR(INDEX('JOBS'!$D$5:$D$1504,MATCH(B420,'JOBS'!$A$5:$A$1504,0)),"Job ID not found"))</f>
        <v/>
      </c>
      <c r="I420" s="49">
        <f>IF(B420="","",IFERROR(INDEX('JOBS'!$F$5:$F$1504,MATCH(B420,'JOBS'!$A$5:$A$1504,0)),""))</f>
        <v/>
      </c>
      <c r="J420" s="55">
        <f>IF(C420="","",ROUND(C420*IF(IFERROR(INDEX('SETTINGS'!$K$5:$K$24,MATCH(E420,'SETTINGS'!$J$5:$J$24,0)),"No")="Yes",FeePct,0),2))</f>
        <v/>
      </c>
      <c r="K420" s="51">
        <f>IF(A420="","",DATE(YEAR(A420),MONTH(A420),1))</f>
        <v/>
      </c>
    </row>
    <row r="421">
      <c r="A421" s="47" t="n"/>
      <c r="B421" s="38" t="n"/>
      <c r="C421" s="48" t="n"/>
      <c r="D421" s="48" t="n"/>
      <c r="E421" s="38" t="n"/>
      <c r="F421" s="38" t="n"/>
      <c r="G421" s="38" t="n"/>
      <c r="H421" s="49">
        <f>IF(B421="","",IFERROR(INDEX('JOBS'!$D$5:$D$1504,MATCH(B421,'JOBS'!$A$5:$A$1504,0)),"Job ID not found"))</f>
        <v/>
      </c>
      <c r="I421" s="49">
        <f>IF(B421="","",IFERROR(INDEX('JOBS'!$F$5:$F$1504,MATCH(B421,'JOBS'!$A$5:$A$1504,0)),""))</f>
        <v/>
      </c>
      <c r="J421" s="55">
        <f>IF(C421="","",ROUND(C421*IF(IFERROR(INDEX('SETTINGS'!$K$5:$K$24,MATCH(E421,'SETTINGS'!$J$5:$J$24,0)),"No")="Yes",FeePct,0),2))</f>
        <v/>
      </c>
      <c r="K421" s="51">
        <f>IF(A421="","",DATE(YEAR(A421),MONTH(A421),1))</f>
        <v/>
      </c>
    </row>
    <row r="422">
      <c r="A422" s="47" t="n"/>
      <c r="B422" s="38" t="n"/>
      <c r="C422" s="48" t="n"/>
      <c r="D422" s="48" t="n"/>
      <c r="E422" s="38" t="n"/>
      <c r="F422" s="38" t="n"/>
      <c r="G422" s="38" t="n"/>
      <c r="H422" s="49">
        <f>IF(B422="","",IFERROR(INDEX('JOBS'!$D$5:$D$1504,MATCH(B422,'JOBS'!$A$5:$A$1504,0)),"Job ID not found"))</f>
        <v/>
      </c>
      <c r="I422" s="49">
        <f>IF(B422="","",IFERROR(INDEX('JOBS'!$F$5:$F$1504,MATCH(B422,'JOBS'!$A$5:$A$1504,0)),""))</f>
        <v/>
      </c>
      <c r="J422" s="55">
        <f>IF(C422="","",ROUND(C422*IF(IFERROR(INDEX('SETTINGS'!$K$5:$K$24,MATCH(E422,'SETTINGS'!$J$5:$J$24,0)),"No")="Yes",FeePct,0),2))</f>
        <v/>
      </c>
      <c r="K422" s="51">
        <f>IF(A422="","",DATE(YEAR(A422),MONTH(A422),1))</f>
        <v/>
      </c>
    </row>
    <row r="423">
      <c r="A423" s="47" t="n"/>
      <c r="B423" s="38" t="n"/>
      <c r="C423" s="48" t="n"/>
      <c r="D423" s="48" t="n"/>
      <c r="E423" s="38" t="n"/>
      <c r="F423" s="38" t="n"/>
      <c r="G423" s="38" t="n"/>
      <c r="H423" s="49">
        <f>IF(B423="","",IFERROR(INDEX('JOBS'!$D$5:$D$1504,MATCH(B423,'JOBS'!$A$5:$A$1504,0)),"Job ID not found"))</f>
        <v/>
      </c>
      <c r="I423" s="49">
        <f>IF(B423="","",IFERROR(INDEX('JOBS'!$F$5:$F$1504,MATCH(B423,'JOBS'!$A$5:$A$1504,0)),""))</f>
        <v/>
      </c>
      <c r="J423" s="55">
        <f>IF(C423="","",ROUND(C423*IF(IFERROR(INDEX('SETTINGS'!$K$5:$K$24,MATCH(E423,'SETTINGS'!$J$5:$J$24,0)),"No")="Yes",FeePct,0),2))</f>
        <v/>
      </c>
      <c r="K423" s="51">
        <f>IF(A423="","",DATE(YEAR(A423),MONTH(A423),1))</f>
        <v/>
      </c>
    </row>
    <row r="424">
      <c r="A424" s="47" t="n"/>
      <c r="B424" s="38" t="n"/>
      <c r="C424" s="48" t="n"/>
      <c r="D424" s="48" t="n"/>
      <c r="E424" s="38" t="n"/>
      <c r="F424" s="38" t="n"/>
      <c r="G424" s="38" t="n"/>
      <c r="H424" s="49">
        <f>IF(B424="","",IFERROR(INDEX('JOBS'!$D$5:$D$1504,MATCH(B424,'JOBS'!$A$5:$A$1504,0)),"Job ID not found"))</f>
        <v/>
      </c>
      <c r="I424" s="49">
        <f>IF(B424="","",IFERROR(INDEX('JOBS'!$F$5:$F$1504,MATCH(B424,'JOBS'!$A$5:$A$1504,0)),""))</f>
        <v/>
      </c>
      <c r="J424" s="55">
        <f>IF(C424="","",ROUND(C424*IF(IFERROR(INDEX('SETTINGS'!$K$5:$K$24,MATCH(E424,'SETTINGS'!$J$5:$J$24,0)),"No")="Yes",FeePct,0),2))</f>
        <v/>
      </c>
      <c r="K424" s="51">
        <f>IF(A424="","",DATE(YEAR(A424),MONTH(A424),1))</f>
        <v/>
      </c>
    </row>
    <row r="425">
      <c r="A425" s="47" t="n"/>
      <c r="B425" s="38" t="n"/>
      <c r="C425" s="48" t="n"/>
      <c r="D425" s="48" t="n"/>
      <c r="E425" s="38" t="n"/>
      <c r="F425" s="38" t="n"/>
      <c r="G425" s="38" t="n"/>
      <c r="H425" s="49">
        <f>IF(B425="","",IFERROR(INDEX('JOBS'!$D$5:$D$1504,MATCH(B425,'JOBS'!$A$5:$A$1504,0)),"Job ID not found"))</f>
        <v/>
      </c>
      <c r="I425" s="49">
        <f>IF(B425="","",IFERROR(INDEX('JOBS'!$F$5:$F$1504,MATCH(B425,'JOBS'!$A$5:$A$1504,0)),""))</f>
        <v/>
      </c>
      <c r="J425" s="55">
        <f>IF(C425="","",ROUND(C425*IF(IFERROR(INDEX('SETTINGS'!$K$5:$K$24,MATCH(E425,'SETTINGS'!$J$5:$J$24,0)),"No")="Yes",FeePct,0),2))</f>
        <v/>
      </c>
      <c r="K425" s="51">
        <f>IF(A425="","",DATE(YEAR(A425),MONTH(A425),1))</f>
        <v/>
      </c>
    </row>
    <row r="426">
      <c r="A426" s="47" t="n"/>
      <c r="B426" s="38" t="n"/>
      <c r="C426" s="48" t="n"/>
      <c r="D426" s="48" t="n"/>
      <c r="E426" s="38" t="n"/>
      <c r="F426" s="38" t="n"/>
      <c r="G426" s="38" t="n"/>
      <c r="H426" s="49">
        <f>IF(B426="","",IFERROR(INDEX('JOBS'!$D$5:$D$1504,MATCH(B426,'JOBS'!$A$5:$A$1504,0)),"Job ID not found"))</f>
        <v/>
      </c>
      <c r="I426" s="49">
        <f>IF(B426="","",IFERROR(INDEX('JOBS'!$F$5:$F$1504,MATCH(B426,'JOBS'!$A$5:$A$1504,0)),""))</f>
        <v/>
      </c>
      <c r="J426" s="55">
        <f>IF(C426="","",ROUND(C426*IF(IFERROR(INDEX('SETTINGS'!$K$5:$K$24,MATCH(E426,'SETTINGS'!$J$5:$J$24,0)),"No")="Yes",FeePct,0),2))</f>
        <v/>
      </c>
      <c r="K426" s="51">
        <f>IF(A426="","",DATE(YEAR(A426),MONTH(A426),1))</f>
        <v/>
      </c>
    </row>
    <row r="427">
      <c r="A427" s="47" t="n"/>
      <c r="B427" s="38" t="n"/>
      <c r="C427" s="48" t="n"/>
      <c r="D427" s="48" t="n"/>
      <c r="E427" s="38" t="n"/>
      <c r="F427" s="38" t="n"/>
      <c r="G427" s="38" t="n"/>
      <c r="H427" s="49">
        <f>IF(B427="","",IFERROR(INDEX('JOBS'!$D$5:$D$1504,MATCH(B427,'JOBS'!$A$5:$A$1504,0)),"Job ID not found"))</f>
        <v/>
      </c>
      <c r="I427" s="49">
        <f>IF(B427="","",IFERROR(INDEX('JOBS'!$F$5:$F$1504,MATCH(B427,'JOBS'!$A$5:$A$1504,0)),""))</f>
        <v/>
      </c>
      <c r="J427" s="55">
        <f>IF(C427="","",ROUND(C427*IF(IFERROR(INDEX('SETTINGS'!$K$5:$K$24,MATCH(E427,'SETTINGS'!$J$5:$J$24,0)),"No")="Yes",FeePct,0),2))</f>
        <v/>
      </c>
      <c r="K427" s="51">
        <f>IF(A427="","",DATE(YEAR(A427),MONTH(A427),1))</f>
        <v/>
      </c>
    </row>
    <row r="428">
      <c r="A428" s="47" t="n"/>
      <c r="B428" s="38" t="n"/>
      <c r="C428" s="48" t="n"/>
      <c r="D428" s="48" t="n"/>
      <c r="E428" s="38" t="n"/>
      <c r="F428" s="38" t="n"/>
      <c r="G428" s="38" t="n"/>
      <c r="H428" s="49">
        <f>IF(B428="","",IFERROR(INDEX('JOBS'!$D$5:$D$1504,MATCH(B428,'JOBS'!$A$5:$A$1504,0)),"Job ID not found"))</f>
        <v/>
      </c>
      <c r="I428" s="49">
        <f>IF(B428="","",IFERROR(INDEX('JOBS'!$F$5:$F$1504,MATCH(B428,'JOBS'!$A$5:$A$1504,0)),""))</f>
        <v/>
      </c>
      <c r="J428" s="55">
        <f>IF(C428="","",ROUND(C428*IF(IFERROR(INDEX('SETTINGS'!$K$5:$K$24,MATCH(E428,'SETTINGS'!$J$5:$J$24,0)),"No")="Yes",FeePct,0),2))</f>
        <v/>
      </c>
      <c r="K428" s="51">
        <f>IF(A428="","",DATE(YEAR(A428),MONTH(A428),1))</f>
        <v/>
      </c>
    </row>
    <row r="429">
      <c r="A429" s="47" t="n"/>
      <c r="B429" s="38" t="n"/>
      <c r="C429" s="48" t="n"/>
      <c r="D429" s="48" t="n"/>
      <c r="E429" s="38" t="n"/>
      <c r="F429" s="38" t="n"/>
      <c r="G429" s="38" t="n"/>
      <c r="H429" s="49">
        <f>IF(B429="","",IFERROR(INDEX('JOBS'!$D$5:$D$1504,MATCH(B429,'JOBS'!$A$5:$A$1504,0)),"Job ID not found"))</f>
        <v/>
      </c>
      <c r="I429" s="49">
        <f>IF(B429="","",IFERROR(INDEX('JOBS'!$F$5:$F$1504,MATCH(B429,'JOBS'!$A$5:$A$1504,0)),""))</f>
        <v/>
      </c>
      <c r="J429" s="55">
        <f>IF(C429="","",ROUND(C429*IF(IFERROR(INDEX('SETTINGS'!$K$5:$K$24,MATCH(E429,'SETTINGS'!$J$5:$J$24,0)),"No")="Yes",FeePct,0),2))</f>
        <v/>
      </c>
      <c r="K429" s="51">
        <f>IF(A429="","",DATE(YEAR(A429),MONTH(A429),1))</f>
        <v/>
      </c>
    </row>
    <row r="430">
      <c r="A430" s="47" t="n"/>
      <c r="B430" s="38" t="n"/>
      <c r="C430" s="48" t="n"/>
      <c r="D430" s="48" t="n"/>
      <c r="E430" s="38" t="n"/>
      <c r="F430" s="38" t="n"/>
      <c r="G430" s="38" t="n"/>
      <c r="H430" s="49">
        <f>IF(B430="","",IFERROR(INDEX('JOBS'!$D$5:$D$1504,MATCH(B430,'JOBS'!$A$5:$A$1504,0)),"Job ID not found"))</f>
        <v/>
      </c>
      <c r="I430" s="49">
        <f>IF(B430="","",IFERROR(INDEX('JOBS'!$F$5:$F$1504,MATCH(B430,'JOBS'!$A$5:$A$1504,0)),""))</f>
        <v/>
      </c>
      <c r="J430" s="55">
        <f>IF(C430="","",ROUND(C430*IF(IFERROR(INDEX('SETTINGS'!$K$5:$K$24,MATCH(E430,'SETTINGS'!$J$5:$J$24,0)),"No")="Yes",FeePct,0),2))</f>
        <v/>
      </c>
      <c r="K430" s="51">
        <f>IF(A430="","",DATE(YEAR(A430),MONTH(A430),1))</f>
        <v/>
      </c>
    </row>
    <row r="431">
      <c r="A431" s="47" t="n"/>
      <c r="B431" s="38" t="n"/>
      <c r="C431" s="48" t="n"/>
      <c r="D431" s="48" t="n"/>
      <c r="E431" s="38" t="n"/>
      <c r="F431" s="38" t="n"/>
      <c r="G431" s="38" t="n"/>
      <c r="H431" s="49">
        <f>IF(B431="","",IFERROR(INDEX('JOBS'!$D$5:$D$1504,MATCH(B431,'JOBS'!$A$5:$A$1504,0)),"Job ID not found"))</f>
        <v/>
      </c>
      <c r="I431" s="49">
        <f>IF(B431="","",IFERROR(INDEX('JOBS'!$F$5:$F$1504,MATCH(B431,'JOBS'!$A$5:$A$1504,0)),""))</f>
        <v/>
      </c>
      <c r="J431" s="55">
        <f>IF(C431="","",ROUND(C431*IF(IFERROR(INDEX('SETTINGS'!$K$5:$K$24,MATCH(E431,'SETTINGS'!$J$5:$J$24,0)),"No")="Yes",FeePct,0),2))</f>
        <v/>
      </c>
      <c r="K431" s="51">
        <f>IF(A431="","",DATE(YEAR(A431),MONTH(A431),1))</f>
        <v/>
      </c>
    </row>
    <row r="432">
      <c r="A432" s="47" t="n"/>
      <c r="B432" s="38" t="n"/>
      <c r="C432" s="48" t="n"/>
      <c r="D432" s="48" t="n"/>
      <c r="E432" s="38" t="n"/>
      <c r="F432" s="38" t="n"/>
      <c r="G432" s="38" t="n"/>
      <c r="H432" s="49">
        <f>IF(B432="","",IFERROR(INDEX('JOBS'!$D$5:$D$1504,MATCH(B432,'JOBS'!$A$5:$A$1504,0)),"Job ID not found"))</f>
        <v/>
      </c>
      <c r="I432" s="49">
        <f>IF(B432="","",IFERROR(INDEX('JOBS'!$F$5:$F$1504,MATCH(B432,'JOBS'!$A$5:$A$1504,0)),""))</f>
        <v/>
      </c>
      <c r="J432" s="55">
        <f>IF(C432="","",ROUND(C432*IF(IFERROR(INDEX('SETTINGS'!$K$5:$K$24,MATCH(E432,'SETTINGS'!$J$5:$J$24,0)),"No")="Yes",FeePct,0),2))</f>
        <v/>
      </c>
      <c r="K432" s="51">
        <f>IF(A432="","",DATE(YEAR(A432),MONTH(A432),1))</f>
        <v/>
      </c>
    </row>
    <row r="433">
      <c r="A433" s="47" t="n"/>
      <c r="B433" s="38" t="n"/>
      <c r="C433" s="48" t="n"/>
      <c r="D433" s="48" t="n"/>
      <c r="E433" s="38" t="n"/>
      <c r="F433" s="38" t="n"/>
      <c r="G433" s="38" t="n"/>
      <c r="H433" s="49">
        <f>IF(B433="","",IFERROR(INDEX('JOBS'!$D$5:$D$1504,MATCH(B433,'JOBS'!$A$5:$A$1504,0)),"Job ID not found"))</f>
        <v/>
      </c>
      <c r="I433" s="49">
        <f>IF(B433="","",IFERROR(INDEX('JOBS'!$F$5:$F$1504,MATCH(B433,'JOBS'!$A$5:$A$1504,0)),""))</f>
        <v/>
      </c>
      <c r="J433" s="55">
        <f>IF(C433="","",ROUND(C433*IF(IFERROR(INDEX('SETTINGS'!$K$5:$K$24,MATCH(E433,'SETTINGS'!$J$5:$J$24,0)),"No")="Yes",FeePct,0),2))</f>
        <v/>
      </c>
      <c r="K433" s="51">
        <f>IF(A433="","",DATE(YEAR(A433),MONTH(A433),1))</f>
        <v/>
      </c>
    </row>
    <row r="434">
      <c r="A434" s="47" t="n"/>
      <c r="B434" s="38" t="n"/>
      <c r="C434" s="48" t="n"/>
      <c r="D434" s="48" t="n"/>
      <c r="E434" s="38" t="n"/>
      <c r="F434" s="38" t="n"/>
      <c r="G434" s="38" t="n"/>
      <c r="H434" s="49">
        <f>IF(B434="","",IFERROR(INDEX('JOBS'!$D$5:$D$1504,MATCH(B434,'JOBS'!$A$5:$A$1504,0)),"Job ID not found"))</f>
        <v/>
      </c>
      <c r="I434" s="49">
        <f>IF(B434="","",IFERROR(INDEX('JOBS'!$F$5:$F$1504,MATCH(B434,'JOBS'!$A$5:$A$1504,0)),""))</f>
        <v/>
      </c>
      <c r="J434" s="55">
        <f>IF(C434="","",ROUND(C434*IF(IFERROR(INDEX('SETTINGS'!$K$5:$K$24,MATCH(E434,'SETTINGS'!$J$5:$J$24,0)),"No")="Yes",FeePct,0),2))</f>
        <v/>
      </c>
      <c r="K434" s="51">
        <f>IF(A434="","",DATE(YEAR(A434),MONTH(A434),1))</f>
        <v/>
      </c>
    </row>
    <row r="435">
      <c r="A435" s="47" t="n"/>
      <c r="B435" s="38" t="n"/>
      <c r="C435" s="48" t="n"/>
      <c r="D435" s="48" t="n"/>
      <c r="E435" s="38" t="n"/>
      <c r="F435" s="38" t="n"/>
      <c r="G435" s="38" t="n"/>
      <c r="H435" s="49">
        <f>IF(B435="","",IFERROR(INDEX('JOBS'!$D$5:$D$1504,MATCH(B435,'JOBS'!$A$5:$A$1504,0)),"Job ID not found"))</f>
        <v/>
      </c>
      <c r="I435" s="49">
        <f>IF(B435="","",IFERROR(INDEX('JOBS'!$F$5:$F$1504,MATCH(B435,'JOBS'!$A$5:$A$1504,0)),""))</f>
        <v/>
      </c>
      <c r="J435" s="55">
        <f>IF(C435="","",ROUND(C435*IF(IFERROR(INDEX('SETTINGS'!$K$5:$K$24,MATCH(E435,'SETTINGS'!$J$5:$J$24,0)),"No")="Yes",FeePct,0),2))</f>
        <v/>
      </c>
      <c r="K435" s="51">
        <f>IF(A435="","",DATE(YEAR(A435),MONTH(A435),1))</f>
        <v/>
      </c>
    </row>
    <row r="436">
      <c r="A436" s="47" t="n"/>
      <c r="B436" s="38" t="n"/>
      <c r="C436" s="48" t="n"/>
      <c r="D436" s="48" t="n"/>
      <c r="E436" s="38" t="n"/>
      <c r="F436" s="38" t="n"/>
      <c r="G436" s="38" t="n"/>
      <c r="H436" s="49">
        <f>IF(B436="","",IFERROR(INDEX('JOBS'!$D$5:$D$1504,MATCH(B436,'JOBS'!$A$5:$A$1504,0)),"Job ID not found"))</f>
        <v/>
      </c>
      <c r="I436" s="49">
        <f>IF(B436="","",IFERROR(INDEX('JOBS'!$F$5:$F$1504,MATCH(B436,'JOBS'!$A$5:$A$1504,0)),""))</f>
        <v/>
      </c>
      <c r="J436" s="55">
        <f>IF(C436="","",ROUND(C436*IF(IFERROR(INDEX('SETTINGS'!$K$5:$K$24,MATCH(E436,'SETTINGS'!$J$5:$J$24,0)),"No")="Yes",FeePct,0),2))</f>
        <v/>
      </c>
      <c r="K436" s="51">
        <f>IF(A436="","",DATE(YEAR(A436),MONTH(A436),1))</f>
        <v/>
      </c>
    </row>
    <row r="437">
      <c r="A437" s="47" t="n"/>
      <c r="B437" s="38" t="n"/>
      <c r="C437" s="48" t="n"/>
      <c r="D437" s="48" t="n"/>
      <c r="E437" s="38" t="n"/>
      <c r="F437" s="38" t="n"/>
      <c r="G437" s="38" t="n"/>
      <c r="H437" s="49">
        <f>IF(B437="","",IFERROR(INDEX('JOBS'!$D$5:$D$1504,MATCH(B437,'JOBS'!$A$5:$A$1504,0)),"Job ID not found"))</f>
        <v/>
      </c>
      <c r="I437" s="49">
        <f>IF(B437="","",IFERROR(INDEX('JOBS'!$F$5:$F$1504,MATCH(B437,'JOBS'!$A$5:$A$1504,0)),""))</f>
        <v/>
      </c>
      <c r="J437" s="55">
        <f>IF(C437="","",ROUND(C437*IF(IFERROR(INDEX('SETTINGS'!$K$5:$K$24,MATCH(E437,'SETTINGS'!$J$5:$J$24,0)),"No")="Yes",FeePct,0),2))</f>
        <v/>
      </c>
      <c r="K437" s="51">
        <f>IF(A437="","",DATE(YEAR(A437),MONTH(A437),1))</f>
        <v/>
      </c>
    </row>
    <row r="438">
      <c r="A438" s="47" t="n"/>
      <c r="B438" s="38" t="n"/>
      <c r="C438" s="48" t="n"/>
      <c r="D438" s="48" t="n"/>
      <c r="E438" s="38" t="n"/>
      <c r="F438" s="38" t="n"/>
      <c r="G438" s="38" t="n"/>
      <c r="H438" s="49">
        <f>IF(B438="","",IFERROR(INDEX('JOBS'!$D$5:$D$1504,MATCH(B438,'JOBS'!$A$5:$A$1504,0)),"Job ID not found"))</f>
        <v/>
      </c>
      <c r="I438" s="49">
        <f>IF(B438="","",IFERROR(INDEX('JOBS'!$F$5:$F$1504,MATCH(B438,'JOBS'!$A$5:$A$1504,0)),""))</f>
        <v/>
      </c>
      <c r="J438" s="55">
        <f>IF(C438="","",ROUND(C438*IF(IFERROR(INDEX('SETTINGS'!$K$5:$K$24,MATCH(E438,'SETTINGS'!$J$5:$J$24,0)),"No")="Yes",FeePct,0),2))</f>
        <v/>
      </c>
      <c r="K438" s="51">
        <f>IF(A438="","",DATE(YEAR(A438),MONTH(A438),1))</f>
        <v/>
      </c>
    </row>
    <row r="439">
      <c r="A439" s="47" t="n"/>
      <c r="B439" s="38" t="n"/>
      <c r="C439" s="48" t="n"/>
      <c r="D439" s="48" t="n"/>
      <c r="E439" s="38" t="n"/>
      <c r="F439" s="38" t="n"/>
      <c r="G439" s="38" t="n"/>
      <c r="H439" s="49">
        <f>IF(B439="","",IFERROR(INDEX('JOBS'!$D$5:$D$1504,MATCH(B439,'JOBS'!$A$5:$A$1504,0)),"Job ID not found"))</f>
        <v/>
      </c>
      <c r="I439" s="49">
        <f>IF(B439="","",IFERROR(INDEX('JOBS'!$F$5:$F$1504,MATCH(B439,'JOBS'!$A$5:$A$1504,0)),""))</f>
        <v/>
      </c>
      <c r="J439" s="55">
        <f>IF(C439="","",ROUND(C439*IF(IFERROR(INDEX('SETTINGS'!$K$5:$K$24,MATCH(E439,'SETTINGS'!$J$5:$J$24,0)),"No")="Yes",FeePct,0),2))</f>
        <v/>
      </c>
      <c r="K439" s="51">
        <f>IF(A439="","",DATE(YEAR(A439),MONTH(A439),1))</f>
        <v/>
      </c>
    </row>
    <row r="440">
      <c r="A440" s="47" t="n"/>
      <c r="B440" s="38" t="n"/>
      <c r="C440" s="48" t="n"/>
      <c r="D440" s="48" t="n"/>
      <c r="E440" s="38" t="n"/>
      <c r="F440" s="38" t="n"/>
      <c r="G440" s="38" t="n"/>
      <c r="H440" s="49">
        <f>IF(B440="","",IFERROR(INDEX('JOBS'!$D$5:$D$1504,MATCH(B440,'JOBS'!$A$5:$A$1504,0)),"Job ID not found"))</f>
        <v/>
      </c>
      <c r="I440" s="49">
        <f>IF(B440="","",IFERROR(INDEX('JOBS'!$F$5:$F$1504,MATCH(B440,'JOBS'!$A$5:$A$1504,0)),""))</f>
        <v/>
      </c>
      <c r="J440" s="55">
        <f>IF(C440="","",ROUND(C440*IF(IFERROR(INDEX('SETTINGS'!$K$5:$K$24,MATCH(E440,'SETTINGS'!$J$5:$J$24,0)),"No")="Yes",FeePct,0),2))</f>
        <v/>
      </c>
      <c r="K440" s="51">
        <f>IF(A440="","",DATE(YEAR(A440),MONTH(A440),1))</f>
        <v/>
      </c>
    </row>
    <row r="441">
      <c r="A441" s="47" t="n"/>
      <c r="B441" s="38" t="n"/>
      <c r="C441" s="48" t="n"/>
      <c r="D441" s="48" t="n"/>
      <c r="E441" s="38" t="n"/>
      <c r="F441" s="38" t="n"/>
      <c r="G441" s="38" t="n"/>
      <c r="H441" s="49">
        <f>IF(B441="","",IFERROR(INDEX('JOBS'!$D$5:$D$1504,MATCH(B441,'JOBS'!$A$5:$A$1504,0)),"Job ID not found"))</f>
        <v/>
      </c>
      <c r="I441" s="49">
        <f>IF(B441="","",IFERROR(INDEX('JOBS'!$F$5:$F$1504,MATCH(B441,'JOBS'!$A$5:$A$1504,0)),""))</f>
        <v/>
      </c>
      <c r="J441" s="55">
        <f>IF(C441="","",ROUND(C441*IF(IFERROR(INDEX('SETTINGS'!$K$5:$K$24,MATCH(E441,'SETTINGS'!$J$5:$J$24,0)),"No")="Yes",FeePct,0),2))</f>
        <v/>
      </c>
      <c r="K441" s="51">
        <f>IF(A441="","",DATE(YEAR(A441),MONTH(A441),1))</f>
        <v/>
      </c>
    </row>
    <row r="442">
      <c r="A442" s="47" t="n"/>
      <c r="B442" s="38" t="n"/>
      <c r="C442" s="48" t="n"/>
      <c r="D442" s="48" t="n"/>
      <c r="E442" s="38" t="n"/>
      <c r="F442" s="38" t="n"/>
      <c r="G442" s="38" t="n"/>
      <c r="H442" s="49">
        <f>IF(B442="","",IFERROR(INDEX('JOBS'!$D$5:$D$1504,MATCH(B442,'JOBS'!$A$5:$A$1504,0)),"Job ID not found"))</f>
        <v/>
      </c>
      <c r="I442" s="49">
        <f>IF(B442="","",IFERROR(INDEX('JOBS'!$F$5:$F$1504,MATCH(B442,'JOBS'!$A$5:$A$1504,0)),""))</f>
        <v/>
      </c>
      <c r="J442" s="55">
        <f>IF(C442="","",ROUND(C442*IF(IFERROR(INDEX('SETTINGS'!$K$5:$K$24,MATCH(E442,'SETTINGS'!$J$5:$J$24,0)),"No")="Yes",FeePct,0),2))</f>
        <v/>
      </c>
      <c r="K442" s="51">
        <f>IF(A442="","",DATE(YEAR(A442),MONTH(A442),1))</f>
        <v/>
      </c>
    </row>
    <row r="443">
      <c r="A443" s="47" t="n"/>
      <c r="B443" s="38" t="n"/>
      <c r="C443" s="48" t="n"/>
      <c r="D443" s="48" t="n"/>
      <c r="E443" s="38" t="n"/>
      <c r="F443" s="38" t="n"/>
      <c r="G443" s="38" t="n"/>
      <c r="H443" s="49">
        <f>IF(B443="","",IFERROR(INDEX('JOBS'!$D$5:$D$1504,MATCH(B443,'JOBS'!$A$5:$A$1504,0)),"Job ID not found"))</f>
        <v/>
      </c>
      <c r="I443" s="49">
        <f>IF(B443="","",IFERROR(INDEX('JOBS'!$F$5:$F$1504,MATCH(B443,'JOBS'!$A$5:$A$1504,0)),""))</f>
        <v/>
      </c>
      <c r="J443" s="55">
        <f>IF(C443="","",ROUND(C443*IF(IFERROR(INDEX('SETTINGS'!$K$5:$K$24,MATCH(E443,'SETTINGS'!$J$5:$J$24,0)),"No")="Yes",FeePct,0),2))</f>
        <v/>
      </c>
      <c r="K443" s="51">
        <f>IF(A443="","",DATE(YEAR(A443),MONTH(A443),1))</f>
        <v/>
      </c>
    </row>
    <row r="444">
      <c r="A444" s="47" t="n"/>
      <c r="B444" s="38" t="n"/>
      <c r="C444" s="48" t="n"/>
      <c r="D444" s="48" t="n"/>
      <c r="E444" s="38" t="n"/>
      <c r="F444" s="38" t="n"/>
      <c r="G444" s="38" t="n"/>
      <c r="H444" s="49">
        <f>IF(B444="","",IFERROR(INDEX('JOBS'!$D$5:$D$1504,MATCH(B444,'JOBS'!$A$5:$A$1504,0)),"Job ID not found"))</f>
        <v/>
      </c>
      <c r="I444" s="49">
        <f>IF(B444="","",IFERROR(INDEX('JOBS'!$F$5:$F$1504,MATCH(B444,'JOBS'!$A$5:$A$1504,0)),""))</f>
        <v/>
      </c>
      <c r="J444" s="55">
        <f>IF(C444="","",ROUND(C444*IF(IFERROR(INDEX('SETTINGS'!$K$5:$K$24,MATCH(E444,'SETTINGS'!$J$5:$J$24,0)),"No")="Yes",FeePct,0),2))</f>
        <v/>
      </c>
      <c r="K444" s="51">
        <f>IF(A444="","",DATE(YEAR(A444),MONTH(A444),1))</f>
        <v/>
      </c>
    </row>
    <row r="445">
      <c r="A445" s="47" t="n"/>
      <c r="B445" s="38" t="n"/>
      <c r="C445" s="48" t="n"/>
      <c r="D445" s="48" t="n"/>
      <c r="E445" s="38" t="n"/>
      <c r="F445" s="38" t="n"/>
      <c r="G445" s="38" t="n"/>
      <c r="H445" s="49">
        <f>IF(B445="","",IFERROR(INDEX('JOBS'!$D$5:$D$1504,MATCH(B445,'JOBS'!$A$5:$A$1504,0)),"Job ID not found"))</f>
        <v/>
      </c>
      <c r="I445" s="49">
        <f>IF(B445="","",IFERROR(INDEX('JOBS'!$F$5:$F$1504,MATCH(B445,'JOBS'!$A$5:$A$1504,0)),""))</f>
        <v/>
      </c>
      <c r="J445" s="55">
        <f>IF(C445="","",ROUND(C445*IF(IFERROR(INDEX('SETTINGS'!$K$5:$K$24,MATCH(E445,'SETTINGS'!$J$5:$J$24,0)),"No")="Yes",FeePct,0),2))</f>
        <v/>
      </c>
      <c r="K445" s="51">
        <f>IF(A445="","",DATE(YEAR(A445),MONTH(A445),1))</f>
        <v/>
      </c>
    </row>
    <row r="446">
      <c r="A446" s="47" t="n"/>
      <c r="B446" s="38" t="n"/>
      <c r="C446" s="48" t="n"/>
      <c r="D446" s="48" t="n"/>
      <c r="E446" s="38" t="n"/>
      <c r="F446" s="38" t="n"/>
      <c r="G446" s="38" t="n"/>
      <c r="H446" s="49">
        <f>IF(B446="","",IFERROR(INDEX('JOBS'!$D$5:$D$1504,MATCH(B446,'JOBS'!$A$5:$A$1504,0)),"Job ID not found"))</f>
        <v/>
      </c>
      <c r="I446" s="49">
        <f>IF(B446="","",IFERROR(INDEX('JOBS'!$F$5:$F$1504,MATCH(B446,'JOBS'!$A$5:$A$1504,0)),""))</f>
        <v/>
      </c>
      <c r="J446" s="55">
        <f>IF(C446="","",ROUND(C446*IF(IFERROR(INDEX('SETTINGS'!$K$5:$K$24,MATCH(E446,'SETTINGS'!$J$5:$J$24,0)),"No")="Yes",FeePct,0),2))</f>
        <v/>
      </c>
      <c r="K446" s="51">
        <f>IF(A446="","",DATE(YEAR(A446),MONTH(A446),1))</f>
        <v/>
      </c>
    </row>
    <row r="447">
      <c r="A447" s="47" t="n"/>
      <c r="B447" s="38" t="n"/>
      <c r="C447" s="48" t="n"/>
      <c r="D447" s="48" t="n"/>
      <c r="E447" s="38" t="n"/>
      <c r="F447" s="38" t="n"/>
      <c r="G447" s="38" t="n"/>
      <c r="H447" s="49">
        <f>IF(B447="","",IFERROR(INDEX('JOBS'!$D$5:$D$1504,MATCH(B447,'JOBS'!$A$5:$A$1504,0)),"Job ID not found"))</f>
        <v/>
      </c>
      <c r="I447" s="49">
        <f>IF(B447="","",IFERROR(INDEX('JOBS'!$F$5:$F$1504,MATCH(B447,'JOBS'!$A$5:$A$1504,0)),""))</f>
        <v/>
      </c>
      <c r="J447" s="55">
        <f>IF(C447="","",ROUND(C447*IF(IFERROR(INDEX('SETTINGS'!$K$5:$K$24,MATCH(E447,'SETTINGS'!$J$5:$J$24,0)),"No")="Yes",FeePct,0),2))</f>
        <v/>
      </c>
      <c r="K447" s="51">
        <f>IF(A447="","",DATE(YEAR(A447),MONTH(A447),1))</f>
        <v/>
      </c>
    </row>
    <row r="448">
      <c r="A448" s="47" t="n"/>
      <c r="B448" s="38" t="n"/>
      <c r="C448" s="48" t="n"/>
      <c r="D448" s="48" t="n"/>
      <c r="E448" s="38" t="n"/>
      <c r="F448" s="38" t="n"/>
      <c r="G448" s="38" t="n"/>
      <c r="H448" s="49">
        <f>IF(B448="","",IFERROR(INDEX('JOBS'!$D$5:$D$1504,MATCH(B448,'JOBS'!$A$5:$A$1504,0)),"Job ID not found"))</f>
        <v/>
      </c>
      <c r="I448" s="49">
        <f>IF(B448="","",IFERROR(INDEX('JOBS'!$F$5:$F$1504,MATCH(B448,'JOBS'!$A$5:$A$1504,0)),""))</f>
        <v/>
      </c>
      <c r="J448" s="55">
        <f>IF(C448="","",ROUND(C448*IF(IFERROR(INDEX('SETTINGS'!$K$5:$K$24,MATCH(E448,'SETTINGS'!$J$5:$J$24,0)),"No")="Yes",FeePct,0),2))</f>
        <v/>
      </c>
      <c r="K448" s="51">
        <f>IF(A448="","",DATE(YEAR(A448),MONTH(A448),1))</f>
        <v/>
      </c>
    </row>
    <row r="449">
      <c r="A449" s="47" t="n"/>
      <c r="B449" s="38" t="n"/>
      <c r="C449" s="48" t="n"/>
      <c r="D449" s="48" t="n"/>
      <c r="E449" s="38" t="n"/>
      <c r="F449" s="38" t="n"/>
      <c r="G449" s="38" t="n"/>
      <c r="H449" s="49">
        <f>IF(B449="","",IFERROR(INDEX('JOBS'!$D$5:$D$1504,MATCH(B449,'JOBS'!$A$5:$A$1504,0)),"Job ID not found"))</f>
        <v/>
      </c>
      <c r="I449" s="49">
        <f>IF(B449="","",IFERROR(INDEX('JOBS'!$F$5:$F$1504,MATCH(B449,'JOBS'!$A$5:$A$1504,0)),""))</f>
        <v/>
      </c>
      <c r="J449" s="55">
        <f>IF(C449="","",ROUND(C449*IF(IFERROR(INDEX('SETTINGS'!$K$5:$K$24,MATCH(E449,'SETTINGS'!$J$5:$J$24,0)),"No")="Yes",FeePct,0),2))</f>
        <v/>
      </c>
      <c r="K449" s="51">
        <f>IF(A449="","",DATE(YEAR(A449),MONTH(A449),1))</f>
        <v/>
      </c>
    </row>
    <row r="450">
      <c r="A450" s="47" t="n"/>
      <c r="B450" s="38" t="n"/>
      <c r="C450" s="48" t="n"/>
      <c r="D450" s="48" t="n"/>
      <c r="E450" s="38" t="n"/>
      <c r="F450" s="38" t="n"/>
      <c r="G450" s="38" t="n"/>
      <c r="H450" s="49">
        <f>IF(B450="","",IFERROR(INDEX('JOBS'!$D$5:$D$1504,MATCH(B450,'JOBS'!$A$5:$A$1504,0)),"Job ID not found"))</f>
        <v/>
      </c>
      <c r="I450" s="49">
        <f>IF(B450="","",IFERROR(INDEX('JOBS'!$F$5:$F$1504,MATCH(B450,'JOBS'!$A$5:$A$1504,0)),""))</f>
        <v/>
      </c>
      <c r="J450" s="55">
        <f>IF(C450="","",ROUND(C450*IF(IFERROR(INDEX('SETTINGS'!$K$5:$K$24,MATCH(E450,'SETTINGS'!$J$5:$J$24,0)),"No")="Yes",FeePct,0),2))</f>
        <v/>
      </c>
      <c r="K450" s="51">
        <f>IF(A450="","",DATE(YEAR(A450),MONTH(A450),1))</f>
        <v/>
      </c>
    </row>
    <row r="451">
      <c r="A451" s="47" t="n"/>
      <c r="B451" s="38" t="n"/>
      <c r="C451" s="48" t="n"/>
      <c r="D451" s="48" t="n"/>
      <c r="E451" s="38" t="n"/>
      <c r="F451" s="38" t="n"/>
      <c r="G451" s="38" t="n"/>
      <c r="H451" s="49">
        <f>IF(B451="","",IFERROR(INDEX('JOBS'!$D$5:$D$1504,MATCH(B451,'JOBS'!$A$5:$A$1504,0)),"Job ID not found"))</f>
        <v/>
      </c>
      <c r="I451" s="49">
        <f>IF(B451="","",IFERROR(INDEX('JOBS'!$F$5:$F$1504,MATCH(B451,'JOBS'!$A$5:$A$1504,0)),""))</f>
        <v/>
      </c>
      <c r="J451" s="55">
        <f>IF(C451="","",ROUND(C451*IF(IFERROR(INDEX('SETTINGS'!$K$5:$K$24,MATCH(E451,'SETTINGS'!$J$5:$J$24,0)),"No")="Yes",FeePct,0),2))</f>
        <v/>
      </c>
      <c r="K451" s="51">
        <f>IF(A451="","",DATE(YEAR(A451),MONTH(A451),1))</f>
        <v/>
      </c>
    </row>
    <row r="452">
      <c r="A452" s="47" t="n"/>
      <c r="B452" s="38" t="n"/>
      <c r="C452" s="48" t="n"/>
      <c r="D452" s="48" t="n"/>
      <c r="E452" s="38" t="n"/>
      <c r="F452" s="38" t="n"/>
      <c r="G452" s="38" t="n"/>
      <c r="H452" s="49">
        <f>IF(B452="","",IFERROR(INDEX('JOBS'!$D$5:$D$1504,MATCH(B452,'JOBS'!$A$5:$A$1504,0)),"Job ID not found"))</f>
        <v/>
      </c>
      <c r="I452" s="49">
        <f>IF(B452="","",IFERROR(INDEX('JOBS'!$F$5:$F$1504,MATCH(B452,'JOBS'!$A$5:$A$1504,0)),""))</f>
        <v/>
      </c>
      <c r="J452" s="55">
        <f>IF(C452="","",ROUND(C452*IF(IFERROR(INDEX('SETTINGS'!$K$5:$K$24,MATCH(E452,'SETTINGS'!$J$5:$J$24,0)),"No")="Yes",FeePct,0),2))</f>
        <v/>
      </c>
      <c r="K452" s="51">
        <f>IF(A452="","",DATE(YEAR(A452),MONTH(A452),1))</f>
        <v/>
      </c>
    </row>
    <row r="453">
      <c r="A453" s="47" t="n"/>
      <c r="B453" s="38" t="n"/>
      <c r="C453" s="48" t="n"/>
      <c r="D453" s="48" t="n"/>
      <c r="E453" s="38" t="n"/>
      <c r="F453" s="38" t="n"/>
      <c r="G453" s="38" t="n"/>
      <c r="H453" s="49">
        <f>IF(B453="","",IFERROR(INDEX('JOBS'!$D$5:$D$1504,MATCH(B453,'JOBS'!$A$5:$A$1504,0)),"Job ID not found"))</f>
        <v/>
      </c>
      <c r="I453" s="49">
        <f>IF(B453="","",IFERROR(INDEX('JOBS'!$F$5:$F$1504,MATCH(B453,'JOBS'!$A$5:$A$1504,0)),""))</f>
        <v/>
      </c>
      <c r="J453" s="55">
        <f>IF(C453="","",ROUND(C453*IF(IFERROR(INDEX('SETTINGS'!$K$5:$K$24,MATCH(E453,'SETTINGS'!$J$5:$J$24,0)),"No")="Yes",FeePct,0),2))</f>
        <v/>
      </c>
      <c r="K453" s="51">
        <f>IF(A453="","",DATE(YEAR(A453),MONTH(A453),1))</f>
        <v/>
      </c>
    </row>
    <row r="454">
      <c r="A454" s="47" t="n"/>
      <c r="B454" s="38" t="n"/>
      <c r="C454" s="48" t="n"/>
      <c r="D454" s="48" t="n"/>
      <c r="E454" s="38" t="n"/>
      <c r="F454" s="38" t="n"/>
      <c r="G454" s="38" t="n"/>
      <c r="H454" s="49">
        <f>IF(B454="","",IFERROR(INDEX('JOBS'!$D$5:$D$1504,MATCH(B454,'JOBS'!$A$5:$A$1504,0)),"Job ID not found"))</f>
        <v/>
      </c>
      <c r="I454" s="49">
        <f>IF(B454="","",IFERROR(INDEX('JOBS'!$F$5:$F$1504,MATCH(B454,'JOBS'!$A$5:$A$1504,0)),""))</f>
        <v/>
      </c>
      <c r="J454" s="55">
        <f>IF(C454="","",ROUND(C454*IF(IFERROR(INDEX('SETTINGS'!$K$5:$K$24,MATCH(E454,'SETTINGS'!$J$5:$J$24,0)),"No")="Yes",FeePct,0),2))</f>
        <v/>
      </c>
      <c r="K454" s="51">
        <f>IF(A454="","",DATE(YEAR(A454),MONTH(A454),1))</f>
        <v/>
      </c>
    </row>
    <row r="455">
      <c r="A455" s="47" t="n"/>
      <c r="B455" s="38" t="n"/>
      <c r="C455" s="48" t="n"/>
      <c r="D455" s="48" t="n"/>
      <c r="E455" s="38" t="n"/>
      <c r="F455" s="38" t="n"/>
      <c r="G455" s="38" t="n"/>
      <c r="H455" s="49">
        <f>IF(B455="","",IFERROR(INDEX('JOBS'!$D$5:$D$1504,MATCH(B455,'JOBS'!$A$5:$A$1504,0)),"Job ID not found"))</f>
        <v/>
      </c>
      <c r="I455" s="49">
        <f>IF(B455="","",IFERROR(INDEX('JOBS'!$F$5:$F$1504,MATCH(B455,'JOBS'!$A$5:$A$1504,0)),""))</f>
        <v/>
      </c>
      <c r="J455" s="55">
        <f>IF(C455="","",ROUND(C455*IF(IFERROR(INDEX('SETTINGS'!$K$5:$K$24,MATCH(E455,'SETTINGS'!$J$5:$J$24,0)),"No")="Yes",FeePct,0),2))</f>
        <v/>
      </c>
      <c r="K455" s="51">
        <f>IF(A455="","",DATE(YEAR(A455),MONTH(A455),1))</f>
        <v/>
      </c>
    </row>
    <row r="456">
      <c r="A456" s="47" t="n"/>
      <c r="B456" s="38" t="n"/>
      <c r="C456" s="48" t="n"/>
      <c r="D456" s="48" t="n"/>
      <c r="E456" s="38" t="n"/>
      <c r="F456" s="38" t="n"/>
      <c r="G456" s="38" t="n"/>
      <c r="H456" s="49">
        <f>IF(B456="","",IFERROR(INDEX('JOBS'!$D$5:$D$1504,MATCH(B456,'JOBS'!$A$5:$A$1504,0)),"Job ID not found"))</f>
        <v/>
      </c>
      <c r="I456" s="49">
        <f>IF(B456="","",IFERROR(INDEX('JOBS'!$F$5:$F$1504,MATCH(B456,'JOBS'!$A$5:$A$1504,0)),""))</f>
        <v/>
      </c>
      <c r="J456" s="55">
        <f>IF(C456="","",ROUND(C456*IF(IFERROR(INDEX('SETTINGS'!$K$5:$K$24,MATCH(E456,'SETTINGS'!$J$5:$J$24,0)),"No")="Yes",FeePct,0),2))</f>
        <v/>
      </c>
      <c r="K456" s="51">
        <f>IF(A456="","",DATE(YEAR(A456),MONTH(A456),1))</f>
        <v/>
      </c>
    </row>
    <row r="457">
      <c r="A457" s="47" t="n"/>
      <c r="B457" s="38" t="n"/>
      <c r="C457" s="48" t="n"/>
      <c r="D457" s="48" t="n"/>
      <c r="E457" s="38" t="n"/>
      <c r="F457" s="38" t="n"/>
      <c r="G457" s="38" t="n"/>
      <c r="H457" s="49">
        <f>IF(B457="","",IFERROR(INDEX('JOBS'!$D$5:$D$1504,MATCH(B457,'JOBS'!$A$5:$A$1504,0)),"Job ID not found"))</f>
        <v/>
      </c>
      <c r="I457" s="49">
        <f>IF(B457="","",IFERROR(INDEX('JOBS'!$F$5:$F$1504,MATCH(B457,'JOBS'!$A$5:$A$1504,0)),""))</f>
        <v/>
      </c>
      <c r="J457" s="55">
        <f>IF(C457="","",ROUND(C457*IF(IFERROR(INDEX('SETTINGS'!$K$5:$K$24,MATCH(E457,'SETTINGS'!$J$5:$J$24,0)),"No")="Yes",FeePct,0),2))</f>
        <v/>
      </c>
      <c r="K457" s="51">
        <f>IF(A457="","",DATE(YEAR(A457),MONTH(A457),1))</f>
        <v/>
      </c>
    </row>
    <row r="458">
      <c r="A458" s="47" t="n"/>
      <c r="B458" s="38" t="n"/>
      <c r="C458" s="48" t="n"/>
      <c r="D458" s="48" t="n"/>
      <c r="E458" s="38" t="n"/>
      <c r="F458" s="38" t="n"/>
      <c r="G458" s="38" t="n"/>
      <c r="H458" s="49">
        <f>IF(B458="","",IFERROR(INDEX('JOBS'!$D$5:$D$1504,MATCH(B458,'JOBS'!$A$5:$A$1504,0)),"Job ID not found"))</f>
        <v/>
      </c>
      <c r="I458" s="49">
        <f>IF(B458="","",IFERROR(INDEX('JOBS'!$F$5:$F$1504,MATCH(B458,'JOBS'!$A$5:$A$1504,0)),""))</f>
        <v/>
      </c>
      <c r="J458" s="55">
        <f>IF(C458="","",ROUND(C458*IF(IFERROR(INDEX('SETTINGS'!$K$5:$K$24,MATCH(E458,'SETTINGS'!$J$5:$J$24,0)),"No")="Yes",FeePct,0),2))</f>
        <v/>
      </c>
      <c r="K458" s="51">
        <f>IF(A458="","",DATE(YEAR(A458),MONTH(A458),1))</f>
        <v/>
      </c>
    </row>
    <row r="459">
      <c r="A459" s="47" t="n"/>
      <c r="B459" s="38" t="n"/>
      <c r="C459" s="48" t="n"/>
      <c r="D459" s="48" t="n"/>
      <c r="E459" s="38" t="n"/>
      <c r="F459" s="38" t="n"/>
      <c r="G459" s="38" t="n"/>
      <c r="H459" s="49">
        <f>IF(B459="","",IFERROR(INDEX('JOBS'!$D$5:$D$1504,MATCH(B459,'JOBS'!$A$5:$A$1504,0)),"Job ID not found"))</f>
        <v/>
      </c>
      <c r="I459" s="49">
        <f>IF(B459="","",IFERROR(INDEX('JOBS'!$F$5:$F$1504,MATCH(B459,'JOBS'!$A$5:$A$1504,0)),""))</f>
        <v/>
      </c>
      <c r="J459" s="55">
        <f>IF(C459="","",ROUND(C459*IF(IFERROR(INDEX('SETTINGS'!$K$5:$K$24,MATCH(E459,'SETTINGS'!$J$5:$J$24,0)),"No")="Yes",FeePct,0),2))</f>
        <v/>
      </c>
      <c r="K459" s="51">
        <f>IF(A459="","",DATE(YEAR(A459),MONTH(A459),1))</f>
        <v/>
      </c>
    </row>
    <row r="460">
      <c r="A460" s="47" t="n"/>
      <c r="B460" s="38" t="n"/>
      <c r="C460" s="48" t="n"/>
      <c r="D460" s="48" t="n"/>
      <c r="E460" s="38" t="n"/>
      <c r="F460" s="38" t="n"/>
      <c r="G460" s="38" t="n"/>
      <c r="H460" s="49">
        <f>IF(B460="","",IFERROR(INDEX('JOBS'!$D$5:$D$1504,MATCH(B460,'JOBS'!$A$5:$A$1504,0)),"Job ID not found"))</f>
        <v/>
      </c>
      <c r="I460" s="49">
        <f>IF(B460="","",IFERROR(INDEX('JOBS'!$F$5:$F$1504,MATCH(B460,'JOBS'!$A$5:$A$1504,0)),""))</f>
        <v/>
      </c>
      <c r="J460" s="55">
        <f>IF(C460="","",ROUND(C460*IF(IFERROR(INDEX('SETTINGS'!$K$5:$K$24,MATCH(E460,'SETTINGS'!$J$5:$J$24,0)),"No")="Yes",FeePct,0),2))</f>
        <v/>
      </c>
      <c r="K460" s="51">
        <f>IF(A460="","",DATE(YEAR(A460),MONTH(A460),1))</f>
        <v/>
      </c>
    </row>
    <row r="461">
      <c r="A461" s="47" t="n"/>
      <c r="B461" s="38" t="n"/>
      <c r="C461" s="48" t="n"/>
      <c r="D461" s="48" t="n"/>
      <c r="E461" s="38" t="n"/>
      <c r="F461" s="38" t="n"/>
      <c r="G461" s="38" t="n"/>
      <c r="H461" s="49">
        <f>IF(B461="","",IFERROR(INDEX('JOBS'!$D$5:$D$1504,MATCH(B461,'JOBS'!$A$5:$A$1504,0)),"Job ID not found"))</f>
        <v/>
      </c>
      <c r="I461" s="49">
        <f>IF(B461="","",IFERROR(INDEX('JOBS'!$F$5:$F$1504,MATCH(B461,'JOBS'!$A$5:$A$1504,0)),""))</f>
        <v/>
      </c>
      <c r="J461" s="55">
        <f>IF(C461="","",ROUND(C461*IF(IFERROR(INDEX('SETTINGS'!$K$5:$K$24,MATCH(E461,'SETTINGS'!$J$5:$J$24,0)),"No")="Yes",FeePct,0),2))</f>
        <v/>
      </c>
      <c r="K461" s="51">
        <f>IF(A461="","",DATE(YEAR(A461),MONTH(A461),1))</f>
        <v/>
      </c>
    </row>
    <row r="462">
      <c r="A462" s="47" t="n"/>
      <c r="B462" s="38" t="n"/>
      <c r="C462" s="48" t="n"/>
      <c r="D462" s="48" t="n"/>
      <c r="E462" s="38" t="n"/>
      <c r="F462" s="38" t="n"/>
      <c r="G462" s="38" t="n"/>
      <c r="H462" s="49">
        <f>IF(B462="","",IFERROR(INDEX('JOBS'!$D$5:$D$1504,MATCH(B462,'JOBS'!$A$5:$A$1504,0)),"Job ID not found"))</f>
        <v/>
      </c>
      <c r="I462" s="49">
        <f>IF(B462="","",IFERROR(INDEX('JOBS'!$F$5:$F$1504,MATCH(B462,'JOBS'!$A$5:$A$1504,0)),""))</f>
        <v/>
      </c>
      <c r="J462" s="55">
        <f>IF(C462="","",ROUND(C462*IF(IFERROR(INDEX('SETTINGS'!$K$5:$K$24,MATCH(E462,'SETTINGS'!$J$5:$J$24,0)),"No")="Yes",FeePct,0),2))</f>
        <v/>
      </c>
      <c r="K462" s="51">
        <f>IF(A462="","",DATE(YEAR(A462),MONTH(A462),1))</f>
        <v/>
      </c>
    </row>
    <row r="463">
      <c r="A463" s="47" t="n"/>
      <c r="B463" s="38" t="n"/>
      <c r="C463" s="48" t="n"/>
      <c r="D463" s="48" t="n"/>
      <c r="E463" s="38" t="n"/>
      <c r="F463" s="38" t="n"/>
      <c r="G463" s="38" t="n"/>
      <c r="H463" s="49">
        <f>IF(B463="","",IFERROR(INDEX('JOBS'!$D$5:$D$1504,MATCH(B463,'JOBS'!$A$5:$A$1504,0)),"Job ID not found"))</f>
        <v/>
      </c>
      <c r="I463" s="49">
        <f>IF(B463="","",IFERROR(INDEX('JOBS'!$F$5:$F$1504,MATCH(B463,'JOBS'!$A$5:$A$1504,0)),""))</f>
        <v/>
      </c>
      <c r="J463" s="55">
        <f>IF(C463="","",ROUND(C463*IF(IFERROR(INDEX('SETTINGS'!$K$5:$K$24,MATCH(E463,'SETTINGS'!$J$5:$J$24,0)),"No")="Yes",FeePct,0),2))</f>
        <v/>
      </c>
      <c r="K463" s="51">
        <f>IF(A463="","",DATE(YEAR(A463),MONTH(A463),1))</f>
        <v/>
      </c>
    </row>
    <row r="464">
      <c r="A464" s="47" t="n"/>
      <c r="B464" s="38" t="n"/>
      <c r="C464" s="48" t="n"/>
      <c r="D464" s="48" t="n"/>
      <c r="E464" s="38" t="n"/>
      <c r="F464" s="38" t="n"/>
      <c r="G464" s="38" t="n"/>
      <c r="H464" s="49">
        <f>IF(B464="","",IFERROR(INDEX('JOBS'!$D$5:$D$1504,MATCH(B464,'JOBS'!$A$5:$A$1504,0)),"Job ID not found"))</f>
        <v/>
      </c>
      <c r="I464" s="49">
        <f>IF(B464="","",IFERROR(INDEX('JOBS'!$F$5:$F$1504,MATCH(B464,'JOBS'!$A$5:$A$1504,0)),""))</f>
        <v/>
      </c>
      <c r="J464" s="55">
        <f>IF(C464="","",ROUND(C464*IF(IFERROR(INDEX('SETTINGS'!$K$5:$K$24,MATCH(E464,'SETTINGS'!$J$5:$J$24,0)),"No")="Yes",FeePct,0),2))</f>
        <v/>
      </c>
      <c r="K464" s="51">
        <f>IF(A464="","",DATE(YEAR(A464),MONTH(A464),1))</f>
        <v/>
      </c>
    </row>
    <row r="465">
      <c r="A465" s="47" t="n"/>
      <c r="B465" s="38" t="n"/>
      <c r="C465" s="48" t="n"/>
      <c r="D465" s="48" t="n"/>
      <c r="E465" s="38" t="n"/>
      <c r="F465" s="38" t="n"/>
      <c r="G465" s="38" t="n"/>
      <c r="H465" s="49">
        <f>IF(B465="","",IFERROR(INDEX('JOBS'!$D$5:$D$1504,MATCH(B465,'JOBS'!$A$5:$A$1504,0)),"Job ID not found"))</f>
        <v/>
      </c>
      <c r="I465" s="49">
        <f>IF(B465="","",IFERROR(INDEX('JOBS'!$F$5:$F$1504,MATCH(B465,'JOBS'!$A$5:$A$1504,0)),""))</f>
        <v/>
      </c>
      <c r="J465" s="55">
        <f>IF(C465="","",ROUND(C465*IF(IFERROR(INDEX('SETTINGS'!$K$5:$K$24,MATCH(E465,'SETTINGS'!$J$5:$J$24,0)),"No")="Yes",FeePct,0),2))</f>
        <v/>
      </c>
      <c r="K465" s="51">
        <f>IF(A465="","",DATE(YEAR(A465),MONTH(A465),1))</f>
        <v/>
      </c>
    </row>
    <row r="466">
      <c r="A466" s="47" t="n"/>
      <c r="B466" s="38" t="n"/>
      <c r="C466" s="48" t="n"/>
      <c r="D466" s="48" t="n"/>
      <c r="E466" s="38" t="n"/>
      <c r="F466" s="38" t="n"/>
      <c r="G466" s="38" t="n"/>
      <c r="H466" s="49">
        <f>IF(B466="","",IFERROR(INDEX('JOBS'!$D$5:$D$1504,MATCH(B466,'JOBS'!$A$5:$A$1504,0)),"Job ID not found"))</f>
        <v/>
      </c>
      <c r="I466" s="49">
        <f>IF(B466="","",IFERROR(INDEX('JOBS'!$F$5:$F$1504,MATCH(B466,'JOBS'!$A$5:$A$1504,0)),""))</f>
        <v/>
      </c>
      <c r="J466" s="55">
        <f>IF(C466="","",ROUND(C466*IF(IFERROR(INDEX('SETTINGS'!$K$5:$K$24,MATCH(E466,'SETTINGS'!$J$5:$J$24,0)),"No")="Yes",FeePct,0),2))</f>
        <v/>
      </c>
      <c r="K466" s="51">
        <f>IF(A466="","",DATE(YEAR(A466),MONTH(A466),1))</f>
        <v/>
      </c>
    </row>
    <row r="467">
      <c r="A467" s="47" t="n"/>
      <c r="B467" s="38" t="n"/>
      <c r="C467" s="48" t="n"/>
      <c r="D467" s="48" t="n"/>
      <c r="E467" s="38" t="n"/>
      <c r="F467" s="38" t="n"/>
      <c r="G467" s="38" t="n"/>
      <c r="H467" s="49">
        <f>IF(B467="","",IFERROR(INDEX('JOBS'!$D$5:$D$1504,MATCH(B467,'JOBS'!$A$5:$A$1504,0)),"Job ID not found"))</f>
        <v/>
      </c>
      <c r="I467" s="49">
        <f>IF(B467="","",IFERROR(INDEX('JOBS'!$F$5:$F$1504,MATCH(B467,'JOBS'!$A$5:$A$1504,0)),""))</f>
        <v/>
      </c>
      <c r="J467" s="55">
        <f>IF(C467="","",ROUND(C467*IF(IFERROR(INDEX('SETTINGS'!$K$5:$K$24,MATCH(E467,'SETTINGS'!$J$5:$J$24,0)),"No")="Yes",FeePct,0),2))</f>
        <v/>
      </c>
      <c r="K467" s="51">
        <f>IF(A467="","",DATE(YEAR(A467),MONTH(A467),1))</f>
        <v/>
      </c>
    </row>
    <row r="468">
      <c r="A468" s="47" t="n"/>
      <c r="B468" s="38" t="n"/>
      <c r="C468" s="48" t="n"/>
      <c r="D468" s="48" t="n"/>
      <c r="E468" s="38" t="n"/>
      <c r="F468" s="38" t="n"/>
      <c r="G468" s="38" t="n"/>
      <c r="H468" s="49">
        <f>IF(B468="","",IFERROR(INDEX('JOBS'!$D$5:$D$1504,MATCH(B468,'JOBS'!$A$5:$A$1504,0)),"Job ID not found"))</f>
        <v/>
      </c>
      <c r="I468" s="49">
        <f>IF(B468="","",IFERROR(INDEX('JOBS'!$F$5:$F$1504,MATCH(B468,'JOBS'!$A$5:$A$1504,0)),""))</f>
        <v/>
      </c>
      <c r="J468" s="55">
        <f>IF(C468="","",ROUND(C468*IF(IFERROR(INDEX('SETTINGS'!$K$5:$K$24,MATCH(E468,'SETTINGS'!$J$5:$J$24,0)),"No")="Yes",FeePct,0),2))</f>
        <v/>
      </c>
      <c r="K468" s="51">
        <f>IF(A468="","",DATE(YEAR(A468),MONTH(A468),1))</f>
        <v/>
      </c>
    </row>
    <row r="469">
      <c r="A469" s="47" t="n"/>
      <c r="B469" s="38" t="n"/>
      <c r="C469" s="48" t="n"/>
      <c r="D469" s="48" t="n"/>
      <c r="E469" s="38" t="n"/>
      <c r="F469" s="38" t="n"/>
      <c r="G469" s="38" t="n"/>
      <c r="H469" s="49">
        <f>IF(B469="","",IFERROR(INDEX('JOBS'!$D$5:$D$1504,MATCH(B469,'JOBS'!$A$5:$A$1504,0)),"Job ID not found"))</f>
        <v/>
      </c>
      <c r="I469" s="49">
        <f>IF(B469="","",IFERROR(INDEX('JOBS'!$F$5:$F$1504,MATCH(B469,'JOBS'!$A$5:$A$1504,0)),""))</f>
        <v/>
      </c>
      <c r="J469" s="55">
        <f>IF(C469="","",ROUND(C469*IF(IFERROR(INDEX('SETTINGS'!$K$5:$K$24,MATCH(E469,'SETTINGS'!$J$5:$J$24,0)),"No")="Yes",FeePct,0),2))</f>
        <v/>
      </c>
      <c r="K469" s="51">
        <f>IF(A469="","",DATE(YEAR(A469),MONTH(A469),1))</f>
        <v/>
      </c>
    </row>
    <row r="470">
      <c r="A470" s="47" t="n"/>
      <c r="B470" s="38" t="n"/>
      <c r="C470" s="48" t="n"/>
      <c r="D470" s="48" t="n"/>
      <c r="E470" s="38" t="n"/>
      <c r="F470" s="38" t="n"/>
      <c r="G470" s="38" t="n"/>
      <c r="H470" s="49">
        <f>IF(B470="","",IFERROR(INDEX('JOBS'!$D$5:$D$1504,MATCH(B470,'JOBS'!$A$5:$A$1504,0)),"Job ID not found"))</f>
        <v/>
      </c>
      <c r="I470" s="49">
        <f>IF(B470="","",IFERROR(INDEX('JOBS'!$F$5:$F$1504,MATCH(B470,'JOBS'!$A$5:$A$1504,0)),""))</f>
        <v/>
      </c>
      <c r="J470" s="55">
        <f>IF(C470="","",ROUND(C470*IF(IFERROR(INDEX('SETTINGS'!$K$5:$K$24,MATCH(E470,'SETTINGS'!$J$5:$J$24,0)),"No")="Yes",FeePct,0),2))</f>
        <v/>
      </c>
      <c r="K470" s="51">
        <f>IF(A470="","",DATE(YEAR(A470),MONTH(A470),1))</f>
        <v/>
      </c>
    </row>
    <row r="471">
      <c r="A471" s="47" t="n"/>
      <c r="B471" s="38" t="n"/>
      <c r="C471" s="48" t="n"/>
      <c r="D471" s="48" t="n"/>
      <c r="E471" s="38" t="n"/>
      <c r="F471" s="38" t="n"/>
      <c r="G471" s="38" t="n"/>
      <c r="H471" s="49">
        <f>IF(B471="","",IFERROR(INDEX('JOBS'!$D$5:$D$1504,MATCH(B471,'JOBS'!$A$5:$A$1504,0)),"Job ID not found"))</f>
        <v/>
      </c>
      <c r="I471" s="49">
        <f>IF(B471="","",IFERROR(INDEX('JOBS'!$F$5:$F$1504,MATCH(B471,'JOBS'!$A$5:$A$1504,0)),""))</f>
        <v/>
      </c>
      <c r="J471" s="55">
        <f>IF(C471="","",ROUND(C471*IF(IFERROR(INDEX('SETTINGS'!$K$5:$K$24,MATCH(E471,'SETTINGS'!$J$5:$J$24,0)),"No")="Yes",FeePct,0),2))</f>
        <v/>
      </c>
      <c r="K471" s="51">
        <f>IF(A471="","",DATE(YEAR(A471),MONTH(A471),1))</f>
        <v/>
      </c>
    </row>
    <row r="472">
      <c r="A472" s="47" t="n"/>
      <c r="B472" s="38" t="n"/>
      <c r="C472" s="48" t="n"/>
      <c r="D472" s="48" t="n"/>
      <c r="E472" s="38" t="n"/>
      <c r="F472" s="38" t="n"/>
      <c r="G472" s="38" t="n"/>
      <c r="H472" s="49">
        <f>IF(B472="","",IFERROR(INDEX('JOBS'!$D$5:$D$1504,MATCH(B472,'JOBS'!$A$5:$A$1504,0)),"Job ID not found"))</f>
        <v/>
      </c>
      <c r="I472" s="49">
        <f>IF(B472="","",IFERROR(INDEX('JOBS'!$F$5:$F$1504,MATCH(B472,'JOBS'!$A$5:$A$1504,0)),""))</f>
        <v/>
      </c>
      <c r="J472" s="55">
        <f>IF(C472="","",ROUND(C472*IF(IFERROR(INDEX('SETTINGS'!$K$5:$K$24,MATCH(E472,'SETTINGS'!$J$5:$J$24,0)),"No")="Yes",FeePct,0),2))</f>
        <v/>
      </c>
      <c r="K472" s="51">
        <f>IF(A472="","",DATE(YEAR(A472),MONTH(A472),1))</f>
        <v/>
      </c>
    </row>
    <row r="473">
      <c r="A473" s="47" t="n"/>
      <c r="B473" s="38" t="n"/>
      <c r="C473" s="48" t="n"/>
      <c r="D473" s="48" t="n"/>
      <c r="E473" s="38" t="n"/>
      <c r="F473" s="38" t="n"/>
      <c r="G473" s="38" t="n"/>
      <c r="H473" s="49">
        <f>IF(B473="","",IFERROR(INDEX('JOBS'!$D$5:$D$1504,MATCH(B473,'JOBS'!$A$5:$A$1504,0)),"Job ID not found"))</f>
        <v/>
      </c>
      <c r="I473" s="49">
        <f>IF(B473="","",IFERROR(INDEX('JOBS'!$F$5:$F$1504,MATCH(B473,'JOBS'!$A$5:$A$1504,0)),""))</f>
        <v/>
      </c>
      <c r="J473" s="55">
        <f>IF(C473="","",ROUND(C473*IF(IFERROR(INDEX('SETTINGS'!$K$5:$K$24,MATCH(E473,'SETTINGS'!$J$5:$J$24,0)),"No")="Yes",FeePct,0),2))</f>
        <v/>
      </c>
      <c r="K473" s="51">
        <f>IF(A473="","",DATE(YEAR(A473),MONTH(A473),1))</f>
        <v/>
      </c>
    </row>
    <row r="474">
      <c r="A474" s="47" t="n"/>
      <c r="B474" s="38" t="n"/>
      <c r="C474" s="48" t="n"/>
      <c r="D474" s="48" t="n"/>
      <c r="E474" s="38" t="n"/>
      <c r="F474" s="38" t="n"/>
      <c r="G474" s="38" t="n"/>
      <c r="H474" s="49">
        <f>IF(B474="","",IFERROR(INDEX('JOBS'!$D$5:$D$1504,MATCH(B474,'JOBS'!$A$5:$A$1504,0)),"Job ID not found"))</f>
        <v/>
      </c>
      <c r="I474" s="49">
        <f>IF(B474="","",IFERROR(INDEX('JOBS'!$F$5:$F$1504,MATCH(B474,'JOBS'!$A$5:$A$1504,0)),""))</f>
        <v/>
      </c>
      <c r="J474" s="55">
        <f>IF(C474="","",ROUND(C474*IF(IFERROR(INDEX('SETTINGS'!$K$5:$K$24,MATCH(E474,'SETTINGS'!$J$5:$J$24,0)),"No")="Yes",FeePct,0),2))</f>
        <v/>
      </c>
      <c r="K474" s="51">
        <f>IF(A474="","",DATE(YEAR(A474),MONTH(A474),1))</f>
        <v/>
      </c>
    </row>
    <row r="475">
      <c r="A475" s="47" t="n"/>
      <c r="B475" s="38" t="n"/>
      <c r="C475" s="48" t="n"/>
      <c r="D475" s="48" t="n"/>
      <c r="E475" s="38" t="n"/>
      <c r="F475" s="38" t="n"/>
      <c r="G475" s="38" t="n"/>
      <c r="H475" s="49">
        <f>IF(B475="","",IFERROR(INDEX('JOBS'!$D$5:$D$1504,MATCH(B475,'JOBS'!$A$5:$A$1504,0)),"Job ID not found"))</f>
        <v/>
      </c>
      <c r="I475" s="49">
        <f>IF(B475="","",IFERROR(INDEX('JOBS'!$F$5:$F$1504,MATCH(B475,'JOBS'!$A$5:$A$1504,0)),""))</f>
        <v/>
      </c>
      <c r="J475" s="55">
        <f>IF(C475="","",ROUND(C475*IF(IFERROR(INDEX('SETTINGS'!$K$5:$K$24,MATCH(E475,'SETTINGS'!$J$5:$J$24,0)),"No")="Yes",FeePct,0),2))</f>
        <v/>
      </c>
      <c r="K475" s="51">
        <f>IF(A475="","",DATE(YEAR(A475),MONTH(A475),1))</f>
        <v/>
      </c>
    </row>
    <row r="476">
      <c r="A476" s="47" t="n"/>
      <c r="B476" s="38" t="n"/>
      <c r="C476" s="48" t="n"/>
      <c r="D476" s="48" t="n"/>
      <c r="E476" s="38" t="n"/>
      <c r="F476" s="38" t="n"/>
      <c r="G476" s="38" t="n"/>
      <c r="H476" s="49">
        <f>IF(B476="","",IFERROR(INDEX('JOBS'!$D$5:$D$1504,MATCH(B476,'JOBS'!$A$5:$A$1504,0)),"Job ID not found"))</f>
        <v/>
      </c>
      <c r="I476" s="49">
        <f>IF(B476="","",IFERROR(INDEX('JOBS'!$F$5:$F$1504,MATCH(B476,'JOBS'!$A$5:$A$1504,0)),""))</f>
        <v/>
      </c>
      <c r="J476" s="55">
        <f>IF(C476="","",ROUND(C476*IF(IFERROR(INDEX('SETTINGS'!$K$5:$K$24,MATCH(E476,'SETTINGS'!$J$5:$J$24,0)),"No")="Yes",FeePct,0),2))</f>
        <v/>
      </c>
      <c r="K476" s="51">
        <f>IF(A476="","",DATE(YEAR(A476),MONTH(A476),1))</f>
        <v/>
      </c>
    </row>
    <row r="477">
      <c r="A477" s="47" t="n"/>
      <c r="B477" s="38" t="n"/>
      <c r="C477" s="48" t="n"/>
      <c r="D477" s="48" t="n"/>
      <c r="E477" s="38" t="n"/>
      <c r="F477" s="38" t="n"/>
      <c r="G477" s="38" t="n"/>
      <c r="H477" s="49">
        <f>IF(B477="","",IFERROR(INDEX('JOBS'!$D$5:$D$1504,MATCH(B477,'JOBS'!$A$5:$A$1504,0)),"Job ID not found"))</f>
        <v/>
      </c>
      <c r="I477" s="49">
        <f>IF(B477="","",IFERROR(INDEX('JOBS'!$F$5:$F$1504,MATCH(B477,'JOBS'!$A$5:$A$1504,0)),""))</f>
        <v/>
      </c>
      <c r="J477" s="55">
        <f>IF(C477="","",ROUND(C477*IF(IFERROR(INDEX('SETTINGS'!$K$5:$K$24,MATCH(E477,'SETTINGS'!$J$5:$J$24,0)),"No")="Yes",FeePct,0),2))</f>
        <v/>
      </c>
      <c r="K477" s="51">
        <f>IF(A477="","",DATE(YEAR(A477),MONTH(A477),1))</f>
        <v/>
      </c>
    </row>
    <row r="478">
      <c r="A478" s="47" t="n"/>
      <c r="B478" s="38" t="n"/>
      <c r="C478" s="48" t="n"/>
      <c r="D478" s="48" t="n"/>
      <c r="E478" s="38" t="n"/>
      <c r="F478" s="38" t="n"/>
      <c r="G478" s="38" t="n"/>
      <c r="H478" s="49">
        <f>IF(B478="","",IFERROR(INDEX('JOBS'!$D$5:$D$1504,MATCH(B478,'JOBS'!$A$5:$A$1504,0)),"Job ID not found"))</f>
        <v/>
      </c>
      <c r="I478" s="49">
        <f>IF(B478="","",IFERROR(INDEX('JOBS'!$F$5:$F$1504,MATCH(B478,'JOBS'!$A$5:$A$1504,0)),""))</f>
        <v/>
      </c>
      <c r="J478" s="55">
        <f>IF(C478="","",ROUND(C478*IF(IFERROR(INDEX('SETTINGS'!$K$5:$K$24,MATCH(E478,'SETTINGS'!$J$5:$J$24,0)),"No")="Yes",FeePct,0),2))</f>
        <v/>
      </c>
      <c r="K478" s="51">
        <f>IF(A478="","",DATE(YEAR(A478),MONTH(A478),1))</f>
        <v/>
      </c>
    </row>
    <row r="479">
      <c r="A479" s="47" t="n"/>
      <c r="B479" s="38" t="n"/>
      <c r="C479" s="48" t="n"/>
      <c r="D479" s="48" t="n"/>
      <c r="E479" s="38" t="n"/>
      <c r="F479" s="38" t="n"/>
      <c r="G479" s="38" t="n"/>
      <c r="H479" s="49">
        <f>IF(B479="","",IFERROR(INDEX('JOBS'!$D$5:$D$1504,MATCH(B479,'JOBS'!$A$5:$A$1504,0)),"Job ID not found"))</f>
        <v/>
      </c>
      <c r="I479" s="49">
        <f>IF(B479="","",IFERROR(INDEX('JOBS'!$F$5:$F$1504,MATCH(B479,'JOBS'!$A$5:$A$1504,0)),""))</f>
        <v/>
      </c>
      <c r="J479" s="55">
        <f>IF(C479="","",ROUND(C479*IF(IFERROR(INDEX('SETTINGS'!$K$5:$K$24,MATCH(E479,'SETTINGS'!$J$5:$J$24,0)),"No")="Yes",FeePct,0),2))</f>
        <v/>
      </c>
      <c r="K479" s="51">
        <f>IF(A479="","",DATE(YEAR(A479),MONTH(A479),1))</f>
        <v/>
      </c>
    </row>
    <row r="480">
      <c r="A480" s="47" t="n"/>
      <c r="B480" s="38" t="n"/>
      <c r="C480" s="48" t="n"/>
      <c r="D480" s="48" t="n"/>
      <c r="E480" s="38" t="n"/>
      <c r="F480" s="38" t="n"/>
      <c r="G480" s="38" t="n"/>
      <c r="H480" s="49">
        <f>IF(B480="","",IFERROR(INDEX('JOBS'!$D$5:$D$1504,MATCH(B480,'JOBS'!$A$5:$A$1504,0)),"Job ID not found"))</f>
        <v/>
      </c>
      <c r="I480" s="49">
        <f>IF(B480="","",IFERROR(INDEX('JOBS'!$F$5:$F$1504,MATCH(B480,'JOBS'!$A$5:$A$1504,0)),""))</f>
        <v/>
      </c>
      <c r="J480" s="55">
        <f>IF(C480="","",ROUND(C480*IF(IFERROR(INDEX('SETTINGS'!$K$5:$K$24,MATCH(E480,'SETTINGS'!$J$5:$J$24,0)),"No")="Yes",FeePct,0),2))</f>
        <v/>
      </c>
      <c r="K480" s="51">
        <f>IF(A480="","",DATE(YEAR(A480),MONTH(A480),1))</f>
        <v/>
      </c>
    </row>
    <row r="481">
      <c r="A481" s="47" t="n"/>
      <c r="B481" s="38" t="n"/>
      <c r="C481" s="48" t="n"/>
      <c r="D481" s="48" t="n"/>
      <c r="E481" s="38" t="n"/>
      <c r="F481" s="38" t="n"/>
      <c r="G481" s="38" t="n"/>
      <c r="H481" s="49">
        <f>IF(B481="","",IFERROR(INDEX('JOBS'!$D$5:$D$1504,MATCH(B481,'JOBS'!$A$5:$A$1504,0)),"Job ID not found"))</f>
        <v/>
      </c>
      <c r="I481" s="49">
        <f>IF(B481="","",IFERROR(INDEX('JOBS'!$F$5:$F$1504,MATCH(B481,'JOBS'!$A$5:$A$1504,0)),""))</f>
        <v/>
      </c>
      <c r="J481" s="55">
        <f>IF(C481="","",ROUND(C481*IF(IFERROR(INDEX('SETTINGS'!$K$5:$K$24,MATCH(E481,'SETTINGS'!$J$5:$J$24,0)),"No")="Yes",FeePct,0),2))</f>
        <v/>
      </c>
      <c r="K481" s="51">
        <f>IF(A481="","",DATE(YEAR(A481),MONTH(A481),1))</f>
        <v/>
      </c>
    </row>
    <row r="482">
      <c r="A482" s="47" t="n"/>
      <c r="B482" s="38" t="n"/>
      <c r="C482" s="48" t="n"/>
      <c r="D482" s="48" t="n"/>
      <c r="E482" s="38" t="n"/>
      <c r="F482" s="38" t="n"/>
      <c r="G482" s="38" t="n"/>
      <c r="H482" s="49">
        <f>IF(B482="","",IFERROR(INDEX('JOBS'!$D$5:$D$1504,MATCH(B482,'JOBS'!$A$5:$A$1504,0)),"Job ID not found"))</f>
        <v/>
      </c>
      <c r="I482" s="49">
        <f>IF(B482="","",IFERROR(INDEX('JOBS'!$F$5:$F$1504,MATCH(B482,'JOBS'!$A$5:$A$1504,0)),""))</f>
        <v/>
      </c>
      <c r="J482" s="55">
        <f>IF(C482="","",ROUND(C482*IF(IFERROR(INDEX('SETTINGS'!$K$5:$K$24,MATCH(E482,'SETTINGS'!$J$5:$J$24,0)),"No")="Yes",FeePct,0),2))</f>
        <v/>
      </c>
      <c r="K482" s="51">
        <f>IF(A482="","",DATE(YEAR(A482),MONTH(A482),1))</f>
        <v/>
      </c>
    </row>
    <row r="483">
      <c r="A483" s="47" t="n"/>
      <c r="B483" s="38" t="n"/>
      <c r="C483" s="48" t="n"/>
      <c r="D483" s="48" t="n"/>
      <c r="E483" s="38" t="n"/>
      <c r="F483" s="38" t="n"/>
      <c r="G483" s="38" t="n"/>
      <c r="H483" s="49">
        <f>IF(B483="","",IFERROR(INDEX('JOBS'!$D$5:$D$1504,MATCH(B483,'JOBS'!$A$5:$A$1504,0)),"Job ID not found"))</f>
        <v/>
      </c>
      <c r="I483" s="49">
        <f>IF(B483="","",IFERROR(INDEX('JOBS'!$F$5:$F$1504,MATCH(B483,'JOBS'!$A$5:$A$1504,0)),""))</f>
        <v/>
      </c>
      <c r="J483" s="55">
        <f>IF(C483="","",ROUND(C483*IF(IFERROR(INDEX('SETTINGS'!$K$5:$K$24,MATCH(E483,'SETTINGS'!$J$5:$J$24,0)),"No")="Yes",FeePct,0),2))</f>
        <v/>
      </c>
      <c r="K483" s="51">
        <f>IF(A483="","",DATE(YEAR(A483),MONTH(A483),1))</f>
        <v/>
      </c>
    </row>
    <row r="484">
      <c r="A484" s="47" t="n"/>
      <c r="B484" s="38" t="n"/>
      <c r="C484" s="48" t="n"/>
      <c r="D484" s="48" t="n"/>
      <c r="E484" s="38" t="n"/>
      <c r="F484" s="38" t="n"/>
      <c r="G484" s="38" t="n"/>
      <c r="H484" s="49">
        <f>IF(B484="","",IFERROR(INDEX('JOBS'!$D$5:$D$1504,MATCH(B484,'JOBS'!$A$5:$A$1504,0)),"Job ID not found"))</f>
        <v/>
      </c>
      <c r="I484" s="49">
        <f>IF(B484="","",IFERROR(INDEX('JOBS'!$F$5:$F$1504,MATCH(B484,'JOBS'!$A$5:$A$1504,0)),""))</f>
        <v/>
      </c>
      <c r="J484" s="55">
        <f>IF(C484="","",ROUND(C484*IF(IFERROR(INDEX('SETTINGS'!$K$5:$K$24,MATCH(E484,'SETTINGS'!$J$5:$J$24,0)),"No")="Yes",FeePct,0),2))</f>
        <v/>
      </c>
      <c r="K484" s="51">
        <f>IF(A484="","",DATE(YEAR(A484),MONTH(A484),1))</f>
        <v/>
      </c>
    </row>
    <row r="485">
      <c r="A485" s="47" t="n"/>
      <c r="B485" s="38" t="n"/>
      <c r="C485" s="48" t="n"/>
      <c r="D485" s="48" t="n"/>
      <c r="E485" s="38" t="n"/>
      <c r="F485" s="38" t="n"/>
      <c r="G485" s="38" t="n"/>
      <c r="H485" s="49">
        <f>IF(B485="","",IFERROR(INDEX('JOBS'!$D$5:$D$1504,MATCH(B485,'JOBS'!$A$5:$A$1504,0)),"Job ID not found"))</f>
        <v/>
      </c>
      <c r="I485" s="49">
        <f>IF(B485="","",IFERROR(INDEX('JOBS'!$F$5:$F$1504,MATCH(B485,'JOBS'!$A$5:$A$1504,0)),""))</f>
        <v/>
      </c>
      <c r="J485" s="55">
        <f>IF(C485="","",ROUND(C485*IF(IFERROR(INDEX('SETTINGS'!$K$5:$K$24,MATCH(E485,'SETTINGS'!$J$5:$J$24,0)),"No")="Yes",FeePct,0),2))</f>
        <v/>
      </c>
      <c r="K485" s="51">
        <f>IF(A485="","",DATE(YEAR(A485),MONTH(A485),1))</f>
        <v/>
      </c>
    </row>
    <row r="486">
      <c r="A486" s="47" t="n"/>
      <c r="B486" s="38" t="n"/>
      <c r="C486" s="48" t="n"/>
      <c r="D486" s="48" t="n"/>
      <c r="E486" s="38" t="n"/>
      <c r="F486" s="38" t="n"/>
      <c r="G486" s="38" t="n"/>
      <c r="H486" s="49">
        <f>IF(B486="","",IFERROR(INDEX('JOBS'!$D$5:$D$1504,MATCH(B486,'JOBS'!$A$5:$A$1504,0)),"Job ID not found"))</f>
        <v/>
      </c>
      <c r="I486" s="49">
        <f>IF(B486="","",IFERROR(INDEX('JOBS'!$F$5:$F$1504,MATCH(B486,'JOBS'!$A$5:$A$1504,0)),""))</f>
        <v/>
      </c>
      <c r="J486" s="55">
        <f>IF(C486="","",ROUND(C486*IF(IFERROR(INDEX('SETTINGS'!$K$5:$K$24,MATCH(E486,'SETTINGS'!$J$5:$J$24,0)),"No")="Yes",FeePct,0),2))</f>
        <v/>
      </c>
      <c r="K486" s="51">
        <f>IF(A486="","",DATE(YEAR(A486),MONTH(A486),1))</f>
        <v/>
      </c>
    </row>
    <row r="487">
      <c r="A487" s="47" t="n"/>
      <c r="B487" s="38" t="n"/>
      <c r="C487" s="48" t="n"/>
      <c r="D487" s="48" t="n"/>
      <c r="E487" s="38" t="n"/>
      <c r="F487" s="38" t="n"/>
      <c r="G487" s="38" t="n"/>
      <c r="H487" s="49">
        <f>IF(B487="","",IFERROR(INDEX('JOBS'!$D$5:$D$1504,MATCH(B487,'JOBS'!$A$5:$A$1504,0)),"Job ID not found"))</f>
        <v/>
      </c>
      <c r="I487" s="49">
        <f>IF(B487="","",IFERROR(INDEX('JOBS'!$F$5:$F$1504,MATCH(B487,'JOBS'!$A$5:$A$1504,0)),""))</f>
        <v/>
      </c>
      <c r="J487" s="55">
        <f>IF(C487="","",ROUND(C487*IF(IFERROR(INDEX('SETTINGS'!$K$5:$K$24,MATCH(E487,'SETTINGS'!$J$5:$J$24,0)),"No")="Yes",FeePct,0),2))</f>
        <v/>
      </c>
      <c r="K487" s="51">
        <f>IF(A487="","",DATE(YEAR(A487),MONTH(A487),1))</f>
        <v/>
      </c>
    </row>
    <row r="488">
      <c r="A488" s="47" t="n"/>
      <c r="B488" s="38" t="n"/>
      <c r="C488" s="48" t="n"/>
      <c r="D488" s="48" t="n"/>
      <c r="E488" s="38" t="n"/>
      <c r="F488" s="38" t="n"/>
      <c r="G488" s="38" t="n"/>
      <c r="H488" s="49">
        <f>IF(B488="","",IFERROR(INDEX('JOBS'!$D$5:$D$1504,MATCH(B488,'JOBS'!$A$5:$A$1504,0)),"Job ID not found"))</f>
        <v/>
      </c>
      <c r="I488" s="49">
        <f>IF(B488="","",IFERROR(INDEX('JOBS'!$F$5:$F$1504,MATCH(B488,'JOBS'!$A$5:$A$1504,0)),""))</f>
        <v/>
      </c>
      <c r="J488" s="55">
        <f>IF(C488="","",ROUND(C488*IF(IFERROR(INDEX('SETTINGS'!$K$5:$K$24,MATCH(E488,'SETTINGS'!$J$5:$J$24,0)),"No")="Yes",FeePct,0),2))</f>
        <v/>
      </c>
      <c r="K488" s="51">
        <f>IF(A488="","",DATE(YEAR(A488),MONTH(A488),1))</f>
        <v/>
      </c>
    </row>
    <row r="489">
      <c r="A489" s="47" t="n"/>
      <c r="B489" s="38" t="n"/>
      <c r="C489" s="48" t="n"/>
      <c r="D489" s="48" t="n"/>
      <c r="E489" s="38" t="n"/>
      <c r="F489" s="38" t="n"/>
      <c r="G489" s="38" t="n"/>
      <c r="H489" s="49">
        <f>IF(B489="","",IFERROR(INDEX('JOBS'!$D$5:$D$1504,MATCH(B489,'JOBS'!$A$5:$A$1504,0)),"Job ID not found"))</f>
        <v/>
      </c>
      <c r="I489" s="49">
        <f>IF(B489="","",IFERROR(INDEX('JOBS'!$F$5:$F$1504,MATCH(B489,'JOBS'!$A$5:$A$1504,0)),""))</f>
        <v/>
      </c>
      <c r="J489" s="55">
        <f>IF(C489="","",ROUND(C489*IF(IFERROR(INDEX('SETTINGS'!$K$5:$K$24,MATCH(E489,'SETTINGS'!$J$5:$J$24,0)),"No")="Yes",FeePct,0),2))</f>
        <v/>
      </c>
      <c r="K489" s="51">
        <f>IF(A489="","",DATE(YEAR(A489),MONTH(A489),1))</f>
        <v/>
      </c>
    </row>
    <row r="490">
      <c r="A490" s="47" t="n"/>
      <c r="B490" s="38" t="n"/>
      <c r="C490" s="48" t="n"/>
      <c r="D490" s="48" t="n"/>
      <c r="E490" s="38" t="n"/>
      <c r="F490" s="38" t="n"/>
      <c r="G490" s="38" t="n"/>
      <c r="H490" s="49">
        <f>IF(B490="","",IFERROR(INDEX('JOBS'!$D$5:$D$1504,MATCH(B490,'JOBS'!$A$5:$A$1504,0)),"Job ID not found"))</f>
        <v/>
      </c>
      <c r="I490" s="49">
        <f>IF(B490="","",IFERROR(INDEX('JOBS'!$F$5:$F$1504,MATCH(B490,'JOBS'!$A$5:$A$1504,0)),""))</f>
        <v/>
      </c>
      <c r="J490" s="55">
        <f>IF(C490="","",ROUND(C490*IF(IFERROR(INDEX('SETTINGS'!$K$5:$K$24,MATCH(E490,'SETTINGS'!$J$5:$J$24,0)),"No")="Yes",FeePct,0),2))</f>
        <v/>
      </c>
      <c r="K490" s="51">
        <f>IF(A490="","",DATE(YEAR(A490),MONTH(A490),1))</f>
        <v/>
      </c>
    </row>
    <row r="491">
      <c r="A491" s="47" t="n"/>
      <c r="B491" s="38" t="n"/>
      <c r="C491" s="48" t="n"/>
      <c r="D491" s="48" t="n"/>
      <c r="E491" s="38" t="n"/>
      <c r="F491" s="38" t="n"/>
      <c r="G491" s="38" t="n"/>
      <c r="H491" s="49">
        <f>IF(B491="","",IFERROR(INDEX('JOBS'!$D$5:$D$1504,MATCH(B491,'JOBS'!$A$5:$A$1504,0)),"Job ID not found"))</f>
        <v/>
      </c>
      <c r="I491" s="49">
        <f>IF(B491="","",IFERROR(INDEX('JOBS'!$F$5:$F$1504,MATCH(B491,'JOBS'!$A$5:$A$1504,0)),""))</f>
        <v/>
      </c>
      <c r="J491" s="55">
        <f>IF(C491="","",ROUND(C491*IF(IFERROR(INDEX('SETTINGS'!$K$5:$K$24,MATCH(E491,'SETTINGS'!$J$5:$J$24,0)),"No")="Yes",FeePct,0),2))</f>
        <v/>
      </c>
      <c r="K491" s="51">
        <f>IF(A491="","",DATE(YEAR(A491),MONTH(A491),1))</f>
        <v/>
      </c>
    </row>
    <row r="492">
      <c r="A492" s="47" t="n"/>
      <c r="B492" s="38" t="n"/>
      <c r="C492" s="48" t="n"/>
      <c r="D492" s="48" t="n"/>
      <c r="E492" s="38" t="n"/>
      <c r="F492" s="38" t="n"/>
      <c r="G492" s="38" t="n"/>
      <c r="H492" s="49">
        <f>IF(B492="","",IFERROR(INDEX('JOBS'!$D$5:$D$1504,MATCH(B492,'JOBS'!$A$5:$A$1504,0)),"Job ID not found"))</f>
        <v/>
      </c>
      <c r="I492" s="49">
        <f>IF(B492="","",IFERROR(INDEX('JOBS'!$F$5:$F$1504,MATCH(B492,'JOBS'!$A$5:$A$1504,0)),""))</f>
        <v/>
      </c>
      <c r="J492" s="55">
        <f>IF(C492="","",ROUND(C492*IF(IFERROR(INDEX('SETTINGS'!$K$5:$K$24,MATCH(E492,'SETTINGS'!$J$5:$J$24,0)),"No")="Yes",FeePct,0),2))</f>
        <v/>
      </c>
      <c r="K492" s="51">
        <f>IF(A492="","",DATE(YEAR(A492),MONTH(A492),1))</f>
        <v/>
      </c>
    </row>
    <row r="493">
      <c r="A493" s="47" t="n"/>
      <c r="B493" s="38" t="n"/>
      <c r="C493" s="48" t="n"/>
      <c r="D493" s="48" t="n"/>
      <c r="E493" s="38" t="n"/>
      <c r="F493" s="38" t="n"/>
      <c r="G493" s="38" t="n"/>
      <c r="H493" s="49">
        <f>IF(B493="","",IFERROR(INDEX('JOBS'!$D$5:$D$1504,MATCH(B493,'JOBS'!$A$5:$A$1504,0)),"Job ID not found"))</f>
        <v/>
      </c>
      <c r="I493" s="49">
        <f>IF(B493="","",IFERROR(INDEX('JOBS'!$F$5:$F$1504,MATCH(B493,'JOBS'!$A$5:$A$1504,0)),""))</f>
        <v/>
      </c>
      <c r="J493" s="55">
        <f>IF(C493="","",ROUND(C493*IF(IFERROR(INDEX('SETTINGS'!$K$5:$K$24,MATCH(E493,'SETTINGS'!$J$5:$J$24,0)),"No")="Yes",FeePct,0),2))</f>
        <v/>
      </c>
      <c r="K493" s="51">
        <f>IF(A493="","",DATE(YEAR(A493),MONTH(A493),1))</f>
        <v/>
      </c>
    </row>
    <row r="494">
      <c r="A494" s="47" t="n"/>
      <c r="B494" s="38" t="n"/>
      <c r="C494" s="48" t="n"/>
      <c r="D494" s="48" t="n"/>
      <c r="E494" s="38" t="n"/>
      <c r="F494" s="38" t="n"/>
      <c r="G494" s="38" t="n"/>
      <c r="H494" s="49">
        <f>IF(B494="","",IFERROR(INDEX('JOBS'!$D$5:$D$1504,MATCH(B494,'JOBS'!$A$5:$A$1504,0)),"Job ID not found"))</f>
        <v/>
      </c>
      <c r="I494" s="49">
        <f>IF(B494="","",IFERROR(INDEX('JOBS'!$F$5:$F$1504,MATCH(B494,'JOBS'!$A$5:$A$1504,0)),""))</f>
        <v/>
      </c>
      <c r="J494" s="55">
        <f>IF(C494="","",ROUND(C494*IF(IFERROR(INDEX('SETTINGS'!$K$5:$K$24,MATCH(E494,'SETTINGS'!$J$5:$J$24,0)),"No")="Yes",FeePct,0),2))</f>
        <v/>
      </c>
      <c r="K494" s="51">
        <f>IF(A494="","",DATE(YEAR(A494),MONTH(A494),1))</f>
        <v/>
      </c>
    </row>
    <row r="495">
      <c r="A495" s="47" t="n"/>
      <c r="B495" s="38" t="n"/>
      <c r="C495" s="48" t="n"/>
      <c r="D495" s="48" t="n"/>
      <c r="E495" s="38" t="n"/>
      <c r="F495" s="38" t="n"/>
      <c r="G495" s="38" t="n"/>
      <c r="H495" s="49">
        <f>IF(B495="","",IFERROR(INDEX('JOBS'!$D$5:$D$1504,MATCH(B495,'JOBS'!$A$5:$A$1504,0)),"Job ID not found"))</f>
        <v/>
      </c>
      <c r="I495" s="49">
        <f>IF(B495="","",IFERROR(INDEX('JOBS'!$F$5:$F$1504,MATCH(B495,'JOBS'!$A$5:$A$1504,0)),""))</f>
        <v/>
      </c>
      <c r="J495" s="55">
        <f>IF(C495="","",ROUND(C495*IF(IFERROR(INDEX('SETTINGS'!$K$5:$K$24,MATCH(E495,'SETTINGS'!$J$5:$J$24,0)),"No")="Yes",FeePct,0),2))</f>
        <v/>
      </c>
      <c r="K495" s="51">
        <f>IF(A495="","",DATE(YEAR(A495),MONTH(A495),1))</f>
        <v/>
      </c>
    </row>
    <row r="496">
      <c r="A496" s="47" t="n"/>
      <c r="B496" s="38" t="n"/>
      <c r="C496" s="48" t="n"/>
      <c r="D496" s="48" t="n"/>
      <c r="E496" s="38" t="n"/>
      <c r="F496" s="38" t="n"/>
      <c r="G496" s="38" t="n"/>
      <c r="H496" s="49">
        <f>IF(B496="","",IFERROR(INDEX('JOBS'!$D$5:$D$1504,MATCH(B496,'JOBS'!$A$5:$A$1504,0)),"Job ID not found"))</f>
        <v/>
      </c>
      <c r="I496" s="49">
        <f>IF(B496="","",IFERROR(INDEX('JOBS'!$F$5:$F$1504,MATCH(B496,'JOBS'!$A$5:$A$1504,0)),""))</f>
        <v/>
      </c>
      <c r="J496" s="55">
        <f>IF(C496="","",ROUND(C496*IF(IFERROR(INDEX('SETTINGS'!$K$5:$K$24,MATCH(E496,'SETTINGS'!$J$5:$J$24,0)),"No")="Yes",FeePct,0),2))</f>
        <v/>
      </c>
      <c r="K496" s="51">
        <f>IF(A496="","",DATE(YEAR(A496),MONTH(A496),1))</f>
        <v/>
      </c>
    </row>
    <row r="497">
      <c r="A497" s="47" t="n"/>
      <c r="B497" s="38" t="n"/>
      <c r="C497" s="48" t="n"/>
      <c r="D497" s="48" t="n"/>
      <c r="E497" s="38" t="n"/>
      <c r="F497" s="38" t="n"/>
      <c r="G497" s="38" t="n"/>
      <c r="H497" s="49">
        <f>IF(B497="","",IFERROR(INDEX('JOBS'!$D$5:$D$1504,MATCH(B497,'JOBS'!$A$5:$A$1504,0)),"Job ID not found"))</f>
        <v/>
      </c>
      <c r="I497" s="49">
        <f>IF(B497="","",IFERROR(INDEX('JOBS'!$F$5:$F$1504,MATCH(B497,'JOBS'!$A$5:$A$1504,0)),""))</f>
        <v/>
      </c>
      <c r="J497" s="55">
        <f>IF(C497="","",ROUND(C497*IF(IFERROR(INDEX('SETTINGS'!$K$5:$K$24,MATCH(E497,'SETTINGS'!$J$5:$J$24,0)),"No")="Yes",FeePct,0),2))</f>
        <v/>
      </c>
      <c r="K497" s="51">
        <f>IF(A497="","",DATE(YEAR(A497),MONTH(A497),1))</f>
        <v/>
      </c>
    </row>
    <row r="498">
      <c r="A498" s="47" t="n"/>
      <c r="B498" s="38" t="n"/>
      <c r="C498" s="48" t="n"/>
      <c r="D498" s="48" t="n"/>
      <c r="E498" s="38" t="n"/>
      <c r="F498" s="38" t="n"/>
      <c r="G498" s="38" t="n"/>
      <c r="H498" s="49">
        <f>IF(B498="","",IFERROR(INDEX('JOBS'!$D$5:$D$1504,MATCH(B498,'JOBS'!$A$5:$A$1504,0)),"Job ID not found"))</f>
        <v/>
      </c>
      <c r="I498" s="49">
        <f>IF(B498="","",IFERROR(INDEX('JOBS'!$F$5:$F$1504,MATCH(B498,'JOBS'!$A$5:$A$1504,0)),""))</f>
        <v/>
      </c>
      <c r="J498" s="55">
        <f>IF(C498="","",ROUND(C498*IF(IFERROR(INDEX('SETTINGS'!$K$5:$K$24,MATCH(E498,'SETTINGS'!$J$5:$J$24,0)),"No")="Yes",FeePct,0),2))</f>
        <v/>
      </c>
      <c r="K498" s="51">
        <f>IF(A498="","",DATE(YEAR(A498),MONTH(A498),1))</f>
        <v/>
      </c>
    </row>
    <row r="499">
      <c r="A499" s="47" t="n"/>
      <c r="B499" s="38" t="n"/>
      <c r="C499" s="48" t="n"/>
      <c r="D499" s="48" t="n"/>
      <c r="E499" s="38" t="n"/>
      <c r="F499" s="38" t="n"/>
      <c r="G499" s="38" t="n"/>
      <c r="H499" s="49">
        <f>IF(B499="","",IFERROR(INDEX('JOBS'!$D$5:$D$1504,MATCH(B499,'JOBS'!$A$5:$A$1504,0)),"Job ID not found"))</f>
        <v/>
      </c>
      <c r="I499" s="49">
        <f>IF(B499="","",IFERROR(INDEX('JOBS'!$F$5:$F$1504,MATCH(B499,'JOBS'!$A$5:$A$1504,0)),""))</f>
        <v/>
      </c>
      <c r="J499" s="55">
        <f>IF(C499="","",ROUND(C499*IF(IFERROR(INDEX('SETTINGS'!$K$5:$K$24,MATCH(E499,'SETTINGS'!$J$5:$J$24,0)),"No")="Yes",FeePct,0),2))</f>
        <v/>
      </c>
      <c r="K499" s="51">
        <f>IF(A499="","",DATE(YEAR(A499),MONTH(A499),1))</f>
        <v/>
      </c>
    </row>
    <row r="500">
      <c r="A500" s="47" t="n"/>
      <c r="B500" s="38" t="n"/>
      <c r="C500" s="48" t="n"/>
      <c r="D500" s="48" t="n"/>
      <c r="E500" s="38" t="n"/>
      <c r="F500" s="38" t="n"/>
      <c r="G500" s="38" t="n"/>
      <c r="H500" s="49">
        <f>IF(B500="","",IFERROR(INDEX('JOBS'!$D$5:$D$1504,MATCH(B500,'JOBS'!$A$5:$A$1504,0)),"Job ID not found"))</f>
        <v/>
      </c>
      <c r="I500" s="49">
        <f>IF(B500="","",IFERROR(INDEX('JOBS'!$F$5:$F$1504,MATCH(B500,'JOBS'!$A$5:$A$1504,0)),""))</f>
        <v/>
      </c>
      <c r="J500" s="55">
        <f>IF(C500="","",ROUND(C500*IF(IFERROR(INDEX('SETTINGS'!$K$5:$K$24,MATCH(E500,'SETTINGS'!$J$5:$J$24,0)),"No")="Yes",FeePct,0),2))</f>
        <v/>
      </c>
      <c r="K500" s="51">
        <f>IF(A500="","",DATE(YEAR(A500),MONTH(A500),1))</f>
        <v/>
      </c>
    </row>
    <row r="501">
      <c r="A501" s="47" t="n"/>
      <c r="B501" s="38" t="n"/>
      <c r="C501" s="48" t="n"/>
      <c r="D501" s="48" t="n"/>
      <c r="E501" s="38" t="n"/>
      <c r="F501" s="38" t="n"/>
      <c r="G501" s="38" t="n"/>
      <c r="H501" s="49">
        <f>IF(B501="","",IFERROR(INDEX('JOBS'!$D$5:$D$1504,MATCH(B501,'JOBS'!$A$5:$A$1504,0)),"Job ID not found"))</f>
        <v/>
      </c>
      <c r="I501" s="49">
        <f>IF(B501="","",IFERROR(INDEX('JOBS'!$F$5:$F$1504,MATCH(B501,'JOBS'!$A$5:$A$1504,0)),""))</f>
        <v/>
      </c>
      <c r="J501" s="55">
        <f>IF(C501="","",ROUND(C501*IF(IFERROR(INDEX('SETTINGS'!$K$5:$K$24,MATCH(E501,'SETTINGS'!$J$5:$J$24,0)),"No")="Yes",FeePct,0),2))</f>
        <v/>
      </c>
      <c r="K501" s="51">
        <f>IF(A501="","",DATE(YEAR(A501),MONTH(A501),1))</f>
        <v/>
      </c>
    </row>
    <row r="502">
      <c r="A502" s="47" t="n"/>
      <c r="B502" s="38" t="n"/>
      <c r="C502" s="48" t="n"/>
      <c r="D502" s="48" t="n"/>
      <c r="E502" s="38" t="n"/>
      <c r="F502" s="38" t="n"/>
      <c r="G502" s="38" t="n"/>
      <c r="H502" s="49">
        <f>IF(B502="","",IFERROR(INDEX('JOBS'!$D$5:$D$1504,MATCH(B502,'JOBS'!$A$5:$A$1504,0)),"Job ID not found"))</f>
        <v/>
      </c>
      <c r="I502" s="49">
        <f>IF(B502="","",IFERROR(INDEX('JOBS'!$F$5:$F$1504,MATCH(B502,'JOBS'!$A$5:$A$1504,0)),""))</f>
        <v/>
      </c>
      <c r="J502" s="55">
        <f>IF(C502="","",ROUND(C502*IF(IFERROR(INDEX('SETTINGS'!$K$5:$K$24,MATCH(E502,'SETTINGS'!$J$5:$J$24,0)),"No")="Yes",FeePct,0),2))</f>
        <v/>
      </c>
      <c r="K502" s="51">
        <f>IF(A502="","",DATE(YEAR(A502),MONTH(A502),1))</f>
        <v/>
      </c>
    </row>
    <row r="503">
      <c r="A503" s="47" t="n"/>
      <c r="B503" s="38" t="n"/>
      <c r="C503" s="48" t="n"/>
      <c r="D503" s="48" t="n"/>
      <c r="E503" s="38" t="n"/>
      <c r="F503" s="38" t="n"/>
      <c r="G503" s="38" t="n"/>
      <c r="H503" s="49">
        <f>IF(B503="","",IFERROR(INDEX('JOBS'!$D$5:$D$1504,MATCH(B503,'JOBS'!$A$5:$A$1504,0)),"Job ID not found"))</f>
        <v/>
      </c>
      <c r="I503" s="49">
        <f>IF(B503="","",IFERROR(INDEX('JOBS'!$F$5:$F$1504,MATCH(B503,'JOBS'!$A$5:$A$1504,0)),""))</f>
        <v/>
      </c>
      <c r="J503" s="55">
        <f>IF(C503="","",ROUND(C503*IF(IFERROR(INDEX('SETTINGS'!$K$5:$K$24,MATCH(E503,'SETTINGS'!$J$5:$J$24,0)),"No")="Yes",FeePct,0),2))</f>
        <v/>
      </c>
      <c r="K503" s="51">
        <f>IF(A503="","",DATE(YEAR(A503),MONTH(A503),1))</f>
        <v/>
      </c>
    </row>
    <row r="504">
      <c r="A504" s="47" t="n"/>
      <c r="B504" s="38" t="n"/>
      <c r="C504" s="48" t="n"/>
      <c r="D504" s="48" t="n"/>
      <c r="E504" s="38" t="n"/>
      <c r="F504" s="38" t="n"/>
      <c r="G504" s="38" t="n"/>
      <c r="H504" s="49">
        <f>IF(B504="","",IFERROR(INDEX('JOBS'!$D$5:$D$1504,MATCH(B504,'JOBS'!$A$5:$A$1504,0)),"Job ID not found"))</f>
        <v/>
      </c>
      <c r="I504" s="49">
        <f>IF(B504="","",IFERROR(INDEX('JOBS'!$F$5:$F$1504,MATCH(B504,'JOBS'!$A$5:$A$1504,0)),""))</f>
        <v/>
      </c>
      <c r="J504" s="55">
        <f>IF(C504="","",ROUND(C504*IF(IFERROR(INDEX('SETTINGS'!$K$5:$K$24,MATCH(E504,'SETTINGS'!$J$5:$J$24,0)),"No")="Yes",FeePct,0),2))</f>
        <v/>
      </c>
      <c r="K504" s="51">
        <f>IF(A504="","",DATE(YEAR(A504),MONTH(A504),1))</f>
        <v/>
      </c>
    </row>
    <row r="505">
      <c r="A505" s="47" t="n"/>
      <c r="B505" s="38" t="n"/>
      <c r="C505" s="48" t="n"/>
      <c r="D505" s="48" t="n"/>
      <c r="E505" s="38" t="n"/>
      <c r="F505" s="38" t="n"/>
      <c r="G505" s="38" t="n"/>
      <c r="H505" s="49">
        <f>IF(B505="","",IFERROR(INDEX('JOBS'!$D$5:$D$1504,MATCH(B505,'JOBS'!$A$5:$A$1504,0)),"Job ID not found"))</f>
        <v/>
      </c>
      <c r="I505" s="49">
        <f>IF(B505="","",IFERROR(INDEX('JOBS'!$F$5:$F$1504,MATCH(B505,'JOBS'!$A$5:$A$1504,0)),""))</f>
        <v/>
      </c>
      <c r="J505" s="55">
        <f>IF(C505="","",ROUND(C505*IF(IFERROR(INDEX('SETTINGS'!$K$5:$K$24,MATCH(E505,'SETTINGS'!$J$5:$J$24,0)),"No")="Yes",FeePct,0),2))</f>
        <v/>
      </c>
      <c r="K505" s="51">
        <f>IF(A505="","",DATE(YEAR(A505),MONTH(A505),1))</f>
        <v/>
      </c>
    </row>
    <row r="506">
      <c r="A506" s="47" t="n"/>
      <c r="B506" s="38" t="n"/>
      <c r="C506" s="48" t="n"/>
      <c r="D506" s="48" t="n"/>
      <c r="E506" s="38" t="n"/>
      <c r="F506" s="38" t="n"/>
      <c r="G506" s="38" t="n"/>
      <c r="H506" s="49">
        <f>IF(B506="","",IFERROR(INDEX('JOBS'!$D$5:$D$1504,MATCH(B506,'JOBS'!$A$5:$A$1504,0)),"Job ID not found"))</f>
        <v/>
      </c>
      <c r="I506" s="49">
        <f>IF(B506="","",IFERROR(INDEX('JOBS'!$F$5:$F$1504,MATCH(B506,'JOBS'!$A$5:$A$1504,0)),""))</f>
        <v/>
      </c>
      <c r="J506" s="55">
        <f>IF(C506="","",ROUND(C506*IF(IFERROR(INDEX('SETTINGS'!$K$5:$K$24,MATCH(E506,'SETTINGS'!$J$5:$J$24,0)),"No")="Yes",FeePct,0),2))</f>
        <v/>
      </c>
      <c r="K506" s="51">
        <f>IF(A506="","",DATE(YEAR(A506),MONTH(A506),1))</f>
        <v/>
      </c>
    </row>
    <row r="507">
      <c r="A507" s="47" t="n"/>
      <c r="B507" s="38" t="n"/>
      <c r="C507" s="48" t="n"/>
      <c r="D507" s="48" t="n"/>
      <c r="E507" s="38" t="n"/>
      <c r="F507" s="38" t="n"/>
      <c r="G507" s="38" t="n"/>
      <c r="H507" s="49">
        <f>IF(B507="","",IFERROR(INDEX('JOBS'!$D$5:$D$1504,MATCH(B507,'JOBS'!$A$5:$A$1504,0)),"Job ID not found"))</f>
        <v/>
      </c>
      <c r="I507" s="49">
        <f>IF(B507="","",IFERROR(INDEX('JOBS'!$F$5:$F$1504,MATCH(B507,'JOBS'!$A$5:$A$1504,0)),""))</f>
        <v/>
      </c>
      <c r="J507" s="55">
        <f>IF(C507="","",ROUND(C507*IF(IFERROR(INDEX('SETTINGS'!$K$5:$K$24,MATCH(E507,'SETTINGS'!$J$5:$J$24,0)),"No")="Yes",FeePct,0),2))</f>
        <v/>
      </c>
      <c r="K507" s="51">
        <f>IF(A507="","",DATE(YEAR(A507),MONTH(A507),1))</f>
        <v/>
      </c>
    </row>
    <row r="508">
      <c r="A508" s="47" t="n"/>
      <c r="B508" s="38" t="n"/>
      <c r="C508" s="48" t="n"/>
      <c r="D508" s="48" t="n"/>
      <c r="E508" s="38" t="n"/>
      <c r="F508" s="38" t="n"/>
      <c r="G508" s="38" t="n"/>
      <c r="H508" s="49">
        <f>IF(B508="","",IFERROR(INDEX('JOBS'!$D$5:$D$1504,MATCH(B508,'JOBS'!$A$5:$A$1504,0)),"Job ID not found"))</f>
        <v/>
      </c>
      <c r="I508" s="49">
        <f>IF(B508="","",IFERROR(INDEX('JOBS'!$F$5:$F$1504,MATCH(B508,'JOBS'!$A$5:$A$1504,0)),""))</f>
        <v/>
      </c>
      <c r="J508" s="55">
        <f>IF(C508="","",ROUND(C508*IF(IFERROR(INDEX('SETTINGS'!$K$5:$K$24,MATCH(E508,'SETTINGS'!$J$5:$J$24,0)),"No")="Yes",FeePct,0),2))</f>
        <v/>
      </c>
      <c r="K508" s="51">
        <f>IF(A508="","",DATE(YEAR(A508),MONTH(A508),1))</f>
        <v/>
      </c>
    </row>
    <row r="509">
      <c r="A509" s="47" t="n"/>
      <c r="B509" s="38" t="n"/>
      <c r="C509" s="48" t="n"/>
      <c r="D509" s="48" t="n"/>
      <c r="E509" s="38" t="n"/>
      <c r="F509" s="38" t="n"/>
      <c r="G509" s="38" t="n"/>
      <c r="H509" s="49">
        <f>IF(B509="","",IFERROR(INDEX('JOBS'!$D$5:$D$1504,MATCH(B509,'JOBS'!$A$5:$A$1504,0)),"Job ID not found"))</f>
        <v/>
      </c>
      <c r="I509" s="49">
        <f>IF(B509="","",IFERROR(INDEX('JOBS'!$F$5:$F$1504,MATCH(B509,'JOBS'!$A$5:$A$1504,0)),""))</f>
        <v/>
      </c>
      <c r="J509" s="55">
        <f>IF(C509="","",ROUND(C509*IF(IFERROR(INDEX('SETTINGS'!$K$5:$K$24,MATCH(E509,'SETTINGS'!$J$5:$J$24,0)),"No")="Yes",FeePct,0),2))</f>
        <v/>
      </c>
      <c r="K509" s="51">
        <f>IF(A509="","",DATE(YEAR(A509),MONTH(A509),1))</f>
        <v/>
      </c>
    </row>
    <row r="510">
      <c r="A510" s="47" t="n"/>
      <c r="B510" s="38" t="n"/>
      <c r="C510" s="48" t="n"/>
      <c r="D510" s="48" t="n"/>
      <c r="E510" s="38" t="n"/>
      <c r="F510" s="38" t="n"/>
      <c r="G510" s="38" t="n"/>
      <c r="H510" s="49">
        <f>IF(B510="","",IFERROR(INDEX('JOBS'!$D$5:$D$1504,MATCH(B510,'JOBS'!$A$5:$A$1504,0)),"Job ID not found"))</f>
        <v/>
      </c>
      <c r="I510" s="49">
        <f>IF(B510="","",IFERROR(INDEX('JOBS'!$F$5:$F$1504,MATCH(B510,'JOBS'!$A$5:$A$1504,0)),""))</f>
        <v/>
      </c>
      <c r="J510" s="55">
        <f>IF(C510="","",ROUND(C510*IF(IFERROR(INDEX('SETTINGS'!$K$5:$K$24,MATCH(E510,'SETTINGS'!$J$5:$J$24,0)),"No")="Yes",FeePct,0),2))</f>
        <v/>
      </c>
      <c r="K510" s="51">
        <f>IF(A510="","",DATE(YEAR(A510),MONTH(A510),1))</f>
        <v/>
      </c>
    </row>
    <row r="511">
      <c r="A511" s="47" t="n"/>
      <c r="B511" s="38" t="n"/>
      <c r="C511" s="48" t="n"/>
      <c r="D511" s="48" t="n"/>
      <c r="E511" s="38" t="n"/>
      <c r="F511" s="38" t="n"/>
      <c r="G511" s="38" t="n"/>
      <c r="H511" s="49">
        <f>IF(B511="","",IFERROR(INDEX('JOBS'!$D$5:$D$1504,MATCH(B511,'JOBS'!$A$5:$A$1504,0)),"Job ID not found"))</f>
        <v/>
      </c>
      <c r="I511" s="49">
        <f>IF(B511="","",IFERROR(INDEX('JOBS'!$F$5:$F$1504,MATCH(B511,'JOBS'!$A$5:$A$1504,0)),""))</f>
        <v/>
      </c>
      <c r="J511" s="55">
        <f>IF(C511="","",ROUND(C511*IF(IFERROR(INDEX('SETTINGS'!$K$5:$K$24,MATCH(E511,'SETTINGS'!$J$5:$J$24,0)),"No")="Yes",FeePct,0),2))</f>
        <v/>
      </c>
      <c r="K511" s="51">
        <f>IF(A511="","",DATE(YEAR(A511),MONTH(A511),1))</f>
        <v/>
      </c>
    </row>
    <row r="512">
      <c r="A512" s="47" t="n"/>
      <c r="B512" s="38" t="n"/>
      <c r="C512" s="48" t="n"/>
      <c r="D512" s="48" t="n"/>
      <c r="E512" s="38" t="n"/>
      <c r="F512" s="38" t="n"/>
      <c r="G512" s="38" t="n"/>
      <c r="H512" s="49">
        <f>IF(B512="","",IFERROR(INDEX('JOBS'!$D$5:$D$1504,MATCH(B512,'JOBS'!$A$5:$A$1504,0)),"Job ID not found"))</f>
        <v/>
      </c>
      <c r="I512" s="49">
        <f>IF(B512="","",IFERROR(INDEX('JOBS'!$F$5:$F$1504,MATCH(B512,'JOBS'!$A$5:$A$1504,0)),""))</f>
        <v/>
      </c>
      <c r="J512" s="55">
        <f>IF(C512="","",ROUND(C512*IF(IFERROR(INDEX('SETTINGS'!$K$5:$K$24,MATCH(E512,'SETTINGS'!$J$5:$J$24,0)),"No")="Yes",FeePct,0),2))</f>
        <v/>
      </c>
      <c r="K512" s="51">
        <f>IF(A512="","",DATE(YEAR(A512),MONTH(A512),1))</f>
        <v/>
      </c>
    </row>
    <row r="513">
      <c r="A513" s="47" t="n"/>
      <c r="B513" s="38" t="n"/>
      <c r="C513" s="48" t="n"/>
      <c r="D513" s="48" t="n"/>
      <c r="E513" s="38" t="n"/>
      <c r="F513" s="38" t="n"/>
      <c r="G513" s="38" t="n"/>
      <c r="H513" s="49">
        <f>IF(B513="","",IFERROR(INDEX('JOBS'!$D$5:$D$1504,MATCH(B513,'JOBS'!$A$5:$A$1504,0)),"Job ID not found"))</f>
        <v/>
      </c>
      <c r="I513" s="49">
        <f>IF(B513="","",IFERROR(INDEX('JOBS'!$F$5:$F$1504,MATCH(B513,'JOBS'!$A$5:$A$1504,0)),""))</f>
        <v/>
      </c>
      <c r="J513" s="55">
        <f>IF(C513="","",ROUND(C513*IF(IFERROR(INDEX('SETTINGS'!$K$5:$K$24,MATCH(E513,'SETTINGS'!$J$5:$J$24,0)),"No")="Yes",FeePct,0),2))</f>
        <v/>
      </c>
      <c r="K513" s="51">
        <f>IF(A513="","",DATE(YEAR(A513),MONTH(A513),1))</f>
        <v/>
      </c>
    </row>
    <row r="514">
      <c r="A514" s="47" t="n"/>
      <c r="B514" s="38" t="n"/>
      <c r="C514" s="48" t="n"/>
      <c r="D514" s="48" t="n"/>
      <c r="E514" s="38" t="n"/>
      <c r="F514" s="38" t="n"/>
      <c r="G514" s="38" t="n"/>
      <c r="H514" s="49">
        <f>IF(B514="","",IFERROR(INDEX('JOBS'!$D$5:$D$1504,MATCH(B514,'JOBS'!$A$5:$A$1504,0)),"Job ID not found"))</f>
        <v/>
      </c>
      <c r="I514" s="49">
        <f>IF(B514="","",IFERROR(INDEX('JOBS'!$F$5:$F$1504,MATCH(B514,'JOBS'!$A$5:$A$1504,0)),""))</f>
        <v/>
      </c>
      <c r="J514" s="55">
        <f>IF(C514="","",ROUND(C514*IF(IFERROR(INDEX('SETTINGS'!$K$5:$K$24,MATCH(E514,'SETTINGS'!$J$5:$J$24,0)),"No")="Yes",FeePct,0),2))</f>
        <v/>
      </c>
      <c r="K514" s="51">
        <f>IF(A514="","",DATE(YEAR(A514),MONTH(A514),1))</f>
        <v/>
      </c>
    </row>
    <row r="515">
      <c r="A515" s="47" t="n"/>
      <c r="B515" s="38" t="n"/>
      <c r="C515" s="48" t="n"/>
      <c r="D515" s="48" t="n"/>
      <c r="E515" s="38" t="n"/>
      <c r="F515" s="38" t="n"/>
      <c r="G515" s="38" t="n"/>
      <c r="H515" s="49">
        <f>IF(B515="","",IFERROR(INDEX('JOBS'!$D$5:$D$1504,MATCH(B515,'JOBS'!$A$5:$A$1504,0)),"Job ID not found"))</f>
        <v/>
      </c>
      <c r="I515" s="49">
        <f>IF(B515="","",IFERROR(INDEX('JOBS'!$F$5:$F$1504,MATCH(B515,'JOBS'!$A$5:$A$1504,0)),""))</f>
        <v/>
      </c>
      <c r="J515" s="55">
        <f>IF(C515="","",ROUND(C515*IF(IFERROR(INDEX('SETTINGS'!$K$5:$K$24,MATCH(E515,'SETTINGS'!$J$5:$J$24,0)),"No")="Yes",FeePct,0),2))</f>
        <v/>
      </c>
      <c r="K515" s="51">
        <f>IF(A515="","",DATE(YEAR(A515),MONTH(A515),1))</f>
        <v/>
      </c>
    </row>
    <row r="516">
      <c r="A516" s="47" t="n"/>
      <c r="B516" s="38" t="n"/>
      <c r="C516" s="48" t="n"/>
      <c r="D516" s="48" t="n"/>
      <c r="E516" s="38" t="n"/>
      <c r="F516" s="38" t="n"/>
      <c r="G516" s="38" t="n"/>
      <c r="H516" s="49">
        <f>IF(B516="","",IFERROR(INDEX('JOBS'!$D$5:$D$1504,MATCH(B516,'JOBS'!$A$5:$A$1504,0)),"Job ID not found"))</f>
        <v/>
      </c>
      <c r="I516" s="49">
        <f>IF(B516="","",IFERROR(INDEX('JOBS'!$F$5:$F$1504,MATCH(B516,'JOBS'!$A$5:$A$1504,0)),""))</f>
        <v/>
      </c>
      <c r="J516" s="55">
        <f>IF(C516="","",ROUND(C516*IF(IFERROR(INDEX('SETTINGS'!$K$5:$K$24,MATCH(E516,'SETTINGS'!$J$5:$J$24,0)),"No")="Yes",FeePct,0),2))</f>
        <v/>
      </c>
      <c r="K516" s="51">
        <f>IF(A516="","",DATE(YEAR(A516),MONTH(A516),1))</f>
        <v/>
      </c>
    </row>
    <row r="517">
      <c r="A517" s="47" t="n"/>
      <c r="B517" s="38" t="n"/>
      <c r="C517" s="48" t="n"/>
      <c r="D517" s="48" t="n"/>
      <c r="E517" s="38" t="n"/>
      <c r="F517" s="38" t="n"/>
      <c r="G517" s="38" t="n"/>
      <c r="H517" s="49">
        <f>IF(B517="","",IFERROR(INDEX('JOBS'!$D$5:$D$1504,MATCH(B517,'JOBS'!$A$5:$A$1504,0)),"Job ID not found"))</f>
        <v/>
      </c>
      <c r="I517" s="49">
        <f>IF(B517="","",IFERROR(INDEX('JOBS'!$F$5:$F$1504,MATCH(B517,'JOBS'!$A$5:$A$1504,0)),""))</f>
        <v/>
      </c>
      <c r="J517" s="55">
        <f>IF(C517="","",ROUND(C517*IF(IFERROR(INDEX('SETTINGS'!$K$5:$K$24,MATCH(E517,'SETTINGS'!$J$5:$J$24,0)),"No")="Yes",FeePct,0),2))</f>
        <v/>
      </c>
      <c r="K517" s="51">
        <f>IF(A517="","",DATE(YEAR(A517),MONTH(A517),1))</f>
        <v/>
      </c>
    </row>
    <row r="518">
      <c r="A518" s="47" t="n"/>
      <c r="B518" s="38" t="n"/>
      <c r="C518" s="48" t="n"/>
      <c r="D518" s="48" t="n"/>
      <c r="E518" s="38" t="n"/>
      <c r="F518" s="38" t="n"/>
      <c r="G518" s="38" t="n"/>
      <c r="H518" s="49">
        <f>IF(B518="","",IFERROR(INDEX('JOBS'!$D$5:$D$1504,MATCH(B518,'JOBS'!$A$5:$A$1504,0)),"Job ID not found"))</f>
        <v/>
      </c>
      <c r="I518" s="49">
        <f>IF(B518="","",IFERROR(INDEX('JOBS'!$F$5:$F$1504,MATCH(B518,'JOBS'!$A$5:$A$1504,0)),""))</f>
        <v/>
      </c>
      <c r="J518" s="55">
        <f>IF(C518="","",ROUND(C518*IF(IFERROR(INDEX('SETTINGS'!$K$5:$K$24,MATCH(E518,'SETTINGS'!$J$5:$J$24,0)),"No")="Yes",FeePct,0),2))</f>
        <v/>
      </c>
      <c r="K518" s="51">
        <f>IF(A518="","",DATE(YEAR(A518),MONTH(A518),1))</f>
        <v/>
      </c>
    </row>
    <row r="519">
      <c r="A519" s="47" t="n"/>
      <c r="B519" s="38" t="n"/>
      <c r="C519" s="48" t="n"/>
      <c r="D519" s="48" t="n"/>
      <c r="E519" s="38" t="n"/>
      <c r="F519" s="38" t="n"/>
      <c r="G519" s="38" t="n"/>
      <c r="H519" s="49">
        <f>IF(B519="","",IFERROR(INDEX('JOBS'!$D$5:$D$1504,MATCH(B519,'JOBS'!$A$5:$A$1504,0)),"Job ID not found"))</f>
        <v/>
      </c>
      <c r="I519" s="49">
        <f>IF(B519="","",IFERROR(INDEX('JOBS'!$F$5:$F$1504,MATCH(B519,'JOBS'!$A$5:$A$1504,0)),""))</f>
        <v/>
      </c>
      <c r="J519" s="55">
        <f>IF(C519="","",ROUND(C519*IF(IFERROR(INDEX('SETTINGS'!$K$5:$K$24,MATCH(E519,'SETTINGS'!$J$5:$J$24,0)),"No")="Yes",FeePct,0),2))</f>
        <v/>
      </c>
      <c r="K519" s="51">
        <f>IF(A519="","",DATE(YEAR(A519),MONTH(A519),1))</f>
        <v/>
      </c>
    </row>
    <row r="520">
      <c r="A520" s="47" t="n"/>
      <c r="B520" s="38" t="n"/>
      <c r="C520" s="48" t="n"/>
      <c r="D520" s="48" t="n"/>
      <c r="E520" s="38" t="n"/>
      <c r="F520" s="38" t="n"/>
      <c r="G520" s="38" t="n"/>
      <c r="H520" s="49">
        <f>IF(B520="","",IFERROR(INDEX('JOBS'!$D$5:$D$1504,MATCH(B520,'JOBS'!$A$5:$A$1504,0)),"Job ID not found"))</f>
        <v/>
      </c>
      <c r="I520" s="49">
        <f>IF(B520="","",IFERROR(INDEX('JOBS'!$F$5:$F$1504,MATCH(B520,'JOBS'!$A$5:$A$1504,0)),""))</f>
        <v/>
      </c>
      <c r="J520" s="55">
        <f>IF(C520="","",ROUND(C520*IF(IFERROR(INDEX('SETTINGS'!$K$5:$K$24,MATCH(E520,'SETTINGS'!$J$5:$J$24,0)),"No")="Yes",FeePct,0),2))</f>
        <v/>
      </c>
      <c r="K520" s="51">
        <f>IF(A520="","",DATE(YEAR(A520),MONTH(A520),1))</f>
        <v/>
      </c>
    </row>
    <row r="521">
      <c r="A521" s="47" t="n"/>
      <c r="B521" s="38" t="n"/>
      <c r="C521" s="48" t="n"/>
      <c r="D521" s="48" t="n"/>
      <c r="E521" s="38" t="n"/>
      <c r="F521" s="38" t="n"/>
      <c r="G521" s="38" t="n"/>
      <c r="H521" s="49">
        <f>IF(B521="","",IFERROR(INDEX('JOBS'!$D$5:$D$1504,MATCH(B521,'JOBS'!$A$5:$A$1504,0)),"Job ID not found"))</f>
        <v/>
      </c>
      <c r="I521" s="49">
        <f>IF(B521="","",IFERROR(INDEX('JOBS'!$F$5:$F$1504,MATCH(B521,'JOBS'!$A$5:$A$1504,0)),""))</f>
        <v/>
      </c>
      <c r="J521" s="55">
        <f>IF(C521="","",ROUND(C521*IF(IFERROR(INDEX('SETTINGS'!$K$5:$K$24,MATCH(E521,'SETTINGS'!$J$5:$J$24,0)),"No")="Yes",FeePct,0),2))</f>
        <v/>
      </c>
      <c r="K521" s="51">
        <f>IF(A521="","",DATE(YEAR(A521),MONTH(A521),1))</f>
        <v/>
      </c>
    </row>
    <row r="522">
      <c r="A522" s="47" t="n"/>
      <c r="B522" s="38" t="n"/>
      <c r="C522" s="48" t="n"/>
      <c r="D522" s="48" t="n"/>
      <c r="E522" s="38" t="n"/>
      <c r="F522" s="38" t="n"/>
      <c r="G522" s="38" t="n"/>
      <c r="H522" s="49">
        <f>IF(B522="","",IFERROR(INDEX('JOBS'!$D$5:$D$1504,MATCH(B522,'JOBS'!$A$5:$A$1504,0)),"Job ID not found"))</f>
        <v/>
      </c>
      <c r="I522" s="49">
        <f>IF(B522="","",IFERROR(INDEX('JOBS'!$F$5:$F$1504,MATCH(B522,'JOBS'!$A$5:$A$1504,0)),""))</f>
        <v/>
      </c>
      <c r="J522" s="55">
        <f>IF(C522="","",ROUND(C522*IF(IFERROR(INDEX('SETTINGS'!$K$5:$K$24,MATCH(E522,'SETTINGS'!$J$5:$J$24,0)),"No")="Yes",FeePct,0),2))</f>
        <v/>
      </c>
      <c r="K522" s="51">
        <f>IF(A522="","",DATE(YEAR(A522),MONTH(A522),1))</f>
        <v/>
      </c>
    </row>
    <row r="523">
      <c r="A523" s="47" t="n"/>
      <c r="B523" s="38" t="n"/>
      <c r="C523" s="48" t="n"/>
      <c r="D523" s="48" t="n"/>
      <c r="E523" s="38" t="n"/>
      <c r="F523" s="38" t="n"/>
      <c r="G523" s="38" t="n"/>
      <c r="H523" s="49">
        <f>IF(B523="","",IFERROR(INDEX('JOBS'!$D$5:$D$1504,MATCH(B523,'JOBS'!$A$5:$A$1504,0)),"Job ID not found"))</f>
        <v/>
      </c>
      <c r="I523" s="49">
        <f>IF(B523="","",IFERROR(INDEX('JOBS'!$F$5:$F$1504,MATCH(B523,'JOBS'!$A$5:$A$1504,0)),""))</f>
        <v/>
      </c>
      <c r="J523" s="55">
        <f>IF(C523="","",ROUND(C523*IF(IFERROR(INDEX('SETTINGS'!$K$5:$K$24,MATCH(E523,'SETTINGS'!$J$5:$J$24,0)),"No")="Yes",FeePct,0),2))</f>
        <v/>
      </c>
      <c r="K523" s="51">
        <f>IF(A523="","",DATE(YEAR(A523),MONTH(A523),1))</f>
        <v/>
      </c>
    </row>
    <row r="524">
      <c r="A524" s="47" t="n"/>
      <c r="B524" s="38" t="n"/>
      <c r="C524" s="48" t="n"/>
      <c r="D524" s="48" t="n"/>
      <c r="E524" s="38" t="n"/>
      <c r="F524" s="38" t="n"/>
      <c r="G524" s="38" t="n"/>
      <c r="H524" s="49">
        <f>IF(B524="","",IFERROR(INDEX('JOBS'!$D$5:$D$1504,MATCH(B524,'JOBS'!$A$5:$A$1504,0)),"Job ID not found"))</f>
        <v/>
      </c>
      <c r="I524" s="49">
        <f>IF(B524="","",IFERROR(INDEX('JOBS'!$F$5:$F$1504,MATCH(B524,'JOBS'!$A$5:$A$1504,0)),""))</f>
        <v/>
      </c>
      <c r="J524" s="55">
        <f>IF(C524="","",ROUND(C524*IF(IFERROR(INDEX('SETTINGS'!$K$5:$K$24,MATCH(E524,'SETTINGS'!$J$5:$J$24,0)),"No")="Yes",FeePct,0),2))</f>
        <v/>
      </c>
      <c r="K524" s="51">
        <f>IF(A524="","",DATE(YEAR(A524),MONTH(A524),1))</f>
        <v/>
      </c>
    </row>
    <row r="525">
      <c r="A525" s="47" t="n"/>
      <c r="B525" s="38" t="n"/>
      <c r="C525" s="48" t="n"/>
      <c r="D525" s="48" t="n"/>
      <c r="E525" s="38" t="n"/>
      <c r="F525" s="38" t="n"/>
      <c r="G525" s="38" t="n"/>
      <c r="H525" s="49">
        <f>IF(B525="","",IFERROR(INDEX('JOBS'!$D$5:$D$1504,MATCH(B525,'JOBS'!$A$5:$A$1504,0)),"Job ID not found"))</f>
        <v/>
      </c>
      <c r="I525" s="49">
        <f>IF(B525="","",IFERROR(INDEX('JOBS'!$F$5:$F$1504,MATCH(B525,'JOBS'!$A$5:$A$1504,0)),""))</f>
        <v/>
      </c>
      <c r="J525" s="55">
        <f>IF(C525="","",ROUND(C525*IF(IFERROR(INDEX('SETTINGS'!$K$5:$K$24,MATCH(E525,'SETTINGS'!$J$5:$J$24,0)),"No")="Yes",FeePct,0),2))</f>
        <v/>
      </c>
      <c r="K525" s="51">
        <f>IF(A525="","",DATE(YEAR(A525),MONTH(A525),1))</f>
        <v/>
      </c>
    </row>
    <row r="526">
      <c r="A526" s="47" t="n"/>
      <c r="B526" s="38" t="n"/>
      <c r="C526" s="48" t="n"/>
      <c r="D526" s="48" t="n"/>
      <c r="E526" s="38" t="n"/>
      <c r="F526" s="38" t="n"/>
      <c r="G526" s="38" t="n"/>
      <c r="H526" s="49">
        <f>IF(B526="","",IFERROR(INDEX('JOBS'!$D$5:$D$1504,MATCH(B526,'JOBS'!$A$5:$A$1504,0)),"Job ID not found"))</f>
        <v/>
      </c>
      <c r="I526" s="49">
        <f>IF(B526="","",IFERROR(INDEX('JOBS'!$F$5:$F$1504,MATCH(B526,'JOBS'!$A$5:$A$1504,0)),""))</f>
        <v/>
      </c>
      <c r="J526" s="55">
        <f>IF(C526="","",ROUND(C526*IF(IFERROR(INDEX('SETTINGS'!$K$5:$K$24,MATCH(E526,'SETTINGS'!$J$5:$J$24,0)),"No")="Yes",FeePct,0),2))</f>
        <v/>
      </c>
      <c r="K526" s="51">
        <f>IF(A526="","",DATE(YEAR(A526),MONTH(A526),1))</f>
        <v/>
      </c>
    </row>
    <row r="527">
      <c r="A527" s="47" t="n"/>
      <c r="B527" s="38" t="n"/>
      <c r="C527" s="48" t="n"/>
      <c r="D527" s="48" t="n"/>
      <c r="E527" s="38" t="n"/>
      <c r="F527" s="38" t="n"/>
      <c r="G527" s="38" t="n"/>
      <c r="H527" s="49">
        <f>IF(B527="","",IFERROR(INDEX('JOBS'!$D$5:$D$1504,MATCH(B527,'JOBS'!$A$5:$A$1504,0)),"Job ID not found"))</f>
        <v/>
      </c>
      <c r="I527" s="49">
        <f>IF(B527="","",IFERROR(INDEX('JOBS'!$F$5:$F$1504,MATCH(B527,'JOBS'!$A$5:$A$1504,0)),""))</f>
        <v/>
      </c>
      <c r="J527" s="55">
        <f>IF(C527="","",ROUND(C527*IF(IFERROR(INDEX('SETTINGS'!$K$5:$K$24,MATCH(E527,'SETTINGS'!$J$5:$J$24,0)),"No")="Yes",FeePct,0),2))</f>
        <v/>
      </c>
      <c r="K527" s="51">
        <f>IF(A527="","",DATE(YEAR(A527),MONTH(A527),1))</f>
        <v/>
      </c>
    </row>
    <row r="528">
      <c r="A528" s="47" t="n"/>
      <c r="B528" s="38" t="n"/>
      <c r="C528" s="48" t="n"/>
      <c r="D528" s="48" t="n"/>
      <c r="E528" s="38" t="n"/>
      <c r="F528" s="38" t="n"/>
      <c r="G528" s="38" t="n"/>
      <c r="H528" s="49">
        <f>IF(B528="","",IFERROR(INDEX('JOBS'!$D$5:$D$1504,MATCH(B528,'JOBS'!$A$5:$A$1504,0)),"Job ID not found"))</f>
        <v/>
      </c>
      <c r="I528" s="49">
        <f>IF(B528="","",IFERROR(INDEX('JOBS'!$F$5:$F$1504,MATCH(B528,'JOBS'!$A$5:$A$1504,0)),""))</f>
        <v/>
      </c>
      <c r="J528" s="55">
        <f>IF(C528="","",ROUND(C528*IF(IFERROR(INDEX('SETTINGS'!$K$5:$K$24,MATCH(E528,'SETTINGS'!$J$5:$J$24,0)),"No")="Yes",FeePct,0),2))</f>
        <v/>
      </c>
      <c r="K528" s="51">
        <f>IF(A528="","",DATE(YEAR(A528),MONTH(A528),1))</f>
        <v/>
      </c>
    </row>
    <row r="529">
      <c r="A529" s="47" t="n"/>
      <c r="B529" s="38" t="n"/>
      <c r="C529" s="48" t="n"/>
      <c r="D529" s="48" t="n"/>
      <c r="E529" s="38" t="n"/>
      <c r="F529" s="38" t="n"/>
      <c r="G529" s="38" t="n"/>
      <c r="H529" s="49">
        <f>IF(B529="","",IFERROR(INDEX('JOBS'!$D$5:$D$1504,MATCH(B529,'JOBS'!$A$5:$A$1504,0)),"Job ID not found"))</f>
        <v/>
      </c>
      <c r="I529" s="49">
        <f>IF(B529="","",IFERROR(INDEX('JOBS'!$F$5:$F$1504,MATCH(B529,'JOBS'!$A$5:$A$1504,0)),""))</f>
        <v/>
      </c>
      <c r="J529" s="55">
        <f>IF(C529="","",ROUND(C529*IF(IFERROR(INDEX('SETTINGS'!$K$5:$K$24,MATCH(E529,'SETTINGS'!$J$5:$J$24,0)),"No")="Yes",FeePct,0),2))</f>
        <v/>
      </c>
      <c r="K529" s="51">
        <f>IF(A529="","",DATE(YEAR(A529),MONTH(A529),1))</f>
        <v/>
      </c>
    </row>
    <row r="530">
      <c r="A530" s="47" t="n"/>
      <c r="B530" s="38" t="n"/>
      <c r="C530" s="48" t="n"/>
      <c r="D530" s="48" t="n"/>
      <c r="E530" s="38" t="n"/>
      <c r="F530" s="38" t="n"/>
      <c r="G530" s="38" t="n"/>
      <c r="H530" s="49">
        <f>IF(B530="","",IFERROR(INDEX('JOBS'!$D$5:$D$1504,MATCH(B530,'JOBS'!$A$5:$A$1504,0)),"Job ID not found"))</f>
        <v/>
      </c>
      <c r="I530" s="49">
        <f>IF(B530="","",IFERROR(INDEX('JOBS'!$F$5:$F$1504,MATCH(B530,'JOBS'!$A$5:$A$1504,0)),""))</f>
        <v/>
      </c>
      <c r="J530" s="55">
        <f>IF(C530="","",ROUND(C530*IF(IFERROR(INDEX('SETTINGS'!$K$5:$K$24,MATCH(E530,'SETTINGS'!$J$5:$J$24,0)),"No")="Yes",FeePct,0),2))</f>
        <v/>
      </c>
      <c r="K530" s="51">
        <f>IF(A530="","",DATE(YEAR(A530),MONTH(A530),1))</f>
        <v/>
      </c>
    </row>
    <row r="531">
      <c r="A531" s="47" t="n"/>
      <c r="B531" s="38" t="n"/>
      <c r="C531" s="48" t="n"/>
      <c r="D531" s="48" t="n"/>
      <c r="E531" s="38" t="n"/>
      <c r="F531" s="38" t="n"/>
      <c r="G531" s="38" t="n"/>
      <c r="H531" s="49">
        <f>IF(B531="","",IFERROR(INDEX('JOBS'!$D$5:$D$1504,MATCH(B531,'JOBS'!$A$5:$A$1504,0)),"Job ID not found"))</f>
        <v/>
      </c>
      <c r="I531" s="49">
        <f>IF(B531="","",IFERROR(INDEX('JOBS'!$F$5:$F$1504,MATCH(B531,'JOBS'!$A$5:$A$1504,0)),""))</f>
        <v/>
      </c>
      <c r="J531" s="55">
        <f>IF(C531="","",ROUND(C531*IF(IFERROR(INDEX('SETTINGS'!$K$5:$K$24,MATCH(E531,'SETTINGS'!$J$5:$J$24,0)),"No")="Yes",FeePct,0),2))</f>
        <v/>
      </c>
      <c r="K531" s="51">
        <f>IF(A531="","",DATE(YEAR(A531),MONTH(A531),1))</f>
        <v/>
      </c>
    </row>
    <row r="532">
      <c r="A532" s="47" t="n"/>
      <c r="B532" s="38" t="n"/>
      <c r="C532" s="48" t="n"/>
      <c r="D532" s="48" t="n"/>
      <c r="E532" s="38" t="n"/>
      <c r="F532" s="38" t="n"/>
      <c r="G532" s="38" t="n"/>
      <c r="H532" s="49">
        <f>IF(B532="","",IFERROR(INDEX('JOBS'!$D$5:$D$1504,MATCH(B532,'JOBS'!$A$5:$A$1504,0)),"Job ID not found"))</f>
        <v/>
      </c>
      <c r="I532" s="49">
        <f>IF(B532="","",IFERROR(INDEX('JOBS'!$F$5:$F$1504,MATCH(B532,'JOBS'!$A$5:$A$1504,0)),""))</f>
        <v/>
      </c>
      <c r="J532" s="55">
        <f>IF(C532="","",ROUND(C532*IF(IFERROR(INDEX('SETTINGS'!$K$5:$K$24,MATCH(E532,'SETTINGS'!$J$5:$J$24,0)),"No")="Yes",FeePct,0),2))</f>
        <v/>
      </c>
      <c r="K532" s="51">
        <f>IF(A532="","",DATE(YEAR(A532),MONTH(A532),1))</f>
        <v/>
      </c>
    </row>
    <row r="533">
      <c r="A533" s="47" t="n"/>
      <c r="B533" s="38" t="n"/>
      <c r="C533" s="48" t="n"/>
      <c r="D533" s="48" t="n"/>
      <c r="E533" s="38" t="n"/>
      <c r="F533" s="38" t="n"/>
      <c r="G533" s="38" t="n"/>
      <c r="H533" s="49">
        <f>IF(B533="","",IFERROR(INDEX('JOBS'!$D$5:$D$1504,MATCH(B533,'JOBS'!$A$5:$A$1504,0)),"Job ID not found"))</f>
        <v/>
      </c>
      <c r="I533" s="49">
        <f>IF(B533="","",IFERROR(INDEX('JOBS'!$F$5:$F$1504,MATCH(B533,'JOBS'!$A$5:$A$1504,0)),""))</f>
        <v/>
      </c>
      <c r="J533" s="55">
        <f>IF(C533="","",ROUND(C533*IF(IFERROR(INDEX('SETTINGS'!$K$5:$K$24,MATCH(E533,'SETTINGS'!$J$5:$J$24,0)),"No")="Yes",FeePct,0),2))</f>
        <v/>
      </c>
      <c r="K533" s="51">
        <f>IF(A533="","",DATE(YEAR(A533),MONTH(A533),1))</f>
        <v/>
      </c>
    </row>
    <row r="534">
      <c r="A534" s="47" t="n"/>
      <c r="B534" s="38" t="n"/>
      <c r="C534" s="48" t="n"/>
      <c r="D534" s="48" t="n"/>
      <c r="E534" s="38" t="n"/>
      <c r="F534" s="38" t="n"/>
      <c r="G534" s="38" t="n"/>
      <c r="H534" s="49">
        <f>IF(B534="","",IFERROR(INDEX('JOBS'!$D$5:$D$1504,MATCH(B534,'JOBS'!$A$5:$A$1504,0)),"Job ID not found"))</f>
        <v/>
      </c>
      <c r="I534" s="49">
        <f>IF(B534="","",IFERROR(INDEX('JOBS'!$F$5:$F$1504,MATCH(B534,'JOBS'!$A$5:$A$1504,0)),""))</f>
        <v/>
      </c>
      <c r="J534" s="55">
        <f>IF(C534="","",ROUND(C534*IF(IFERROR(INDEX('SETTINGS'!$K$5:$K$24,MATCH(E534,'SETTINGS'!$J$5:$J$24,0)),"No")="Yes",FeePct,0),2))</f>
        <v/>
      </c>
      <c r="K534" s="51">
        <f>IF(A534="","",DATE(YEAR(A534),MONTH(A534),1))</f>
        <v/>
      </c>
    </row>
    <row r="535">
      <c r="A535" s="47" t="n"/>
      <c r="B535" s="38" t="n"/>
      <c r="C535" s="48" t="n"/>
      <c r="D535" s="48" t="n"/>
      <c r="E535" s="38" t="n"/>
      <c r="F535" s="38" t="n"/>
      <c r="G535" s="38" t="n"/>
      <c r="H535" s="49">
        <f>IF(B535="","",IFERROR(INDEX('JOBS'!$D$5:$D$1504,MATCH(B535,'JOBS'!$A$5:$A$1504,0)),"Job ID not found"))</f>
        <v/>
      </c>
      <c r="I535" s="49">
        <f>IF(B535="","",IFERROR(INDEX('JOBS'!$F$5:$F$1504,MATCH(B535,'JOBS'!$A$5:$A$1504,0)),""))</f>
        <v/>
      </c>
      <c r="J535" s="55">
        <f>IF(C535="","",ROUND(C535*IF(IFERROR(INDEX('SETTINGS'!$K$5:$K$24,MATCH(E535,'SETTINGS'!$J$5:$J$24,0)),"No")="Yes",FeePct,0),2))</f>
        <v/>
      </c>
      <c r="K535" s="51">
        <f>IF(A535="","",DATE(YEAR(A535),MONTH(A535),1))</f>
        <v/>
      </c>
    </row>
    <row r="536">
      <c r="A536" s="47" t="n"/>
      <c r="B536" s="38" t="n"/>
      <c r="C536" s="48" t="n"/>
      <c r="D536" s="48" t="n"/>
      <c r="E536" s="38" t="n"/>
      <c r="F536" s="38" t="n"/>
      <c r="G536" s="38" t="n"/>
      <c r="H536" s="49">
        <f>IF(B536="","",IFERROR(INDEX('JOBS'!$D$5:$D$1504,MATCH(B536,'JOBS'!$A$5:$A$1504,0)),"Job ID not found"))</f>
        <v/>
      </c>
      <c r="I536" s="49">
        <f>IF(B536="","",IFERROR(INDEX('JOBS'!$F$5:$F$1504,MATCH(B536,'JOBS'!$A$5:$A$1504,0)),""))</f>
        <v/>
      </c>
      <c r="J536" s="55">
        <f>IF(C536="","",ROUND(C536*IF(IFERROR(INDEX('SETTINGS'!$K$5:$K$24,MATCH(E536,'SETTINGS'!$J$5:$J$24,0)),"No")="Yes",FeePct,0),2))</f>
        <v/>
      </c>
      <c r="K536" s="51">
        <f>IF(A536="","",DATE(YEAR(A536),MONTH(A536),1))</f>
        <v/>
      </c>
    </row>
    <row r="537">
      <c r="A537" s="47" t="n"/>
      <c r="B537" s="38" t="n"/>
      <c r="C537" s="48" t="n"/>
      <c r="D537" s="48" t="n"/>
      <c r="E537" s="38" t="n"/>
      <c r="F537" s="38" t="n"/>
      <c r="G537" s="38" t="n"/>
      <c r="H537" s="49">
        <f>IF(B537="","",IFERROR(INDEX('JOBS'!$D$5:$D$1504,MATCH(B537,'JOBS'!$A$5:$A$1504,0)),"Job ID not found"))</f>
        <v/>
      </c>
      <c r="I537" s="49">
        <f>IF(B537="","",IFERROR(INDEX('JOBS'!$F$5:$F$1504,MATCH(B537,'JOBS'!$A$5:$A$1504,0)),""))</f>
        <v/>
      </c>
      <c r="J537" s="55">
        <f>IF(C537="","",ROUND(C537*IF(IFERROR(INDEX('SETTINGS'!$K$5:$K$24,MATCH(E537,'SETTINGS'!$J$5:$J$24,0)),"No")="Yes",FeePct,0),2))</f>
        <v/>
      </c>
      <c r="K537" s="51">
        <f>IF(A537="","",DATE(YEAR(A537),MONTH(A537),1))</f>
        <v/>
      </c>
    </row>
    <row r="538">
      <c r="A538" s="47" t="n"/>
      <c r="B538" s="38" t="n"/>
      <c r="C538" s="48" t="n"/>
      <c r="D538" s="48" t="n"/>
      <c r="E538" s="38" t="n"/>
      <c r="F538" s="38" t="n"/>
      <c r="G538" s="38" t="n"/>
      <c r="H538" s="49">
        <f>IF(B538="","",IFERROR(INDEX('JOBS'!$D$5:$D$1504,MATCH(B538,'JOBS'!$A$5:$A$1504,0)),"Job ID not found"))</f>
        <v/>
      </c>
      <c r="I538" s="49">
        <f>IF(B538="","",IFERROR(INDEX('JOBS'!$F$5:$F$1504,MATCH(B538,'JOBS'!$A$5:$A$1504,0)),""))</f>
        <v/>
      </c>
      <c r="J538" s="55">
        <f>IF(C538="","",ROUND(C538*IF(IFERROR(INDEX('SETTINGS'!$K$5:$K$24,MATCH(E538,'SETTINGS'!$J$5:$J$24,0)),"No")="Yes",FeePct,0),2))</f>
        <v/>
      </c>
      <c r="K538" s="51">
        <f>IF(A538="","",DATE(YEAR(A538),MONTH(A538),1))</f>
        <v/>
      </c>
    </row>
    <row r="539">
      <c r="A539" s="47" t="n"/>
      <c r="B539" s="38" t="n"/>
      <c r="C539" s="48" t="n"/>
      <c r="D539" s="48" t="n"/>
      <c r="E539" s="38" t="n"/>
      <c r="F539" s="38" t="n"/>
      <c r="G539" s="38" t="n"/>
      <c r="H539" s="49">
        <f>IF(B539="","",IFERROR(INDEX('JOBS'!$D$5:$D$1504,MATCH(B539,'JOBS'!$A$5:$A$1504,0)),"Job ID not found"))</f>
        <v/>
      </c>
      <c r="I539" s="49">
        <f>IF(B539="","",IFERROR(INDEX('JOBS'!$F$5:$F$1504,MATCH(B539,'JOBS'!$A$5:$A$1504,0)),""))</f>
        <v/>
      </c>
      <c r="J539" s="55">
        <f>IF(C539="","",ROUND(C539*IF(IFERROR(INDEX('SETTINGS'!$K$5:$K$24,MATCH(E539,'SETTINGS'!$J$5:$J$24,0)),"No")="Yes",FeePct,0),2))</f>
        <v/>
      </c>
      <c r="K539" s="51">
        <f>IF(A539="","",DATE(YEAR(A539),MONTH(A539),1))</f>
        <v/>
      </c>
    </row>
    <row r="540">
      <c r="A540" s="47" t="n"/>
      <c r="B540" s="38" t="n"/>
      <c r="C540" s="48" t="n"/>
      <c r="D540" s="48" t="n"/>
      <c r="E540" s="38" t="n"/>
      <c r="F540" s="38" t="n"/>
      <c r="G540" s="38" t="n"/>
      <c r="H540" s="49">
        <f>IF(B540="","",IFERROR(INDEX('JOBS'!$D$5:$D$1504,MATCH(B540,'JOBS'!$A$5:$A$1504,0)),"Job ID not found"))</f>
        <v/>
      </c>
      <c r="I540" s="49">
        <f>IF(B540="","",IFERROR(INDEX('JOBS'!$F$5:$F$1504,MATCH(B540,'JOBS'!$A$5:$A$1504,0)),""))</f>
        <v/>
      </c>
      <c r="J540" s="55">
        <f>IF(C540="","",ROUND(C540*IF(IFERROR(INDEX('SETTINGS'!$K$5:$K$24,MATCH(E540,'SETTINGS'!$J$5:$J$24,0)),"No")="Yes",FeePct,0),2))</f>
        <v/>
      </c>
      <c r="K540" s="51">
        <f>IF(A540="","",DATE(YEAR(A540),MONTH(A540),1))</f>
        <v/>
      </c>
    </row>
    <row r="541">
      <c r="A541" s="47" t="n"/>
      <c r="B541" s="38" t="n"/>
      <c r="C541" s="48" t="n"/>
      <c r="D541" s="48" t="n"/>
      <c r="E541" s="38" t="n"/>
      <c r="F541" s="38" t="n"/>
      <c r="G541" s="38" t="n"/>
      <c r="H541" s="49">
        <f>IF(B541="","",IFERROR(INDEX('JOBS'!$D$5:$D$1504,MATCH(B541,'JOBS'!$A$5:$A$1504,0)),"Job ID not found"))</f>
        <v/>
      </c>
      <c r="I541" s="49">
        <f>IF(B541="","",IFERROR(INDEX('JOBS'!$F$5:$F$1504,MATCH(B541,'JOBS'!$A$5:$A$1504,0)),""))</f>
        <v/>
      </c>
      <c r="J541" s="55">
        <f>IF(C541="","",ROUND(C541*IF(IFERROR(INDEX('SETTINGS'!$K$5:$K$24,MATCH(E541,'SETTINGS'!$J$5:$J$24,0)),"No")="Yes",FeePct,0),2))</f>
        <v/>
      </c>
      <c r="K541" s="51">
        <f>IF(A541="","",DATE(YEAR(A541),MONTH(A541),1))</f>
        <v/>
      </c>
    </row>
    <row r="542">
      <c r="A542" s="47" t="n"/>
      <c r="B542" s="38" t="n"/>
      <c r="C542" s="48" t="n"/>
      <c r="D542" s="48" t="n"/>
      <c r="E542" s="38" t="n"/>
      <c r="F542" s="38" t="n"/>
      <c r="G542" s="38" t="n"/>
      <c r="H542" s="49">
        <f>IF(B542="","",IFERROR(INDEX('JOBS'!$D$5:$D$1504,MATCH(B542,'JOBS'!$A$5:$A$1504,0)),"Job ID not found"))</f>
        <v/>
      </c>
      <c r="I542" s="49">
        <f>IF(B542="","",IFERROR(INDEX('JOBS'!$F$5:$F$1504,MATCH(B542,'JOBS'!$A$5:$A$1504,0)),""))</f>
        <v/>
      </c>
      <c r="J542" s="55">
        <f>IF(C542="","",ROUND(C542*IF(IFERROR(INDEX('SETTINGS'!$K$5:$K$24,MATCH(E542,'SETTINGS'!$J$5:$J$24,0)),"No")="Yes",FeePct,0),2))</f>
        <v/>
      </c>
      <c r="K542" s="51">
        <f>IF(A542="","",DATE(YEAR(A542),MONTH(A542),1))</f>
        <v/>
      </c>
    </row>
    <row r="543">
      <c r="A543" s="47" t="n"/>
      <c r="B543" s="38" t="n"/>
      <c r="C543" s="48" t="n"/>
      <c r="D543" s="48" t="n"/>
      <c r="E543" s="38" t="n"/>
      <c r="F543" s="38" t="n"/>
      <c r="G543" s="38" t="n"/>
      <c r="H543" s="49">
        <f>IF(B543="","",IFERROR(INDEX('JOBS'!$D$5:$D$1504,MATCH(B543,'JOBS'!$A$5:$A$1504,0)),"Job ID not found"))</f>
        <v/>
      </c>
      <c r="I543" s="49">
        <f>IF(B543="","",IFERROR(INDEX('JOBS'!$F$5:$F$1504,MATCH(B543,'JOBS'!$A$5:$A$1504,0)),""))</f>
        <v/>
      </c>
      <c r="J543" s="55">
        <f>IF(C543="","",ROUND(C543*IF(IFERROR(INDEX('SETTINGS'!$K$5:$K$24,MATCH(E543,'SETTINGS'!$J$5:$J$24,0)),"No")="Yes",FeePct,0),2))</f>
        <v/>
      </c>
      <c r="K543" s="51">
        <f>IF(A543="","",DATE(YEAR(A543),MONTH(A543),1))</f>
        <v/>
      </c>
    </row>
    <row r="544">
      <c r="A544" s="47" t="n"/>
      <c r="B544" s="38" t="n"/>
      <c r="C544" s="48" t="n"/>
      <c r="D544" s="48" t="n"/>
      <c r="E544" s="38" t="n"/>
      <c r="F544" s="38" t="n"/>
      <c r="G544" s="38" t="n"/>
      <c r="H544" s="49">
        <f>IF(B544="","",IFERROR(INDEX('JOBS'!$D$5:$D$1504,MATCH(B544,'JOBS'!$A$5:$A$1504,0)),"Job ID not found"))</f>
        <v/>
      </c>
      <c r="I544" s="49">
        <f>IF(B544="","",IFERROR(INDEX('JOBS'!$F$5:$F$1504,MATCH(B544,'JOBS'!$A$5:$A$1504,0)),""))</f>
        <v/>
      </c>
      <c r="J544" s="55">
        <f>IF(C544="","",ROUND(C544*IF(IFERROR(INDEX('SETTINGS'!$K$5:$K$24,MATCH(E544,'SETTINGS'!$J$5:$J$24,0)),"No")="Yes",FeePct,0),2))</f>
        <v/>
      </c>
      <c r="K544" s="51">
        <f>IF(A544="","",DATE(YEAR(A544),MONTH(A544),1))</f>
        <v/>
      </c>
    </row>
    <row r="545">
      <c r="A545" s="47" t="n"/>
      <c r="B545" s="38" t="n"/>
      <c r="C545" s="48" t="n"/>
      <c r="D545" s="48" t="n"/>
      <c r="E545" s="38" t="n"/>
      <c r="F545" s="38" t="n"/>
      <c r="G545" s="38" t="n"/>
      <c r="H545" s="49">
        <f>IF(B545="","",IFERROR(INDEX('JOBS'!$D$5:$D$1504,MATCH(B545,'JOBS'!$A$5:$A$1504,0)),"Job ID not found"))</f>
        <v/>
      </c>
      <c r="I545" s="49">
        <f>IF(B545="","",IFERROR(INDEX('JOBS'!$F$5:$F$1504,MATCH(B545,'JOBS'!$A$5:$A$1504,0)),""))</f>
        <v/>
      </c>
      <c r="J545" s="55">
        <f>IF(C545="","",ROUND(C545*IF(IFERROR(INDEX('SETTINGS'!$K$5:$K$24,MATCH(E545,'SETTINGS'!$J$5:$J$24,0)),"No")="Yes",FeePct,0),2))</f>
        <v/>
      </c>
      <c r="K545" s="51">
        <f>IF(A545="","",DATE(YEAR(A545),MONTH(A545),1))</f>
        <v/>
      </c>
    </row>
    <row r="546">
      <c r="A546" s="47" t="n"/>
      <c r="B546" s="38" t="n"/>
      <c r="C546" s="48" t="n"/>
      <c r="D546" s="48" t="n"/>
      <c r="E546" s="38" t="n"/>
      <c r="F546" s="38" t="n"/>
      <c r="G546" s="38" t="n"/>
      <c r="H546" s="49">
        <f>IF(B546="","",IFERROR(INDEX('JOBS'!$D$5:$D$1504,MATCH(B546,'JOBS'!$A$5:$A$1504,0)),"Job ID not found"))</f>
        <v/>
      </c>
      <c r="I546" s="49">
        <f>IF(B546="","",IFERROR(INDEX('JOBS'!$F$5:$F$1504,MATCH(B546,'JOBS'!$A$5:$A$1504,0)),""))</f>
        <v/>
      </c>
      <c r="J546" s="55">
        <f>IF(C546="","",ROUND(C546*IF(IFERROR(INDEX('SETTINGS'!$K$5:$K$24,MATCH(E546,'SETTINGS'!$J$5:$J$24,0)),"No")="Yes",FeePct,0),2))</f>
        <v/>
      </c>
      <c r="K546" s="51">
        <f>IF(A546="","",DATE(YEAR(A546),MONTH(A546),1))</f>
        <v/>
      </c>
    </row>
    <row r="547">
      <c r="A547" s="47" t="n"/>
      <c r="B547" s="38" t="n"/>
      <c r="C547" s="48" t="n"/>
      <c r="D547" s="48" t="n"/>
      <c r="E547" s="38" t="n"/>
      <c r="F547" s="38" t="n"/>
      <c r="G547" s="38" t="n"/>
      <c r="H547" s="49">
        <f>IF(B547="","",IFERROR(INDEX('JOBS'!$D$5:$D$1504,MATCH(B547,'JOBS'!$A$5:$A$1504,0)),"Job ID not found"))</f>
        <v/>
      </c>
      <c r="I547" s="49">
        <f>IF(B547="","",IFERROR(INDEX('JOBS'!$F$5:$F$1504,MATCH(B547,'JOBS'!$A$5:$A$1504,0)),""))</f>
        <v/>
      </c>
      <c r="J547" s="55">
        <f>IF(C547="","",ROUND(C547*IF(IFERROR(INDEX('SETTINGS'!$K$5:$K$24,MATCH(E547,'SETTINGS'!$J$5:$J$24,0)),"No")="Yes",FeePct,0),2))</f>
        <v/>
      </c>
      <c r="K547" s="51">
        <f>IF(A547="","",DATE(YEAR(A547),MONTH(A547),1))</f>
        <v/>
      </c>
    </row>
    <row r="548">
      <c r="A548" s="47" t="n"/>
      <c r="B548" s="38" t="n"/>
      <c r="C548" s="48" t="n"/>
      <c r="D548" s="48" t="n"/>
      <c r="E548" s="38" t="n"/>
      <c r="F548" s="38" t="n"/>
      <c r="G548" s="38" t="n"/>
      <c r="H548" s="49">
        <f>IF(B548="","",IFERROR(INDEX('JOBS'!$D$5:$D$1504,MATCH(B548,'JOBS'!$A$5:$A$1504,0)),"Job ID not found"))</f>
        <v/>
      </c>
      <c r="I548" s="49">
        <f>IF(B548="","",IFERROR(INDEX('JOBS'!$F$5:$F$1504,MATCH(B548,'JOBS'!$A$5:$A$1504,0)),""))</f>
        <v/>
      </c>
      <c r="J548" s="55">
        <f>IF(C548="","",ROUND(C548*IF(IFERROR(INDEX('SETTINGS'!$K$5:$K$24,MATCH(E548,'SETTINGS'!$J$5:$J$24,0)),"No")="Yes",FeePct,0),2))</f>
        <v/>
      </c>
      <c r="K548" s="51">
        <f>IF(A548="","",DATE(YEAR(A548),MONTH(A548),1))</f>
        <v/>
      </c>
    </row>
    <row r="549">
      <c r="A549" s="47" t="n"/>
      <c r="B549" s="38" t="n"/>
      <c r="C549" s="48" t="n"/>
      <c r="D549" s="48" t="n"/>
      <c r="E549" s="38" t="n"/>
      <c r="F549" s="38" t="n"/>
      <c r="G549" s="38" t="n"/>
      <c r="H549" s="49">
        <f>IF(B549="","",IFERROR(INDEX('JOBS'!$D$5:$D$1504,MATCH(B549,'JOBS'!$A$5:$A$1504,0)),"Job ID not found"))</f>
        <v/>
      </c>
      <c r="I549" s="49">
        <f>IF(B549="","",IFERROR(INDEX('JOBS'!$F$5:$F$1504,MATCH(B549,'JOBS'!$A$5:$A$1504,0)),""))</f>
        <v/>
      </c>
      <c r="J549" s="55">
        <f>IF(C549="","",ROUND(C549*IF(IFERROR(INDEX('SETTINGS'!$K$5:$K$24,MATCH(E549,'SETTINGS'!$J$5:$J$24,0)),"No")="Yes",FeePct,0),2))</f>
        <v/>
      </c>
      <c r="K549" s="51">
        <f>IF(A549="","",DATE(YEAR(A549),MONTH(A549),1))</f>
        <v/>
      </c>
    </row>
    <row r="550">
      <c r="A550" s="47" t="n"/>
      <c r="B550" s="38" t="n"/>
      <c r="C550" s="48" t="n"/>
      <c r="D550" s="48" t="n"/>
      <c r="E550" s="38" t="n"/>
      <c r="F550" s="38" t="n"/>
      <c r="G550" s="38" t="n"/>
      <c r="H550" s="49">
        <f>IF(B550="","",IFERROR(INDEX('JOBS'!$D$5:$D$1504,MATCH(B550,'JOBS'!$A$5:$A$1504,0)),"Job ID not found"))</f>
        <v/>
      </c>
      <c r="I550" s="49">
        <f>IF(B550="","",IFERROR(INDEX('JOBS'!$F$5:$F$1504,MATCH(B550,'JOBS'!$A$5:$A$1504,0)),""))</f>
        <v/>
      </c>
      <c r="J550" s="55">
        <f>IF(C550="","",ROUND(C550*IF(IFERROR(INDEX('SETTINGS'!$K$5:$K$24,MATCH(E550,'SETTINGS'!$J$5:$J$24,0)),"No")="Yes",FeePct,0),2))</f>
        <v/>
      </c>
      <c r="K550" s="51">
        <f>IF(A550="","",DATE(YEAR(A550),MONTH(A550),1))</f>
        <v/>
      </c>
    </row>
    <row r="551">
      <c r="A551" s="47" t="n"/>
      <c r="B551" s="38" t="n"/>
      <c r="C551" s="48" t="n"/>
      <c r="D551" s="48" t="n"/>
      <c r="E551" s="38" t="n"/>
      <c r="F551" s="38" t="n"/>
      <c r="G551" s="38" t="n"/>
      <c r="H551" s="49">
        <f>IF(B551="","",IFERROR(INDEX('JOBS'!$D$5:$D$1504,MATCH(B551,'JOBS'!$A$5:$A$1504,0)),"Job ID not found"))</f>
        <v/>
      </c>
      <c r="I551" s="49">
        <f>IF(B551="","",IFERROR(INDEX('JOBS'!$F$5:$F$1504,MATCH(B551,'JOBS'!$A$5:$A$1504,0)),""))</f>
        <v/>
      </c>
      <c r="J551" s="55">
        <f>IF(C551="","",ROUND(C551*IF(IFERROR(INDEX('SETTINGS'!$K$5:$K$24,MATCH(E551,'SETTINGS'!$J$5:$J$24,0)),"No")="Yes",FeePct,0),2))</f>
        <v/>
      </c>
      <c r="K551" s="51">
        <f>IF(A551="","",DATE(YEAR(A551),MONTH(A551),1))</f>
        <v/>
      </c>
    </row>
    <row r="552">
      <c r="A552" s="47" t="n"/>
      <c r="B552" s="38" t="n"/>
      <c r="C552" s="48" t="n"/>
      <c r="D552" s="48" t="n"/>
      <c r="E552" s="38" t="n"/>
      <c r="F552" s="38" t="n"/>
      <c r="G552" s="38" t="n"/>
      <c r="H552" s="49">
        <f>IF(B552="","",IFERROR(INDEX('JOBS'!$D$5:$D$1504,MATCH(B552,'JOBS'!$A$5:$A$1504,0)),"Job ID not found"))</f>
        <v/>
      </c>
      <c r="I552" s="49">
        <f>IF(B552="","",IFERROR(INDEX('JOBS'!$F$5:$F$1504,MATCH(B552,'JOBS'!$A$5:$A$1504,0)),""))</f>
        <v/>
      </c>
      <c r="J552" s="55">
        <f>IF(C552="","",ROUND(C552*IF(IFERROR(INDEX('SETTINGS'!$K$5:$K$24,MATCH(E552,'SETTINGS'!$J$5:$J$24,0)),"No")="Yes",FeePct,0),2))</f>
        <v/>
      </c>
      <c r="K552" s="51">
        <f>IF(A552="","",DATE(YEAR(A552),MONTH(A552),1))</f>
        <v/>
      </c>
    </row>
    <row r="553">
      <c r="A553" s="47" t="n"/>
      <c r="B553" s="38" t="n"/>
      <c r="C553" s="48" t="n"/>
      <c r="D553" s="48" t="n"/>
      <c r="E553" s="38" t="n"/>
      <c r="F553" s="38" t="n"/>
      <c r="G553" s="38" t="n"/>
      <c r="H553" s="49">
        <f>IF(B553="","",IFERROR(INDEX('JOBS'!$D$5:$D$1504,MATCH(B553,'JOBS'!$A$5:$A$1504,0)),"Job ID not found"))</f>
        <v/>
      </c>
      <c r="I553" s="49">
        <f>IF(B553="","",IFERROR(INDEX('JOBS'!$F$5:$F$1504,MATCH(B553,'JOBS'!$A$5:$A$1504,0)),""))</f>
        <v/>
      </c>
      <c r="J553" s="55">
        <f>IF(C553="","",ROUND(C553*IF(IFERROR(INDEX('SETTINGS'!$K$5:$K$24,MATCH(E553,'SETTINGS'!$J$5:$J$24,0)),"No")="Yes",FeePct,0),2))</f>
        <v/>
      </c>
      <c r="K553" s="51">
        <f>IF(A553="","",DATE(YEAR(A553),MONTH(A553),1))</f>
        <v/>
      </c>
    </row>
    <row r="554">
      <c r="A554" s="47" t="n"/>
      <c r="B554" s="38" t="n"/>
      <c r="C554" s="48" t="n"/>
      <c r="D554" s="48" t="n"/>
      <c r="E554" s="38" t="n"/>
      <c r="F554" s="38" t="n"/>
      <c r="G554" s="38" t="n"/>
      <c r="H554" s="49">
        <f>IF(B554="","",IFERROR(INDEX('JOBS'!$D$5:$D$1504,MATCH(B554,'JOBS'!$A$5:$A$1504,0)),"Job ID not found"))</f>
        <v/>
      </c>
      <c r="I554" s="49">
        <f>IF(B554="","",IFERROR(INDEX('JOBS'!$F$5:$F$1504,MATCH(B554,'JOBS'!$A$5:$A$1504,0)),""))</f>
        <v/>
      </c>
      <c r="J554" s="55">
        <f>IF(C554="","",ROUND(C554*IF(IFERROR(INDEX('SETTINGS'!$K$5:$K$24,MATCH(E554,'SETTINGS'!$J$5:$J$24,0)),"No")="Yes",FeePct,0),2))</f>
        <v/>
      </c>
      <c r="K554" s="51">
        <f>IF(A554="","",DATE(YEAR(A554),MONTH(A554),1))</f>
        <v/>
      </c>
    </row>
    <row r="555">
      <c r="A555" s="47" t="n"/>
      <c r="B555" s="38" t="n"/>
      <c r="C555" s="48" t="n"/>
      <c r="D555" s="48" t="n"/>
      <c r="E555" s="38" t="n"/>
      <c r="F555" s="38" t="n"/>
      <c r="G555" s="38" t="n"/>
      <c r="H555" s="49">
        <f>IF(B555="","",IFERROR(INDEX('JOBS'!$D$5:$D$1504,MATCH(B555,'JOBS'!$A$5:$A$1504,0)),"Job ID not found"))</f>
        <v/>
      </c>
      <c r="I555" s="49">
        <f>IF(B555="","",IFERROR(INDEX('JOBS'!$F$5:$F$1504,MATCH(B555,'JOBS'!$A$5:$A$1504,0)),""))</f>
        <v/>
      </c>
      <c r="J555" s="55">
        <f>IF(C555="","",ROUND(C555*IF(IFERROR(INDEX('SETTINGS'!$K$5:$K$24,MATCH(E555,'SETTINGS'!$J$5:$J$24,0)),"No")="Yes",FeePct,0),2))</f>
        <v/>
      </c>
      <c r="K555" s="51">
        <f>IF(A555="","",DATE(YEAR(A555),MONTH(A555),1))</f>
        <v/>
      </c>
    </row>
    <row r="556">
      <c r="A556" s="47" t="n"/>
      <c r="B556" s="38" t="n"/>
      <c r="C556" s="48" t="n"/>
      <c r="D556" s="48" t="n"/>
      <c r="E556" s="38" t="n"/>
      <c r="F556" s="38" t="n"/>
      <c r="G556" s="38" t="n"/>
      <c r="H556" s="49">
        <f>IF(B556="","",IFERROR(INDEX('JOBS'!$D$5:$D$1504,MATCH(B556,'JOBS'!$A$5:$A$1504,0)),"Job ID not found"))</f>
        <v/>
      </c>
      <c r="I556" s="49">
        <f>IF(B556="","",IFERROR(INDEX('JOBS'!$F$5:$F$1504,MATCH(B556,'JOBS'!$A$5:$A$1504,0)),""))</f>
        <v/>
      </c>
      <c r="J556" s="55">
        <f>IF(C556="","",ROUND(C556*IF(IFERROR(INDEX('SETTINGS'!$K$5:$K$24,MATCH(E556,'SETTINGS'!$J$5:$J$24,0)),"No")="Yes",FeePct,0),2))</f>
        <v/>
      </c>
      <c r="K556" s="51">
        <f>IF(A556="","",DATE(YEAR(A556),MONTH(A556),1))</f>
        <v/>
      </c>
    </row>
    <row r="557">
      <c r="A557" s="47" t="n"/>
      <c r="B557" s="38" t="n"/>
      <c r="C557" s="48" t="n"/>
      <c r="D557" s="48" t="n"/>
      <c r="E557" s="38" t="n"/>
      <c r="F557" s="38" t="n"/>
      <c r="G557" s="38" t="n"/>
      <c r="H557" s="49">
        <f>IF(B557="","",IFERROR(INDEX('JOBS'!$D$5:$D$1504,MATCH(B557,'JOBS'!$A$5:$A$1504,0)),"Job ID not found"))</f>
        <v/>
      </c>
      <c r="I557" s="49">
        <f>IF(B557="","",IFERROR(INDEX('JOBS'!$F$5:$F$1504,MATCH(B557,'JOBS'!$A$5:$A$1504,0)),""))</f>
        <v/>
      </c>
      <c r="J557" s="55">
        <f>IF(C557="","",ROUND(C557*IF(IFERROR(INDEX('SETTINGS'!$K$5:$K$24,MATCH(E557,'SETTINGS'!$J$5:$J$24,0)),"No")="Yes",FeePct,0),2))</f>
        <v/>
      </c>
      <c r="K557" s="51">
        <f>IF(A557="","",DATE(YEAR(A557),MONTH(A557),1))</f>
        <v/>
      </c>
    </row>
    <row r="558">
      <c r="A558" s="47" t="n"/>
      <c r="B558" s="38" t="n"/>
      <c r="C558" s="48" t="n"/>
      <c r="D558" s="48" t="n"/>
      <c r="E558" s="38" t="n"/>
      <c r="F558" s="38" t="n"/>
      <c r="G558" s="38" t="n"/>
      <c r="H558" s="49">
        <f>IF(B558="","",IFERROR(INDEX('JOBS'!$D$5:$D$1504,MATCH(B558,'JOBS'!$A$5:$A$1504,0)),"Job ID not found"))</f>
        <v/>
      </c>
      <c r="I558" s="49">
        <f>IF(B558="","",IFERROR(INDEX('JOBS'!$F$5:$F$1504,MATCH(B558,'JOBS'!$A$5:$A$1504,0)),""))</f>
        <v/>
      </c>
      <c r="J558" s="55">
        <f>IF(C558="","",ROUND(C558*IF(IFERROR(INDEX('SETTINGS'!$K$5:$K$24,MATCH(E558,'SETTINGS'!$J$5:$J$24,0)),"No")="Yes",FeePct,0),2))</f>
        <v/>
      </c>
      <c r="K558" s="51">
        <f>IF(A558="","",DATE(YEAR(A558),MONTH(A558),1))</f>
        <v/>
      </c>
    </row>
    <row r="559">
      <c r="A559" s="47" t="n"/>
      <c r="B559" s="38" t="n"/>
      <c r="C559" s="48" t="n"/>
      <c r="D559" s="48" t="n"/>
      <c r="E559" s="38" t="n"/>
      <c r="F559" s="38" t="n"/>
      <c r="G559" s="38" t="n"/>
      <c r="H559" s="49">
        <f>IF(B559="","",IFERROR(INDEX('JOBS'!$D$5:$D$1504,MATCH(B559,'JOBS'!$A$5:$A$1504,0)),"Job ID not found"))</f>
        <v/>
      </c>
      <c r="I559" s="49">
        <f>IF(B559="","",IFERROR(INDEX('JOBS'!$F$5:$F$1504,MATCH(B559,'JOBS'!$A$5:$A$1504,0)),""))</f>
        <v/>
      </c>
      <c r="J559" s="55">
        <f>IF(C559="","",ROUND(C559*IF(IFERROR(INDEX('SETTINGS'!$K$5:$K$24,MATCH(E559,'SETTINGS'!$J$5:$J$24,0)),"No")="Yes",FeePct,0),2))</f>
        <v/>
      </c>
      <c r="K559" s="51">
        <f>IF(A559="","",DATE(YEAR(A559),MONTH(A559),1))</f>
        <v/>
      </c>
    </row>
    <row r="560">
      <c r="A560" s="47" t="n"/>
      <c r="B560" s="38" t="n"/>
      <c r="C560" s="48" t="n"/>
      <c r="D560" s="48" t="n"/>
      <c r="E560" s="38" t="n"/>
      <c r="F560" s="38" t="n"/>
      <c r="G560" s="38" t="n"/>
      <c r="H560" s="49">
        <f>IF(B560="","",IFERROR(INDEX('JOBS'!$D$5:$D$1504,MATCH(B560,'JOBS'!$A$5:$A$1504,0)),"Job ID not found"))</f>
        <v/>
      </c>
      <c r="I560" s="49">
        <f>IF(B560="","",IFERROR(INDEX('JOBS'!$F$5:$F$1504,MATCH(B560,'JOBS'!$A$5:$A$1504,0)),""))</f>
        <v/>
      </c>
      <c r="J560" s="55">
        <f>IF(C560="","",ROUND(C560*IF(IFERROR(INDEX('SETTINGS'!$K$5:$K$24,MATCH(E560,'SETTINGS'!$J$5:$J$24,0)),"No")="Yes",FeePct,0),2))</f>
        <v/>
      </c>
      <c r="K560" s="51">
        <f>IF(A560="","",DATE(YEAR(A560),MONTH(A560),1))</f>
        <v/>
      </c>
    </row>
    <row r="561">
      <c r="A561" s="47" t="n"/>
      <c r="B561" s="38" t="n"/>
      <c r="C561" s="48" t="n"/>
      <c r="D561" s="48" t="n"/>
      <c r="E561" s="38" t="n"/>
      <c r="F561" s="38" t="n"/>
      <c r="G561" s="38" t="n"/>
      <c r="H561" s="49">
        <f>IF(B561="","",IFERROR(INDEX('JOBS'!$D$5:$D$1504,MATCH(B561,'JOBS'!$A$5:$A$1504,0)),"Job ID not found"))</f>
        <v/>
      </c>
      <c r="I561" s="49">
        <f>IF(B561="","",IFERROR(INDEX('JOBS'!$F$5:$F$1504,MATCH(B561,'JOBS'!$A$5:$A$1504,0)),""))</f>
        <v/>
      </c>
      <c r="J561" s="55">
        <f>IF(C561="","",ROUND(C561*IF(IFERROR(INDEX('SETTINGS'!$K$5:$K$24,MATCH(E561,'SETTINGS'!$J$5:$J$24,0)),"No")="Yes",FeePct,0),2))</f>
        <v/>
      </c>
      <c r="K561" s="51">
        <f>IF(A561="","",DATE(YEAR(A561),MONTH(A561),1))</f>
        <v/>
      </c>
    </row>
    <row r="562">
      <c r="A562" s="47" t="n"/>
      <c r="B562" s="38" t="n"/>
      <c r="C562" s="48" t="n"/>
      <c r="D562" s="48" t="n"/>
      <c r="E562" s="38" t="n"/>
      <c r="F562" s="38" t="n"/>
      <c r="G562" s="38" t="n"/>
      <c r="H562" s="49">
        <f>IF(B562="","",IFERROR(INDEX('JOBS'!$D$5:$D$1504,MATCH(B562,'JOBS'!$A$5:$A$1504,0)),"Job ID not found"))</f>
        <v/>
      </c>
      <c r="I562" s="49">
        <f>IF(B562="","",IFERROR(INDEX('JOBS'!$F$5:$F$1504,MATCH(B562,'JOBS'!$A$5:$A$1504,0)),""))</f>
        <v/>
      </c>
      <c r="J562" s="55">
        <f>IF(C562="","",ROUND(C562*IF(IFERROR(INDEX('SETTINGS'!$K$5:$K$24,MATCH(E562,'SETTINGS'!$J$5:$J$24,0)),"No")="Yes",FeePct,0),2))</f>
        <v/>
      </c>
      <c r="K562" s="51">
        <f>IF(A562="","",DATE(YEAR(A562),MONTH(A562),1))</f>
        <v/>
      </c>
    </row>
    <row r="563">
      <c r="A563" s="47" t="n"/>
      <c r="B563" s="38" t="n"/>
      <c r="C563" s="48" t="n"/>
      <c r="D563" s="48" t="n"/>
      <c r="E563" s="38" t="n"/>
      <c r="F563" s="38" t="n"/>
      <c r="G563" s="38" t="n"/>
      <c r="H563" s="49">
        <f>IF(B563="","",IFERROR(INDEX('JOBS'!$D$5:$D$1504,MATCH(B563,'JOBS'!$A$5:$A$1504,0)),"Job ID not found"))</f>
        <v/>
      </c>
      <c r="I563" s="49">
        <f>IF(B563="","",IFERROR(INDEX('JOBS'!$F$5:$F$1504,MATCH(B563,'JOBS'!$A$5:$A$1504,0)),""))</f>
        <v/>
      </c>
      <c r="J563" s="55">
        <f>IF(C563="","",ROUND(C563*IF(IFERROR(INDEX('SETTINGS'!$K$5:$K$24,MATCH(E563,'SETTINGS'!$J$5:$J$24,0)),"No")="Yes",FeePct,0),2))</f>
        <v/>
      </c>
      <c r="K563" s="51">
        <f>IF(A563="","",DATE(YEAR(A563),MONTH(A563),1))</f>
        <v/>
      </c>
    </row>
    <row r="564">
      <c r="A564" s="47" t="n"/>
      <c r="B564" s="38" t="n"/>
      <c r="C564" s="48" t="n"/>
      <c r="D564" s="48" t="n"/>
      <c r="E564" s="38" t="n"/>
      <c r="F564" s="38" t="n"/>
      <c r="G564" s="38" t="n"/>
      <c r="H564" s="49">
        <f>IF(B564="","",IFERROR(INDEX('JOBS'!$D$5:$D$1504,MATCH(B564,'JOBS'!$A$5:$A$1504,0)),"Job ID not found"))</f>
        <v/>
      </c>
      <c r="I564" s="49">
        <f>IF(B564="","",IFERROR(INDEX('JOBS'!$F$5:$F$1504,MATCH(B564,'JOBS'!$A$5:$A$1504,0)),""))</f>
        <v/>
      </c>
      <c r="J564" s="55">
        <f>IF(C564="","",ROUND(C564*IF(IFERROR(INDEX('SETTINGS'!$K$5:$K$24,MATCH(E564,'SETTINGS'!$J$5:$J$24,0)),"No")="Yes",FeePct,0),2))</f>
        <v/>
      </c>
      <c r="K564" s="51">
        <f>IF(A564="","",DATE(YEAR(A564),MONTH(A564),1))</f>
        <v/>
      </c>
    </row>
    <row r="565">
      <c r="A565" s="47" t="n"/>
      <c r="B565" s="38" t="n"/>
      <c r="C565" s="48" t="n"/>
      <c r="D565" s="48" t="n"/>
      <c r="E565" s="38" t="n"/>
      <c r="F565" s="38" t="n"/>
      <c r="G565" s="38" t="n"/>
      <c r="H565" s="49">
        <f>IF(B565="","",IFERROR(INDEX('JOBS'!$D$5:$D$1504,MATCH(B565,'JOBS'!$A$5:$A$1504,0)),"Job ID not found"))</f>
        <v/>
      </c>
      <c r="I565" s="49">
        <f>IF(B565="","",IFERROR(INDEX('JOBS'!$F$5:$F$1504,MATCH(B565,'JOBS'!$A$5:$A$1504,0)),""))</f>
        <v/>
      </c>
      <c r="J565" s="55">
        <f>IF(C565="","",ROUND(C565*IF(IFERROR(INDEX('SETTINGS'!$K$5:$K$24,MATCH(E565,'SETTINGS'!$J$5:$J$24,0)),"No")="Yes",FeePct,0),2))</f>
        <v/>
      </c>
      <c r="K565" s="51">
        <f>IF(A565="","",DATE(YEAR(A565),MONTH(A565),1))</f>
        <v/>
      </c>
    </row>
    <row r="566">
      <c r="A566" s="47" t="n"/>
      <c r="B566" s="38" t="n"/>
      <c r="C566" s="48" t="n"/>
      <c r="D566" s="48" t="n"/>
      <c r="E566" s="38" t="n"/>
      <c r="F566" s="38" t="n"/>
      <c r="G566" s="38" t="n"/>
      <c r="H566" s="49">
        <f>IF(B566="","",IFERROR(INDEX('JOBS'!$D$5:$D$1504,MATCH(B566,'JOBS'!$A$5:$A$1504,0)),"Job ID not found"))</f>
        <v/>
      </c>
      <c r="I566" s="49">
        <f>IF(B566="","",IFERROR(INDEX('JOBS'!$F$5:$F$1504,MATCH(B566,'JOBS'!$A$5:$A$1504,0)),""))</f>
        <v/>
      </c>
      <c r="J566" s="55">
        <f>IF(C566="","",ROUND(C566*IF(IFERROR(INDEX('SETTINGS'!$K$5:$K$24,MATCH(E566,'SETTINGS'!$J$5:$J$24,0)),"No")="Yes",FeePct,0),2))</f>
        <v/>
      </c>
      <c r="K566" s="51">
        <f>IF(A566="","",DATE(YEAR(A566),MONTH(A566),1))</f>
        <v/>
      </c>
    </row>
    <row r="567">
      <c r="A567" s="47" t="n"/>
      <c r="B567" s="38" t="n"/>
      <c r="C567" s="48" t="n"/>
      <c r="D567" s="48" t="n"/>
      <c r="E567" s="38" t="n"/>
      <c r="F567" s="38" t="n"/>
      <c r="G567" s="38" t="n"/>
      <c r="H567" s="49">
        <f>IF(B567="","",IFERROR(INDEX('JOBS'!$D$5:$D$1504,MATCH(B567,'JOBS'!$A$5:$A$1504,0)),"Job ID not found"))</f>
        <v/>
      </c>
      <c r="I567" s="49">
        <f>IF(B567="","",IFERROR(INDEX('JOBS'!$F$5:$F$1504,MATCH(B567,'JOBS'!$A$5:$A$1504,0)),""))</f>
        <v/>
      </c>
      <c r="J567" s="55">
        <f>IF(C567="","",ROUND(C567*IF(IFERROR(INDEX('SETTINGS'!$K$5:$K$24,MATCH(E567,'SETTINGS'!$J$5:$J$24,0)),"No")="Yes",FeePct,0),2))</f>
        <v/>
      </c>
      <c r="K567" s="51">
        <f>IF(A567="","",DATE(YEAR(A567),MONTH(A567),1))</f>
        <v/>
      </c>
    </row>
    <row r="568">
      <c r="A568" s="47" t="n"/>
      <c r="B568" s="38" t="n"/>
      <c r="C568" s="48" t="n"/>
      <c r="D568" s="48" t="n"/>
      <c r="E568" s="38" t="n"/>
      <c r="F568" s="38" t="n"/>
      <c r="G568" s="38" t="n"/>
      <c r="H568" s="49">
        <f>IF(B568="","",IFERROR(INDEX('JOBS'!$D$5:$D$1504,MATCH(B568,'JOBS'!$A$5:$A$1504,0)),"Job ID not found"))</f>
        <v/>
      </c>
      <c r="I568" s="49">
        <f>IF(B568="","",IFERROR(INDEX('JOBS'!$F$5:$F$1504,MATCH(B568,'JOBS'!$A$5:$A$1504,0)),""))</f>
        <v/>
      </c>
      <c r="J568" s="55">
        <f>IF(C568="","",ROUND(C568*IF(IFERROR(INDEX('SETTINGS'!$K$5:$K$24,MATCH(E568,'SETTINGS'!$J$5:$J$24,0)),"No")="Yes",FeePct,0),2))</f>
        <v/>
      </c>
      <c r="K568" s="51">
        <f>IF(A568="","",DATE(YEAR(A568),MONTH(A568),1))</f>
        <v/>
      </c>
    </row>
    <row r="569">
      <c r="A569" s="47" t="n"/>
      <c r="B569" s="38" t="n"/>
      <c r="C569" s="48" t="n"/>
      <c r="D569" s="48" t="n"/>
      <c r="E569" s="38" t="n"/>
      <c r="F569" s="38" t="n"/>
      <c r="G569" s="38" t="n"/>
      <c r="H569" s="49">
        <f>IF(B569="","",IFERROR(INDEX('JOBS'!$D$5:$D$1504,MATCH(B569,'JOBS'!$A$5:$A$1504,0)),"Job ID not found"))</f>
        <v/>
      </c>
      <c r="I569" s="49">
        <f>IF(B569="","",IFERROR(INDEX('JOBS'!$F$5:$F$1504,MATCH(B569,'JOBS'!$A$5:$A$1504,0)),""))</f>
        <v/>
      </c>
      <c r="J569" s="55">
        <f>IF(C569="","",ROUND(C569*IF(IFERROR(INDEX('SETTINGS'!$K$5:$K$24,MATCH(E569,'SETTINGS'!$J$5:$J$24,0)),"No")="Yes",FeePct,0),2))</f>
        <v/>
      </c>
      <c r="K569" s="51">
        <f>IF(A569="","",DATE(YEAR(A569),MONTH(A569),1))</f>
        <v/>
      </c>
    </row>
    <row r="570">
      <c r="A570" s="47" t="n"/>
      <c r="B570" s="38" t="n"/>
      <c r="C570" s="48" t="n"/>
      <c r="D570" s="48" t="n"/>
      <c r="E570" s="38" t="n"/>
      <c r="F570" s="38" t="n"/>
      <c r="G570" s="38" t="n"/>
      <c r="H570" s="49">
        <f>IF(B570="","",IFERROR(INDEX('JOBS'!$D$5:$D$1504,MATCH(B570,'JOBS'!$A$5:$A$1504,0)),"Job ID not found"))</f>
        <v/>
      </c>
      <c r="I570" s="49">
        <f>IF(B570="","",IFERROR(INDEX('JOBS'!$F$5:$F$1504,MATCH(B570,'JOBS'!$A$5:$A$1504,0)),""))</f>
        <v/>
      </c>
      <c r="J570" s="55">
        <f>IF(C570="","",ROUND(C570*IF(IFERROR(INDEX('SETTINGS'!$K$5:$K$24,MATCH(E570,'SETTINGS'!$J$5:$J$24,0)),"No")="Yes",FeePct,0),2))</f>
        <v/>
      </c>
      <c r="K570" s="51">
        <f>IF(A570="","",DATE(YEAR(A570),MONTH(A570),1))</f>
        <v/>
      </c>
    </row>
    <row r="571">
      <c r="A571" s="47" t="n"/>
      <c r="B571" s="38" t="n"/>
      <c r="C571" s="48" t="n"/>
      <c r="D571" s="48" t="n"/>
      <c r="E571" s="38" t="n"/>
      <c r="F571" s="38" t="n"/>
      <c r="G571" s="38" t="n"/>
      <c r="H571" s="49">
        <f>IF(B571="","",IFERROR(INDEX('JOBS'!$D$5:$D$1504,MATCH(B571,'JOBS'!$A$5:$A$1504,0)),"Job ID not found"))</f>
        <v/>
      </c>
      <c r="I571" s="49">
        <f>IF(B571="","",IFERROR(INDEX('JOBS'!$F$5:$F$1504,MATCH(B571,'JOBS'!$A$5:$A$1504,0)),""))</f>
        <v/>
      </c>
      <c r="J571" s="55">
        <f>IF(C571="","",ROUND(C571*IF(IFERROR(INDEX('SETTINGS'!$K$5:$K$24,MATCH(E571,'SETTINGS'!$J$5:$J$24,0)),"No")="Yes",FeePct,0),2))</f>
        <v/>
      </c>
      <c r="K571" s="51">
        <f>IF(A571="","",DATE(YEAR(A571),MONTH(A571),1))</f>
        <v/>
      </c>
    </row>
    <row r="572">
      <c r="A572" s="47" t="n"/>
      <c r="B572" s="38" t="n"/>
      <c r="C572" s="48" t="n"/>
      <c r="D572" s="48" t="n"/>
      <c r="E572" s="38" t="n"/>
      <c r="F572" s="38" t="n"/>
      <c r="G572" s="38" t="n"/>
      <c r="H572" s="49">
        <f>IF(B572="","",IFERROR(INDEX('JOBS'!$D$5:$D$1504,MATCH(B572,'JOBS'!$A$5:$A$1504,0)),"Job ID not found"))</f>
        <v/>
      </c>
      <c r="I572" s="49">
        <f>IF(B572="","",IFERROR(INDEX('JOBS'!$F$5:$F$1504,MATCH(B572,'JOBS'!$A$5:$A$1504,0)),""))</f>
        <v/>
      </c>
      <c r="J572" s="55">
        <f>IF(C572="","",ROUND(C572*IF(IFERROR(INDEX('SETTINGS'!$K$5:$K$24,MATCH(E572,'SETTINGS'!$J$5:$J$24,0)),"No")="Yes",FeePct,0),2))</f>
        <v/>
      </c>
      <c r="K572" s="51">
        <f>IF(A572="","",DATE(YEAR(A572),MONTH(A572),1))</f>
        <v/>
      </c>
    </row>
    <row r="573">
      <c r="A573" s="47" t="n"/>
      <c r="B573" s="38" t="n"/>
      <c r="C573" s="48" t="n"/>
      <c r="D573" s="48" t="n"/>
      <c r="E573" s="38" t="n"/>
      <c r="F573" s="38" t="n"/>
      <c r="G573" s="38" t="n"/>
      <c r="H573" s="49">
        <f>IF(B573="","",IFERROR(INDEX('JOBS'!$D$5:$D$1504,MATCH(B573,'JOBS'!$A$5:$A$1504,0)),"Job ID not found"))</f>
        <v/>
      </c>
      <c r="I573" s="49">
        <f>IF(B573="","",IFERROR(INDEX('JOBS'!$F$5:$F$1504,MATCH(B573,'JOBS'!$A$5:$A$1504,0)),""))</f>
        <v/>
      </c>
      <c r="J573" s="55">
        <f>IF(C573="","",ROUND(C573*IF(IFERROR(INDEX('SETTINGS'!$K$5:$K$24,MATCH(E573,'SETTINGS'!$J$5:$J$24,0)),"No")="Yes",FeePct,0),2))</f>
        <v/>
      </c>
      <c r="K573" s="51">
        <f>IF(A573="","",DATE(YEAR(A573),MONTH(A573),1))</f>
        <v/>
      </c>
    </row>
    <row r="574">
      <c r="A574" s="47" t="n"/>
      <c r="B574" s="38" t="n"/>
      <c r="C574" s="48" t="n"/>
      <c r="D574" s="48" t="n"/>
      <c r="E574" s="38" t="n"/>
      <c r="F574" s="38" t="n"/>
      <c r="G574" s="38" t="n"/>
      <c r="H574" s="49">
        <f>IF(B574="","",IFERROR(INDEX('JOBS'!$D$5:$D$1504,MATCH(B574,'JOBS'!$A$5:$A$1504,0)),"Job ID not found"))</f>
        <v/>
      </c>
      <c r="I574" s="49">
        <f>IF(B574="","",IFERROR(INDEX('JOBS'!$F$5:$F$1504,MATCH(B574,'JOBS'!$A$5:$A$1504,0)),""))</f>
        <v/>
      </c>
      <c r="J574" s="55">
        <f>IF(C574="","",ROUND(C574*IF(IFERROR(INDEX('SETTINGS'!$K$5:$K$24,MATCH(E574,'SETTINGS'!$J$5:$J$24,0)),"No")="Yes",FeePct,0),2))</f>
        <v/>
      </c>
      <c r="K574" s="51">
        <f>IF(A574="","",DATE(YEAR(A574),MONTH(A574),1))</f>
        <v/>
      </c>
    </row>
    <row r="575">
      <c r="A575" s="47" t="n"/>
      <c r="B575" s="38" t="n"/>
      <c r="C575" s="48" t="n"/>
      <c r="D575" s="48" t="n"/>
      <c r="E575" s="38" t="n"/>
      <c r="F575" s="38" t="n"/>
      <c r="G575" s="38" t="n"/>
      <c r="H575" s="49">
        <f>IF(B575="","",IFERROR(INDEX('JOBS'!$D$5:$D$1504,MATCH(B575,'JOBS'!$A$5:$A$1504,0)),"Job ID not found"))</f>
        <v/>
      </c>
      <c r="I575" s="49">
        <f>IF(B575="","",IFERROR(INDEX('JOBS'!$F$5:$F$1504,MATCH(B575,'JOBS'!$A$5:$A$1504,0)),""))</f>
        <v/>
      </c>
      <c r="J575" s="55">
        <f>IF(C575="","",ROUND(C575*IF(IFERROR(INDEX('SETTINGS'!$K$5:$K$24,MATCH(E575,'SETTINGS'!$J$5:$J$24,0)),"No")="Yes",FeePct,0),2))</f>
        <v/>
      </c>
      <c r="K575" s="51">
        <f>IF(A575="","",DATE(YEAR(A575),MONTH(A575),1))</f>
        <v/>
      </c>
    </row>
    <row r="576">
      <c r="A576" s="47" t="n"/>
      <c r="B576" s="38" t="n"/>
      <c r="C576" s="48" t="n"/>
      <c r="D576" s="48" t="n"/>
      <c r="E576" s="38" t="n"/>
      <c r="F576" s="38" t="n"/>
      <c r="G576" s="38" t="n"/>
      <c r="H576" s="49">
        <f>IF(B576="","",IFERROR(INDEX('JOBS'!$D$5:$D$1504,MATCH(B576,'JOBS'!$A$5:$A$1504,0)),"Job ID not found"))</f>
        <v/>
      </c>
      <c r="I576" s="49">
        <f>IF(B576="","",IFERROR(INDEX('JOBS'!$F$5:$F$1504,MATCH(B576,'JOBS'!$A$5:$A$1504,0)),""))</f>
        <v/>
      </c>
      <c r="J576" s="55">
        <f>IF(C576="","",ROUND(C576*IF(IFERROR(INDEX('SETTINGS'!$K$5:$K$24,MATCH(E576,'SETTINGS'!$J$5:$J$24,0)),"No")="Yes",FeePct,0),2))</f>
        <v/>
      </c>
      <c r="K576" s="51">
        <f>IF(A576="","",DATE(YEAR(A576),MONTH(A576),1))</f>
        <v/>
      </c>
    </row>
    <row r="577">
      <c r="A577" s="47" t="n"/>
      <c r="B577" s="38" t="n"/>
      <c r="C577" s="48" t="n"/>
      <c r="D577" s="48" t="n"/>
      <c r="E577" s="38" t="n"/>
      <c r="F577" s="38" t="n"/>
      <c r="G577" s="38" t="n"/>
      <c r="H577" s="49">
        <f>IF(B577="","",IFERROR(INDEX('JOBS'!$D$5:$D$1504,MATCH(B577,'JOBS'!$A$5:$A$1504,0)),"Job ID not found"))</f>
        <v/>
      </c>
      <c r="I577" s="49">
        <f>IF(B577="","",IFERROR(INDEX('JOBS'!$F$5:$F$1504,MATCH(B577,'JOBS'!$A$5:$A$1504,0)),""))</f>
        <v/>
      </c>
      <c r="J577" s="55">
        <f>IF(C577="","",ROUND(C577*IF(IFERROR(INDEX('SETTINGS'!$K$5:$K$24,MATCH(E577,'SETTINGS'!$J$5:$J$24,0)),"No")="Yes",FeePct,0),2))</f>
        <v/>
      </c>
      <c r="K577" s="51">
        <f>IF(A577="","",DATE(YEAR(A577),MONTH(A577),1))</f>
        <v/>
      </c>
    </row>
    <row r="578">
      <c r="A578" s="47" t="n"/>
      <c r="B578" s="38" t="n"/>
      <c r="C578" s="48" t="n"/>
      <c r="D578" s="48" t="n"/>
      <c r="E578" s="38" t="n"/>
      <c r="F578" s="38" t="n"/>
      <c r="G578" s="38" t="n"/>
      <c r="H578" s="49">
        <f>IF(B578="","",IFERROR(INDEX('JOBS'!$D$5:$D$1504,MATCH(B578,'JOBS'!$A$5:$A$1504,0)),"Job ID not found"))</f>
        <v/>
      </c>
      <c r="I578" s="49">
        <f>IF(B578="","",IFERROR(INDEX('JOBS'!$F$5:$F$1504,MATCH(B578,'JOBS'!$A$5:$A$1504,0)),""))</f>
        <v/>
      </c>
      <c r="J578" s="55">
        <f>IF(C578="","",ROUND(C578*IF(IFERROR(INDEX('SETTINGS'!$K$5:$K$24,MATCH(E578,'SETTINGS'!$J$5:$J$24,0)),"No")="Yes",FeePct,0),2))</f>
        <v/>
      </c>
      <c r="K578" s="51">
        <f>IF(A578="","",DATE(YEAR(A578),MONTH(A578),1))</f>
        <v/>
      </c>
    </row>
    <row r="579">
      <c r="A579" s="47" t="n"/>
      <c r="B579" s="38" t="n"/>
      <c r="C579" s="48" t="n"/>
      <c r="D579" s="48" t="n"/>
      <c r="E579" s="38" t="n"/>
      <c r="F579" s="38" t="n"/>
      <c r="G579" s="38" t="n"/>
      <c r="H579" s="49">
        <f>IF(B579="","",IFERROR(INDEX('JOBS'!$D$5:$D$1504,MATCH(B579,'JOBS'!$A$5:$A$1504,0)),"Job ID not found"))</f>
        <v/>
      </c>
      <c r="I579" s="49">
        <f>IF(B579="","",IFERROR(INDEX('JOBS'!$F$5:$F$1504,MATCH(B579,'JOBS'!$A$5:$A$1504,0)),""))</f>
        <v/>
      </c>
      <c r="J579" s="55">
        <f>IF(C579="","",ROUND(C579*IF(IFERROR(INDEX('SETTINGS'!$K$5:$K$24,MATCH(E579,'SETTINGS'!$J$5:$J$24,0)),"No")="Yes",FeePct,0),2))</f>
        <v/>
      </c>
      <c r="K579" s="51">
        <f>IF(A579="","",DATE(YEAR(A579),MONTH(A579),1))</f>
        <v/>
      </c>
    </row>
    <row r="580">
      <c r="A580" s="47" t="n"/>
      <c r="B580" s="38" t="n"/>
      <c r="C580" s="48" t="n"/>
      <c r="D580" s="48" t="n"/>
      <c r="E580" s="38" t="n"/>
      <c r="F580" s="38" t="n"/>
      <c r="G580" s="38" t="n"/>
      <c r="H580" s="49">
        <f>IF(B580="","",IFERROR(INDEX('JOBS'!$D$5:$D$1504,MATCH(B580,'JOBS'!$A$5:$A$1504,0)),"Job ID not found"))</f>
        <v/>
      </c>
      <c r="I580" s="49">
        <f>IF(B580="","",IFERROR(INDEX('JOBS'!$F$5:$F$1504,MATCH(B580,'JOBS'!$A$5:$A$1504,0)),""))</f>
        <v/>
      </c>
      <c r="J580" s="55">
        <f>IF(C580="","",ROUND(C580*IF(IFERROR(INDEX('SETTINGS'!$K$5:$K$24,MATCH(E580,'SETTINGS'!$J$5:$J$24,0)),"No")="Yes",FeePct,0),2))</f>
        <v/>
      </c>
      <c r="K580" s="51">
        <f>IF(A580="","",DATE(YEAR(A580),MONTH(A580),1))</f>
        <v/>
      </c>
    </row>
    <row r="581">
      <c r="A581" s="47" t="n"/>
      <c r="B581" s="38" t="n"/>
      <c r="C581" s="48" t="n"/>
      <c r="D581" s="48" t="n"/>
      <c r="E581" s="38" t="n"/>
      <c r="F581" s="38" t="n"/>
      <c r="G581" s="38" t="n"/>
      <c r="H581" s="49">
        <f>IF(B581="","",IFERROR(INDEX('JOBS'!$D$5:$D$1504,MATCH(B581,'JOBS'!$A$5:$A$1504,0)),"Job ID not found"))</f>
        <v/>
      </c>
      <c r="I581" s="49">
        <f>IF(B581="","",IFERROR(INDEX('JOBS'!$F$5:$F$1504,MATCH(B581,'JOBS'!$A$5:$A$1504,0)),""))</f>
        <v/>
      </c>
      <c r="J581" s="55">
        <f>IF(C581="","",ROUND(C581*IF(IFERROR(INDEX('SETTINGS'!$K$5:$K$24,MATCH(E581,'SETTINGS'!$J$5:$J$24,0)),"No")="Yes",FeePct,0),2))</f>
        <v/>
      </c>
      <c r="K581" s="51">
        <f>IF(A581="","",DATE(YEAR(A581),MONTH(A581),1))</f>
        <v/>
      </c>
    </row>
    <row r="582">
      <c r="A582" s="47" t="n"/>
      <c r="B582" s="38" t="n"/>
      <c r="C582" s="48" t="n"/>
      <c r="D582" s="48" t="n"/>
      <c r="E582" s="38" t="n"/>
      <c r="F582" s="38" t="n"/>
      <c r="G582" s="38" t="n"/>
      <c r="H582" s="49">
        <f>IF(B582="","",IFERROR(INDEX('JOBS'!$D$5:$D$1504,MATCH(B582,'JOBS'!$A$5:$A$1504,0)),"Job ID not found"))</f>
        <v/>
      </c>
      <c r="I582" s="49">
        <f>IF(B582="","",IFERROR(INDEX('JOBS'!$F$5:$F$1504,MATCH(B582,'JOBS'!$A$5:$A$1504,0)),""))</f>
        <v/>
      </c>
      <c r="J582" s="55">
        <f>IF(C582="","",ROUND(C582*IF(IFERROR(INDEX('SETTINGS'!$K$5:$K$24,MATCH(E582,'SETTINGS'!$J$5:$J$24,0)),"No")="Yes",FeePct,0),2))</f>
        <v/>
      </c>
      <c r="K582" s="51">
        <f>IF(A582="","",DATE(YEAR(A582),MONTH(A582),1))</f>
        <v/>
      </c>
    </row>
    <row r="583">
      <c r="A583" s="47" t="n"/>
      <c r="B583" s="38" t="n"/>
      <c r="C583" s="48" t="n"/>
      <c r="D583" s="48" t="n"/>
      <c r="E583" s="38" t="n"/>
      <c r="F583" s="38" t="n"/>
      <c r="G583" s="38" t="n"/>
      <c r="H583" s="49">
        <f>IF(B583="","",IFERROR(INDEX('JOBS'!$D$5:$D$1504,MATCH(B583,'JOBS'!$A$5:$A$1504,0)),"Job ID not found"))</f>
        <v/>
      </c>
      <c r="I583" s="49">
        <f>IF(B583="","",IFERROR(INDEX('JOBS'!$F$5:$F$1504,MATCH(B583,'JOBS'!$A$5:$A$1504,0)),""))</f>
        <v/>
      </c>
      <c r="J583" s="55">
        <f>IF(C583="","",ROUND(C583*IF(IFERROR(INDEX('SETTINGS'!$K$5:$K$24,MATCH(E583,'SETTINGS'!$J$5:$J$24,0)),"No")="Yes",FeePct,0),2))</f>
        <v/>
      </c>
      <c r="K583" s="51">
        <f>IF(A583="","",DATE(YEAR(A583),MONTH(A583),1))</f>
        <v/>
      </c>
    </row>
    <row r="584">
      <c r="A584" s="47" t="n"/>
      <c r="B584" s="38" t="n"/>
      <c r="C584" s="48" t="n"/>
      <c r="D584" s="48" t="n"/>
      <c r="E584" s="38" t="n"/>
      <c r="F584" s="38" t="n"/>
      <c r="G584" s="38" t="n"/>
      <c r="H584" s="49">
        <f>IF(B584="","",IFERROR(INDEX('JOBS'!$D$5:$D$1504,MATCH(B584,'JOBS'!$A$5:$A$1504,0)),"Job ID not found"))</f>
        <v/>
      </c>
      <c r="I584" s="49">
        <f>IF(B584="","",IFERROR(INDEX('JOBS'!$F$5:$F$1504,MATCH(B584,'JOBS'!$A$5:$A$1504,0)),""))</f>
        <v/>
      </c>
      <c r="J584" s="55">
        <f>IF(C584="","",ROUND(C584*IF(IFERROR(INDEX('SETTINGS'!$K$5:$K$24,MATCH(E584,'SETTINGS'!$J$5:$J$24,0)),"No")="Yes",FeePct,0),2))</f>
        <v/>
      </c>
      <c r="K584" s="51">
        <f>IF(A584="","",DATE(YEAR(A584),MONTH(A584),1))</f>
        <v/>
      </c>
    </row>
    <row r="585">
      <c r="A585" s="47" t="n"/>
      <c r="B585" s="38" t="n"/>
      <c r="C585" s="48" t="n"/>
      <c r="D585" s="48" t="n"/>
      <c r="E585" s="38" t="n"/>
      <c r="F585" s="38" t="n"/>
      <c r="G585" s="38" t="n"/>
      <c r="H585" s="49">
        <f>IF(B585="","",IFERROR(INDEX('JOBS'!$D$5:$D$1504,MATCH(B585,'JOBS'!$A$5:$A$1504,0)),"Job ID not found"))</f>
        <v/>
      </c>
      <c r="I585" s="49">
        <f>IF(B585="","",IFERROR(INDEX('JOBS'!$F$5:$F$1504,MATCH(B585,'JOBS'!$A$5:$A$1504,0)),""))</f>
        <v/>
      </c>
      <c r="J585" s="55">
        <f>IF(C585="","",ROUND(C585*IF(IFERROR(INDEX('SETTINGS'!$K$5:$K$24,MATCH(E585,'SETTINGS'!$J$5:$J$24,0)),"No")="Yes",FeePct,0),2))</f>
        <v/>
      </c>
      <c r="K585" s="51">
        <f>IF(A585="","",DATE(YEAR(A585),MONTH(A585),1))</f>
        <v/>
      </c>
    </row>
    <row r="586">
      <c r="A586" s="47" t="n"/>
      <c r="B586" s="38" t="n"/>
      <c r="C586" s="48" t="n"/>
      <c r="D586" s="48" t="n"/>
      <c r="E586" s="38" t="n"/>
      <c r="F586" s="38" t="n"/>
      <c r="G586" s="38" t="n"/>
      <c r="H586" s="49">
        <f>IF(B586="","",IFERROR(INDEX('JOBS'!$D$5:$D$1504,MATCH(B586,'JOBS'!$A$5:$A$1504,0)),"Job ID not found"))</f>
        <v/>
      </c>
      <c r="I586" s="49">
        <f>IF(B586="","",IFERROR(INDEX('JOBS'!$F$5:$F$1504,MATCH(B586,'JOBS'!$A$5:$A$1504,0)),""))</f>
        <v/>
      </c>
      <c r="J586" s="55">
        <f>IF(C586="","",ROUND(C586*IF(IFERROR(INDEX('SETTINGS'!$K$5:$K$24,MATCH(E586,'SETTINGS'!$J$5:$J$24,0)),"No")="Yes",FeePct,0),2))</f>
        <v/>
      </c>
      <c r="K586" s="51">
        <f>IF(A586="","",DATE(YEAR(A586),MONTH(A586),1))</f>
        <v/>
      </c>
    </row>
    <row r="587">
      <c r="A587" s="47" t="n"/>
      <c r="B587" s="38" t="n"/>
      <c r="C587" s="48" t="n"/>
      <c r="D587" s="48" t="n"/>
      <c r="E587" s="38" t="n"/>
      <c r="F587" s="38" t="n"/>
      <c r="G587" s="38" t="n"/>
      <c r="H587" s="49">
        <f>IF(B587="","",IFERROR(INDEX('JOBS'!$D$5:$D$1504,MATCH(B587,'JOBS'!$A$5:$A$1504,0)),"Job ID not found"))</f>
        <v/>
      </c>
      <c r="I587" s="49">
        <f>IF(B587="","",IFERROR(INDEX('JOBS'!$F$5:$F$1504,MATCH(B587,'JOBS'!$A$5:$A$1504,0)),""))</f>
        <v/>
      </c>
      <c r="J587" s="55">
        <f>IF(C587="","",ROUND(C587*IF(IFERROR(INDEX('SETTINGS'!$K$5:$K$24,MATCH(E587,'SETTINGS'!$J$5:$J$24,0)),"No")="Yes",FeePct,0),2))</f>
        <v/>
      </c>
      <c r="K587" s="51">
        <f>IF(A587="","",DATE(YEAR(A587),MONTH(A587),1))</f>
        <v/>
      </c>
    </row>
    <row r="588">
      <c r="A588" s="47" t="n"/>
      <c r="B588" s="38" t="n"/>
      <c r="C588" s="48" t="n"/>
      <c r="D588" s="48" t="n"/>
      <c r="E588" s="38" t="n"/>
      <c r="F588" s="38" t="n"/>
      <c r="G588" s="38" t="n"/>
      <c r="H588" s="49">
        <f>IF(B588="","",IFERROR(INDEX('JOBS'!$D$5:$D$1504,MATCH(B588,'JOBS'!$A$5:$A$1504,0)),"Job ID not found"))</f>
        <v/>
      </c>
      <c r="I588" s="49">
        <f>IF(B588="","",IFERROR(INDEX('JOBS'!$F$5:$F$1504,MATCH(B588,'JOBS'!$A$5:$A$1504,0)),""))</f>
        <v/>
      </c>
      <c r="J588" s="55">
        <f>IF(C588="","",ROUND(C588*IF(IFERROR(INDEX('SETTINGS'!$K$5:$K$24,MATCH(E588,'SETTINGS'!$J$5:$J$24,0)),"No")="Yes",FeePct,0),2))</f>
        <v/>
      </c>
      <c r="K588" s="51">
        <f>IF(A588="","",DATE(YEAR(A588),MONTH(A588),1))</f>
        <v/>
      </c>
    </row>
    <row r="589">
      <c r="A589" s="47" t="n"/>
      <c r="B589" s="38" t="n"/>
      <c r="C589" s="48" t="n"/>
      <c r="D589" s="48" t="n"/>
      <c r="E589" s="38" t="n"/>
      <c r="F589" s="38" t="n"/>
      <c r="G589" s="38" t="n"/>
      <c r="H589" s="49">
        <f>IF(B589="","",IFERROR(INDEX('JOBS'!$D$5:$D$1504,MATCH(B589,'JOBS'!$A$5:$A$1504,0)),"Job ID not found"))</f>
        <v/>
      </c>
      <c r="I589" s="49">
        <f>IF(B589="","",IFERROR(INDEX('JOBS'!$F$5:$F$1504,MATCH(B589,'JOBS'!$A$5:$A$1504,0)),""))</f>
        <v/>
      </c>
      <c r="J589" s="55">
        <f>IF(C589="","",ROUND(C589*IF(IFERROR(INDEX('SETTINGS'!$K$5:$K$24,MATCH(E589,'SETTINGS'!$J$5:$J$24,0)),"No")="Yes",FeePct,0),2))</f>
        <v/>
      </c>
      <c r="K589" s="51">
        <f>IF(A589="","",DATE(YEAR(A589),MONTH(A589),1))</f>
        <v/>
      </c>
    </row>
    <row r="590">
      <c r="A590" s="47" t="n"/>
      <c r="B590" s="38" t="n"/>
      <c r="C590" s="48" t="n"/>
      <c r="D590" s="48" t="n"/>
      <c r="E590" s="38" t="n"/>
      <c r="F590" s="38" t="n"/>
      <c r="G590" s="38" t="n"/>
      <c r="H590" s="49">
        <f>IF(B590="","",IFERROR(INDEX('JOBS'!$D$5:$D$1504,MATCH(B590,'JOBS'!$A$5:$A$1504,0)),"Job ID not found"))</f>
        <v/>
      </c>
      <c r="I590" s="49">
        <f>IF(B590="","",IFERROR(INDEX('JOBS'!$F$5:$F$1504,MATCH(B590,'JOBS'!$A$5:$A$1504,0)),""))</f>
        <v/>
      </c>
      <c r="J590" s="55">
        <f>IF(C590="","",ROUND(C590*IF(IFERROR(INDEX('SETTINGS'!$K$5:$K$24,MATCH(E590,'SETTINGS'!$J$5:$J$24,0)),"No")="Yes",FeePct,0),2))</f>
        <v/>
      </c>
      <c r="K590" s="51">
        <f>IF(A590="","",DATE(YEAR(A590),MONTH(A590),1))</f>
        <v/>
      </c>
    </row>
    <row r="591">
      <c r="A591" s="47" t="n"/>
      <c r="B591" s="38" t="n"/>
      <c r="C591" s="48" t="n"/>
      <c r="D591" s="48" t="n"/>
      <c r="E591" s="38" t="n"/>
      <c r="F591" s="38" t="n"/>
      <c r="G591" s="38" t="n"/>
      <c r="H591" s="49">
        <f>IF(B591="","",IFERROR(INDEX('JOBS'!$D$5:$D$1504,MATCH(B591,'JOBS'!$A$5:$A$1504,0)),"Job ID not found"))</f>
        <v/>
      </c>
      <c r="I591" s="49">
        <f>IF(B591="","",IFERROR(INDEX('JOBS'!$F$5:$F$1504,MATCH(B591,'JOBS'!$A$5:$A$1504,0)),""))</f>
        <v/>
      </c>
      <c r="J591" s="55">
        <f>IF(C591="","",ROUND(C591*IF(IFERROR(INDEX('SETTINGS'!$K$5:$K$24,MATCH(E591,'SETTINGS'!$J$5:$J$24,0)),"No")="Yes",FeePct,0),2))</f>
        <v/>
      </c>
      <c r="K591" s="51">
        <f>IF(A591="","",DATE(YEAR(A591),MONTH(A591),1))</f>
        <v/>
      </c>
    </row>
    <row r="592">
      <c r="A592" s="47" t="n"/>
      <c r="B592" s="38" t="n"/>
      <c r="C592" s="48" t="n"/>
      <c r="D592" s="48" t="n"/>
      <c r="E592" s="38" t="n"/>
      <c r="F592" s="38" t="n"/>
      <c r="G592" s="38" t="n"/>
      <c r="H592" s="49">
        <f>IF(B592="","",IFERROR(INDEX('JOBS'!$D$5:$D$1504,MATCH(B592,'JOBS'!$A$5:$A$1504,0)),"Job ID not found"))</f>
        <v/>
      </c>
      <c r="I592" s="49">
        <f>IF(B592="","",IFERROR(INDEX('JOBS'!$F$5:$F$1504,MATCH(B592,'JOBS'!$A$5:$A$1504,0)),""))</f>
        <v/>
      </c>
      <c r="J592" s="55">
        <f>IF(C592="","",ROUND(C592*IF(IFERROR(INDEX('SETTINGS'!$K$5:$K$24,MATCH(E592,'SETTINGS'!$J$5:$J$24,0)),"No")="Yes",FeePct,0),2))</f>
        <v/>
      </c>
      <c r="K592" s="51">
        <f>IF(A592="","",DATE(YEAR(A592),MONTH(A592),1))</f>
        <v/>
      </c>
    </row>
    <row r="593">
      <c r="A593" s="47" t="n"/>
      <c r="B593" s="38" t="n"/>
      <c r="C593" s="48" t="n"/>
      <c r="D593" s="48" t="n"/>
      <c r="E593" s="38" t="n"/>
      <c r="F593" s="38" t="n"/>
      <c r="G593" s="38" t="n"/>
      <c r="H593" s="49">
        <f>IF(B593="","",IFERROR(INDEX('JOBS'!$D$5:$D$1504,MATCH(B593,'JOBS'!$A$5:$A$1504,0)),"Job ID not found"))</f>
        <v/>
      </c>
      <c r="I593" s="49">
        <f>IF(B593="","",IFERROR(INDEX('JOBS'!$F$5:$F$1504,MATCH(B593,'JOBS'!$A$5:$A$1504,0)),""))</f>
        <v/>
      </c>
      <c r="J593" s="55">
        <f>IF(C593="","",ROUND(C593*IF(IFERROR(INDEX('SETTINGS'!$K$5:$K$24,MATCH(E593,'SETTINGS'!$J$5:$J$24,0)),"No")="Yes",FeePct,0),2))</f>
        <v/>
      </c>
      <c r="K593" s="51">
        <f>IF(A593="","",DATE(YEAR(A593),MONTH(A593),1))</f>
        <v/>
      </c>
    </row>
    <row r="594">
      <c r="A594" s="47" t="n"/>
      <c r="B594" s="38" t="n"/>
      <c r="C594" s="48" t="n"/>
      <c r="D594" s="48" t="n"/>
      <c r="E594" s="38" t="n"/>
      <c r="F594" s="38" t="n"/>
      <c r="G594" s="38" t="n"/>
      <c r="H594" s="49">
        <f>IF(B594="","",IFERROR(INDEX('JOBS'!$D$5:$D$1504,MATCH(B594,'JOBS'!$A$5:$A$1504,0)),"Job ID not found"))</f>
        <v/>
      </c>
      <c r="I594" s="49">
        <f>IF(B594="","",IFERROR(INDEX('JOBS'!$F$5:$F$1504,MATCH(B594,'JOBS'!$A$5:$A$1504,0)),""))</f>
        <v/>
      </c>
      <c r="J594" s="55">
        <f>IF(C594="","",ROUND(C594*IF(IFERROR(INDEX('SETTINGS'!$K$5:$K$24,MATCH(E594,'SETTINGS'!$J$5:$J$24,0)),"No")="Yes",FeePct,0),2))</f>
        <v/>
      </c>
      <c r="K594" s="51">
        <f>IF(A594="","",DATE(YEAR(A594),MONTH(A594),1))</f>
        <v/>
      </c>
    </row>
    <row r="595">
      <c r="A595" s="47" t="n"/>
      <c r="B595" s="38" t="n"/>
      <c r="C595" s="48" t="n"/>
      <c r="D595" s="48" t="n"/>
      <c r="E595" s="38" t="n"/>
      <c r="F595" s="38" t="n"/>
      <c r="G595" s="38" t="n"/>
      <c r="H595" s="49">
        <f>IF(B595="","",IFERROR(INDEX('JOBS'!$D$5:$D$1504,MATCH(B595,'JOBS'!$A$5:$A$1504,0)),"Job ID not found"))</f>
        <v/>
      </c>
      <c r="I595" s="49">
        <f>IF(B595="","",IFERROR(INDEX('JOBS'!$F$5:$F$1504,MATCH(B595,'JOBS'!$A$5:$A$1504,0)),""))</f>
        <v/>
      </c>
      <c r="J595" s="55">
        <f>IF(C595="","",ROUND(C595*IF(IFERROR(INDEX('SETTINGS'!$K$5:$K$24,MATCH(E595,'SETTINGS'!$J$5:$J$24,0)),"No")="Yes",FeePct,0),2))</f>
        <v/>
      </c>
      <c r="K595" s="51">
        <f>IF(A595="","",DATE(YEAR(A595),MONTH(A595),1))</f>
        <v/>
      </c>
    </row>
    <row r="596">
      <c r="A596" s="47" t="n"/>
      <c r="B596" s="38" t="n"/>
      <c r="C596" s="48" t="n"/>
      <c r="D596" s="48" t="n"/>
      <c r="E596" s="38" t="n"/>
      <c r="F596" s="38" t="n"/>
      <c r="G596" s="38" t="n"/>
      <c r="H596" s="49">
        <f>IF(B596="","",IFERROR(INDEX('JOBS'!$D$5:$D$1504,MATCH(B596,'JOBS'!$A$5:$A$1504,0)),"Job ID not found"))</f>
        <v/>
      </c>
      <c r="I596" s="49">
        <f>IF(B596="","",IFERROR(INDEX('JOBS'!$F$5:$F$1504,MATCH(B596,'JOBS'!$A$5:$A$1504,0)),""))</f>
        <v/>
      </c>
      <c r="J596" s="55">
        <f>IF(C596="","",ROUND(C596*IF(IFERROR(INDEX('SETTINGS'!$K$5:$K$24,MATCH(E596,'SETTINGS'!$J$5:$J$24,0)),"No")="Yes",FeePct,0),2))</f>
        <v/>
      </c>
      <c r="K596" s="51">
        <f>IF(A596="","",DATE(YEAR(A596),MONTH(A596),1))</f>
        <v/>
      </c>
    </row>
    <row r="597">
      <c r="A597" s="47" t="n"/>
      <c r="B597" s="38" t="n"/>
      <c r="C597" s="48" t="n"/>
      <c r="D597" s="48" t="n"/>
      <c r="E597" s="38" t="n"/>
      <c r="F597" s="38" t="n"/>
      <c r="G597" s="38" t="n"/>
      <c r="H597" s="49">
        <f>IF(B597="","",IFERROR(INDEX('JOBS'!$D$5:$D$1504,MATCH(B597,'JOBS'!$A$5:$A$1504,0)),"Job ID not found"))</f>
        <v/>
      </c>
      <c r="I597" s="49">
        <f>IF(B597="","",IFERROR(INDEX('JOBS'!$F$5:$F$1504,MATCH(B597,'JOBS'!$A$5:$A$1504,0)),""))</f>
        <v/>
      </c>
      <c r="J597" s="55">
        <f>IF(C597="","",ROUND(C597*IF(IFERROR(INDEX('SETTINGS'!$K$5:$K$24,MATCH(E597,'SETTINGS'!$J$5:$J$24,0)),"No")="Yes",FeePct,0),2))</f>
        <v/>
      </c>
      <c r="K597" s="51">
        <f>IF(A597="","",DATE(YEAR(A597),MONTH(A597),1))</f>
        <v/>
      </c>
    </row>
    <row r="598">
      <c r="A598" s="47" t="n"/>
      <c r="B598" s="38" t="n"/>
      <c r="C598" s="48" t="n"/>
      <c r="D598" s="48" t="n"/>
      <c r="E598" s="38" t="n"/>
      <c r="F598" s="38" t="n"/>
      <c r="G598" s="38" t="n"/>
      <c r="H598" s="49">
        <f>IF(B598="","",IFERROR(INDEX('JOBS'!$D$5:$D$1504,MATCH(B598,'JOBS'!$A$5:$A$1504,0)),"Job ID not found"))</f>
        <v/>
      </c>
      <c r="I598" s="49">
        <f>IF(B598="","",IFERROR(INDEX('JOBS'!$F$5:$F$1504,MATCH(B598,'JOBS'!$A$5:$A$1504,0)),""))</f>
        <v/>
      </c>
      <c r="J598" s="55">
        <f>IF(C598="","",ROUND(C598*IF(IFERROR(INDEX('SETTINGS'!$K$5:$K$24,MATCH(E598,'SETTINGS'!$J$5:$J$24,0)),"No")="Yes",FeePct,0),2))</f>
        <v/>
      </c>
      <c r="K598" s="51">
        <f>IF(A598="","",DATE(YEAR(A598),MONTH(A598),1))</f>
        <v/>
      </c>
    </row>
    <row r="599">
      <c r="A599" s="47" t="n"/>
      <c r="B599" s="38" t="n"/>
      <c r="C599" s="48" t="n"/>
      <c r="D599" s="48" t="n"/>
      <c r="E599" s="38" t="n"/>
      <c r="F599" s="38" t="n"/>
      <c r="G599" s="38" t="n"/>
      <c r="H599" s="49">
        <f>IF(B599="","",IFERROR(INDEX('JOBS'!$D$5:$D$1504,MATCH(B599,'JOBS'!$A$5:$A$1504,0)),"Job ID not found"))</f>
        <v/>
      </c>
      <c r="I599" s="49">
        <f>IF(B599="","",IFERROR(INDEX('JOBS'!$F$5:$F$1504,MATCH(B599,'JOBS'!$A$5:$A$1504,0)),""))</f>
        <v/>
      </c>
      <c r="J599" s="55">
        <f>IF(C599="","",ROUND(C599*IF(IFERROR(INDEX('SETTINGS'!$K$5:$K$24,MATCH(E599,'SETTINGS'!$J$5:$J$24,0)),"No")="Yes",FeePct,0),2))</f>
        <v/>
      </c>
      <c r="K599" s="51">
        <f>IF(A599="","",DATE(YEAR(A599),MONTH(A599),1))</f>
        <v/>
      </c>
    </row>
    <row r="600">
      <c r="A600" s="47" t="n"/>
      <c r="B600" s="38" t="n"/>
      <c r="C600" s="48" t="n"/>
      <c r="D600" s="48" t="n"/>
      <c r="E600" s="38" t="n"/>
      <c r="F600" s="38" t="n"/>
      <c r="G600" s="38" t="n"/>
      <c r="H600" s="49">
        <f>IF(B600="","",IFERROR(INDEX('JOBS'!$D$5:$D$1504,MATCH(B600,'JOBS'!$A$5:$A$1504,0)),"Job ID not found"))</f>
        <v/>
      </c>
      <c r="I600" s="49">
        <f>IF(B600="","",IFERROR(INDEX('JOBS'!$F$5:$F$1504,MATCH(B600,'JOBS'!$A$5:$A$1504,0)),""))</f>
        <v/>
      </c>
      <c r="J600" s="55">
        <f>IF(C600="","",ROUND(C600*IF(IFERROR(INDEX('SETTINGS'!$K$5:$K$24,MATCH(E600,'SETTINGS'!$J$5:$J$24,0)),"No")="Yes",FeePct,0),2))</f>
        <v/>
      </c>
      <c r="K600" s="51">
        <f>IF(A600="","",DATE(YEAR(A600),MONTH(A600),1))</f>
        <v/>
      </c>
    </row>
    <row r="601">
      <c r="A601" s="47" t="n"/>
      <c r="B601" s="38" t="n"/>
      <c r="C601" s="48" t="n"/>
      <c r="D601" s="48" t="n"/>
      <c r="E601" s="38" t="n"/>
      <c r="F601" s="38" t="n"/>
      <c r="G601" s="38" t="n"/>
      <c r="H601" s="49">
        <f>IF(B601="","",IFERROR(INDEX('JOBS'!$D$5:$D$1504,MATCH(B601,'JOBS'!$A$5:$A$1504,0)),"Job ID not found"))</f>
        <v/>
      </c>
      <c r="I601" s="49">
        <f>IF(B601="","",IFERROR(INDEX('JOBS'!$F$5:$F$1504,MATCH(B601,'JOBS'!$A$5:$A$1504,0)),""))</f>
        <v/>
      </c>
      <c r="J601" s="55">
        <f>IF(C601="","",ROUND(C601*IF(IFERROR(INDEX('SETTINGS'!$K$5:$K$24,MATCH(E601,'SETTINGS'!$J$5:$J$24,0)),"No")="Yes",FeePct,0),2))</f>
        <v/>
      </c>
      <c r="K601" s="51">
        <f>IF(A601="","",DATE(YEAR(A601),MONTH(A601),1))</f>
        <v/>
      </c>
    </row>
    <row r="602">
      <c r="A602" s="47" t="n"/>
      <c r="B602" s="38" t="n"/>
      <c r="C602" s="48" t="n"/>
      <c r="D602" s="48" t="n"/>
      <c r="E602" s="38" t="n"/>
      <c r="F602" s="38" t="n"/>
      <c r="G602" s="38" t="n"/>
      <c r="H602" s="49">
        <f>IF(B602="","",IFERROR(INDEX('JOBS'!$D$5:$D$1504,MATCH(B602,'JOBS'!$A$5:$A$1504,0)),"Job ID not found"))</f>
        <v/>
      </c>
      <c r="I602" s="49">
        <f>IF(B602="","",IFERROR(INDEX('JOBS'!$F$5:$F$1504,MATCH(B602,'JOBS'!$A$5:$A$1504,0)),""))</f>
        <v/>
      </c>
      <c r="J602" s="55">
        <f>IF(C602="","",ROUND(C602*IF(IFERROR(INDEX('SETTINGS'!$K$5:$K$24,MATCH(E602,'SETTINGS'!$J$5:$J$24,0)),"No")="Yes",FeePct,0),2))</f>
        <v/>
      </c>
      <c r="K602" s="51">
        <f>IF(A602="","",DATE(YEAR(A602),MONTH(A602),1))</f>
        <v/>
      </c>
    </row>
    <row r="603">
      <c r="A603" s="47" t="n"/>
      <c r="B603" s="38" t="n"/>
      <c r="C603" s="48" t="n"/>
      <c r="D603" s="48" t="n"/>
      <c r="E603" s="38" t="n"/>
      <c r="F603" s="38" t="n"/>
      <c r="G603" s="38" t="n"/>
      <c r="H603" s="49">
        <f>IF(B603="","",IFERROR(INDEX('JOBS'!$D$5:$D$1504,MATCH(B603,'JOBS'!$A$5:$A$1504,0)),"Job ID not found"))</f>
        <v/>
      </c>
      <c r="I603" s="49">
        <f>IF(B603="","",IFERROR(INDEX('JOBS'!$F$5:$F$1504,MATCH(B603,'JOBS'!$A$5:$A$1504,0)),""))</f>
        <v/>
      </c>
      <c r="J603" s="55">
        <f>IF(C603="","",ROUND(C603*IF(IFERROR(INDEX('SETTINGS'!$K$5:$K$24,MATCH(E603,'SETTINGS'!$J$5:$J$24,0)),"No")="Yes",FeePct,0),2))</f>
        <v/>
      </c>
      <c r="K603" s="51">
        <f>IF(A603="","",DATE(YEAR(A603),MONTH(A603),1))</f>
        <v/>
      </c>
    </row>
    <row r="604">
      <c r="A604" s="47" t="n"/>
      <c r="B604" s="38" t="n"/>
      <c r="C604" s="48" t="n"/>
      <c r="D604" s="48" t="n"/>
      <c r="E604" s="38" t="n"/>
      <c r="F604" s="38" t="n"/>
      <c r="G604" s="38" t="n"/>
      <c r="H604" s="49">
        <f>IF(B604="","",IFERROR(INDEX('JOBS'!$D$5:$D$1504,MATCH(B604,'JOBS'!$A$5:$A$1504,0)),"Job ID not found"))</f>
        <v/>
      </c>
      <c r="I604" s="49">
        <f>IF(B604="","",IFERROR(INDEX('JOBS'!$F$5:$F$1504,MATCH(B604,'JOBS'!$A$5:$A$1504,0)),""))</f>
        <v/>
      </c>
      <c r="J604" s="55">
        <f>IF(C604="","",ROUND(C604*IF(IFERROR(INDEX('SETTINGS'!$K$5:$K$24,MATCH(E604,'SETTINGS'!$J$5:$J$24,0)),"No")="Yes",FeePct,0),2))</f>
        <v/>
      </c>
      <c r="K604" s="51">
        <f>IF(A604="","",DATE(YEAR(A604),MONTH(A604),1))</f>
        <v/>
      </c>
    </row>
    <row r="605">
      <c r="A605" s="47" t="n"/>
      <c r="B605" s="38" t="n"/>
      <c r="C605" s="48" t="n"/>
      <c r="D605" s="48" t="n"/>
      <c r="E605" s="38" t="n"/>
      <c r="F605" s="38" t="n"/>
      <c r="G605" s="38" t="n"/>
      <c r="H605" s="49">
        <f>IF(B605="","",IFERROR(INDEX('JOBS'!$D$5:$D$1504,MATCH(B605,'JOBS'!$A$5:$A$1504,0)),"Job ID not found"))</f>
        <v/>
      </c>
      <c r="I605" s="49">
        <f>IF(B605="","",IFERROR(INDEX('JOBS'!$F$5:$F$1504,MATCH(B605,'JOBS'!$A$5:$A$1504,0)),""))</f>
        <v/>
      </c>
      <c r="J605" s="55">
        <f>IF(C605="","",ROUND(C605*IF(IFERROR(INDEX('SETTINGS'!$K$5:$K$24,MATCH(E605,'SETTINGS'!$J$5:$J$24,0)),"No")="Yes",FeePct,0),2))</f>
        <v/>
      </c>
      <c r="K605" s="51">
        <f>IF(A605="","",DATE(YEAR(A605),MONTH(A605),1))</f>
        <v/>
      </c>
    </row>
    <row r="606">
      <c r="A606" s="47" t="n"/>
      <c r="B606" s="38" t="n"/>
      <c r="C606" s="48" t="n"/>
      <c r="D606" s="48" t="n"/>
      <c r="E606" s="38" t="n"/>
      <c r="F606" s="38" t="n"/>
      <c r="G606" s="38" t="n"/>
      <c r="H606" s="49">
        <f>IF(B606="","",IFERROR(INDEX('JOBS'!$D$5:$D$1504,MATCH(B606,'JOBS'!$A$5:$A$1504,0)),"Job ID not found"))</f>
        <v/>
      </c>
      <c r="I606" s="49">
        <f>IF(B606="","",IFERROR(INDEX('JOBS'!$F$5:$F$1504,MATCH(B606,'JOBS'!$A$5:$A$1504,0)),""))</f>
        <v/>
      </c>
      <c r="J606" s="55">
        <f>IF(C606="","",ROUND(C606*IF(IFERROR(INDEX('SETTINGS'!$K$5:$K$24,MATCH(E606,'SETTINGS'!$J$5:$J$24,0)),"No")="Yes",FeePct,0),2))</f>
        <v/>
      </c>
      <c r="K606" s="51">
        <f>IF(A606="","",DATE(YEAR(A606),MONTH(A606),1))</f>
        <v/>
      </c>
    </row>
    <row r="607">
      <c r="A607" s="47" t="n"/>
      <c r="B607" s="38" t="n"/>
      <c r="C607" s="48" t="n"/>
      <c r="D607" s="48" t="n"/>
      <c r="E607" s="38" t="n"/>
      <c r="F607" s="38" t="n"/>
      <c r="G607" s="38" t="n"/>
      <c r="H607" s="49">
        <f>IF(B607="","",IFERROR(INDEX('JOBS'!$D$5:$D$1504,MATCH(B607,'JOBS'!$A$5:$A$1504,0)),"Job ID not found"))</f>
        <v/>
      </c>
      <c r="I607" s="49">
        <f>IF(B607="","",IFERROR(INDEX('JOBS'!$F$5:$F$1504,MATCH(B607,'JOBS'!$A$5:$A$1504,0)),""))</f>
        <v/>
      </c>
      <c r="J607" s="55">
        <f>IF(C607="","",ROUND(C607*IF(IFERROR(INDEX('SETTINGS'!$K$5:$K$24,MATCH(E607,'SETTINGS'!$J$5:$J$24,0)),"No")="Yes",FeePct,0),2))</f>
        <v/>
      </c>
      <c r="K607" s="51">
        <f>IF(A607="","",DATE(YEAR(A607),MONTH(A607),1))</f>
        <v/>
      </c>
    </row>
    <row r="608">
      <c r="A608" s="47" t="n"/>
      <c r="B608" s="38" t="n"/>
      <c r="C608" s="48" t="n"/>
      <c r="D608" s="48" t="n"/>
      <c r="E608" s="38" t="n"/>
      <c r="F608" s="38" t="n"/>
      <c r="G608" s="38" t="n"/>
      <c r="H608" s="49">
        <f>IF(B608="","",IFERROR(INDEX('JOBS'!$D$5:$D$1504,MATCH(B608,'JOBS'!$A$5:$A$1504,0)),"Job ID not found"))</f>
        <v/>
      </c>
      <c r="I608" s="49">
        <f>IF(B608="","",IFERROR(INDEX('JOBS'!$F$5:$F$1504,MATCH(B608,'JOBS'!$A$5:$A$1504,0)),""))</f>
        <v/>
      </c>
      <c r="J608" s="55">
        <f>IF(C608="","",ROUND(C608*IF(IFERROR(INDEX('SETTINGS'!$K$5:$K$24,MATCH(E608,'SETTINGS'!$J$5:$J$24,0)),"No")="Yes",FeePct,0),2))</f>
        <v/>
      </c>
      <c r="K608" s="51">
        <f>IF(A608="","",DATE(YEAR(A608),MONTH(A608),1))</f>
        <v/>
      </c>
    </row>
    <row r="609">
      <c r="A609" s="47" t="n"/>
      <c r="B609" s="38" t="n"/>
      <c r="C609" s="48" t="n"/>
      <c r="D609" s="48" t="n"/>
      <c r="E609" s="38" t="n"/>
      <c r="F609" s="38" t="n"/>
      <c r="G609" s="38" t="n"/>
      <c r="H609" s="49">
        <f>IF(B609="","",IFERROR(INDEX('JOBS'!$D$5:$D$1504,MATCH(B609,'JOBS'!$A$5:$A$1504,0)),"Job ID not found"))</f>
        <v/>
      </c>
      <c r="I609" s="49">
        <f>IF(B609="","",IFERROR(INDEX('JOBS'!$F$5:$F$1504,MATCH(B609,'JOBS'!$A$5:$A$1504,0)),""))</f>
        <v/>
      </c>
      <c r="J609" s="55">
        <f>IF(C609="","",ROUND(C609*IF(IFERROR(INDEX('SETTINGS'!$K$5:$K$24,MATCH(E609,'SETTINGS'!$J$5:$J$24,0)),"No")="Yes",FeePct,0),2))</f>
        <v/>
      </c>
      <c r="K609" s="51">
        <f>IF(A609="","",DATE(YEAR(A609),MONTH(A609),1))</f>
        <v/>
      </c>
    </row>
    <row r="610">
      <c r="A610" s="47" t="n"/>
      <c r="B610" s="38" t="n"/>
      <c r="C610" s="48" t="n"/>
      <c r="D610" s="48" t="n"/>
      <c r="E610" s="38" t="n"/>
      <c r="F610" s="38" t="n"/>
      <c r="G610" s="38" t="n"/>
      <c r="H610" s="49">
        <f>IF(B610="","",IFERROR(INDEX('JOBS'!$D$5:$D$1504,MATCH(B610,'JOBS'!$A$5:$A$1504,0)),"Job ID not found"))</f>
        <v/>
      </c>
      <c r="I610" s="49">
        <f>IF(B610="","",IFERROR(INDEX('JOBS'!$F$5:$F$1504,MATCH(B610,'JOBS'!$A$5:$A$1504,0)),""))</f>
        <v/>
      </c>
      <c r="J610" s="55">
        <f>IF(C610="","",ROUND(C610*IF(IFERROR(INDEX('SETTINGS'!$K$5:$K$24,MATCH(E610,'SETTINGS'!$J$5:$J$24,0)),"No")="Yes",FeePct,0),2))</f>
        <v/>
      </c>
      <c r="K610" s="51">
        <f>IF(A610="","",DATE(YEAR(A610),MONTH(A610),1))</f>
        <v/>
      </c>
    </row>
    <row r="611">
      <c r="A611" s="47" t="n"/>
      <c r="B611" s="38" t="n"/>
      <c r="C611" s="48" t="n"/>
      <c r="D611" s="48" t="n"/>
      <c r="E611" s="38" t="n"/>
      <c r="F611" s="38" t="n"/>
      <c r="G611" s="38" t="n"/>
      <c r="H611" s="49">
        <f>IF(B611="","",IFERROR(INDEX('JOBS'!$D$5:$D$1504,MATCH(B611,'JOBS'!$A$5:$A$1504,0)),"Job ID not found"))</f>
        <v/>
      </c>
      <c r="I611" s="49">
        <f>IF(B611="","",IFERROR(INDEX('JOBS'!$F$5:$F$1504,MATCH(B611,'JOBS'!$A$5:$A$1504,0)),""))</f>
        <v/>
      </c>
      <c r="J611" s="55">
        <f>IF(C611="","",ROUND(C611*IF(IFERROR(INDEX('SETTINGS'!$K$5:$K$24,MATCH(E611,'SETTINGS'!$J$5:$J$24,0)),"No")="Yes",FeePct,0),2))</f>
        <v/>
      </c>
      <c r="K611" s="51">
        <f>IF(A611="","",DATE(YEAR(A611),MONTH(A611),1))</f>
        <v/>
      </c>
    </row>
    <row r="612">
      <c r="A612" s="47" t="n"/>
      <c r="B612" s="38" t="n"/>
      <c r="C612" s="48" t="n"/>
      <c r="D612" s="48" t="n"/>
      <c r="E612" s="38" t="n"/>
      <c r="F612" s="38" t="n"/>
      <c r="G612" s="38" t="n"/>
      <c r="H612" s="49">
        <f>IF(B612="","",IFERROR(INDEX('JOBS'!$D$5:$D$1504,MATCH(B612,'JOBS'!$A$5:$A$1504,0)),"Job ID not found"))</f>
        <v/>
      </c>
      <c r="I612" s="49">
        <f>IF(B612="","",IFERROR(INDEX('JOBS'!$F$5:$F$1504,MATCH(B612,'JOBS'!$A$5:$A$1504,0)),""))</f>
        <v/>
      </c>
      <c r="J612" s="55">
        <f>IF(C612="","",ROUND(C612*IF(IFERROR(INDEX('SETTINGS'!$K$5:$K$24,MATCH(E612,'SETTINGS'!$J$5:$J$24,0)),"No")="Yes",FeePct,0),2))</f>
        <v/>
      </c>
      <c r="K612" s="51">
        <f>IF(A612="","",DATE(YEAR(A612),MONTH(A612),1))</f>
        <v/>
      </c>
    </row>
    <row r="613">
      <c r="A613" s="47" t="n"/>
      <c r="B613" s="38" t="n"/>
      <c r="C613" s="48" t="n"/>
      <c r="D613" s="48" t="n"/>
      <c r="E613" s="38" t="n"/>
      <c r="F613" s="38" t="n"/>
      <c r="G613" s="38" t="n"/>
      <c r="H613" s="49">
        <f>IF(B613="","",IFERROR(INDEX('JOBS'!$D$5:$D$1504,MATCH(B613,'JOBS'!$A$5:$A$1504,0)),"Job ID not found"))</f>
        <v/>
      </c>
      <c r="I613" s="49">
        <f>IF(B613="","",IFERROR(INDEX('JOBS'!$F$5:$F$1504,MATCH(B613,'JOBS'!$A$5:$A$1504,0)),""))</f>
        <v/>
      </c>
      <c r="J613" s="55">
        <f>IF(C613="","",ROUND(C613*IF(IFERROR(INDEX('SETTINGS'!$K$5:$K$24,MATCH(E613,'SETTINGS'!$J$5:$J$24,0)),"No")="Yes",FeePct,0),2))</f>
        <v/>
      </c>
      <c r="K613" s="51">
        <f>IF(A613="","",DATE(YEAR(A613),MONTH(A613),1))</f>
        <v/>
      </c>
    </row>
    <row r="614">
      <c r="A614" s="47" t="n"/>
      <c r="B614" s="38" t="n"/>
      <c r="C614" s="48" t="n"/>
      <c r="D614" s="48" t="n"/>
      <c r="E614" s="38" t="n"/>
      <c r="F614" s="38" t="n"/>
      <c r="G614" s="38" t="n"/>
      <c r="H614" s="49">
        <f>IF(B614="","",IFERROR(INDEX('JOBS'!$D$5:$D$1504,MATCH(B614,'JOBS'!$A$5:$A$1504,0)),"Job ID not found"))</f>
        <v/>
      </c>
      <c r="I614" s="49">
        <f>IF(B614="","",IFERROR(INDEX('JOBS'!$F$5:$F$1504,MATCH(B614,'JOBS'!$A$5:$A$1504,0)),""))</f>
        <v/>
      </c>
      <c r="J614" s="55">
        <f>IF(C614="","",ROUND(C614*IF(IFERROR(INDEX('SETTINGS'!$K$5:$K$24,MATCH(E614,'SETTINGS'!$J$5:$J$24,0)),"No")="Yes",FeePct,0),2))</f>
        <v/>
      </c>
      <c r="K614" s="51">
        <f>IF(A614="","",DATE(YEAR(A614),MONTH(A614),1))</f>
        <v/>
      </c>
    </row>
    <row r="615">
      <c r="A615" s="47" t="n"/>
      <c r="B615" s="38" t="n"/>
      <c r="C615" s="48" t="n"/>
      <c r="D615" s="48" t="n"/>
      <c r="E615" s="38" t="n"/>
      <c r="F615" s="38" t="n"/>
      <c r="G615" s="38" t="n"/>
      <c r="H615" s="49">
        <f>IF(B615="","",IFERROR(INDEX('JOBS'!$D$5:$D$1504,MATCH(B615,'JOBS'!$A$5:$A$1504,0)),"Job ID not found"))</f>
        <v/>
      </c>
      <c r="I615" s="49">
        <f>IF(B615="","",IFERROR(INDEX('JOBS'!$F$5:$F$1504,MATCH(B615,'JOBS'!$A$5:$A$1504,0)),""))</f>
        <v/>
      </c>
      <c r="J615" s="55">
        <f>IF(C615="","",ROUND(C615*IF(IFERROR(INDEX('SETTINGS'!$K$5:$K$24,MATCH(E615,'SETTINGS'!$J$5:$J$24,0)),"No")="Yes",FeePct,0),2))</f>
        <v/>
      </c>
      <c r="K615" s="51">
        <f>IF(A615="","",DATE(YEAR(A615),MONTH(A615),1))</f>
        <v/>
      </c>
    </row>
    <row r="616">
      <c r="A616" s="47" t="n"/>
      <c r="B616" s="38" t="n"/>
      <c r="C616" s="48" t="n"/>
      <c r="D616" s="48" t="n"/>
      <c r="E616" s="38" t="n"/>
      <c r="F616" s="38" t="n"/>
      <c r="G616" s="38" t="n"/>
      <c r="H616" s="49">
        <f>IF(B616="","",IFERROR(INDEX('JOBS'!$D$5:$D$1504,MATCH(B616,'JOBS'!$A$5:$A$1504,0)),"Job ID not found"))</f>
        <v/>
      </c>
      <c r="I616" s="49">
        <f>IF(B616="","",IFERROR(INDEX('JOBS'!$F$5:$F$1504,MATCH(B616,'JOBS'!$A$5:$A$1504,0)),""))</f>
        <v/>
      </c>
      <c r="J616" s="55">
        <f>IF(C616="","",ROUND(C616*IF(IFERROR(INDEX('SETTINGS'!$K$5:$K$24,MATCH(E616,'SETTINGS'!$J$5:$J$24,0)),"No")="Yes",FeePct,0),2))</f>
        <v/>
      </c>
      <c r="K616" s="51">
        <f>IF(A616="","",DATE(YEAR(A616),MONTH(A616),1))</f>
        <v/>
      </c>
    </row>
    <row r="617">
      <c r="A617" s="47" t="n"/>
      <c r="B617" s="38" t="n"/>
      <c r="C617" s="48" t="n"/>
      <c r="D617" s="48" t="n"/>
      <c r="E617" s="38" t="n"/>
      <c r="F617" s="38" t="n"/>
      <c r="G617" s="38" t="n"/>
      <c r="H617" s="49">
        <f>IF(B617="","",IFERROR(INDEX('JOBS'!$D$5:$D$1504,MATCH(B617,'JOBS'!$A$5:$A$1504,0)),"Job ID not found"))</f>
        <v/>
      </c>
      <c r="I617" s="49">
        <f>IF(B617="","",IFERROR(INDEX('JOBS'!$F$5:$F$1504,MATCH(B617,'JOBS'!$A$5:$A$1504,0)),""))</f>
        <v/>
      </c>
      <c r="J617" s="55">
        <f>IF(C617="","",ROUND(C617*IF(IFERROR(INDEX('SETTINGS'!$K$5:$K$24,MATCH(E617,'SETTINGS'!$J$5:$J$24,0)),"No")="Yes",FeePct,0),2))</f>
        <v/>
      </c>
      <c r="K617" s="51">
        <f>IF(A617="","",DATE(YEAR(A617),MONTH(A617),1))</f>
        <v/>
      </c>
    </row>
    <row r="618">
      <c r="A618" s="47" t="n"/>
      <c r="B618" s="38" t="n"/>
      <c r="C618" s="48" t="n"/>
      <c r="D618" s="48" t="n"/>
      <c r="E618" s="38" t="n"/>
      <c r="F618" s="38" t="n"/>
      <c r="G618" s="38" t="n"/>
      <c r="H618" s="49">
        <f>IF(B618="","",IFERROR(INDEX('JOBS'!$D$5:$D$1504,MATCH(B618,'JOBS'!$A$5:$A$1504,0)),"Job ID not found"))</f>
        <v/>
      </c>
      <c r="I618" s="49">
        <f>IF(B618="","",IFERROR(INDEX('JOBS'!$F$5:$F$1504,MATCH(B618,'JOBS'!$A$5:$A$1504,0)),""))</f>
        <v/>
      </c>
      <c r="J618" s="55">
        <f>IF(C618="","",ROUND(C618*IF(IFERROR(INDEX('SETTINGS'!$K$5:$K$24,MATCH(E618,'SETTINGS'!$J$5:$J$24,0)),"No")="Yes",FeePct,0),2))</f>
        <v/>
      </c>
      <c r="K618" s="51">
        <f>IF(A618="","",DATE(YEAR(A618),MONTH(A618),1))</f>
        <v/>
      </c>
    </row>
    <row r="619">
      <c r="A619" s="47" t="n"/>
      <c r="B619" s="38" t="n"/>
      <c r="C619" s="48" t="n"/>
      <c r="D619" s="48" t="n"/>
      <c r="E619" s="38" t="n"/>
      <c r="F619" s="38" t="n"/>
      <c r="G619" s="38" t="n"/>
      <c r="H619" s="49">
        <f>IF(B619="","",IFERROR(INDEX('JOBS'!$D$5:$D$1504,MATCH(B619,'JOBS'!$A$5:$A$1504,0)),"Job ID not found"))</f>
        <v/>
      </c>
      <c r="I619" s="49">
        <f>IF(B619="","",IFERROR(INDEX('JOBS'!$F$5:$F$1504,MATCH(B619,'JOBS'!$A$5:$A$1504,0)),""))</f>
        <v/>
      </c>
      <c r="J619" s="55">
        <f>IF(C619="","",ROUND(C619*IF(IFERROR(INDEX('SETTINGS'!$K$5:$K$24,MATCH(E619,'SETTINGS'!$J$5:$J$24,0)),"No")="Yes",FeePct,0),2))</f>
        <v/>
      </c>
      <c r="K619" s="51">
        <f>IF(A619="","",DATE(YEAR(A619),MONTH(A619),1))</f>
        <v/>
      </c>
    </row>
    <row r="620">
      <c r="A620" s="47" t="n"/>
      <c r="B620" s="38" t="n"/>
      <c r="C620" s="48" t="n"/>
      <c r="D620" s="48" t="n"/>
      <c r="E620" s="38" t="n"/>
      <c r="F620" s="38" t="n"/>
      <c r="G620" s="38" t="n"/>
      <c r="H620" s="49">
        <f>IF(B620="","",IFERROR(INDEX('JOBS'!$D$5:$D$1504,MATCH(B620,'JOBS'!$A$5:$A$1504,0)),"Job ID not found"))</f>
        <v/>
      </c>
      <c r="I620" s="49">
        <f>IF(B620="","",IFERROR(INDEX('JOBS'!$F$5:$F$1504,MATCH(B620,'JOBS'!$A$5:$A$1504,0)),""))</f>
        <v/>
      </c>
      <c r="J620" s="55">
        <f>IF(C620="","",ROUND(C620*IF(IFERROR(INDEX('SETTINGS'!$K$5:$K$24,MATCH(E620,'SETTINGS'!$J$5:$J$24,0)),"No")="Yes",FeePct,0),2))</f>
        <v/>
      </c>
      <c r="K620" s="51">
        <f>IF(A620="","",DATE(YEAR(A620),MONTH(A620),1))</f>
        <v/>
      </c>
    </row>
    <row r="621">
      <c r="A621" s="47" t="n"/>
      <c r="B621" s="38" t="n"/>
      <c r="C621" s="48" t="n"/>
      <c r="D621" s="48" t="n"/>
      <c r="E621" s="38" t="n"/>
      <c r="F621" s="38" t="n"/>
      <c r="G621" s="38" t="n"/>
      <c r="H621" s="49">
        <f>IF(B621="","",IFERROR(INDEX('JOBS'!$D$5:$D$1504,MATCH(B621,'JOBS'!$A$5:$A$1504,0)),"Job ID not found"))</f>
        <v/>
      </c>
      <c r="I621" s="49">
        <f>IF(B621="","",IFERROR(INDEX('JOBS'!$F$5:$F$1504,MATCH(B621,'JOBS'!$A$5:$A$1504,0)),""))</f>
        <v/>
      </c>
      <c r="J621" s="55">
        <f>IF(C621="","",ROUND(C621*IF(IFERROR(INDEX('SETTINGS'!$K$5:$K$24,MATCH(E621,'SETTINGS'!$J$5:$J$24,0)),"No")="Yes",FeePct,0),2))</f>
        <v/>
      </c>
      <c r="K621" s="51">
        <f>IF(A621="","",DATE(YEAR(A621),MONTH(A621),1))</f>
        <v/>
      </c>
    </row>
    <row r="622">
      <c r="A622" s="47" t="n"/>
      <c r="B622" s="38" t="n"/>
      <c r="C622" s="48" t="n"/>
      <c r="D622" s="48" t="n"/>
      <c r="E622" s="38" t="n"/>
      <c r="F622" s="38" t="n"/>
      <c r="G622" s="38" t="n"/>
      <c r="H622" s="49">
        <f>IF(B622="","",IFERROR(INDEX('JOBS'!$D$5:$D$1504,MATCH(B622,'JOBS'!$A$5:$A$1504,0)),"Job ID not found"))</f>
        <v/>
      </c>
      <c r="I622" s="49">
        <f>IF(B622="","",IFERROR(INDEX('JOBS'!$F$5:$F$1504,MATCH(B622,'JOBS'!$A$5:$A$1504,0)),""))</f>
        <v/>
      </c>
      <c r="J622" s="55">
        <f>IF(C622="","",ROUND(C622*IF(IFERROR(INDEX('SETTINGS'!$K$5:$K$24,MATCH(E622,'SETTINGS'!$J$5:$J$24,0)),"No")="Yes",FeePct,0),2))</f>
        <v/>
      </c>
      <c r="K622" s="51">
        <f>IF(A622="","",DATE(YEAR(A622),MONTH(A622),1))</f>
        <v/>
      </c>
    </row>
    <row r="623">
      <c r="A623" s="47" t="n"/>
      <c r="B623" s="38" t="n"/>
      <c r="C623" s="48" t="n"/>
      <c r="D623" s="48" t="n"/>
      <c r="E623" s="38" t="n"/>
      <c r="F623" s="38" t="n"/>
      <c r="G623" s="38" t="n"/>
      <c r="H623" s="49">
        <f>IF(B623="","",IFERROR(INDEX('JOBS'!$D$5:$D$1504,MATCH(B623,'JOBS'!$A$5:$A$1504,0)),"Job ID not found"))</f>
        <v/>
      </c>
      <c r="I623" s="49">
        <f>IF(B623="","",IFERROR(INDEX('JOBS'!$F$5:$F$1504,MATCH(B623,'JOBS'!$A$5:$A$1504,0)),""))</f>
        <v/>
      </c>
      <c r="J623" s="55">
        <f>IF(C623="","",ROUND(C623*IF(IFERROR(INDEX('SETTINGS'!$K$5:$K$24,MATCH(E623,'SETTINGS'!$J$5:$J$24,0)),"No")="Yes",FeePct,0),2))</f>
        <v/>
      </c>
      <c r="K623" s="51">
        <f>IF(A623="","",DATE(YEAR(A623),MONTH(A623),1))</f>
        <v/>
      </c>
    </row>
    <row r="624">
      <c r="A624" s="47" t="n"/>
      <c r="B624" s="38" t="n"/>
      <c r="C624" s="48" t="n"/>
      <c r="D624" s="48" t="n"/>
      <c r="E624" s="38" t="n"/>
      <c r="F624" s="38" t="n"/>
      <c r="G624" s="38" t="n"/>
      <c r="H624" s="49">
        <f>IF(B624="","",IFERROR(INDEX('JOBS'!$D$5:$D$1504,MATCH(B624,'JOBS'!$A$5:$A$1504,0)),"Job ID not found"))</f>
        <v/>
      </c>
      <c r="I624" s="49">
        <f>IF(B624="","",IFERROR(INDEX('JOBS'!$F$5:$F$1504,MATCH(B624,'JOBS'!$A$5:$A$1504,0)),""))</f>
        <v/>
      </c>
      <c r="J624" s="55">
        <f>IF(C624="","",ROUND(C624*IF(IFERROR(INDEX('SETTINGS'!$K$5:$K$24,MATCH(E624,'SETTINGS'!$J$5:$J$24,0)),"No")="Yes",FeePct,0),2))</f>
        <v/>
      </c>
      <c r="K624" s="51">
        <f>IF(A624="","",DATE(YEAR(A624),MONTH(A624),1))</f>
        <v/>
      </c>
    </row>
    <row r="625">
      <c r="A625" s="47" t="n"/>
      <c r="B625" s="38" t="n"/>
      <c r="C625" s="48" t="n"/>
      <c r="D625" s="48" t="n"/>
      <c r="E625" s="38" t="n"/>
      <c r="F625" s="38" t="n"/>
      <c r="G625" s="38" t="n"/>
      <c r="H625" s="49">
        <f>IF(B625="","",IFERROR(INDEX('JOBS'!$D$5:$D$1504,MATCH(B625,'JOBS'!$A$5:$A$1504,0)),"Job ID not found"))</f>
        <v/>
      </c>
      <c r="I625" s="49">
        <f>IF(B625="","",IFERROR(INDEX('JOBS'!$F$5:$F$1504,MATCH(B625,'JOBS'!$A$5:$A$1504,0)),""))</f>
        <v/>
      </c>
      <c r="J625" s="55">
        <f>IF(C625="","",ROUND(C625*IF(IFERROR(INDEX('SETTINGS'!$K$5:$K$24,MATCH(E625,'SETTINGS'!$J$5:$J$24,0)),"No")="Yes",FeePct,0),2))</f>
        <v/>
      </c>
      <c r="K625" s="51">
        <f>IF(A625="","",DATE(YEAR(A625),MONTH(A625),1))</f>
        <v/>
      </c>
    </row>
    <row r="626">
      <c r="A626" s="47" t="n"/>
      <c r="B626" s="38" t="n"/>
      <c r="C626" s="48" t="n"/>
      <c r="D626" s="48" t="n"/>
      <c r="E626" s="38" t="n"/>
      <c r="F626" s="38" t="n"/>
      <c r="G626" s="38" t="n"/>
      <c r="H626" s="49">
        <f>IF(B626="","",IFERROR(INDEX('JOBS'!$D$5:$D$1504,MATCH(B626,'JOBS'!$A$5:$A$1504,0)),"Job ID not found"))</f>
        <v/>
      </c>
      <c r="I626" s="49">
        <f>IF(B626="","",IFERROR(INDEX('JOBS'!$F$5:$F$1504,MATCH(B626,'JOBS'!$A$5:$A$1504,0)),""))</f>
        <v/>
      </c>
      <c r="J626" s="55">
        <f>IF(C626="","",ROUND(C626*IF(IFERROR(INDEX('SETTINGS'!$K$5:$K$24,MATCH(E626,'SETTINGS'!$J$5:$J$24,0)),"No")="Yes",FeePct,0),2))</f>
        <v/>
      </c>
      <c r="K626" s="51">
        <f>IF(A626="","",DATE(YEAR(A626),MONTH(A626),1))</f>
        <v/>
      </c>
    </row>
    <row r="627">
      <c r="A627" s="47" t="n"/>
      <c r="B627" s="38" t="n"/>
      <c r="C627" s="48" t="n"/>
      <c r="D627" s="48" t="n"/>
      <c r="E627" s="38" t="n"/>
      <c r="F627" s="38" t="n"/>
      <c r="G627" s="38" t="n"/>
      <c r="H627" s="49">
        <f>IF(B627="","",IFERROR(INDEX('JOBS'!$D$5:$D$1504,MATCH(B627,'JOBS'!$A$5:$A$1504,0)),"Job ID not found"))</f>
        <v/>
      </c>
      <c r="I627" s="49">
        <f>IF(B627="","",IFERROR(INDEX('JOBS'!$F$5:$F$1504,MATCH(B627,'JOBS'!$A$5:$A$1504,0)),""))</f>
        <v/>
      </c>
      <c r="J627" s="55">
        <f>IF(C627="","",ROUND(C627*IF(IFERROR(INDEX('SETTINGS'!$K$5:$K$24,MATCH(E627,'SETTINGS'!$J$5:$J$24,0)),"No")="Yes",FeePct,0),2))</f>
        <v/>
      </c>
      <c r="K627" s="51">
        <f>IF(A627="","",DATE(YEAR(A627),MONTH(A627),1))</f>
        <v/>
      </c>
    </row>
    <row r="628">
      <c r="A628" s="47" t="n"/>
      <c r="B628" s="38" t="n"/>
      <c r="C628" s="48" t="n"/>
      <c r="D628" s="48" t="n"/>
      <c r="E628" s="38" t="n"/>
      <c r="F628" s="38" t="n"/>
      <c r="G628" s="38" t="n"/>
      <c r="H628" s="49">
        <f>IF(B628="","",IFERROR(INDEX('JOBS'!$D$5:$D$1504,MATCH(B628,'JOBS'!$A$5:$A$1504,0)),"Job ID not found"))</f>
        <v/>
      </c>
      <c r="I628" s="49">
        <f>IF(B628="","",IFERROR(INDEX('JOBS'!$F$5:$F$1504,MATCH(B628,'JOBS'!$A$5:$A$1504,0)),""))</f>
        <v/>
      </c>
      <c r="J628" s="55">
        <f>IF(C628="","",ROUND(C628*IF(IFERROR(INDEX('SETTINGS'!$K$5:$K$24,MATCH(E628,'SETTINGS'!$J$5:$J$24,0)),"No")="Yes",FeePct,0),2))</f>
        <v/>
      </c>
      <c r="K628" s="51">
        <f>IF(A628="","",DATE(YEAR(A628),MONTH(A628),1))</f>
        <v/>
      </c>
    </row>
    <row r="629">
      <c r="A629" s="47" t="n"/>
      <c r="B629" s="38" t="n"/>
      <c r="C629" s="48" t="n"/>
      <c r="D629" s="48" t="n"/>
      <c r="E629" s="38" t="n"/>
      <c r="F629" s="38" t="n"/>
      <c r="G629" s="38" t="n"/>
      <c r="H629" s="49">
        <f>IF(B629="","",IFERROR(INDEX('JOBS'!$D$5:$D$1504,MATCH(B629,'JOBS'!$A$5:$A$1504,0)),"Job ID not found"))</f>
        <v/>
      </c>
      <c r="I629" s="49">
        <f>IF(B629="","",IFERROR(INDEX('JOBS'!$F$5:$F$1504,MATCH(B629,'JOBS'!$A$5:$A$1504,0)),""))</f>
        <v/>
      </c>
      <c r="J629" s="55">
        <f>IF(C629="","",ROUND(C629*IF(IFERROR(INDEX('SETTINGS'!$K$5:$K$24,MATCH(E629,'SETTINGS'!$J$5:$J$24,0)),"No")="Yes",FeePct,0),2))</f>
        <v/>
      </c>
      <c r="K629" s="51">
        <f>IF(A629="","",DATE(YEAR(A629),MONTH(A629),1))</f>
        <v/>
      </c>
    </row>
    <row r="630">
      <c r="A630" s="47" t="n"/>
      <c r="B630" s="38" t="n"/>
      <c r="C630" s="48" t="n"/>
      <c r="D630" s="48" t="n"/>
      <c r="E630" s="38" t="n"/>
      <c r="F630" s="38" t="n"/>
      <c r="G630" s="38" t="n"/>
      <c r="H630" s="49">
        <f>IF(B630="","",IFERROR(INDEX('JOBS'!$D$5:$D$1504,MATCH(B630,'JOBS'!$A$5:$A$1504,0)),"Job ID not found"))</f>
        <v/>
      </c>
      <c r="I630" s="49">
        <f>IF(B630="","",IFERROR(INDEX('JOBS'!$F$5:$F$1504,MATCH(B630,'JOBS'!$A$5:$A$1504,0)),""))</f>
        <v/>
      </c>
      <c r="J630" s="55">
        <f>IF(C630="","",ROUND(C630*IF(IFERROR(INDEX('SETTINGS'!$K$5:$K$24,MATCH(E630,'SETTINGS'!$J$5:$J$24,0)),"No")="Yes",FeePct,0),2))</f>
        <v/>
      </c>
      <c r="K630" s="51">
        <f>IF(A630="","",DATE(YEAR(A630),MONTH(A630),1))</f>
        <v/>
      </c>
    </row>
    <row r="631">
      <c r="A631" s="47" t="n"/>
      <c r="B631" s="38" t="n"/>
      <c r="C631" s="48" t="n"/>
      <c r="D631" s="48" t="n"/>
      <c r="E631" s="38" t="n"/>
      <c r="F631" s="38" t="n"/>
      <c r="G631" s="38" t="n"/>
      <c r="H631" s="49">
        <f>IF(B631="","",IFERROR(INDEX('JOBS'!$D$5:$D$1504,MATCH(B631,'JOBS'!$A$5:$A$1504,0)),"Job ID not found"))</f>
        <v/>
      </c>
      <c r="I631" s="49">
        <f>IF(B631="","",IFERROR(INDEX('JOBS'!$F$5:$F$1504,MATCH(B631,'JOBS'!$A$5:$A$1504,0)),""))</f>
        <v/>
      </c>
      <c r="J631" s="55">
        <f>IF(C631="","",ROUND(C631*IF(IFERROR(INDEX('SETTINGS'!$K$5:$K$24,MATCH(E631,'SETTINGS'!$J$5:$J$24,0)),"No")="Yes",FeePct,0),2))</f>
        <v/>
      </c>
      <c r="K631" s="51">
        <f>IF(A631="","",DATE(YEAR(A631),MONTH(A631),1))</f>
        <v/>
      </c>
    </row>
    <row r="632">
      <c r="A632" s="47" t="n"/>
      <c r="B632" s="38" t="n"/>
      <c r="C632" s="48" t="n"/>
      <c r="D632" s="48" t="n"/>
      <c r="E632" s="38" t="n"/>
      <c r="F632" s="38" t="n"/>
      <c r="G632" s="38" t="n"/>
      <c r="H632" s="49">
        <f>IF(B632="","",IFERROR(INDEX('JOBS'!$D$5:$D$1504,MATCH(B632,'JOBS'!$A$5:$A$1504,0)),"Job ID not found"))</f>
        <v/>
      </c>
      <c r="I632" s="49">
        <f>IF(B632="","",IFERROR(INDEX('JOBS'!$F$5:$F$1504,MATCH(B632,'JOBS'!$A$5:$A$1504,0)),""))</f>
        <v/>
      </c>
      <c r="J632" s="55">
        <f>IF(C632="","",ROUND(C632*IF(IFERROR(INDEX('SETTINGS'!$K$5:$K$24,MATCH(E632,'SETTINGS'!$J$5:$J$24,0)),"No")="Yes",FeePct,0),2))</f>
        <v/>
      </c>
      <c r="K632" s="51">
        <f>IF(A632="","",DATE(YEAR(A632),MONTH(A632),1))</f>
        <v/>
      </c>
    </row>
    <row r="633">
      <c r="A633" s="47" t="n"/>
      <c r="B633" s="38" t="n"/>
      <c r="C633" s="48" t="n"/>
      <c r="D633" s="48" t="n"/>
      <c r="E633" s="38" t="n"/>
      <c r="F633" s="38" t="n"/>
      <c r="G633" s="38" t="n"/>
      <c r="H633" s="49">
        <f>IF(B633="","",IFERROR(INDEX('JOBS'!$D$5:$D$1504,MATCH(B633,'JOBS'!$A$5:$A$1504,0)),"Job ID not found"))</f>
        <v/>
      </c>
      <c r="I633" s="49">
        <f>IF(B633="","",IFERROR(INDEX('JOBS'!$F$5:$F$1504,MATCH(B633,'JOBS'!$A$5:$A$1504,0)),""))</f>
        <v/>
      </c>
      <c r="J633" s="55">
        <f>IF(C633="","",ROUND(C633*IF(IFERROR(INDEX('SETTINGS'!$K$5:$K$24,MATCH(E633,'SETTINGS'!$J$5:$J$24,0)),"No")="Yes",FeePct,0),2))</f>
        <v/>
      </c>
      <c r="K633" s="51">
        <f>IF(A633="","",DATE(YEAR(A633),MONTH(A633),1))</f>
        <v/>
      </c>
    </row>
    <row r="634">
      <c r="A634" s="47" t="n"/>
      <c r="B634" s="38" t="n"/>
      <c r="C634" s="48" t="n"/>
      <c r="D634" s="48" t="n"/>
      <c r="E634" s="38" t="n"/>
      <c r="F634" s="38" t="n"/>
      <c r="G634" s="38" t="n"/>
      <c r="H634" s="49">
        <f>IF(B634="","",IFERROR(INDEX('JOBS'!$D$5:$D$1504,MATCH(B634,'JOBS'!$A$5:$A$1504,0)),"Job ID not found"))</f>
        <v/>
      </c>
      <c r="I634" s="49">
        <f>IF(B634="","",IFERROR(INDEX('JOBS'!$F$5:$F$1504,MATCH(B634,'JOBS'!$A$5:$A$1504,0)),""))</f>
        <v/>
      </c>
      <c r="J634" s="55">
        <f>IF(C634="","",ROUND(C634*IF(IFERROR(INDEX('SETTINGS'!$K$5:$K$24,MATCH(E634,'SETTINGS'!$J$5:$J$24,0)),"No")="Yes",FeePct,0),2))</f>
        <v/>
      </c>
      <c r="K634" s="51">
        <f>IF(A634="","",DATE(YEAR(A634),MONTH(A634),1))</f>
        <v/>
      </c>
    </row>
    <row r="635">
      <c r="A635" s="47" t="n"/>
      <c r="B635" s="38" t="n"/>
      <c r="C635" s="48" t="n"/>
      <c r="D635" s="48" t="n"/>
      <c r="E635" s="38" t="n"/>
      <c r="F635" s="38" t="n"/>
      <c r="G635" s="38" t="n"/>
      <c r="H635" s="49">
        <f>IF(B635="","",IFERROR(INDEX('JOBS'!$D$5:$D$1504,MATCH(B635,'JOBS'!$A$5:$A$1504,0)),"Job ID not found"))</f>
        <v/>
      </c>
      <c r="I635" s="49">
        <f>IF(B635="","",IFERROR(INDEX('JOBS'!$F$5:$F$1504,MATCH(B635,'JOBS'!$A$5:$A$1504,0)),""))</f>
        <v/>
      </c>
      <c r="J635" s="55">
        <f>IF(C635="","",ROUND(C635*IF(IFERROR(INDEX('SETTINGS'!$K$5:$K$24,MATCH(E635,'SETTINGS'!$J$5:$J$24,0)),"No")="Yes",FeePct,0),2))</f>
        <v/>
      </c>
      <c r="K635" s="51">
        <f>IF(A635="","",DATE(YEAR(A635),MONTH(A635),1))</f>
        <v/>
      </c>
    </row>
    <row r="636">
      <c r="A636" s="47" t="n"/>
      <c r="B636" s="38" t="n"/>
      <c r="C636" s="48" t="n"/>
      <c r="D636" s="48" t="n"/>
      <c r="E636" s="38" t="n"/>
      <c r="F636" s="38" t="n"/>
      <c r="G636" s="38" t="n"/>
      <c r="H636" s="49">
        <f>IF(B636="","",IFERROR(INDEX('JOBS'!$D$5:$D$1504,MATCH(B636,'JOBS'!$A$5:$A$1504,0)),"Job ID not found"))</f>
        <v/>
      </c>
      <c r="I636" s="49">
        <f>IF(B636="","",IFERROR(INDEX('JOBS'!$F$5:$F$1504,MATCH(B636,'JOBS'!$A$5:$A$1504,0)),""))</f>
        <v/>
      </c>
      <c r="J636" s="55">
        <f>IF(C636="","",ROUND(C636*IF(IFERROR(INDEX('SETTINGS'!$K$5:$K$24,MATCH(E636,'SETTINGS'!$J$5:$J$24,0)),"No")="Yes",FeePct,0),2))</f>
        <v/>
      </c>
      <c r="K636" s="51">
        <f>IF(A636="","",DATE(YEAR(A636),MONTH(A636),1))</f>
        <v/>
      </c>
    </row>
    <row r="637">
      <c r="A637" s="47" t="n"/>
      <c r="B637" s="38" t="n"/>
      <c r="C637" s="48" t="n"/>
      <c r="D637" s="48" t="n"/>
      <c r="E637" s="38" t="n"/>
      <c r="F637" s="38" t="n"/>
      <c r="G637" s="38" t="n"/>
      <c r="H637" s="49">
        <f>IF(B637="","",IFERROR(INDEX('JOBS'!$D$5:$D$1504,MATCH(B637,'JOBS'!$A$5:$A$1504,0)),"Job ID not found"))</f>
        <v/>
      </c>
      <c r="I637" s="49">
        <f>IF(B637="","",IFERROR(INDEX('JOBS'!$F$5:$F$1504,MATCH(B637,'JOBS'!$A$5:$A$1504,0)),""))</f>
        <v/>
      </c>
      <c r="J637" s="55">
        <f>IF(C637="","",ROUND(C637*IF(IFERROR(INDEX('SETTINGS'!$K$5:$K$24,MATCH(E637,'SETTINGS'!$J$5:$J$24,0)),"No")="Yes",FeePct,0),2))</f>
        <v/>
      </c>
      <c r="K637" s="51">
        <f>IF(A637="","",DATE(YEAR(A637),MONTH(A637),1))</f>
        <v/>
      </c>
    </row>
    <row r="638">
      <c r="A638" s="47" t="n"/>
      <c r="B638" s="38" t="n"/>
      <c r="C638" s="48" t="n"/>
      <c r="D638" s="48" t="n"/>
      <c r="E638" s="38" t="n"/>
      <c r="F638" s="38" t="n"/>
      <c r="G638" s="38" t="n"/>
      <c r="H638" s="49">
        <f>IF(B638="","",IFERROR(INDEX('JOBS'!$D$5:$D$1504,MATCH(B638,'JOBS'!$A$5:$A$1504,0)),"Job ID not found"))</f>
        <v/>
      </c>
      <c r="I638" s="49">
        <f>IF(B638="","",IFERROR(INDEX('JOBS'!$F$5:$F$1504,MATCH(B638,'JOBS'!$A$5:$A$1504,0)),""))</f>
        <v/>
      </c>
      <c r="J638" s="55">
        <f>IF(C638="","",ROUND(C638*IF(IFERROR(INDEX('SETTINGS'!$K$5:$K$24,MATCH(E638,'SETTINGS'!$J$5:$J$24,0)),"No")="Yes",FeePct,0),2))</f>
        <v/>
      </c>
      <c r="K638" s="51">
        <f>IF(A638="","",DATE(YEAR(A638),MONTH(A638),1))</f>
        <v/>
      </c>
    </row>
    <row r="639">
      <c r="A639" s="47" t="n"/>
      <c r="B639" s="38" t="n"/>
      <c r="C639" s="48" t="n"/>
      <c r="D639" s="48" t="n"/>
      <c r="E639" s="38" t="n"/>
      <c r="F639" s="38" t="n"/>
      <c r="G639" s="38" t="n"/>
      <c r="H639" s="49">
        <f>IF(B639="","",IFERROR(INDEX('JOBS'!$D$5:$D$1504,MATCH(B639,'JOBS'!$A$5:$A$1504,0)),"Job ID not found"))</f>
        <v/>
      </c>
      <c r="I639" s="49">
        <f>IF(B639="","",IFERROR(INDEX('JOBS'!$F$5:$F$1504,MATCH(B639,'JOBS'!$A$5:$A$1504,0)),""))</f>
        <v/>
      </c>
      <c r="J639" s="55">
        <f>IF(C639="","",ROUND(C639*IF(IFERROR(INDEX('SETTINGS'!$K$5:$K$24,MATCH(E639,'SETTINGS'!$J$5:$J$24,0)),"No")="Yes",FeePct,0),2))</f>
        <v/>
      </c>
      <c r="K639" s="51">
        <f>IF(A639="","",DATE(YEAR(A639),MONTH(A639),1))</f>
        <v/>
      </c>
    </row>
    <row r="640">
      <c r="A640" s="47" t="n"/>
      <c r="B640" s="38" t="n"/>
      <c r="C640" s="48" t="n"/>
      <c r="D640" s="48" t="n"/>
      <c r="E640" s="38" t="n"/>
      <c r="F640" s="38" t="n"/>
      <c r="G640" s="38" t="n"/>
      <c r="H640" s="49">
        <f>IF(B640="","",IFERROR(INDEX('JOBS'!$D$5:$D$1504,MATCH(B640,'JOBS'!$A$5:$A$1504,0)),"Job ID not found"))</f>
        <v/>
      </c>
      <c r="I640" s="49">
        <f>IF(B640="","",IFERROR(INDEX('JOBS'!$F$5:$F$1504,MATCH(B640,'JOBS'!$A$5:$A$1504,0)),""))</f>
        <v/>
      </c>
      <c r="J640" s="55">
        <f>IF(C640="","",ROUND(C640*IF(IFERROR(INDEX('SETTINGS'!$K$5:$K$24,MATCH(E640,'SETTINGS'!$J$5:$J$24,0)),"No")="Yes",FeePct,0),2))</f>
        <v/>
      </c>
      <c r="K640" s="51">
        <f>IF(A640="","",DATE(YEAR(A640),MONTH(A640),1))</f>
        <v/>
      </c>
    </row>
    <row r="641">
      <c r="A641" s="47" t="n"/>
      <c r="B641" s="38" t="n"/>
      <c r="C641" s="48" t="n"/>
      <c r="D641" s="48" t="n"/>
      <c r="E641" s="38" t="n"/>
      <c r="F641" s="38" t="n"/>
      <c r="G641" s="38" t="n"/>
      <c r="H641" s="49">
        <f>IF(B641="","",IFERROR(INDEX('JOBS'!$D$5:$D$1504,MATCH(B641,'JOBS'!$A$5:$A$1504,0)),"Job ID not found"))</f>
        <v/>
      </c>
      <c r="I641" s="49">
        <f>IF(B641="","",IFERROR(INDEX('JOBS'!$F$5:$F$1504,MATCH(B641,'JOBS'!$A$5:$A$1504,0)),""))</f>
        <v/>
      </c>
      <c r="J641" s="55">
        <f>IF(C641="","",ROUND(C641*IF(IFERROR(INDEX('SETTINGS'!$K$5:$K$24,MATCH(E641,'SETTINGS'!$J$5:$J$24,0)),"No")="Yes",FeePct,0),2))</f>
        <v/>
      </c>
      <c r="K641" s="51">
        <f>IF(A641="","",DATE(YEAR(A641),MONTH(A641),1))</f>
        <v/>
      </c>
    </row>
    <row r="642">
      <c r="A642" s="47" t="n"/>
      <c r="B642" s="38" t="n"/>
      <c r="C642" s="48" t="n"/>
      <c r="D642" s="48" t="n"/>
      <c r="E642" s="38" t="n"/>
      <c r="F642" s="38" t="n"/>
      <c r="G642" s="38" t="n"/>
      <c r="H642" s="49">
        <f>IF(B642="","",IFERROR(INDEX('JOBS'!$D$5:$D$1504,MATCH(B642,'JOBS'!$A$5:$A$1504,0)),"Job ID not found"))</f>
        <v/>
      </c>
      <c r="I642" s="49">
        <f>IF(B642="","",IFERROR(INDEX('JOBS'!$F$5:$F$1504,MATCH(B642,'JOBS'!$A$5:$A$1504,0)),""))</f>
        <v/>
      </c>
      <c r="J642" s="55">
        <f>IF(C642="","",ROUND(C642*IF(IFERROR(INDEX('SETTINGS'!$K$5:$K$24,MATCH(E642,'SETTINGS'!$J$5:$J$24,0)),"No")="Yes",FeePct,0),2))</f>
        <v/>
      </c>
      <c r="K642" s="51">
        <f>IF(A642="","",DATE(YEAR(A642),MONTH(A642),1))</f>
        <v/>
      </c>
    </row>
    <row r="643">
      <c r="A643" s="47" t="n"/>
      <c r="B643" s="38" t="n"/>
      <c r="C643" s="48" t="n"/>
      <c r="D643" s="48" t="n"/>
      <c r="E643" s="38" t="n"/>
      <c r="F643" s="38" t="n"/>
      <c r="G643" s="38" t="n"/>
      <c r="H643" s="49">
        <f>IF(B643="","",IFERROR(INDEX('JOBS'!$D$5:$D$1504,MATCH(B643,'JOBS'!$A$5:$A$1504,0)),"Job ID not found"))</f>
        <v/>
      </c>
      <c r="I643" s="49">
        <f>IF(B643="","",IFERROR(INDEX('JOBS'!$F$5:$F$1504,MATCH(B643,'JOBS'!$A$5:$A$1504,0)),""))</f>
        <v/>
      </c>
      <c r="J643" s="55">
        <f>IF(C643="","",ROUND(C643*IF(IFERROR(INDEX('SETTINGS'!$K$5:$K$24,MATCH(E643,'SETTINGS'!$J$5:$J$24,0)),"No")="Yes",FeePct,0),2))</f>
        <v/>
      </c>
      <c r="K643" s="51">
        <f>IF(A643="","",DATE(YEAR(A643),MONTH(A643),1))</f>
        <v/>
      </c>
    </row>
    <row r="644">
      <c r="A644" s="47" t="n"/>
      <c r="B644" s="38" t="n"/>
      <c r="C644" s="48" t="n"/>
      <c r="D644" s="48" t="n"/>
      <c r="E644" s="38" t="n"/>
      <c r="F644" s="38" t="n"/>
      <c r="G644" s="38" t="n"/>
      <c r="H644" s="49">
        <f>IF(B644="","",IFERROR(INDEX('JOBS'!$D$5:$D$1504,MATCH(B644,'JOBS'!$A$5:$A$1504,0)),"Job ID not found"))</f>
        <v/>
      </c>
      <c r="I644" s="49">
        <f>IF(B644="","",IFERROR(INDEX('JOBS'!$F$5:$F$1504,MATCH(B644,'JOBS'!$A$5:$A$1504,0)),""))</f>
        <v/>
      </c>
      <c r="J644" s="55">
        <f>IF(C644="","",ROUND(C644*IF(IFERROR(INDEX('SETTINGS'!$K$5:$K$24,MATCH(E644,'SETTINGS'!$J$5:$J$24,0)),"No")="Yes",FeePct,0),2))</f>
        <v/>
      </c>
      <c r="K644" s="51">
        <f>IF(A644="","",DATE(YEAR(A644),MONTH(A644),1))</f>
        <v/>
      </c>
    </row>
    <row r="645">
      <c r="A645" s="47" t="n"/>
      <c r="B645" s="38" t="n"/>
      <c r="C645" s="48" t="n"/>
      <c r="D645" s="48" t="n"/>
      <c r="E645" s="38" t="n"/>
      <c r="F645" s="38" t="n"/>
      <c r="G645" s="38" t="n"/>
      <c r="H645" s="49">
        <f>IF(B645="","",IFERROR(INDEX('JOBS'!$D$5:$D$1504,MATCH(B645,'JOBS'!$A$5:$A$1504,0)),"Job ID not found"))</f>
        <v/>
      </c>
      <c r="I645" s="49">
        <f>IF(B645="","",IFERROR(INDEX('JOBS'!$F$5:$F$1504,MATCH(B645,'JOBS'!$A$5:$A$1504,0)),""))</f>
        <v/>
      </c>
      <c r="J645" s="55">
        <f>IF(C645="","",ROUND(C645*IF(IFERROR(INDEX('SETTINGS'!$K$5:$K$24,MATCH(E645,'SETTINGS'!$J$5:$J$24,0)),"No")="Yes",FeePct,0),2))</f>
        <v/>
      </c>
      <c r="K645" s="51">
        <f>IF(A645="","",DATE(YEAR(A645),MONTH(A645),1))</f>
        <v/>
      </c>
    </row>
    <row r="646">
      <c r="A646" s="47" t="n"/>
      <c r="B646" s="38" t="n"/>
      <c r="C646" s="48" t="n"/>
      <c r="D646" s="48" t="n"/>
      <c r="E646" s="38" t="n"/>
      <c r="F646" s="38" t="n"/>
      <c r="G646" s="38" t="n"/>
      <c r="H646" s="49">
        <f>IF(B646="","",IFERROR(INDEX('JOBS'!$D$5:$D$1504,MATCH(B646,'JOBS'!$A$5:$A$1504,0)),"Job ID not found"))</f>
        <v/>
      </c>
      <c r="I646" s="49">
        <f>IF(B646="","",IFERROR(INDEX('JOBS'!$F$5:$F$1504,MATCH(B646,'JOBS'!$A$5:$A$1504,0)),""))</f>
        <v/>
      </c>
      <c r="J646" s="55">
        <f>IF(C646="","",ROUND(C646*IF(IFERROR(INDEX('SETTINGS'!$K$5:$K$24,MATCH(E646,'SETTINGS'!$J$5:$J$24,0)),"No")="Yes",FeePct,0),2))</f>
        <v/>
      </c>
      <c r="K646" s="51">
        <f>IF(A646="","",DATE(YEAR(A646),MONTH(A646),1))</f>
        <v/>
      </c>
    </row>
    <row r="647">
      <c r="A647" s="47" t="n"/>
      <c r="B647" s="38" t="n"/>
      <c r="C647" s="48" t="n"/>
      <c r="D647" s="48" t="n"/>
      <c r="E647" s="38" t="n"/>
      <c r="F647" s="38" t="n"/>
      <c r="G647" s="38" t="n"/>
      <c r="H647" s="49">
        <f>IF(B647="","",IFERROR(INDEX('JOBS'!$D$5:$D$1504,MATCH(B647,'JOBS'!$A$5:$A$1504,0)),"Job ID not found"))</f>
        <v/>
      </c>
      <c r="I647" s="49">
        <f>IF(B647="","",IFERROR(INDEX('JOBS'!$F$5:$F$1504,MATCH(B647,'JOBS'!$A$5:$A$1504,0)),""))</f>
        <v/>
      </c>
      <c r="J647" s="55">
        <f>IF(C647="","",ROUND(C647*IF(IFERROR(INDEX('SETTINGS'!$K$5:$K$24,MATCH(E647,'SETTINGS'!$J$5:$J$24,0)),"No")="Yes",FeePct,0),2))</f>
        <v/>
      </c>
      <c r="K647" s="51">
        <f>IF(A647="","",DATE(YEAR(A647),MONTH(A647),1))</f>
        <v/>
      </c>
    </row>
    <row r="648">
      <c r="A648" s="47" t="n"/>
      <c r="B648" s="38" t="n"/>
      <c r="C648" s="48" t="n"/>
      <c r="D648" s="48" t="n"/>
      <c r="E648" s="38" t="n"/>
      <c r="F648" s="38" t="n"/>
      <c r="G648" s="38" t="n"/>
      <c r="H648" s="49">
        <f>IF(B648="","",IFERROR(INDEX('JOBS'!$D$5:$D$1504,MATCH(B648,'JOBS'!$A$5:$A$1504,0)),"Job ID not found"))</f>
        <v/>
      </c>
      <c r="I648" s="49">
        <f>IF(B648="","",IFERROR(INDEX('JOBS'!$F$5:$F$1504,MATCH(B648,'JOBS'!$A$5:$A$1504,0)),""))</f>
        <v/>
      </c>
      <c r="J648" s="55">
        <f>IF(C648="","",ROUND(C648*IF(IFERROR(INDEX('SETTINGS'!$K$5:$K$24,MATCH(E648,'SETTINGS'!$J$5:$J$24,0)),"No")="Yes",FeePct,0),2))</f>
        <v/>
      </c>
      <c r="K648" s="51">
        <f>IF(A648="","",DATE(YEAR(A648),MONTH(A648),1))</f>
        <v/>
      </c>
    </row>
    <row r="649">
      <c r="A649" s="47" t="n"/>
      <c r="B649" s="38" t="n"/>
      <c r="C649" s="48" t="n"/>
      <c r="D649" s="48" t="n"/>
      <c r="E649" s="38" t="n"/>
      <c r="F649" s="38" t="n"/>
      <c r="G649" s="38" t="n"/>
      <c r="H649" s="49">
        <f>IF(B649="","",IFERROR(INDEX('JOBS'!$D$5:$D$1504,MATCH(B649,'JOBS'!$A$5:$A$1504,0)),"Job ID not found"))</f>
        <v/>
      </c>
      <c r="I649" s="49">
        <f>IF(B649="","",IFERROR(INDEX('JOBS'!$F$5:$F$1504,MATCH(B649,'JOBS'!$A$5:$A$1504,0)),""))</f>
        <v/>
      </c>
      <c r="J649" s="55">
        <f>IF(C649="","",ROUND(C649*IF(IFERROR(INDEX('SETTINGS'!$K$5:$K$24,MATCH(E649,'SETTINGS'!$J$5:$J$24,0)),"No")="Yes",FeePct,0),2))</f>
        <v/>
      </c>
      <c r="K649" s="51">
        <f>IF(A649="","",DATE(YEAR(A649),MONTH(A649),1))</f>
        <v/>
      </c>
    </row>
    <row r="650">
      <c r="A650" s="47" t="n"/>
      <c r="B650" s="38" t="n"/>
      <c r="C650" s="48" t="n"/>
      <c r="D650" s="48" t="n"/>
      <c r="E650" s="38" t="n"/>
      <c r="F650" s="38" t="n"/>
      <c r="G650" s="38" t="n"/>
      <c r="H650" s="49">
        <f>IF(B650="","",IFERROR(INDEX('JOBS'!$D$5:$D$1504,MATCH(B650,'JOBS'!$A$5:$A$1504,0)),"Job ID not found"))</f>
        <v/>
      </c>
      <c r="I650" s="49">
        <f>IF(B650="","",IFERROR(INDEX('JOBS'!$F$5:$F$1504,MATCH(B650,'JOBS'!$A$5:$A$1504,0)),""))</f>
        <v/>
      </c>
      <c r="J650" s="55">
        <f>IF(C650="","",ROUND(C650*IF(IFERROR(INDEX('SETTINGS'!$K$5:$K$24,MATCH(E650,'SETTINGS'!$J$5:$J$24,0)),"No")="Yes",FeePct,0),2))</f>
        <v/>
      </c>
      <c r="K650" s="51">
        <f>IF(A650="","",DATE(YEAR(A650),MONTH(A650),1))</f>
        <v/>
      </c>
    </row>
    <row r="651">
      <c r="A651" s="47" t="n"/>
      <c r="B651" s="38" t="n"/>
      <c r="C651" s="48" t="n"/>
      <c r="D651" s="48" t="n"/>
      <c r="E651" s="38" t="n"/>
      <c r="F651" s="38" t="n"/>
      <c r="G651" s="38" t="n"/>
      <c r="H651" s="49">
        <f>IF(B651="","",IFERROR(INDEX('JOBS'!$D$5:$D$1504,MATCH(B651,'JOBS'!$A$5:$A$1504,0)),"Job ID not found"))</f>
        <v/>
      </c>
      <c r="I651" s="49">
        <f>IF(B651="","",IFERROR(INDEX('JOBS'!$F$5:$F$1504,MATCH(B651,'JOBS'!$A$5:$A$1504,0)),""))</f>
        <v/>
      </c>
      <c r="J651" s="55">
        <f>IF(C651="","",ROUND(C651*IF(IFERROR(INDEX('SETTINGS'!$K$5:$K$24,MATCH(E651,'SETTINGS'!$J$5:$J$24,0)),"No")="Yes",FeePct,0),2))</f>
        <v/>
      </c>
      <c r="K651" s="51">
        <f>IF(A651="","",DATE(YEAR(A651),MONTH(A651),1))</f>
        <v/>
      </c>
    </row>
    <row r="652">
      <c r="A652" s="47" t="n"/>
      <c r="B652" s="38" t="n"/>
      <c r="C652" s="48" t="n"/>
      <c r="D652" s="48" t="n"/>
      <c r="E652" s="38" t="n"/>
      <c r="F652" s="38" t="n"/>
      <c r="G652" s="38" t="n"/>
      <c r="H652" s="49">
        <f>IF(B652="","",IFERROR(INDEX('JOBS'!$D$5:$D$1504,MATCH(B652,'JOBS'!$A$5:$A$1504,0)),"Job ID not found"))</f>
        <v/>
      </c>
      <c r="I652" s="49">
        <f>IF(B652="","",IFERROR(INDEX('JOBS'!$F$5:$F$1504,MATCH(B652,'JOBS'!$A$5:$A$1504,0)),""))</f>
        <v/>
      </c>
      <c r="J652" s="55">
        <f>IF(C652="","",ROUND(C652*IF(IFERROR(INDEX('SETTINGS'!$K$5:$K$24,MATCH(E652,'SETTINGS'!$J$5:$J$24,0)),"No")="Yes",FeePct,0),2))</f>
        <v/>
      </c>
      <c r="K652" s="51">
        <f>IF(A652="","",DATE(YEAR(A652),MONTH(A652),1))</f>
        <v/>
      </c>
    </row>
    <row r="653">
      <c r="A653" s="47" t="n"/>
      <c r="B653" s="38" t="n"/>
      <c r="C653" s="48" t="n"/>
      <c r="D653" s="48" t="n"/>
      <c r="E653" s="38" t="n"/>
      <c r="F653" s="38" t="n"/>
      <c r="G653" s="38" t="n"/>
      <c r="H653" s="49">
        <f>IF(B653="","",IFERROR(INDEX('JOBS'!$D$5:$D$1504,MATCH(B653,'JOBS'!$A$5:$A$1504,0)),"Job ID not found"))</f>
        <v/>
      </c>
      <c r="I653" s="49">
        <f>IF(B653="","",IFERROR(INDEX('JOBS'!$F$5:$F$1504,MATCH(B653,'JOBS'!$A$5:$A$1504,0)),""))</f>
        <v/>
      </c>
      <c r="J653" s="55">
        <f>IF(C653="","",ROUND(C653*IF(IFERROR(INDEX('SETTINGS'!$K$5:$K$24,MATCH(E653,'SETTINGS'!$J$5:$J$24,0)),"No")="Yes",FeePct,0),2))</f>
        <v/>
      </c>
      <c r="K653" s="51">
        <f>IF(A653="","",DATE(YEAR(A653),MONTH(A653),1))</f>
        <v/>
      </c>
    </row>
    <row r="654">
      <c r="A654" s="47" t="n"/>
      <c r="B654" s="38" t="n"/>
      <c r="C654" s="48" t="n"/>
      <c r="D654" s="48" t="n"/>
      <c r="E654" s="38" t="n"/>
      <c r="F654" s="38" t="n"/>
      <c r="G654" s="38" t="n"/>
      <c r="H654" s="49">
        <f>IF(B654="","",IFERROR(INDEX('JOBS'!$D$5:$D$1504,MATCH(B654,'JOBS'!$A$5:$A$1504,0)),"Job ID not found"))</f>
        <v/>
      </c>
      <c r="I654" s="49">
        <f>IF(B654="","",IFERROR(INDEX('JOBS'!$F$5:$F$1504,MATCH(B654,'JOBS'!$A$5:$A$1504,0)),""))</f>
        <v/>
      </c>
      <c r="J654" s="55">
        <f>IF(C654="","",ROUND(C654*IF(IFERROR(INDEX('SETTINGS'!$K$5:$K$24,MATCH(E654,'SETTINGS'!$J$5:$J$24,0)),"No")="Yes",FeePct,0),2))</f>
        <v/>
      </c>
      <c r="K654" s="51">
        <f>IF(A654="","",DATE(YEAR(A654),MONTH(A654),1))</f>
        <v/>
      </c>
    </row>
    <row r="655">
      <c r="A655" s="47" t="n"/>
      <c r="B655" s="38" t="n"/>
      <c r="C655" s="48" t="n"/>
      <c r="D655" s="48" t="n"/>
      <c r="E655" s="38" t="n"/>
      <c r="F655" s="38" t="n"/>
      <c r="G655" s="38" t="n"/>
      <c r="H655" s="49">
        <f>IF(B655="","",IFERROR(INDEX('JOBS'!$D$5:$D$1504,MATCH(B655,'JOBS'!$A$5:$A$1504,0)),"Job ID not found"))</f>
        <v/>
      </c>
      <c r="I655" s="49">
        <f>IF(B655="","",IFERROR(INDEX('JOBS'!$F$5:$F$1504,MATCH(B655,'JOBS'!$A$5:$A$1504,0)),""))</f>
        <v/>
      </c>
      <c r="J655" s="55">
        <f>IF(C655="","",ROUND(C655*IF(IFERROR(INDEX('SETTINGS'!$K$5:$K$24,MATCH(E655,'SETTINGS'!$J$5:$J$24,0)),"No")="Yes",FeePct,0),2))</f>
        <v/>
      </c>
      <c r="K655" s="51">
        <f>IF(A655="","",DATE(YEAR(A655),MONTH(A655),1))</f>
        <v/>
      </c>
    </row>
    <row r="656">
      <c r="A656" s="47" t="n"/>
      <c r="B656" s="38" t="n"/>
      <c r="C656" s="48" t="n"/>
      <c r="D656" s="48" t="n"/>
      <c r="E656" s="38" t="n"/>
      <c r="F656" s="38" t="n"/>
      <c r="G656" s="38" t="n"/>
      <c r="H656" s="49">
        <f>IF(B656="","",IFERROR(INDEX('JOBS'!$D$5:$D$1504,MATCH(B656,'JOBS'!$A$5:$A$1504,0)),"Job ID not found"))</f>
        <v/>
      </c>
      <c r="I656" s="49">
        <f>IF(B656="","",IFERROR(INDEX('JOBS'!$F$5:$F$1504,MATCH(B656,'JOBS'!$A$5:$A$1504,0)),""))</f>
        <v/>
      </c>
      <c r="J656" s="55">
        <f>IF(C656="","",ROUND(C656*IF(IFERROR(INDEX('SETTINGS'!$K$5:$K$24,MATCH(E656,'SETTINGS'!$J$5:$J$24,0)),"No")="Yes",FeePct,0),2))</f>
        <v/>
      </c>
      <c r="K656" s="51">
        <f>IF(A656="","",DATE(YEAR(A656),MONTH(A656),1))</f>
        <v/>
      </c>
    </row>
    <row r="657">
      <c r="A657" s="47" t="n"/>
      <c r="B657" s="38" t="n"/>
      <c r="C657" s="48" t="n"/>
      <c r="D657" s="48" t="n"/>
      <c r="E657" s="38" t="n"/>
      <c r="F657" s="38" t="n"/>
      <c r="G657" s="38" t="n"/>
      <c r="H657" s="49">
        <f>IF(B657="","",IFERROR(INDEX('JOBS'!$D$5:$D$1504,MATCH(B657,'JOBS'!$A$5:$A$1504,0)),"Job ID not found"))</f>
        <v/>
      </c>
      <c r="I657" s="49">
        <f>IF(B657="","",IFERROR(INDEX('JOBS'!$F$5:$F$1504,MATCH(B657,'JOBS'!$A$5:$A$1504,0)),""))</f>
        <v/>
      </c>
      <c r="J657" s="55">
        <f>IF(C657="","",ROUND(C657*IF(IFERROR(INDEX('SETTINGS'!$K$5:$K$24,MATCH(E657,'SETTINGS'!$J$5:$J$24,0)),"No")="Yes",FeePct,0),2))</f>
        <v/>
      </c>
      <c r="K657" s="51">
        <f>IF(A657="","",DATE(YEAR(A657),MONTH(A657),1))</f>
        <v/>
      </c>
    </row>
    <row r="658">
      <c r="A658" s="47" t="n"/>
      <c r="B658" s="38" t="n"/>
      <c r="C658" s="48" t="n"/>
      <c r="D658" s="48" t="n"/>
      <c r="E658" s="38" t="n"/>
      <c r="F658" s="38" t="n"/>
      <c r="G658" s="38" t="n"/>
      <c r="H658" s="49">
        <f>IF(B658="","",IFERROR(INDEX('JOBS'!$D$5:$D$1504,MATCH(B658,'JOBS'!$A$5:$A$1504,0)),"Job ID not found"))</f>
        <v/>
      </c>
      <c r="I658" s="49">
        <f>IF(B658="","",IFERROR(INDEX('JOBS'!$F$5:$F$1504,MATCH(B658,'JOBS'!$A$5:$A$1504,0)),""))</f>
        <v/>
      </c>
      <c r="J658" s="55">
        <f>IF(C658="","",ROUND(C658*IF(IFERROR(INDEX('SETTINGS'!$K$5:$K$24,MATCH(E658,'SETTINGS'!$J$5:$J$24,0)),"No")="Yes",FeePct,0),2))</f>
        <v/>
      </c>
      <c r="K658" s="51">
        <f>IF(A658="","",DATE(YEAR(A658),MONTH(A658),1))</f>
        <v/>
      </c>
    </row>
    <row r="659">
      <c r="A659" s="47" t="n"/>
      <c r="B659" s="38" t="n"/>
      <c r="C659" s="48" t="n"/>
      <c r="D659" s="48" t="n"/>
      <c r="E659" s="38" t="n"/>
      <c r="F659" s="38" t="n"/>
      <c r="G659" s="38" t="n"/>
      <c r="H659" s="49">
        <f>IF(B659="","",IFERROR(INDEX('JOBS'!$D$5:$D$1504,MATCH(B659,'JOBS'!$A$5:$A$1504,0)),"Job ID not found"))</f>
        <v/>
      </c>
      <c r="I659" s="49">
        <f>IF(B659="","",IFERROR(INDEX('JOBS'!$F$5:$F$1504,MATCH(B659,'JOBS'!$A$5:$A$1504,0)),""))</f>
        <v/>
      </c>
      <c r="J659" s="55">
        <f>IF(C659="","",ROUND(C659*IF(IFERROR(INDEX('SETTINGS'!$K$5:$K$24,MATCH(E659,'SETTINGS'!$J$5:$J$24,0)),"No")="Yes",FeePct,0),2))</f>
        <v/>
      </c>
      <c r="K659" s="51">
        <f>IF(A659="","",DATE(YEAR(A659),MONTH(A659),1))</f>
        <v/>
      </c>
    </row>
    <row r="660">
      <c r="A660" s="47" t="n"/>
      <c r="B660" s="38" t="n"/>
      <c r="C660" s="48" t="n"/>
      <c r="D660" s="48" t="n"/>
      <c r="E660" s="38" t="n"/>
      <c r="F660" s="38" t="n"/>
      <c r="G660" s="38" t="n"/>
      <c r="H660" s="49">
        <f>IF(B660="","",IFERROR(INDEX('JOBS'!$D$5:$D$1504,MATCH(B660,'JOBS'!$A$5:$A$1504,0)),"Job ID not found"))</f>
        <v/>
      </c>
      <c r="I660" s="49">
        <f>IF(B660="","",IFERROR(INDEX('JOBS'!$F$5:$F$1504,MATCH(B660,'JOBS'!$A$5:$A$1504,0)),""))</f>
        <v/>
      </c>
      <c r="J660" s="55">
        <f>IF(C660="","",ROUND(C660*IF(IFERROR(INDEX('SETTINGS'!$K$5:$K$24,MATCH(E660,'SETTINGS'!$J$5:$J$24,0)),"No")="Yes",FeePct,0),2))</f>
        <v/>
      </c>
      <c r="K660" s="51">
        <f>IF(A660="","",DATE(YEAR(A660),MONTH(A660),1))</f>
        <v/>
      </c>
    </row>
    <row r="661">
      <c r="A661" s="47" t="n"/>
      <c r="B661" s="38" t="n"/>
      <c r="C661" s="48" t="n"/>
      <c r="D661" s="48" t="n"/>
      <c r="E661" s="38" t="n"/>
      <c r="F661" s="38" t="n"/>
      <c r="G661" s="38" t="n"/>
      <c r="H661" s="49">
        <f>IF(B661="","",IFERROR(INDEX('JOBS'!$D$5:$D$1504,MATCH(B661,'JOBS'!$A$5:$A$1504,0)),"Job ID not found"))</f>
        <v/>
      </c>
      <c r="I661" s="49">
        <f>IF(B661="","",IFERROR(INDEX('JOBS'!$F$5:$F$1504,MATCH(B661,'JOBS'!$A$5:$A$1504,0)),""))</f>
        <v/>
      </c>
      <c r="J661" s="55">
        <f>IF(C661="","",ROUND(C661*IF(IFERROR(INDEX('SETTINGS'!$K$5:$K$24,MATCH(E661,'SETTINGS'!$J$5:$J$24,0)),"No")="Yes",FeePct,0),2))</f>
        <v/>
      </c>
      <c r="K661" s="51">
        <f>IF(A661="","",DATE(YEAR(A661),MONTH(A661),1))</f>
        <v/>
      </c>
    </row>
    <row r="662">
      <c r="A662" s="47" t="n"/>
      <c r="B662" s="38" t="n"/>
      <c r="C662" s="48" t="n"/>
      <c r="D662" s="48" t="n"/>
      <c r="E662" s="38" t="n"/>
      <c r="F662" s="38" t="n"/>
      <c r="G662" s="38" t="n"/>
      <c r="H662" s="49">
        <f>IF(B662="","",IFERROR(INDEX('JOBS'!$D$5:$D$1504,MATCH(B662,'JOBS'!$A$5:$A$1504,0)),"Job ID not found"))</f>
        <v/>
      </c>
      <c r="I662" s="49">
        <f>IF(B662="","",IFERROR(INDEX('JOBS'!$F$5:$F$1504,MATCH(B662,'JOBS'!$A$5:$A$1504,0)),""))</f>
        <v/>
      </c>
      <c r="J662" s="55">
        <f>IF(C662="","",ROUND(C662*IF(IFERROR(INDEX('SETTINGS'!$K$5:$K$24,MATCH(E662,'SETTINGS'!$J$5:$J$24,0)),"No")="Yes",FeePct,0),2))</f>
        <v/>
      </c>
      <c r="K662" s="51">
        <f>IF(A662="","",DATE(YEAR(A662),MONTH(A662),1))</f>
        <v/>
      </c>
    </row>
    <row r="663">
      <c r="A663" s="47" t="n"/>
      <c r="B663" s="38" t="n"/>
      <c r="C663" s="48" t="n"/>
      <c r="D663" s="48" t="n"/>
      <c r="E663" s="38" t="n"/>
      <c r="F663" s="38" t="n"/>
      <c r="G663" s="38" t="n"/>
      <c r="H663" s="49">
        <f>IF(B663="","",IFERROR(INDEX('JOBS'!$D$5:$D$1504,MATCH(B663,'JOBS'!$A$5:$A$1504,0)),"Job ID not found"))</f>
        <v/>
      </c>
      <c r="I663" s="49">
        <f>IF(B663="","",IFERROR(INDEX('JOBS'!$F$5:$F$1504,MATCH(B663,'JOBS'!$A$5:$A$1504,0)),""))</f>
        <v/>
      </c>
      <c r="J663" s="55">
        <f>IF(C663="","",ROUND(C663*IF(IFERROR(INDEX('SETTINGS'!$K$5:$K$24,MATCH(E663,'SETTINGS'!$J$5:$J$24,0)),"No")="Yes",FeePct,0),2))</f>
        <v/>
      </c>
      <c r="K663" s="51">
        <f>IF(A663="","",DATE(YEAR(A663),MONTH(A663),1))</f>
        <v/>
      </c>
    </row>
    <row r="664">
      <c r="A664" s="47" t="n"/>
      <c r="B664" s="38" t="n"/>
      <c r="C664" s="48" t="n"/>
      <c r="D664" s="48" t="n"/>
      <c r="E664" s="38" t="n"/>
      <c r="F664" s="38" t="n"/>
      <c r="G664" s="38" t="n"/>
      <c r="H664" s="49">
        <f>IF(B664="","",IFERROR(INDEX('JOBS'!$D$5:$D$1504,MATCH(B664,'JOBS'!$A$5:$A$1504,0)),"Job ID not found"))</f>
        <v/>
      </c>
      <c r="I664" s="49">
        <f>IF(B664="","",IFERROR(INDEX('JOBS'!$F$5:$F$1504,MATCH(B664,'JOBS'!$A$5:$A$1504,0)),""))</f>
        <v/>
      </c>
      <c r="J664" s="55">
        <f>IF(C664="","",ROUND(C664*IF(IFERROR(INDEX('SETTINGS'!$K$5:$K$24,MATCH(E664,'SETTINGS'!$J$5:$J$24,0)),"No")="Yes",FeePct,0),2))</f>
        <v/>
      </c>
      <c r="K664" s="51">
        <f>IF(A664="","",DATE(YEAR(A664),MONTH(A664),1))</f>
        <v/>
      </c>
    </row>
    <row r="665">
      <c r="A665" s="47" t="n"/>
      <c r="B665" s="38" t="n"/>
      <c r="C665" s="48" t="n"/>
      <c r="D665" s="48" t="n"/>
      <c r="E665" s="38" t="n"/>
      <c r="F665" s="38" t="n"/>
      <c r="G665" s="38" t="n"/>
      <c r="H665" s="49">
        <f>IF(B665="","",IFERROR(INDEX('JOBS'!$D$5:$D$1504,MATCH(B665,'JOBS'!$A$5:$A$1504,0)),"Job ID not found"))</f>
        <v/>
      </c>
      <c r="I665" s="49">
        <f>IF(B665="","",IFERROR(INDEX('JOBS'!$F$5:$F$1504,MATCH(B665,'JOBS'!$A$5:$A$1504,0)),""))</f>
        <v/>
      </c>
      <c r="J665" s="55">
        <f>IF(C665="","",ROUND(C665*IF(IFERROR(INDEX('SETTINGS'!$K$5:$K$24,MATCH(E665,'SETTINGS'!$J$5:$J$24,0)),"No")="Yes",FeePct,0),2))</f>
        <v/>
      </c>
      <c r="K665" s="51">
        <f>IF(A665="","",DATE(YEAR(A665),MONTH(A665),1))</f>
        <v/>
      </c>
    </row>
    <row r="666">
      <c r="A666" s="47" t="n"/>
      <c r="B666" s="38" t="n"/>
      <c r="C666" s="48" t="n"/>
      <c r="D666" s="48" t="n"/>
      <c r="E666" s="38" t="n"/>
      <c r="F666" s="38" t="n"/>
      <c r="G666" s="38" t="n"/>
      <c r="H666" s="49">
        <f>IF(B666="","",IFERROR(INDEX('JOBS'!$D$5:$D$1504,MATCH(B666,'JOBS'!$A$5:$A$1504,0)),"Job ID not found"))</f>
        <v/>
      </c>
      <c r="I666" s="49">
        <f>IF(B666="","",IFERROR(INDEX('JOBS'!$F$5:$F$1504,MATCH(B666,'JOBS'!$A$5:$A$1504,0)),""))</f>
        <v/>
      </c>
      <c r="J666" s="55">
        <f>IF(C666="","",ROUND(C666*IF(IFERROR(INDEX('SETTINGS'!$K$5:$K$24,MATCH(E666,'SETTINGS'!$J$5:$J$24,0)),"No")="Yes",FeePct,0),2))</f>
        <v/>
      </c>
      <c r="K666" s="51">
        <f>IF(A666="","",DATE(YEAR(A666),MONTH(A666),1))</f>
        <v/>
      </c>
    </row>
    <row r="667">
      <c r="A667" s="47" t="n"/>
      <c r="B667" s="38" t="n"/>
      <c r="C667" s="48" t="n"/>
      <c r="D667" s="48" t="n"/>
      <c r="E667" s="38" t="n"/>
      <c r="F667" s="38" t="n"/>
      <c r="G667" s="38" t="n"/>
      <c r="H667" s="49">
        <f>IF(B667="","",IFERROR(INDEX('JOBS'!$D$5:$D$1504,MATCH(B667,'JOBS'!$A$5:$A$1504,0)),"Job ID not found"))</f>
        <v/>
      </c>
      <c r="I667" s="49">
        <f>IF(B667="","",IFERROR(INDEX('JOBS'!$F$5:$F$1504,MATCH(B667,'JOBS'!$A$5:$A$1504,0)),""))</f>
        <v/>
      </c>
      <c r="J667" s="55">
        <f>IF(C667="","",ROUND(C667*IF(IFERROR(INDEX('SETTINGS'!$K$5:$K$24,MATCH(E667,'SETTINGS'!$J$5:$J$24,0)),"No")="Yes",FeePct,0),2))</f>
        <v/>
      </c>
      <c r="K667" s="51">
        <f>IF(A667="","",DATE(YEAR(A667),MONTH(A667),1))</f>
        <v/>
      </c>
    </row>
    <row r="668">
      <c r="A668" s="47" t="n"/>
      <c r="B668" s="38" t="n"/>
      <c r="C668" s="48" t="n"/>
      <c r="D668" s="48" t="n"/>
      <c r="E668" s="38" t="n"/>
      <c r="F668" s="38" t="n"/>
      <c r="G668" s="38" t="n"/>
      <c r="H668" s="49">
        <f>IF(B668="","",IFERROR(INDEX('JOBS'!$D$5:$D$1504,MATCH(B668,'JOBS'!$A$5:$A$1504,0)),"Job ID not found"))</f>
        <v/>
      </c>
      <c r="I668" s="49">
        <f>IF(B668="","",IFERROR(INDEX('JOBS'!$F$5:$F$1504,MATCH(B668,'JOBS'!$A$5:$A$1504,0)),""))</f>
        <v/>
      </c>
      <c r="J668" s="55">
        <f>IF(C668="","",ROUND(C668*IF(IFERROR(INDEX('SETTINGS'!$K$5:$K$24,MATCH(E668,'SETTINGS'!$J$5:$J$24,0)),"No")="Yes",FeePct,0),2))</f>
        <v/>
      </c>
      <c r="K668" s="51">
        <f>IF(A668="","",DATE(YEAR(A668),MONTH(A668),1))</f>
        <v/>
      </c>
    </row>
    <row r="669">
      <c r="A669" s="47" t="n"/>
      <c r="B669" s="38" t="n"/>
      <c r="C669" s="48" t="n"/>
      <c r="D669" s="48" t="n"/>
      <c r="E669" s="38" t="n"/>
      <c r="F669" s="38" t="n"/>
      <c r="G669" s="38" t="n"/>
      <c r="H669" s="49">
        <f>IF(B669="","",IFERROR(INDEX('JOBS'!$D$5:$D$1504,MATCH(B669,'JOBS'!$A$5:$A$1504,0)),"Job ID not found"))</f>
        <v/>
      </c>
      <c r="I669" s="49">
        <f>IF(B669="","",IFERROR(INDEX('JOBS'!$F$5:$F$1504,MATCH(B669,'JOBS'!$A$5:$A$1504,0)),""))</f>
        <v/>
      </c>
      <c r="J669" s="55">
        <f>IF(C669="","",ROUND(C669*IF(IFERROR(INDEX('SETTINGS'!$K$5:$K$24,MATCH(E669,'SETTINGS'!$J$5:$J$24,0)),"No")="Yes",FeePct,0),2))</f>
        <v/>
      </c>
      <c r="K669" s="51">
        <f>IF(A669="","",DATE(YEAR(A669),MONTH(A669),1))</f>
        <v/>
      </c>
    </row>
    <row r="670">
      <c r="A670" s="47" t="n"/>
      <c r="B670" s="38" t="n"/>
      <c r="C670" s="48" t="n"/>
      <c r="D670" s="48" t="n"/>
      <c r="E670" s="38" t="n"/>
      <c r="F670" s="38" t="n"/>
      <c r="G670" s="38" t="n"/>
      <c r="H670" s="49">
        <f>IF(B670="","",IFERROR(INDEX('JOBS'!$D$5:$D$1504,MATCH(B670,'JOBS'!$A$5:$A$1504,0)),"Job ID not found"))</f>
        <v/>
      </c>
      <c r="I670" s="49">
        <f>IF(B670="","",IFERROR(INDEX('JOBS'!$F$5:$F$1504,MATCH(B670,'JOBS'!$A$5:$A$1504,0)),""))</f>
        <v/>
      </c>
      <c r="J670" s="55">
        <f>IF(C670="","",ROUND(C670*IF(IFERROR(INDEX('SETTINGS'!$K$5:$K$24,MATCH(E670,'SETTINGS'!$J$5:$J$24,0)),"No")="Yes",FeePct,0),2))</f>
        <v/>
      </c>
      <c r="K670" s="51">
        <f>IF(A670="","",DATE(YEAR(A670),MONTH(A670),1))</f>
        <v/>
      </c>
    </row>
    <row r="671">
      <c r="A671" s="47" t="n"/>
      <c r="B671" s="38" t="n"/>
      <c r="C671" s="48" t="n"/>
      <c r="D671" s="48" t="n"/>
      <c r="E671" s="38" t="n"/>
      <c r="F671" s="38" t="n"/>
      <c r="G671" s="38" t="n"/>
      <c r="H671" s="49">
        <f>IF(B671="","",IFERROR(INDEX('JOBS'!$D$5:$D$1504,MATCH(B671,'JOBS'!$A$5:$A$1504,0)),"Job ID not found"))</f>
        <v/>
      </c>
      <c r="I671" s="49">
        <f>IF(B671="","",IFERROR(INDEX('JOBS'!$F$5:$F$1504,MATCH(B671,'JOBS'!$A$5:$A$1504,0)),""))</f>
        <v/>
      </c>
      <c r="J671" s="55">
        <f>IF(C671="","",ROUND(C671*IF(IFERROR(INDEX('SETTINGS'!$K$5:$K$24,MATCH(E671,'SETTINGS'!$J$5:$J$24,0)),"No")="Yes",FeePct,0),2))</f>
        <v/>
      </c>
      <c r="K671" s="51">
        <f>IF(A671="","",DATE(YEAR(A671),MONTH(A671),1))</f>
        <v/>
      </c>
    </row>
    <row r="672">
      <c r="A672" s="47" t="n"/>
      <c r="B672" s="38" t="n"/>
      <c r="C672" s="48" t="n"/>
      <c r="D672" s="48" t="n"/>
      <c r="E672" s="38" t="n"/>
      <c r="F672" s="38" t="n"/>
      <c r="G672" s="38" t="n"/>
      <c r="H672" s="49">
        <f>IF(B672="","",IFERROR(INDEX('JOBS'!$D$5:$D$1504,MATCH(B672,'JOBS'!$A$5:$A$1504,0)),"Job ID not found"))</f>
        <v/>
      </c>
      <c r="I672" s="49">
        <f>IF(B672="","",IFERROR(INDEX('JOBS'!$F$5:$F$1504,MATCH(B672,'JOBS'!$A$5:$A$1504,0)),""))</f>
        <v/>
      </c>
      <c r="J672" s="55">
        <f>IF(C672="","",ROUND(C672*IF(IFERROR(INDEX('SETTINGS'!$K$5:$K$24,MATCH(E672,'SETTINGS'!$J$5:$J$24,0)),"No")="Yes",FeePct,0),2))</f>
        <v/>
      </c>
      <c r="K672" s="51">
        <f>IF(A672="","",DATE(YEAR(A672),MONTH(A672),1))</f>
        <v/>
      </c>
    </row>
    <row r="673">
      <c r="A673" s="47" t="n"/>
      <c r="B673" s="38" t="n"/>
      <c r="C673" s="48" t="n"/>
      <c r="D673" s="48" t="n"/>
      <c r="E673" s="38" t="n"/>
      <c r="F673" s="38" t="n"/>
      <c r="G673" s="38" t="n"/>
      <c r="H673" s="49">
        <f>IF(B673="","",IFERROR(INDEX('JOBS'!$D$5:$D$1504,MATCH(B673,'JOBS'!$A$5:$A$1504,0)),"Job ID not found"))</f>
        <v/>
      </c>
      <c r="I673" s="49">
        <f>IF(B673="","",IFERROR(INDEX('JOBS'!$F$5:$F$1504,MATCH(B673,'JOBS'!$A$5:$A$1504,0)),""))</f>
        <v/>
      </c>
      <c r="J673" s="55">
        <f>IF(C673="","",ROUND(C673*IF(IFERROR(INDEX('SETTINGS'!$K$5:$K$24,MATCH(E673,'SETTINGS'!$J$5:$J$24,0)),"No")="Yes",FeePct,0),2))</f>
        <v/>
      </c>
      <c r="K673" s="51">
        <f>IF(A673="","",DATE(YEAR(A673),MONTH(A673),1))</f>
        <v/>
      </c>
    </row>
    <row r="674">
      <c r="A674" s="47" t="n"/>
      <c r="B674" s="38" t="n"/>
      <c r="C674" s="48" t="n"/>
      <c r="D674" s="48" t="n"/>
      <c r="E674" s="38" t="n"/>
      <c r="F674" s="38" t="n"/>
      <c r="G674" s="38" t="n"/>
      <c r="H674" s="49">
        <f>IF(B674="","",IFERROR(INDEX('JOBS'!$D$5:$D$1504,MATCH(B674,'JOBS'!$A$5:$A$1504,0)),"Job ID not found"))</f>
        <v/>
      </c>
      <c r="I674" s="49">
        <f>IF(B674="","",IFERROR(INDEX('JOBS'!$F$5:$F$1504,MATCH(B674,'JOBS'!$A$5:$A$1504,0)),""))</f>
        <v/>
      </c>
      <c r="J674" s="55">
        <f>IF(C674="","",ROUND(C674*IF(IFERROR(INDEX('SETTINGS'!$K$5:$K$24,MATCH(E674,'SETTINGS'!$J$5:$J$24,0)),"No")="Yes",FeePct,0),2))</f>
        <v/>
      </c>
      <c r="K674" s="51">
        <f>IF(A674="","",DATE(YEAR(A674),MONTH(A674),1))</f>
        <v/>
      </c>
    </row>
    <row r="675">
      <c r="A675" s="47" t="n"/>
      <c r="B675" s="38" t="n"/>
      <c r="C675" s="48" t="n"/>
      <c r="D675" s="48" t="n"/>
      <c r="E675" s="38" t="n"/>
      <c r="F675" s="38" t="n"/>
      <c r="G675" s="38" t="n"/>
      <c r="H675" s="49">
        <f>IF(B675="","",IFERROR(INDEX('JOBS'!$D$5:$D$1504,MATCH(B675,'JOBS'!$A$5:$A$1504,0)),"Job ID not found"))</f>
        <v/>
      </c>
      <c r="I675" s="49">
        <f>IF(B675="","",IFERROR(INDEX('JOBS'!$F$5:$F$1504,MATCH(B675,'JOBS'!$A$5:$A$1504,0)),""))</f>
        <v/>
      </c>
      <c r="J675" s="55">
        <f>IF(C675="","",ROUND(C675*IF(IFERROR(INDEX('SETTINGS'!$K$5:$K$24,MATCH(E675,'SETTINGS'!$J$5:$J$24,0)),"No")="Yes",FeePct,0),2))</f>
        <v/>
      </c>
      <c r="K675" s="51">
        <f>IF(A675="","",DATE(YEAR(A675),MONTH(A675),1))</f>
        <v/>
      </c>
    </row>
    <row r="676">
      <c r="A676" s="47" t="n"/>
      <c r="B676" s="38" t="n"/>
      <c r="C676" s="48" t="n"/>
      <c r="D676" s="48" t="n"/>
      <c r="E676" s="38" t="n"/>
      <c r="F676" s="38" t="n"/>
      <c r="G676" s="38" t="n"/>
      <c r="H676" s="49">
        <f>IF(B676="","",IFERROR(INDEX('JOBS'!$D$5:$D$1504,MATCH(B676,'JOBS'!$A$5:$A$1504,0)),"Job ID not found"))</f>
        <v/>
      </c>
      <c r="I676" s="49">
        <f>IF(B676="","",IFERROR(INDEX('JOBS'!$F$5:$F$1504,MATCH(B676,'JOBS'!$A$5:$A$1504,0)),""))</f>
        <v/>
      </c>
      <c r="J676" s="55">
        <f>IF(C676="","",ROUND(C676*IF(IFERROR(INDEX('SETTINGS'!$K$5:$K$24,MATCH(E676,'SETTINGS'!$J$5:$J$24,0)),"No")="Yes",FeePct,0),2))</f>
        <v/>
      </c>
      <c r="K676" s="51">
        <f>IF(A676="","",DATE(YEAR(A676),MONTH(A676),1))</f>
        <v/>
      </c>
    </row>
    <row r="677">
      <c r="A677" s="47" t="n"/>
      <c r="B677" s="38" t="n"/>
      <c r="C677" s="48" t="n"/>
      <c r="D677" s="48" t="n"/>
      <c r="E677" s="38" t="n"/>
      <c r="F677" s="38" t="n"/>
      <c r="G677" s="38" t="n"/>
      <c r="H677" s="49">
        <f>IF(B677="","",IFERROR(INDEX('JOBS'!$D$5:$D$1504,MATCH(B677,'JOBS'!$A$5:$A$1504,0)),"Job ID not found"))</f>
        <v/>
      </c>
      <c r="I677" s="49">
        <f>IF(B677="","",IFERROR(INDEX('JOBS'!$F$5:$F$1504,MATCH(B677,'JOBS'!$A$5:$A$1504,0)),""))</f>
        <v/>
      </c>
      <c r="J677" s="55">
        <f>IF(C677="","",ROUND(C677*IF(IFERROR(INDEX('SETTINGS'!$K$5:$K$24,MATCH(E677,'SETTINGS'!$J$5:$J$24,0)),"No")="Yes",FeePct,0),2))</f>
        <v/>
      </c>
      <c r="K677" s="51">
        <f>IF(A677="","",DATE(YEAR(A677),MONTH(A677),1))</f>
        <v/>
      </c>
    </row>
    <row r="678">
      <c r="A678" s="47" t="n"/>
      <c r="B678" s="38" t="n"/>
      <c r="C678" s="48" t="n"/>
      <c r="D678" s="48" t="n"/>
      <c r="E678" s="38" t="n"/>
      <c r="F678" s="38" t="n"/>
      <c r="G678" s="38" t="n"/>
      <c r="H678" s="49">
        <f>IF(B678="","",IFERROR(INDEX('JOBS'!$D$5:$D$1504,MATCH(B678,'JOBS'!$A$5:$A$1504,0)),"Job ID not found"))</f>
        <v/>
      </c>
      <c r="I678" s="49">
        <f>IF(B678="","",IFERROR(INDEX('JOBS'!$F$5:$F$1504,MATCH(B678,'JOBS'!$A$5:$A$1504,0)),""))</f>
        <v/>
      </c>
      <c r="J678" s="55">
        <f>IF(C678="","",ROUND(C678*IF(IFERROR(INDEX('SETTINGS'!$K$5:$K$24,MATCH(E678,'SETTINGS'!$J$5:$J$24,0)),"No")="Yes",FeePct,0),2))</f>
        <v/>
      </c>
      <c r="K678" s="51">
        <f>IF(A678="","",DATE(YEAR(A678),MONTH(A678),1))</f>
        <v/>
      </c>
    </row>
    <row r="679">
      <c r="A679" s="47" t="n"/>
      <c r="B679" s="38" t="n"/>
      <c r="C679" s="48" t="n"/>
      <c r="D679" s="48" t="n"/>
      <c r="E679" s="38" t="n"/>
      <c r="F679" s="38" t="n"/>
      <c r="G679" s="38" t="n"/>
      <c r="H679" s="49">
        <f>IF(B679="","",IFERROR(INDEX('JOBS'!$D$5:$D$1504,MATCH(B679,'JOBS'!$A$5:$A$1504,0)),"Job ID not found"))</f>
        <v/>
      </c>
      <c r="I679" s="49">
        <f>IF(B679="","",IFERROR(INDEX('JOBS'!$F$5:$F$1504,MATCH(B679,'JOBS'!$A$5:$A$1504,0)),""))</f>
        <v/>
      </c>
      <c r="J679" s="55">
        <f>IF(C679="","",ROUND(C679*IF(IFERROR(INDEX('SETTINGS'!$K$5:$K$24,MATCH(E679,'SETTINGS'!$J$5:$J$24,0)),"No")="Yes",FeePct,0),2))</f>
        <v/>
      </c>
      <c r="K679" s="51">
        <f>IF(A679="","",DATE(YEAR(A679),MONTH(A679),1))</f>
        <v/>
      </c>
    </row>
    <row r="680">
      <c r="A680" s="47" t="n"/>
      <c r="B680" s="38" t="n"/>
      <c r="C680" s="48" t="n"/>
      <c r="D680" s="48" t="n"/>
      <c r="E680" s="38" t="n"/>
      <c r="F680" s="38" t="n"/>
      <c r="G680" s="38" t="n"/>
      <c r="H680" s="49">
        <f>IF(B680="","",IFERROR(INDEX('JOBS'!$D$5:$D$1504,MATCH(B680,'JOBS'!$A$5:$A$1504,0)),"Job ID not found"))</f>
        <v/>
      </c>
      <c r="I680" s="49">
        <f>IF(B680="","",IFERROR(INDEX('JOBS'!$F$5:$F$1504,MATCH(B680,'JOBS'!$A$5:$A$1504,0)),""))</f>
        <v/>
      </c>
      <c r="J680" s="55">
        <f>IF(C680="","",ROUND(C680*IF(IFERROR(INDEX('SETTINGS'!$K$5:$K$24,MATCH(E680,'SETTINGS'!$J$5:$J$24,0)),"No")="Yes",FeePct,0),2))</f>
        <v/>
      </c>
      <c r="K680" s="51">
        <f>IF(A680="","",DATE(YEAR(A680),MONTH(A680),1))</f>
        <v/>
      </c>
    </row>
    <row r="681">
      <c r="A681" s="47" t="n"/>
      <c r="B681" s="38" t="n"/>
      <c r="C681" s="48" t="n"/>
      <c r="D681" s="48" t="n"/>
      <c r="E681" s="38" t="n"/>
      <c r="F681" s="38" t="n"/>
      <c r="G681" s="38" t="n"/>
      <c r="H681" s="49">
        <f>IF(B681="","",IFERROR(INDEX('JOBS'!$D$5:$D$1504,MATCH(B681,'JOBS'!$A$5:$A$1504,0)),"Job ID not found"))</f>
        <v/>
      </c>
      <c r="I681" s="49">
        <f>IF(B681="","",IFERROR(INDEX('JOBS'!$F$5:$F$1504,MATCH(B681,'JOBS'!$A$5:$A$1504,0)),""))</f>
        <v/>
      </c>
      <c r="J681" s="55">
        <f>IF(C681="","",ROUND(C681*IF(IFERROR(INDEX('SETTINGS'!$K$5:$K$24,MATCH(E681,'SETTINGS'!$J$5:$J$24,0)),"No")="Yes",FeePct,0),2))</f>
        <v/>
      </c>
      <c r="K681" s="51">
        <f>IF(A681="","",DATE(YEAR(A681),MONTH(A681),1))</f>
        <v/>
      </c>
    </row>
    <row r="682">
      <c r="A682" s="47" t="n"/>
      <c r="B682" s="38" t="n"/>
      <c r="C682" s="48" t="n"/>
      <c r="D682" s="48" t="n"/>
      <c r="E682" s="38" t="n"/>
      <c r="F682" s="38" t="n"/>
      <c r="G682" s="38" t="n"/>
      <c r="H682" s="49">
        <f>IF(B682="","",IFERROR(INDEX('JOBS'!$D$5:$D$1504,MATCH(B682,'JOBS'!$A$5:$A$1504,0)),"Job ID not found"))</f>
        <v/>
      </c>
      <c r="I682" s="49">
        <f>IF(B682="","",IFERROR(INDEX('JOBS'!$F$5:$F$1504,MATCH(B682,'JOBS'!$A$5:$A$1504,0)),""))</f>
        <v/>
      </c>
      <c r="J682" s="55">
        <f>IF(C682="","",ROUND(C682*IF(IFERROR(INDEX('SETTINGS'!$K$5:$K$24,MATCH(E682,'SETTINGS'!$J$5:$J$24,0)),"No")="Yes",FeePct,0),2))</f>
        <v/>
      </c>
      <c r="K682" s="51">
        <f>IF(A682="","",DATE(YEAR(A682),MONTH(A682),1))</f>
        <v/>
      </c>
    </row>
    <row r="683">
      <c r="A683" s="47" t="n"/>
      <c r="B683" s="38" t="n"/>
      <c r="C683" s="48" t="n"/>
      <c r="D683" s="48" t="n"/>
      <c r="E683" s="38" t="n"/>
      <c r="F683" s="38" t="n"/>
      <c r="G683" s="38" t="n"/>
      <c r="H683" s="49">
        <f>IF(B683="","",IFERROR(INDEX('JOBS'!$D$5:$D$1504,MATCH(B683,'JOBS'!$A$5:$A$1504,0)),"Job ID not found"))</f>
        <v/>
      </c>
      <c r="I683" s="49">
        <f>IF(B683="","",IFERROR(INDEX('JOBS'!$F$5:$F$1504,MATCH(B683,'JOBS'!$A$5:$A$1504,0)),""))</f>
        <v/>
      </c>
      <c r="J683" s="55">
        <f>IF(C683="","",ROUND(C683*IF(IFERROR(INDEX('SETTINGS'!$K$5:$K$24,MATCH(E683,'SETTINGS'!$J$5:$J$24,0)),"No")="Yes",FeePct,0),2))</f>
        <v/>
      </c>
      <c r="K683" s="51">
        <f>IF(A683="","",DATE(YEAR(A683),MONTH(A683),1))</f>
        <v/>
      </c>
    </row>
    <row r="684">
      <c r="A684" s="47" t="n"/>
      <c r="B684" s="38" t="n"/>
      <c r="C684" s="48" t="n"/>
      <c r="D684" s="48" t="n"/>
      <c r="E684" s="38" t="n"/>
      <c r="F684" s="38" t="n"/>
      <c r="G684" s="38" t="n"/>
      <c r="H684" s="49">
        <f>IF(B684="","",IFERROR(INDEX('JOBS'!$D$5:$D$1504,MATCH(B684,'JOBS'!$A$5:$A$1504,0)),"Job ID not found"))</f>
        <v/>
      </c>
      <c r="I684" s="49">
        <f>IF(B684="","",IFERROR(INDEX('JOBS'!$F$5:$F$1504,MATCH(B684,'JOBS'!$A$5:$A$1504,0)),""))</f>
        <v/>
      </c>
      <c r="J684" s="55">
        <f>IF(C684="","",ROUND(C684*IF(IFERROR(INDEX('SETTINGS'!$K$5:$K$24,MATCH(E684,'SETTINGS'!$J$5:$J$24,0)),"No")="Yes",FeePct,0),2))</f>
        <v/>
      </c>
      <c r="K684" s="51">
        <f>IF(A684="","",DATE(YEAR(A684),MONTH(A684),1))</f>
        <v/>
      </c>
    </row>
    <row r="685">
      <c r="A685" s="47" t="n"/>
      <c r="B685" s="38" t="n"/>
      <c r="C685" s="48" t="n"/>
      <c r="D685" s="48" t="n"/>
      <c r="E685" s="38" t="n"/>
      <c r="F685" s="38" t="n"/>
      <c r="G685" s="38" t="n"/>
      <c r="H685" s="49">
        <f>IF(B685="","",IFERROR(INDEX('JOBS'!$D$5:$D$1504,MATCH(B685,'JOBS'!$A$5:$A$1504,0)),"Job ID not found"))</f>
        <v/>
      </c>
      <c r="I685" s="49">
        <f>IF(B685="","",IFERROR(INDEX('JOBS'!$F$5:$F$1504,MATCH(B685,'JOBS'!$A$5:$A$1504,0)),""))</f>
        <v/>
      </c>
      <c r="J685" s="55">
        <f>IF(C685="","",ROUND(C685*IF(IFERROR(INDEX('SETTINGS'!$K$5:$K$24,MATCH(E685,'SETTINGS'!$J$5:$J$24,0)),"No")="Yes",FeePct,0),2))</f>
        <v/>
      </c>
      <c r="K685" s="51">
        <f>IF(A685="","",DATE(YEAR(A685),MONTH(A685),1))</f>
        <v/>
      </c>
    </row>
    <row r="686">
      <c r="A686" s="47" t="n"/>
      <c r="B686" s="38" t="n"/>
      <c r="C686" s="48" t="n"/>
      <c r="D686" s="48" t="n"/>
      <c r="E686" s="38" t="n"/>
      <c r="F686" s="38" t="n"/>
      <c r="G686" s="38" t="n"/>
      <c r="H686" s="49">
        <f>IF(B686="","",IFERROR(INDEX('JOBS'!$D$5:$D$1504,MATCH(B686,'JOBS'!$A$5:$A$1504,0)),"Job ID not found"))</f>
        <v/>
      </c>
      <c r="I686" s="49">
        <f>IF(B686="","",IFERROR(INDEX('JOBS'!$F$5:$F$1504,MATCH(B686,'JOBS'!$A$5:$A$1504,0)),""))</f>
        <v/>
      </c>
      <c r="J686" s="55">
        <f>IF(C686="","",ROUND(C686*IF(IFERROR(INDEX('SETTINGS'!$K$5:$K$24,MATCH(E686,'SETTINGS'!$J$5:$J$24,0)),"No")="Yes",FeePct,0),2))</f>
        <v/>
      </c>
      <c r="K686" s="51">
        <f>IF(A686="","",DATE(YEAR(A686),MONTH(A686),1))</f>
        <v/>
      </c>
    </row>
    <row r="687">
      <c r="A687" s="47" t="n"/>
      <c r="B687" s="38" t="n"/>
      <c r="C687" s="48" t="n"/>
      <c r="D687" s="48" t="n"/>
      <c r="E687" s="38" t="n"/>
      <c r="F687" s="38" t="n"/>
      <c r="G687" s="38" t="n"/>
      <c r="H687" s="49">
        <f>IF(B687="","",IFERROR(INDEX('JOBS'!$D$5:$D$1504,MATCH(B687,'JOBS'!$A$5:$A$1504,0)),"Job ID not found"))</f>
        <v/>
      </c>
      <c r="I687" s="49">
        <f>IF(B687="","",IFERROR(INDEX('JOBS'!$F$5:$F$1504,MATCH(B687,'JOBS'!$A$5:$A$1504,0)),""))</f>
        <v/>
      </c>
      <c r="J687" s="55">
        <f>IF(C687="","",ROUND(C687*IF(IFERROR(INDEX('SETTINGS'!$K$5:$K$24,MATCH(E687,'SETTINGS'!$J$5:$J$24,0)),"No")="Yes",FeePct,0),2))</f>
        <v/>
      </c>
      <c r="K687" s="51">
        <f>IF(A687="","",DATE(YEAR(A687),MONTH(A687),1))</f>
        <v/>
      </c>
    </row>
    <row r="688">
      <c r="A688" s="47" t="n"/>
      <c r="B688" s="38" t="n"/>
      <c r="C688" s="48" t="n"/>
      <c r="D688" s="48" t="n"/>
      <c r="E688" s="38" t="n"/>
      <c r="F688" s="38" t="n"/>
      <c r="G688" s="38" t="n"/>
      <c r="H688" s="49">
        <f>IF(B688="","",IFERROR(INDEX('JOBS'!$D$5:$D$1504,MATCH(B688,'JOBS'!$A$5:$A$1504,0)),"Job ID not found"))</f>
        <v/>
      </c>
      <c r="I688" s="49">
        <f>IF(B688="","",IFERROR(INDEX('JOBS'!$F$5:$F$1504,MATCH(B688,'JOBS'!$A$5:$A$1504,0)),""))</f>
        <v/>
      </c>
      <c r="J688" s="55">
        <f>IF(C688="","",ROUND(C688*IF(IFERROR(INDEX('SETTINGS'!$K$5:$K$24,MATCH(E688,'SETTINGS'!$J$5:$J$24,0)),"No")="Yes",FeePct,0),2))</f>
        <v/>
      </c>
      <c r="K688" s="51">
        <f>IF(A688="","",DATE(YEAR(A688),MONTH(A688),1))</f>
        <v/>
      </c>
    </row>
    <row r="689">
      <c r="A689" s="47" t="n"/>
      <c r="B689" s="38" t="n"/>
      <c r="C689" s="48" t="n"/>
      <c r="D689" s="48" t="n"/>
      <c r="E689" s="38" t="n"/>
      <c r="F689" s="38" t="n"/>
      <c r="G689" s="38" t="n"/>
      <c r="H689" s="49">
        <f>IF(B689="","",IFERROR(INDEX('JOBS'!$D$5:$D$1504,MATCH(B689,'JOBS'!$A$5:$A$1504,0)),"Job ID not found"))</f>
        <v/>
      </c>
      <c r="I689" s="49">
        <f>IF(B689="","",IFERROR(INDEX('JOBS'!$F$5:$F$1504,MATCH(B689,'JOBS'!$A$5:$A$1504,0)),""))</f>
        <v/>
      </c>
      <c r="J689" s="55">
        <f>IF(C689="","",ROUND(C689*IF(IFERROR(INDEX('SETTINGS'!$K$5:$K$24,MATCH(E689,'SETTINGS'!$J$5:$J$24,0)),"No")="Yes",FeePct,0),2))</f>
        <v/>
      </c>
      <c r="K689" s="51">
        <f>IF(A689="","",DATE(YEAR(A689),MONTH(A689),1))</f>
        <v/>
      </c>
    </row>
    <row r="690">
      <c r="A690" s="47" t="n"/>
      <c r="B690" s="38" t="n"/>
      <c r="C690" s="48" t="n"/>
      <c r="D690" s="48" t="n"/>
      <c r="E690" s="38" t="n"/>
      <c r="F690" s="38" t="n"/>
      <c r="G690" s="38" t="n"/>
      <c r="H690" s="49">
        <f>IF(B690="","",IFERROR(INDEX('JOBS'!$D$5:$D$1504,MATCH(B690,'JOBS'!$A$5:$A$1504,0)),"Job ID not found"))</f>
        <v/>
      </c>
      <c r="I690" s="49">
        <f>IF(B690="","",IFERROR(INDEX('JOBS'!$F$5:$F$1504,MATCH(B690,'JOBS'!$A$5:$A$1504,0)),""))</f>
        <v/>
      </c>
      <c r="J690" s="55">
        <f>IF(C690="","",ROUND(C690*IF(IFERROR(INDEX('SETTINGS'!$K$5:$K$24,MATCH(E690,'SETTINGS'!$J$5:$J$24,0)),"No")="Yes",FeePct,0),2))</f>
        <v/>
      </c>
      <c r="K690" s="51">
        <f>IF(A690="","",DATE(YEAR(A690),MONTH(A690),1))</f>
        <v/>
      </c>
    </row>
    <row r="691">
      <c r="A691" s="47" t="n"/>
      <c r="B691" s="38" t="n"/>
      <c r="C691" s="48" t="n"/>
      <c r="D691" s="48" t="n"/>
      <c r="E691" s="38" t="n"/>
      <c r="F691" s="38" t="n"/>
      <c r="G691" s="38" t="n"/>
      <c r="H691" s="49">
        <f>IF(B691="","",IFERROR(INDEX('JOBS'!$D$5:$D$1504,MATCH(B691,'JOBS'!$A$5:$A$1504,0)),"Job ID not found"))</f>
        <v/>
      </c>
      <c r="I691" s="49">
        <f>IF(B691="","",IFERROR(INDEX('JOBS'!$F$5:$F$1504,MATCH(B691,'JOBS'!$A$5:$A$1504,0)),""))</f>
        <v/>
      </c>
      <c r="J691" s="55">
        <f>IF(C691="","",ROUND(C691*IF(IFERROR(INDEX('SETTINGS'!$K$5:$K$24,MATCH(E691,'SETTINGS'!$J$5:$J$24,0)),"No")="Yes",FeePct,0),2))</f>
        <v/>
      </c>
      <c r="K691" s="51">
        <f>IF(A691="","",DATE(YEAR(A691),MONTH(A691),1))</f>
        <v/>
      </c>
    </row>
    <row r="692">
      <c r="A692" s="47" t="n"/>
      <c r="B692" s="38" t="n"/>
      <c r="C692" s="48" t="n"/>
      <c r="D692" s="48" t="n"/>
      <c r="E692" s="38" t="n"/>
      <c r="F692" s="38" t="n"/>
      <c r="G692" s="38" t="n"/>
      <c r="H692" s="49">
        <f>IF(B692="","",IFERROR(INDEX('JOBS'!$D$5:$D$1504,MATCH(B692,'JOBS'!$A$5:$A$1504,0)),"Job ID not found"))</f>
        <v/>
      </c>
      <c r="I692" s="49">
        <f>IF(B692="","",IFERROR(INDEX('JOBS'!$F$5:$F$1504,MATCH(B692,'JOBS'!$A$5:$A$1504,0)),""))</f>
        <v/>
      </c>
      <c r="J692" s="55">
        <f>IF(C692="","",ROUND(C692*IF(IFERROR(INDEX('SETTINGS'!$K$5:$K$24,MATCH(E692,'SETTINGS'!$J$5:$J$24,0)),"No")="Yes",FeePct,0),2))</f>
        <v/>
      </c>
      <c r="K692" s="51">
        <f>IF(A692="","",DATE(YEAR(A692),MONTH(A692),1))</f>
        <v/>
      </c>
    </row>
    <row r="693">
      <c r="A693" s="47" t="n"/>
      <c r="B693" s="38" t="n"/>
      <c r="C693" s="48" t="n"/>
      <c r="D693" s="48" t="n"/>
      <c r="E693" s="38" t="n"/>
      <c r="F693" s="38" t="n"/>
      <c r="G693" s="38" t="n"/>
      <c r="H693" s="49">
        <f>IF(B693="","",IFERROR(INDEX('JOBS'!$D$5:$D$1504,MATCH(B693,'JOBS'!$A$5:$A$1504,0)),"Job ID not found"))</f>
        <v/>
      </c>
      <c r="I693" s="49">
        <f>IF(B693="","",IFERROR(INDEX('JOBS'!$F$5:$F$1504,MATCH(B693,'JOBS'!$A$5:$A$1504,0)),""))</f>
        <v/>
      </c>
      <c r="J693" s="55">
        <f>IF(C693="","",ROUND(C693*IF(IFERROR(INDEX('SETTINGS'!$K$5:$K$24,MATCH(E693,'SETTINGS'!$J$5:$J$24,0)),"No")="Yes",FeePct,0),2))</f>
        <v/>
      </c>
      <c r="K693" s="51">
        <f>IF(A693="","",DATE(YEAR(A693),MONTH(A693),1))</f>
        <v/>
      </c>
    </row>
    <row r="694">
      <c r="A694" s="47" t="n"/>
      <c r="B694" s="38" t="n"/>
      <c r="C694" s="48" t="n"/>
      <c r="D694" s="48" t="n"/>
      <c r="E694" s="38" t="n"/>
      <c r="F694" s="38" t="n"/>
      <c r="G694" s="38" t="n"/>
      <c r="H694" s="49">
        <f>IF(B694="","",IFERROR(INDEX('JOBS'!$D$5:$D$1504,MATCH(B694,'JOBS'!$A$5:$A$1504,0)),"Job ID not found"))</f>
        <v/>
      </c>
      <c r="I694" s="49">
        <f>IF(B694="","",IFERROR(INDEX('JOBS'!$F$5:$F$1504,MATCH(B694,'JOBS'!$A$5:$A$1504,0)),""))</f>
        <v/>
      </c>
      <c r="J694" s="55">
        <f>IF(C694="","",ROUND(C694*IF(IFERROR(INDEX('SETTINGS'!$K$5:$K$24,MATCH(E694,'SETTINGS'!$J$5:$J$24,0)),"No")="Yes",FeePct,0),2))</f>
        <v/>
      </c>
      <c r="K694" s="51">
        <f>IF(A694="","",DATE(YEAR(A694),MONTH(A694),1))</f>
        <v/>
      </c>
    </row>
    <row r="695">
      <c r="A695" s="47" t="n"/>
      <c r="B695" s="38" t="n"/>
      <c r="C695" s="48" t="n"/>
      <c r="D695" s="48" t="n"/>
      <c r="E695" s="38" t="n"/>
      <c r="F695" s="38" t="n"/>
      <c r="G695" s="38" t="n"/>
      <c r="H695" s="49">
        <f>IF(B695="","",IFERROR(INDEX('JOBS'!$D$5:$D$1504,MATCH(B695,'JOBS'!$A$5:$A$1504,0)),"Job ID not found"))</f>
        <v/>
      </c>
      <c r="I695" s="49">
        <f>IF(B695="","",IFERROR(INDEX('JOBS'!$F$5:$F$1504,MATCH(B695,'JOBS'!$A$5:$A$1504,0)),""))</f>
        <v/>
      </c>
      <c r="J695" s="55">
        <f>IF(C695="","",ROUND(C695*IF(IFERROR(INDEX('SETTINGS'!$K$5:$K$24,MATCH(E695,'SETTINGS'!$J$5:$J$24,0)),"No")="Yes",FeePct,0),2))</f>
        <v/>
      </c>
      <c r="K695" s="51">
        <f>IF(A695="","",DATE(YEAR(A695),MONTH(A695),1))</f>
        <v/>
      </c>
    </row>
    <row r="696">
      <c r="A696" s="47" t="n"/>
      <c r="B696" s="38" t="n"/>
      <c r="C696" s="48" t="n"/>
      <c r="D696" s="48" t="n"/>
      <c r="E696" s="38" t="n"/>
      <c r="F696" s="38" t="n"/>
      <c r="G696" s="38" t="n"/>
      <c r="H696" s="49">
        <f>IF(B696="","",IFERROR(INDEX('JOBS'!$D$5:$D$1504,MATCH(B696,'JOBS'!$A$5:$A$1504,0)),"Job ID not found"))</f>
        <v/>
      </c>
      <c r="I696" s="49">
        <f>IF(B696="","",IFERROR(INDEX('JOBS'!$F$5:$F$1504,MATCH(B696,'JOBS'!$A$5:$A$1504,0)),""))</f>
        <v/>
      </c>
      <c r="J696" s="55">
        <f>IF(C696="","",ROUND(C696*IF(IFERROR(INDEX('SETTINGS'!$K$5:$K$24,MATCH(E696,'SETTINGS'!$J$5:$J$24,0)),"No")="Yes",FeePct,0),2))</f>
        <v/>
      </c>
      <c r="K696" s="51">
        <f>IF(A696="","",DATE(YEAR(A696),MONTH(A696),1))</f>
        <v/>
      </c>
    </row>
    <row r="697">
      <c r="A697" s="47" t="n"/>
      <c r="B697" s="38" t="n"/>
      <c r="C697" s="48" t="n"/>
      <c r="D697" s="48" t="n"/>
      <c r="E697" s="38" t="n"/>
      <c r="F697" s="38" t="n"/>
      <c r="G697" s="38" t="n"/>
      <c r="H697" s="49">
        <f>IF(B697="","",IFERROR(INDEX('JOBS'!$D$5:$D$1504,MATCH(B697,'JOBS'!$A$5:$A$1504,0)),"Job ID not found"))</f>
        <v/>
      </c>
      <c r="I697" s="49">
        <f>IF(B697="","",IFERROR(INDEX('JOBS'!$F$5:$F$1504,MATCH(B697,'JOBS'!$A$5:$A$1504,0)),""))</f>
        <v/>
      </c>
      <c r="J697" s="55">
        <f>IF(C697="","",ROUND(C697*IF(IFERROR(INDEX('SETTINGS'!$K$5:$K$24,MATCH(E697,'SETTINGS'!$J$5:$J$24,0)),"No")="Yes",FeePct,0),2))</f>
        <v/>
      </c>
      <c r="K697" s="51">
        <f>IF(A697="","",DATE(YEAR(A697),MONTH(A697),1))</f>
        <v/>
      </c>
    </row>
    <row r="698">
      <c r="A698" s="47" t="n"/>
      <c r="B698" s="38" t="n"/>
      <c r="C698" s="48" t="n"/>
      <c r="D698" s="48" t="n"/>
      <c r="E698" s="38" t="n"/>
      <c r="F698" s="38" t="n"/>
      <c r="G698" s="38" t="n"/>
      <c r="H698" s="49">
        <f>IF(B698="","",IFERROR(INDEX('JOBS'!$D$5:$D$1504,MATCH(B698,'JOBS'!$A$5:$A$1504,0)),"Job ID not found"))</f>
        <v/>
      </c>
      <c r="I698" s="49">
        <f>IF(B698="","",IFERROR(INDEX('JOBS'!$F$5:$F$1504,MATCH(B698,'JOBS'!$A$5:$A$1504,0)),""))</f>
        <v/>
      </c>
      <c r="J698" s="55">
        <f>IF(C698="","",ROUND(C698*IF(IFERROR(INDEX('SETTINGS'!$K$5:$K$24,MATCH(E698,'SETTINGS'!$J$5:$J$24,0)),"No")="Yes",FeePct,0),2))</f>
        <v/>
      </c>
      <c r="K698" s="51">
        <f>IF(A698="","",DATE(YEAR(A698),MONTH(A698),1))</f>
        <v/>
      </c>
    </row>
    <row r="699">
      <c r="A699" s="47" t="n"/>
      <c r="B699" s="38" t="n"/>
      <c r="C699" s="48" t="n"/>
      <c r="D699" s="48" t="n"/>
      <c r="E699" s="38" t="n"/>
      <c r="F699" s="38" t="n"/>
      <c r="G699" s="38" t="n"/>
      <c r="H699" s="49">
        <f>IF(B699="","",IFERROR(INDEX('JOBS'!$D$5:$D$1504,MATCH(B699,'JOBS'!$A$5:$A$1504,0)),"Job ID not found"))</f>
        <v/>
      </c>
      <c r="I699" s="49">
        <f>IF(B699="","",IFERROR(INDEX('JOBS'!$F$5:$F$1504,MATCH(B699,'JOBS'!$A$5:$A$1504,0)),""))</f>
        <v/>
      </c>
      <c r="J699" s="55">
        <f>IF(C699="","",ROUND(C699*IF(IFERROR(INDEX('SETTINGS'!$K$5:$K$24,MATCH(E699,'SETTINGS'!$J$5:$J$24,0)),"No")="Yes",FeePct,0),2))</f>
        <v/>
      </c>
      <c r="K699" s="51">
        <f>IF(A699="","",DATE(YEAR(A699),MONTH(A699),1))</f>
        <v/>
      </c>
    </row>
    <row r="700">
      <c r="A700" s="47" t="n"/>
      <c r="B700" s="38" t="n"/>
      <c r="C700" s="48" t="n"/>
      <c r="D700" s="48" t="n"/>
      <c r="E700" s="38" t="n"/>
      <c r="F700" s="38" t="n"/>
      <c r="G700" s="38" t="n"/>
      <c r="H700" s="49">
        <f>IF(B700="","",IFERROR(INDEX('JOBS'!$D$5:$D$1504,MATCH(B700,'JOBS'!$A$5:$A$1504,0)),"Job ID not found"))</f>
        <v/>
      </c>
      <c r="I700" s="49">
        <f>IF(B700="","",IFERROR(INDEX('JOBS'!$F$5:$F$1504,MATCH(B700,'JOBS'!$A$5:$A$1504,0)),""))</f>
        <v/>
      </c>
      <c r="J700" s="55">
        <f>IF(C700="","",ROUND(C700*IF(IFERROR(INDEX('SETTINGS'!$K$5:$K$24,MATCH(E700,'SETTINGS'!$J$5:$J$24,0)),"No")="Yes",FeePct,0),2))</f>
        <v/>
      </c>
      <c r="K700" s="51">
        <f>IF(A700="","",DATE(YEAR(A700),MONTH(A700),1))</f>
        <v/>
      </c>
    </row>
    <row r="701">
      <c r="A701" s="47" t="n"/>
      <c r="B701" s="38" t="n"/>
      <c r="C701" s="48" t="n"/>
      <c r="D701" s="48" t="n"/>
      <c r="E701" s="38" t="n"/>
      <c r="F701" s="38" t="n"/>
      <c r="G701" s="38" t="n"/>
      <c r="H701" s="49">
        <f>IF(B701="","",IFERROR(INDEX('JOBS'!$D$5:$D$1504,MATCH(B701,'JOBS'!$A$5:$A$1504,0)),"Job ID not found"))</f>
        <v/>
      </c>
      <c r="I701" s="49">
        <f>IF(B701="","",IFERROR(INDEX('JOBS'!$F$5:$F$1504,MATCH(B701,'JOBS'!$A$5:$A$1504,0)),""))</f>
        <v/>
      </c>
      <c r="J701" s="55">
        <f>IF(C701="","",ROUND(C701*IF(IFERROR(INDEX('SETTINGS'!$K$5:$K$24,MATCH(E701,'SETTINGS'!$J$5:$J$24,0)),"No")="Yes",FeePct,0),2))</f>
        <v/>
      </c>
      <c r="K701" s="51">
        <f>IF(A701="","",DATE(YEAR(A701),MONTH(A701),1))</f>
        <v/>
      </c>
    </row>
    <row r="702">
      <c r="A702" s="47" t="n"/>
      <c r="B702" s="38" t="n"/>
      <c r="C702" s="48" t="n"/>
      <c r="D702" s="48" t="n"/>
      <c r="E702" s="38" t="n"/>
      <c r="F702" s="38" t="n"/>
      <c r="G702" s="38" t="n"/>
      <c r="H702" s="49">
        <f>IF(B702="","",IFERROR(INDEX('JOBS'!$D$5:$D$1504,MATCH(B702,'JOBS'!$A$5:$A$1504,0)),"Job ID not found"))</f>
        <v/>
      </c>
      <c r="I702" s="49">
        <f>IF(B702="","",IFERROR(INDEX('JOBS'!$F$5:$F$1504,MATCH(B702,'JOBS'!$A$5:$A$1504,0)),""))</f>
        <v/>
      </c>
      <c r="J702" s="55">
        <f>IF(C702="","",ROUND(C702*IF(IFERROR(INDEX('SETTINGS'!$K$5:$K$24,MATCH(E702,'SETTINGS'!$J$5:$J$24,0)),"No")="Yes",FeePct,0),2))</f>
        <v/>
      </c>
      <c r="K702" s="51">
        <f>IF(A702="","",DATE(YEAR(A702),MONTH(A702),1))</f>
        <v/>
      </c>
    </row>
    <row r="703">
      <c r="A703" s="47" t="n"/>
      <c r="B703" s="38" t="n"/>
      <c r="C703" s="48" t="n"/>
      <c r="D703" s="48" t="n"/>
      <c r="E703" s="38" t="n"/>
      <c r="F703" s="38" t="n"/>
      <c r="G703" s="38" t="n"/>
      <c r="H703" s="49">
        <f>IF(B703="","",IFERROR(INDEX('JOBS'!$D$5:$D$1504,MATCH(B703,'JOBS'!$A$5:$A$1504,0)),"Job ID not found"))</f>
        <v/>
      </c>
      <c r="I703" s="49">
        <f>IF(B703="","",IFERROR(INDEX('JOBS'!$F$5:$F$1504,MATCH(B703,'JOBS'!$A$5:$A$1504,0)),""))</f>
        <v/>
      </c>
      <c r="J703" s="55">
        <f>IF(C703="","",ROUND(C703*IF(IFERROR(INDEX('SETTINGS'!$K$5:$K$24,MATCH(E703,'SETTINGS'!$J$5:$J$24,0)),"No")="Yes",FeePct,0),2))</f>
        <v/>
      </c>
      <c r="K703" s="51">
        <f>IF(A703="","",DATE(YEAR(A703),MONTH(A703),1))</f>
        <v/>
      </c>
    </row>
    <row r="704">
      <c r="A704" s="47" t="n"/>
      <c r="B704" s="38" t="n"/>
      <c r="C704" s="48" t="n"/>
      <c r="D704" s="48" t="n"/>
      <c r="E704" s="38" t="n"/>
      <c r="F704" s="38" t="n"/>
      <c r="G704" s="38" t="n"/>
      <c r="H704" s="49">
        <f>IF(B704="","",IFERROR(INDEX('JOBS'!$D$5:$D$1504,MATCH(B704,'JOBS'!$A$5:$A$1504,0)),"Job ID not found"))</f>
        <v/>
      </c>
      <c r="I704" s="49">
        <f>IF(B704="","",IFERROR(INDEX('JOBS'!$F$5:$F$1504,MATCH(B704,'JOBS'!$A$5:$A$1504,0)),""))</f>
        <v/>
      </c>
      <c r="J704" s="55">
        <f>IF(C704="","",ROUND(C704*IF(IFERROR(INDEX('SETTINGS'!$K$5:$K$24,MATCH(E704,'SETTINGS'!$J$5:$J$24,0)),"No")="Yes",FeePct,0),2))</f>
        <v/>
      </c>
      <c r="K704" s="51">
        <f>IF(A704="","",DATE(YEAR(A704),MONTH(A704),1))</f>
        <v/>
      </c>
    </row>
    <row r="705">
      <c r="A705" s="47" t="n"/>
      <c r="B705" s="38" t="n"/>
      <c r="C705" s="48" t="n"/>
      <c r="D705" s="48" t="n"/>
      <c r="E705" s="38" t="n"/>
      <c r="F705" s="38" t="n"/>
      <c r="G705" s="38" t="n"/>
      <c r="H705" s="49">
        <f>IF(B705="","",IFERROR(INDEX('JOBS'!$D$5:$D$1504,MATCH(B705,'JOBS'!$A$5:$A$1504,0)),"Job ID not found"))</f>
        <v/>
      </c>
      <c r="I705" s="49">
        <f>IF(B705="","",IFERROR(INDEX('JOBS'!$F$5:$F$1504,MATCH(B705,'JOBS'!$A$5:$A$1504,0)),""))</f>
        <v/>
      </c>
      <c r="J705" s="55">
        <f>IF(C705="","",ROUND(C705*IF(IFERROR(INDEX('SETTINGS'!$K$5:$K$24,MATCH(E705,'SETTINGS'!$J$5:$J$24,0)),"No")="Yes",FeePct,0),2))</f>
        <v/>
      </c>
      <c r="K705" s="51">
        <f>IF(A705="","",DATE(YEAR(A705),MONTH(A705),1))</f>
        <v/>
      </c>
    </row>
    <row r="706">
      <c r="A706" s="47" t="n"/>
      <c r="B706" s="38" t="n"/>
      <c r="C706" s="48" t="n"/>
      <c r="D706" s="48" t="n"/>
      <c r="E706" s="38" t="n"/>
      <c r="F706" s="38" t="n"/>
      <c r="G706" s="38" t="n"/>
      <c r="H706" s="49">
        <f>IF(B706="","",IFERROR(INDEX('JOBS'!$D$5:$D$1504,MATCH(B706,'JOBS'!$A$5:$A$1504,0)),"Job ID not found"))</f>
        <v/>
      </c>
      <c r="I706" s="49">
        <f>IF(B706="","",IFERROR(INDEX('JOBS'!$F$5:$F$1504,MATCH(B706,'JOBS'!$A$5:$A$1504,0)),""))</f>
        <v/>
      </c>
      <c r="J706" s="55">
        <f>IF(C706="","",ROUND(C706*IF(IFERROR(INDEX('SETTINGS'!$K$5:$K$24,MATCH(E706,'SETTINGS'!$J$5:$J$24,0)),"No")="Yes",FeePct,0),2))</f>
        <v/>
      </c>
      <c r="K706" s="51">
        <f>IF(A706="","",DATE(YEAR(A706),MONTH(A706),1))</f>
        <v/>
      </c>
    </row>
    <row r="707">
      <c r="A707" s="47" t="n"/>
      <c r="B707" s="38" t="n"/>
      <c r="C707" s="48" t="n"/>
      <c r="D707" s="48" t="n"/>
      <c r="E707" s="38" t="n"/>
      <c r="F707" s="38" t="n"/>
      <c r="G707" s="38" t="n"/>
      <c r="H707" s="49">
        <f>IF(B707="","",IFERROR(INDEX('JOBS'!$D$5:$D$1504,MATCH(B707,'JOBS'!$A$5:$A$1504,0)),"Job ID not found"))</f>
        <v/>
      </c>
      <c r="I707" s="49">
        <f>IF(B707="","",IFERROR(INDEX('JOBS'!$F$5:$F$1504,MATCH(B707,'JOBS'!$A$5:$A$1504,0)),""))</f>
        <v/>
      </c>
      <c r="J707" s="55">
        <f>IF(C707="","",ROUND(C707*IF(IFERROR(INDEX('SETTINGS'!$K$5:$K$24,MATCH(E707,'SETTINGS'!$J$5:$J$24,0)),"No")="Yes",FeePct,0),2))</f>
        <v/>
      </c>
      <c r="K707" s="51">
        <f>IF(A707="","",DATE(YEAR(A707),MONTH(A707),1))</f>
        <v/>
      </c>
    </row>
    <row r="708">
      <c r="A708" s="47" t="n"/>
      <c r="B708" s="38" t="n"/>
      <c r="C708" s="48" t="n"/>
      <c r="D708" s="48" t="n"/>
      <c r="E708" s="38" t="n"/>
      <c r="F708" s="38" t="n"/>
      <c r="G708" s="38" t="n"/>
      <c r="H708" s="49">
        <f>IF(B708="","",IFERROR(INDEX('JOBS'!$D$5:$D$1504,MATCH(B708,'JOBS'!$A$5:$A$1504,0)),"Job ID not found"))</f>
        <v/>
      </c>
      <c r="I708" s="49">
        <f>IF(B708="","",IFERROR(INDEX('JOBS'!$F$5:$F$1504,MATCH(B708,'JOBS'!$A$5:$A$1504,0)),""))</f>
        <v/>
      </c>
      <c r="J708" s="55">
        <f>IF(C708="","",ROUND(C708*IF(IFERROR(INDEX('SETTINGS'!$K$5:$K$24,MATCH(E708,'SETTINGS'!$J$5:$J$24,0)),"No")="Yes",FeePct,0),2))</f>
        <v/>
      </c>
      <c r="K708" s="51">
        <f>IF(A708="","",DATE(YEAR(A708),MONTH(A708),1))</f>
        <v/>
      </c>
    </row>
    <row r="709">
      <c r="A709" s="47" t="n"/>
      <c r="B709" s="38" t="n"/>
      <c r="C709" s="48" t="n"/>
      <c r="D709" s="48" t="n"/>
      <c r="E709" s="38" t="n"/>
      <c r="F709" s="38" t="n"/>
      <c r="G709" s="38" t="n"/>
      <c r="H709" s="49">
        <f>IF(B709="","",IFERROR(INDEX('JOBS'!$D$5:$D$1504,MATCH(B709,'JOBS'!$A$5:$A$1504,0)),"Job ID not found"))</f>
        <v/>
      </c>
      <c r="I709" s="49">
        <f>IF(B709="","",IFERROR(INDEX('JOBS'!$F$5:$F$1504,MATCH(B709,'JOBS'!$A$5:$A$1504,0)),""))</f>
        <v/>
      </c>
      <c r="J709" s="55">
        <f>IF(C709="","",ROUND(C709*IF(IFERROR(INDEX('SETTINGS'!$K$5:$K$24,MATCH(E709,'SETTINGS'!$J$5:$J$24,0)),"No")="Yes",FeePct,0),2))</f>
        <v/>
      </c>
      <c r="K709" s="51">
        <f>IF(A709="","",DATE(YEAR(A709),MONTH(A709),1))</f>
        <v/>
      </c>
    </row>
    <row r="710">
      <c r="A710" s="47" t="n"/>
      <c r="B710" s="38" t="n"/>
      <c r="C710" s="48" t="n"/>
      <c r="D710" s="48" t="n"/>
      <c r="E710" s="38" t="n"/>
      <c r="F710" s="38" t="n"/>
      <c r="G710" s="38" t="n"/>
      <c r="H710" s="49">
        <f>IF(B710="","",IFERROR(INDEX('JOBS'!$D$5:$D$1504,MATCH(B710,'JOBS'!$A$5:$A$1504,0)),"Job ID not found"))</f>
        <v/>
      </c>
      <c r="I710" s="49">
        <f>IF(B710="","",IFERROR(INDEX('JOBS'!$F$5:$F$1504,MATCH(B710,'JOBS'!$A$5:$A$1504,0)),""))</f>
        <v/>
      </c>
      <c r="J710" s="55">
        <f>IF(C710="","",ROUND(C710*IF(IFERROR(INDEX('SETTINGS'!$K$5:$K$24,MATCH(E710,'SETTINGS'!$J$5:$J$24,0)),"No")="Yes",FeePct,0),2))</f>
        <v/>
      </c>
      <c r="K710" s="51">
        <f>IF(A710="","",DATE(YEAR(A710),MONTH(A710),1))</f>
        <v/>
      </c>
    </row>
    <row r="711">
      <c r="A711" s="47" t="n"/>
      <c r="B711" s="38" t="n"/>
      <c r="C711" s="48" t="n"/>
      <c r="D711" s="48" t="n"/>
      <c r="E711" s="38" t="n"/>
      <c r="F711" s="38" t="n"/>
      <c r="G711" s="38" t="n"/>
      <c r="H711" s="49">
        <f>IF(B711="","",IFERROR(INDEX('JOBS'!$D$5:$D$1504,MATCH(B711,'JOBS'!$A$5:$A$1504,0)),"Job ID not found"))</f>
        <v/>
      </c>
      <c r="I711" s="49">
        <f>IF(B711="","",IFERROR(INDEX('JOBS'!$F$5:$F$1504,MATCH(B711,'JOBS'!$A$5:$A$1504,0)),""))</f>
        <v/>
      </c>
      <c r="J711" s="55">
        <f>IF(C711="","",ROUND(C711*IF(IFERROR(INDEX('SETTINGS'!$K$5:$K$24,MATCH(E711,'SETTINGS'!$J$5:$J$24,0)),"No")="Yes",FeePct,0),2))</f>
        <v/>
      </c>
      <c r="K711" s="51">
        <f>IF(A711="","",DATE(YEAR(A711),MONTH(A711),1))</f>
        <v/>
      </c>
    </row>
    <row r="712">
      <c r="A712" s="47" t="n"/>
      <c r="B712" s="38" t="n"/>
      <c r="C712" s="48" t="n"/>
      <c r="D712" s="48" t="n"/>
      <c r="E712" s="38" t="n"/>
      <c r="F712" s="38" t="n"/>
      <c r="G712" s="38" t="n"/>
      <c r="H712" s="49">
        <f>IF(B712="","",IFERROR(INDEX('JOBS'!$D$5:$D$1504,MATCH(B712,'JOBS'!$A$5:$A$1504,0)),"Job ID not found"))</f>
        <v/>
      </c>
      <c r="I712" s="49">
        <f>IF(B712="","",IFERROR(INDEX('JOBS'!$F$5:$F$1504,MATCH(B712,'JOBS'!$A$5:$A$1504,0)),""))</f>
        <v/>
      </c>
      <c r="J712" s="55">
        <f>IF(C712="","",ROUND(C712*IF(IFERROR(INDEX('SETTINGS'!$K$5:$K$24,MATCH(E712,'SETTINGS'!$J$5:$J$24,0)),"No")="Yes",FeePct,0),2))</f>
        <v/>
      </c>
      <c r="K712" s="51">
        <f>IF(A712="","",DATE(YEAR(A712),MONTH(A712),1))</f>
        <v/>
      </c>
    </row>
    <row r="713">
      <c r="A713" s="47" t="n"/>
      <c r="B713" s="38" t="n"/>
      <c r="C713" s="48" t="n"/>
      <c r="D713" s="48" t="n"/>
      <c r="E713" s="38" t="n"/>
      <c r="F713" s="38" t="n"/>
      <c r="G713" s="38" t="n"/>
      <c r="H713" s="49">
        <f>IF(B713="","",IFERROR(INDEX('JOBS'!$D$5:$D$1504,MATCH(B713,'JOBS'!$A$5:$A$1504,0)),"Job ID not found"))</f>
        <v/>
      </c>
      <c r="I713" s="49">
        <f>IF(B713="","",IFERROR(INDEX('JOBS'!$F$5:$F$1504,MATCH(B713,'JOBS'!$A$5:$A$1504,0)),""))</f>
        <v/>
      </c>
      <c r="J713" s="55">
        <f>IF(C713="","",ROUND(C713*IF(IFERROR(INDEX('SETTINGS'!$K$5:$K$24,MATCH(E713,'SETTINGS'!$J$5:$J$24,0)),"No")="Yes",FeePct,0),2))</f>
        <v/>
      </c>
      <c r="K713" s="51">
        <f>IF(A713="","",DATE(YEAR(A713),MONTH(A713),1))</f>
        <v/>
      </c>
    </row>
    <row r="714">
      <c r="A714" s="47" t="n"/>
      <c r="B714" s="38" t="n"/>
      <c r="C714" s="48" t="n"/>
      <c r="D714" s="48" t="n"/>
      <c r="E714" s="38" t="n"/>
      <c r="F714" s="38" t="n"/>
      <c r="G714" s="38" t="n"/>
      <c r="H714" s="49">
        <f>IF(B714="","",IFERROR(INDEX('JOBS'!$D$5:$D$1504,MATCH(B714,'JOBS'!$A$5:$A$1504,0)),"Job ID not found"))</f>
        <v/>
      </c>
      <c r="I714" s="49">
        <f>IF(B714="","",IFERROR(INDEX('JOBS'!$F$5:$F$1504,MATCH(B714,'JOBS'!$A$5:$A$1504,0)),""))</f>
        <v/>
      </c>
      <c r="J714" s="55">
        <f>IF(C714="","",ROUND(C714*IF(IFERROR(INDEX('SETTINGS'!$K$5:$K$24,MATCH(E714,'SETTINGS'!$J$5:$J$24,0)),"No")="Yes",FeePct,0),2))</f>
        <v/>
      </c>
      <c r="K714" s="51">
        <f>IF(A714="","",DATE(YEAR(A714),MONTH(A714),1))</f>
        <v/>
      </c>
    </row>
    <row r="715">
      <c r="A715" s="47" t="n"/>
      <c r="B715" s="38" t="n"/>
      <c r="C715" s="48" t="n"/>
      <c r="D715" s="48" t="n"/>
      <c r="E715" s="38" t="n"/>
      <c r="F715" s="38" t="n"/>
      <c r="G715" s="38" t="n"/>
      <c r="H715" s="49">
        <f>IF(B715="","",IFERROR(INDEX('JOBS'!$D$5:$D$1504,MATCH(B715,'JOBS'!$A$5:$A$1504,0)),"Job ID not found"))</f>
        <v/>
      </c>
      <c r="I715" s="49">
        <f>IF(B715="","",IFERROR(INDEX('JOBS'!$F$5:$F$1504,MATCH(B715,'JOBS'!$A$5:$A$1504,0)),""))</f>
        <v/>
      </c>
      <c r="J715" s="55">
        <f>IF(C715="","",ROUND(C715*IF(IFERROR(INDEX('SETTINGS'!$K$5:$K$24,MATCH(E715,'SETTINGS'!$J$5:$J$24,0)),"No")="Yes",FeePct,0),2))</f>
        <v/>
      </c>
      <c r="K715" s="51">
        <f>IF(A715="","",DATE(YEAR(A715),MONTH(A715),1))</f>
        <v/>
      </c>
    </row>
    <row r="716">
      <c r="A716" s="47" t="n"/>
      <c r="B716" s="38" t="n"/>
      <c r="C716" s="48" t="n"/>
      <c r="D716" s="48" t="n"/>
      <c r="E716" s="38" t="n"/>
      <c r="F716" s="38" t="n"/>
      <c r="G716" s="38" t="n"/>
      <c r="H716" s="49">
        <f>IF(B716="","",IFERROR(INDEX('JOBS'!$D$5:$D$1504,MATCH(B716,'JOBS'!$A$5:$A$1504,0)),"Job ID not found"))</f>
        <v/>
      </c>
      <c r="I716" s="49">
        <f>IF(B716="","",IFERROR(INDEX('JOBS'!$F$5:$F$1504,MATCH(B716,'JOBS'!$A$5:$A$1504,0)),""))</f>
        <v/>
      </c>
      <c r="J716" s="55">
        <f>IF(C716="","",ROUND(C716*IF(IFERROR(INDEX('SETTINGS'!$K$5:$K$24,MATCH(E716,'SETTINGS'!$J$5:$J$24,0)),"No")="Yes",FeePct,0),2))</f>
        <v/>
      </c>
      <c r="K716" s="51">
        <f>IF(A716="","",DATE(YEAR(A716),MONTH(A716),1))</f>
        <v/>
      </c>
    </row>
    <row r="717">
      <c r="A717" s="47" t="n"/>
      <c r="B717" s="38" t="n"/>
      <c r="C717" s="48" t="n"/>
      <c r="D717" s="48" t="n"/>
      <c r="E717" s="38" t="n"/>
      <c r="F717" s="38" t="n"/>
      <c r="G717" s="38" t="n"/>
      <c r="H717" s="49">
        <f>IF(B717="","",IFERROR(INDEX('JOBS'!$D$5:$D$1504,MATCH(B717,'JOBS'!$A$5:$A$1504,0)),"Job ID not found"))</f>
        <v/>
      </c>
      <c r="I717" s="49">
        <f>IF(B717="","",IFERROR(INDEX('JOBS'!$F$5:$F$1504,MATCH(B717,'JOBS'!$A$5:$A$1504,0)),""))</f>
        <v/>
      </c>
      <c r="J717" s="55">
        <f>IF(C717="","",ROUND(C717*IF(IFERROR(INDEX('SETTINGS'!$K$5:$K$24,MATCH(E717,'SETTINGS'!$J$5:$J$24,0)),"No")="Yes",FeePct,0),2))</f>
        <v/>
      </c>
      <c r="K717" s="51">
        <f>IF(A717="","",DATE(YEAR(A717),MONTH(A717),1))</f>
        <v/>
      </c>
    </row>
    <row r="718">
      <c r="A718" s="47" t="n"/>
      <c r="B718" s="38" t="n"/>
      <c r="C718" s="48" t="n"/>
      <c r="D718" s="48" t="n"/>
      <c r="E718" s="38" t="n"/>
      <c r="F718" s="38" t="n"/>
      <c r="G718" s="38" t="n"/>
      <c r="H718" s="49">
        <f>IF(B718="","",IFERROR(INDEX('JOBS'!$D$5:$D$1504,MATCH(B718,'JOBS'!$A$5:$A$1504,0)),"Job ID not found"))</f>
        <v/>
      </c>
      <c r="I718" s="49">
        <f>IF(B718="","",IFERROR(INDEX('JOBS'!$F$5:$F$1504,MATCH(B718,'JOBS'!$A$5:$A$1504,0)),""))</f>
        <v/>
      </c>
      <c r="J718" s="55">
        <f>IF(C718="","",ROUND(C718*IF(IFERROR(INDEX('SETTINGS'!$K$5:$K$24,MATCH(E718,'SETTINGS'!$J$5:$J$24,0)),"No")="Yes",FeePct,0),2))</f>
        <v/>
      </c>
      <c r="K718" s="51">
        <f>IF(A718="","",DATE(YEAR(A718),MONTH(A718),1))</f>
        <v/>
      </c>
    </row>
    <row r="719">
      <c r="A719" s="47" t="n"/>
      <c r="B719" s="38" t="n"/>
      <c r="C719" s="48" t="n"/>
      <c r="D719" s="48" t="n"/>
      <c r="E719" s="38" t="n"/>
      <c r="F719" s="38" t="n"/>
      <c r="G719" s="38" t="n"/>
      <c r="H719" s="49">
        <f>IF(B719="","",IFERROR(INDEX('JOBS'!$D$5:$D$1504,MATCH(B719,'JOBS'!$A$5:$A$1504,0)),"Job ID not found"))</f>
        <v/>
      </c>
      <c r="I719" s="49">
        <f>IF(B719="","",IFERROR(INDEX('JOBS'!$F$5:$F$1504,MATCH(B719,'JOBS'!$A$5:$A$1504,0)),""))</f>
        <v/>
      </c>
      <c r="J719" s="55">
        <f>IF(C719="","",ROUND(C719*IF(IFERROR(INDEX('SETTINGS'!$K$5:$K$24,MATCH(E719,'SETTINGS'!$J$5:$J$24,0)),"No")="Yes",FeePct,0),2))</f>
        <v/>
      </c>
      <c r="K719" s="51">
        <f>IF(A719="","",DATE(YEAR(A719),MONTH(A719),1))</f>
        <v/>
      </c>
    </row>
    <row r="720">
      <c r="A720" s="47" t="n"/>
      <c r="B720" s="38" t="n"/>
      <c r="C720" s="48" t="n"/>
      <c r="D720" s="48" t="n"/>
      <c r="E720" s="38" t="n"/>
      <c r="F720" s="38" t="n"/>
      <c r="G720" s="38" t="n"/>
      <c r="H720" s="49">
        <f>IF(B720="","",IFERROR(INDEX('JOBS'!$D$5:$D$1504,MATCH(B720,'JOBS'!$A$5:$A$1504,0)),"Job ID not found"))</f>
        <v/>
      </c>
      <c r="I720" s="49">
        <f>IF(B720="","",IFERROR(INDEX('JOBS'!$F$5:$F$1504,MATCH(B720,'JOBS'!$A$5:$A$1504,0)),""))</f>
        <v/>
      </c>
      <c r="J720" s="55">
        <f>IF(C720="","",ROUND(C720*IF(IFERROR(INDEX('SETTINGS'!$K$5:$K$24,MATCH(E720,'SETTINGS'!$J$5:$J$24,0)),"No")="Yes",FeePct,0),2))</f>
        <v/>
      </c>
      <c r="K720" s="51">
        <f>IF(A720="","",DATE(YEAR(A720),MONTH(A720),1))</f>
        <v/>
      </c>
    </row>
    <row r="721">
      <c r="A721" s="47" t="n"/>
      <c r="B721" s="38" t="n"/>
      <c r="C721" s="48" t="n"/>
      <c r="D721" s="48" t="n"/>
      <c r="E721" s="38" t="n"/>
      <c r="F721" s="38" t="n"/>
      <c r="G721" s="38" t="n"/>
      <c r="H721" s="49">
        <f>IF(B721="","",IFERROR(INDEX('JOBS'!$D$5:$D$1504,MATCH(B721,'JOBS'!$A$5:$A$1504,0)),"Job ID not found"))</f>
        <v/>
      </c>
      <c r="I721" s="49">
        <f>IF(B721="","",IFERROR(INDEX('JOBS'!$F$5:$F$1504,MATCH(B721,'JOBS'!$A$5:$A$1504,0)),""))</f>
        <v/>
      </c>
      <c r="J721" s="55">
        <f>IF(C721="","",ROUND(C721*IF(IFERROR(INDEX('SETTINGS'!$K$5:$K$24,MATCH(E721,'SETTINGS'!$J$5:$J$24,0)),"No")="Yes",FeePct,0),2))</f>
        <v/>
      </c>
      <c r="K721" s="51">
        <f>IF(A721="","",DATE(YEAR(A721),MONTH(A721),1))</f>
        <v/>
      </c>
    </row>
    <row r="722">
      <c r="A722" s="47" t="n"/>
      <c r="B722" s="38" t="n"/>
      <c r="C722" s="48" t="n"/>
      <c r="D722" s="48" t="n"/>
      <c r="E722" s="38" t="n"/>
      <c r="F722" s="38" t="n"/>
      <c r="G722" s="38" t="n"/>
      <c r="H722" s="49">
        <f>IF(B722="","",IFERROR(INDEX('JOBS'!$D$5:$D$1504,MATCH(B722,'JOBS'!$A$5:$A$1504,0)),"Job ID not found"))</f>
        <v/>
      </c>
      <c r="I722" s="49">
        <f>IF(B722="","",IFERROR(INDEX('JOBS'!$F$5:$F$1504,MATCH(B722,'JOBS'!$A$5:$A$1504,0)),""))</f>
        <v/>
      </c>
      <c r="J722" s="55">
        <f>IF(C722="","",ROUND(C722*IF(IFERROR(INDEX('SETTINGS'!$K$5:$K$24,MATCH(E722,'SETTINGS'!$J$5:$J$24,0)),"No")="Yes",FeePct,0),2))</f>
        <v/>
      </c>
      <c r="K722" s="51">
        <f>IF(A722="","",DATE(YEAR(A722),MONTH(A722),1))</f>
        <v/>
      </c>
    </row>
    <row r="723">
      <c r="A723" s="47" t="n"/>
      <c r="B723" s="38" t="n"/>
      <c r="C723" s="48" t="n"/>
      <c r="D723" s="48" t="n"/>
      <c r="E723" s="38" t="n"/>
      <c r="F723" s="38" t="n"/>
      <c r="G723" s="38" t="n"/>
      <c r="H723" s="49">
        <f>IF(B723="","",IFERROR(INDEX('JOBS'!$D$5:$D$1504,MATCH(B723,'JOBS'!$A$5:$A$1504,0)),"Job ID not found"))</f>
        <v/>
      </c>
      <c r="I723" s="49">
        <f>IF(B723="","",IFERROR(INDEX('JOBS'!$F$5:$F$1504,MATCH(B723,'JOBS'!$A$5:$A$1504,0)),""))</f>
        <v/>
      </c>
      <c r="J723" s="55">
        <f>IF(C723="","",ROUND(C723*IF(IFERROR(INDEX('SETTINGS'!$K$5:$K$24,MATCH(E723,'SETTINGS'!$J$5:$J$24,0)),"No")="Yes",FeePct,0),2))</f>
        <v/>
      </c>
      <c r="K723" s="51">
        <f>IF(A723="","",DATE(YEAR(A723),MONTH(A723),1))</f>
        <v/>
      </c>
    </row>
    <row r="724">
      <c r="A724" s="47" t="n"/>
      <c r="B724" s="38" t="n"/>
      <c r="C724" s="48" t="n"/>
      <c r="D724" s="48" t="n"/>
      <c r="E724" s="38" t="n"/>
      <c r="F724" s="38" t="n"/>
      <c r="G724" s="38" t="n"/>
      <c r="H724" s="49">
        <f>IF(B724="","",IFERROR(INDEX('JOBS'!$D$5:$D$1504,MATCH(B724,'JOBS'!$A$5:$A$1504,0)),"Job ID not found"))</f>
        <v/>
      </c>
      <c r="I724" s="49">
        <f>IF(B724="","",IFERROR(INDEX('JOBS'!$F$5:$F$1504,MATCH(B724,'JOBS'!$A$5:$A$1504,0)),""))</f>
        <v/>
      </c>
      <c r="J724" s="55">
        <f>IF(C724="","",ROUND(C724*IF(IFERROR(INDEX('SETTINGS'!$K$5:$K$24,MATCH(E724,'SETTINGS'!$J$5:$J$24,0)),"No")="Yes",FeePct,0),2))</f>
        <v/>
      </c>
      <c r="K724" s="51">
        <f>IF(A724="","",DATE(YEAR(A724),MONTH(A724),1))</f>
        <v/>
      </c>
    </row>
    <row r="725">
      <c r="A725" s="47" t="n"/>
      <c r="B725" s="38" t="n"/>
      <c r="C725" s="48" t="n"/>
      <c r="D725" s="48" t="n"/>
      <c r="E725" s="38" t="n"/>
      <c r="F725" s="38" t="n"/>
      <c r="G725" s="38" t="n"/>
      <c r="H725" s="49">
        <f>IF(B725="","",IFERROR(INDEX('JOBS'!$D$5:$D$1504,MATCH(B725,'JOBS'!$A$5:$A$1504,0)),"Job ID not found"))</f>
        <v/>
      </c>
      <c r="I725" s="49">
        <f>IF(B725="","",IFERROR(INDEX('JOBS'!$F$5:$F$1504,MATCH(B725,'JOBS'!$A$5:$A$1504,0)),""))</f>
        <v/>
      </c>
      <c r="J725" s="55">
        <f>IF(C725="","",ROUND(C725*IF(IFERROR(INDEX('SETTINGS'!$K$5:$K$24,MATCH(E725,'SETTINGS'!$J$5:$J$24,0)),"No")="Yes",FeePct,0),2))</f>
        <v/>
      </c>
      <c r="K725" s="51">
        <f>IF(A725="","",DATE(YEAR(A725),MONTH(A725),1))</f>
        <v/>
      </c>
    </row>
    <row r="726">
      <c r="A726" s="47" t="n"/>
      <c r="B726" s="38" t="n"/>
      <c r="C726" s="48" t="n"/>
      <c r="D726" s="48" t="n"/>
      <c r="E726" s="38" t="n"/>
      <c r="F726" s="38" t="n"/>
      <c r="G726" s="38" t="n"/>
      <c r="H726" s="49">
        <f>IF(B726="","",IFERROR(INDEX('JOBS'!$D$5:$D$1504,MATCH(B726,'JOBS'!$A$5:$A$1504,0)),"Job ID not found"))</f>
        <v/>
      </c>
      <c r="I726" s="49">
        <f>IF(B726="","",IFERROR(INDEX('JOBS'!$F$5:$F$1504,MATCH(B726,'JOBS'!$A$5:$A$1504,0)),""))</f>
        <v/>
      </c>
      <c r="J726" s="55">
        <f>IF(C726="","",ROUND(C726*IF(IFERROR(INDEX('SETTINGS'!$K$5:$K$24,MATCH(E726,'SETTINGS'!$J$5:$J$24,0)),"No")="Yes",FeePct,0),2))</f>
        <v/>
      </c>
      <c r="K726" s="51">
        <f>IF(A726="","",DATE(YEAR(A726),MONTH(A726),1))</f>
        <v/>
      </c>
    </row>
    <row r="727">
      <c r="A727" s="47" t="n"/>
      <c r="B727" s="38" t="n"/>
      <c r="C727" s="48" t="n"/>
      <c r="D727" s="48" t="n"/>
      <c r="E727" s="38" t="n"/>
      <c r="F727" s="38" t="n"/>
      <c r="G727" s="38" t="n"/>
      <c r="H727" s="49">
        <f>IF(B727="","",IFERROR(INDEX('JOBS'!$D$5:$D$1504,MATCH(B727,'JOBS'!$A$5:$A$1504,0)),"Job ID not found"))</f>
        <v/>
      </c>
      <c r="I727" s="49">
        <f>IF(B727="","",IFERROR(INDEX('JOBS'!$F$5:$F$1504,MATCH(B727,'JOBS'!$A$5:$A$1504,0)),""))</f>
        <v/>
      </c>
      <c r="J727" s="55">
        <f>IF(C727="","",ROUND(C727*IF(IFERROR(INDEX('SETTINGS'!$K$5:$K$24,MATCH(E727,'SETTINGS'!$J$5:$J$24,0)),"No")="Yes",FeePct,0),2))</f>
        <v/>
      </c>
      <c r="K727" s="51">
        <f>IF(A727="","",DATE(YEAR(A727),MONTH(A727),1))</f>
        <v/>
      </c>
    </row>
    <row r="728">
      <c r="A728" s="47" t="n"/>
      <c r="B728" s="38" t="n"/>
      <c r="C728" s="48" t="n"/>
      <c r="D728" s="48" t="n"/>
      <c r="E728" s="38" t="n"/>
      <c r="F728" s="38" t="n"/>
      <c r="G728" s="38" t="n"/>
      <c r="H728" s="49">
        <f>IF(B728="","",IFERROR(INDEX('JOBS'!$D$5:$D$1504,MATCH(B728,'JOBS'!$A$5:$A$1504,0)),"Job ID not found"))</f>
        <v/>
      </c>
      <c r="I728" s="49">
        <f>IF(B728="","",IFERROR(INDEX('JOBS'!$F$5:$F$1504,MATCH(B728,'JOBS'!$A$5:$A$1504,0)),""))</f>
        <v/>
      </c>
      <c r="J728" s="55">
        <f>IF(C728="","",ROUND(C728*IF(IFERROR(INDEX('SETTINGS'!$K$5:$K$24,MATCH(E728,'SETTINGS'!$J$5:$J$24,0)),"No")="Yes",FeePct,0),2))</f>
        <v/>
      </c>
      <c r="K728" s="51">
        <f>IF(A728="","",DATE(YEAR(A728),MONTH(A728),1))</f>
        <v/>
      </c>
    </row>
    <row r="729">
      <c r="A729" s="47" t="n"/>
      <c r="B729" s="38" t="n"/>
      <c r="C729" s="48" t="n"/>
      <c r="D729" s="48" t="n"/>
      <c r="E729" s="38" t="n"/>
      <c r="F729" s="38" t="n"/>
      <c r="G729" s="38" t="n"/>
      <c r="H729" s="49">
        <f>IF(B729="","",IFERROR(INDEX('JOBS'!$D$5:$D$1504,MATCH(B729,'JOBS'!$A$5:$A$1504,0)),"Job ID not found"))</f>
        <v/>
      </c>
      <c r="I729" s="49">
        <f>IF(B729="","",IFERROR(INDEX('JOBS'!$F$5:$F$1504,MATCH(B729,'JOBS'!$A$5:$A$1504,0)),""))</f>
        <v/>
      </c>
      <c r="J729" s="55">
        <f>IF(C729="","",ROUND(C729*IF(IFERROR(INDEX('SETTINGS'!$K$5:$K$24,MATCH(E729,'SETTINGS'!$J$5:$J$24,0)),"No")="Yes",FeePct,0),2))</f>
        <v/>
      </c>
      <c r="K729" s="51">
        <f>IF(A729="","",DATE(YEAR(A729),MONTH(A729),1))</f>
        <v/>
      </c>
    </row>
    <row r="730">
      <c r="A730" s="47" t="n"/>
      <c r="B730" s="38" t="n"/>
      <c r="C730" s="48" t="n"/>
      <c r="D730" s="48" t="n"/>
      <c r="E730" s="38" t="n"/>
      <c r="F730" s="38" t="n"/>
      <c r="G730" s="38" t="n"/>
      <c r="H730" s="49">
        <f>IF(B730="","",IFERROR(INDEX('JOBS'!$D$5:$D$1504,MATCH(B730,'JOBS'!$A$5:$A$1504,0)),"Job ID not found"))</f>
        <v/>
      </c>
      <c r="I730" s="49">
        <f>IF(B730="","",IFERROR(INDEX('JOBS'!$F$5:$F$1504,MATCH(B730,'JOBS'!$A$5:$A$1504,0)),""))</f>
        <v/>
      </c>
      <c r="J730" s="55">
        <f>IF(C730="","",ROUND(C730*IF(IFERROR(INDEX('SETTINGS'!$K$5:$K$24,MATCH(E730,'SETTINGS'!$J$5:$J$24,0)),"No")="Yes",FeePct,0),2))</f>
        <v/>
      </c>
      <c r="K730" s="51">
        <f>IF(A730="","",DATE(YEAR(A730),MONTH(A730),1))</f>
        <v/>
      </c>
    </row>
    <row r="731">
      <c r="A731" s="47" t="n"/>
      <c r="B731" s="38" t="n"/>
      <c r="C731" s="48" t="n"/>
      <c r="D731" s="48" t="n"/>
      <c r="E731" s="38" t="n"/>
      <c r="F731" s="38" t="n"/>
      <c r="G731" s="38" t="n"/>
      <c r="H731" s="49">
        <f>IF(B731="","",IFERROR(INDEX('JOBS'!$D$5:$D$1504,MATCH(B731,'JOBS'!$A$5:$A$1504,0)),"Job ID not found"))</f>
        <v/>
      </c>
      <c r="I731" s="49">
        <f>IF(B731="","",IFERROR(INDEX('JOBS'!$F$5:$F$1504,MATCH(B731,'JOBS'!$A$5:$A$1504,0)),""))</f>
        <v/>
      </c>
      <c r="J731" s="55">
        <f>IF(C731="","",ROUND(C731*IF(IFERROR(INDEX('SETTINGS'!$K$5:$K$24,MATCH(E731,'SETTINGS'!$J$5:$J$24,0)),"No")="Yes",FeePct,0),2))</f>
        <v/>
      </c>
      <c r="K731" s="51">
        <f>IF(A731="","",DATE(YEAR(A731),MONTH(A731),1))</f>
        <v/>
      </c>
    </row>
    <row r="732">
      <c r="A732" s="47" t="n"/>
      <c r="B732" s="38" t="n"/>
      <c r="C732" s="48" t="n"/>
      <c r="D732" s="48" t="n"/>
      <c r="E732" s="38" t="n"/>
      <c r="F732" s="38" t="n"/>
      <c r="G732" s="38" t="n"/>
      <c r="H732" s="49">
        <f>IF(B732="","",IFERROR(INDEX('JOBS'!$D$5:$D$1504,MATCH(B732,'JOBS'!$A$5:$A$1504,0)),"Job ID not found"))</f>
        <v/>
      </c>
      <c r="I732" s="49">
        <f>IF(B732="","",IFERROR(INDEX('JOBS'!$F$5:$F$1504,MATCH(B732,'JOBS'!$A$5:$A$1504,0)),""))</f>
        <v/>
      </c>
      <c r="J732" s="55">
        <f>IF(C732="","",ROUND(C732*IF(IFERROR(INDEX('SETTINGS'!$K$5:$K$24,MATCH(E732,'SETTINGS'!$J$5:$J$24,0)),"No")="Yes",FeePct,0),2))</f>
        <v/>
      </c>
      <c r="K732" s="51">
        <f>IF(A732="","",DATE(YEAR(A732),MONTH(A732),1))</f>
        <v/>
      </c>
    </row>
    <row r="733">
      <c r="A733" s="47" t="n"/>
      <c r="B733" s="38" t="n"/>
      <c r="C733" s="48" t="n"/>
      <c r="D733" s="48" t="n"/>
      <c r="E733" s="38" t="n"/>
      <c r="F733" s="38" t="n"/>
      <c r="G733" s="38" t="n"/>
      <c r="H733" s="49">
        <f>IF(B733="","",IFERROR(INDEX('JOBS'!$D$5:$D$1504,MATCH(B733,'JOBS'!$A$5:$A$1504,0)),"Job ID not found"))</f>
        <v/>
      </c>
      <c r="I733" s="49">
        <f>IF(B733="","",IFERROR(INDEX('JOBS'!$F$5:$F$1504,MATCH(B733,'JOBS'!$A$5:$A$1504,0)),""))</f>
        <v/>
      </c>
      <c r="J733" s="55">
        <f>IF(C733="","",ROUND(C733*IF(IFERROR(INDEX('SETTINGS'!$K$5:$K$24,MATCH(E733,'SETTINGS'!$J$5:$J$24,0)),"No")="Yes",FeePct,0),2))</f>
        <v/>
      </c>
      <c r="K733" s="51">
        <f>IF(A733="","",DATE(YEAR(A733),MONTH(A733),1))</f>
        <v/>
      </c>
    </row>
    <row r="734">
      <c r="A734" s="47" t="n"/>
      <c r="B734" s="38" t="n"/>
      <c r="C734" s="48" t="n"/>
      <c r="D734" s="48" t="n"/>
      <c r="E734" s="38" t="n"/>
      <c r="F734" s="38" t="n"/>
      <c r="G734" s="38" t="n"/>
      <c r="H734" s="49">
        <f>IF(B734="","",IFERROR(INDEX('JOBS'!$D$5:$D$1504,MATCH(B734,'JOBS'!$A$5:$A$1504,0)),"Job ID not found"))</f>
        <v/>
      </c>
      <c r="I734" s="49">
        <f>IF(B734="","",IFERROR(INDEX('JOBS'!$F$5:$F$1504,MATCH(B734,'JOBS'!$A$5:$A$1504,0)),""))</f>
        <v/>
      </c>
      <c r="J734" s="55">
        <f>IF(C734="","",ROUND(C734*IF(IFERROR(INDEX('SETTINGS'!$K$5:$K$24,MATCH(E734,'SETTINGS'!$J$5:$J$24,0)),"No")="Yes",FeePct,0),2))</f>
        <v/>
      </c>
      <c r="K734" s="51">
        <f>IF(A734="","",DATE(YEAR(A734),MONTH(A734),1))</f>
        <v/>
      </c>
    </row>
    <row r="735">
      <c r="A735" s="47" t="n"/>
      <c r="B735" s="38" t="n"/>
      <c r="C735" s="48" t="n"/>
      <c r="D735" s="48" t="n"/>
      <c r="E735" s="38" t="n"/>
      <c r="F735" s="38" t="n"/>
      <c r="G735" s="38" t="n"/>
      <c r="H735" s="49">
        <f>IF(B735="","",IFERROR(INDEX('JOBS'!$D$5:$D$1504,MATCH(B735,'JOBS'!$A$5:$A$1504,0)),"Job ID not found"))</f>
        <v/>
      </c>
      <c r="I735" s="49">
        <f>IF(B735="","",IFERROR(INDEX('JOBS'!$F$5:$F$1504,MATCH(B735,'JOBS'!$A$5:$A$1504,0)),""))</f>
        <v/>
      </c>
      <c r="J735" s="55">
        <f>IF(C735="","",ROUND(C735*IF(IFERROR(INDEX('SETTINGS'!$K$5:$K$24,MATCH(E735,'SETTINGS'!$J$5:$J$24,0)),"No")="Yes",FeePct,0),2))</f>
        <v/>
      </c>
      <c r="K735" s="51">
        <f>IF(A735="","",DATE(YEAR(A735),MONTH(A735),1))</f>
        <v/>
      </c>
    </row>
    <row r="736">
      <c r="A736" s="47" t="n"/>
      <c r="B736" s="38" t="n"/>
      <c r="C736" s="48" t="n"/>
      <c r="D736" s="48" t="n"/>
      <c r="E736" s="38" t="n"/>
      <c r="F736" s="38" t="n"/>
      <c r="G736" s="38" t="n"/>
      <c r="H736" s="49">
        <f>IF(B736="","",IFERROR(INDEX('JOBS'!$D$5:$D$1504,MATCH(B736,'JOBS'!$A$5:$A$1504,0)),"Job ID not found"))</f>
        <v/>
      </c>
      <c r="I736" s="49">
        <f>IF(B736="","",IFERROR(INDEX('JOBS'!$F$5:$F$1504,MATCH(B736,'JOBS'!$A$5:$A$1504,0)),""))</f>
        <v/>
      </c>
      <c r="J736" s="55">
        <f>IF(C736="","",ROUND(C736*IF(IFERROR(INDEX('SETTINGS'!$K$5:$K$24,MATCH(E736,'SETTINGS'!$J$5:$J$24,0)),"No")="Yes",FeePct,0),2))</f>
        <v/>
      </c>
      <c r="K736" s="51">
        <f>IF(A736="","",DATE(YEAR(A736),MONTH(A736),1))</f>
        <v/>
      </c>
    </row>
    <row r="737">
      <c r="A737" s="47" t="n"/>
      <c r="B737" s="38" t="n"/>
      <c r="C737" s="48" t="n"/>
      <c r="D737" s="48" t="n"/>
      <c r="E737" s="38" t="n"/>
      <c r="F737" s="38" t="n"/>
      <c r="G737" s="38" t="n"/>
      <c r="H737" s="49">
        <f>IF(B737="","",IFERROR(INDEX('JOBS'!$D$5:$D$1504,MATCH(B737,'JOBS'!$A$5:$A$1504,0)),"Job ID not found"))</f>
        <v/>
      </c>
      <c r="I737" s="49">
        <f>IF(B737="","",IFERROR(INDEX('JOBS'!$F$5:$F$1504,MATCH(B737,'JOBS'!$A$5:$A$1504,0)),""))</f>
        <v/>
      </c>
      <c r="J737" s="55">
        <f>IF(C737="","",ROUND(C737*IF(IFERROR(INDEX('SETTINGS'!$K$5:$K$24,MATCH(E737,'SETTINGS'!$J$5:$J$24,0)),"No")="Yes",FeePct,0),2))</f>
        <v/>
      </c>
      <c r="K737" s="51">
        <f>IF(A737="","",DATE(YEAR(A737),MONTH(A737),1))</f>
        <v/>
      </c>
    </row>
    <row r="738">
      <c r="A738" s="47" t="n"/>
      <c r="B738" s="38" t="n"/>
      <c r="C738" s="48" t="n"/>
      <c r="D738" s="48" t="n"/>
      <c r="E738" s="38" t="n"/>
      <c r="F738" s="38" t="n"/>
      <c r="G738" s="38" t="n"/>
      <c r="H738" s="49">
        <f>IF(B738="","",IFERROR(INDEX('JOBS'!$D$5:$D$1504,MATCH(B738,'JOBS'!$A$5:$A$1504,0)),"Job ID not found"))</f>
        <v/>
      </c>
      <c r="I738" s="49">
        <f>IF(B738="","",IFERROR(INDEX('JOBS'!$F$5:$F$1504,MATCH(B738,'JOBS'!$A$5:$A$1504,0)),""))</f>
        <v/>
      </c>
      <c r="J738" s="55">
        <f>IF(C738="","",ROUND(C738*IF(IFERROR(INDEX('SETTINGS'!$K$5:$K$24,MATCH(E738,'SETTINGS'!$J$5:$J$24,0)),"No")="Yes",FeePct,0),2))</f>
        <v/>
      </c>
      <c r="K738" s="51">
        <f>IF(A738="","",DATE(YEAR(A738),MONTH(A738),1))</f>
        <v/>
      </c>
    </row>
    <row r="739">
      <c r="A739" s="47" t="n"/>
      <c r="B739" s="38" t="n"/>
      <c r="C739" s="48" t="n"/>
      <c r="D739" s="48" t="n"/>
      <c r="E739" s="38" t="n"/>
      <c r="F739" s="38" t="n"/>
      <c r="G739" s="38" t="n"/>
      <c r="H739" s="49">
        <f>IF(B739="","",IFERROR(INDEX('JOBS'!$D$5:$D$1504,MATCH(B739,'JOBS'!$A$5:$A$1504,0)),"Job ID not found"))</f>
        <v/>
      </c>
      <c r="I739" s="49">
        <f>IF(B739="","",IFERROR(INDEX('JOBS'!$F$5:$F$1504,MATCH(B739,'JOBS'!$A$5:$A$1504,0)),""))</f>
        <v/>
      </c>
      <c r="J739" s="55">
        <f>IF(C739="","",ROUND(C739*IF(IFERROR(INDEX('SETTINGS'!$K$5:$K$24,MATCH(E739,'SETTINGS'!$J$5:$J$24,0)),"No")="Yes",FeePct,0),2))</f>
        <v/>
      </c>
      <c r="K739" s="51">
        <f>IF(A739="","",DATE(YEAR(A739),MONTH(A739),1))</f>
        <v/>
      </c>
    </row>
    <row r="740">
      <c r="A740" s="47" t="n"/>
      <c r="B740" s="38" t="n"/>
      <c r="C740" s="48" t="n"/>
      <c r="D740" s="48" t="n"/>
      <c r="E740" s="38" t="n"/>
      <c r="F740" s="38" t="n"/>
      <c r="G740" s="38" t="n"/>
      <c r="H740" s="49">
        <f>IF(B740="","",IFERROR(INDEX('JOBS'!$D$5:$D$1504,MATCH(B740,'JOBS'!$A$5:$A$1504,0)),"Job ID not found"))</f>
        <v/>
      </c>
      <c r="I740" s="49">
        <f>IF(B740="","",IFERROR(INDEX('JOBS'!$F$5:$F$1504,MATCH(B740,'JOBS'!$A$5:$A$1504,0)),""))</f>
        <v/>
      </c>
      <c r="J740" s="55">
        <f>IF(C740="","",ROUND(C740*IF(IFERROR(INDEX('SETTINGS'!$K$5:$K$24,MATCH(E740,'SETTINGS'!$J$5:$J$24,0)),"No")="Yes",FeePct,0),2))</f>
        <v/>
      </c>
      <c r="K740" s="51">
        <f>IF(A740="","",DATE(YEAR(A740),MONTH(A740),1))</f>
        <v/>
      </c>
    </row>
    <row r="741">
      <c r="A741" s="47" t="n"/>
      <c r="B741" s="38" t="n"/>
      <c r="C741" s="48" t="n"/>
      <c r="D741" s="48" t="n"/>
      <c r="E741" s="38" t="n"/>
      <c r="F741" s="38" t="n"/>
      <c r="G741" s="38" t="n"/>
      <c r="H741" s="49">
        <f>IF(B741="","",IFERROR(INDEX('JOBS'!$D$5:$D$1504,MATCH(B741,'JOBS'!$A$5:$A$1504,0)),"Job ID not found"))</f>
        <v/>
      </c>
      <c r="I741" s="49">
        <f>IF(B741="","",IFERROR(INDEX('JOBS'!$F$5:$F$1504,MATCH(B741,'JOBS'!$A$5:$A$1504,0)),""))</f>
        <v/>
      </c>
      <c r="J741" s="55">
        <f>IF(C741="","",ROUND(C741*IF(IFERROR(INDEX('SETTINGS'!$K$5:$K$24,MATCH(E741,'SETTINGS'!$J$5:$J$24,0)),"No")="Yes",FeePct,0),2))</f>
        <v/>
      </c>
      <c r="K741" s="51">
        <f>IF(A741="","",DATE(YEAR(A741),MONTH(A741),1))</f>
        <v/>
      </c>
    </row>
    <row r="742">
      <c r="A742" s="47" t="n"/>
      <c r="B742" s="38" t="n"/>
      <c r="C742" s="48" t="n"/>
      <c r="D742" s="48" t="n"/>
      <c r="E742" s="38" t="n"/>
      <c r="F742" s="38" t="n"/>
      <c r="G742" s="38" t="n"/>
      <c r="H742" s="49">
        <f>IF(B742="","",IFERROR(INDEX('JOBS'!$D$5:$D$1504,MATCH(B742,'JOBS'!$A$5:$A$1504,0)),"Job ID not found"))</f>
        <v/>
      </c>
      <c r="I742" s="49">
        <f>IF(B742="","",IFERROR(INDEX('JOBS'!$F$5:$F$1504,MATCH(B742,'JOBS'!$A$5:$A$1504,0)),""))</f>
        <v/>
      </c>
      <c r="J742" s="55">
        <f>IF(C742="","",ROUND(C742*IF(IFERROR(INDEX('SETTINGS'!$K$5:$K$24,MATCH(E742,'SETTINGS'!$J$5:$J$24,0)),"No")="Yes",FeePct,0),2))</f>
        <v/>
      </c>
      <c r="K742" s="51">
        <f>IF(A742="","",DATE(YEAR(A742),MONTH(A742),1))</f>
        <v/>
      </c>
    </row>
    <row r="743">
      <c r="A743" s="47" t="n"/>
      <c r="B743" s="38" t="n"/>
      <c r="C743" s="48" t="n"/>
      <c r="D743" s="48" t="n"/>
      <c r="E743" s="38" t="n"/>
      <c r="F743" s="38" t="n"/>
      <c r="G743" s="38" t="n"/>
      <c r="H743" s="49">
        <f>IF(B743="","",IFERROR(INDEX('JOBS'!$D$5:$D$1504,MATCH(B743,'JOBS'!$A$5:$A$1504,0)),"Job ID not found"))</f>
        <v/>
      </c>
      <c r="I743" s="49">
        <f>IF(B743="","",IFERROR(INDEX('JOBS'!$F$5:$F$1504,MATCH(B743,'JOBS'!$A$5:$A$1504,0)),""))</f>
        <v/>
      </c>
      <c r="J743" s="55">
        <f>IF(C743="","",ROUND(C743*IF(IFERROR(INDEX('SETTINGS'!$K$5:$K$24,MATCH(E743,'SETTINGS'!$J$5:$J$24,0)),"No")="Yes",FeePct,0),2))</f>
        <v/>
      </c>
      <c r="K743" s="51">
        <f>IF(A743="","",DATE(YEAR(A743),MONTH(A743),1))</f>
        <v/>
      </c>
    </row>
    <row r="744">
      <c r="A744" s="47" t="n"/>
      <c r="B744" s="38" t="n"/>
      <c r="C744" s="48" t="n"/>
      <c r="D744" s="48" t="n"/>
      <c r="E744" s="38" t="n"/>
      <c r="F744" s="38" t="n"/>
      <c r="G744" s="38" t="n"/>
      <c r="H744" s="49">
        <f>IF(B744="","",IFERROR(INDEX('JOBS'!$D$5:$D$1504,MATCH(B744,'JOBS'!$A$5:$A$1504,0)),"Job ID not found"))</f>
        <v/>
      </c>
      <c r="I744" s="49">
        <f>IF(B744="","",IFERROR(INDEX('JOBS'!$F$5:$F$1504,MATCH(B744,'JOBS'!$A$5:$A$1504,0)),""))</f>
        <v/>
      </c>
      <c r="J744" s="55">
        <f>IF(C744="","",ROUND(C744*IF(IFERROR(INDEX('SETTINGS'!$K$5:$K$24,MATCH(E744,'SETTINGS'!$J$5:$J$24,0)),"No")="Yes",FeePct,0),2))</f>
        <v/>
      </c>
      <c r="K744" s="51">
        <f>IF(A744="","",DATE(YEAR(A744),MONTH(A744),1))</f>
        <v/>
      </c>
    </row>
    <row r="745">
      <c r="A745" s="47" t="n"/>
      <c r="B745" s="38" t="n"/>
      <c r="C745" s="48" t="n"/>
      <c r="D745" s="48" t="n"/>
      <c r="E745" s="38" t="n"/>
      <c r="F745" s="38" t="n"/>
      <c r="G745" s="38" t="n"/>
      <c r="H745" s="49">
        <f>IF(B745="","",IFERROR(INDEX('JOBS'!$D$5:$D$1504,MATCH(B745,'JOBS'!$A$5:$A$1504,0)),"Job ID not found"))</f>
        <v/>
      </c>
      <c r="I745" s="49">
        <f>IF(B745="","",IFERROR(INDEX('JOBS'!$F$5:$F$1504,MATCH(B745,'JOBS'!$A$5:$A$1504,0)),""))</f>
        <v/>
      </c>
      <c r="J745" s="55">
        <f>IF(C745="","",ROUND(C745*IF(IFERROR(INDEX('SETTINGS'!$K$5:$K$24,MATCH(E745,'SETTINGS'!$J$5:$J$24,0)),"No")="Yes",FeePct,0),2))</f>
        <v/>
      </c>
      <c r="K745" s="51">
        <f>IF(A745="","",DATE(YEAR(A745),MONTH(A745),1))</f>
        <v/>
      </c>
    </row>
    <row r="746">
      <c r="A746" s="47" t="n"/>
      <c r="B746" s="38" t="n"/>
      <c r="C746" s="48" t="n"/>
      <c r="D746" s="48" t="n"/>
      <c r="E746" s="38" t="n"/>
      <c r="F746" s="38" t="n"/>
      <c r="G746" s="38" t="n"/>
      <c r="H746" s="49">
        <f>IF(B746="","",IFERROR(INDEX('JOBS'!$D$5:$D$1504,MATCH(B746,'JOBS'!$A$5:$A$1504,0)),"Job ID not found"))</f>
        <v/>
      </c>
      <c r="I746" s="49">
        <f>IF(B746="","",IFERROR(INDEX('JOBS'!$F$5:$F$1504,MATCH(B746,'JOBS'!$A$5:$A$1504,0)),""))</f>
        <v/>
      </c>
      <c r="J746" s="55">
        <f>IF(C746="","",ROUND(C746*IF(IFERROR(INDEX('SETTINGS'!$K$5:$K$24,MATCH(E746,'SETTINGS'!$J$5:$J$24,0)),"No")="Yes",FeePct,0),2))</f>
        <v/>
      </c>
      <c r="K746" s="51">
        <f>IF(A746="","",DATE(YEAR(A746),MONTH(A746),1))</f>
        <v/>
      </c>
    </row>
    <row r="747">
      <c r="A747" s="47" t="n"/>
      <c r="B747" s="38" t="n"/>
      <c r="C747" s="48" t="n"/>
      <c r="D747" s="48" t="n"/>
      <c r="E747" s="38" t="n"/>
      <c r="F747" s="38" t="n"/>
      <c r="G747" s="38" t="n"/>
      <c r="H747" s="49">
        <f>IF(B747="","",IFERROR(INDEX('JOBS'!$D$5:$D$1504,MATCH(B747,'JOBS'!$A$5:$A$1504,0)),"Job ID not found"))</f>
        <v/>
      </c>
      <c r="I747" s="49">
        <f>IF(B747="","",IFERROR(INDEX('JOBS'!$F$5:$F$1504,MATCH(B747,'JOBS'!$A$5:$A$1504,0)),""))</f>
        <v/>
      </c>
      <c r="J747" s="55">
        <f>IF(C747="","",ROUND(C747*IF(IFERROR(INDEX('SETTINGS'!$K$5:$K$24,MATCH(E747,'SETTINGS'!$J$5:$J$24,0)),"No")="Yes",FeePct,0),2))</f>
        <v/>
      </c>
      <c r="K747" s="51">
        <f>IF(A747="","",DATE(YEAR(A747),MONTH(A747),1))</f>
        <v/>
      </c>
    </row>
    <row r="748">
      <c r="A748" s="47" t="n"/>
      <c r="B748" s="38" t="n"/>
      <c r="C748" s="48" t="n"/>
      <c r="D748" s="48" t="n"/>
      <c r="E748" s="38" t="n"/>
      <c r="F748" s="38" t="n"/>
      <c r="G748" s="38" t="n"/>
      <c r="H748" s="49">
        <f>IF(B748="","",IFERROR(INDEX('JOBS'!$D$5:$D$1504,MATCH(B748,'JOBS'!$A$5:$A$1504,0)),"Job ID not found"))</f>
        <v/>
      </c>
      <c r="I748" s="49">
        <f>IF(B748="","",IFERROR(INDEX('JOBS'!$F$5:$F$1504,MATCH(B748,'JOBS'!$A$5:$A$1504,0)),""))</f>
        <v/>
      </c>
      <c r="J748" s="55">
        <f>IF(C748="","",ROUND(C748*IF(IFERROR(INDEX('SETTINGS'!$K$5:$K$24,MATCH(E748,'SETTINGS'!$J$5:$J$24,0)),"No")="Yes",FeePct,0),2))</f>
        <v/>
      </c>
      <c r="K748" s="51">
        <f>IF(A748="","",DATE(YEAR(A748),MONTH(A748),1))</f>
        <v/>
      </c>
    </row>
    <row r="749">
      <c r="A749" s="47" t="n"/>
      <c r="B749" s="38" t="n"/>
      <c r="C749" s="48" t="n"/>
      <c r="D749" s="48" t="n"/>
      <c r="E749" s="38" t="n"/>
      <c r="F749" s="38" t="n"/>
      <c r="G749" s="38" t="n"/>
      <c r="H749" s="49">
        <f>IF(B749="","",IFERROR(INDEX('JOBS'!$D$5:$D$1504,MATCH(B749,'JOBS'!$A$5:$A$1504,0)),"Job ID not found"))</f>
        <v/>
      </c>
      <c r="I749" s="49">
        <f>IF(B749="","",IFERROR(INDEX('JOBS'!$F$5:$F$1504,MATCH(B749,'JOBS'!$A$5:$A$1504,0)),""))</f>
        <v/>
      </c>
      <c r="J749" s="55">
        <f>IF(C749="","",ROUND(C749*IF(IFERROR(INDEX('SETTINGS'!$K$5:$K$24,MATCH(E749,'SETTINGS'!$J$5:$J$24,0)),"No")="Yes",FeePct,0),2))</f>
        <v/>
      </c>
      <c r="K749" s="51">
        <f>IF(A749="","",DATE(YEAR(A749),MONTH(A749),1))</f>
        <v/>
      </c>
    </row>
    <row r="750">
      <c r="A750" s="47" t="n"/>
      <c r="B750" s="38" t="n"/>
      <c r="C750" s="48" t="n"/>
      <c r="D750" s="48" t="n"/>
      <c r="E750" s="38" t="n"/>
      <c r="F750" s="38" t="n"/>
      <c r="G750" s="38" t="n"/>
      <c r="H750" s="49">
        <f>IF(B750="","",IFERROR(INDEX('JOBS'!$D$5:$D$1504,MATCH(B750,'JOBS'!$A$5:$A$1504,0)),"Job ID not found"))</f>
        <v/>
      </c>
      <c r="I750" s="49">
        <f>IF(B750="","",IFERROR(INDEX('JOBS'!$F$5:$F$1504,MATCH(B750,'JOBS'!$A$5:$A$1504,0)),""))</f>
        <v/>
      </c>
      <c r="J750" s="55">
        <f>IF(C750="","",ROUND(C750*IF(IFERROR(INDEX('SETTINGS'!$K$5:$K$24,MATCH(E750,'SETTINGS'!$J$5:$J$24,0)),"No")="Yes",FeePct,0),2))</f>
        <v/>
      </c>
      <c r="K750" s="51">
        <f>IF(A750="","",DATE(YEAR(A750),MONTH(A750),1))</f>
        <v/>
      </c>
    </row>
    <row r="751">
      <c r="A751" s="47" t="n"/>
      <c r="B751" s="38" t="n"/>
      <c r="C751" s="48" t="n"/>
      <c r="D751" s="48" t="n"/>
      <c r="E751" s="38" t="n"/>
      <c r="F751" s="38" t="n"/>
      <c r="G751" s="38" t="n"/>
      <c r="H751" s="49">
        <f>IF(B751="","",IFERROR(INDEX('JOBS'!$D$5:$D$1504,MATCH(B751,'JOBS'!$A$5:$A$1504,0)),"Job ID not found"))</f>
        <v/>
      </c>
      <c r="I751" s="49">
        <f>IF(B751="","",IFERROR(INDEX('JOBS'!$F$5:$F$1504,MATCH(B751,'JOBS'!$A$5:$A$1504,0)),""))</f>
        <v/>
      </c>
      <c r="J751" s="55">
        <f>IF(C751="","",ROUND(C751*IF(IFERROR(INDEX('SETTINGS'!$K$5:$K$24,MATCH(E751,'SETTINGS'!$J$5:$J$24,0)),"No")="Yes",FeePct,0),2))</f>
        <v/>
      </c>
      <c r="K751" s="51">
        <f>IF(A751="","",DATE(YEAR(A751),MONTH(A751),1))</f>
        <v/>
      </c>
    </row>
    <row r="752">
      <c r="A752" s="47" t="n"/>
      <c r="B752" s="38" t="n"/>
      <c r="C752" s="48" t="n"/>
      <c r="D752" s="48" t="n"/>
      <c r="E752" s="38" t="n"/>
      <c r="F752" s="38" t="n"/>
      <c r="G752" s="38" t="n"/>
      <c r="H752" s="49">
        <f>IF(B752="","",IFERROR(INDEX('JOBS'!$D$5:$D$1504,MATCH(B752,'JOBS'!$A$5:$A$1504,0)),"Job ID not found"))</f>
        <v/>
      </c>
      <c r="I752" s="49">
        <f>IF(B752="","",IFERROR(INDEX('JOBS'!$F$5:$F$1504,MATCH(B752,'JOBS'!$A$5:$A$1504,0)),""))</f>
        <v/>
      </c>
      <c r="J752" s="55">
        <f>IF(C752="","",ROUND(C752*IF(IFERROR(INDEX('SETTINGS'!$K$5:$K$24,MATCH(E752,'SETTINGS'!$J$5:$J$24,0)),"No")="Yes",FeePct,0),2))</f>
        <v/>
      </c>
      <c r="K752" s="51">
        <f>IF(A752="","",DATE(YEAR(A752),MONTH(A752),1))</f>
        <v/>
      </c>
    </row>
    <row r="753">
      <c r="A753" s="47" t="n"/>
      <c r="B753" s="38" t="n"/>
      <c r="C753" s="48" t="n"/>
      <c r="D753" s="48" t="n"/>
      <c r="E753" s="38" t="n"/>
      <c r="F753" s="38" t="n"/>
      <c r="G753" s="38" t="n"/>
      <c r="H753" s="49">
        <f>IF(B753="","",IFERROR(INDEX('JOBS'!$D$5:$D$1504,MATCH(B753,'JOBS'!$A$5:$A$1504,0)),"Job ID not found"))</f>
        <v/>
      </c>
      <c r="I753" s="49">
        <f>IF(B753="","",IFERROR(INDEX('JOBS'!$F$5:$F$1504,MATCH(B753,'JOBS'!$A$5:$A$1504,0)),""))</f>
        <v/>
      </c>
      <c r="J753" s="55">
        <f>IF(C753="","",ROUND(C753*IF(IFERROR(INDEX('SETTINGS'!$K$5:$K$24,MATCH(E753,'SETTINGS'!$J$5:$J$24,0)),"No")="Yes",FeePct,0),2))</f>
        <v/>
      </c>
      <c r="K753" s="51">
        <f>IF(A753="","",DATE(YEAR(A753),MONTH(A753),1))</f>
        <v/>
      </c>
    </row>
    <row r="754">
      <c r="A754" s="47" t="n"/>
      <c r="B754" s="38" t="n"/>
      <c r="C754" s="48" t="n"/>
      <c r="D754" s="48" t="n"/>
      <c r="E754" s="38" t="n"/>
      <c r="F754" s="38" t="n"/>
      <c r="G754" s="38" t="n"/>
      <c r="H754" s="49">
        <f>IF(B754="","",IFERROR(INDEX('JOBS'!$D$5:$D$1504,MATCH(B754,'JOBS'!$A$5:$A$1504,0)),"Job ID not found"))</f>
        <v/>
      </c>
      <c r="I754" s="49">
        <f>IF(B754="","",IFERROR(INDEX('JOBS'!$F$5:$F$1504,MATCH(B754,'JOBS'!$A$5:$A$1504,0)),""))</f>
        <v/>
      </c>
      <c r="J754" s="55">
        <f>IF(C754="","",ROUND(C754*IF(IFERROR(INDEX('SETTINGS'!$K$5:$K$24,MATCH(E754,'SETTINGS'!$J$5:$J$24,0)),"No")="Yes",FeePct,0),2))</f>
        <v/>
      </c>
      <c r="K754" s="51">
        <f>IF(A754="","",DATE(YEAR(A754),MONTH(A754),1))</f>
        <v/>
      </c>
    </row>
    <row r="755">
      <c r="A755" s="47" t="n"/>
      <c r="B755" s="38" t="n"/>
      <c r="C755" s="48" t="n"/>
      <c r="D755" s="48" t="n"/>
      <c r="E755" s="38" t="n"/>
      <c r="F755" s="38" t="n"/>
      <c r="G755" s="38" t="n"/>
      <c r="H755" s="49">
        <f>IF(B755="","",IFERROR(INDEX('JOBS'!$D$5:$D$1504,MATCH(B755,'JOBS'!$A$5:$A$1504,0)),"Job ID not found"))</f>
        <v/>
      </c>
      <c r="I755" s="49">
        <f>IF(B755="","",IFERROR(INDEX('JOBS'!$F$5:$F$1504,MATCH(B755,'JOBS'!$A$5:$A$1504,0)),""))</f>
        <v/>
      </c>
      <c r="J755" s="55">
        <f>IF(C755="","",ROUND(C755*IF(IFERROR(INDEX('SETTINGS'!$K$5:$K$24,MATCH(E755,'SETTINGS'!$J$5:$J$24,0)),"No")="Yes",FeePct,0),2))</f>
        <v/>
      </c>
      <c r="K755" s="51">
        <f>IF(A755="","",DATE(YEAR(A755),MONTH(A755),1))</f>
        <v/>
      </c>
    </row>
    <row r="756">
      <c r="A756" s="47" t="n"/>
      <c r="B756" s="38" t="n"/>
      <c r="C756" s="48" t="n"/>
      <c r="D756" s="48" t="n"/>
      <c r="E756" s="38" t="n"/>
      <c r="F756" s="38" t="n"/>
      <c r="G756" s="38" t="n"/>
      <c r="H756" s="49">
        <f>IF(B756="","",IFERROR(INDEX('JOBS'!$D$5:$D$1504,MATCH(B756,'JOBS'!$A$5:$A$1504,0)),"Job ID not found"))</f>
        <v/>
      </c>
      <c r="I756" s="49">
        <f>IF(B756="","",IFERROR(INDEX('JOBS'!$F$5:$F$1504,MATCH(B756,'JOBS'!$A$5:$A$1504,0)),""))</f>
        <v/>
      </c>
      <c r="J756" s="55">
        <f>IF(C756="","",ROUND(C756*IF(IFERROR(INDEX('SETTINGS'!$K$5:$K$24,MATCH(E756,'SETTINGS'!$J$5:$J$24,0)),"No")="Yes",FeePct,0),2))</f>
        <v/>
      </c>
      <c r="K756" s="51">
        <f>IF(A756="","",DATE(YEAR(A756),MONTH(A756),1))</f>
        <v/>
      </c>
    </row>
    <row r="757">
      <c r="A757" s="47" t="n"/>
      <c r="B757" s="38" t="n"/>
      <c r="C757" s="48" t="n"/>
      <c r="D757" s="48" t="n"/>
      <c r="E757" s="38" t="n"/>
      <c r="F757" s="38" t="n"/>
      <c r="G757" s="38" t="n"/>
      <c r="H757" s="49">
        <f>IF(B757="","",IFERROR(INDEX('JOBS'!$D$5:$D$1504,MATCH(B757,'JOBS'!$A$5:$A$1504,0)),"Job ID not found"))</f>
        <v/>
      </c>
      <c r="I757" s="49">
        <f>IF(B757="","",IFERROR(INDEX('JOBS'!$F$5:$F$1504,MATCH(B757,'JOBS'!$A$5:$A$1504,0)),""))</f>
        <v/>
      </c>
      <c r="J757" s="55">
        <f>IF(C757="","",ROUND(C757*IF(IFERROR(INDEX('SETTINGS'!$K$5:$K$24,MATCH(E757,'SETTINGS'!$J$5:$J$24,0)),"No")="Yes",FeePct,0),2))</f>
        <v/>
      </c>
      <c r="K757" s="51">
        <f>IF(A757="","",DATE(YEAR(A757),MONTH(A757),1))</f>
        <v/>
      </c>
    </row>
    <row r="758">
      <c r="A758" s="47" t="n"/>
      <c r="B758" s="38" t="n"/>
      <c r="C758" s="48" t="n"/>
      <c r="D758" s="48" t="n"/>
      <c r="E758" s="38" t="n"/>
      <c r="F758" s="38" t="n"/>
      <c r="G758" s="38" t="n"/>
      <c r="H758" s="49">
        <f>IF(B758="","",IFERROR(INDEX('JOBS'!$D$5:$D$1504,MATCH(B758,'JOBS'!$A$5:$A$1504,0)),"Job ID not found"))</f>
        <v/>
      </c>
      <c r="I758" s="49">
        <f>IF(B758="","",IFERROR(INDEX('JOBS'!$F$5:$F$1504,MATCH(B758,'JOBS'!$A$5:$A$1504,0)),""))</f>
        <v/>
      </c>
      <c r="J758" s="55">
        <f>IF(C758="","",ROUND(C758*IF(IFERROR(INDEX('SETTINGS'!$K$5:$K$24,MATCH(E758,'SETTINGS'!$J$5:$J$24,0)),"No")="Yes",FeePct,0),2))</f>
        <v/>
      </c>
      <c r="K758" s="51">
        <f>IF(A758="","",DATE(YEAR(A758),MONTH(A758),1))</f>
        <v/>
      </c>
    </row>
    <row r="759">
      <c r="A759" s="47" t="n"/>
      <c r="B759" s="38" t="n"/>
      <c r="C759" s="48" t="n"/>
      <c r="D759" s="48" t="n"/>
      <c r="E759" s="38" t="n"/>
      <c r="F759" s="38" t="n"/>
      <c r="G759" s="38" t="n"/>
      <c r="H759" s="49">
        <f>IF(B759="","",IFERROR(INDEX('JOBS'!$D$5:$D$1504,MATCH(B759,'JOBS'!$A$5:$A$1504,0)),"Job ID not found"))</f>
        <v/>
      </c>
      <c r="I759" s="49">
        <f>IF(B759="","",IFERROR(INDEX('JOBS'!$F$5:$F$1504,MATCH(B759,'JOBS'!$A$5:$A$1504,0)),""))</f>
        <v/>
      </c>
      <c r="J759" s="55">
        <f>IF(C759="","",ROUND(C759*IF(IFERROR(INDEX('SETTINGS'!$K$5:$K$24,MATCH(E759,'SETTINGS'!$J$5:$J$24,0)),"No")="Yes",FeePct,0),2))</f>
        <v/>
      </c>
      <c r="K759" s="51">
        <f>IF(A759="","",DATE(YEAR(A759),MONTH(A759),1))</f>
        <v/>
      </c>
    </row>
    <row r="760">
      <c r="A760" s="47" t="n"/>
      <c r="B760" s="38" t="n"/>
      <c r="C760" s="48" t="n"/>
      <c r="D760" s="48" t="n"/>
      <c r="E760" s="38" t="n"/>
      <c r="F760" s="38" t="n"/>
      <c r="G760" s="38" t="n"/>
      <c r="H760" s="49">
        <f>IF(B760="","",IFERROR(INDEX('JOBS'!$D$5:$D$1504,MATCH(B760,'JOBS'!$A$5:$A$1504,0)),"Job ID not found"))</f>
        <v/>
      </c>
      <c r="I760" s="49">
        <f>IF(B760="","",IFERROR(INDEX('JOBS'!$F$5:$F$1504,MATCH(B760,'JOBS'!$A$5:$A$1504,0)),""))</f>
        <v/>
      </c>
      <c r="J760" s="55">
        <f>IF(C760="","",ROUND(C760*IF(IFERROR(INDEX('SETTINGS'!$K$5:$K$24,MATCH(E760,'SETTINGS'!$J$5:$J$24,0)),"No")="Yes",FeePct,0),2))</f>
        <v/>
      </c>
      <c r="K760" s="51">
        <f>IF(A760="","",DATE(YEAR(A760),MONTH(A760),1))</f>
        <v/>
      </c>
    </row>
    <row r="761">
      <c r="A761" s="47" t="n"/>
      <c r="B761" s="38" t="n"/>
      <c r="C761" s="48" t="n"/>
      <c r="D761" s="48" t="n"/>
      <c r="E761" s="38" t="n"/>
      <c r="F761" s="38" t="n"/>
      <c r="G761" s="38" t="n"/>
      <c r="H761" s="49">
        <f>IF(B761="","",IFERROR(INDEX('JOBS'!$D$5:$D$1504,MATCH(B761,'JOBS'!$A$5:$A$1504,0)),"Job ID not found"))</f>
        <v/>
      </c>
      <c r="I761" s="49">
        <f>IF(B761="","",IFERROR(INDEX('JOBS'!$F$5:$F$1504,MATCH(B761,'JOBS'!$A$5:$A$1504,0)),""))</f>
        <v/>
      </c>
      <c r="J761" s="55">
        <f>IF(C761="","",ROUND(C761*IF(IFERROR(INDEX('SETTINGS'!$K$5:$K$24,MATCH(E761,'SETTINGS'!$J$5:$J$24,0)),"No")="Yes",FeePct,0),2))</f>
        <v/>
      </c>
      <c r="K761" s="51">
        <f>IF(A761="","",DATE(YEAR(A761),MONTH(A761),1))</f>
        <v/>
      </c>
    </row>
    <row r="762">
      <c r="A762" s="47" t="n"/>
      <c r="B762" s="38" t="n"/>
      <c r="C762" s="48" t="n"/>
      <c r="D762" s="48" t="n"/>
      <c r="E762" s="38" t="n"/>
      <c r="F762" s="38" t="n"/>
      <c r="G762" s="38" t="n"/>
      <c r="H762" s="49">
        <f>IF(B762="","",IFERROR(INDEX('JOBS'!$D$5:$D$1504,MATCH(B762,'JOBS'!$A$5:$A$1504,0)),"Job ID not found"))</f>
        <v/>
      </c>
      <c r="I762" s="49">
        <f>IF(B762="","",IFERROR(INDEX('JOBS'!$F$5:$F$1504,MATCH(B762,'JOBS'!$A$5:$A$1504,0)),""))</f>
        <v/>
      </c>
      <c r="J762" s="55">
        <f>IF(C762="","",ROUND(C762*IF(IFERROR(INDEX('SETTINGS'!$K$5:$K$24,MATCH(E762,'SETTINGS'!$J$5:$J$24,0)),"No")="Yes",FeePct,0),2))</f>
        <v/>
      </c>
      <c r="K762" s="51">
        <f>IF(A762="","",DATE(YEAR(A762),MONTH(A762),1))</f>
        <v/>
      </c>
    </row>
    <row r="763">
      <c r="A763" s="47" t="n"/>
      <c r="B763" s="38" t="n"/>
      <c r="C763" s="48" t="n"/>
      <c r="D763" s="48" t="n"/>
      <c r="E763" s="38" t="n"/>
      <c r="F763" s="38" t="n"/>
      <c r="G763" s="38" t="n"/>
      <c r="H763" s="49">
        <f>IF(B763="","",IFERROR(INDEX('JOBS'!$D$5:$D$1504,MATCH(B763,'JOBS'!$A$5:$A$1504,0)),"Job ID not found"))</f>
        <v/>
      </c>
      <c r="I763" s="49">
        <f>IF(B763="","",IFERROR(INDEX('JOBS'!$F$5:$F$1504,MATCH(B763,'JOBS'!$A$5:$A$1504,0)),""))</f>
        <v/>
      </c>
      <c r="J763" s="55">
        <f>IF(C763="","",ROUND(C763*IF(IFERROR(INDEX('SETTINGS'!$K$5:$K$24,MATCH(E763,'SETTINGS'!$J$5:$J$24,0)),"No")="Yes",FeePct,0),2))</f>
        <v/>
      </c>
      <c r="K763" s="51">
        <f>IF(A763="","",DATE(YEAR(A763),MONTH(A763),1))</f>
        <v/>
      </c>
    </row>
    <row r="764">
      <c r="A764" s="47" t="n"/>
      <c r="B764" s="38" t="n"/>
      <c r="C764" s="48" t="n"/>
      <c r="D764" s="48" t="n"/>
      <c r="E764" s="38" t="n"/>
      <c r="F764" s="38" t="n"/>
      <c r="G764" s="38" t="n"/>
      <c r="H764" s="49">
        <f>IF(B764="","",IFERROR(INDEX('JOBS'!$D$5:$D$1504,MATCH(B764,'JOBS'!$A$5:$A$1504,0)),"Job ID not found"))</f>
        <v/>
      </c>
      <c r="I764" s="49">
        <f>IF(B764="","",IFERROR(INDEX('JOBS'!$F$5:$F$1504,MATCH(B764,'JOBS'!$A$5:$A$1504,0)),""))</f>
        <v/>
      </c>
      <c r="J764" s="55">
        <f>IF(C764="","",ROUND(C764*IF(IFERROR(INDEX('SETTINGS'!$K$5:$K$24,MATCH(E764,'SETTINGS'!$J$5:$J$24,0)),"No")="Yes",FeePct,0),2))</f>
        <v/>
      </c>
      <c r="K764" s="51">
        <f>IF(A764="","",DATE(YEAR(A764),MONTH(A764),1))</f>
        <v/>
      </c>
    </row>
    <row r="765">
      <c r="A765" s="47" t="n"/>
      <c r="B765" s="38" t="n"/>
      <c r="C765" s="48" t="n"/>
      <c r="D765" s="48" t="n"/>
      <c r="E765" s="38" t="n"/>
      <c r="F765" s="38" t="n"/>
      <c r="G765" s="38" t="n"/>
      <c r="H765" s="49">
        <f>IF(B765="","",IFERROR(INDEX('JOBS'!$D$5:$D$1504,MATCH(B765,'JOBS'!$A$5:$A$1504,0)),"Job ID not found"))</f>
        <v/>
      </c>
      <c r="I765" s="49">
        <f>IF(B765="","",IFERROR(INDEX('JOBS'!$F$5:$F$1504,MATCH(B765,'JOBS'!$A$5:$A$1504,0)),""))</f>
        <v/>
      </c>
      <c r="J765" s="55">
        <f>IF(C765="","",ROUND(C765*IF(IFERROR(INDEX('SETTINGS'!$K$5:$K$24,MATCH(E765,'SETTINGS'!$J$5:$J$24,0)),"No")="Yes",FeePct,0),2))</f>
        <v/>
      </c>
      <c r="K765" s="51">
        <f>IF(A765="","",DATE(YEAR(A765),MONTH(A765),1))</f>
        <v/>
      </c>
    </row>
    <row r="766">
      <c r="A766" s="47" t="n"/>
      <c r="B766" s="38" t="n"/>
      <c r="C766" s="48" t="n"/>
      <c r="D766" s="48" t="n"/>
      <c r="E766" s="38" t="n"/>
      <c r="F766" s="38" t="n"/>
      <c r="G766" s="38" t="n"/>
      <c r="H766" s="49">
        <f>IF(B766="","",IFERROR(INDEX('JOBS'!$D$5:$D$1504,MATCH(B766,'JOBS'!$A$5:$A$1504,0)),"Job ID not found"))</f>
        <v/>
      </c>
      <c r="I766" s="49">
        <f>IF(B766="","",IFERROR(INDEX('JOBS'!$F$5:$F$1504,MATCH(B766,'JOBS'!$A$5:$A$1504,0)),""))</f>
        <v/>
      </c>
      <c r="J766" s="55">
        <f>IF(C766="","",ROUND(C766*IF(IFERROR(INDEX('SETTINGS'!$K$5:$K$24,MATCH(E766,'SETTINGS'!$J$5:$J$24,0)),"No")="Yes",FeePct,0),2))</f>
        <v/>
      </c>
      <c r="K766" s="51">
        <f>IF(A766="","",DATE(YEAR(A766),MONTH(A766),1))</f>
        <v/>
      </c>
    </row>
    <row r="767">
      <c r="A767" s="47" t="n"/>
      <c r="B767" s="38" t="n"/>
      <c r="C767" s="48" t="n"/>
      <c r="D767" s="48" t="n"/>
      <c r="E767" s="38" t="n"/>
      <c r="F767" s="38" t="n"/>
      <c r="G767" s="38" t="n"/>
      <c r="H767" s="49">
        <f>IF(B767="","",IFERROR(INDEX('JOBS'!$D$5:$D$1504,MATCH(B767,'JOBS'!$A$5:$A$1504,0)),"Job ID not found"))</f>
        <v/>
      </c>
      <c r="I767" s="49">
        <f>IF(B767="","",IFERROR(INDEX('JOBS'!$F$5:$F$1504,MATCH(B767,'JOBS'!$A$5:$A$1504,0)),""))</f>
        <v/>
      </c>
      <c r="J767" s="55">
        <f>IF(C767="","",ROUND(C767*IF(IFERROR(INDEX('SETTINGS'!$K$5:$K$24,MATCH(E767,'SETTINGS'!$J$5:$J$24,0)),"No")="Yes",FeePct,0),2))</f>
        <v/>
      </c>
      <c r="K767" s="51">
        <f>IF(A767="","",DATE(YEAR(A767),MONTH(A767),1))</f>
        <v/>
      </c>
    </row>
    <row r="768">
      <c r="A768" s="47" t="n"/>
      <c r="B768" s="38" t="n"/>
      <c r="C768" s="48" t="n"/>
      <c r="D768" s="48" t="n"/>
      <c r="E768" s="38" t="n"/>
      <c r="F768" s="38" t="n"/>
      <c r="G768" s="38" t="n"/>
      <c r="H768" s="49">
        <f>IF(B768="","",IFERROR(INDEX('JOBS'!$D$5:$D$1504,MATCH(B768,'JOBS'!$A$5:$A$1504,0)),"Job ID not found"))</f>
        <v/>
      </c>
      <c r="I768" s="49">
        <f>IF(B768="","",IFERROR(INDEX('JOBS'!$F$5:$F$1504,MATCH(B768,'JOBS'!$A$5:$A$1504,0)),""))</f>
        <v/>
      </c>
      <c r="J768" s="55">
        <f>IF(C768="","",ROUND(C768*IF(IFERROR(INDEX('SETTINGS'!$K$5:$K$24,MATCH(E768,'SETTINGS'!$J$5:$J$24,0)),"No")="Yes",FeePct,0),2))</f>
        <v/>
      </c>
      <c r="K768" s="51">
        <f>IF(A768="","",DATE(YEAR(A768),MONTH(A768),1))</f>
        <v/>
      </c>
    </row>
    <row r="769">
      <c r="A769" s="47" t="n"/>
      <c r="B769" s="38" t="n"/>
      <c r="C769" s="48" t="n"/>
      <c r="D769" s="48" t="n"/>
      <c r="E769" s="38" t="n"/>
      <c r="F769" s="38" t="n"/>
      <c r="G769" s="38" t="n"/>
      <c r="H769" s="49">
        <f>IF(B769="","",IFERROR(INDEX('JOBS'!$D$5:$D$1504,MATCH(B769,'JOBS'!$A$5:$A$1504,0)),"Job ID not found"))</f>
        <v/>
      </c>
      <c r="I769" s="49">
        <f>IF(B769="","",IFERROR(INDEX('JOBS'!$F$5:$F$1504,MATCH(B769,'JOBS'!$A$5:$A$1504,0)),""))</f>
        <v/>
      </c>
      <c r="J769" s="55">
        <f>IF(C769="","",ROUND(C769*IF(IFERROR(INDEX('SETTINGS'!$K$5:$K$24,MATCH(E769,'SETTINGS'!$J$5:$J$24,0)),"No")="Yes",FeePct,0),2))</f>
        <v/>
      </c>
      <c r="K769" s="51">
        <f>IF(A769="","",DATE(YEAR(A769),MONTH(A769),1))</f>
        <v/>
      </c>
    </row>
    <row r="770">
      <c r="A770" s="47" t="n"/>
      <c r="B770" s="38" t="n"/>
      <c r="C770" s="48" t="n"/>
      <c r="D770" s="48" t="n"/>
      <c r="E770" s="38" t="n"/>
      <c r="F770" s="38" t="n"/>
      <c r="G770" s="38" t="n"/>
      <c r="H770" s="49">
        <f>IF(B770="","",IFERROR(INDEX('JOBS'!$D$5:$D$1504,MATCH(B770,'JOBS'!$A$5:$A$1504,0)),"Job ID not found"))</f>
        <v/>
      </c>
      <c r="I770" s="49">
        <f>IF(B770="","",IFERROR(INDEX('JOBS'!$F$5:$F$1504,MATCH(B770,'JOBS'!$A$5:$A$1504,0)),""))</f>
        <v/>
      </c>
      <c r="J770" s="55">
        <f>IF(C770="","",ROUND(C770*IF(IFERROR(INDEX('SETTINGS'!$K$5:$K$24,MATCH(E770,'SETTINGS'!$J$5:$J$24,0)),"No")="Yes",FeePct,0),2))</f>
        <v/>
      </c>
      <c r="K770" s="51">
        <f>IF(A770="","",DATE(YEAR(A770),MONTH(A770),1))</f>
        <v/>
      </c>
    </row>
    <row r="771">
      <c r="A771" s="47" t="n"/>
      <c r="B771" s="38" t="n"/>
      <c r="C771" s="48" t="n"/>
      <c r="D771" s="48" t="n"/>
      <c r="E771" s="38" t="n"/>
      <c r="F771" s="38" t="n"/>
      <c r="G771" s="38" t="n"/>
      <c r="H771" s="49">
        <f>IF(B771="","",IFERROR(INDEX('JOBS'!$D$5:$D$1504,MATCH(B771,'JOBS'!$A$5:$A$1504,0)),"Job ID not found"))</f>
        <v/>
      </c>
      <c r="I771" s="49">
        <f>IF(B771="","",IFERROR(INDEX('JOBS'!$F$5:$F$1504,MATCH(B771,'JOBS'!$A$5:$A$1504,0)),""))</f>
        <v/>
      </c>
      <c r="J771" s="55">
        <f>IF(C771="","",ROUND(C771*IF(IFERROR(INDEX('SETTINGS'!$K$5:$K$24,MATCH(E771,'SETTINGS'!$J$5:$J$24,0)),"No")="Yes",FeePct,0),2))</f>
        <v/>
      </c>
      <c r="K771" s="51">
        <f>IF(A771="","",DATE(YEAR(A771),MONTH(A771),1))</f>
        <v/>
      </c>
    </row>
    <row r="772">
      <c r="A772" s="47" t="n"/>
      <c r="B772" s="38" t="n"/>
      <c r="C772" s="48" t="n"/>
      <c r="D772" s="48" t="n"/>
      <c r="E772" s="38" t="n"/>
      <c r="F772" s="38" t="n"/>
      <c r="G772" s="38" t="n"/>
      <c r="H772" s="49">
        <f>IF(B772="","",IFERROR(INDEX('JOBS'!$D$5:$D$1504,MATCH(B772,'JOBS'!$A$5:$A$1504,0)),"Job ID not found"))</f>
        <v/>
      </c>
      <c r="I772" s="49">
        <f>IF(B772="","",IFERROR(INDEX('JOBS'!$F$5:$F$1504,MATCH(B772,'JOBS'!$A$5:$A$1504,0)),""))</f>
        <v/>
      </c>
      <c r="J772" s="55">
        <f>IF(C772="","",ROUND(C772*IF(IFERROR(INDEX('SETTINGS'!$K$5:$K$24,MATCH(E772,'SETTINGS'!$J$5:$J$24,0)),"No")="Yes",FeePct,0),2))</f>
        <v/>
      </c>
      <c r="K772" s="51">
        <f>IF(A772="","",DATE(YEAR(A772),MONTH(A772),1))</f>
        <v/>
      </c>
    </row>
    <row r="773">
      <c r="A773" s="47" t="n"/>
      <c r="B773" s="38" t="n"/>
      <c r="C773" s="48" t="n"/>
      <c r="D773" s="48" t="n"/>
      <c r="E773" s="38" t="n"/>
      <c r="F773" s="38" t="n"/>
      <c r="G773" s="38" t="n"/>
      <c r="H773" s="49">
        <f>IF(B773="","",IFERROR(INDEX('JOBS'!$D$5:$D$1504,MATCH(B773,'JOBS'!$A$5:$A$1504,0)),"Job ID not found"))</f>
        <v/>
      </c>
      <c r="I773" s="49">
        <f>IF(B773="","",IFERROR(INDEX('JOBS'!$F$5:$F$1504,MATCH(B773,'JOBS'!$A$5:$A$1504,0)),""))</f>
        <v/>
      </c>
      <c r="J773" s="55">
        <f>IF(C773="","",ROUND(C773*IF(IFERROR(INDEX('SETTINGS'!$K$5:$K$24,MATCH(E773,'SETTINGS'!$J$5:$J$24,0)),"No")="Yes",FeePct,0),2))</f>
        <v/>
      </c>
      <c r="K773" s="51">
        <f>IF(A773="","",DATE(YEAR(A773),MONTH(A773),1))</f>
        <v/>
      </c>
    </row>
    <row r="774">
      <c r="A774" s="47" t="n"/>
      <c r="B774" s="38" t="n"/>
      <c r="C774" s="48" t="n"/>
      <c r="D774" s="48" t="n"/>
      <c r="E774" s="38" t="n"/>
      <c r="F774" s="38" t="n"/>
      <c r="G774" s="38" t="n"/>
      <c r="H774" s="49">
        <f>IF(B774="","",IFERROR(INDEX('JOBS'!$D$5:$D$1504,MATCH(B774,'JOBS'!$A$5:$A$1504,0)),"Job ID not found"))</f>
        <v/>
      </c>
      <c r="I774" s="49">
        <f>IF(B774="","",IFERROR(INDEX('JOBS'!$F$5:$F$1504,MATCH(B774,'JOBS'!$A$5:$A$1504,0)),""))</f>
        <v/>
      </c>
      <c r="J774" s="55">
        <f>IF(C774="","",ROUND(C774*IF(IFERROR(INDEX('SETTINGS'!$K$5:$K$24,MATCH(E774,'SETTINGS'!$J$5:$J$24,0)),"No")="Yes",FeePct,0),2))</f>
        <v/>
      </c>
      <c r="K774" s="51">
        <f>IF(A774="","",DATE(YEAR(A774),MONTH(A774),1))</f>
        <v/>
      </c>
    </row>
    <row r="775">
      <c r="A775" s="47" t="n"/>
      <c r="B775" s="38" t="n"/>
      <c r="C775" s="48" t="n"/>
      <c r="D775" s="48" t="n"/>
      <c r="E775" s="38" t="n"/>
      <c r="F775" s="38" t="n"/>
      <c r="G775" s="38" t="n"/>
      <c r="H775" s="49">
        <f>IF(B775="","",IFERROR(INDEX('JOBS'!$D$5:$D$1504,MATCH(B775,'JOBS'!$A$5:$A$1504,0)),"Job ID not found"))</f>
        <v/>
      </c>
      <c r="I775" s="49">
        <f>IF(B775="","",IFERROR(INDEX('JOBS'!$F$5:$F$1504,MATCH(B775,'JOBS'!$A$5:$A$1504,0)),""))</f>
        <v/>
      </c>
      <c r="J775" s="55">
        <f>IF(C775="","",ROUND(C775*IF(IFERROR(INDEX('SETTINGS'!$K$5:$K$24,MATCH(E775,'SETTINGS'!$J$5:$J$24,0)),"No")="Yes",FeePct,0),2))</f>
        <v/>
      </c>
      <c r="K775" s="51">
        <f>IF(A775="","",DATE(YEAR(A775),MONTH(A775),1))</f>
        <v/>
      </c>
    </row>
    <row r="776">
      <c r="A776" s="47" t="n"/>
      <c r="B776" s="38" t="n"/>
      <c r="C776" s="48" t="n"/>
      <c r="D776" s="48" t="n"/>
      <c r="E776" s="38" t="n"/>
      <c r="F776" s="38" t="n"/>
      <c r="G776" s="38" t="n"/>
      <c r="H776" s="49">
        <f>IF(B776="","",IFERROR(INDEX('JOBS'!$D$5:$D$1504,MATCH(B776,'JOBS'!$A$5:$A$1504,0)),"Job ID not found"))</f>
        <v/>
      </c>
      <c r="I776" s="49">
        <f>IF(B776="","",IFERROR(INDEX('JOBS'!$F$5:$F$1504,MATCH(B776,'JOBS'!$A$5:$A$1504,0)),""))</f>
        <v/>
      </c>
      <c r="J776" s="55">
        <f>IF(C776="","",ROUND(C776*IF(IFERROR(INDEX('SETTINGS'!$K$5:$K$24,MATCH(E776,'SETTINGS'!$J$5:$J$24,0)),"No")="Yes",FeePct,0),2))</f>
        <v/>
      </c>
      <c r="K776" s="51">
        <f>IF(A776="","",DATE(YEAR(A776),MONTH(A776),1))</f>
        <v/>
      </c>
    </row>
    <row r="777">
      <c r="A777" s="47" t="n"/>
      <c r="B777" s="38" t="n"/>
      <c r="C777" s="48" t="n"/>
      <c r="D777" s="48" t="n"/>
      <c r="E777" s="38" t="n"/>
      <c r="F777" s="38" t="n"/>
      <c r="G777" s="38" t="n"/>
      <c r="H777" s="49">
        <f>IF(B777="","",IFERROR(INDEX('JOBS'!$D$5:$D$1504,MATCH(B777,'JOBS'!$A$5:$A$1504,0)),"Job ID not found"))</f>
        <v/>
      </c>
      <c r="I777" s="49">
        <f>IF(B777="","",IFERROR(INDEX('JOBS'!$F$5:$F$1504,MATCH(B777,'JOBS'!$A$5:$A$1504,0)),""))</f>
        <v/>
      </c>
      <c r="J777" s="55">
        <f>IF(C777="","",ROUND(C777*IF(IFERROR(INDEX('SETTINGS'!$K$5:$K$24,MATCH(E777,'SETTINGS'!$J$5:$J$24,0)),"No")="Yes",FeePct,0),2))</f>
        <v/>
      </c>
      <c r="K777" s="51">
        <f>IF(A777="","",DATE(YEAR(A777),MONTH(A777),1))</f>
        <v/>
      </c>
    </row>
    <row r="778">
      <c r="A778" s="47" t="n"/>
      <c r="B778" s="38" t="n"/>
      <c r="C778" s="48" t="n"/>
      <c r="D778" s="48" t="n"/>
      <c r="E778" s="38" t="n"/>
      <c r="F778" s="38" t="n"/>
      <c r="G778" s="38" t="n"/>
      <c r="H778" s="49">
        <f>IF(B778="","",IFERROR(INDEX('JOBS'!$D$5:$D$1504,MATCH(B778,'JOBS'!$A$5:$A$1504,0)),"Job ID not found"))</f>
        <v/>
      </c>
      <c r="I778" s="49">
        <f>IF(B778="","",IFERROR(INDEX('JOBS'!$F$5:$F$1504,MATCH(B778,'JOBS'!$A$5:$A$1504,0)),""))</f>
        <v/>
      </c>
      <c r="J778" s="55">
        <f>IF(C778="","",ROUND(C778*IF(IFERROR(INDEX('SETTINGS'!$K$5:$K$24,MATCH(E778,'SETTINGS'!$J$5:$J$24,0)),"No")="Yes",FeePct,0),2))</f>
        <v/>
      </c>
      <c r="K778" s="51">
        <f>IF(A778="","",DATE(YEAR(A778),MONTH(A778),1))</f>
        <v/>
      </c>
    </row>
    <row r="779">
      <c r="A779" s="47" t="n"/>
      <c r="B779" s="38" t="n"/>
      <c r="C779" s="48" t="n"/>
      <c r="D779" s="48" t="n"/>
      <c r="E779" s="38" t="n"/>
      <c r="F779" s="38" t="n"/>
      <c r="G779" s="38" t="n"/>
      <c r="H779" s="49">
        <f>IF(B779="","",IFERROR(INDEX('JOBS'!$D$5:$D$1504,MATCH(B779,'JOBS'!$A$5:$A$1504,0)),"Job ID not found"))</f>
        <v/>
      </c>
      <c r="I779" s="49">
        <f>IF(B779="","",IFERROR(INDEX('JOBS'!$F$5:$F$1504,MATCH(B779,'JOBS'!$A$5:$A$1504,0)),""))</f>
        <v/>
      </c>
      <c r="J779" s="55">
        <f>IF(C779="","",ROUND(C779*IF(IFERROR(INDEX('SETTINGS'!$K$5:$K$24,MATCH(E779,'SETTINGS'!$J$5:$J$24,0)),"No")="Yes",FeePct,0),2))</f>
        <v/>
      </c>
      <c r="K779" s="51">
        <f>IF(A779="","",DATE(YEAR(A779),MONTH(A779),1))</f>
        <v/>
      </c>
    </row>
    <row r="780">
      <c r="A780" s="47" t="n"/>
      <c r="B780" s="38" t="n"/>
      <c r="C780" s="48" t="n"/>
      <c r="D780" s="48" t="n"/>
      <c r="E780" s="38" t="n"/>
      <c r="F780" s="38" t="n"/>
      <c r="G780" s="38" t="n"/>
      <c r="H780" s="49">
        <f>IF(B780="","",IFERROR(INDEX('JOBS'!$D$5:$D$1504,MATCH(B780,'JOBS'!$A$5:$A$1504,0)),"Job ID not found"))</f>
        <v/>
      </c>
      <c r="I780" s="49">
        <f>IF(B780="","",IFERROR(INDEX('JOBS'!$F$5:$F$1504,MATCH(B780,'JOBS'!$A$5:$A$1504,0)),""))</f>
        <v/>
      </c>
      <c r="J780" s="55">
        <f>IF(C780="","",ROUND(C780*IF(IFERROR(INDEX('SETTINGS'!$K$5:$K$24,MATCH(E780,'SETTINGS'!$J$5:$J$24,0)),"No")="Yes",FeePct,0),2))</f>
        <v/>
      </c>
      <c r="K780" s="51">
        <f>IF(A780="","",DATE(YEAR(A780),MONTH(A780),1))</f>
        <v/>
      </c>
    </row>
    <row r="781">
      <c r="A781" s="47" t="n"/>
      <c r="B781" s="38" t="n"/>
      <c r="C781" s="48" t="n"/>
      <c r="D781" s="48" t="n"/>
      <c r="E781" s="38" t="n"/>
      <c r="F781" s="38" t="n"/>
      <c r="G781" s="38" t="n"/>
      <c r="H781" s="49">
        <f>IF(B781="","",IFERROR(INDEX('JOBS'!$D$5:$D$1504,MATCH(B781,'JOBS'!$A$5:$A$1504,0)),"Job ID not found"))</f>
        <v/>
      </c>
      <c r="I781" s="49">
        <f>IF(B781="","",IFERROR(INDEX('JOBS'!$F$5:$F$1504,MATCH(B781,'JOBS'!$A$5:$A$1504,0)),""))</f>
        <v/>
      </c>
      <c r="J781" s="55">
        <f>IF(C781="","",ROUND(C781*IF(IFERROR(INDEX('SETTINGS'!$K$5:$K$24,MATCH(E781,'SETTINGS'!$J$5:$J$24,0)),"No")="Yes",FeePct,0),2))</f>
        <v/>
      </c>
      <c r="K781" s="51">
        <f>IF(A781="","",DATE(YEAR(A781),MONTH(A781),1))</f>
        <v/>
      </c>
    </row>
    <row r="782">
      <c r="A782" s="47" t="n"/>
      <c r="B782" s="38" t="n"/>
      <c r="C782" s="48" t="n"/>
      <c r="D782" s="48" t="n"/>
      <c r="E782" s="38" t="n"/>
      <c r="F782" s="38" t="n"/>
      <c r="G782" s="38" t="n"/>
      <c r="H782" s="49">
        <f>IF(B782="","",IFERROR(INDEX('JOBS'!$D$5:$D$1504,MATCH(B782,'JOBS'!$A$5:$A$1504,0)),"Job ID not found"))</f>
        <v/>
      </c>
      <c r="I782" s="49">
        <f>IF(B782="","",IFERROR(INDEX('JOBS'!$F$5:$F$1504,MATCH(B782,'JOBS'!$A$5:$A$1504,0)),""))</f>
        <v/>
      </c>
      <c r="J782" s="55">
        <f>IF(C782="","",ROUND(C782*IF(IFERROR(INDEX('SETTINGS'!$K$5:$K$24,MATCH(E782,'SETTINGS'!$J$5:$J$24,0)),"No")="Yes",FeePct,0),2))</f>
        <v/>
      </c>
      <c r="K782" s="51">
        <f>IF(A782="","",DATE(YEAR(A782),MONTH(A782),1))</f>
        <v/>
      </c>
    </row>
    <row r="783">
      <c r="A783" s="47" t="n"/>
      <c r="B783" s="38" t="n"/>
      <c r="C783" s="48" t="n"/>
      <c r="D783" s="48" t="n"/>
      <c r="E783" s="38" t="n"/>
      <c r="F783" s="38" t="n"/>
      <c r="G783" s="38" t="n"/>
      <c r="H783" s="49">
        <f>IF(B783="","",IFERROR(INDEX('JOBS'!$D$5:$D$1504,MATCH(B783,'JOBS'!$A$5:$A$1504,0)),"Job ID not found"))</f>
        <v/>
      </c>
      <c r="I783" s="49">
        <f>IF(B783="","",IFERROR(INDEX('JOBS'!$F$5:$F$1504,MATCH(B783,'JOBS'!$A$5:$A$1504,0)),""))</f>
        <v/>
      </c>
      <c r="J783" s="55">
        <f>IF(C783="","",ROUND(C783*IF(IFERROR(INDEX('SETTINGS'!$K$5:$K$24,MATCH(E783,'SETTINGS'!$J$5:$J$24,0)),"No")="Yes",FeePct,0),2))</f>
        <v/>
      </c>
      <c r="K783" s="51">
        <f>IF(A783="","",DATE(YEAR(A783),MONTH(A783),1))</f>
        <v/>
      </c>
    </row>
    <row r="784">
      <c r="A784" s="47" t="n"/>
      <c r="B784" s="38" t="n"/>
      <c r="C784" s="48" t="n"/>
      <c r="D784" s="48" t="n"/>
      <c r="E784" s="38" t="n"/>
      <c r="F784" s="38" t="n"/>
      <c r="G784" s="38" t="n"/>
      <c r="H784" s="49">
        <f>IF(B784="","",IFERROR(INDEX('JOBS'!$D$5:$D$1504,MATCH(B784,'JOBS'!$A$5:$A$1504,0)),"Job ID not found"))</f>
        <v/>
      </c>
      <c r="I784" s="49">
        <f>IF(B784="","",IFERROR(INDEX('JOBS'!$F$5:$F$1504,MATCH(B784,'JOBS'!$A$5:$A$1504,0)),""))</f>
        <v/>
      </c>
      <c r="J784" s="55">
        <f>IF(C784="","",ROUND(C784*IF(IFERROR(INDEX('SETTINGS'!$K$5:$K$24,MATCH(E784,'SETTINGS'!$J$5:$J$24,0)),"No")="Yes",FeePct,0),2))</f>
        <v/>
      </c>
      <c r="K784" s="51">
        <f>IF(A784="","",DATE(YEAR(A784),MONTH(A784),1))</f>
        <v/>
      </c>
    </row>
    <row r="785">
      <c r="A785" s="47" t="n"/>
      <c r="B785" s="38" t="n"/>
      <c r="C785" s="48" t="n"/>
      <c r="D785" s="48" t="n"/>
      <c r="E785" s="38" t="n"/>
      <c r="F785" s="38" t="n"/>
      <c r="G785" s="38" t="n"/>
      <c r="H785" s="49">
        <f>IF(B785="","",IFERROR(INDEX('JOBS'!$D$5:$D$1504,MATCH(B785,'JOBS'!$A$5:$A$1504,0)),"Job ID not found"))</f>
        <v/>
      </c>
      <c r="I785" s="49">
        <f>IF(B785="","",IFERROR(INDEX('JOBS'!$F$5:$F$1504,MATCH(B785,'JOBS'!$A$5:$A$1504,0)),""))</f>
        <v/>
      </c>
      <c r="J785" s="55">
        <f>IF(C785="","",ROUND(C785*IF(IFERROR(INDEX('SETTINGS'!$K$5:$K$24,MATCH(E785,'SETTINGS'!$J$5:$J$24,0)),"No")="Yes",FeePct,0),2))</f>
        <v/>
      </c>
      <c r="K785" s="51">
        <f>IF(A785="","",DATE(YEAR(A785),MONTH(A785),1))</f>
        <v/>
      </c>
    </row>
    <row r="786">
      <c r="A786" s="47" t="n"/>
      <c r="B786" s="38" t="n"/>
      <c r="C786" s="48" t="n"/>
      <c r="D786" s="48" t="n"/>
      <c r="E786" s="38" t="n"/>
      <c r="F786" s="38" t="n"/>
      <c r="G786" s="38" t="n"/>
      <c r="H786" s="49">
        <f>IF(B786="","",IFERROR(INDEX('JOBS'!$D$5:$D$1504,MATCH(B786,'JOBS'!$A$5:$A$1504,0)),"Job ID not found"))</f>
        <v/>
      </c>
      <c r="I786" s="49">
        <f>IF(B786="","",IFERROR(INDEX('JOBS'!$F$5:$F$1504,MATCH(B786,'JOBS'!$A$5:$A$1504,0)),""))</f>
        <v/>
      </c>
      <c r="J786" s="55">
        <f>IF(C786="","",ROUND(C786*IF(IFERROR(INDEX('SETTINGS'!$K$5:$K$24,MATCH(E786,'SETTINGS'!$J$5:$J$24,0)),"No")="Yes",FeePct,0),2))</f>
        <v/>
      </c>
      <c r="K786" s="51">
        <f>IF(A786="","",DATE(YEAR(A786),MONTH(A786),1))</f>
        <v/>
      </c>
    </row>
    <row r="787">
      <c r="A787" s="47" t="n"/>
      <c r="B787" s="38" t="n"/>
      <c r="C787" s="48" t="n"/>
      <c r="D787" s="48" t="n"/>
      <c r="E787" s="38" t="n"/>
      <c r="F787" s="38" t="n"/>
      <c r="G787" s="38" t="n"/>
      <c r="H787" s="49">
        <f>IF(B787="","",IFERROR(INDEX('JOBS'!$D$5:$D$1504,MATCH(B787,'JOBS'!$A$5:$A$1504,0)),"Job ID not found"))</f>
        <v/>
      </c>
      <c r="I787" s="49">
        <f>IF(B787="","",IFERROR(INDEX('JOBS'!$F$5:$F$1504,MATCH(B787,'JOBS'!$A$5:$A$1504,0)),""))</f>
        <v/>
      </c>
      <c r="J787" s="55">
        <f>IF(C787="","",ROUND(C787*IF(IFERROR(INDEX('SETTINGS'!$K$5:$K$24,MATCH(E787,'SETTINGS'!$J$5:$J$24,0)),"No")="Yes",FeePct,0),2))</f>
        <v/>
      </c>
      <c r="K787" s="51">
        <f>IF(A787="","",DATE(YEAR(A787),MONTH(A787),1))</f>
        <v/>
      </c>
    </row>
    <row r="788">
      <c r="A788" s="47" t="n"/>
      <c r="B788" s="38" t="n"/>
      <c r="C788" s="48" t="n"/>
      <c r="D788" s="48" t="n"/>
      <c r="E788" s="38" t="n"/>
      <c r="F788" s="38" t="n"/>
      <c r="G788" s="38" t="n"/>
      <c r="H788" s="49">
        <f>IF(B788="","",IFERROR(INDEX('JOBS'!$D$5:$D$1504,MATCH(B788,'JOBS'!$A$5:$A$1504,0)),"Job ID not found"))</f>
        <v/>
      </c>
      <c r="I788" s="49">
        <f>IF(B788="","",IFERROR(INDEX('JOBS'!$F$5:$F$1504,MATCH(B788,'JOBS'!$A$5:$A$1504,0)),""))</f>
        <v/>
      </c>
      <c r="J788" s="55">
        <f>IF(C788="","",ROUND(C788*IF(IFERROR(INDEX('SETTINGS'!$K$5:$K$24,MATCH(E788,'SETTINGS'!$J$5:$J$24,0)),"No")="Yes",FeePct,0),2))</f>
        <v/>
      </c>
      <c r="K788" s="51">
        <f>IF(A788="","",DATE(YEAR(A788),MONTH(A788),1))</f>
        <v/>
      </c>
    </row>
    <row r="789">
      <c r="A789" s="47" t="n"/>
      <c r="B789" s="38" t="n"/>
      <c r="C789" s="48" t="n"/>
      <c r="D789" s="48" t="n"/>
      <c r="E789" s="38" t="n"/>
      <c r="F789" s="38" t="n"/>
      <c r="G789" s="38" t="n"/>
      <c r="H789" s="49">
        <f>IF(B789="","",IFERROR(INDEX('JOBS'!$D$5:$D$1504,MATCH(B789,'JOBS'!$A$5:$A$1504,0)),"Job ID not found"))</f>
        <v/>
      </c>
      <c r="I789" s="49">
        <f>IF(B789="","",IFERROR(INDEX('JOBS'!$F$5:$F$1504,MATCH(B789,'JOBS'!$A$5:$A$1504,0)),""))</f>
        <v/>
      </c>
      <c r="J789" s="55">
        <f>IF(C789="","",ROUND(C789*IF(IFERROR(INDEX('SETTINGS'!$K$5:$K$24,MATCH(E789,'SETTINGS'!$J$5:$J$24,0)),"No")="Yes",FeePct,0),2))</f>
        <v/>
      </c>
      <c r="K789" s="51">
        <f>IF(A789="","",DATE(YEAR(A789),MONTH(A789),1))</f>
        <v/>
      </c>
    </row>
    <row r="790">
      <c r="A790" s="47" t="n"/>
      <c r="B790" s="38" t="n"/>
      <c r="C790" s="48" t="n"/>
      <c r="D790" s="48" t="n"/>
      <c r="E790" s="38" t="n"/>
      <c r="F790" s="38" t="n"/>
      <c r="G790" s="38" t="n"/>
      <c r="H790" s="49">
        <f>IF(B790="","",IFERROR(INDEX('JOBS'!$D$5:$D$1504,MATCH(B790,'JOBS'!$A$5:$A$1504,0)),"Job ID not found"))</f>
        <v/>
      </c>
      <c r="I790" s="49">
        <f>IF(B790="","",IFERROR(INDEX('JOBS'!$F$5:$F$1504,MATCH(B790,'JOBS'!$A$5:$A$1504,0)),""))</f>
        <v/>
      </c>
      <c r="J790" s="55">
        <f>IF(C790="","",ROUND(C790*IF(IFERROR(INDEX('SETTINGS'!$K$5:$K$24,MATCH(E790,'SETTINGS'!$J$5:$J$24,0)),"No")="Yes",FeePct,0),2))</f>
        <v/>
      </c>
      <c r="K790" s="51">
        <f>IF(A790="","",DATE(YEAR(A790),MONTH(A790),1))</f>
        <v/>
      </c>
    </row>
    <row r="791">
      <c r="A791" s="47" t="n"/>
      <c r="B791" s="38" t="n"/>
      <c r="C791" s="48" t="n"/>
      <c r="D791" s="48" t="n"/>
      <c r="E791" s="38" t="n"/>
      <c r="F791" s="38" t="n"/>
      <c r="G791" s="38" t="n"/>
      <c r="H791" s="49">
        <f>IF(B791="","",IFERROR(INDEX('JOBS'!$D$5:$D$1504,MATCH(B791,'JOBS'!$A$5:$A$1504,0)),"Job ID not found"))</f>
        <v/>
      </c>
      <c r="I791" s="49">
        <f>IF(B791="","",IFERROR(INDEX('JOBS'!$F$5:$F$1504,MATCH(B791,'JOBS'!$A$5:$A$1504,0)),""))</f>
        <v/>
      </c>
      <c r="J791" s="55">
        <f>IF(C791="","",ROUND(C791*IF(IFERROR(INDEX('SETTINGS'!$K$5:$K$24,MATCH(E791,'SETTINGS'!$J$5:$J$24,0)),"No")="Yes",FeePct,0),2))</f>
        <v/>
      </c>
      <c r="K791" s="51">
        <f>IF(A791="","",DATE(YEAR(A791),MONTH(A791),1))</f>
        <v/>
      </c>
    </row>
    <row r="792">
      <c r="A792" s="47" t="n"/>
      <c r="B792" s="38" t="n"/>
      <c r="C792" s="48" t="n"/>
      <c r="D792" s="48" t="n"/>
      <c r="E792" s="38" t="n"/>
      <c r="F792" s="38" t="n"/>
      <c r="G792" s="38" t="n"/>
      <c r="H792" s="49">
        <f>IF(B792="","",IFERROR(INDEX('JOBS'!$D$5:$D$1504,MATCH(B792,'JOBS'!$A$5:$A$1504,0)),"Job ID not found"))</f>
        <v/>
      </c>
      <c r="I792" s="49">
        <f>IF(B792="","",IFERROR(INDEX('JOBS'!$F$5:$F$1504,MATCH(B792,'JOBS'!$A$5:$A$1504,0)),""))</f>
        <v/>
      </c>
      <c r="J792" s="55">
        <f>IF(C792="","",ROUND(C792*IF(IFERROR(INDEX('SETTINGS'!$K$5:$K$24,MATCH(E792,'SETTINGS'!$J$5:$J$24,0)),"No")="Yes",FeePct,0),2))</f>
        <v/>
      </c>
      <c r="K792" s="51">
        <f>IF(A792="","",DATE(YEAR(A792),MONTH(A792),1))</f>
        <v/>
      </c>
    </row>
    <row r="793">
      <c r="A793" s="47" t="n"/>
      <c r="B793" s="38" t="n"/>
      <c r="C793" s="48" t="n"/>
      <c r="D793" s="48" t="n"/>
      <c r="E793" s="38" t="n"/>
      <c r="F793" s="38" t="n"/>
      <c r="G793" s="38" t="n"/>
      <c r="H793" s="49">
        <f>IF(B793="","",IFERROR(INDEX('JOBS'!$D$5:$D$1504,MATCH(B793,'JOBS'!$A$5:$A$1504,0)),"Job ID not found"))</f>
        <v/>
      </c>
      <c r="I793" s="49">
        <f>IF(B793="","",IFERROR(INDEX('JOBS'!$F$5:$F$1504,MATCH(B793,'JOBS'!$A$5:$A$1504,0)),""))</f>
        <v/>
      </c>
      <c r="J793" s="55">
        <f>IF(C793="","",ROUND(C793*IF(IFERROR(INDEX('SETTINGS'!$K$5:$K$24,MATCH(E793,'SETTINGS'!$J$5:$J$24,0)),"No")="Yes",FeePct,0),2))</f>
        <v/>
      </c>
      <c r="K793" s="51">
        <f>IF(A793="","",DATE(YEAR(A793),MONTH(A793),1))</f>
        <v/>
      </c>
    </row>
    <row r="794">
      <c r="A794" s="47" t="n"/>
      <c r="B794" s="38" t="n"/>
      <c r="C794" s="48" t="n"/>
      <c r="D794" s="48" t="n"/>
      <c r="E794" s="38" t="n"/>
      <c r="F794" s="38" t="n"/>
      <c r="G794" s="38" t="n"/>
      <c r="H794" s="49">
        <f>IF(B794="","",IFERROR(INDEX('JOBS'!$D$5:$D$1504,MATCH(B794,'JOBS'!$A$5:$A$1504,0)),"Job ID not found"))</f>
        <v/>
      </c>
      <c r="I794" s="49">
        <f>IF(B794="","",IFERROR(INDEX('JOBS'!$F$5:$F$1504,MATCH(B794,'JOBS'!$A$5:$A$1504,0)),""))</f>
        <v/>
      </c>
      <c r="J794" s="55">
        <f>IF(C794="","",ROUND(C794*IF(IFERROR(INDEX('SETTINGS'!$K$5:$K$24,MATCH(E794,'SETTINGS'!$J$5:$J$24,0)),"No")="Yes",FeePct,0),2))</f>
        <v/>
      </c>
      <c r="K794" s="51">
        <f>IF(A794="","",DATE(YEAR(A794),MONTH(A794),1))</f>
        <v/>
      </c>
    </row>
    <row r="795">
      <c r="A795" s="47" t="n"/>
      <c r="B795" s="38" t="n"/>
      <c r="C795" s="48" t="n"/>
      <c r="D795" s="48" t="n"/>
      <c r="E795" s="38" t="n"/>
      <c r="F795" s="38" t="n"/>
      <c r="G795" s="38" t="n"/>
      <c r="H795" s="49">
        <f>IF(B795="","",IFERROR(INDEX('JOBS'!$D$5:$D$1504,MATCH(B795,'JOBS'!$A$5:$A$1504,0)),"Job ID not found"))</f>
        <v/>
      </c>
      <c r="I795" s="49">
        <f>IF(B795="","",IFERROR(INDEX('JOBS'!$F$5:$F$1504,MATCH(B795,'JOBS'!$A$5:$A$1504,0)),""))</f>
        <v/>
      </c>
      <c r="J795" s="55">
        <f>IF(C795="","",ROUND(C795*IF(IFERROR(INDEX('SETTINGS'!$K$5:$K$24,MATCH(E795,'SETTINGS'!$J$5:$J$24,0)),"No")="Yes",FeePct,0),2))</f>
        <v/>
      </c>
      <c r="K795" s="51">
        <f>IF(A795="","",DATE(YEAR(A795),MONTH(A795),1))</f>
        <v/>
      </c>
    </row>
    <row r="796">
      <c r="A796" s="47" t="n"/>
      <c r="B796" s="38" t="n"/>
      <c r="C796" s="48" t="n"/>
      <c r="D796" s="48" t="n"/>
      <c r="E796" s="38" t="n"/>
      <c r="F796" s="38" t="n"/>
      <c r="G796" s="38" t="n"/>
      <c r="H796" s="49">
        <f>IF(B796="","",IFERROR(INDEX('JOBS'!$D$5:$D$1504,MATCH(B796,'JOBS'!$A$5:$A$1504,0)),"Job ID not found"))</f>
        <v/>
      </c>
      <c r="I796" s="49">
        <f>IF(B796="","",IFERROR(INDEX('JOBS'!$F$5:$F$1504,MATCH(B796,'JOBS'!$A$5:$A$1504,0)),""))</f>
        <v/>
      </c>
      <c r="J796" s="55">
        <f>IF(C796="","",ROUND(C796*IF(IFERROR(INDEX('SETTINGS'!$K$5:$K$24,MATCH(E796,'SETTINGS'!$J$5:$J$24,0)),"No")="Yes",FeePct,0),2))</f>
        <v/>
      </c>
      <c r="K796" s="51">
        <f>IF(A796="","",DATE(YEAR(A796),MONTH(A796),1))</f>
        <v/>
      </c>
    </row>
    <row r="797">
      <c r="A797" s="47" t="n"/>
      <c r="B797" s="38" t="n"/>
      <c r="C797" s="48" t="n"/>
      <c r="D797" s="48" t="n"/>
      <c r="E797" s="38" t="n"/>
      <c r="F797" s="38" t="n"/>
      <c r="G797" s="38" t="n"/>
      <c r="H797" s="49">
        <f>IF(B797="","",IFERROR(INDEX('JOBS'!$D$5:$D$1504,MATCH(B797,'JOBS'!$A$5:$A$1504,0)),"Job ID not found"))</f>
        <v/>
      </c>
      <c r="I797" s="49">
        <f>IF(B797="","",IFERROR(INDEX('JOBS'!$F$5:$F$1504,MATCH(B797,'JOBS'!$A$5:$A$1504,0)),""))</f>
        <v/>
      </c>
      <c r="J797" s="55">
        <f>IF(C797="","",ROUND(C797*IF(IFERROR(INDEX('SETTINGS'!$K$5:$K$24,MATCH(E797,'SETTINGS'!$J$5:$J$24,0)),"No")="Yes",FeePct,0),2))</f>
        <v/>
      </c>
      <c r="K797" s="51">
        <f>IF(A797="","",DATE(YEAR(A797),MONTH(A797),1))</f>
        <v/>
      </c>
    </row>
    <row r="798">
      <c r="A798" s="47" t="n"/>
      <c r="B798" s="38" t="n"/>
      <c r="C798" s="48" t="n"/>
      <c r="D798" s="48" t="n"/>
      <c r="E798" s="38" t="n"/>
      <c r="F798" s="38" t="n"/>
      <c r="G798" s="38" t="n"/>
      <c r="H798" s="49">
        <f>IF(B798="","",IFERROR(INDEX('JOBS'!$D$5:$D$1504,MATCH(B798,'JOBS'!$A$5:$A$1504,0)),"Job ID not found"))</f>
        <v/>
      </c>
      <c r="I798" s="49">
        <f>IF(B798="","",IFERROR(INDEX('JOBS'!$F$5:$F$1504,MATCH(B798,'JOBS'!$A$5:$A$1504,0)),""))</f>
        <v/>
      </c>
      <c r="J798" s="55">
        <f>IF(C798="","",ROUND(C798*IF(IFERROR(INDEX('SETTINGS'!$K$5:$K$24,MATCH(E798,'SETTINGS'!$J$5:$J$24,0)),"No")="Yes",FeePct,0),2))</f>
        <v/>
      </c>
      <c r="K798" s="51">
        <f>IF(A798="","",DATE(YEAR(A798),MONTH(A798),1))</f>
        <v/>
      </c>
    </row>
    <row r="799">
      <c r="A799" s="47" t="n"/>
      <c r="B799" s="38" t="n"/>
      <c r="C799" s="48" t="n"/>
      <c r="D799" s="48" t="n"/>
      <c r="E799" s="38" t="n"/>
      <c r="F799" s="38" t="n"/>
      <c r="G799" s="38" t="n"/>
      <c r="H799" s="49">
        <f>IF(B799="","",IFERROR(INDEX('JOBS'!$D$5:$D$1504,MATCH(B799,'JOBS'!$A$5:$A$1504,0)),"Job ID not found"))</f>
        <v/>
      </c>
      <c r="I799" s="49">
        <f>IF(B799="","",IFERROR(INDEX('JOBS'!$F$5:$F$1504,MATCH(B799,'JOBS'!$A$5:$A$1504,0)),""))</f>
        <v/>
      </c>
      <c r="J799" s="55">
        <f>IF(C799="","",ROUND(C799*IF(IFERROR(INDEX('SETTINGS'!$K$5:$K$24,MATCH(E799,'SETTINGS'!$J$5:$J$24,0)),"No")="Yes",FeePct,0),2))</f>
        <v/>
      </c>
      <c r="K799" s="51">
        <f>IF(A799="","",DATE(YEAR(A799),MONTH(A799),1))</f>
        <v/>
      </c>
    </row>
    <row r="800">
      <c r="A800" s="47" t="n"/>
      <c r="B800" s="38" t="n"/>
      <c r="C800" s="48" t="n"/>
      <c r="D800" s="48" t="n"/>
      <c r="E800" s="38" t="n"/>
      <c r="F800" s="38" t="n"/>
      <c r="G800" s="38" t="n"/>
      <c r="H800" s="49">
        <f>IF(B800="","",IFERROR(INDEX('JOBS'!$D$5:$D$1504,MATCH(B800,'JOBS'!$A$5:$A$1504,0)),"Job ID not found"))</f>
        <v/>
      </c>
      <c r="I800" s="49">
        <f>IF(B800="","",IFERROR(INDEX('JOBS'!$F$5:$F$1504,MATCH(B800,'JOBS'!$A$5:$A$1504,0)),""))</f>
        <v/>
      </c>
      <c r="J800" s="55">
        <f>IF(C800="","",ROUND(C800*IF(IFERROR(INDEX('SETTINGS'!$K$5:$K$24,MATCH(E800,'SETTINGS'!$J$5:$J$24,0)),"No")="Yes",FeePct,0),2))</f>
        <v/>
      </c>
      <c r="K800" s="51">
        <f>IF(A800="","",DATE(YEAR(A800),MONTH(A800),1))</f>
        <v/>
      </c>
    </row>
    <row r="801">
      <c r="A801" s="47" t="n"/>
      <c r="B801" s="38" t="n"/>
      <c r="C801" s="48" t="n"/>
      <c r="D801" s="48" t="n"/>
      <c r="E801" s="38" t="n"/>
      <c r="F801" s="38" t="n"/>
      <c r="G801" s="38" t="n"/>
      <c r="H801" s="49">
        <f>IF(B801="","",IFERROR(INDEX('JOBS'!$D$5:$D$1504,MATCH(B801,'JOBS'!$A$5:$A$1504,0)),"Job ID not found"))</f>
        <v/>
      </c>
      <c r="I801" s="49">
        <f>IF(B801="","",IFERROR(INDEX('JOBS'!$F$5:$F$1504,MATCH(B801,'JOBS'!$A$5:$A$1504,0)),""))</f>
        <v/>
      </c>
      <c r="J801" s="55">
        <f>IF(C801="","",ROUND(C801*IF(IFERROR(INDEX('SETTINGS'!$K$5:$K$24,MATCH(E801,'SETTINGS'!$J$5:$J$24,0)),"No")="Yes",FeePct,0),2))</f>
        <v/>
      </c>
      <c r="K801" s="51">
        <f>IF(A801="","",DATE(YEAR(A801),MONTH(A801),1))</f>
        <v/>
      </c>
    </row>
    <row r="802">
      <c r="A802" s="47" t="n"/>
      <c r="B802" s="38" t="n"/>
      <c r="C802" s="48" t="n"/>
      <c r="D802" s="48" t="n"/>
      <c r="E802" s="38" t="n"/>
      <c r="F802" s="38" t="n"/>
      <c r="G802" s="38" t="n"/>
      <c r="H802" s="49">
        <f>IF(B802="","",IFERROR(INDEX('JOBS'!$D$5:$D$1504,MATCH(B802,'JOBS'!$A$5:$A$1504,0)),"Job ID not found"))</f>
        <v/>
      </c>
      <c r="I802" s="49">
        <f>IF(B802="","",IFERROR(INDEX('JOBS'!$F$5:$F$1504,MATCH(B802,'JOBS'!$A$5:$A$1504,0)),""))</f>
        <v/>
      </c>
      <c r="J802" s="55">
        <f>IF(C802="","",ROUND(C802*IF(IFERROR(INDEX('SETTINGS'!$K$5:$K$24,MATCH(E802,'SETTINGS'!$J$5:$J$24,0)),"No")="Yes",FeePct,0),2))</f>
        <v/>
      </c>
      <c r="K802" s="51">
        <f>IF(A802="","",DATE(YEAR(A802),MONTH(A802),1))</f>
        <v/>
      </c>
    </row>
    <row r="803">
      <c r="A803" s="47" t="n"/>
      <c r="B803" s="38" t="n"/>
      <c r="C803" s="48" t="n"/>
      <c r="D803" s="48" t="n"/>
      <c r="E803" s="38" t="n"/>
      <c r="F803" s="38" t="n"/>
      <c r="G803" s="38" t="n"/>
      <c r="H803" s="49">
        <f>IF(B803="","",IFERROR(INDEX('JOBS'!$D$5:$D$1504,MATCH(B803,'JOBS'!$A$5:$A$1504,0)),"Job ID not found"))</f>
        <v/>
      </c>
      <c r="I803" s="49">
        <f>IF(B803="","",IFERROR(INDEX('JOBS'!$F$5:$F$1504,MATCH(B803,'JOBS'!$A$5:$A$1504,0)),""))</f>
        <v/>
      </c>
      <c r="J803" s="55">
        <f>IF(C803="","",ROUND(C803*IF(IFERROR(INDEX('SETTINGS'!$K$5:$K$24,MATCH(E803,'SETTINGS'!$J$5:$J$24,0)),"No")="Yes",FeePct,0),2))</f>
        <v/>
      </c>
      <c r="K803" s="51">
        <f>IF(A803="","",DATE(YEAR(A803),MONTH(A803),1))</f>
        <v/>
      </c>
    </row>
    <row r="804">
      <c r="A804" s="47" t="n"/>
      <c r="B804" s="38" t="n"/>
      <c r="C804" s="48" t="n"/>
      <c r="D804" s="48" t="n"/>
      <c r="E804" s="38" t="n"/>
      <c r="F804" s="38" t="n"/>
      <c r="G804" s="38" t="n"/>
      <c r="H804" s="49">
        <f>IF(B804="","",IFERROR(INDEX('JOBS'!$D$5:$D$1504,MATCH(B804,'JOBS'!$A$5:$A$1504,0)),"Job ID not found"))</f>
        <v/>
      </c>
      <c r="I804" s="49">
        <f>IF(B804="","",IFERROR(INDEX('JOBS'!$F$5:$F$1504,MATCH(B804,'JOBS'!$A$5:$A$1504,0)),""))</f>
        <v/>
      </c>
      <c r="J804" s="55">
        <f>IF(C804="","",ROUND(C804*IF(IFERROR(INDEX('SETTINGS'!$K$5:$K$24,MATCH(E804,'SETTINGS'!$J$5:$J$24,0)),"No")="Yes",FeePct,0),2))</f>
        <v/>
      </c>
      <c r="K804" s="51">
        <f>IF(A804="","",DATE(YEAR(A804),MONTH(A804),1))</f>
        <v/>
      </c>
    </row>
    <row r="805">
      <c r="A805" s="47" t="n"/>
      <c r="B805" s="38" t="n"/>
      <c r="C805" s="48" t="n"/>
      <c r="D805" s="48" t="n"/>
      <c r="E805" s="38" t="n"/>
      <c r="F805" s="38" t="n"/>
      <c r="G805" s="38" t="n"/>
      <c r="H805" s="49">
        <f>IF(B805="","",IFERROR(INDEX('JOBS'!$D$5:$D$1504,MATCH(B805,'JOBS'!$A$5:$A$1504,0)),"Job ID not found"))</f>
        <v/>
      </c>
      <c r="I805" s="49">
        <f>IF(B805="","",IFERROR(INDEX('JOBS'!$F$5:$F$1504,MATCH(B805,'JOBS'!$A$5:$A$1504,0)),""))</f>
        <v/>
      </c>
      <c r="J805" s="55">
        <f>IF(C805="","",ROUND(C805*IF(IFERROR(INDEX('SETTINGS'!$K$5:$K$24,MATCH(E805,'SETTINGS'!$J$5:$J$24,0)),"No")="Yes",FeePct,0),2))</f>
        <v/>
      </c>
      <c r="K805" s="51">
        <f>IF(A805="","",DATE(YEAR(A805),MONTH(A805),1))</f>
        <v/>
      </c>
    </row>
    <row r="806">
      <c r="A806" s="47" t="n"/>
      <c r="B806" s="38" t="n"/>
      <c r="C806" s="48" t="n"/>
      <c r="D806" s="48" t="n"/>
      <c r="E806" s="38" t="n"/>
      <c r="F806" s="38" t="n"/>
      <c r="G806" s="38" t="n"/>
      <c r="H806" s="49">
        <f>IF(B806="","",IFERROR(INDEX('JOBS'!$D$5:$D$1504,MATCH(B806,'JOBS'!$A$5:$A$1504,0)),"Job ID not found"))</f>
        <v/>
      </c>
      <c r="I806" s="49">
        <f>IF(B806="","",IFERROR(INDEX('JOBS'!$F$5:$F$1504,MATCH(B806,'JOBS'!$A$5:$A$1504,0)),""))</f>
        <v/>
      </c>
      <c r="J806" s="55">
        <f>IF(C806="","",ROUND(C806*IF(IFERROR(INDEX('SETTINGS'!$K$5:$K$24,MATCH(E806,'SETTINGS'!$J$5:$J$24,0)),"No")="Yes",FeePct,0),2))</f>
        <v/>
      </c>
      <c r="K806" s="51">
        <f>IF(A806="","",DATE(YEAR(A806),MONTH(A806),1))</f>
        <v/>
      </c>
    </row>
    <row r="807">
      <c r="A807" s="47" t="n"/>
      <c r="B807" s="38" t="n"/>
      <c r="C807" s="48" t="n"/>
      <c r="D807" s="48" t="n"/>
      <c r="E807" s="38" t="n"/>
      <c r="F807" s="38" t="n"/>
      <c r="G807" s="38" t="n"/>
      <c r="H807" s="49">
        <f>IF(B807="","",IFERROR(INDEX('JOBS'!$D$5:$D$1504,MATCH(B807,'JOBS'!$A$5:$A$1504,0)),"Job ID not found"))</f>
        <v/>
      </c>
      <c r="I807" s="49">
        <f>IF(B807="","",IFERROR(INDEX('JOBS'!$F$5:$F$1504,MATCH(B807,'JOBS'!$A$5:$A$1504,0)),""))</f>
        <v/>
      </c>
      <c r="J807" s="55">
        <f>IF(C807="","",ROUND(C807*IF(IFERROR(INDEX('SETTINGS'!$K$5:$K$24,MATCH(E807,'SETTINGS'!$J$5:$J$24,0)),"No")="Yes",FeePct,0),2))</f>
        <v/>
      </c>
      <c r="K807" s="51">
        <f>IF(A807="","",DATE(YEAR(A807),MONTH(A807),1))</f>
        <v/>
      </c>
    </row>
    <row r="808">
      <c r="A808" s="47" t="n"/>
      <c r="B808" s="38" t="n"/>
      <c r="C808" s="48" t="n"/>
      <c r="D808" s="48" t="n"/>
      <c r="E808" s="38" t="n"/>
      <c r="F808" s="38" t="n"/>
      <c r="G808" s="38" t="n"/>
      <c r="H808" s="49">
        <f>IF(B808="","",IFERROR(INDEX('JOBS'!$D$5:$D$1504,MATCH(B808,'JOBS'!$A$5:$A$1504,0)),"Job ID not found"))</f>
        <v/>
      </c>
      <c r="I808" s="49">
        <f>IF(B808="","",IFERROR(INDEX('JOBS'!$F$5:$F$1504,MATCH(B808,'JOBS'!$A$5:$A$1504,0)),""))</f>
        <v/>
      </c>
      <c r="J808" s="55">
        <f>IF(C808="","",ROUND(C808*IF(IFERROR(INDEX('SETTINGS'!$K$5:$K$24,MATCH(E808,'SETTINGS'!$J$5:$J$24,0)),"No")="Yes",FeePct,0),2))</f>
        <v/>
      </c>
      <c r="K808" s="51">
        <f>IF(A808="","",DATE(YEAR(A808),MONTH(A808),1))</f>
        <v/>
      </c>
    </row>
    <row r="809">
      <c r="A809" s="47" t="n"/>
      <c r="B809" s="38" t="n"/>
      <c r="C809" s="48" t="n"/>
      <c r="D809" s="48" t="n"/>
      <c r="E809" s="38" t="n"/>
      <c r="F809" s="38" t="n"/>
      <c r="G809" s="38" t="n"/>
      <c r="H809" s="49">
        <f>IF(B809="","",IFERROR(INDEX('JOBS'!$D$5:$D$1504,MATCH(B809,'JOBS'!$A$5:$A$1504,0)),"Job ID not found"))</f>
        <v/>
      </c>
      <c r="I809" s="49">
        <f>IF(B809="","",IFERROR(INDEX('JOBS'!$F$5:$F$1504,MATCH(B809,'JOBS'!$A$5:$A$1504,0)),""))</f>
        <v/>
      </c>
      <c r="J809" s="55">
        <f>IF(C809="","",ROUND(C809*IF(IFERROR(INDEX('SETTINGS'!$K$5:$K$24,MATCH(E809,'SETTINGS'!$J$5:$J$24,0)),"No")="Yes",FeePct,0),2))</f>
        <v/>
      </c>
      <c r="K809" s="51">
        <f>IF(A809="","",DATE(YEAR(A809),MONTH(A809),1))</f>
        <v/>
      </c>
    </row>
    <row r="810">
      <c r="A810" s="47" t="n"/>
      <c r="B810" s="38" t="n"/>
      <c r="C810" s="48" t="n"/>
      <c r="D810" s="48" t="n"/>
      <c r="E810" s="38" t="n"/>
      <c r="F810" s="38" t="n"/>
      <c r="G810" s="38" t="n"/>
      <c r="H810" s="49">
        <f>IF(B810="","",IFERROR(INDEX('JOBS'!$D$5:$D$1504,MATCH(B810,'JOBS'!$A$5:$A$1504,0)),"Job ID not found"))</f>
        <v/>
      </c>
      <c r="I810" s="49">
        <f>IF(B810="","",IFERROR(INDEX('JOBS'!$F$5:$F$1504,MATCH(B810,'JOBS'!$A$5:$A$1504,0)),""))</f>
        <v/>
      </c>
      <c r="J810" s="55">
        <f>IF(C810="","",ROUND(C810*IF(IFERROR(INDEX('SETTINGS'!$K$5:$K$24,MATCH(E810,'SETTINGS'!$J$5:$J$24,0)),"No")="Yes",FeePct,0),2))</f>
        <v/>
      </c>
      <c r="K810" s="51">
        <f>IF(A810="","",DATE(YEAR(A810),MONTH(A810),1))</f>
        <v/>
      </c>
    </row>
    <row r="811">
      <c r="A811" s="47" t="n"/>
      <c r="B811" s="38" t="n"/>
      <c r="C811" s="48" t="n"/>
      <c r="D811" s="48" t="n"/>
      <c r="E811" s="38" t="n"/>
      <c r="F811" s="38" t="n"/>
      <c r="G811" s="38" t="n"/>
      <c r="H811" s="49">
        <f>IF(B811="","",IFERROR(INDEX('JOBS'!$D$5:$D$1504,MATCH(B811,'JOBS'!$A$5:$A$1504,0)),"Job ID not found"))</f>
        <v/>
      </c>
      <c r="I811" s="49">
        <f>IF(B811="","",IFERROR(INDEX('JOBS'!$F$5:$F$1504,MATCH(B811,'JOBS'!$A$5:$A$1504,0)),""))</f>
        <v/>
      </c>
      <c r="J811" s="55">
        <f>IF(C811="","",ROUND(C811*IF(IFERROR(INDEX('SETTINGS'!$K$5:$K$24,MATCH(E811,'SETTINGS'!$J$5:$J$24,0)),"No")="Yes",FeePct,0),2))</f>
        <v/>
      </c>
      <c r="K811" s="51">
        <f>IF(A811="","",DATE(YEAR(A811),MONTH(A811),1))</f>
        <v/>
      </c>
    </row>
    <row r="812">
      <c r="A812" s="47" t="n"/>
      <c r="B812" s="38" t="n"/>
      <c r="C812" s="48" t="n"/>
      <c r="D812" s="48" t="n"/>
      <c r="E812" s="38" t="n"/>
      <c r="F812" s="38" t="n"/>
      <c r="G812" s="38" t="n"/>
      <c r="H812" s="49">
        <f>IF(B812="","",IFERROR(INDEX('JOBS'!$D$5:$D$1504,MATCH(B812,'JOBS'!$A$5:$A$1504,0)),"Job ID not found"))</f>
        <v/>
      </c>
      <c r="I812" s="49">
        <f>IF(B812="","",IFERROR(INDEX('JOBS'!$F$5:$F$1504,MATCH(B812,'JOBS'!$A$5:$A$1504,0)),""))</f>
        <v/>
      </c>
      <c r="J812" s="55">
        <f>IF(C812="","",ROUND(C812*IF(IFERROR(INDEX('SETTINGS'!$K$5:$K$24,MATCH(E812,'SETTINGS'!$J$5:$J$24,0)),"No")="Yes",FeePct,0),2))</f>
        <v/>
      </c>
      <c r="K812" s="51">
        <f>IF(A812="","",DATE(YEAR(A812),MONTH(A812),1))</f>
        <v/>
      </c>
    </row>
    <row r="813">
      <c r="A813" s="47" t="n"/>
      <c r="B813" s="38" t="n"/>
      <c r="C813" s="48" t="n"/>
      <c r="D813" s="48" t="n"/>
      <c r="E813" s="38" t="n"/>
      <c r="F813" s="38" t="n"/>
      <c r="G813" s="38" t="n"/>
      <c r="H813" s="49">
        <f>IF(B813="","",IFERROR(INDEX('JOBS'!$D$5:$D$1504,MATCH(B813,'JOBS'!$A$5:$A$1504,0)),"Job ID not found"))</f>
        <v/>
      </c>
      <c r="I813" s="49">
        <f>IF(B813="","",IFERROR(INDEX('JOBS'!$F$5:$F$1504,MATCH(B813,'JOBS'!$A$5:$A$1504,0)),""))</f>
        <v/>
      </c>
      <c r="J813" s="55">
        <f>IF(C813="","",ROUND(C813*IF(IFERROR(INDEX('SETTINGS'!$K$5:$K$24,MATCH(E813,'SETTINGS'!$J$5:$J$24,0)),"No")="Yes",FeePct,0),2))</f>
        <v/>
      </c>
      <c r="K813" s="51">
        <f>IF(A813="","",DATE(YEAR(A813),MONTH(A813),1))</f>
        <v/>
      </c>
    </row>
    <row r="814">
      <c r="A814" s="47" t="n"/>
      <c r="B814" s="38" t="n"/>
      <c r="C814" s="48" t="n"/>
      <c r="D814" s="48" t="n"/>
      <c r="E814" s="38" t="n"/>
      <c r="F814" s="38" t="n"/>
      <c r="G814" s="38" t="n"/>
      <c r="H814" s="49">
        <f>IF(B814="","",IFERROR(INDEX('JOBS'!$D$5:$D$1504,MATCH(B814,'JOBS'!$A$5:$A$1504,0)),"Job ID not found"))</f>
        <v/>
      </c>
      <c r="I814" s="49">
        <f>IF(B814="","",IFERROR(INDEX('JOBS'!$F$5:$F$1504,MATCH(B814,'JOBS'!$A$5:$A$1504,0)),""))</f>
        <v/>
      </c>
      <c r="J814" s="55">
        <f>IF(C814="","",ROUND(C814*IF(IFERROR(INDEX('SETTINGS'!$K$5:$K$24,MATCH(E814,'SETTINGS'!$J$5:$J$24,0)),"No")="Yes",FeePct,0),2))</f>
        <v/>
      </c>
      <c r="K814" s="51">
        <f>IF(A814="","",DATE(YEAR(A814),MONTH(A814),1))</f>
        <v/>
      </c>
    </row>
    <row r="815">
      <c r="A815" s="47" t="n"/>
      <c r="B815" s="38" t="n"/>
      <c r="C815" s="48" t="n"/>
      <c r="D815" s="48" t="n"/>
      <c r="E815" s="38" t="n"/>
      <c r="F815" s="38" t="n"/>
      <c r="G815" s="38" t="n"/>
      <c r="H815" s="49">
        <f>IF(B815="","",IFERROR(INDEX('JOBS'!$D$5:$D$1504,MATCH(B815,'JOBS'!$A$5:$A$1504,0)),"Job ID not found"))</f>
        <v/>
      </c>
      <c r="I815" s="49">
        <f>IF(B815="","",IFERROR(INDEX('JOBS'!$F$5:$F$1504,MATCH(B815,'JOBS'!$A$5:$A$1504,0)),""))</f>
        <v/>
      </c>
      <c r="J815" s="55">
        <f>IF(C815="","",ROUND(C815*IF(IFERROR(INDEX('SETTINGS'!$K$5:$K$24,MATCH(E815,'SETTINGS'!$J$5:$J$24,0)),"No")="Yes",FeePct,0),2))</f>
        <v/>
      </c>
      <c r="K815" s="51">
        <f>IF(A815="","",DATE(YEAR(A815),MONTH(A815),1))</f>
        <v/>
      </c>
    </row>
    <row r="816">
      <c r="A816" s="47" t="n"/>
      <c r="B816" s="38" t="n"/>
      <c r="C816" s="48" t="n"/>
      <c r="D816" s="48" t="n"/>
      <c r="E816" s="38" t="n"/>
      <c r="F816" s="38" t="n"/>
      <c r="G816" s="38" t="n"/>
      <c r="H816" s="49">
        <f>IF(B816="","",IFERROR(INDEX('JOBS'!$D$5:$D$1504,MATCH(B816,'JOBS'!$A$5:$A$1504,0)),"Job ID not found"))</f>
        <v/>
      </c>
      <c r="I816" s="49">
        <f>IF(B816="","",IFERROR(INDEX('JOBS'!$F$5:$F$1504,MATCH(B816,'JOBS'!$A$5:$A$1504,0)),""))</f>
        <v/>
      </c>
      <c r="J816" s="55">
        <f>IF(C816="","",ROUND(C816*IF(IFERROR(INDEX('SETTINGS'!$K$5:$K$24,MATCH(E816,'SETTINGS'!$J$5:$J$24,0)),"No")="Yes",FeePct,0),2))</f>
        <v/>
      </c>
      <c r="K816" s="51">
        <f>IF(A816="","",DATE(YEAR(A816),MONTH(A816),1))</f>
        <v/>
      </c>
    </row>
    <row r="817">
      <c r="A817" s="47" t="n"/>
      <c r="B817" s="38" t="n"/>
      <c r="C817" s="48" t="n"/>
      <c r="D817" s="48" t="n"/>
      <c r="E817" s="38" t="n"/>
      <c r="F817" s="38" t="n"/>
      <c r="G817" s="38" t="n"/>
      <c r="H817" s="49">
        <f>IF(B817="","",IFERROR(INDEX('JOBS'!$D$5:$D$1504,MATCH(B817,'JOBS'!$A$5:$A$1504,0)),"Job ID not found"))</f>
        <v/>
      </c>
      <c r="I817" s="49">
        <f>IF(B817="","",IFERROR(INDEX('JOBS'!$F$5:$F$1504,MATCH(B817,'JOBS'!$A$5:$A$1504,0)),""))</f>
        <v/>
      </c>
      <c r="J817" s="55">
        <f>IF(C817="","",ROUND(C817*IF(IFERROR(INDEX('SETTINGS'!$K$5:$K$24,MATCH(E817,'SETTINGS'!$J$5:$J$24,0)),"No")="Yes",FeePct,0),2))</f>
        <v/>
      </c>
      <c r="K817" s="51">
        <f>IF(A817="","",DATE(YEAR(A817),MONTH(A817),1))</f>
        <v/>
      </c>
    </row>
    <row r="818">
      <c r="A818" s="47" t="n"/>
      <c r="B818" s="38" t="n"/>
      <c r="C818" s="48" t="n"/>
      <c r="D818" s="48" t="n"/>
      <c r="E818" s="38" t="n"/>
      <c r="F818" s="38" t="n"/>
      <c r="G818" s="38" t="n"/>
      <c r="H818" s="49">
        <f>IF(B818="","",IFERROR(INDEX('JOBS'!$D$5:$D$1504,MATCH(B818,'JOBS'!$A$5:$A$1504,0)),"Job ID not found"))</f>
        <v/>
      </c>
      <c r="I818" s="49">
        <f>IF(B818="","",IFERROR(INDEX('JOBS'!$F$5:$F$1504,MATCH(B818,'JOBS'!$A$5:$A$1504,0)),""))</f>
        <v/>
      </c>
      <c r="J818" s="55">
        <f>IF(C818="","",ROUND(C818*IF(IFERROR(INDEX('SETTINGS'!$K$5:$K$24,MATCH(E818,'SETTINGS'!$J$5:$J$24,0)),"No")="Yes",FeePct,0),2))</f>
        <v/>
      </c>
      <c r="K818" s="51">
        <f>IF(A818="","",DATE(YEAR(A818),MONTH(A818),1))</f>
        <v/>
      </c>
    </row>
    <row r="819">
      <c r="A819" s="47" t="n"/>
      <c r="B819" s="38" t="n"/>
      <c r="C819" s="48" t="n"/>
      <c r="D819" s="48" t="n"/>
      <c r="E819" s="38" t="n"/>
      <c r="F819" s="38" t="n"/>
      <c r="G819" s="38" t="n"/>
      <c r="H819" s="49">
        <f>IF(B819="","",IFERROR(INDEX('JOBS'!$D$5:$D$1504,MATCH(B819,'JOBS'!$A$5:$A$1504,0)),"Job ID not found"))</f>
        <v/>
      </c>
      <c r="I819" s="49">
        <f>IF(B819="","",IFERROR(INDEX('JOBS'!$F$5:$F$1504,MATCH(B819,'JOBS'!$A$5:$A$1504,0)),""))</f>
        <v/>
      </c>
      <c r="J819" s="55">
        <f>IF(C819="","",ROUND(C819*IF(IFERROR(INDEX('SETTINGS'!$K$5:$K$24,MATCH(E819,'SETTINGS'!$J$5:$J$24,0)),"No")="Yes",FeePct,0),2))</f>
        <v/>
      </c>
      <c r="K819" s="51">
        <f>IF(A819="","",DATE(YEAR(A819),MONTH(A819),1))</f>
        <v/>
      </c>
    </row>
    <row r="820">
      <c r="A820" s="47" t="n"/>
      <c r="B820" s="38" t="n"/>
      <c r="C820" s="48" t="n"/>
      <c r="D820" s="48" t="n"/>
      <c r="E820" s="38" t="n"/>
      <c r="F820" s="38" t="n"/>
      <c r="G820" s="38" t="n"/>
      <c r="H820" s="49">
        <f>IF(B820="","",IFERROR(INDEX('JOBS'!$D$5:$D$1504,MATCH(B820,'JOBS'!$A$5:$A$1504,0)),"Job ID not found"))</f>
        <v/>
      </c>
      <c r="I820" s="49">
        <f>IF(B820="","",IFERROR(INDEX('JOBS'!$F$5:$F$1504,MATCH(B820,'JOBS'!$A$5:$A$1504,0)),""))</f>
        <v/>
      </c>
      <c r="J820" s="55">
        <f>IF(C820="","",ROUND(C820*IF(IFERROR(INDEX('SETTINGS'!$K$5:$K$24,MATCH(E820,'SETTINGS'!$J$5:$J$24,0)),"No")="Yes",FeePct,0),2))</f>
        <v/>
      </c>
      <c r="K820" s="51">
        <f>IF(A820="","",DATE(YEAR(A820),MONTH(A820),1))</f>
        <v/>
      </c>
    </row>
    <row r="821">
      <c r="A821" s="47" t="n"/>
      <c r="B821" s="38" t="n"/>
      <c r="C821" s="48" t="n"/>
      <c r="D821" s="48" t="n"/>
      <c r="E821" s="38" t="n"/>
      <c r="F821" s="38" t="n"/>
      <c r="G821" s="38" t="n"/>
      <c r="H821" s="49">
        <f>IF(B821="","",IFERROR(INDEX('JOBS'!$D$5:$D$1504,MATCH(B821,'JOBS'!$A$5:$A$1504,0)),"Job ID not found"))</f>
        <v/>
      </c>
      <c r="I821" s="49">
        <f>IF(B821="","",IFERROR(INDEX('JOBS'!$F$5:$F$1504,MATCH(B821,'JOBS'!$A$5:$A$1504,0)),""))</f>
        <v/>
      </c>
      <c r="J821" s="55">
        <f>IF(C821="","",ROUND(C821*IF(IFERROR(INDEX('SETTINGS'!$K$5:$K$24,MATCH(E821,'SETTINGS'!$J$5:$J$24,0)),"No")="Yes",FeePct,0),2))</f>
        <v/>
      </c>
      <c r="K821" s="51">
        <f>IF(A821="","",DATE(YEAR(A821),MONTH(A821),1))</f>
        <v/>
      </c>
    </row>
    <row r="822">
      <c r="A822" s="47" t="n"/>
      <c r="B822" s="38" t="n"/>
      <c r="C822" s="48" t="n"/>
      <c r="D822" s="48" t="n"/>
      <c r="E822" s="38" t="n"/>
      <c r="F822" s="38" t="n"/>
      <c r="G822" s="38" t="n"/>
      <c r="H822" s="49">
        <f>IF(B822="","",IFERROR(INDEX('JOBS'!$D$5:$D$1504,MATCH(B822,'JOBS'!$A$5:$A$1504,0)),"Job ID not found"))</f>
        <v/>
      </c>
      <c r="I822" s="49">
        <f>IF(B822="","",IFERROR(INDEX('JOBS'!$F$5:$F$1504,MATCH(B822,'JOBS'!$A$5:$A$1504,0)),""))</f>
        <v/>
      </c>
      <c r="J822" s="55">
        <f>IF(C822="","",ROUND(C822*IF(IFERROR(INDEX('SETTINGS'!$K$5:$K$24,MATCH(E822,'SETTINGS'!$J$5:$J$24,0)),"No")="Yes",FeePct,0),2))</f>
        <v/>
      </c>
      <c r="K822" s="51">
        <f>IF(A822="","",DATE(YEAR(A822),MONTH(A822),1))</f>
        <v/>
      </c>
    </row>
    <row r="823">
      <c r="A823" s="47" t="n"/>
      <c r="B823" s="38" t="n"/>
      <c r="C823" s="48" t="n"/>
      <c r="D823" s="48" t="n"/>
      <c r="E823" s="38" t="n"/>
      <c r="F823" s="38" t="n"/>
      <c r="G823" s="38" t="n"/>
      <c r="H823" s="49">
        <f>IF(B823="","",IFERROR(INDEX('JOBS'!$D$5:$D$1504,MATCH(B823,'JOBS'!$A$5:$A$1504,0)),"Job ID not found"))</f>
        <v/>
      </c>
      <c r="I823" s="49">
        <f>IF(B823="","",IFERROR(INDEX('JOBS'!$F$5:$F$1504,MATCH(B823,'JOBS'!$A$5:$A$1504,0)),""))</f>
        <v/>
      </c>
      <c r="J823" s="55">
        <f>IF(C823="","",ROUND(C823*IF(IFERROR(INDEX('SETTINGS'!$K$5:$K$24,MATCH(E823,'SETTINGS'!$J$5:$J$24,0)),"No")="Yes",FeePct,0),2))</f>
        <v/>
      </c>
      <c r="K823" s="51">
        <f>IF(A823="","",DATE(YEAR(A823),MONTH(A823),1))</f>
        <v/>
      </c>
    </row>
    <row r="824">
      <c r="A824" s="47" t="n"/>
      <c r="B824" s="38" t="n"/>
      <c r="C824" s="48" t="n"/>
      <c r="D824" s="48" t="n"/>
      <c r="E824" s="38" t="n"/>
      <c r="F824" s="38" t="n"/>
      <c r="G824" s="38" t="n"/>
      <c r="H824" s="49">
        <f>IF(B824="","",IFERROR(INDEX('JOBS'!$D$5:$D$1504,MATCH(B824,'JOBS'!$A$5:$A$1504,0)),"Job ID not found"))</f>
        <v/>
      </c>
      <c r="I824" s="49">
        <f>IF(B824="","",IFERROR(INDEX('JOBS'!$F$5:$F$1504,MATCH(B824,'JOBS'!$A$5:$A$1504,0)),""))</f>
        <v/>
      </c>
      <c r="J824" s="55">
        <f>IF(C824="","",ROUND(C824*IF(IFERROR(INDEX('SETTINGS'!$K$5:$K$24,MATCH(E824,'SETTINGS'!$J$5:$J$24,0)),"No")="Yes",FeePct,0),2))</f>
        <v/>
      </c>
      <c r="K824" s="51">
        <f>IF(A824="","",DATE(YEAR(A824),MONTH(A824),1))</f>
        <v/>
      </c>
    </row>
    <row r="825">
      <c r="A825" s="47" t="n"/>
      <c r="B825" s="38" t="n"/>
      <c r="C825" s="48" t="n"/>
      <c r="D825" s="48" t="n"/>
      <c r="E825" s="38" t="n"/>
      <c r="F825" s="38" t="n"/>
      <c r="G825" s="38" t="n"/>
      <c r="H825" s="49">
        <f>IF(B825="","",IFERROR(INDEX('JOBS'!$D$5:$D$1504,MATCH(B825,'JOBS'!$A$5:$A$1504,0)),"Job ID not found"))</f>
        <v/>
      </c>
      <c r="I825" s="49">
        <f>IF(B825="","",IFERROR(INDEX('JOBS'!$F$5:$F$1504,MATCH(B825,'JOBS'!$A$5:$A$1504,0)),""))</f>
        <v/>
      </c>
      <c r="J825" s="55">
        <f>IF(C825="","",ROUND(C825*IF(IFERROR(INDEX('SETTINGS'!$K$5:$K$24,MATCH(E825,'SETTINGS'!$J$5:$J$24,0)),"No")="Yes",FeePct,0),2))</f>
        <v/>
      </c>
      <c r="K825" s="51">
        <f>IF(A825="","",DATE(YEAR(A825),MONTH(A825),1))</f>
        <v/>
      </c>
    </row>
    <row r="826">
      <c r="A826" s="47" t="n"/>
      <c r="B826" s="38" t="n"/>
      <c r="C826" s="48" t="n"/>
      <c r="D826" s="48" t="n"/>
      <c r="E826" s="38" t="n"/>
      <c r="F826" s="38" t="n"/>
      <c r="G826" s="38" t="n"/>
      <c r="H826" s="49">
        <f>IF(B826="","",IFERROR(INDEX('JOBS'!$D$5:$D$1504,MATCH(B826,'JOBS'!$A$5:$A$1504,0)),"Job ID not found"))</f>
        <v/>
      </c>
      <c r="I826" s="49">
        <f>IF(B826="","",IFERROR(INDEX('JOBS'!$F$5:$F$1504,MATCH(B826,'JOBS'!$A$5:$A$1504,0)),""))</f>
        <v/>
      </c>
      <c r="J826" s="55">
        <f>IF(C826="","",ROUND(C826*IF(IFERROR(INDEX('SETTINGS'!$K$5:$K$24,MATCH(E826,'SETTINGS'!$J$5:$J$24,0)),"No")="Yes",FeePct,0),2))</f>
        <v/>
      </c>
      <c r="K826" s="51">
        <f>IF(A826="","",DATE(YEAR(A826),MONTH(A826),1))</f>
        <v/>
      </c>
    </row>
    <row r="827">
      <c r="A827" s="47" t="n"/>
      <c r="B827" s="38" t="n"/>
      <c r="C827" s="48" t="n"/>
      <c r="D827" s="48" t="n"/>
      <c r="E827" s="38" t="n"/>
      <c r="F827" s="38" t="n"/>
      <c r="G827" s="38" t="n"/>
      <c r="H827" s="49">
        <f>IF(B827="","",IFERROR(INDEX('JOBS'!$D$5:$D$1504,MATCH(B827,'JOBS'!$A$5:$A$1504,0)),"Job ID not found"))</f>
        <v/>
      </c>
      <c r="I827" s="49">
        <f>IF(B827="","",IFERROR(INDEX('JOBS'!$F$5:$F$1504,MATCH(B827,'JOBS'!$A$5:$A$1504,0)),""))</f>
        <v/>
      </c>
      <c r="J827" s="55">
        <f>IF(C827="","",ROUND(C827*IF(IFERROR(INDEX('SETTINGS'!$K$5:$K$24,MATCH(E827,'SETTINGS'!$J$5:$J$24,0)),"No")="Yes",FeePct,0),2))</f>
        <v/>
      </c>
      <c r="K827" s="51">
        <f>IF(A827="","",DATE(YEAR(A827),MONTH(A827),1))</f>
        <v/>
      </c>
    </row>
    <row r="828">
      <c r="A828" s="47" t="n"/>
      <c r="B828" s="38" t="n"/>
      <c r="C828" s="48" t="n"/>
      <c r="D828" s="48" t="n"/>
      <c r="E828" s="38" t="n"/>
      <c r="F828" s="38" t="n"/>
      <c r="G828" s="38" t="n"/>
      <c r="H828" s="49">
        <f>IF(B828="","",IFERROR(INDEX('JOBS'!$D$5:$D$1504,MATCH(B828,'JOBS'!$A$5:$A$1504,0)),"Job ID not found"))</f>
        <v/>
      </c>
      <c r="I828" s="49">
        <f>IF(B828="","",IFERROR(INDEX('JOBS'!$F$5:$F$1504,MATCH(B828,'JOBS'!$A$5:$A$1504,0)),""))</f>
        <v/>
      </c>
      <c r="J828" s="55">
        <f>IF(C828="","",ROUND(C828*IF(IFERROR(INDEX('SETTINGS'!$K$5:$K$24,MATCH(E828,'SETTINGS'!$J$5:$J$24,0)),"No")="Yes",FeePct,0),2))</f>
        <v/>
      </c>
      <c r="K828" s="51">
        <f>IF(A828="","",DATE(YEAR(A828),MONTH(A828),1))</f>
        <v/>
      </c>
    </row>
    <row r="829">
      <c r="A829" s="47" t="n"/>
      <c r="B829" s="38" t="n"/>
      <c r="C829" s="48" t="n"/>
      <c r="D829" s="48" t="n"/>
      <c r="E829" s="38" t="n"/>
      <c r="F829" s="38" t="n"/>
      <c r="G829" s="38" t="n"/>
      <c r="H829" s="49">
        <f>IF(B829="","",IFERROR(INDEX('JOBS'!$D$5:$D$1504,MATCH(B829,'JOBS'!$A$5:$A$1504,0)),"Job ID not found"))</f>
        <v/>
      </c>
      <c r="I829" s="49">
        <f>IF(B829="","",IFERROR(INDEX('JOBS'!$F$5:$F$1504,MATCH(B829,'JOBS'!$A$5:$A$1504,0)),""))</f>
        <v/>
      </c>
      <c r="J829" s="55">
        <f>IF(C829="","",ROUND(C829*IF(IFERROR(INDEX('SETTINGS'!$K$5:$K$24,MATCH(E829,'SETTINGS'!$J$5:$J$24,0)),"No")="Yes",FeePct,0),2))</f>
        <v/>
      </c>
      <c r="K829" s="51">
        <f>IF(A829="","",DATE(YEAR(A829),MONTH(A829),1))</f>
        <v/>
      </c>
    </row>
    <row r="830">
      <c r="A830" s="47" t="n"/>
      <c r="B830" s="38" t="n"/>
      <c r="C830" s="48" t="n"/>
      <c r="D830" s="48" t="n"/>
      <c r="E830" s="38" t="n"/>
      <c r="F830" s="38" t="n"/>
      <c r="G830" s="38" t="n"/>
      <c r="H830" s="49">
        <f>IF(B830="","",IFERROR(INDEX('JOBS'!$D$5:$D$1504,MATCH(B830,'JOBS'!$A$5:$A$1504,0)),"Job ID not found"))</f>
        <v/>
      </c>
      <c r="I830" s="49">
        <f>IF(B830="","",IFERROR(INDEX('JOBS'!$F$5:$F$1504,MATCH(B830,'JOBS'!$A$5:$A$1504,0)),""))</f>
        <v/>
      </c>
      <c r="J830" s="55">
        <f>IF(C830="","",ROUND(C830*IF(IFERROR(INDEX('SETTINGS'!$K$5:$K$24,MATCH(E830,'SETTINGS'!$J$5:$J$24,0)),"No")="Yes",FeePct,0),2))</f>
        <v/>
      </c>
      <c r="K830" s="51">
        <f>IF(A830="","",DATE(YEAR(A830),MONTH(A830),1))</f>
        <v/>
      </c>
    </row>
    <row r="831">
      <c r="A831" s="47" t="n"/>
      <c r="B831" s="38" t="n"/>
      <c r="C831" s="48" t="n"/>
      <c r="D831" s="48" t="n"/>
      <c r="E831" s="38" t="n"/>
      <c r="F831" s="38" t="n"/>
      <c r="G831" s="38" t="n"/>
      <c r="H831" s="49">
        <f>IF(B831="","",IFERROR(INDEX('JOBS'!$D$5:$D$1504,MATCH(B831,'JOBS'!$A$5:$A$1504,0)),"Job ID not found"))</f>
        <v/>
      </c>
      <c r="I831" s="49">
        <f>IF(B831="","",IFERROR(INDEX('JOBS'!$F$5:$F$1504,MATCH(B831,'JOBS'!$A$5:$A$1504,0)),""))</f>
        <v/>
      </c>
      <c r="J831" s="55">
        <f>IF(C831="","",ROUND(C831*IF(IFERROR(INDEX('SETTINGS'!$K$5:$K$24,MATCH(E831,'SETTINGS'!$J$5:$J$24,0)),"No")="Yes",FeePct,0),2))</f>
        <v/>
      </c>
      <c r="K831" s="51">
        <f>IF(A831="","",DATE(YEAR(A831),MONTH(A831),1))</f>
        <v/>
      </c>
    </row>
    <row r="832">
      <c r="A832" s="47" t="n"/>
      <c r="B832" s="38" t="n"/>
      <c r="C832" s="48" t="n"/>
      <c r="D832" s="48" t="n"/>
      <c r="E832" s="38" t="n"/>
      <c r="F832" s="38" t="n"/>
      <c r="G832" s="38" t="n"/>
      <c r="H832" s="49">
        <f>IF(B832="","",IFERROR(INDEX('JOBS'!$D$5:$D$1504,MATCH(B832,'JOBS'!$A$5:$A$1504,0)),"Job ID not found"))</f>
        <v/>
      </c>
      <c r="I832" s="49">
        <f>IF(B832="","",IFERROR(INDEX('JOBS'!$F$5:$F$1504,MATCH(B832,'JOBS'!$A$5:$A$1504,0)),""))</f>
        <v/>
      </c>
      <c r="J832" s="55">
        <f>IF(C832="","",ROUND(C832*IF(IFERROR(INDEX('SETTINGS'!$K$5:$K$24,MATCH(E832,'SETTINGS'!$J$5:$J$24,0)),"No")="Yes",FeePct,0),2))</f>
        <v/>
      </c>
      <c r="K832" s="51">
        <f>IF(A832="","",DATE(YEAR(A832),MONTH(A832),1))</f>
        <v/>
      </c>
    </row>
    <row r="833">
      <c r="A833" s="47" t="n"/>
      <c r="B833" s="38" t="n"/>
      <c r="C833" s="48" t="n"/>
      <c r="D833" s="48" t="n"/>
      <c r="E833" s="38" t="n"/>
      <c r="F833" s="38" t="n"/>
      <c r="G833" s="38" t="n"/>
      <c r="H833" s="49">
        <f>IF(B833="","",IFERROR(INDEX('JOBS'!$D$5:$D$1504,MATCH(B833,'JOBS'!$A$5:$A$1504,0)),"Job ID not found"))</f>
        <v/>
      </c>
      <c r="I833" s="49">
        <f>IF(B833="","",IFERROR(INDEX('JOBS'!$F$5:$F$1504,MATCH(B833,'JOBS'!$A$5:$A$1504,0)),""))</f>
        <v/>
      </c>
      <c r="J833" s="55">
        <f>IF(C833="","",ROUND(C833*IF(IFERROR(INDEX('SETTINGS'!$K$5:$K$24,MATCH(E833,'SETTINGS'!$J$5:$J$24,0)),"No")="Yes",FeePct,0),2))</f>
        <v/>
      </c>
      <c r="K833" s="51">
        <f>IF(A833="","",DATE(YEAR(A833),MONTH(A833),1))</f>
        <v/>
      </c>
    </row>
    <row r="834">
      <c r="A834" s="47" t="n"/>
      <c r="B834" s="38" t="n"/>
      <c r="C834" s="48" t="n"/>
      <c r="D834" s="48" t="n"/>
      <c r="E834" s="38" t="n"/>
      <c r="F834" s="38" t="n"/>
      <c r="G834" s="38" t="n"/>
      <c r="H834" s="49">
        <f>IF(B834="","",IFERROR(INDEX('JOBS'!$D$5:$D$1504,MATCH(B834,'JOBS'!$A$5:$A$1504,0)),"Job ID not found"))</f>
        <v/>
      </c>
      <c r="I834" s="49">
        <f>IF(B834="","",IFERROR(INDEX('JOBS'!$F$5:$F$1504,MATCH(B834,'JOBS'!$A$5:$A$1504,0)),""))</f>
        <v/>
      </c>
      <c r="J834" s="55">
        <f>IF(C834="","",ROUND(C834*IF(IFERROR(INDEX('SETTINGS'!$K$5:$K$24,MATCH(E834,'SETTINGS'!$J$5:$J$24,0)),"No")="Yes",FeePct,0),2))</f>
        <v/>
      </c>
      <c r="K834" s="51">
        <f>IF(A834="","",DATE(YEAR(A834),MONTH(A834),1))</f>
        <v/>
      </c>
    </row>
    <row r="835">
      <c r="A835" s="47" t="n"/>
      <c r="B835" s="38" t="n"/>
      <c r="C835" s="48" t="n"/>
      <c r="D835" s="48" t="n"/>
      <c r="E835" s="38" t="n"/>
      <c r="F835" s="38" t="n"/>
      <c r="G835" s="38" t="n"/>
      <c r="H835" s="49">
        <f>IF(B835="","",IFERROR(INDEX('JOBS'!$D$5:$D$1504,MATCH(B835,'JOBS'!$A$5:$A$1504,0)),"Job ID not found"))</f>
        <v/>
      </c>
      <c r="I835" s="49">
        <f>IF(B835="","",IFERROR(INDEX('JOBS'!$F$5:$F$1504,MATCH(B835,'JOBS'!$A$5:$A$1504,0)),""))</f>
        <v/>
      </c>
      <c r="J835" s="55">
        <f>IF(C835="","",ROUND(C835*IF(IFERROR(INDEX('SETTINGS'!$K$5:$K$24,MATCH(E835,'SETTINGS'!$J$5:$J$24,0)),"No")="Yes",FeePct,0),2))</f>
        <v/>
      </c>
      <c r="K835" s="51">
        <f>IF(A835="","",DATE(YEAR(A835),MONTH(A835),1))</f>
        <v/>
      </c>
    </row>
    <row r="836">
      <c r="A836" s="47" t="n"/>
      <c r="B836" s="38" t="n"/>
      <c r="C836" s="48" t="n"/>
      <c r="D836" s="48" t="n"/>
      <c r="E836" s="38" t="n"/>
      <c r="F836" s="38" t="n"/>
      <c r="G836" s="38" t="n"/>
      <c r="H836" s="49">
        <f>IF(B836="","",IFERROR(INDEX('JOBS'!$D$5:$D$1504,MATCH(B836,'JOBS'!$A$5:$A$1504,0)),"Job ID not found"))</f>
        <v/>
      </c>
      <c r="I836" s="49">
        <f>IF(B836="","",IFERROR(INDEX('JOBS'!$F$5:$F$1504,MATCH(B836,'JOBS'!$A$5:$A$1504,0)),""))</f>
        <v/>
      </c>
      <c r="J836" s="55">
        <f>IF(C836="","",ROUND(C836*IF(IFERROR(INDEX('SETTINGS'!$K$5:$K$24,MATCH(E836,'SETTINGS'!$J$5:$J$24,0)),"No")="Yes",FeePct,0),2))</f>
        <v/>
      </c>
      <c r="K836" s="51">
        <f>IF(A836="","",DATE(YEAR(A836),MONTH(A836),1))</f>
        <v/>
      </c>
    </row>
    <row r="837">
      <c r="A837" s="47" t="n"/>
      <c r="B837" s="38" t="n"/>
      <c r="C837" s="48" t="n"/>
      <c r="D837" s="48" t="n"/>
      <c r="E837" s="38" t="n"/>
      <c r="F837" s="38" t="n"/>
      <c r="G837" s="38" t="n"/>
      <c r="H837" s="49">
        <f>IF(B837="","",IFERROR(INDEX('JOBS'!$D$5:$D$1504,MATCH(B837,'JOBS'!$A$5:$A$1504,0)),"Job ID not found"))</f>
        <v/>
      </c>
      <c r="I837" s="49">
        <f>IF(B837="","",IFERROR(INDEX('JOBS'!$F$5:$F$1504,MATCH(B837,'JOBS'!$A$5:$A$1504,0)),""))</f>
        <v/>
      </c>
      <c r="J837" s="55">
        <f>IF(C837="","",ROUND(C837*IF(IFERROR(INDEX('SETTINGS'!$K$5:$K$24,MATCH(E837,'SETTINGS'!$J$5:$J$24,0)),"No")="Yes",FeePct,0),2))</f>
        <v/>
      </c>
      <c r="K837" s="51">
        <f>IF(A837="","",DATE(YEAR(A837),MONTH(A837),1))</f>
        <v/>
      </c>
    </row>
    <row r="838">
      <c r="A838" s="47" t="n"/>
      <c r="B838" s="38" t="n"/>
      <c r="C838" s="48" t="n"/>
      <c r="D838" s="48" t="n"/>
      <c r="E838" s="38" t="n"/>
      <c r="F838" s="38" t="n"/>
      <c r="G838" s="38" t="n"/>
      <c r="H838" s="49">
        <f>IF(B838="","",IFERROR(INDEX('JOBS'!$D$5:$D$1504,MATCH(B838,'JOBS'!$A$5:$A$1504,0)),"Job ID not found"))</f>
        <v/>
      </c>
      <c r="I838" s="49">
        <f>IF(B838="","",IFERROR(INDEX('JOBS'!$F$5:$F$1504,MATCH(B838,'JOBS'!$A$5:$A$1504,0)),""))</f>
        <v/>
      </c>
      <c r="J838" s="55">
        <f>IF(C838="","",ROUND(C838*IF(IFERROR(INDEX('SETTINGS'!$K$5:$K$24,MATCH(E838,'SETTINGS'!$J$5:$J$24,0)),"No")="Yes",FeePct,0),2))</f>
        <v/>
      </c>
      <c r="K838" s="51">
        <f>IF(A838="","",DATE(YEAR(A838),MONTH(A838),1))</f>
        <v/>
      </c>
    </row>
    <row r="839">
      <c r="A839" s="47" t="n"/>
      <c r="B839" s="38" t="n"/>
      <c r="C839" s="48" t="n"/>
      <c r="D839" s="48" t="n"/>
      <c r="E839" s="38" t="n"/>
      <c r="F839" s="38" t="n"/>
      <c r="G839" s="38" t="n"/>
      <c r="H839" s="49">
        <f>IF(B839="","",IFERROR(INDEX('JOBS'!$D$5:$D$1504,MATCH(B839,'JOBS'!$A$5:$A$1504,0)),"Job ID not found"))</f>
        <v/>
      </c>
      <c r="I839" s="49">
        <f>IF(B839="","",IFERROR(INDEX('JOBS'!$F$5:$F$1504,MATCH(B839,'JOBS'!$A$5:$A$1504,0)),""))</f>
        <v/>
      </c>
      <c r="J839" s="55">
        <f>IF(C839="","",ROUND(C839*IF(IFERROR(INDEX('SETTINGS'!$K$5:$K$24,MATCH(E839,'SETTINGS'!$J$5:$J$24,0)),"No")="Yes",FeePct,0),2))</f>
        <v/>
      </c>
      <c r="K839" s="51">
        <f>IF(A839="","",DATE(YEAR(A839),MONTH(A839),1))</f>
        <v/>
      </c>
    </row>
    <row r="840">
      <c r="A840" s="47" t="n"/>
      <c r="B840" s="38" t="n"/>
      <c r="C840" s="48" t="n"/>
      <c r="D840" s="48" t="n"/>
      <c r="E840" s="38" t="n"/>
      <c r="F840" s="38" t="n"/>
      <c r="G840" s="38" t="n"/>
      <c r="H840" s="49">
        <f>IF(B840="","",IFERROR(INDEX('JOBS'!$D$5:$D$1504,MATCH(B840,'JOBS'!$A$5:$A$1504,0)),"Job ID not found"))</f>
        <v/>
      </c>
      <c r="I840" s="49">
        <f>IF(B840="","",IFERROR(INDEX('JOBS'!$F$5:$F$1504,MATCH(B840,'JOBS'!$A$5:$A$1504,0)),""))</f>
        <v/>
      </c>
      <c r="J840" s="55">
        <f>IF(C840="","",ROUND(C840*IF(IFERROR(INDEX('SETTINGS'!$K$5:$K$24,MATCH(E840,'SETTINGS'!$J$5:$J$24,0)),"No")="Yes",FeePct,0),2))</f>
        <v/>
      </c>
      <c r="K840" s="51">
        <f>IF(A840="","",DATE(YEAR(A840),MONTH(A840),1))</f>
        <v/>
      </c>
    </row>
    <row r="841">
      <c r="A841" s="47" t="n"/>
      <c r="B841" s="38" t="n"/>
      <c r="C841" s="48" t="n"/>
      <c r="D841" s="48" t="n"/>
      <c r="E841" s="38" t="n"/>
      <c r="F841" s="38" t="n"/>
      <c r="G841" s="38" t="n"/>
      <c r="H841" s="49">
        <f>IF(B841="","",IFERROR(INDEX('JOBS'!$D$5:$D$1504,MATCH(B841,'JOBS'!$A$5:$A$1504,0)),"Job ID not found"))</f>
        <v/>
      </c>
      <c r="I841" s="49">
        <f>IF(B841="","",IFERROR(INDEX('JOBS'!$F$5:$F$1504,MATCH(B841,'JOBS'!$A$5:$A$1504,0)),""))</f>
        <v/>
      </c>
      <c r="J841" s="55">
        <f>IF(C841="","",ROUND(C841*IF(IFERROR(INDEX('SETTINGS'!$K$5:$K$24,MATCH(E841,'SETTINGS'!$J$5:$J$24,0)),"No")="Yes",FeePct,0),2))</f>
        <v/>
      </c>
      <c r="K841" s="51">
        <f>IF(A841="","",DATE(YEAR(A841),MONTH(A841),1))</f>
        <v/>
      </c>
    </row>
    <row r="842">
      <c r="A842" s="47" t="n"/>
      <c r="B842" s="38" t="n"/>
      <c r="C842" s="48" t="n"/>
      <c r="D842" s="48" t="n"/>
      <c r="E842" s="38" t="n"/>
      <c r="F842" s="38" t="n"/>
      <c r="G842" s="38" t="n"/>
      <c r="H842" s="49">
        <f>IF(B842="","",IFERROR(INDEX('JOBS'!$D$5:$D$1504,MATCH(B842,'JOBS'!$A$5:$A$1504,0)),"Job ID not found"))</f>
        <v/>
      </c>
      <c r="I842" s="49">
        <f>IF(B842="","",IFERROR(INDEX('JOBS'!$F$5:$F$1504,MATCH(B842,'JOBS'!$A$5:$A$1504,0)),""))</f>
        <v/>
      </c>
      <c r="J842" s="55">
        <f>IF(C842="","",ROUND(C842*IF(IFERROR(INDEX('SETTINGS'!$K$5:$K$24,MATCH(E842,'SETTINGS'!$J$5:$J$24,0)),"No")="Yes",FeePct,0),2))</f>
        <v/>
      </c>
      <c r="K842" s="51">
        <f>IF(A842="","",DATE(YEAR(A842),MONTH(A842),1))</f>
        <v/>
      </c>
    </row>
    <row r="843">
      <c r="A843" s="47" t="n"/>
      <c r="B843" s="38" t="n"/>
      <c r="C843" s="48" t="n"/>
      <c r="D843" s="48" t="n"/>
      <c r="E843" s="38" t="n"/>
      <c r="F843" s="38" t="n"/>
      <c r="G843" s="38" t="n"/>
      <c r="H843" s="49">
        <f>IF(B843="","",IFERROR(INDEX('JOBS'!$D$5:$D$1504,MATCH(B843,'JOBS'!$A$5:$A$1504,0)),"Job ID not found"))</f>
        <v/>
      </c>
      <c r="I843" s="49">
        <f>IF(B843="","",IFERROR(INDEX('JOBS'!$F$5:$F$1504,MATCH(B843,'JOBS'!$A$5:$A$1504,0)),""))</f>
        <v/>
      </c>
      <c r="J843" s="55">
        <f>IF(C843="","",ROUND(C843*IF(IFERROR(INDEX('SETTINGS'!$K$5:$K$24,MATCH(E843,'SETTINGS'!$J$5:$J$24,0)),"No")="Yes",FeePct,0),2))</f>
        <v/>
      </c>
      <c r="K843" s="51">
        <f>IF(A843="","",DATE(YEAR(A843),MONTH(A843),1))</f>
        <v/>
      </c>
    </row>
    <row r="844">
      <c r="A844" s="47" t="n"/>
      <c r="B844" s="38" t="n"/>
      <c r="C844" s="48" t="n"/>
      <c r="D844" s="48" t="n"/>
      <c r="E844" s="38" t="n"/>
      <c r="F844" s="38" t="n"/>
      <c r="G844" s="38" t="n"/>
      <c r="H844" s="49">
        <f>IF(B844="","",IFERROR(INDEX('JOBS'!$D$5:$D$1504,MATCH(B844,'JOBS'!$A$5:$A$1504,0)),"Job ID not found"))</f>
        <v/>
      </c>
      <c r="I844" s="49">
        <f>IF(B844="","",IFERROR(INDEX('JOBS'!$F$5:$F$1504,MATCH(B844,'JOBS'!$A$5:$A$1504,0)),""))</f>
        <v/>
      </c>
      <c r="J844" s="55">
        <f>IF(C844="","",ROUND(C844*IF(IFERROR(INDEX('SETTINGS'!$K$5:$K$24,MATCH(E844,'SETTINGS'!$J$5:$J$24,0)),"No")="Yes",FeePct,0),2))</f>
        <v/>
      </c>
      <c r="K844" s="51">
        <f>IF(A844="","",DATE(YEAR(A844),MONTH(A844),1))</f>
        <v/>
      </c>
    </row>
    <row r="845">
      <c r="A845" s="47" t="n"/>
      <c r="B845" s="38" t="n"/>
      <c r="C845" s="48" t="n"/>
      <c r="D845" s="48" t="n"/>
      <c r="E845" s="38" t="n"/>
      <c r="F845" s="38" t="n"/>
      <c r="G845" s="38" t="n"/>
      <c r="H845" s="49">
        <f>IF(B845="","",IFERROR(INDEX('JOBS'!$D$5:$D$1504,MATCH(B845,'JOBS'!$A$5:$A$1504,0)),"Job ID not found"))</f>
        <v/>
      </c>
      <c r="I845" s="49">
        <f>IF(B845="","",IFERROR(INDEX('JOBS'!$F$5:$F$1504,MATCH(B845,'JOBS'!$A$5:$A$1504,0)),""))</f>
        <v/>
      </c>
      <c r="J845" s="55">
        <f>IF(C845="","",ROUND(C845*IF(IFERROR(INDEX('SETTINGS'!$K$5:$K$24,MATCH(E845,'SETTINGS'!$J$5:$J$24,0)),"No")="Yes",FeePct,0),2))</f>
        <v/>
      </c>
      <c r="K845" s="51">
        <f>IF(A845="","",DATE(YEAR(A845),MONTH(A845),1))</f>
        <v/>
      </c>
    </row>
    <row r="846">
      <c r="A846" s="47" t="n"/>
      <c r="B846" s="38" t="n"/>
      <c r="C846" s="48" t="n"/>
      <c r="D846" s="48" t="n"/>
      <c r="E846" s="38" t="n"/>
      <c r="F846" s="38" t="n"/>
      <c r="G846" s="38" t="n"/>
      <c r="H846" s="49">
        <f>IF(B846="","",IFERROR(INDEX('JOBS'!$D$5:$D$1504,MATCH(B846,'JOBS'!$A$5:$A$1504,0)),"Job ID not found"))</f>
        <v/>
      </c>
      <c r="I846" s="49">
        <f>IF(B846="","",IFERROR(INDEX('JOBS'!$F$5:$F$1504,MATCH(B846,'JOBS'!$A$5:$A$1504,0)),""))</f>
        <v/>
      </c>
      <c r="J846" s="55">
        <f>IF(C846="","",ROUND(C846*IF(IFERROR(INDEX('SETTINGS'!$K$5:$K$24,MATCH(E846,'SETTINGS'!$J$5:$J$24,0)),"No")="Yes",FeePct,0),2))</f>
        <v/>
      </c>
      <c r="K846" s="51">
        <f>IF(A846="","",DATE(YEAR(A846),MONTH(A846),1))</f>
        <v/>
      </c>
    </row>
    <row r="847">
      <c r="A847" s="47" t="n"/>
      <c r="B847" s="38" t="n"/>
      <c r="C847" s="48" t="n"/>
      <c r="D847" s="48" t="n"/>
      <c r="E847" s="38" t="n"/>
      <c r="F847" s="38" t="n"/>
      <c r="G847" s="38" t="n"/>
      <c r="H847" s="49">
        <f>IF(B847="","",IFERROR(INDEX('JOBS'!$D$5:$D$1504,MATCH(B847,'JOBS'!$A$5:$A$1504,0)),"Job ID not found"))</f>
        <v/>
      </c>
      <c r="I847" s="49">
        <f>IF(B847="","",IFERROR(INDEX('JOBS'!$F$5:$F$1504,MATCH(B847,'JOBS'!$A$5:$A$1504,0)),""))</f>
        <v/>
      </c>
      <c r="J847" s="55">
        <f>IF(C847="","",ROUND(C847*IF(IFERROR(INDEX('SETTINGS'!$K$5:$K$24,MATCH(E847,'SETTINGS'!$J$5:$J$24,0)),"No")="Yes",FeePct,0),2))</f>
        <v/>
      </c>
      <c r="K847" s="51">
        <f>IF(A847="","",DATE(YEAR(A847),MONTH(A847),1))</f>
        <v/>
      </c>
    </row>
    <row r="848">
      <c r="A848" s="47" t="n"/>
      <c r="B848" s="38" t="n"/>
      <c r="C848" s="48" t="n"/>
      <c r="D848" s="48" t="n"/>
      <c r="E848" s="38" t="n"/>
      <c r="F848" s="38" t="n"/>
      <c r="G848" s="38" t="n"/>
      <c r="H848" s="49">
        <f>IF(B848="","",IFERROR(INDEX('JOBS'!$D$5:$D$1504,MATCH(B848,'JOBS'!$A$5:$A$1504,0)),"Job ID not found"))</f>
        <v/>
      </c>
      <c r="I848" s="49">
        <f>IF(B848="","",IFERROR(INDEX('JOBS'!$F$5:$F$1504,MATCH(B848,'JOBS'!$A$5:$A$1504,0)),""))</f>
        <v/>
      </c>
      <c r="J848" s="55">
        <f>IF(C848="","",ROUND(C848*IF(IFERROR(INDEX('SETTINGS'!$K$5:$K$24,MATCH(E848,'SETTINGS'!$J$5:$J$24,0)),"No")="Yes",FeePct,0),2))</f>
        <v/>
      </c>
      <c r="K848" s="51">
        <f>IF(A848="","",DATE(YEAR(A848),MONTH(A848),1))</f>
        <v/>
      </c>
    </row>
    <row r="849">
      <c r="A849" s="47" t="n"/>
      <c r="B849" s="38" t="n"/>
      <c r="C849" s="48" t="n"/>
      <c r="D849" s="48" t="n"/>
      <c r="E849" s="38" t="n"/>
      <c r="F849" s="38" t="n"/>
      <c r="G849" s="38" t="n"/>
      <c r="H849" s="49">
        <f>IF(B849="","",IFERROR(INDEX('JOBS'!$D$5:$D$1504,MATCH(B849,'JOBS'!$A$5:$A$1504,0)),"Job ID not found"))</f>
        <v/>
      </c>
      <c r="I849" s="49">
        <f>IF(B849="","",IFERROR(INDEX('JOBS'!$F$5:$F$1504,MATCH(B849,'JOBS'!$A$5:$A$1504,0)),""))</f>
        <v/>
      </c>
      <c r="J849" s="55">
        <f>IF(C849="","",ROUND(C849*IF(IFERROR(INDEX('SETTINGS'!$K$5:$K$24,MATCH(E849,'SETTINGS'!$J$5:$J$24,0)),"No")="Yes",FeePct,0),2))</f>
        <v/>
      </c>
      <c r="K849" s="51">
        <f>IF(A849="","",DATE(YEAR(A849),MONTH(A849),1))</f>
        <v/>
      </c>
    </row>
    <row r="850">
      <c r="A850" s="47" t="n"/>
      <c r="B850" s="38" t="n"/>
      <c r="C850" s="48" t="n"/>
      <c r="D850" s="48" t="n"/>
      <c r="E850" s="38" t="n"/>
      <c r="F850" s="38" t="n"/>
      <c r="G850" s="38" t="n"/>
      <c r="H850" s="49">
        <f>IF(B850="","",IFERROR(INDEX('JOBS'!$D$5:$D$1504,MATCH(B850,'JOBS'!$A$5:$A$1504,0)),"Job ID not found"))</f>
        <v/>
      </c>
      <c r="I850" s="49">
        <f>IF(B850="","",IFERROR(INDEX('JOBS'!$F$5:$F$1504,MATCH(B850,'JOBS'!$A$5:$A$1504,0)),""))</f>
        <v/>
      </c>
      <c r="J850" s="55">
        <f>IF(C850="","",ROUND(C850*IF(IFERROR(INDEX('SETTINGS'!$K$5:$K$24,MATCH(E850,'SETTINGS'!$J$5:$J$24,0)),"No")="Yes",FeePct,0),2))</f>
        <v/>
      </c>
      <c r="K850" s="51">
        <f>IF(A850="","",DATE(YEAR(A850),MONTH(A850),1))</f>
        <v/>
      </c>
    </row>
    <row r="851">
      <c r="A851" s="47" t="n"/>
      <c r="B851" s="38" t="n"/>
      <c r="C851" s="48" t="n"/>
      <c r="D851" s="48" t="n"/>
      <c r="E851" s="38" t="n"/>
      <c r="F851" s="38" t="n"/>
      <c r="G851" s="38" t="n"/>
      <c r="H851" s="49">
        <f>IF(B851="","",IFERROR(INDEX('JOBS'!$D$5:$D$1504,MATCH(B851,'JOBS'!$A$5:$A$1504,0)),"Job ID not found"))</f>
        <v/>
      </c>
      <c r="I851" s="49">
        <f>IF(B851="","",IFERROR(INDEX('JOBS'!$F$5:$F$1504,MATCH(B851,'JOBS'!$A$5:$A$1504,0)),""))</f>
        <v/>
      </c>
      <c r="J851" s="55">
        <f>IF(C851="","",ROUND(C851*IF(IFERROR(INDEX('SETTINGS'!$K$5:$K$24,MATCH(E851,'SETTINGS'!$J$5:$J$24,0)),"No")="Yes",FeePct,0),2))</f>
        <v/>
      </c>
      <c r="K851" s="51">
        <f>IF(A851="","",DATE(YEAR(A851),MONTH(A851),1))</f>
        <v/>
      </c>
    </row>
    <row r="852">
      <c r="A852" s="47" t="n"/>
      <c r="B852" s="38" t="n"/>
      <c r="C852" s="48" t="n"/>
      <c r="D852" s="48" t="n"/>
      <c r="E852" s="38" t="n"/>
      <c r="F852" s="38" t="n"/>
      <c r="G852" s="38" t="n"/>
      <c r="H852" s="49">
        <f>IF(B852="","",IFERROR(INDEX('JOBS'!$D$5:$D$1504,MATCH(B852,'JOBS'!$A$5:$A$1504,0)),"Job ID not found"))</f>
        <v/>
      </c>
      <c r="I852" s="49">
        <f>IF(B852="","",IFERROR(INDEX('JOBS'!$F$5:$F$1504,MATCH(B852,'JOBS'!$A$5:$A$1504,0)),""))</f>
        <v/>
      </c>
      <c r="J852" s="55">
        <f>IF(C852="","",ROUND(C852*IF(IFERROR(INDEX('SETTINGS'!$K$5:$K$24,MATCH(E852,'SETTINGS'!$J$5:$J$24,0)),"No")="Yes",FeePct,0),2))</f>
        <v/>
      </c>
      <c r="K852" s="51">
        <f>IF(A852="","",DATE(YEAR(A852),MONTH(A852),1))</f>
        <v/>
      </c>
    </row>
    <row r="853">
      <c r="A853" s="47" t="n"/>
      <c r="B853" s="38" t="n"/>
      <c r="C853" s="48" t="n"/>
      <c r="D853" s="48" t="n"/>
      <c r="E853" s="38" t="n"/>
      <c r="F853" s="38" t="n"/>
      <c r="G853" s="38" t="n"/>
      <c r="H853" s="49">
        <f>IF(B853="","",IFERROR(INDEX('JOBS'!$D$5:$D$1504,MATCH(B853,'JOBS'!$A$5:$A$1504,0)),"Job ID not found"))</f>
        <v/>
      </c>
      <c r="I853" s="49">
        <f>IF(B853="","",IFERROR(INDEX('JOBS'!$F$5:$F$1504,MATCH(B853,'JOBS'!$A$5:$A$1504,0)),""))</f>
        <v/>
      </c>
      <c r="J853" s="55">
        <f>IF(C853="","",ROUND(C853*IF(IFERROR(INDEX('SETTINGS'!$K$5:$K$24,MATCH(E853,'SETTINGS'!$J$5:$J$24,0)),"No")="Yes",FeePct,0),2))</f>
        <v/>
      </c>
      <c r="K853" s="51">
        <f>IF(A853="","",DATE(YEAR(A853),MONTH(A853),1))</f>
        <v/>
      </c>
    </row>
    <row r="854">
      <c r="A854" s="47" t="n"/>
      <c r="B854" s="38" t="n"/>
      <c r="C854" s="48" t="n"/>
      <c r="D854" s="48" t="n"/>
      <c r="E854" s="38" t="n"/>
      <c r="F854" s="38" t="n"/>
      <c r="G854" s="38" t="n"/>
      <c r="H854" s="49">
        <f>IF(B854="","",IFERROR(INDEX('JOBS'!$D$5:$D$1504,MATCH(B854,'JOBS'!$A$5:$A$1504,0)),"Job ID not found"))</f>
        <v/>
      </c>
      <c r="I854" s="49">
        <f>IF(B854="","",IFERROR(INDEX('JOBS'!$F$5:$F$1504,MATCH(B854,'JOBS'!$A$5:$A$1504,0)),""))</f>
        <v/>
      </c>
      <c r="J854" s="55">
        <f>IF(C854="","",ROUND(C854*IF(IFERROR(INDEX('SETTINGS'!$K$5:$K$24,MATCH(E854,'SETTINGS'!$J$5:$J$24,0)),"No")="Yes",FeePct,0),2))</f>
        <v/>
      </c>
      <c r="K854" s="51">
        <f>IF(A854="","",DATE(YEAR(A854),MONTH(A854),1))</f>
        <v/>
      </c>
    </row>
    <row r="855">
      <c r="A855" s="47" t="n"/>
      <c r="B855" s="38" t="n"/>
      <c r="C855" s="48" t="n"/>
      <c r="D855" s="48" t="n"/>
      <c r="E855" s="38" t="n"/>
      <c r="F855" s="38" t="n"/>
      <c r="G855" s="38" t="n"/>
      <c r="H855" s="49">
        <f>IF(B855="","",IFERROR(INDEX('JOBS'!$D$5:$D$1504,MATCH(B855,'JOBS'!$A$5:$A$1504,0)),"Job ID not found"))</f>
        <v/>
      </c>
      <c r="I855" s="49">
        <f>IF(B855="","",IFERROR(INDEX('JOBS'!$F$5:$F$1504,MATCH(B855,'JOBS'!$A$5:$A$1504,0)),""))</f>
        <v/>
      </c>
      <c r="J855" s="55">
        <f>IF(C855="","",ROUND(C855*IF(IFERROR(INDEX('SETTINGS'!$K$5:$K$24,MATCH(E855,'SETTINGS'!$J$5:$J$24,0)),"No")="Yes",FeePct,0),2))</f>
        <v/>
      </c>
      <c r="K855" s="51">
        <f>IF(A855="","",DATE(YEAR(A855),MONTH(A855),1))</f>
        <v/>
      </c>
    </row>
    <row r="856">
      <c r="A856" s="47" t="n"/>
      <c r="B856" s="38" t="n"/>
      <c r="C856" s="48" t="n"/>
      <c r="D856" s="48" t="n"/>
      <c r="E856" s="38" t="n"/>
      <c r="F856" s="38" t="n"/>
      <c r="G856" s="38" t="n"/>
      <c r="H856" s="49">
        <f>IF(B856="","",IFERROR(INDEX('JOBS'!$D$5:$D$1504,MATCH(B856,'JOBS'!$A$5:$A$1504,0)),"Job ID not found"))</f>
        <v/>
      </c>
      <c r="I856" s="49">
        <f>IF(B856="","",IFERROR(INDEX('JOBS'!$F$5:$F$1504,MATCH(B856,'JOBS'!$A$5:$A$1504,0)),""))</f>
        <v/>
      </c>
      <c r="J856" s="55">
        <f>IF(C856="","",ROUND(C856*IF(IFERROR(INDEX('SETTINGS'!$K$5:$K$24,MATCH(E856,'SETTINGS'!$J$5:$J$24,0)),"No")="Yes",FeePct,0),2))</f>
        <v/>
      </c>
      <c r="K856" s="51">
        <f>IF(A856="","",DATE(YEAR(A856),MONTH(A856),1))</f>
        <v/>
      </c>
    </row>
    <row r="857">
      <c r="A857" s="47" t="n"/>
      <c r="B857" s="38" t="n"/>
      <c r="C857" s="48" t="n"/>
      <c r="D857" s="48" t="n"/>
      <c r="E857" s="38" t="n"/>
      <c r="F857" s="38" t="n"/>
      <c r="G857" s="38" t="n"/>
      <c r="H857" s="49">
        <f>IF(B857="","",IFERROR(INDEX('JOBS'!$D$5:$D$1504,MATCH(B857,'JOBS'!$A$5:$A$1504,0)),"Job ID not found"))</f>
        <v/>
      </c>
      <c r="I857" s="49">
        <f>IF(B857="","",IFERROR(INDEX('JOBS'!$F$5:$F$1504,MATCH(B857,'JOBS'!$A$5:$A$1504,0)),""))</f>
        <v/>
      </c>
      <c r="J857" s="55">
        <f>IF(C857="","",ROUND(C857*IF(IFERROR(INDEX('SETTINGS'!$K$5:$K$24,MATCH(E857,'SETTINGS'!$J$5:$J$24,0)),"No")="Yes",FeePct,0),2))</f>
        <v/>
      </c>
      <c r="K857" s="51">
        <f>IF(A857="","",DATE(YEAR(A857),MONTH(A857),1))</f>
        <v/>
      </c>
    </row>
    <row r="858">
      <c r="A858" s="47" t="n"/>
      <c r="B858" s="38" t="n"/>
      <c r="C858" s="48" t="n"/>
      <c r="D858" s="48" t="n"/>
      <c r="E858" s="38" t="n"/>
      <c r="F858" s="38" t="n"/>
      <c r="G858" s="38" t="n"/>
      <c r="H858" s="49">
        <f>IF(B858="","",IFERROR(INDEX('JOBS'!$D$5:$D$1504,MATCH(B858,'JOBS'!$A$5:$A$1504,0)),"Job ID not found"))</f>
        <v/>
      </c>
      <c r="I858" s="49">
        <f>IF(B858="","",IFERROR(INDEX('JOBS'!$F$5:$F$1504,MATCH(B858,'JOBS'!$A$5:$A$1504,0)),""))</f>
        <v/>
      </c>
      <c r="J858" s="55">
        <f>IF(C858="","",ROUND(C858*IF(IFERROR(INDEX('SETTINGS'!$K$5:$K$24,MATCH(E858,'SETTINGS'!$J$5:$J$24,0)),"No")="Yes",FeePct,0),2))</f>
        <v/>
      </c>
      <c r="K858" s="51">
        <f>IF(A858="","",DATE(YEAR(A858),MONTH(A858),1))</f>
        <v/>
      </c>
    </row>
    <row r="859">
      <c r="A859" s="47" t="n"/>
      <c r="B859" s="38" t="n"/>
      <c r="C859" s="48" t="n"/>
      <c r="D859" s="48" t="n"/>
      <c r="E859" s="38" t="n"/>
      <c r="F859" s="38" t="n"/>
      <c r="G859" s="38" t="n"/>
      <c r="H859" s="49">
        <f>IF(B859="","",IFERROR(INDEX('JOBS'!$D$5:$D$1504,MATCH(B859,'JOBS'!$A$5:$A$1504,0)),"Job ID not found"))</f>
        <v/>
      </c>
      <c r="I859" s="49">
        <f>IF(B859="","",IFERROR(INDEX('JOBS'!$F$5:$F$1504,MATCH(B859,'JOBS'!$A$5:$A$1504,0)),""))</f>
        <v/>
      </c>
      <c r="J859" s="55">
        <f>IF(C859="","",ROUND(C859*IF(IFERROR(INDEX('SETTINGS'!$K$5:$K$24,MATCH(E859,'SETTINGS'!$J$5:$J$24,0)),"No")="Yes",FeePct,0),2))</f>
        <v/>
      </c>
      <c r="K859" s="51">
        <f>IF(A859="","",DATE(YEAR(A859),MONTH(A859),1))</f>
        <v/>
      </c>
    </row>
    <row r="860">
      <c r="A860" s="47" t="n"/>
      <c r="B860" s="38" t="n"/>
      <c r="C860" s="48" t="n"/>
      <c r="D860" s="48" t="n"/>
      <c r="E860" s="38" t="n"/>
      <c r="F860" s="38" t="n"/>
      <c r="G860" s="38" t="n"/>
      <c r="H860" s="49">
        <f>IF(B860="","",IFERROR(INDEX('JOBS'!$D$5:$D$1504,MATCH(B860,'JOBS'!$A$5:$A$1504,0)),"Job ID not found"))</f>
        <v/>
      </c>
      <c r="I860" s="49">
        <f>IF(B860="","",IFERROR(INDEX('JOBS'!$F$5:$F$1504,MATCH(B860,'JOBS'!$A$5:$A$1504,0)),""))</f>
        <v/>
      </c>
      <c r="J860" s="55">
        <f>IF(C860="","",ROUND(C860*IF(IFERROR(INDEX('SETTINGS'!$K$5:$K$24,MATCH(E860,'SETTINGS'!$J$5:$J$24,0)),"No")="Yes",FeePct,0),2))</f>
        <v/>
      </c>
      <c r="K860" s="51">
        <f>IF(A860="","",DATE(YEAR(A860),MONTH(A860),1))</f>
        <v/>
      </c>
    </row>
    <row r="861">
      <c r="A861" s="47" t="n"/>
      <c r="B861" s="38" t="n"/>
      <c r="C861" s="48" t="n"/>
      <c r="D861" s="48" t="n"/>
      <c r="E861" s="38" t="n"/>
      <c r="F861" s="38" t="n"/>
      <c r="G861" s="38" t="n"/>
      <c r="H861" s="49">
        <f>IF(B861="","",IFERROR(INDEX('JOBS'!$D$5:$D$1504,MATCH(B861,'JOBS'!$A$5:$A$1504,0)),"Job ID not found"))</f>
        <v/>
      </c>
      <c r="I861" s="49">
        <f>IF(B861="","",IFERROR(INDEX('JOBS'!$F$5:$F$1504,MATCH(B861,'JOBS'!$A$5:$A$1504,0)),""))</f>
        <v/>
      </c>
      <c r="J861" s="55">
        <f>IF(C861="","",ROUND(C861*IF(IFERROR(INDEX('SETTINGS'!$K$5:$K$24,MATCH(E861,'SETTINGS'!$J$5:$J$24,0)),"No")="Yes",FeePct,0),2))</f>
        <v/>
      </c>
      <c r="K861" s="51">
        <f>IF(A861="","",DATE(YEAR(A861),MONTH(A861),1))</f>
        <v/>
      </c>
    </row>
    <row r="862">
      <c r="A862" s="47" t="n"/>
      <c r="B862" s="38" t="n"/>
      <c r="C862" s="48" t="n"/>
      <c r="D862" s="48" t="n"/>
      <c r="E862" s="38" t="n"/>
      <c r="F862" s="38" t="n"/>
      <c r="G862" s="38" t="n"/>
      <c r="H862" s="49">
        <f>IF(B862="","",IFERROR(INDEX('JOBS'!$D$5:$D$1504,MATCH(B862,'JOBS'!$A$5:$A$1504,0)),"Job ID not found"))</f>
        <v/>
      </c>
      <c r="I862" s="49">
        <f>IF(B862="","",IFERROR(INDEX('JOBS'!$F$5:$F$1504,MATCH(B862,'JOBS'!$A$5:$A$1504,0)),""))</f>
        <v/>
      </c>
      <c r="J862" s="55">
        <f>IF(C862="","",ROUND(C862*IF(IFERROR(INDEX('SETTINGS'!$K$5:$K$24,MATCH(E862,'SETTINGS'!$J$5:$J$24,0)),"No")="Yes",FeePct,0),2))</f>
        <v/>
      </c>
      <c r="K862" s="51">
        <f>IF(A862="","",DATE(YEAR(A862),MONTH(A862),1))</f>
        <v/>
      </c>
    </row>
    <row r="863">
      <c r="A863" s="47" t="n"/>
      <c r="B863" s="38" t="n"/>
      <c r="C863" s="48" t="n"/>
      <c r="D863" s="48" t="n"/>
      <c r="E863" s="38" t="n"/>
      <c r="F863" s="38" t="n"/>
      <c r="G863" s="38" t="n"/>
      <c r="H863" s="49">
        <f>IF(B863="","",IFERROR(INDEX('JOBS'!$D$5:$D$1504,MATCH(B863,'JOBS'!$A$5:$A$1504,0)),"Job ID not found"))</f>
        <v/>
      </c>
      <c r="I863" s="49">
        <f>IF(B863="","",IFERROR(INDEX('JOBS'!$F$5:$F$1504,MATCH(B863,'JOBS'!$A$5:$A$1504,0)),""))</f>
        <v/>
      </c>
      <c r="J863" s="55">
        <f>IF(C863="","",ROUND(C863*IF(IFERROR(INDEX('SETTINGS'!$K$5:$K$24,MATCH(E863,'SETTINGS'!$J$5:$J$24,0)),"No")="Yes",FeePct,0),2))</f>
        <v/>
      </c>
      <c r="K863" s="51">
        <f>IF(A863="","",DATE(YEAR(A863),MONTH(A863),1))</f>
        <v/>
      </c>
    </row>
    <row r="864">
      <c r="A864" s="47" t="n"/>
      <c r="B864" s="38" t="n"/>
      <c r="C864" s="48" t="n"/>
      <c r="D864" s="48" t="n"/>
      <c r="E864" s="38" t="n"/>
      <c r="F864" s="38" t="n"/>
      <c r="G864" s="38" t="n"/>
      <c r="H864" s="49">
        <f>IF(B864="","",IFERROR(INDEX('JOBS'!$D$5:$D$1504,MATCH(B864,'JOBS'!$A$5:$A$1504,0)),"Job ID not found"))</f>
        <v/>
      </c>
      <c r="I864" s="49">
        <f>IF(B864="","",IFERROR(INDEX('JOBS'!$F$5:$F$1504,MATCH(B864,'JOBS'!$A$5:$A$1504,0)),""))</f>
        <v/>
      </c>
      <c r="J864" s="55">
        <f>IF(C864="","",ROUND(C864*IF(IFERROR(INDEX('SETTINGS'!$K$5:$K$24,MATCH(E864,'SETTINGS'!$J$5:$J$24,0)),"No")="Yes",FeePct,0),2))</f>
        <v/>
      </c>
      <c r="K864" s="51">
        <f>IF(A864="","",DATE(YEAR(A864),MONTH(A864),1))</f>
        <v/>
      </c>
    </row>
    <row r="865">
      <c r="A865" s="47" t="n"/>
      <c r="B865" s="38" t="n"/>
      <c r="C865" s="48" t="n"/>
      <c r="D865" s="48" t="n"/>
      <c r="E865" s="38" t="n"/>
      <c r="F865" s="38" t="n"/>
      <c r="G865" s="38" t="n"/>
      <c r="H865" s="49">
        <f>IF(B865="","",IFERROR(INDEX('JOBS'!$D$5:$D$1504,MATCH(B865,'JOBS'!$A$5:$A$1504,0)),"Job ID not found"))</f>
        <v/>
      </c>
      <c r="I865" s="49">
        <f>IF(B865="","",IFERROR(INDEX('JOBS'!$F$5:$F$1504,MATCH(B865,'JOBS'!$A$5:$A$1504,0)),""))</f>
        <v/>
      </c>
      <c r="J865" s="55">
        <f>IF(C865="","",ROUND(C865*IF(IFERROR(INDEX('SETTINGS'!$K$5:$K$24,MATCH(E865,'SETTINGS'!$J$5:$J$24,0)),"No")="Yes",FeePct,0),2))</f>
        <v/>
      </c>
      <c r="K865" s="51">
        <f>IF(A865="","",DATE(YEAR(A865),MONTH(A865),1))</f>
        <v/>
      </c>
    </row>
    <row r="866">
      <c r="A866" s="47" t="n"/>
      <c r="B866" s="38" t="n"/>
      <c r="C866" s="48" t="n"/>
      <c r="D866" s="48" t="n"/>
      <c r="E866" s="38" t="n"/>
      <c r="F866" s="38" t="n"/>
      <c r="G866" s="38" t="n"/>
      <c r="H866" s="49">
        <f>IF(B866="","",IFERROR(INDEX('JOBS'!$D$5:$D$1504,MATCH(B866,'JOBS'!$A$5:$A$1504,0)),"Job ID not found"))</f>
        <v/>
      </c>
      <c r="I866" s="49">
        <f>IF(B866="","",IFERROR(INDEX('JOBS'!$F$5:$F$1504,MATCH(B866,'JOBS'!$A$5:$A$1504,0)),""))</f>
        <v/>
      </c>
      <c r="J866" s="55">
        <f>IF(C866="","",ROUND(C866*IF(IFERROR(INDEX('SETTINGS'!$K$5:$K$24,MATCH(E866,'SETTINGS'!$J$5:$J$24,0)),"No")="Yes",FeePct,0),2))</f>
        <v/>
      </c>
      <c r="K866" s="51">
        <f>IF(A866="","",DATE(YEAR(A866),MONTH(A866),1))</f>
        <v/>
      </c>
    </row>
    <row r="867">
      <c r="A867" s="47" t="n"/>
      <c r="B867" s="38" t="n"/>
      <c r="C867" s="48" t="n"/>
      <c r="D867" s="48" t="n"/>
      <c r="E867" s="38" t="n"/>
      <c r="F867" s="38" t="n"/>
      <c r="G867" s="38" t="n"/>
      <c r="H867" s="49">
        <f>IF(B867="","",IFERROR(INDEX('JOBS'!$D$5:$D$1504,MATCH(B867,'JOBS'!$A$5:$A$1504,0)),"Job ID not found"))</f>
        <v/>
      </c>
      <c r="I867" s="49">
        <f>IF(B867="","",IFERROR(INDEX('JOBS'!$F$5:$F$1504,MATCH(B867,'JOBS'!$A$5:$A$1504,0)),""))</f>
        <v/>
      </c>
      <c r="J867" s="55">
        <f>IF(C867="","",ROUND(C867*IF(IFERROR(INDEX('SETTINGS'!$K$5:$K$24,MATCH(E867,'SETTINGS'!$J$5:$J$24,0)),"No")="Yes",FeePct,0),2))</f>
        <v/>
      </c>
      <c r="K867" s="51">
        <f>IF(A867="","",DATE(YEAR(A867),MONTH(A867),1))</f>
        <v/>
      </c>
    </row>
    <row r="868">
      <c r="A868" s="47" t="n"/>
      <c r="B868" s="38" t="n"/>
      <c r="C868" s="48" t="n"/>
      <c r="D868" s="48" t="n"/>
      <c r="E868" s="38" t="n"/>
      <c r="F868" s="38" t="n"/>
      <c r="G868" s="38" t="n"/>
      <c r="H868" s="49">
        <f>IF(B868="","",IFERROR(INDEX('JOBS'!$D$5:$D$1504,MATCH(B868,'JOBS'!$A$5:$A$1504,0)),"Job ID not found"))</f>
        <v/>
      </c>
      <c r="I868" s="49">
        <f>IF(B868="","",IFERROR(INDEX('JOBS'!$F$5:$F$1504,MATCH(B868,'JOBS'!$A$5:$A$1504,0)),""))</f>
        <v/>
      </c>
      <c r="J868" s="55">
        <f>IF(C868="","",ROUND(C868*IF(IFERROR(INDEX('SETTINGS'!$K$5:$K$24,MATCH(E868,'SETTINGS'!$J$5:$J$24,0)),"No")="Yes",FeePct,0),2))</f>
        <v/>
      </c>
      <c r="K868" s="51">
        <f>IF(A868="","",DATE(YEAR(A868),MONTH(A868),1))</f>
        <v/>
      </c>
    </row>
    <row r="869">
      <c r="A869" s="47" t="n"/>
      <c r="B869" s="38" t="n"/>
      <c r="C869" s="48" t="n"/>
      <c r="D869" s="48" t="n"/>
      <c r="E869" s="38" t="n"/>
      <c r="F869" s="38" t="n"/>
      <c r="G869" s="38" t="n"/>
      <c r="H869" s="49">
        <f>IF(B869="","",IFERROR(INDEX('JOBS'!$D$5:$D$1504,MATCH(B869,'JOBS'!$A$5:$A$1504,0)),"Job ID not found"))</f>
        <v/>
      </c>
      <c r="I869" s="49">
        <f>IF(B869="","",IFERROR(INDEX('JOBS'!$F$5:$F$1504,MATCH(B869,'JOBS'!$A$5:$A$1504,0)),""))</f>
        <v/>
      </c>
      <c r="J869" s="55">
        <f>IF(C869="","",ROUND(C869*IF(IFERROR(INDEX('SETTINGS'!$K$5:$K$24,MATCH(E869,'SETTINGS'!$J$5:$J$24,0)),"No")="Yes",FeePct,0),2))</f>
        <v/>
      </c>
      <c r="K869" s="51">
        <f>IF(A869="","",DATE(YEAR(A869),MONTH(A869),1))</f>
        <v/>
      </c>
    </row>
    <row r="870">
      <c r="A870" s="47" t="n"/>
      <c r="B870" s="38" t="n"/>
      <c r="C870" s="48" t="n"/>
      <c r="D870" s="48" t="n"/>
      <c r="E870" s="38" t="n"/>
      <c r="F870" s="38" t="n"/>
      <c r="G870" s="38" t="n"/>
      <c r="H870" s="49">
        <f>IF(B870="","",IFERROR(INDEX('JOBS'!$D$5:$D$1504,MATCH(B870,'JOBS'!$A$5:$A$1504,0)),"Job ID not found"))</f>
        <v/>
      </c>
      <c r="I870" s="49">
        <f>IF(B870="","",IFERROR(INDEX('JOBS'!$F$5:$F$1504,MATCH(B870,'JOBS'!$A$5:$A$1504,0)),""))</f>
        <v/>
      </c>
      <c r="J870" s="55">
        <f>IF(C870="","",ROUND(C870*IF(IFERROR(INDEX('SETTINGS'!$K$5:$K$24,MATCH(E870,'SETTINGS'!$J$5:$J$24,0)),"No")="Yes",FeePct,0),2))</f>
        <v/>
      </c>
      <c r="K870" s="51">
        <f>IF(A870="","",DATE(YEAR(A870),MONTH(A870),1))</f>
        <v/>
      </c>
    </row>
    <row r="871">
      <c r="A871" s="47" t="n"/>
      <c r="B871" s="38" t="n"/>
      <c r="C871" s="48" t="n"/>
      <c r="D871" s="48" t="n"/>
      <c r="E871" s="38" t="n"/>
      <c r="F871" s="38" t="n"/>
      <c r="G871" s="38" t="n"/>
      <c r="H871" s="49">
        <f>IF(B871="","",IFERROR(INDEX('JOBS'!$D$5:$D$1504,MATCH(B871,'JOBS'!$A$5:$A$1504,0)),"Job ID not found"))</f>
        <v/>
      </c>
      <c r="I871" s="49">
        <f>IF(B871="","",IFERROR(INDEX('JOBS'!$F$5:$F$1504,MATCH(B871,'JOBS'!$A$5:$A$1504,0)),""))</f>
        <v/>
      </c>
      <c r="J871" s="55">
        <f>IF(C871="","",ROUND(C871*IF(IFERROR(INDEX('SETTINGS'!$K$5:$K$24,MATCH(E871,'SETTINGS'!$J$5:$J$24,0)),"No")="Yes",FeePct,0),2))</f>
        <v/>
      </c>
      <c r="K871" s="51">
        <f>IF(A871="","",DATE(YEAR(A871),MONTH(A871),1))</f>
        <v/>
      </c>
    </row>
    <row r="872">
      <c r="A872" s="47" t="n"/>
      <c r="B872" s="38" t="n"/>
      <c r="C872" s="48" t="n"/>
      <c r="D872" s="48" t="n"/>
      <c r="E872" s="38" t="n"/>
      <c r="F872" s="38" t="n"/>
      <c r="G872" s="38" t="n"/>
      <c r="H872" s="49">
        <f>IF(B872="","",IFERROR(INDEX('JOBS'!$D$5:$D$1504,MATCH(B872,'JOBS'!$A$5:$A$1504,0)),"Job ID not found"))</f>
        <v/>
      </c>
      <c r="I872" s="49">
        <f>IF(B872="","",IFERROR(INDEX('JOBS'!$F$5:$F$1504,MATCH(B872,'JOBS'!$A$5:$A$1504,0)),""))</f>
        <v/>
      </c>
      <c r="J872" s="55">
        <f>IF(C872="","",ROUND(C872*IF(IFERROR(INDEX('SETTINGS'!$K$5:$K$24,MATCH(E872,'SETTINGS'!$J$5:$J$24,0)),"No")="Yes",FeePct,0),2))</f>
        <v/>
      </c>
      <c r="K872" s="51">
        <f>IF(A872="","",DATE(YEAR(A872),MONTH(A872),1))</f>
        <v/>
      </c>
    </row>
    <row r="873">
      <c r="A873" s="47" t="n"/>
      <c r="B873" s="38" t="n"/>
      <c r="C873" s="48" t="n"/>
      <c r="D873" s="48" t="n"/>
      <c r="E873" s="38" t="n"/>
      <c r="F873" s="38" t="n"/>
      <c r="G873" s="38" t="n"/>
      <c r="H873" s="49">
        <f>IF(B873="","",IFERROR(INDEX('JOBS'!$D$5:$D$1504,MATCH(B873,'JOBS'!$A$5:$A$1504,0)),"Job ID not found"))</f>
        <v/>
      </c>
      <c r="I873" s="49">
        <f>IF(B873="","",IFERROR(INDEX('JOBS'!$F$5:$F$1504,MATCH(B873,'JOBS'!$A$5:$A$1504,0)),""))</f>
        <v/>
      </c>
      <c r="J873" s="55">
        <f>IF(C873="","",ROUND(C873*IF(IFERROR(INDEX('SETTINGS'!$K$5:$K$24,MATCH(E873,'SETTINGS'!$J$5:$J$24,0)),"No")="Yes",FeePct,0),2))</f>
        <v/>
      </c>
      <c r="K873" s="51">
        <f>IF(A873="","",DATE(YEAR(A873),MONTH(A873),1))</f>
        <v/>
      </c>
    </row>
    <row r="874">
      <c r="A874" s="47" t="n"/>
      <c r="B874" s="38" t="n"/>
      <c r="C874" s="48" t="n"/>
      <c r="D874" s="48" t="n"/>
      <c r="E874" s="38" t="n"/>
      <c r="F874" s="38" t="n"/>
      <c r="G874" s="38" t="n"/>
      <c r="H874" s="49">
        <f>IF(B874="","",IFERROR(INDEX('JOBS'!$D$5:$D$1504,MATCH(B874,'JOBS'!$A$5:$A$1504,0)),"Job ID not found"))</f>
        <v/>
      </c>
      <c r="I874" s="49">
        <f>IF(B874="","",IFERROR(INDEX('JOBS'!$F$5:$F$1504,MATCH(B874,'JOBS'!$A$5:$A$1504,0)),""))</f>
        <v/>
      </c>
      <c r="J874" s="55">
        <f>IF(C874="","",ROUND(C874*IF(IFERROR(INDEX('SETTINGS'!$K$5:$K$24,MATCH(E874,'SETTINGS'!$J$5:$J$24,0)),"No")="Yes",FeePct,0),2))</f>
        <v/>
      </c>
      <c r="K874" s="51">
        <f>IF(A874="","",DATE(YEAR(A874),MONTH(A874),1))</f>
        <v/>
      </c>
    </row>
    <row r="875">
      <c r="A875" s="47" t="n"/>
      <c r="B875" s="38" t="n"/>
      <c r="C875" s="48" t="n"/>
      <c r="D875" s="48" t="n"/>
      <c r="E875" s="38" t="n"/>
      <c r="F875" s="38" t="n"/>
      <c r="G875" s="38" t="n"/>
      <c r="H875" s="49">
        <f>IF(B875="","",IFERROR(INDEX('JOBS'!$D$5:$D$1504,MATCH(B875,'JOBS'!$A$5:$A$1504,0)),"Job ID not found"))</f>
        <v/>
      </c>
      <c r="I875" s="49">
        <f>IF(B875="","",IFERROR(INDEX('JOBS'!$F$5:$F$1504,MATCH(B875,'JOBS'!$A$5:$A$1504,0)),""))</f>
        <v/>
      </c>
      <c r="J875" s="55">
        <f>IF(C875="","",ROUND(C875*IF(IFERROR(INDEX('SETTINGS'!$K$5:$K$24,MATCH(E875,'SETTINGS'!$J$5:$J$24,0)),"No")="Yes",FeePct,0),2))</f>
        <v/>
      </c>
      <c r="K875" s="51">
        <f>IF(A875="","",DATE(YEAR(A875),MONTH(A875),1))</f>
        <v/>
      </c>
    </row>
    <row r="876">
      <c r="A876" s="47" t="n"/>
      <c r="B876" s="38" t="n"/>
      <c r="C876" s="48" t="n"/>
      <c r="D876" s="48" t="n"/>
      <c r="E876" s="38" t="n"/>
      <c r="F876" s="38" t="n"/>
      <c r="G876" s="38" t="n"/>
      <c r="H876" s="49">
        <f>IF(B876="","",IFERROR(INDEX('JOBS'!$D$5:$D$1504,MATCH(B876,'JOBS'!$A$5:$A$1504,0)),"Job ID not found"))</f>
        <v/>
      </c>
      <c r="I876" s="49">
        <f>IF(B876="","",IFERROR(INDEX('JOBS'!$F$5:$F$1504,MATCH(B876,'JOBS'!$A$5:$A$1504,0)),""))</f>
        <v/>
      </c>
      <c r="J876" s="55">
        <f>IF(C876="","",ROUND(C876*IF(IFERROR(INDEX('SETTINGS'!$K$5:$K$24,MATCH(E876,'SETTINGS'!$J$5:$J$24,0)),"No")="Yes",FeePct,0),2))</f>
        <v/>
      </c>
      <c r="K876" s="51">
        <f>IF(A876="","",DATE(YEAR(A876),MONTH(A876),1))</f>
        <v/>
      </c>
    </row>
    <row r="877">
      <c r="A877" s="47" t="n"/>
      <c r="B877" s="38" t="n"/>
      <c r="C877" s="48" t="n"/>
      <c r="D877" s="48" t="n"/>
      <c r="E877" s="38" t="n"/>
      <c r="F877" s="38" t="n"/>
      <c r="G877" s="38" t="n"/>
      <c r="H877" s="49">
        <f>IF(B877="","",IFERROR(INDEX('JOBS'!$D$5:$D$1504,MATCH(B877,'JOBS'!$A$5:$A$1504,0)),"Job ID not found"))</f>
        <v/>
      </c>
      <c r="I877" s="49">
        <f>IF(B877="","",IFERROR(INDEX('JOBS'!$F$5:$F$1504,MATCH(B877,'JOBS'!$A$5:$A$1504,0)),""))</f>
        <v/>
      </c>
      <c r="J877" s="55">
        <f>IF(C877="","",ROUND(C877*IF(IFERROR(INDEX('SETTINGS'!$K$5:$K$24,MATCH(E877,'SETTINGS'!$J$5:$J$24,0)),"No")="Yes",FeePct,0),2))</f>
        <v/>
      </c>
      <c r="K877" s="51">
        <f>IF(A877="","",DATE(YEAR(A877),MONTH(A877),1))</f>
        <v/>
      </c>
    </row>
    <row r="878">
      <c r="A878" s="47" t="n"/>
      <c r="B878" s="38" t="n"/>
      <c r="C878" s="48" t="n"/>
      <c r="D878" s="48" t="n"/>
      <c r="E878" s="38" t="n"/>
      <c r="F878" s="38" t="n"/>
      <c r="G878" s="38" t="n"/>
      <c r="H878" s="49">
        <f>IF(B878="","",IFERROR(INDEX('JOBS'!$D$5:$D$1504,MATCH(B878,'JOBS'!$A$5:$A$1504,0)),"Job ID not found"))</f>
        <v/>
      </c>
      <c r="I878" s="49">
        <f>IF(B878="","",IFERROR(INDEX('JOBS'!$F$5:$F$1504,MATCH(B878,'JOBS'!$A$5:$A$1504,0)),""))</f>
        <v/>
      </c>
      <c r="J878" s="55">
        <f>IF(C878="","",ROUND(C878*IF(IFERROR(INDEX('SETTINGS'!$K$5:$K$24,MATCH(E878,'SETTINGS'!$J$5:$J$24,0)),"No")="Yes",FeePct,0),2))</f>
        <v/>
      </c>
      <c r="K878" s="51">
        <f>IF(A878="","",DATE(YEAR(A878),MONTH(A878),1))</f>
        <v/>
      </c>
    </row>
    <row r="879">
      <c r="A879" s="47" t="n"/>
      <c r="B879" s="38" t="n"/>
      <c r="C879" s="48" t="n"/>
      <c r="D879" s="48" t="n"/>
      <c r="E879" s="38" t="n"/>
      <c r="F879" s="38" t="n"/>
      <c r="G879" s="38" t="n"/>
      <c r="H879" s="49">
        <f>IF(B879="","",IFERROR(INDEX('JOBS'!$D$5:$D$1504,MATCH(B879,'JOBS'!$A$5:$A$1504,0)),"Job ID not found"))</f>
        <v/>
      </c>
      <c r="I879" s="49">
        <f>IF(B879="","",IFERROR(INDEX('JOBS'!$F$5:$F$1504,MATCH(B879,'JOBS'!$A$5:$A$1504,0)),""))</f>
        <v/>
      </c>
      <c r="J879" s="55">
        <f>IF(C879="","",ROUND(C879*IF(IFERROR(INDEX('SETTINGS'!$K$5:$K$24,MATCH(E879,'SETTINGS'!$J$5:$J$24,0)),"No")="Yes",FeePct,0),2))</f>
        <v/>
      </c>
      <c r="K879" s="51">
        <f>IF(A879="","",DATE(YEAR(A879),MONTH(A879),1))</f>
        <v/>
      </c>
    </row>
    <row r="880">
      <c r="A880" s="47" t="n"/>
      <c r="B880" s="38" t="n"/>
      <c r="C880" s="48" t="n"/>
      <c r="D880" s="48" t="n"/>
      <c r="E880" s="38" t="n"/>
      <c r="F880" s="38" t="n"/>
      <c r="G880" s="38" t="n"/>
      <c r="H880" s="49">
        <f>IF(B880="","",IFERROR(INDEX('JOBS'!$D$5:$D$1504,MATCH(B880,'JOBS'!$A$5:$A$1504,0)),"Job ID not found"))</f>
        <v/>
      </c>
      <c r="I880" s="49">
        <f>IF(B880="","",IFERROR(INDEX('JOBS'!$F$5:$F$1504,MATCH(B880,'JOBS'!$A$5:$A$1504,0)),""))</f>
        <v/>
      </c>
      <c r="J880" s="55">
        <f>IF(C880="","",ROUND(C880*IF(IFERROR(INDEX('SETTINGS'!$K$5:$K$24,MATCH(E880,'SETTINGS'!$J$5:$J$24,0)),"No")="Yes",FeePct,0),2))</f>
        <v/>
      </c>
      <c r="K880" s="51">
        <f>IF(A880="","",DATE(YEAR(A880),MONTH(A880),1))</f>
        <v/>
      </c>
    </row>
    <row r="881">
      <c r="A881" s="47" t="n"/>
      <c r="B881" s="38" t="n"/>
      <c r="C881" s="48" t="n"/>
      <c r="D881" s="48" t="n"/>
      <c r="E881" s="38" t="n"/>
      <c r="F881" s="38" t="n"/>
      <c r="G881" s="38" t="n"/>
      <c r="H881" s="49">
        <f>IF(B881="","",IFERROR(INDEX('JOBS'!$D$5:$D$1504,MATCH(B881,'JOBS'!$A$5:$A$1504,0)),"Job ID not found"))</f>
        <v/>
      </c>
      <c r="I881" s="49">
        <f>IF(B881="","",IFERROR(INDEX('JOBS'!$F$5:$F$1504,MATCH(B881,'JOBS'!$A$5:$A$1504,0)),""))</f>
        <v/>
      </c>
      <c r="J881" s="55">
        <f>IF(C881="","",ROUND(C881*IF(IFERROR(INDEX('SETTINGS'!$K$5:$K$24,MATCH(E881,'SETTINGS'!$J$5:$J$24,0)),"No")="Yes",FeePct,0),2))</f>
        <v/>
      </c>
      <c r="K881" s="51">
        <f>IF(A881="","",DATE(YEAR(A881),MONTH(A881),1))</f>
        <v/>
      </c>
    </row>
    <row r="882">
      <c r="A882" s="47" t="n"/>
      <c r="B882" s="38" t="n"/>
      <c r="C882" s="48" t="n"/>
      <c r="D882" s="48" t="n"/>
      <c r="E882" s="38" t="n"/>
      <c r="F882" s="38" t="n"/>
      <c r="G882" s="38" t="n"/>
      <c r="H882" s="49">
        <f>IF(B882="","",IFERROR(INDEX('JOBS'!$D$5:$D$1504,MATCH(B882,'JOBS'!$A$5:$A$1504,0)),"Job ID not found"))</f>
        <v/>
      </c>
      <c r="I882" s="49">
        <f>IF(B882="","",IFERROR(INDEX('JOBS'!$F$5:$F$1504,MATCH(B882,'JOBS'!$A$5:$A$1504,0)),""))</f>
        <v/>
      </c>
      <c r="J882" s="55">
        <f>IF(C882="","",ROUND(C882*IF(IFERROR(INDEX('SETTINGS'!$K$5:$K$24,MATCH(E882,'SETTINGS'!$J$5:$J$24,0)),"No")="Yes",FeePct,0),2))</f>
        <v/>
      </c>
      <c r="K882" s="51">
        <f>IF(A882="","",DATE(YEAR(A882),MONTH(A882),1))</f>
        <v/>
      </c>
    </row>
    <row r="883">
      <c r="A883" s="47" t="n"/>
      <c r="B883" s="38" t="n"/>
      <c r="C883" s="48" t="n"/>
      <c r="D883" s="48" t="n"/>
      <c r="E883" s="38" t="n"/>
      <c r="F883" s="38" t="n"/>
      <c r="G883" s="38" t="n"/>
      <c r="H883" s="49">
        <f>IF(B883="","",IFERROR(INDEX('JOBS'!$D$5:$D$1504,MATCH(B883,'JOBS'!$A$5:$A$1504,0)),"Job ID not found"))</f>
        <v/>
      </c>
      <c r="I883" s="49">
        <f>IF(B883="","",IFERROR(INDEX('JOBS'!$F$5:$F$1504,MATCH(B883,'JOBS'!$A$5:$A$1504,0)),""))</f>
        <v/>
      </c>
      <c r="J883" s="55">
        <f>IF(C883="","",ROUND(C883*IF(IFERROR(INDEX('SETTINGS'!$K$5:$K$24,MATCH(E883,'SETTINGS'!$J$5:$J$24,0)),"No")="Yes",FeePct,0),2))</f>
        <v/>
      </c>
      <c r="K883" s="51">
        <f>IF(A883="","",DATE(YEAR(A883),MONTH(A883),1))</f>
        <v/>
      </c>
    </row>
    <row r="884">
      <c r="A884" s="47" t="n"/>
      <c r="B884" s="38" t="n"/>
      <c r="C884" s="48" t="n"/>
      <c r="D884" s="48" t="n"/>
      <c r="E884" s="38" t="n"/>
      <c r="F884" s="38" t="n"/>
      <c r="G884" s="38" t="n"/>
      <c r="H884" s="49">
        <f>IF(B884="","",IFERROR(INDEX('JOBS'!$D$5:$D$1504,MATCH(B884,'JOBS'!$A$5:$A$1504,0)),"Job ID not found"))</f>
        <v/>
      </c>
      <c r="I884" s="49">
        <f>IF(B884="","",IFERROR(INDEX('JOBS'!$F$5:$F$1504,MATCH(B884,'JOBS'!$A$5:$A$1504,0)),""))</f>
        <v/>
      </c>
      <c r="J884" s="55">
        <f>IF(C884="","",ROUND(C884*IF(IFERROR(INDEX('SETTINGS'!$K$5:$K$24,MATCH(E884,'SETTINGS'!$J$5:$J$24,0)),"No")="Yes",FeePct,0),2))</f>
        <v/>
      </c>
      <c r="K884" s="51">
        <f>IF(A884="","",DATE(YEAR(A884),MONTH(A884),1))</f>
        <v/>
      </c>
    </row>
    <row r="885">
      <c r="A885" s="47" t="n"/>
      <c r="B885" s="38" t="n"/>
      <c r="C885" s="48" t="n"/>
      <c r="D885" s="48" t="n"/>
      <c r="E885" s="38" t="n"/>
      <c r="F885" s="38" t="n"/>
      <c r="G885" s="38" t="n"/>
      <c r="H885" s="49">
        <f>IF(B885="","",IFERROR(INDEX('JOBS'!$D$5:$D$1504,MATCH(B885,'JOBS'!$A$5:$A$1504,0)),"Job ID not found"))</f>
        <v/>
      </c>
      <c r="I885" s="49">
        <f>IF(B885="","",IFERROR(INDEX('JOBS'!$F$5:$F$1504,MATCH(B885,'JOBS'!$A$5:$A$1504,0)),""))</f>
        <v/>
      </c>
      <c r="J885" s="55">
        <f>IF(C885="","",ROUND(C885*IF(IFERROR(INDEX('SETTINGS'!$K$5:$K$24,MATCH(E885,'SETTINGS'!$J$5:$J$24,0)),"No")="Yes",FeePct,0),2))</f>
        <v/>
      </c>
      <c r="K885" s="51">
        <f>IF(A885="","",DATE(YEAR(A885),MONTH(A885),1))</f>
        <v/>
      </c>
    </row>
    <row r="886">
      <c r="A886" s="47" t="n"/>
      <c r="B886" s="38" t="n"/>
      <c r="C886" s="48" t="n"/>
      <c r="D886" s="48" t="n"/>
      <c r="E886" s="38" t="n"/>
      <c r="F886" s="38" t="n"/>
      <c r="G886" s="38" t="n"/>
      <c r="H886" s="49">
        <f>IF(B886="","",IFERROR(INDEX('JOBS'!$D$5:$D$1504,MATCH(B886,'JOBS'!$A$5:$A$1504,0)),"Job ID not found"))</f>
        <v/>
      </c>
      <c r="I886" s="49">
        <f>IF(B886="","",IFERROR(INDEX('JOBS'!$F$5:$F$1504,MATCH(B886,'JOBS'!$A$5:$A$1504,0)),""))</f>
        <v/>
      </c>
      <c r="J886" s="55">
        <f>IF(C886="","",ROUND(C886*IF(IFERROR(INDEX('SETTINGS'!$K$5:$K$24,MATCH(E886,'SETTINGS'!$J$5:$J$24,0)),"No")="Yes",FeePct,0),2))</f>
        <v/>
      </c>
      <c r="K886" s="51">
        <f>IF(A886="","",DATE(YEAR(A886),MONTH(A886),1))</f>
        <v/>
      </c>
    </row>
    <row r="887">
      <c r="A887" s="47" t="n"/>
      <c r="B887" s="38" t="n"/>
      <c r="C887" s="48" t="n"/>
      <c r="D887" s="48" t="n"/>
      <c r="E887" s="38" t="n"/>
      <c r="F887" s="38" t="n"/>
      <c r="G887" s="38" t="n"/>
      <c r="H887" s="49">
        <f>IF(B887="","",IFERROR(INDEX('JOBS'!$D$5:$D$1504,MATCH(B887,'JOBS'!$A$5:$A$1504,0)),"Job ID not found"))</f>
        <v/>
      </c>
      <c r="I887" s="49">
        <f>IF(B887="","",IFERROR(INDEX('JOBS'!$F$5:$F$1504,MATCH(B887,'JOBS'!$A$5:$A$1504,0)),""))</f>
        <v/>
      </c>
      <c r="J887" s="55">
        <f>IF(C887="","",ROUND(C887*IF(IFERROR(INDEX('SETTINGS'!$K$5:$K$24,MATCH(E887,'SETTINGS'!$J$5:$J$24,0)),"No")="Yes",FeePct,0),2))</f>
        <v/>
      </c>
      <c r="K887" s="51">
        <f>IF(A887="","",DATE(YEAR(A887),MONTH(A887),1))</f>
        <v/>
      </c>
    </row>
    <row r="888">
      <c r="A888" s="47" t="n"/>
      <c r="B888" s="38" t="n"/>
      <c r="C888" s="48" t="n"/>
      <c r="D888" s="48" t="n"/>
      <c r="E888" s="38" t="n"/>
      <c r="F888" s="38" t="n"/>
      <c r="G888" s="38" t="n"/>
      <c r="H888" s="49">
        <f>IF(B888="","",IFERROR(INDEX('JOBS'!$D$5:$D$1504,MATCH(B888,'JOBS'!$A$5:$A$1504,0)),"Job ID not found"))</f>
        <v/>
      </c>
      <c r="I888" s="49">
        <f>IF(B888="","",IFERROR(INDEX('JOBS'!$F$5:$F$1504,MATCH(B888,'JOBS'!$A$5:$A$1504,0)),""))</f>
        <v/>
      </c>
      <c r="J888" s="55">
        <f>IF(C888="","",ROUND(C888*IF(IFERROR(INDEX('SETTINGS'!$K$5:$K$24,MATCH(E888,'SETTINGS'!$J$5:$J$24,0)),"No")="Yes",FeePct,0),2))</f>
        <v/>
      </c>
      <c r="K888" s="51">
        <f>IF(A888="","",DATE(YEAR(A888),MONTH(A888),1))</f>
        <v/>
      </c>
    </row>
    <row r="889">
      <c r="A889" s="47" t="n"/>
      <c r="B889" s="38" t="n"/>
      <c r="C889" s="48" t="n"/>
      <c r="D889" s="48" t="n"/>
      <c r="E889" s="38" t="n"/>
      <c r="F889" s="38" t="n"/>
      <c r="G889" s="38" t="n"/>
      <c r="H889" s="49">
        <f>IF(B889="","",IFERROR(INDEX('JOBS'!$D$5:$D$1504,MATCH(B889,'JOBS'!$A$5:$A$1504,0)),"Job ID not found"))</f>
        <v/>
      </c>
      <c r="I889" s="49">
        <f>IF(B889="","",IFERROR(INDEX('JOBS'!$F$5:$F$1504,MATCH(B889,'JOBS'!$A$5:$A$1504,0)),""))</f>
        <v/>
      </c>
      <c r="J889" s="55">
        <f>IF(C889="","",ROUND(C889*IF(IFERROR(INDEX('SETTINGS'!$K$5:$K$24,MATCH(E889,'SETTINGS'!$J$5:$J$24,0)),"No")="Yes",FeePct,0),2))</f>
        <v/>
      </c>
      <c r="K889" s="51">
        <f>IF(A889="","",DATE(YEAR(A889),MONTH(A889),1))</f>
        <v/>
      </c>
    </row>
    <row r="890">
      <c r="A890" s="47" t="n"/>
      <c r="B890" s="38" t="n"/>
      <c r="C890" s="48" t="n"/>
      <c r="D890" s="48" t="n"/>
      <c r="E890" s="38" t="n"/>
      <c r="F890" s="38" t="n"/>
      <c r="G890" s="38" t="n"/>
      <c r="H890" s="49">
        <f>IF(B890="","",IFERROR(INDEX('JOBS'!$D$5:$D$1504,MATCH(B890,'JOBS'!$A$5:$A$1504,0)),"Job ID not found"))</f>
        <v/>
      </c>
      <c r="I890" s="49">
        <f>IF(B890="","",IFERROR(INDEX('JOBS'!$F$5:$F$1504,MATCH(B890,'JOBS'!$A$5:$A$1504,0)),""))</f>
        <v/>
      </c>
      <c r="J890" s="55">
        <f>IF(C890="","",ROUND(C890*IF(IFERROR(INDEX('SETTINGS'!$K$5:$K$24,MATCH(E890,'SETTINGS'!$J$5:$J$24,0)),"No")="Yes",FeePct,0),2))</f>
        <v/>
      </c>
      <c r="K890" s="51">
        <f>IF(A890="","",DATE(YEAR(A890),MONTH(A890),1))</f>
        <v/>
      </c>
    </row>
    <row r="891">
      <c r="A891" s="47" t="n"/>
      <c r="B891" s="38" t="n"/>
      <c r="C891" s="48" t="n"/>
      <c r="D891" s="48" t="n"/>
      <c r="E891" s="38" t="n"/>
      <c r="F891" s="38" t="n"/>
      <c r="G891" s="38" t="n"/>
      <c r="H891" s="49">
        <f>IF(B891="","",IFERROR(INDEX('JOBS'!$D$5:$D$1504,MATCH(B891,'JOBS'!$A$5:$A$1504,0)),"Job ID not found"))</f>
        <v/>
      </c>
      <c r="I891" s="49">
        <f>IF(B891="","",IFERROR(INDEX('JOBS'!$F$5:$F$1504,MATCH(B891,'JOBS'!$A$5:$A$1504,0)),""))</f>
        <v/>
      </c>
      <c r="J891" s="55">
        <f>IF(C891="","",ROUND(C891*IF(IFERROR(INDEX('SETTINGS'!$K$5:$K$24,MATCH(E891,'SETTINGS'!$J$5:$J$24,0)),"No")="Yes",FeePct,0),2))</f>
        <v/>
      </c>
      <c r="K891" s="51">
        <f>IF(A891="","",DATE(YEAR(A891),MONTH(A891),1))</f>
        <v/>
      </c>
    </row>
    <row r="892">
      <c r="A892" s="47" t="n"/>
      <c r="B892" s="38" t="n"/>
      <c r="C892" s="48" t="n"/>
      <c r="D892" s="48" t="n"/>
      <c r="E892" s="38" t="n"/>
      <c r="F892" s="38" t="n"/>
      <c r="G892" s="38" t="n"/>
      <c r="H892" s="49">
        <f>IF(B892="","",IFERROR(INDEX('JOBS'!$D$5:$D$1504,MATCH(B892,'JOBS'!$A$5:$A$1504,0)),"Job ID not found"))</f>
        <v/>
      </c>
      <c r="I892" s="49">
        <f>IF(B892="","",IFERROR(INDEX('JOBS'!$F$5:$F$1504,MATCH(B892,'JOBS'!$A$5:$A$1504,0)),""))</f>
        <v/>
      </c>
      <c r="J892" s="55">
        <f>IF(C892="","",ROUND(C892*IF(IFERROR(INDEX('SETTINGS'!$K$5:$K$24,MATCH(E892,'SETTINGS'!$J$5:$J$24,0)),"No")="Yes",FeePct,0),2))</f>
        <v/>
      </c>
      <c r="K892" s="51">
        <f>IF(A892="","",DATE(YEAR(A892),MONTH(A892),1))</f>
        <v/>
      </c>
    </row>
    <row r="893">
      <c r="A893" s="47" t="n"/>
      <c r="B893" s="38" t="n"/>
      <c r="C893" s="48" t="n"/>
      <c r="D893" s="48" t="n"/>
      <c r="E893" s="38" t="n"/>
      <c r="F893" s="38" t="n"/>
      <c r="G893" s="38" t="n"/>
      <c r="H893" s="49">
        <f>IF(B893="","",IFERROR(INDEX('JOBS'!$D$5:$D$1504,MATCH(B893,'JOBS'!$A$5:$A$1504,0)),"Job ID not found"))</f>
        <v/>
      </c>
      <c r="I893" s="49">
        <f>IF(B893="","",IFERROR(INDEX('JOBS'!$F$5:$F$1504,MATCH(B893,'JOBS'!$A$5:$A$1504,0)),""))</f>
        <v/>
      </c>
      <c r="J893" s="55">
        <f>IF(C893="","",ROUND(C893*IF(IFERROR(INDEX('SETTINGS'!$K$5:$K$24,MATCH(E893,'SETTINGS'!$J$5:$J$24,0)),"No")="Yes",FeePct,0),2))</f>
        <v/>
      </c>
      <c r="K893" s="51">
        <f>IF(A893="","",DATE(YEAR(A893),MONTH(A893),1))</f>
        <v/>
      </c>
    </row>
    <row r="894">
      <c r="A894" s="47" t="n"/>
      <c r="B894" s="38" t="n"/>
      <c r="C894" s="48" t="n"/>
      <c r="D894" s="48" t="n"/>
      <c r="E894" s="38" t="n"/>
      <c r="F894" s="38" t="n"/>
      <c r="G894" s="38" t="n"/>
      <c r="H894" s="49">
        <f>IF(B894="","",IFERROR(INDEX('JOBS'!$D$5:$D$1504,MATCH(B894,'JOBS'!$A$5:$A$1504,0)),"Job ID not found"))</f>
        <v/>
      </c>
      <c r="I894" s="49">
        <f>IF(B894="","",IFERROR(INDEX('JOBS'!$F$5:$F$1504,MATCH(B894,'JOBS'!$A$5:$A$1504,0)),""))</f>
        <v/>
      </c>
      <c r="J894" s="55">
        <f>IF(C894="","",ROUND(C894*IF(IFERROR(INDEX('SETTINGS'!$K$5:$K$24,MATCH(E894,'SETTINGS'!$J$5:$J$24,0)),"No")="Yes",FeePct,0),2))</f>
        <v/>
      </c>
      <c r="K894" s="51">
        <f>IF(A894="","",DATE(YEAR(A894),MONTH(A894),1))</f>
        <v/>
      </c>
    </row>
    <row r="895">
      <c r="A895" s="47" t="n"/>
      <c r="B895" s="38" t="n"/>
      <c r="C895" s="48" t="n"/>
      <c r="D895" s="48" t="n"/>
      <c r="E895" s="38" t="n"/>
      <c r="F895" s="38" t="n"/>
      <c r="G895" s="38" t="n"/>
      <c r="H895" s="49">
        <f>IF(B895="","",IFERROR(INDEX('JOBS'!$D$5:$D$1504,MATCH(B895,'JOBS'!$A$5:$A$1504,0)),"Job ID not found"))</f>
        <v/>
      </c>
      <c r="I895" s="49">
        <f>IF(B895="","",IFERROR(INDEX('JOBS'!$F$5:$F$1504,MATCH(B895,'JOBS'!$A$5:$A$1504,0)),""))</f>
        <v/>
      </c>
      <c r="J895" s="55">
        <f>IF(C895="","",ROUND(C895*IF(IFERROR(INDEX('SETTINGS'!$K$5:$K$24,MATCH(E895,'SETTINGS'!$J$5:$J$24,0)),"No")="Yes",FeePct,0),2))</f>
        <v/>
      </c>
      <c r="K895" s="51">
        <f>IF(A895="","",DATE(YEAR(A895),MONTH(A895),1))</f>
        <v/>
      </c>
    </row>
    <row r="896">
      <c r="A896" s="47" t="n"/>
      <c r="B896" s="38" t="n"/>
      <c r="C896" s="48" t="n"/>
      <c r="D896" s="48" t="n"/>
      <c r="E896" s="38" t="n"/>
      <c r="F896" s="38" t="n"/>
      <c r="G896" s="38" t="n"/>
      <c r="H896" s="49">
        <f>IF(B896="","",IFERROR(INDEX('JOBS'!$D$5:$D$1504,MATCH(B896,'JOBS'!$A$5:$A$1504,0)),"Job ID not found"))</f>
        <v/>
      </c>
      <c r="I896" s="49">
        <f>IF(B896="","",IFERROR(INDEX('JOBS'!$F$5:$F$1504,MATCH(B896,'JOBS'!$A$5:$A$1504,0)),""))</f>
        <v/>
      </c>
      <c r="J896" s="55">
        <f>IF(C896="","",ROUND(C896*IF(IFERROR(INDEX('SETTINGS'!$K$5:$K$24,MATCH(E896,'SETTINGS'!$J$5:$J$24,0)),"No")="Yes",FeePct,0),2))</f>
        <v/>
      </c>
      <c r="K896" s="51">
        <f>IF(A896="","",DATE(YEAR(A896),MONTH(A896),1))</f>
        <v/>
      </c>
    </row>
    <row r="897">
      <c r="A897" s="47" t="n"/>
      <c r="B897" s="38" t="n"/>
      <c r="C897" s="48" t="n"/>
      <c r="D897" s="48" t="n"/>
      <c r="E897" s="38" t="n"/>
      <c r="F897" s="38" t="n"/>
      <c r="G897" s="38" t="n"/>
      <c r="H897" s="49">
        <f>IF(B897="","",IFERROR(INDEX('JOBS'!$D$5:$D$1504,MATCH(B897,'JOBS'!$A$5:$A$1504,0)),"Job ID not found"))</f>
        <v/>
      </c>
      <c r="I897" s="49">
        <f>IF(B897="","",IFERROR(INDEX('JOBS'!$F$5:$F$1504,MATCH(B897,'JOBS'!$A$5:$A$1504,0)),""))</f>
        <v/>
      </c>
      <c r="J897" s="55">
        <f>IF(C897="","",ROUND(C897*IF(IFERROR(INDEX('SETTINGS'!$K$5:$K$24,MATCH(E897,'SETTINGS'!$J$5:$J$24,0)),"No")="Yes",FeePct,0),2))</f>
        <v/>
      </c>
      <c r="K897" s="51">
        <f>IF(A897="","",DATE(YEAR(A897),MONTH(A897),1))</f>
        <v/>
      </c>
    </row>
    <row r="898">
      <c r="A898" s="47" t="n"/>
      <c r="B898" s="38" t="n"/>
      <c r="C898" s="48" t="n"/>
      <c r="D898" s="48" t="n"/>
      <c r="E898" s="38" t="n"/>
      <c r="F898" s="38" t="n"/>
      <c r="G898" s="38" t="n"/>
      <c r="H898" s="49">
        <f>IF(B898="","",IFERROR(INDEX('JOBS'!$D$5:$D$1504,MATCH(B898,'JOBS'!$A$5:$A$1504,0)),"Job ID not found"))</f>
        <v/>
      </c>
      <c r="I898" s="49">
        <f>IF(B898="","",IFERROR(INDEX('JOBS'!$F$5:$F$1504,MATCH(B898,'JOBS'!$A$5:$A$1504,0)),""))</f>
        <v/>
      </c>
      <c r="J898" s="55">
        <f>IF(C898="","",ROUND(C898*IF(IFERROR(INDEX('SETTINGS'!$K$5:$K$24,MATCH(E898,'SETTINGS'!$J$5:$J$24,0)),"No")="Yes",FeePct,0),2))</f>
        <v/>
      </c>
      <c r="K898" s="51">
        <f>IF(A898="","",DATE(YEAR(A898),MONTH(A898),1))</f>
        <v/>
      </c>
    </row>
    <row r="899">
      <c r="A899" s="47" t="n"/>
      <c r="B899" s="38" t="n"/>
      <c r="C899" s="48" t="n"/>
      <c r="D899" s="48" t="n"/>
      <c r="E899" s="38" t="n"/>
      <c r="F899" s="38" t="n"/>
      <c r="G899" s="38" t="n"/>
      <c r="H899" s="49">
        <f>IF(B899="","",IFERROR(INDEX('JOBS'!$D$5:$D$1504,MATCH(B899,'JOBS'!$A$5:$A$1504,0)),"Job ID not found"))</f>
        <v/>
      </c>
      <c r="I899" s="49">
        <f>IF(B899="","",IFERROR(INDEX('JOBS'!$F$5:$F$1504,MATCH(B899,'JOBS'!$A$5:$A$1504,0)),""))</f>
        <v/>
      </c>
      <c r="J899" s="55">
        <f>IF(C899="","",ROUND(C899*IF(IFERROR(INDEX('SETTINGS'!$K$5:$K$24,MATCH(E899,'SETTINGS'!$J$5:$J$24,0)),"No")="Yes",FeePct,0),2))</f>
        <v/>
      </c>
      <c r="K899" s="51">
        <f>IF(A899="","",DATE(YEAR(A899),MONTH(A899),1))</f>
        <v/>
      </c>
    </row>
    <row r="900">
      <c r="A900" s="47" t="n"/>
      <c r="B900" s="38" t="n"/>
      <c r="C900" s="48" t="n"/>
      <c r="D900" s="48" t="n"/>
      <c r="E900" s="38" t="n"/>
      <c r="F900" s="38" t="n"/>
      <c r="G900" s="38" t="n"/>
      <c r="H900" s="49">
        <f>IF(B900="","",IFERROR(INDEX('JOBS'!$D$5:$D$1504,MATCH(B900,'JOBS'!$A$5:$A$1504,0)),"Job ID not found"))</f>
        <v/>
      </c>
      <c r="I900" s="49">
        <f>IF(B900="","",IFERROR(INDEX('JOBS'!$F$5:$F$1504,MATCH(B900,'JOBS'!$A$5:$A$1504,0)),""))</f>
        <v/>
      </c>
      <c r="J900" s="55">
        <f>IF(C900="","",ROUND(C900*IF(IFERROR(INDEX('SETTINGS'!$K$5:$K$24,MATCH(E900,'SETTINGS'!$J$5:$J$24,0)),"No")="Yes",FeePct,0),2))</f>
        <v/>
      </c>
      <c r="K900" s="51">
        <f>IF(A900="","",DATE(YEAR(A900),MONTH(A900),1))</f>
        <v/>
      </c>
    </row>
    <row r="901">
      <c r="A901" s="47" t="n"/>
      <c r="B901" s="38" t="n"/>
      <c r="C901" s="48" t="n"/>
      <c r="D901" s="48" t="n"/>
      <c r="E901" s="38" t="n"/>
      <c r="F901" s="38" t="n"/>
      <c r="G901" s="38" t="n"/>
      <c r="H901" s="49">
        <f>IF(B901="","",IFERROR(INDEX('JOBS'!$D$5:$D$1504,MATCH(B901,'JOBS'!$A$5:$A$1504,0)),"Job ID not found"))</f>
        <v/>
      </c>
      <c r="I901" s="49">
        <f>IF(B901="","",IFERROR(INDEX('JOBS'!$F$5:$F$1504,MATCH(B901,'JOBS'!$A$5:$A$1504,0)),""))</f>
        <v/>
      </c>
      <c r="J901" s="55">
        <f>IF(C901="","",ROUND(C901*IF(IFERROR(INDEX('SETTINGS'!$K$5:$K$24,MATCH(E901,'SETTINGS'!$J$5:$J$24,0)),"No")="Yes",FeePct,0),2))</f>
        <v/>
      </c>
      <c r="K901" s="51">
        <f>IF(A901="","",DATE(YEAR(A901),MONTH(A901),1))</f>
        <v/>
      </c>
    </row>
    <row r="902">
      <c r="A902" s="47" t="n"/>
      <c r="B902" s="38" t="n"/>
      <c r="C902" s="48" t="n"/>
      <c r="D902" s="48" t="n"/>
      <c r="E902" s="38" t="n"/>
      <c r="F902" s="38" t="n"/>
      <c r="G902" s="38" t="n"/>
      <c r="H902" s="49">
        <f>IF(B902="","",IFERROR(INDEX('JOBS'!$D$5:$D$1504,MATCH(B902,'JOBS'!$A$5:$A$1504,0)),"Job ID not found"))</f>
        <v/>
      </c>
      <c r="I902" s="49">
        <f>IF(B902="","",IFERROR(INDEX('JOBS'!$F$5:$F$1504,MATCH(B902,'JOBS'!$A$5:$A$1504,0)),""))</f>
        <v/>
      </c>
      <c r="J902" s="55">
        <f>IF(C902="","",ROUND(C902*IF(IFERROR(INDEX('SETTINGS'!$K$5:$K$24,MATCH(E902,'SETTINGS'!$J$5:$J$24,0)),"No")="Yes",FeePct,0),2))</f>
        <v/>
      </c>
      <c r="K902" s="51">
        <f>IF(A902="","",DATE(YEAR(A902),MONTH(A902),1))</f>
        <v/>
      </c>
    </row>
    <row r="903">
      <c r="A903" s="47" t="n"/>
      <c r="B903" s="38" t="n"/>
      <c r="C903" s="48" t="n"/>
      <c r="D903" s="48" t="n"/>
      <c r="E903" s="38" t="n"/>
      <c r="F903" s="38" t="n"/>
      <c r="G903" s="38" t="n"/>
      <c r="H903" s="49">
        <f>IF(B903="","",IFERROR(INDEX('JOBS'!$D$5:$D$1504,MATCH(B903,'JOBS'!$A$5:$A$1504,0)),"Job ID not found"))</f>
        <v/>
      </c>
      <c r="I903" s="49">
        <f>IF(B903="","",IFERROR(INDEX('JOBS'!$F$5:$F$1504,MATCH(B903,'JOBS'!$A$5:$A$1504,0)),""))</f>
        <v/>
      </c>
      <c r="J903" s="55">
        <f>IF(C903="","",ROUND(C903*IF(IFERROR(INDEX('SETTINGS'!$K$5:$K$24,MATCH(E903,'SETTINGS'!$J$5:$J$24,0)),"No")="Yes",FeePct,0),2))</f>
        <v/>
      </c>
      <c r="K903" s="51">
        <f>IF(A903="","",DATE(YEAR(A903),MONTH(A903),1))</f>
        <v/>
      </c>
    </row>
    <row r="904">
      <c r="A904" s="47" t="n"/>
      <c r="B904" s="38" t="n"/>
      <c r="C904" s="48" t="n"/>
      <c r="D904" s="48" t="n"/>
      <c r="E904" s="38" t="n"/>
      <c r="F904" s="38" t="n"/>
      <c r="G904" s="38" t="n"/>
      <c r="H904" s="49">
        <f>IF(B904="","",IFERROR(INDEX('JOBS'!$D$5:$D$1504,MATCH(B904,'JOBS'!$A$5:$A$1504,0)),"Job ID not found"))</f>
        <v/>
      </c>
      <c r="I904" s="49">
        <f>IF(B904="","",IFERROR(INDEX('JOBS'!$F$5:$F$1504,MATCH(B904,'JOBS'!$A$5:$A$1504,0)),""))</f>
        <v/>
      </c>
      <c r="J904" s="55">
        <f>IF(C904="","",ROUND(C904*IF(IFERROR(INDEX('SETTINGS'!$K$5:$K$24,MATCH(E904,'SETTINGS'!$J$5:$J$24,0)),"No")="Yes",FeePct,0),2))</f>
        <v/>
      </c>
      <c r="K904" s="51">
        <f>IF(A904="","",DATE(YEAR(A904),MONTH(A904),1))</f>
        <v/>
      </c>
    </row>
    <row r="905">
      <c r="A905" s="47" t="n"/>
      <c r="B905" s="38" t="n"/>
      <c r="C905" s="48" t="n"/>
      <c r="D905" s="48" t="n"/>
      <c r="E905" s="38" t="n"/>
      <c r="F905" s="38" t="n"/>
      <c r="G905" s="38" t="n"/>
      <c r="H905" s="49">
        <f>IF(B905="","",IFERROR(INDEX('JOBS'!$D$5:$D$1504,MATCH(B905,'JOBS'!$A$5:$A$1504,0)),"Job ID not found"))</f>
        <v/>
      </c>
      <c r="I905" s="49">
        <f>IF(B905="","",IFERROR(INDEX('JOBS'!$F$5:$F$1504,MATCH(B905,'JOBS'!$A$5:$A$1504,0)),""))</f>
        <v/>
      </c>
      <c r="J905" s="55">
        <f>IF(C905="","",ROUND(C905*IF(IFERROR(INDEX('SETTINGS'!$K$5:$K$24,MATCH(E905,'SETTINGS'!$J$5:$J$24,0)),"No")="Yes",FeePct,0),2))</f>
        <v/>
      </c>
      <c r="K905" s="51">
        <f>IF(A905="","",DATE(YEAR(A905),MONTH(A905),1))</f>
        <v/>
      </c>
    </row>
    <row r="906">
      <c r="A906" s="47" t="n"/>
      <c r="B906" s="38" t="n"/>
      <c r="C906" s="48" t="n"/>
      <c r="D906" s="48" t="n"/>
      <c r="E906" s="38" t="n"/>
      <c r="F906" s="38" t="n"/>
      <c r="G906" s="38" t="n"/>
      <c r="H906" s="49">
        <f>IF(B906="","",IFERROR(INDEX('JOBS'!$D$5:$D$1504,MATCH(B906,'JOBS'!$A$5:$A$1504,0)),"Job ID not found"))</f>
        <v/>
      </c>
      <c r="I906" s="49">
        <f>IF(B906="","",IFERROR(INDEX('JOBS'!$F$5:$F$1504,MATCH(B906,'JOBS'!$A$5:$A$1504,0)),""))</f>
        <v/>
      </c>
      <c r="J906" s="55">
        <f>IF(C906="","",ROUND(C906*IF(IFERROR(INDEX('SETTINGS'!$K$5:$K$24,MATCH(E906,'SETTINGS'!$J$5:$J$24,0)),"No")="Yes",FeePct,0),2))</f>
        <v/>
      </c>
      <c r="K906" s="51">
        <f>IF(A906="","",DATE(YEAR(A906),MONTH(A906),1))</f>
        <v/>
      </c>
    </row>
    <row r="907">
      <c r="A907" s="47" t="n"/>
      <c r="B907" s="38" t="n"/>
      <c r="C907" s="48" t="n"/>
      <c r="D907" s="48" t="n"/>
      <c r="E907" s="38" t="n"/>
      <c r="F907" s="38" t="n"/>
      <c r="G907" s="38" t="n"/>
      <c r="H907" s="49">
        <f>IF(B907="","",IFERROR(INDEX('JOBS'!$D$5:$D$1504,MATCH(B907,'JOBS'!$A$5:$A$1504,0)),"Job ID not found"))</f>
        <v/>
      </c>
      <c r="I907" s="49">
        <f>IF(B907="","",IFERROR(INDEX('JOBS'!$F$5:$F$1504,MATCH(B907,'JOBS'!$A$5:$A$1504,0)),""))</f>
        <v/>
      </c>
      <c r="J907" s="55">
        <f>IF(C907="","",ROUND(C907*IF(IFERROR(INDEX('SETTINGS'!$K$5:$K$24,MATCH(E907,'SETTINGS'!$J$5:$J$24,0)),"No")="Yes",FeePct,0),2))</f>
        <v/>
      </c>
      <c r="K907" s="51">
        <f>IF(A907="","",DATE(YEAR(A907),MONTH(A907),1))</f>
        <v/>
      </c>
    </row>
    <row r="908">
      <c r="A908" s="47" t="n"/>
      <c r="B908" s="38" t="n"/>
      <c r="C908" s="48" t="n"/>
      <c r="D908" s="48" t="n"/>
      <c r="E908" s="38" t="n"/>
      <c r="F908" s="38" t="n"/>
      <c r="G908" s="38" t="n"/>
      <c r="H908" s="49">
        <f>IF(B908="","",IFERROR(INDEX('JOBS'!$D$5:$D$1504,MATCH(B908,'JOBS'!$A$5:$A$1504,0)),"Job ID not found"))</f>
        <v/>
      </c>
      <c r="I908" s="49">
        <f>IF(B908="","",IFERROR(INDEX('JOBS'!$F$5:$F$1504,MATCH(B908,'JOBS'!$A$5:$A$1504,0)),""))</f>
        <v/>
      </c>
      <c r="J908" s="55">
        <f>IF(C908="","",ROUND(C908*IF(IFERROR(INDEX('SETTINGS'!$K$5:$K$24,MATCH(E908,'SETTINGS'!$J$5:$J$24,0)),"No")="Yes",FeePct,0),2))</f>
        <v/>
      </c>
      <c r="K908" s="51">
        <f>IF(A908="","",DATE(YEAR(A908),MONTH(A908),1))</f>
        <v/>
      </c>
    </row>
    <row r="909">
      <c r="A909" s="47" t="n"/>
      <c r="B909" s="38" t="n"/>
      <c r="C909" s="48" t="n"/>
      <c r="D909" s="48" t="n"/>
      <c r="E909" s="38" t="n"/>
      <c r="F909" s="38" t="n"/>
      <c r="G909" s="38" t="n"/>
      <c r="H909" s="49">
        <f>IF(B909="","",IFERROR(INDEX('JOBS'!$D$5:$D$1504,MATCH(B909,'JOBS'!$A$5:$A$1504,0)),"Job ID not found"))</f>
        <v/>
      </c>
      <c r="I909" s="49">
        <f>IF(B909="","",IFERROR(INDEX('JOBS'!$F$5:$F$1504,MATCH(B909,'JOBS'!$A$5:$A$1504,0)),""))</f>
        <v/>
      </c>
      <c r="J909" s="55">
        <f>IF(C909="","",ROUND(C909*IF(IFERROR(INDEX('SETTINGS'!$K$5:$K$24,MATCH(E909,'SETTINGS'!$J$5:$J$24,0)),"No")="Yes",FeePct,0),2))</f>
        <v/>
      </c>
      <c r="K909" s="51">
        <f>IF(A909="","",DATE(YEAR(A909),MONTH(A909),1))</f>
        <v/>
      </c>
    </row>
    <row r="910">
      <c r="A910" s="47" t="n"/>
      <c r="B910" s="38" t="n"/>
      <c r="C910" s="48" t="n"/>
      <c r="D910" s="48" t="n"/>
      <c r="E910" s="38" t="n"/>
      <c r="F910" s="38" t="n"/>
      <c r="G910" s="38" t="n"/>
      <c r="H910" s="49">
        <f>IF(B910="","",IFERROR(INDEX('JOBS'!$D$5:$D$1504,MATCH(B910,'JOBS'!$A$5:$A$1504,0)),"Job ID not found"))</f>
        <v/>
      </c>
      <c r="I910" s="49">
        <f>IF(B910="","",IFERROR(INDEX('JOBS'!$F$5:$F$1504,MATCH(B910,'JOBS'!$A$5:$A$1504,0)),""))</f>
        <v/>
      </c>
      <c r="J910" s="55">
        <f>IF(C910="","",ROUND(C910*IF(IFERROR(INDEX('SETTINGS'!$K$5:$K$24,MATCH(E910,'SETTINGS'!$J$5:$J$24,0)),"No")="Yes",FeePct,0),2))</f>
        <v/>
      </c>
      <c r="K910" s="51">
        <f>IF(A910="","",DATE(YEAR(A910),MONTH(A910),1))</f>
        <v/>
      </c>
    </row>
    <row r="911">
      <c r="A911" s="47" t="n"/>
      <c r="B911" s="38" t="n"/>
      <c r="C911" s="48" t="n"/>
      <c r="D911" s="48" t="n"/>
      <c r="E911" s="38" t="n"/>
      <c r="F911" s="38" t="n"/>
      <c r="G911" s="38" t="n"/>
      <c r="H911" s="49">
        <f>IF(B911="","",IFERROR(INDEX('JOBS'!$D$5:$D$1504,MATCH(B911,'JOBS'!$A$5:$A$1504,0)),"Job ID not found"))</f>
        <v/>
      </c>
      <c r="I911" s="49">
        <f>IF(B911="","",IFERROR(INDEX('JOBS'!$F$5:$F$1504,MATCH(B911,'JOBS'!$A$5:$A$1504,0)),""))</f>
        <v/>
      </c>
      <c r="J911" s="55">
        <f>IF(C911="","",ROUND(C911*IF(IFERROR(INDEX('SETTINGS'!$K$5:$K$24,MATCH(E911,'SETTINGS'!$J$5:$J$24,0)),"No")="Yes",FeePct,0),2))</f>
        <v/>
      </c>
      <c r="K911" s="51">
        <f>IF(A911="","",DATE(YEAR(A911),MONTH(A911),1))</f>
        <v/>
      </c>
    </row>
    <row r="912">
      <c r="A912" s="47" t="n"/>
      <c r="B912" s="38" t="n"/>
      <c r="C912" s="48" t="n"/>
      <c r="D912" s="48" t="n"/>
      <c r="E912" s="38" t="n"/>
      <c r="F912" s="38" t="n"/>
      <c r="G912" s="38" t="n"/>
      <c r="H912" s="49">
        <f>IF(B912="","",IFERROR(INDEX('JOBS'!$D$5:$D$1504,MATCH(B912,'JOBS'!$A$5:$A$1504,0)),"Job ID not found"))</f>
        <v/>
      </c>
      <c r="I912" s="49">
        <f>IF(B912="","",IFERROR(INDEX('JOBS'!$F$5:$F$1504,MATCH(B912,'JOBS'!$A$5:$A$1504,0)),""))</f>
        <v/>
      </c>
      <c r="J912" s="55">
        <f>IF(C912="","",ROUND(C912*IF(IFERROR(INDEX('SETTINGS'!$K$5:$K$24,MATCH(E912,'SETTINGS'!$J$5:$J$24,0)),"No")="Yes",FeePct,0),2))</f>
        <v/>
      </c>
      <c r="K912" s="51">
        <f>IF(A912="","",DATE(YEAR(A912),MONTH(A912),1))</f>
        <v/>
      </c>
    </row>
    <row r="913">
      <c r="A913" s="47" t="n"/>
      <c r="B913" s="38" t="n"/>
      <c r="C913" s="48" t="n"/>
      <c r="D913" s="48" t="n"/>
      <c r="E913" s="38" t="n"/>
      <c r="F913" s="38" t="n"/>
      <c r="G913" s="38" t="n"/>
      <c r="H913" s="49">
        <f>IF(B913="","",IFERROR(INDEX('JOBS'!$D$5:$D$1504,MATCH(B913,'JOBS'!$A$5:$A$1504,0)),"Job ID not found"))</f>
        <v/>
      </c>
      <c r="I913" s="49">
        <f>IF(B913="","",IFERROR(INDEX('JOBS'!$F$5:$F$1504,MATCH(B913,'JOBS'!$A$5:$A$1504,0)),""))</f>
        <v/>
      </c>
      <c r="J913" s="55">
        <f>IF(C913="","",ROUND(C913*IF(IFERROR(INDEX('SETTINGS'!$K$5:$K$24,MATCH(E913,'SETTINGS'!$J$5:$J$24,0)),"No")="Yes",FeePct,0),2))</f>
        <v/>
      </c>
      <c r="K913" s="51">
        <f>IF(A913="","",DATE(YEAR(A913),MONTH(A913),1))</f>
        <v/>
      </c>
    </row>
    <row r="914">
      <c r="A914" s="47" t="n"/>
      <c r="B914" s="38" t="n"/>
      <c r="C914" s="48" t="n"/>
      <c r="D914" s="48" t="n"/>
      <c r="E914" s="38" t="n"/>
      <c r="F914" s="38" t="n"/>
      <c r="G914" s="38" t="n"/>
      <c r="H914" s="49">
        <f>IF(B914="","",IFERROR(INDEX('JOBS'!$D$5:$D$1504,MATCH(B914,'JOBS'!$A$5:$A$1504,0)),"Job ID not found"))</f>
        <v/>
      </c>
      <c r="I914" s="49">
        <f>IF(B914="","",IFERROR(INDEX('JOBS'!$F$5:$F$1504,MATCH(B914,'JOBS'!$A$5:$A$1504,0)),""))</f>
        <v/>
      </c>
      <c r="J914" s="55">
        <f>IF(C914="","",ROUND(C914*IF(IFERROR(INDEX('SETTINGS'!$K$5:$K$24,MATCH(E914,'SETTINGS'!$J$5:$J$24,0)),"No")="Yes",FeePct,0),2))</f>
        <v/>
      </c>
      <c r="K914" s="51">
        <f>IF(A914="","",DATE(YEAR(A914),MONTH(A914),1))</f>
        <v/>
      </c>
    </row>
    <row r="915">
      <c r="A915" s="47" t="n"/>
      <c r="B915" s="38" t="n"/>
      <c r="C915" s="48" t="n"/>
      <c r="D915" s="48" t="n"/>
      <c r="E915" s="38" t="n"/>
      <c r="F915" s="38" t="n"/>
      <c r="G915" s="38" t="n"/>
      <c r="H915" s="49">
        <f>IF(B915="","",IFERROR(INDEX('JOBS'!$D$5:$D$1504,MATCH(B915,'JOBS'!$A$5:$A$1504,0)),"Job ID not found"))</f>
        <v/>
      </c>
      <c r="I915" s="49">
        <f>IF(B915="","",IFERROR(INDEX('JOBS'!$F$5:$F$1504,MATCH(B915,'JOBS'!$A$5:$A$1504,0)),""))</f>
        <v/>
      </c>
      <c r="J915" s="55">
        <f>IF(C915="","",ROUND(C915*IF(IFERROR(INDEX('SETTINGS'!$K$5:$K$24,MATCH(E915,'SETTINGS'!$J$5:$J$24,0)),"No")="Yes",FeePct,0),2))</f>
        <v/>
      </c>
      <c r="K915" s="51">
        <f>IF(A915="","",DATE(YEAR(A915),MONTH(A915),1))</f>
        <v/>
      </c>
    </row>
    <row r="916">
      <c r="A916" s="47" t="n"/>
      <c r="B916" s="38" t="n"/>
      <c r="C916" s="48" t="n"/>
      <c r="D916" s="48" t="n"/>
      <c r="E916" s="38" t="n"/>
      <c r="F916" s="38" t="n"/>
      <c r="G916" s="38" t="n"/>
      <c r="H916" s="49">
        <f>IF(B916="","",IFERROR(INDEX('JOBS'!$D$5:$D$1504,MATCH(B916,'JOBS'!$A$5:$A$1504,0)),"Job ID not found"))</f>
        <v/>
      </c>
      <c r="I916" s="49">
        <f>IF(B916="","",IFERROR(INDEX('JOBS'!$F$5:$F$1504,MATCH(B916,'JOBS'!$A$5:$A$1504,0)),""))</f>
        <v/>
      </c>
      <c r="J916" s="55">
        <f>IF(C916="","",ROUND(C916*IF(IFERROR(INDEX('SETTINGS'!$K$5:$K$24,MATCH(E916,'SETTINGS'!$J$5:$J$24,0)),"No")="Yes",FeePct,0),2))</f>
        <v/>
      </c>
      <c r="K916" s="51">
        <f>IF(A916="","",DATE(YEAR(A916),MONTH(A916),1))</f>
        <v/>
      </c>
    </row>
    <row r="917">
      <c r="A917" s="47" t="n"/>
      <c r="B917" s="38" t="n"/>
      <c r="C917" s="48" t="n"/>
      <c r="D917" s="48" t="n"/>
      <c r="E917" s="38" t="n"/>
      <c r="F917" s="38" t="n"/>
      <c r="G917" s="38" t="n"/>
      <c r="H917" s="49">
        <f>IF(B917="","",IFERROR(INDEX('JOBS'!$D$5:$D$1504,MATCH(B917,'JOBS'!$A$5:$A$1504,0)),"Job ID not found"))</f>
        <v/>
      </c>
      <c r="I917" s="49">
        <f>IF(B917="","",IFERROR(INDEX('JOBS'!$F$5:$F$1504,MATCH(B917,'JOBS'!$A$5:$A$1504,0)),""))</f>
        <v/>
      </c>
      <c r="J917" s="55">
        <f>IF(C917="","",ROUND(C917*IF(IFERROR(INDEX('SETTINGS'!$K$5:$K$24,MATCH(E917,'SETTINGS'!$J$5:$J$24,0)),"No")="Yes",FeePct,0),2))</f>
        <v/>
      </c>
      <c r="K917" s="51">
        <f>IF(A917="","",DATE(YEAR(A917),MONTH(A917),1))</f>
        <v/>
      </c>
    </row>
    <row r="918">
      <c r="A918" s="47" t="n"/>
      <c r="B918" s="38" t="n"/>
      <c r="C918" s="48" t="n"/>
      <c r="D918" s="48" t="n"/>
      <c r="E918" s="38" t="n"/>
      <c r="F918" s="38" t="n"/>
      <c r="G918" s="38" t="n"/>
      <c r="H918" s="49">
        <f>IF(B918="","",IFERROR(INDEX('JOBS'!$D$5:$D$1504,MATCH(B918,'JOBS'!$A$5:$A$1504,0)),"Job ID not found"))</f>
        <v/>
      </c>
      <c r="I918" s="49">
        <f>IF(B918="","",IFERROR(INDEX('JOBS'!$F$5:$F$1504,MATCH(B918,'JOBS'!$A$5:$A$1504,0)),""))</f>
        <v/>
      </c>
      <c r="J918" s="55">
        <f>IF(C918="","",ROUND(C918*IF(IFERROR(INDEX('SETTINGS'!$K$5:$K$24,MATCH(E918,'SETTINGS'!$J$5:$J$24,0)),"No")="Yes",FeePct,0),2))</f>
        <v/>
      </c>
      <c r="K918" s="51">
        <f>IF(A918="","",DATE(YEAR(A918),MONTH(A918),1))</f>
        <v/>
      </c>
    </row>
    <row r="919">
      <c r="A919" s="47" t="n"/>
      <c r="B919" s="38" t="n"/>
      <c r="C919" s="48" t="n"/>
      <c r="D919" s="48" t="n"/>
      <c r="E919" s="38" t="n"/>
      <c r="F919" s="38" t="n"/>
      <c r="G919" s="38" t="n"/>
      <c r="H919" s="49">
        <f>IF(B919="","",IFERROR(INDEX('JOBS'!$D$5:$D$1504,MATCH(B919,'JOBS'!$A$5:$A$1504,0)),"Job ID not found"))</f>
        <v/>
      </c>
      <c r="I919" s="49">
        <f>IF(B919="","",IFERROR(INDEX('JOBS'!$F$5:$F$1504,MATCH(B919,'JOBS'!$A$5:$A$1504,0)),""))</f>
        <v/>
      </c>
      <c r="J919" s="55">
        <f>IF(C919="","",ROUND(C919*IF(IFERROR(INDEX('SETTINGS'!$K$5:$K$24,MATCH(E919,'SETTINGS'!$J$5:$J$24,0)),"No")="Yes",FeePct,0),2))</f>
        <v/>
      </c>
      <c r="K919" s="51">
        <f>IF(A919="","",DATE(YEAR(A919),MONTH(A919),1))</f>
        <v/>
      </c>
    </row>
    <row r="920">
      <c r="A920" s="47" t="n"/>
      <c r="B920" s="38" t="n"/>
      <c r="C920" s="48" t="n"/>
      <c r="D920" s="48" t="n"/>
      <c r="E920" s="38" t="n"/>
      <c r="F920" s="38" t="n"/>
      <c r="G920" s="38" t="n"/>
      <c r="H920" s="49">
        <f>IF(B920="","",IFERROR(INDEX('JOBS'!$D$5:$D$1504,MATCH(B920,'JOBS'!$A$5:$A$1504,0)),"Job ID not found"))</f>
        <v/>
      </c>
      <c r="I920" s="49">
        <f>IF(B920="","",IFERROR(INDEX('JOBS'!$F$5:$F$1504,MATCH(B920,'JOBS'!$A$5:$A$1504,0)),""))</f>
        <v/>
      </c>
      <c r="J920" s="55">
        <f>IF(C920="","",ROUND(C920*IF(IFERROR(INDEX('SETTINGS'!$K$5:$K$24,MATCH(E920,'SETTINGS'!$J$5:$J$24,0)),"No")="Yes",FeePct,0),2))</f>
        <v/>
      </c>
      <c r="K920" s="51">
        <f>IF(A920="","",DATE(YEAR(A920),MONTH(A920),1))</f>
        <v/>
      </c>
    </row>
    <row r="921">
      <c r="A921" s="47" t="n"/>
      <c r="B921" s="38" t="n"/>
      <c r="C921" s="48" t="n"/>
      <c r="D921" s="48" t="n"/>
      <c r="E921" s="38" t="n"/>
      <c r="F921" s="38" t="n"/>
      <c r="G921" s="38" t="n"/>
      <c r="H921" s="49">
        <f>IF(B921="","",IFERROR(INDEX('JOBS'!$D$5:$D$1504,MATCH(B921,'JOBS'!$A$5:$A$1504,0)),"Job ID not found"))</f>
        <v/>
      </c>
      <c r="I921" s="49">
        <f>IF(B921="","",IFERROR(INDEX('JOBS'!$F$5:$F$1504,MATCH(B921,'JOBS'!$A$5:$A$1504,0)),""))</f>
        <v/>
      </c>
      <c r="J921" s="55">
        <f>IF(C921="","",ROUND(C921*IF(IFERROR(INDEX('SETTINGS'!$K$5:$K$24,MATCH(E921,'SETTINGS'!$J$5:$J$24,0)),"No")="Yes",FeePct,0),2))</f>
        <v/>
      </c>
      <c r="K921" s="51">
        <f>IF(A921="","",DATE(YEAR(A921),MONTH(A921),1))</f>
        <v/>
      </c>
    </row>
    <row r="922">
      <c r="A922" s="47" t="n"/>
      <c r="B922" s="38" t="n"/>
      <c r="C922" s="48" t="n"/>
      <c r="D922" s="48" t="n"/>
      <c r="E922" s="38" t="n"/>
      <c r="F922" s="38" t="n"/>
      <c r="G922" s="38" t="n"/>
      <c r="H922" s="49">
        <f>IF(B922="","",IFERROR(INDEX('JOBS'!$D$5:$D$1504,MATCH(B922,'JOBS'!$A$5:$A$1504,0)),"Job ID not found"))</f>
        <v/>
      </c>
      <c r="I922" s="49">
        <f>IF(B922="","",IFERROR(INDEX('JOBS'!$F$5:$F$1504,MATCH(B922,'JOBS'!$A$5:$A$1504,0)),""))</f>
        <v/>
      </c>
      <c r="J922" s="55">
        <f>IF(C922="","",ROUND(C922*IF(IFERROR(INDEX('SETTINGS'!$K$5:$K$24,MATCH(E922,'SETTINGS'!$J$5:$J$24,0)),"No")="Yes",FeePct,0),2))</f>
        <v/>
      </c>
      <c r="K922" s="51">
        <f>IF(A922="","",DATE(YEAR(A922),MONTH(A922),1))</f>
        <v/>
      </c>
    </row>
    <row r="923">
      <c r="A923" s="47" t="n"/>
      <c r="B923" s="38" t="n"/>
      <c r="C923" s="48" t="n"/>
      <c r="D923" s="48" t="n"/>
      <c r="E923" s="38" t="n"/>
      <c r="F923" s="38" t="n"/>
      <c r="G923" s="38" t="n"/>
      <c r="H923" s="49">
        <f>IF(B923="","",IFERROR(INDEX('JOBS'!$D$5:$D$1504,MATCH(B923,'JOBS'!$A$5:$A$1504,0)),"Job ID not found"))</f>
        <v/>
      </c>
      <c r="I923" s="49">
        <f>IF(B923="","",IFERROR(INDEX('JOBS'!$F$5:$F$1504,MATCH(B923,'JOBS'!$A$5:$A$1504,0)),""))</f>
        <v/>
      </c>
      <c r="J923" s="55">
        <f>IF(C923="","",ROUND(C923*IF(IFERROR(INDEX('SETTINGS'!$K$5:$K$24,MATCH(E923,'SETTINGS'!$J$5:$J$24,0)),"No")="Yes",FeePct,0),2))</f>
        <v/>
      </c>
      <c r="K923" s="51">
        <f>IF(A923="","",DATE(YEAR(A923),MONTH(A923),1))</f>
        <v/>
      </c>
    </row>
    <row r="924">
      <c r="A924" s="47" t="n"/>
      <c r="B924" s="38" t="n"/>
      <c r="C924" s="48" t="n"/>
      <c r="D924" s="48" t="n"/>
      <c r="E924" s="38" t="n"/>
      <c r="F924" s="38" t="n"/>
      <c r="G924" s="38" t="n"/>
      <c r="H924" s="49">
        <f>IF(B924="","",IFERROR(INDEX('JOBS'!$D$5:$D$1504,MATCH(B924,'JOBS'!$A$5:$A$1504,0)),"Job ID not found"))</f>
        <v/>
      </c>
      <c r="I924" s="49">
        <f>IF(B924="","",IFERROR(INDEX('JOBS'!$F$5:$F$1504,MATCH(B924,'JOBS'!$A$5:$A$1504,0)),""))</f>
        <v/>
      </c>
      <c r="J924" s="55">
        <f>IF(C924="","",ROUND(C924*IF(IFERROR(INDEX('SETTINGS'!$K$5:$K$24,MATCH(E924,'SETTINGS'!$J$5:$J$24,0)),"No")="Yes",FeePct,0),2))</f>
        <v/>
      </c>
      <c r="K924" s="51">
        <f>IF(A924="","",DATE(YEAR(A924),MONTH(A924),1))</f>
        <v/>
      </c>
    </row>
    <row r="925">
      <c r="A925" s="47" t="n"/>
      <c r="B925" s="38" t="n"/>
      <c r="C925" s="48" t="n"/>
      <c r="D925" s="48" t="n"/>
      <c r="E925" s="38" t="n"/>
      <c r="F925" s="38" t="n"/>
      <c r="G925" s="38" t="n"/>
      <c r="H925" s="49">
        <f>IF(B925="","",IFERROR(INDEX('JOBS'!$D$5:$D$1504,MATCH(B925,'JOBS'!$A$5:$A$1504,0)),"Job ID not found"))</f>
        <v/>
      </c>
      <c r="I925" s="49">
        <f>IF(B925="","",IFERROR(INDEX('JOBS'!$F$5:$F$1504,MATCH(B925,'JOBS'!$A$5:$A$1504,0)),""))</f>
        <v/>
      </c>
      <c r="J925" s="55">
        <f>IF(C925="","",ROUND(C925*IF(IFERROR(INDEX('SETTINGS'!$K$5:$K$24,MATCH(E925,'SETTINGS'!$J$5:$J$24,0)),"No")="Yes",FeePct,0),2))</f>
        <v/>
      </c>
      <c r="K925" s="51">
        <f>IF(A925="","",DATE(YEAR(A925),MONTH(A925),1))</f>
        <v/>
      </c>
    </row>
    <row r="926">
      <c r="A926" s="47" t="n"/>
      <c r="B926" s="38" t="n"/>
      <c r="C926" s="48" t="n"/>
      <c r="D926" s="48" t="n"/>
      <c r="E926" s="38" t="n"/>
      <c r="F926" s="38" t="n"/>
      <c r="G926" s="38" t="n"/>
      <c r="H926" s="49">
        <f>IF(B926="","",IFERROR(INDEX('JOBS'!$D$5:$D$1504,MATCH(B926,'JOBS'!$A$5:$A$1504,0)),"Job ID not found"))</f>
        <v/>
      </c>
      <c r="I926" s="49">
        <f>IF(B926="","",IFERROR(INDEX('JOBS'!$F$5:$F$1504,MATCH(B926,'JOBS'!$A$5:$A$1504,0)),""))</f>
        <v/>
      </c>
      <c r="J926" s="55">
        <f>IF(C926="","",ROUND(C926*IF(IFERROR(INDEX('SETTINGS'!$K$5:$K$24,MATCH(E926,'SETTINGS'!$J$5:$J$24,0)),"No")="Yes",FeePct,0),2))</f>
        <v/>
      </c>
      <c r="K926" s="51">
        <f>IF(A926="","",DATE(YEAR(A926),MONTH(A926),1))</f>
        <v/>
      </c>
    </row>
    <row r="927">
      <c r="A927" s="47" t="n"/>
      <c r="B927" s="38" t="n"/>
      <c r="C927" s="48" t="n"/>
      <c r="D927" s="48" t="n"/>
      <c r="E927" s="38" t="n"/>
      <c r="F927" s="38" t="n"/>
      <c r="G927" s="38" t="n"/>
      <c r="H927" s="49">
        <f>IF(B927="","",IFERROR(INDEX('JOBS'!$D$5:$D$1504,MATCH(B927,'JOBS'!$A$5:$A$1504,0)),"Job ID not found"))</f>
        <v/>
      </c>
      <c r="I927" s="49">
        <f>IF(B927="","",IFERROR(INDEX('JOBS'!$F$5:$F$1504,MATCH(B927,'JOBS'!$A$5:$A$1504,0)),""))</f>
        <v/>
      </c>
      <c r="J927" s="55">
        <f>IF(C927="","",ROUND(C927*IF(IFERROR(INDEX('SETTINGS'!$K$5:$K$24,MATCH(E927,'SETTINGS'!$J$5:$J$24,0)),"No")="Yes",FeePct,0),2))</f>
        <v/>
      </c>
      <c r="K927" s="51">
        <f>IF(A927="","",DATE(YEAR(A927),MONTH(A927),1))</f>
        <v/>
      </c>
    </row>
    <row r="928">
      <c r="A928" s="47" t="n"/>
      <c r="B928" s="38" t="n"/>
      <c r="C928" s="48" t="n"/>
      <c r="D928" s="48" t="n"/>
      <c r="E928" s="38" t="n"/>
      <c r="F928" s="38" t="n"/>
      <c r="G928" s="38" t="n"/>
      <c r="H928" s="49">
        <f>IF(B928="","",IFERROR(INDEX('JOBS'!$D$5:$D$1504,MATCH(B928,'JOBS'!$A$5:$A$1504,0)),"Job ID not found"))</f>
        <v/>
      </c>
      <c r="I928" s="49">
        <f>IF(B928="","",IFERROR(INDEX('JOBS'!$F$5:$F$1504,MATCH(B928,'JOBS'!$A$5:$A$1504,0)),""))</f>
        <v/>
      </c>
      <c r="J928" s="55">
        <f>IF(C928="","",ROUND(C928*IF(IFERROR(INDEX('SETTINGS'!$K$5:$K$24,MATCH(E928,'SETTINGS'!$J$5:$J$24,0)),"No")="Yes",FeePct,0),2))</f>
        <v/>
      </c>
      <c r="K928" s="51">
        <f>IF(A928="","",DATE(YEAR(A928),MONTH(A928),1))</f>
        <v/>
      </c>
    </row>
    <row r="929">
      <c r="A929" s="47" t="n"/>
      <c r="B929" s="38" t="n"/>
      <c r="C929" s="48" t="n"/>
      <c r="D929" s="48" t="n"/>
      <c r="E929" s="38" t="n"/>
      <c r="F929" s="38" t="n"/>
      <c r="G929" s="38" t="n"/>
      <c r="H929" s="49">
        <f>IF(B929="","",IFERROR(INDEX('JOBS'!$D$5:$D$1504,MATCH(B929,'JOBS'!$A$5:$A$1504,0)),"Job ID not found"))</f>
        <v/>
      </c>
      <c r="I929" s="49">
        <f>IF(B929="","",IFERROR(INDEX('JOBS'!$F$5:$F$1504,MATCH(B929,'JOBS'!$A$5:$A$1504,0)),""))</f>
        <v/>
      </c>
      <c r="J929" s="55">
        <f>IF(C929="","",ROUND(C929*IF(IFERROR(INDEX('SETTINGS'!$K$5:$K$24,MATCH(E929,'SETTINGS'!$J$5:$J$24,0)),"No")="Yes",FeePct,0),2))</f>
        <v/>
      </c>
      <c r="K929" s="51">
        <f>IF(A929="","",DATE(YEAR(A929),MONTH(A929),1))</f>
        <v/>
      </c>
    </row>
    <row r="930">
      <c r="A930" s="47" t="n"/>
      <c r="B930" s="38" t="n"/>
      <c r="C930" s="48" t="n"/>
      <c r="D930" s="48" t="n"/>
      <c r="E930" s="38" t="n"/>
      <c r="F930" s="38" t="n"/>
      <c r="G930" s="38" t="n"/>
      <c r="H930" s="49">
        <f>IF(B930="","",IFERROR(INDEX('JOBS'!$D$5:$D$1504,MATCH(B930,'JOBS'!$A$5:$A$1504,0)),"Job ID not found"))</f>
        <v/>
      </c>
      <c r="I930" s="49">
        <f>IF(B930="","",IFERROR(INDEX('JOBS'!$F$5:$F$1504,MATCH(B930,'JOBS'!$A$5:$A$1504,0)),""))</f>
        <v/>
      </c>
      <c r="J930" s="55">
        <f>IF(C930="","",ROUND(C930*IF(IFERROR(INDEX('SETTINGS'!$K$5:$K$24,MATCH(E930,'SETTINGS'!$J$5:$J$24,0)),"No")="Yes",FeePct,0),2))</f>
        <v/>
      </c>
      <c r="K930" s="51">
        <f>IF(A930="","",DATE(YEAR(A930),MONTH(A930),1))</f>
        <v/>
      </c>
    </row>
    <row r="931">
      <c r="A931" s="47" t="n"/>
      <c r="B931" s="38" t="n"/>
      <c r="C931" s="48" t="n"/>
      <c r="D931" s="48" t="n"/>
      <c r="E931" s="38" t="n"/>
      <c r="F931" s="38" t="n"/>
      <c r="G931" s="38" t="n"/>
      <c r="H931" s="49">
        <f>IF(B931="","",IFERROR(INDEX('JOBS'!$D$5:$D$1504,MATCH(B931,'JOBS'!$A$5:$A$1504,0)),"Job ID not found"))</f>
        <v/>
      </c>
      <c r="I931" s="49">
        <f>IF(B931="","",IFERROR(INDEX('JOBS'!$F$5:$F$1504,MATCH(B931,'JOBS'!$A$5:$A$1504,0)),""))</f>
        <v/>
      </c>
      <c r="J931" s="55">
        <f>IF(C931="","",ROUND(C931*IF(IFERROR(INDEX('SETTINGS'!$K$5:$K$24,MATCH(E931,'SETTINGS'!$J$5:$J$24,0)),"No")="Yes",FeePct,0),2))</f>
        <v/>
      </c>
      <c r="K931" s="51">
        <f>IF(A931="","",DATE(YEAR(A931),MONTH(A931),1))</f>
        <v/>
      </c>
    </row>
    <row r="932">
      <c r="A932" s="47" t="n"/>
      <c r="B932" s="38" t="n"/>
      <c r="C932" s="48" t="n"/>
      <c r="D932" s="48" t="n"/>
      <c r="E932" s="38" t="n"/>
      <c r="F932" s="38" t="n"/>
      <c r="G932" s="38" t="n"/>
      <c r="H932" s="49">
        <f>IF(B932="","",IFERROR(INDEX('JOBS'!$D$5:$D$1504,MATCH(B932,'JOBS'!$A$5:$A$1504,0)),"Job ID not found"))</f>
        <v/>
      </c>
      <c r="I932" s="49">
        <f>IF(B932="","",IFERROR(INDEX('JOBS'!$F$5:$F$1504,MATCH(B932,'JOBS'!$A$5:$A$1504,0)),""))</f>
        <v/>
      </c>
      <c r="J932" s="55">
        <f>IF(C932="","",ROUND(C932*IF(IFERROR(INDEX('SETTINGS'!$K$5:$K$24,MATCH(E932,'SETTINGS'!$J$5:$J$24,0)),"No")="Yes",FeePct,0),2))</f>
        <v/>
      </c>
      <c r="K932" s="51">
        <f>IF(A932="","",DATE(YEAR(A932),MONTH(A932),1))</f>
        <v/>
      </c>
    </row>
    <row r="933">
      <c r="A933" s="47" t="n"/>
      <c r="B933" s="38" t="n"/>
      <c r="C933" s="48" t="n"/>
      <c r="D933" s="48" t="n"/>
      <c r="E933" s="38" t="n"/>
      <c r="F933" s="38" t="n"/>
      <c r="G933" s="38" t="n"/>
      <c r="H933" s="49">
        <f>IF(B933="","",IFERROR(INDEX('JOBS'!$D$5:$D$1504,MATCH(B933,'JOBS'!$A$5:$A$1504,0)),"Job ID not found"))</f>
        <v/>
      </c>
      <c r="I933" s="49">
        <f>IF(B933="","",IFERROR(INDEX('JOBS'!$F$5:$F$1504,MATCH(B933,'JOBS'!$A$5:$A$1504,0)),""))</f>
        <v/>
      </c>
      <c r="J933" s="55">
        <f>IF(C933="","",ROUND(C933*IF(IFERROR(INDEX('SETTINGS'!$K$5:$K$24,MATCH(E933,'SETTINGS'!$J$5:$J$24,0)),"No")="Yes",FeePct,0),2))</f>
        <v/>
      </c>
      <c r="K933" s="51">
        <f>IF(A933="","",DATE(YEAR(A933),MONTH(A933),1))</f>
        <v/>
      </c>
    </row>
    <row r="934">
      <c r="A934" s="47" t="n"/>
      <c r="B934" s="38" t="n"/>
      <c r="C934" s="48" t="n"/>
      <c r="D934" s="48" t="n"/>
      <c r="E934" s="38" t="n"/>
      <c r="F934" s="38" t="n"/>
      <c r="G934" s="38" t="n"/>
      <c r="H934" s="49">
        <f>IF(B934="","",IFERROR(INDEX('JOBS'!$D$5:$D$1504,MATCH(B934,'JOBS'!$A$5:$A$1504,0)),"Job ID not found"))</f>
        <v/>
      </c>
      <c r="I934" s="49">
        <f>IF(B934="","",IFERROR(INDEX('JOBS'!$F$5:$F$1504,MATCH(B934,'JOBS'!$A$5:$A$1504,0)),""))</f>
        <v/>
      </c>
      <c r="J934" s="55">
        <f>IF(C934="","",ROUND(C934*IF(IFERROR(INDEX('SETTINGS'!$K$5:$K$24,MATCH(E934,'SETTINGS'!$J$5:$J$24,0)),"No")="Yes",FeePct,0),2))</f>
        <v/>
      </c>
      <c r="K934" s="51">
        <f>IF(A934="","",DATE(YEAR(A934),MONTH(A934),1))</f>
        <v/>
      </c>
    </row>
    <row r="935">
      <c r="A935" s="47" t="n"/>
      <c r="B935" s="38" t="n"/>
      <c r="C935" s="48" t="n"/>
      <c r="D935" s="48" t="n"/>
      <c r="E935" s="38" t="n"/>
      <c r="F935" s="38" t="n"/>
      <c r="G935" s="38" t="n"/>
      <c r="H935" s="49">
        <f>IF(B935="","",IFERROR(INDEX('JOBS'!$D$5:$D$1504,MATCH(B935,'JOBS'!$A$5:$A$1504,0)),"Job ID not found"))</f>
        <v/>
      </c>
      <c r="I935" s="49">
        <f>IF(B935="","",IFERROR(INDEX('JOBS'!$F$5:$F$1504,MATCH(B935,'JOBS'!$A$5:$A$1504,0)),""))</f>
        <v/>
      </c>
      <c r="J935" s="55">
        <f>IF(C935="","",ROUND(C935*IF(IFERROR(INDEX('SETTINGS'!$K$5:$K$24,MATCH(E935,'SETTINGS'!$J$5:$J$24,0)),"No")="Yes",FeePct,0),2))</f>
        <v/>
      </c>
      <c r="K935" s="51">
        <f>IF(A935="","",DATE(YEAR(A935),MONTH(A935),1))</f>
        <v/>
      </c>
    </row>
    <row r="936">
      <c r="A936" s="47" t="n"/>
      <c r="B936" s="38" t="n"/>
      <c r="C936" s="48" t="n"/>
      <c r="D936" s="48" t="n"/>
      <c r="E936" s="38" t="n"/>
      <c r="F936" s="38" t="n"/>
      <c r="G936" s="38" t="n"/>
      <c r="H936" s="49">
        <f>IF(B936="","",IFERROR(INDEX('JOBS'!$D$5:$D$1504,MATCH(B936,'JOBS'!$A$5:$A$1504,0)),"Job ID not found"))</f>
        <v/>
      </c>
      <c r="I936" s="49">
        <f>IF(B936="","",IFERROR(INDEX('JOBS'!$F$5:$F$1504,MATCH(B936,'JOBS'!$A$5:$A$1504,0)),""))</f>
        <v/>
      </c>
      <c r="J936" s="55">
        <f>IF(C936="","",ROUND(C936*IF(IFERROR(INDEX('SETTINGS'!$K$5:$K$24,MATCH(E936,'SETTINGS'!$J$5:$J$24,0)),"No")="Yes",FeePct,0),2))</f>
        <v/>
      </c>
      <c r="K936" s="51">
        <f>IF(A936="","",DATE(YEAR(A936),MONTH(A936),1))</f>
        <v/>
      </c>
    </row>
    <row r="937">
      <c r="A937" s="47" t="n"/>
      <c r="B937" s="38" t="n"/>
      <c r="C937" s="48" t="n"/>
      <c r="D937" s="48" t="n"/>
      <c r="E937" s="38" t="n"/>
      <c r="F937" s="38" t="n"/>
      <c r="G937" s="38" t="n"/>
      <c r="H937" s="49">
        <f>IF(B937="","",IFERROR(INDEX('JOBS'!$D$5:$D$1504,MATCH(B937,'JOBS'!$A$5:$A$1504,0)),"Job ID not found"))</f>
        <v/>
      </c>
      <c r="I937" s="49">
        <f>IF(B937="","",IFERROR(INDEX('JOBS'!$F$5:$F$1504,MATCH(B937,'JOBS'!$A$5:$A$1504,0)),""))</f>
        <v/>
      </c>
      <c r="J937" s="55">
        <f>IF(C937="","",ROUND(C937*IF(IFERROR(INDEX('SETTINGS'!$K$5:$K$24,MATCH(E937,'SETTINGS'!$J$5:$J$24,0)),"No")="Yes",FeePct,0),2))</f>
        <v/>
      </c>
      <c r="K937" s="51">
        <f>IF(A937="","",DATE(YEAR(A937),MONTH(A937),1))</f>
        <v/>
      </c>
    </row>
    <row r="938">
      <c r="A938" s="47" t="n"/>
      <c r="B938" s="38" t="n"/>
      <c r="C938" s="48" t="n"/>
      <c r="D938" s="48" t="n"/>
      <c r="E938" s="38" t="n"/>
      <c r="F938" s="38" t="n"/>
      <c r="G938" s="38" t="n"/>
      <c r="H938" s="49">
        <f>IF(B938="","",IFERROR(INDEX('JOBS'!$D$5:$D$1504,MATCH(B938,'JOBS'!$A$5:$A$1504,0)),"Job ID not found"))</f>
        <v/>
      </c>
      <c r="I938" s="49">
        <f>IF(B938="","",IFERROR(INDEX('JOBS'!$F$5:$F$1504,MATCH(B938,'JOBS'!$A$5:$A$1504,0)),""))</f>
        <v/>
      </c>
      <c r="J938" s="55">
        <f>IF(C938="","",ROUND(C938*IF(IFERROR(INDEX('SETTINGS'!$K$5:$K$24,MATCH(E938,'SETTINGS'!$J$5:$J$24,0)),"No")="Yes",FeePct,0),2))</f>
        <v/>
      </c>
      <c r="K938" s="51">
        <f>IF(A938="","",DATE(YEAR(A938),MONTH(A938),1))</f>
        <v/>
      </c>
    </row>
    <row r="939">
      <c r="A939" s="47" t="n"/>
      <c r="B939" s="38" t="n"/>
      <c r="C939" s="48" t="n"/>
      <c r="D939" s="48" t="n"/>
      <c r="E939" s="38" t="n"/>
      <c r="F939" s="38" t="n"/>
      <c r="G939" s="38" t="n"/>
      <c r="H939" s="49">
        <f>IF(B939="","",IFERROR(INDEX('JOBS'!$D$5:$D$1504,MATCH(B939,'JOBS'!$A$5:$A$1504,0)),"Job ID not found"))</f>
        <v/>
      </c>
      <c r="I939" s="49">
        <f>IF(B939="","",IFERROR(INDEX('JOBS'!$F$5:$F$1504,MATCH(B939,'JOBS'!$A$5:$A$1504,0)),""))</f>
        <v/>
      </c>
      <c r="J939" s="55">
        <f>IF(C939="","",ROUND(C939*IF(IFERROR(INDEX('SETTINGS'!$K$5:$K$24,MATCH(E939,'SETTINGS'!$J$5:$J$24,0)),"No")="Yes",FeePct,0),2))</f>
        <v/>
      </c>
      <c r="K939" s="51">
        <f>IF(A939="","",DATE(YEAR(A939),MONTH(A939),1))</f>
        <v/>
      </c>
    </row>
    <row r="940">
      <c r="A940" s="47" t="n"/>
      <c r="B940" s="38" t="n"/>
      <c r="C940" s="48" t="n"/>
      <c r="D940" s="48" t="n"/>
      <c r="E940" s="38" t="n"/>
      <c r="F940" s="38" t="n"/>
      <c r="G940" s="38" t="n"/>
      <c r="H940" s="49">
        <f>IF(B940="","",IFERROR(INDEX('JOBS'!$D$5:$D$1504,MATCH(B940,'JOBS'!$A$5:$A$1504,0)),"Job ID not found"))</f>
        <v/>
      </c>
      <c r="I940" s="49">
        <f>IF(B940="","",IFERROR(INDEX('JOBS'!$F$5:$F$1504,MATCH(B940,'JOBS'!$A$5:$A$1504,0)),""))</f>
        <v/>
      </c>
      <c r="J940" s="55">
        <f>IF(C940="","",ROUND(C940*IF(IFERROR(INDEX('SETTINGS'!$K$5:$K$24,MATCH(E940,'SETTINGS'!$J$5:$J$24,0)),"No")="Yes",FeePct,0),2))</f>
        <v/>
      </c>
      <c r="K940" s="51">
        <f>IF(A940="","",DATE(YEAR(A940),MONTH(A940),1))</f>
        <v/>
      </c>
    </row>
    <row r="941">
      <c r="A941" s="47" t="n"/>
      <c r="B941" s="38" t="n"/>
      <c r="C941" s="48" t="n"/>
      <c r="D941" s="48" t="n"/>
      <c r="E941" s="38" t="n"/>
      <c r="F941" s="38" t="n"/>
      <c r="G941" s="38" t="n"/>
      <c r="H941" s="49">
        <f>IF(B941="","",IFERROR(INDEX('JOBS'!$D$5:$D$1504,MATCH(B941,'JOBS'!$A$5:$A$1504,0)),"Job ID not found"))</f>
        <v/>
      </c>
      <c r="I941" s="49">
        <f>IF(B941="","",IFERROR(INDEX('JOBS'!$F$5:$F$1504,MATCH(B941,'JOBS'!$A$5:$A$1504,0)),""))</f>
        <v/>
      </c>
      <c r="J941" s="55">
        <f>IF(C941="","",ROUND(C941*IF(IFERROR(INDEX('SETTINGS'!$K$5:$K$24,MATCH(E941,'SETTINGS'!$J$5:$J$24,0)),"No")="Yes",FeePct,0),2))</f>
        <v/>
      </c>
      <c r="K941" s="51">
        <f>IF(A941="","",DATE(YEAR(A941),MONTH(A941),1))</f>
        <v/>
      </c>
    </row>
    <row r="942">
      <c r="A942" s="47" t="n"/>
      <c r="B942" s="38" t="n"/>
      <c r="C942" s="48" t="n"/>
      <c r="D942" s="48" t="n"/>
      <c r="E942" s="38" t="n"/>
      <c r="F942" s="38" t="n"/>
      <c r="G942" s="38" t="n"/>
      <c r="H942" s="49">
        <f>IF(B942="","",IFERROR(INDEX('JOBS'!$D$5:$D$1504,MATCH(B942,'JOBS'!$A$5:$A$1504,0)),"Job ID not found"))</f>
        <v/>
      </c>
      <c r="I942" s="49">
        <f>IF(B942="","",IFERROR(INDEX('JOBS'!$F$5:$F$1504,MATCH(B942,'JOBS'!$A$5:$A$1504,0)),""))</f>
        <v/>
      </c>
      <c r="J942" s="55">
        <f>IF(C942="","",ROUND(C942*IF(IFERROR(INDEX('SETTINGS'!$K$5:$K$24,MATCH(E942,'SETTINGS'!$J$5:$J$24,0)),"No")="Yes",FeePct,0),2))</f>
        <v/>
      </c>
      <c r="K942" s="51">
        <f>IF(A942="","",DATE(YEAR(A942),MONTH(A942),1))</f>
        <v/>
      </c>
    </row>
    <row r="943">
      <c r="A943" s="47" t="n"/>
      <c r="B943" s="38" t="n"/>
      <c r="C943" s="48" t="n"/>
      <c r="D943" s="48" t="n"/>
      <c r="E943" s="38" t="n"/>
      <c r="F943" s="38" t="n"/>
      <c r="G943" s="38" t="n"/>
      <c r="H943" s="49">
        <f>IF(B943="","",IFERROR(INDEX('JOBS'!$D$5:$D$1504,MATCH(B943,'JOBS'!$A$5:$A$1504,0)),"Job ID not found"))</f>
        <v/>
      </c>
      <c r="I943" s="49">
        <f>IF(B943="","",IFERROR(INDEX('JOBS'!$F$5:$F$1504,MATCH(B943,'JOBS'!$A$5:$A$1504,0)),""))</f>
        <v/>
      </c>
      <c r="J943" s="55">
        <f>IF(C943="","",ROUND(C943*IF(IFERROR(INDEX('SETTINGS'!$K$5:$K$24,MATCH(E943,'SETTINGS'!$J$5:$J$24,0)),"No")="Yes",FeePct,0),2))</f>
        <v/>
      </c>
      <c r="K943" s="51">
        <f>IF(A943="","",DATE(YEAR(A943),MONTH(A943),1))</f>
        <v/>
      </c>
    </row>
    <row r="944">
      <c r="A944" s="47" t="n"/>
      <c r="B944" s="38" t="n"/>
      <c r="C944" s="48" t="n"/>
      <c r="D944" s="48" t="n"/>
      <c r="E944" s="38" t="n"/>
      <c r="F944" s="38" t="n"/>
      <c r="G944" s="38" t="n"/>
      <c r="H944" s="49">
        <f>IF(B944="","",IFERROR(INDEX('JOBS'!$D$5:$D$1504,MATCH(B944,'JOBS'!$A$5:$A$1504,0)),"Job ID not found"))</f>
        <v/>
      </c>
      <c r="I944" s="49">
        <f>IF(B944="","",IFERROR(INDEX('JOBS'!$F$5:$F$1504,MATCH(B944,'JOBS'!$A$5:$A$1504,0)),""))</f>
        <v/>
      </c>
      <c r="J944" s="55">
        <f>IF(C944="","",ROUND(C944*IF(IFERROR(INDEX('SETTINGS'!$K$5:$K$24,MATCH(E944,'SETTINGS'!$J$5:$J$24,0)),"No")="Yes",FeePct,0),2))</f>
        <v/>
      </c>
      <c r="K944" s="51">
        <f>IF(A944="","",DATE(YEAR(A944),MONTH(A944),1))</f>
        <v/>
      </c>
    </row>
    <row r="945">
      <c r="A945" s="47" t="n"/>
      <c r="B945" s="38" t="n"/>
      <c r="C945" s="48" t="n"/>
      <c r="D945" s="48" t="n"/>
      <c r="E945" s="38" t="n"/>
      <c r="F945" s="38" t="n"/>
      <c r="G945" s="38" t="n"/>
      <c r="H945" s="49">
        <f>IF(B945="","",IFERROR(INDEX('JOBS'!$D$5:$D$1504,MATCH(B945,'JOBS'!$A$5:$A$1504,0)),"Job ID not found"))</f>
        <v/>
      </c>
      <c r="I945" s="49">
        <f>IF(B945="","",IFERROR(INDEX('JOBS'!$F$5:$F$1504,MATCH(B945,'JOBS'!$A$5:$A$1504,0)),""))</f>
        <v/>
      </c>
      <c r="J945" s="55">
        <f>IF(C945="","",ROUND(C945*IF(IFERROR(INDEX('SETTINGS'!$K$5:$K$24,MATCH(E945,'SETTINGS'!$J$5:$J$24,0)),"No")="Yes",FeePct,0),2))</f>
        <v/>
      </c>
      <c r="K945" s="51">
        <f>IF(A945="","",DATE(YEAR(A945),MONTH(A945),1))</f>
        <v/>
      </c>
    </row>
    <row r="946">
      <c r="A946" s="47" t="n"/>
      <c r="B946" s="38" t="n"/>
      <c r="C946" s="48" t="n"/>
      <c r="D946" s="48" t="n"/>
      <c r="E946" s="38" t="n"/>
      <c r="F946" s="38" t="n"/>
      <c r="G946" s="38" t="n"/>
      <c r="H946" s="49">
        <f>IF(B946="","",IFERROR(INDEX('JOBS'!$D$5:$D$1504,MATCH(B946,'JOBS'!$A$5:$A$1504,0)),"Job ID not found"))</f>
        <v/>
      </c>
      <c r="I946" s="49">
        <f>IF(B946="","",IFERROR(INDEX('JOBS'!$F$5:$F$1504,MATCH(B946,'JOBS'!$A$5:$A$1504,0)),""))</f>
        <v/>
      </c>
      <c r="J946" s="55">
        <f>IF(C946="","",ROUND(C946*IF(IFERROR(INDEX('SETTINGS'!$K$5:$K$24,MATCH(E946,'SETTINGS'!$J$5:$J$24,0)),"No")="Yes",FeePct,0),2))</f>
        <v/>
      </c>
      <c r="K946" s="51">
        <f>IF(A946="","",DATE(YEAR(A946),MONTH(A946),1))</f>
        <v/>
      </c>
    </row>
    <row r="947">
      <c r="A947" s="47" t="n"/>
      <c r="B947" s="38" t="n"/>
      <c r="C947" s="48" t="n"/>
      <c r="D947" s="48" t="n"/>
      <c r="E947" s="38" t="n"/>
      <c r="F947" s="38" t="n"/>
      <c r="G947" s="38" t="n"/>
      <c r="H947" s="49">
        <f>IF(B947="","",IFERROR(INDEX('JOBS'!$D$5:$D$1504,MATCH(B947,'JOBS'!$A$5:$A$1504,0)),"Job ID not found"))</f>
        <v/>
      </c>
      <c r="I947" s="49">
        <f>IF(B947="","",IFERROR(INDEX('JOBS'!$F$5:$F$1504,MATCH(B947,'JOBS'!$A$5:$A$1504,0)),""))</f>
        <v/>
      </c>
      <c r="J947" s="55">
        <f>IF(C947="","",ROUND(C947*IF(IFERROR(INDEX('SETTINGS'!$K$5:$K$24,MATCH(E947,'SETTINGS'!$J$5:$J$24,0)),"No")="Yes",FeePct,0),2))</f>
        <v/>
      </c>
      <c r="K947" s="51">
        <f>IF(A947="","",DATE(YEAR(A947),MONTH(A947),1))</f>
        <v/>
      </c>
    </row>
    <row r="948">
      <c r="A948" s="47" t="n"/>
      <c r="B948" s="38" t="n"/>
      <c r="C948" s="48" t="n"/>
      <c r="D948" s="48" t="n"/>
      <c r="E948" s="38" t="n"/>
      <c r="F948" s="38" t="n"/>
      <c r="G948" s="38" t="n"/>
      <c r="H948" s="49">
        <f>IF(B948="","",IFERROR(INDEX('JOBS'!$D$5:$D$1504,MATCH(B948,'JOBS'!$A$5:$A$1504,0)),"Job ID not found"))</f>
        <v/>
      </c>
      <c r="I948" s="49">
        <f>IF(B948="","",IFERROR(INDEX('JOBS'!$F$5:$F$1504,MATCH(B948,'JOBS'!$A$5:$A$1504,0)),""))</f>
        <v/>
      </c>
      <c r="J948" s="55">
        <f>IF(C948="","",ROUND(C948*IF(IFERROR(INDEX('SETTINGS'!$K$5:$K$24,MATCH(E948,'SETTINGS'!$J$5:$J$24,0)),"No")="Yes",FeePct,0),2))</f>
        <v/>
      </c>
      <c r="K948" s="51">
        <f>IF(A948="","",DATE(YEAR(A948),MONTH(A948),1))</f>
        <v/>
      </c>
    </row>
    <row r="949">
      <c r="A949" s="47" t="n"/>
      <c r="B949" s="38" t="n"/>
      <c r="C949" s="48" t="n"/>
      <c r="D949" s="48" t="n"/>
      <c r="E949" s="38" t="n"/>
      <c r="F949" s="38" t="n"/>
      <c r="G949" s="38" t="n"/>
      <c r="H949" s="49">
        <f>IF(B949="","",IFERROR(INDEX('JOBS'!$D$5:$D$1504,MATCH(B949,'JOBS'!$A$5:$A$1504,0)),"Job ID not found"))</f>
        <v/>
      </c>
      <c r="I949" s="49">
        <f>IF(B949="","",IFERROR(INDEX('JOBS'!$F$5:$F$1504,MATCH(B949,'JOBS'!$A$5:$A$1504,0)),""))</f>
        <v/>
      </c>
      <c r="J949" s="55">
        <f>IF(C949="","",ROUND(C949*IF(IFERROR(INDEX('SETTINGS'!$K$5:$K$24,MATCH(E949,'SETTINGS'!$J$5:$J$24,0)),"No")="Yes",FeePct,0),2))</f>
        <v/>
      </c>
      <c r="K949" s="51">
        <f>IF(A949="","",DATE(YEAR(A949),MONTH(A949),1))</f>
        <v/>
      </c>
    </row>
    <row r="950">
      <c r="A950" s="47" t="n"/>
      <c r="B950" s="38" t="n"/>
      <c r="C950" s="48" t="n"/>
      <c r="D950" s="48" t="n"/>
      <c r="E950" s="38" t="n"/>
      <c r="F950" s="38" t="n"/>
      <c r="G950" s="38" t="n"/>
      <c r="H950" s="49">
        <f>IF(B950="","",IFERROR(INDEX('JOBS'!$D$5:$D$1504,MATCH(B950,'JOBS'!$A$5:$A$1504,0)),"Job ID not found"))</f>
        <v/>
      </c>
      <c r="I950" s="49">
        <f>IF(B950="","",IFERROR(INDEX('JOBS'!$F$5:$F$1504,MATCH(B950,'JOBS'!$A$5:$A$1504,0)),""))</f>
        <v/>
      </c>
      <c r="J950" s="55">
        <f>IF(C950="","",ROUND(C950*IF(IFERROR(INDEX('SETTINGS'!$K$5:$K$24,MATCH(E950,'SETTINGS'!$J$5:$J$24,0)),"No")="Yes",FeePct,0),2))</f>
        <v/>
      </c>
      <c r="K950" s="51">
        <f>IF(A950="","",DATE(YEAR(A950),MONTH(A950),1))</f>
        <v/>
      </c>
    </row>
    <row r="951">
      <c r="A951" s="47" t="n"/>
      <c r="B951" s="38" t="n"/>
      <c r="C951" s="48" t="n"/>
      <c r="D951" s="48" t="n"/>
      <c r="E951" s="38" t="n"/>
      <c r="F951" s="38" t="n"/>
      <c r="G951" s="38" t="n"/>
      <c r="H951" s="49">
        <f>IF(B951="","",IFERROR(INDEX('JOBS'!$D$5:$D$1504,MATCH(B951,'JOBS'!$A$5:$A$1504,0)),"Job ID not found"))</f>
        <v/>
      </c>
      <c r="I951" s="49">
        <f>IF(B951="","",IFERROR(INDEX('JOBS'!$F$5:$F$1504,MATCH(B951,'JOBS'!$A$5:$A$1504,0)),""))</f>
        <v/>
      </c>
      <c r="J951" s="55">
        <f>IF(C951="","",ROUND(C951*IF(IFERROR(INDEX('SETTINGS'!$K$5:$K$24,MATCH(E951,'SETTINGS'!$J$5:$J$24,0)),"No")="Yes",FeePct,0),2))</f>
        <v/>
      </c>
      <c r="K951" s="51">
        <f>IF(A951="","",DATE(YEAR(A951),MONTH(A951),1))</f>
        <v/>
      </c>
    </row>
    <row r="952">
      <c r="A952" s="47" t="n"/>
      <c r="B952" s="38" t="n"/>
      <c r="C952" s="48" t="n"/>
      <c r="D952" s="48" t="n"/>
      <c r="E952" s="38" t="n"/>
      <c r="F952" s="38" t="n"/>
      <c r="G952" s="38" t="n"/>
      <c r="H952" s="49">
        <f>IF(B952="","",IFERROR(INDEX('JOBS'!$D$5:$D$1504,MATCH(B952,'JOBS'!$A$5:$A$1504,0)),"Job ID not found"))</f>
        <v/>
      </c>
      <c r="I952" s="49">
        <f>IF(B952="","",IFERROR(INDEX('JOBS'!$F$5:$F$1504,MATCH(B952,'JOBS'!$A$5:$A$1504,0)),""))</f>
        <v/>
      </c>
      <c r="J952" s="55">
        <f>IF(C952="","",ROUND(C952*IF(IFERROR(INDEX('SETTINGS'!$K$5:$K$24,MATCH(E952,'SETTINGS'!$J$5:$J$24,0)),"No")="Yes",FeePct,0),2))</f>
        <v/>
      </c>
      <c r="K952" s="51">
        <f>IF(A952="","",DATE(YEAR(A952),MONTH(A952),1))</f>
        <v/>
      </c>
    </row>
    <row r="953">
      <c r="A953" s="47" t="n"/>
      <c r="B953" s="38" t="n"/>
      <c r="C953" s="48" t="n"/>
      <c r="D953" s="48" t="n"/>
      <c r="E953" s="38" t="n"/>
      <c r="F953" s="38" t="n"/>
      <c r="G953" s="38" t="n"/>
      <c r="H953" s="49">
        <f>IF(B953="","",IFERROR(INDEX('JOBS'!$D$5:$D$1504,MATCH(B953,'JOBS'!$A$5:$A$1504,0)),"Job ID not found"))</f>
        <v/>
      </c>
      <c r="I953" s="49">
        <f>IF(B953="","",IFERROR(INDEX('JOBS'!$F$5:$F$1504,MATCH(B953,'JOBS'!$A$5:$A$1504,0)),""))</f>
        <v/>
      </c>
      <c r="J953" s="55">
        <f>IF(C953="","",ROUND(C953*IF(IFERROR(INDEX('SETTINGS'!$K$5:$K$24,MATCH(E953,'SETTINGS'!$J$5:$J$24,0)),"No")="Yes",FeePct,0),2))</f>
        <v/>
      </c>
      <c r="K953" s="51">
        <f>IF(A953="","",DATE(YEAR(A953),MONTH(A953),1))</f>
        <v/>
      </c>
    </row>
    <row r="954">
      <c r="A954" s="47" t="n"/>
      <c r="B954" s="38" t="n"/>
      <c r="C954" s="48" t="n"/>
      <c r="D954" s="48" t="n"/>
      <c r="E954" s="38" t="n"/>
      <c r="F954" s="38" t="n"/>
      <c r="G954" s="38" t="n"/>
      <c r="H954" s="49">
        <f>IF(B954="","",IFERROR(INDEX('JOBS'!$D$5:$D$1504,MATCH(B954,'JOBS'!$A$5:$A$1504,0)),"Job ID not found"))</f>
        <v/>
      </c>
      <c r="I954" s="49">
        <f>IF(B954="","",IFERROR(INDEX('JOBS'!$F$5:$F$1504,MATCH(B954,'JOBS'!$A$5:$A$1504,0)),""))</f>
        <v/>
      </c>
      <c r="J954" s="55">
        <f>IF(C954="","",ROUND(C954*IF(IFERROR(INDEX('SETTINGS'!$K$5:$K$24,MATCH(E954,'SETTINGS'!$J$5:$J$24,0)),"No")="Yes",FeePct,0),2))</f>
        <v/>
      </c>
      <c r="K954" s="51">
        <f>IF(A954="","",DATE(YEAR(A954),MONTH(A954),1))</f>
        <v/>
      </c>
    </row>
    <row r="955">
      <c r="A955" s="47" t="n"/>
      <c r="B955" s="38" t="n"/>
      <c r="C955" s="48" t="n"/>
      <c r="D955" s="48" t="n"/>
      <c r="E955" s="38" t="n"/>
      <c r="F955" s="38" t="n"/>
      <c r="G955" s="38" t="n"/>
      <c r="H955" s="49">
        <f>IF(B955="","",IFERROR(INDEX('JOBS'!$D$5:$D$1504,MATCH(B955,'JOBS'!$A$5:$A$1504,0)),"Job ID not found"))</f>
        <v/>
      </c>
      <c r="I955" s="49">
        <f>IF(B955="","",IFERROR(INDEX('JOBS'!$F$5:$F$1504,MATCH(B955,'JOBS'!$A$5:$A$1504,0)),""))</f>
        <v/>
      </c>
      <c r="J955" s="55">
        <f>IF(C955="","",ROUND(C955*IF(IFERROR(INDEX('SETTINGS'!$K$5:$K$24,MATCH(E955,'SETTINGS'!$J$5:$J$24,0)),"No")="Yes",FeePct,0),2))</f>
        <v/>
      </c>
      <c r="K955" s="51">
        <f>IF(A955="","",DATE(YEAR(A955),MONTH(A955),1))</f>
        <v/>
      </c>
    </row>
    <row r="956">
      <c r="A956" s="47" t="n"/>
      <c r="B956" s="38" t="n"/>
      <c r="C956" s="48" t="n"/>
      <c r="D956" s="48" t="n"/>
      <c r="E956" s="38" t="n"/>
      <c r="F956" s="38" t="n"/>
      <c r="G956" s="38" t="n"/>
      <c r="H956" s="49">
        <f>IF(B956="","",IFERROR(INDEX('JOBS'!$D$5:$D$1504,MATCH(B956,'JOBS'!$A$5:$A$1504,0)),"Job ID not found"))</f>
        <v/>
      </c>
      <c r="I956" s="49">
        <f>IF(B956="","",IFERROR(INDEX('JOBS'!$F$5:$F$1504,MATCH(B956,'JOBS'!$A$5:$A$1504,0)),""))</f>
        <v/>
      </c>
      <c r="J956" s="55">
        <f>IF(C956="","",ROUND(C956*IF(IFERROR(INDEX('SETTINGS'!$K$5:$K$24,MATCH(E956,'SETTINGS'!$J$5:$J$24,0)),"No")="Yes",FeePct,0),2))</f>
        <v/>
      </c>
      <c r="K956" s="51">
        <f>IF(A956="","",DATE(YEAR(A956),MONTH(A956),1))</f>
        <v/>
      </c>
    </row>
    <row r="957">
      <c r="A957" s="47" t="n"/>
      <c r="B957" s="38" t="n"/>
      <c r="C957" s="48" t="n"/>
      <c r="D957" s="48" t="n"/>
      <c r="E957" s="38" t="n"/>
      <c r="F957" s="38" t="n"/>
      <c r="G957" s="38" t="n"/>
      <c r="H957" s="49">
        <f>IF(B957="","",IFERROR(INDEX('JOBS'!$D$5:$D$1504,MATCH(B957,'JOBS'!$A$5:$A$1504,0)),"Job ID not found"))</f>
        <v/>
      </c>
      <c r="I957" s="49">
        <f>IF(B957="","",IFERROR(INDEX('JOBS'!$F$5:$F$1504,MATCH(B957,'JOBS'!$A$5:$A$1504,0)),""))</f>
        <v/>
      </c>
      <c r="J957" s="55">
        <f>IF(C957="","",ROUND(C957*IF(IFERROR(INDEX('SETTINGS'!$K$5:$K$24,MATCH(E957,'SETTINGS'!$J$5:$J$24,0)),"No")="Yes",FeePct,0),2))</f>
        <v/>
      </c>
      <c r="K957" s="51">
        <f>IF(A957="","",DATE(YEAR(A957),MONTH(A957),1))</f>
        <v/>
      </c>
    </row>
    <row r="958">
      <c r="A958" s="47" t="n"/>
      <c r="B958" s="38" t="n"/>
      <c r="C958" s="48" t="n"/>
      <c r="D958" s="48" t="n"/>
      <c r="E958" s="38" t="n"/>
      <c r="F958" s="38" t="n"/>
      <c r="G958" s="38" t="n"/>
      <c r="H958" s="49">
        <f>IF(B958="","",IFERROR(INDEX('JOBS'!$D$5:$D$1504,MATCH(B958,'JOBS'!$A$5:$A$1504,0)),"Job ID not found"))</f>
        <v/>
      </c>
      <c r="I958" s="49">
        <f>IF(B958="","",IFERROR(INDEX('JOBS'!$F$5:$F$1504,MATCH(B958,'JOBS'!$A$5:$A$1504,0)),""))</f>
        <v/>
      </c>
      <c r="J958" s="55">
        <f>IF(C958="","",ROUND(C958*IF(IFERROR(INDEX('SETTINGS'!$K$5:$K$24,MATCH(E958,'SETTINGS'!$J$5:$J$24,0)),"No")="Yes",FeePct,0),2))</f>
        <v/>
      </c>
      <c r="K958" s="51">
        <f>IF(A958="","",DATE(YEAR(A958),MONTH(A958),1))</f>
        <v/>
      </c>
    </row>
    <row r="959">
      <c r="A959" s="47" t="n"/>
      <c r="B959" s="38" t="n"/>
      <c r="C959" s="48" t="n"/>
      <c r="D959" s="48" t="n"/>
      <c r="E959" s="38" t="n"/>
      <c r="F959" s="38" t="n"/>
      <c r="G959" s="38" t="n"/>
      <c r="H959" s="49">
        <f>IF(B959="","",IFERROR(INDEX('JOBS'!$D$5:$D$1504,MATCH(B959,'JOBS'!$A$5:$A$1504,0)),"Job ID not found"))</f>
        <v/>
      </c>
      <c r="I959" s="49">
        <f>IF(B959="","",IFERROR(INDEX('JOBS'!$F$5:$F$1504,MATCH(B959,'JOBS'!$A$5:$A$1504,0)),""))</f>
        <v/>
      </c>
      <c r="J959" s="55">
        <f>IF(C959="","",ROUND(C959*IF(IFERROR(INDEX('SETTINGS'!$K$5:$K$24,MATCH(E959,'SETTINGS'!$J$5:$J$24,0)),"No")="Yes",FeePct,0),2))</f>
        <v/>
      </c>
      <c r="K959" s="51">
        <f>IF(A959="","",DATE(YEAR(A959),MONTH(A959),1))</f>
        <v/>
      </c>
    </row>
    <row r="960">
      <c r="A960" s="47" t="n"/>
      <c r="B960" s="38" t="n"/>
      <c r="C960" s="48" t="n"/>
      <c r="D960" s="48" t="n"/>
      <c r="E960" s="38" t="n"/>
      <c r="F960" s="38" t="n"/>
      <c r="G960" s="38" t="n"/>
      <c r="H960" s="49">
        <f>IF(B960="","",IFERROR(INDEX('JOBS'!$D$5:$D$1504,MATCH(B960,'JOBS'!$A$5:$A$1504,0)),"Job ID not found"))</f>
        <v/>
      </c>
      <c r="I960" s="49">
        <f>IF(B960="","",IFERROR(INDEX('JOBS'!$F$5:$F$1504,MATCH(B960,'JOBS'!$A$5:$A$1504,0)),""))</f>
        <v/>
      </c>
      <c r="J960" s="55">
        <f>IF(C960="","",ROUND(C960*IF(IFERROR(INDEX('SETTINGS'!$K$5:$K$24,MATCH(E960,'SETTINGS'!$J$5:$J$24,0)),"No")="Yes",FeePct,0),2))</f>
        <v/>
      </c>
      <c r="K960" s="51">
        <f>IF(A960="","",DATE(YEAR(A960),MONTH(A960),1))</f>
        <v/>
      </c>
    </row>
    <row r="961">
      <c r="A961" s="47" t="n"/>
      <c r="B961" s="38" t="n"/>
      <c r="C961" s="48" t="n"/>
      <c r="D961" s="48" t="n"/>
      <c r="E961" s="38" t="n"/>
      <c r="F961" s="38" t="n"/>
      <c r="G961" s="38" t="n"/>
      <c r="H961" s="49">
        <f>IF(B961="","",IFERROR(INDEX('JOBS'!$D$5:$D$1504,MATCH(B961,'JOBS'!$A$5:$A$1504,0)),"Job ID not found"))</f>
        <v/>
      </c>
      <c r="I961" s="49">
        <f>IF(B961="","",IFERROR(INDEX('JOBS'!$F$5:$F$1504,MATCH(B961,'JOBS'!$A$5:$A$1504,0)),""))</f>
        <v/>
      </c>
      <c r="J961" s="55">
        <f>IF(C961="","",ROUND(C961*IF(IFERROR(INDEX('SETTINGS'!$K$5:$K$24,MATCH(E961,'SETTINGS'!$J$5:$J$24,0)),"No")="Yes",FeePct,0),2))</f>
        <v/>
      </c>
      <c r="K961" s="51">
        <f>IF(A961="","",DATE(YEAR(A961),MONTH(A961),1))</f>
        <v/>
      </c>
    </row>
    <row r="962">
      <c r="A962" s="47" t="n"/>
      <c r="B962" s="38" t="n"/>
      <c r="C962" s="48" t="n"/>
      <c r="D962" s="48" t="n"/>
      <c r="E962" s="38" t="n"/>
      <c r="F962" s="38" t="n"/>
      <c r="G962" s="38" t="n"/>
      <c r="H962" s="49">
        <f>IF(B962="","",IFERROR(INDEX('JOBS'!$D$5:$D$1504,MATCH(B962,'JOBS'!$A$5:$A$1504,0)),"Job ID not found"))</f>
        <v/>
      </c>
      <c r="I962" s="49">
        <f>IF(B962="","",IFERROR(INDEX('JOBS'!$F$5:$F$1504,MATCH(B962,'JOBS'!$A$5:$A$1504,0)),""))</f>
        <v/>
      </c>
      <c r="J962" s="55">
        <f>IF(C962="","",ROUND(C962*IF(IFERROR(INDEX('SETTINGS'!$K$5:$K$24,MATCH(E962,'SETTINGS'!$J$5:$J$24,0)),"No")="Yes",FeePct,0),2))</f>
        <v/>
      </c>
      <c r="K962" s="51">
        <f>IF(A962="","",DATE(YEAR(A962),MONTH(A962),1))</f>
        <v/>
      </c>
    </row>
    <row r="963">
      <c r="A963" s="47" t="n"/>
      <c r="B963" s="38" t="n"/>
      <c r="C963" s="48" t="n"/>
      <c r="D963" s="48" t="n"/>
      <c r="E963" s="38" t="n"/>
      <c r="F963" s="38" t="n"/>
      <c r="G963" s="38" t="n"/>
      <c r="H963" s="49">
        <f>IF(B963="","",IFERROR(INDEX('JOBS'!$D$5:$D$1504,MATCH(B963,'JOBS'!$A$5:$A$1504,0)),"Job ID not found"))</f>
        <v/>
      </c>
      <c r="I963" s="49">
        <f>IF(B963="","",IFERROR(INDEX('JOBS'!$F$5:$F$1504,MATCH(B963,'JOBS'!$A$5:$A$1504,0)),""))</f>
        <v/>
      </c>
      <c r="J963" s="55">
        <f>IF(C963="","",ROUND(C963*IF(IFERROR(INDEX('SETTINGS'!$K$5:$K$24,MATCH(E963,'SETTINGS'!$J$5:$J$24,0)),"No")="Yes",FeePct,0),2))</f>
        <v/>
      </c>
      <c r="K963" s="51">
        <f>IF(A963="","",DATE(YEAR(A963),MONTH(A963),1))</f>
        <v/>
      </c>
    </row>
    <row r="964">
      <c r="A964" s="47" t="n"/>
      <c r="B964" s="38" t="n"/>
      <c r="C964" s="48" t="n"/>
      <c r="D964" s="48" t="n"/>
      <c r="E964" s="38" t="n"/>
      <c r="F964" s="38" t="n"/>
      <c r="G964" s="38" t="n"/>
      <c r="H964" s="49">
        <f>IF(B964="","",IFERROR(INDEX('JOBS'!$D$5:$D$1504,MATCH(B964,'JOBS'!$A$5:$A$1504,0)),"Job ID not found"))</f>
        <v/>
      </c>
      <c r="I964" s="49">
        <f>IF(B964="","",IFERROR(INDEX('JOBS'!$F$5:$F$1504,MATCH(B964,'JOBS'!$A$5:$A$1504,0)),""))</f>
        <v/>
      </c>
      <c r="J964" s="55">
        <f>IF(C964="","",ROUND(C964*IF(IFERROR(INDEX('SETTINGS'!$K$5:$K$24,MATCH(E964,'SETTINGS'!$J$5:$J$24,0)),"No")="Yes",FeePct,0),2))</f>
        <v/>
      </c>
      <c r="K964" s="51">
        <f>IF(A964="","",DATE(YEAR(A964),MONTH(A964),1))</f>
        <v/>
      </c>
    </row>
    <row r="965">
      <c r="A965" s="47" t="n"/>
      <c r="B965" s="38" t="n"/>
      <c r="C965" s="48" t="n"/>
      <c r="D965" s="48" t="n"/>
      <c r="E965" s="38" t="n"/>
      <c r="F965" s="38" t="n"/>
      <c r="G965" s="38" t="n"/>
      <c r="H965" s="49">
        <f>IF(B965="","",IFERROR(INDEX('JOBS'!$D$5:$D$1504,MATCH(B965,'JOBS'!$A$5:$A$1504,0)),"Job ID not found"))</f>
        <v/>
      </c>
      <c r="I965" s="49">
        <f>IF(B965="","",IFERROR(INDEX('JOBS'!$F$5:$F$1504,MATCH(B965,'JOBS'!$A$5:$A$1504,0)),""))</f>
        <v/>
      </c>
      <c r="J965" s="55">
        <f>IF(C965="","",ROUND(C965*IF(IFERROR(INDEX('SETTINGS'!$K$5:$K$24,MATCH(E965,'SETTINGS'!$J$5:$J$24,0)),"No")="Yes",FeePct,0),2))</f>
        <v/>
      </c>
      <c r="K965" s="51">
        <f>IF(A965="","",DATE(YEAR(A965),MONTH(A965),1))</f>
        <v/>
      </c>
    </row>
    <row r="966">
      <c r="A966" s="47" t="n"/>
      <c r="B966" s="38" t="n"/>
      <c r="C966" s="48" t="n"/>
      <c r="D966" s="48" t="n"/>
      <c r="E966" s="38" t="n"/>
      <c r="F966" s="38" t="n"/>
      <c r="G966" s="38" t="n"/>
      <c r="H966" s="49">
        <f>IF(B966="","",IFERROR(INDEX('JOBS'!$D$5:$D$1504,MATCH(B966,'JOBS'!$A$5:$A$1504,0)),"Job ID not found"))</f>
        <v/>
      </c>
      <c r="I966" s="49">
        <f>IF(B966="","",IFERROR(INDEX('JOBS'!$F$5:$F$1504,MATCH(B966,'JOBS'!$A$5:$A$1504,0)),""))</f>
        <v/>
      </c>
      <c r="J966" s="55">
        <f>IF(C966="","",ROUND(C966*IF(IFERROR(INDEX('SETTINGS'!$K$5:$K$24,MATCH(E966,'SETTINGS'!$J$5:$J$24,0)),"No")="Yes",FeePct,0),2))</f>
        <v/>
      </c>
      <c r="K966" s="51">
        <f>IF(A966="","",DATE(YEAR(A966),MONTH(A966),1))</f>
        <v/>
      </c>
    </row>
    <row r="967">
      <c r="A967" s="47" t="n"/>
      <c r="B967" s="38" t="n"/>
      <c r="C967" s="48" t="n"/>
      <c r="D967" s="48" t="n"/>
      <c r="E967" s="38" t="n"/>
      <c r="F967" s="38" t="n"/>
      <c r="G967" s="38" t="n"/>
      <c r="H967" s="49">
        <f>IF(B967="","",IFERROR(INDEX('JOBS'!$D$5:$D$1504,MATCH(B967,'JOBS'!$A$5:$A$1504,0)),"Job ID not found"))</f>
        <v/>
      </c>
      <c r="I967" s="49">
        <f>IF(B967="","",IFERROR(INDEX('JOBS'!$F$5:$F$1504,MATCH(B967,'JOBS'!$A$5:$A$1504,0)),""))</f>
        <v/>
      </c>
      <c r="J967" s="55">
        <f>IF(C967="","",ROUND(C967*IF(IFERROR(INDEX('SETTINGS'!$K$5:$K$24,MATCH(E967,'SETTINGS'!$J$5:$J$24,0)),"No")="Yes",FeePct,0),2))</f>
        <v/>
      </c>
      <c r="K967" s="51">
        <f>IF(A967="","",DATE(YEAR(A967),MONTH(A967),1))</f>
        <v/>
      </c>
    </row>
    <row r="968">
      <c r="A968" s="47" t="n"/>
      <c r="B968" s="38" t="n"/>
      <c r="C968" s="48" t="n"/>
      <c r="D968" s="48" t="n"/>
      <c r="E968" s="38" t="n"/>
      <c r="F968" s="38" t="n"/>
      <c r="G968" s="38" t="n"/>
      <c r="H968" s="49">
        <f>IF(B968="","",IFERROR(INDEX('JOBS'!$D$5:$D$1504,MATCH(B968,'JOBS'!$A$5:$A$1504,0)),"Job ID not found"))</f>
        <v/>
      </c>
      <c r="I968" s="49">
        <f>IF(B968="","",IFERROR(INDEX('JOBS'!$F$5:$F$1504,MATCH(B968,'JOBS'!$A$5:$A$1504,0)),""))</f>
        <v/>
      </c>
      <c r="J968" s="55">
        <f>IF(C968="","",ROUND(C968*IF(IFERROR(INDEX('SETTINGS'!$K$5:$K$24,MATCH(E968,'SETTINGS'!$J$5:$J$24,0)),"No")="Yes",FeePct,0),2))</f>
        <v/>
      </c>
      <c r="K968" s="51">
        <f>IF(A968="","",DATE(YEAR(A968),MONTH(A968),1))</f>
        <v/>
      </c>
    </row>
    <row r="969">
      <c r="A969" s="47" t="n"/>
      <c r="B969" s="38" t="n"/>
      <c r="C969" s="48" t="n"/>
      <c r="D969" s="48" t="n"/>
      <c r="E969" s="38" t="n"/>
      <c r="F969" s="38" t="n"/>
      <c r="G969" s="38" t="n"/>
      <c r="H969" s="49">
        <f>IF(B969="","",IFERROR(INDEX('JOBS'!$D$5:$D$1504,MATCH(B969,'JOBS'!$A$5:$A$1504,0)),"Job ID not found"))</f>
        <v/>
      </c>
      <c r="I969" s="49">
        <f>IF(B969="","",IFERROR(INDEX('JOBS'!$F$5:$F$1504,MATCH(B969,'JOBS'!$A$5:$A$1504,0)),""))</f>
        <v/>
      </c>
      <c r="J969" s="55">
        <f>IF(C969="","",ROUND(C969*IF(IFERROR(INDEX('SETTINGS'!$K$5:$K$24,MATCH(E969,'SETTINGS'!$J$5:$J$24,0)),"No")="Yes",FeePct,0),2))</f>
        <v/>
      </c>
      <c r="K969" s="51">
        <f>IF(A969="","",DATE(YEAR(A969),MONTH(A969),1))</f>
        <v/>
      </c>
    </row>
    <row r="970">
      <c r="A970" s="47" t="n"/>
      <c r="B970" s="38" t="n"/>
      <c r="C970" s="48" t="n"/>
      <c r="D970" s="48" t="n"/>
      <c r="E970" s="38" t="n"/>
      <c r="F970" s="38" t="n"/>
      <c r="G970" s="38" t="n"/>
      <c r="H970" s="49">
        <f>IF(B970="","",IFERROR(INDEX('JOBS'!$D$5:$D$1504,MATCH(B970,'JOBS'!$A$5:$A$1504,0)),"Job ID not found"))</f>
        <v/>
      </c>
      <c r="I970" s="49">
        <f>IF(B970="","",IFERROR(INDEX('JOBS'!$F$5:$F$1504,MATCH(B970,'JOBS'!$A$5:$A$1504,0)),""))</f>
        <v/>
      </c>
      <c r="J970" s="55">
        <f>IF(C970="","",ROUND(C970*IF(IFERROR(INDEX('SETTINGS'!$K$5:$K$24,MATCH(E970,'SETTINGS'!$J$5:$J$24,0)),"No")="Yes",FeePct,0),2))</f>
        <v/>
      </c>
      <c r="K970" s="51">
        <f>IF(A970="","",DATE(YEAR(A970),MONTH(A970),1))</f>
        <v/>
      </c>
    </row>
    <row r="971">
      <c r="A971" s="47" t="n"/>
      <c r="B971" s="38" t="n"/>
      <c r="C971" s="48" t="n"/>
      <c r="D971" s="48" t="n"/>
      <c r="E971" s="38" t="n"/>
      <c r="F971" s="38" t="n"/>
      <c r="G971" s="38" t="n"/>
      <c r="H971" s="49">
        <f>IF(B971="","",IFERROR(INDEX('JOBS'!$D$5:$D$1504,MATCH(B971,'JOBS'!$A$5:$A$1504,0)),"Job ID not found"))</f>
        <v/>
      </c>
      <c r="I971" s="49">
        <f>IF(B971="","",IFERROR(INDEX('JOBS'!$F$5:$F$1504,MATCH(B971,'JOBS'!$A$5:$A$1504,0)),""))</f>
        <v/>
      </c>
      <c r="J971" s="55">
        <f>IF(C971="","",ROUND(C971*IF(IFERROR(INDEX('SETTINGS'!$K$5:$K$24,MATCH(E971,'SETTINGS'!$J$5:$J$24,0)),"No")="Yes",FeePct,0),2))</f>
        <v/>
      </c>
      <c r="K971" s="51">
        <f>IF(A971="","",DATE(YEAR(A971),MONTH(A971),1))</f>
        <v/>
      </c>
    </row>
    <row r="972">
      <c r="A972" s="47" t="n"/>
      <c r="B972" s="38" t="n"/>
      <c r="C972" s="48" t="n"/>
      <c r="D972" s="48" t="n"/>
      <c r="E972" s="38" t="n"/>
      <c r="F972" s="38" t="n"/>
      <c r="G972" s="38" t="n"/>
      <c r="H972" s="49">
        <f>IF(B972="","",IFERROR(INDEX('JOBS'!$D$5:$D$1504,MATCH(B972,'JOBS'!$A$5:$A$1504,0)),"Job ID not found"))</f>
        <v/>
      </c>
      <c r="I972" s="49">
        <f>IF(B972="","",IFERROR(INDEX('JOBS'!$F$5:$F$1504,MATCH(B972,'JOBS'!$A$5:$A$1504,0)),""))</f>
        <v/>
      </c>
      <c r="J972" s="55">
        <f>IF(C972="","",ROUND(C972*IF(IFERROR(INDEX('SETTINGS'!$K$5:$K$24,MATCH(E972,'SETTINGS'!$J$5:$J$24,0)),"No")="Yes",FeePct,0),2))</f>
        <v/>
      </c>
      <c r="K972" s="51">
        <f>IF(A972="","",DATE(YEAR(A972),MONTH(A972),1))</f>
        <v/>
      </c>
    </row>
    <row r="973">
      <c r="A973" s="47" t="n"/>
      <c r="B973" s="38" t="n"/>
      <c r="C973" s="48" t="n"/>
      <c r="D973" s="48" t="n"/>
      <c r="E973" s="38" t="n"/>
      <c r="F973" s="38" t="n"/>
      <c r="G973" s="38" t="n"/>
      <c r="H973" s="49">
        <f>IF(B973="","",IFERROR(INDEX('JOBS'!$D$5:$D$1504,MATCH(B973,'JOBS'!$A$5:$A$1504,0)),"Job ID not found"))</f>
        <v/>
      </c>
      <c r="I973" s="49">
        <f>IF(B973="","",IFERROR(INDEX('JOBS'!$F$5:$F$1504,MATCH(B973,'JOBS'!$A$5:$A$1504,0)),""))</f>
        <v/>
      </c>
      <c r="J973" s="55">
        <f>IF(C973="","",ROUND(C973*IF(IFERROR(INDEX('SETTINGS'!$K$5:$K$24,MATCH(E973,'SETTINGS'!$J$5:$J$24,0)),"No")="Yes",FeePct,0),2))</f>
        <v/>
      </c>
      <c r="K973" s="51">
        <f>IF(A973="","",DATE(YEAR(A973),MONTH(A973),1))</f>
        <v/>
      </c>
    </row>
    <row r="974">
      <c r="A974" s="47" t="n"/>
      <c r="B974" s="38" t="n"/>
      <c r="C974" s="48" t="n"/>
      <c r="D974" s="48" t="n"/>
      <c r="E974" s="38" t="n"/>
      <c r="F974" s="38" t="n"/>
      <c r="G974" s="38" t="n"/>
      <c r="H974" s="49">
        <f>IF(B974="","",IFERROR(INDEX('JOBS'!$D$5:$D$1504,MATCH(B974,'JOBS'!$A$5:$A$1504,0)),"Job ID not found"))</f>
        <v/>
      </c>
      <c r="I974" s="49">
        <f>IF(B974="","",IFERROR(INDEX('JOBS'!$F$5:$F$1504,MATCH(B974,'JOBS'!$A$5:$A$1504,0)),""))</f>
        <v/>
      </c>
      <c r="J974" s="55">
        <f>IF(C974="","",ROUND(C974*IF(IFERROR(INDEX('SETTINGS'!$K$5:$K$24,MATCH(E974,'SETTINGS'!$J$5:$J$24,0)),"No")="Yes",FeePct,0),2))</f>
        <v/>
      </c>
      <c r="K974" s="51">
        <f>IF(A974="","",DATE(YEAR(A974),MONTH(A974),1))</f>
        <v/>
      </c>
    </row>
    <row r="975">
      <c r="A975" s="47" t="n"/>
      <c r="B975" s="38" t="n"/>
      <c r="C975" s="48" t="n"/>
      <c r="D975" s="48" t="n"/>
      <c r="E975" s="38" t="n"/>
      <c r="F975" s="38" t="n"/>
      <c r="G975" s="38" t="n"/>
      <c r="H975" s="49">
        <f>IF(B975="","",IFERROR(INDEX('JOBS'!$D$5:$D$1504,MATCH(B975,'JOBS'!$A$5:$A$1504,0)),"Job ID not found"))</f>
        <v/>
      </c>
      <c r="I975" s="49">
        <f>IF(B975="","",IFERROR(INDEX('JOBS'!$F$5:$F$1504,MATCH(B975,'JOBS'!$A$5:$A$1504,0)),""))</f>
        <v/>
      </c>
      <c r="J975" s="55">
        <f>IF(C975="","",ROUND(C975*IF(IFERROR(INDEX('SETTINGS'!$K$5:$K$24,MATCH(E975,'SETTINGS'!$J$5:$J$24,0)),"No")="Yes",FeePct,0),2))</f>
        <v/>
      </c>
      <c r="K975" s="51">
        <f>IF(A975="","",DATE(YEAR(A975),MONTH(A975),1))</f>
        <v/>
      </c>
    </row>
    <row r="976">
      <c r="A976" s="47" t="n"/>
      <c r="B976" s="38" t="n"/>
      <c r="C976" s="48" t="n"/>
      <c r="D976" s="48" t="n"/>
      <c r="E976" s="38" t="n"/>
      <c r="F976" s="38" t="n"/>
      <c r="G976" s="38" t="n"/>
      <c r="H976" s="49">
        <f>IF(B976="","",IFERROR(INDEX('JOBS'!$D$5:$D$1504,MATCH(B976,'JOBS'!$A$5:$A$1504,0)),"Job ID not found"))</f>
        <v/>
      </c>
      <c r="I976" s="49">
        <f>IF(B976="","",IFERROR(INDEX('JOBS'!$F$5:$F$1504,MATCH(B976,'JOBS'!$A$5:$A$1504,0)),""))</f>
        <v/>
      </c>
      <c r="J976" s="55">
        <f>IF(C976="","",ROUND(C976*IF(IFERROR(INDEX('SETTINGS'!$K$5:$K$24,MATCH(E976,'SETTINGS'!$J$5:$J$24,0)),"No")="Yes",FeePct,0),2))</f>
        <v/>
      </c>
      <c r="K976" s="51">
        <f>IF(A976="","",DATE(YEAR(A976),MONTH(A976),1))</f>
        <v/>
      </c>
    </row>
    <row r="977">
      <c r="A977" s="47" t="n"/>
      <c r="B977" s="38" t="n"/>
      <c r="C977" s="48" t="n"/>
      <c r="D977" s="48" t="n"/>
      <c r="E977" s="38" t="n"/>
      <c r="F977" s="38" t="n"/>
      <c r="G977" s="38" t="n"/>
      <c r="H977" s="49">
        <f>IF(B977="","",IFERROR(INDEX('JOBS'!$D$5:$D$1504,MATCH(B977,'JOBS'!$A$5:$A$1504,0)),"Job ID not found"))</f>
        <v/>
      </c>
      <c r="I977" s="49">
        <f>IF(B977="","",IFERROR(INDEX('JOBS'!$F$5:$F$1504,MATCH(B977,'JOBS'!$A$5:$A$1504,0)),""))</f>
        <v/>
      </c>
      <c r="J977" s="55">
        <f>IF(C977="","",ROUND(C977*IF(IFERROR(INDEX('SETTINGS'!$K$5:$K$24,MATCH(E977,'SETTINGS'!$J$5:$J$24,0)),"No")="Yes",FeePct,0),2))</f>
        <v/>
      </c>
      <c r="K977" s="51">
        <f>IF(A977="","",DATE(YEAR(A977),MONTH(A977),1))</f>
        <v/>
      </c>
    </row>
    <row r="978">
      <c r="A978" s="47" t="n"/>
      <c r="B978" s="38" t="n"/>
      <c r="C978" s="48" t="n"/>
      <c r="D978" s="48" t="n"/>
      <c r="E978" s="38" t="n"/>
      <c r="F978" s="38" t="n"/>
      <c r="G978" s="38" t="n"/>
      <c r="H978" s="49">
        <f>IF(B978="","",IFERROR(INDEX('JOBS'!$D$5:$D$1504,MATCH(B978,'JOBS'!$A$5:$A$1504,0)),"Job ID not found"))</f>
        <v/>
      </c>
      <c r="I978" s="49">
        <f>IF(B978="","",IFERROR(INDEX('JOBS'!$F$5:$F$1504,MATCH(B978,'JOBS'!$A$5:$A$1504,0)),""))</f>
        <v/>
      </c>
      <c r="J978" s="55">
        <f>IF(C978="","",ROUND(C978*IF(IFERROR(INDEX('SETTINGS'!$K$5:$K$24,MATCH(E978,'SETTINGS'!$J$5:$J$24,0)),"No")="Yes",FeePct,0),2))</f>
        <v/>
      </c>
      <c r="K978" s="51">
        <f>IF(A978="","",DATE(YEAR(A978),MONTH(A978),1))</f>
        <v/>
      </c>
    </row>
    <row r="979">
      <c r="A979" s="47" t="n"/>
      <c r="B979" s="38" t="n"/>
      <c r="C979" s="48" t="n"/>
      <c r="D979" s="48" t="n"/>
      <c r="E979" s="38" t="n"/>
      <c r="F979" s="38" t="n"/>
      <c r="G979" s="38" t="n"/>
      <c r="H979" s="49">
        <f>IF(B979="","",IFERROR(INDEX('JOBS'!$D$5:$D$1504,MATCH(B979,'JOBS'!$A$5:$A$1504,0)),"Job ID not found"))</f>
        <v/>
      </c>
      <c r="I979" s="49">
        <f>IF(B979="","",IFERROR(INDEX('JOBS'!$F$5:$F$1504,MATCH(B979,'JOBS'!$A$5:$A$1504,0)),""))</f>
        <v/>
      </c>
      <c r="J979" s="55">
        <f>IF(C979="","",ROUND(C979*IF(IFERROR(INDEX('SETTINGS'!$K$5:$K$24,MATCH(E979,'SETTINGS'!$J$5:$J$24,0)),"No")="Yes",FeePct,0),2))</f>
        <v/>
      </c>
      <c r="K979" s="51">
        <f>IF(A979="","",DATE(YEAR(A979),MONTH(A979),1))</f>
        <v/>
      </c>
    </row>
    <row r="980">
      <c r="A980" s="47" t="n"/>
      <c r="B980" s="38" t="n"/>
      <c r="C980" s="48" t="n"/>
      <c r="D980" s="48" t="n"/>
      <c r="E980" s="38" t="n"/>
      <c r="F980" s="38" t="n"/>
      <c r="G980" s="38" t="n"/>
      <c r="H980" s="49">
        <f>IF(B980="","",IFERROR(INDEX('JOBS'!$D$5:$D$1504,MATCH(B980,'JOBS'!$A$5:$A$1504,0)),"Job ID not found"))</f>
        <v/>
      </c>
      <c r="I980" s="49">
        <f>IF(B980="","",IFERROR(INDEX('JOBS'!$F$5:$F$1504,MATCH(B980,'JOBS'!$A$5:$A$1504,0)),""))</f>
        <v/>
      </c>
      <c r="J980" s="55">
        <f>IF(C980="","",ROUND(C980*IF(IFERROR(INDEX('SETTINGS'!$K$5:$K$24,MATCH(E980,'SETTINGS'!$J$5:$J$24,0)),"No")="Yes",FeePct,0),2))</f>
        <v/>
      </c>
      <c r="K980" s="51">
        <f>IF(A980="","",DATE(YEAR(A980),MONTH(A980),1))</f>
        <v/>
      </c>
    </row>
    <row r="981">
      <c r="A981" s="47" t="n"/>
      <c r="B981" s="38" t="n"/>
      <c r="C981" s="48" t="n"/>
      <c r="D981" s="48" t="n"/>
      <c r="E981" s="38" t="n"/>
      <c r="F981" s="38" t="n"/>
      <c r="G981" s="38" t="n"/>
      <c r="H981" s="49">
        <f>IF(B981="","",IFERROR(INDEX('JOBS'!$D$5:$D$1504,MATCH(B981,'JOBS'!$A$5:$A$1504,0)),"Job ID not found"))</f>
        <v/>
      </c>
      <c r="I981" s="49">
        <f>IF(B981="","",IFERROR(INDEX('JOBS'!$F$5:$F$1504,MATCH(B981,'JOBS'!$A$5:$A$1504,0)),""))</f>
        <v/>
      </c>
      <c r="J981" s="55">
        <f>IF(C981="","",ROUND(C981*IF(IFERROR(INDEX('SETTINGS'!$K$5:$K$24,MATCH(E981,'SETTINGS'!$J$5:$J$24,0)),"No")="Yes",FeePct,0),2))</f>
        <v/>
      </c>
      <c r="K981" s="51">
        <f>IF(A981="","",DATE(YEAR(A981),MONTH(A981),1))</f>
        <v/>
      </c>
    </row>
    <row r="982">
      <c r="A982" s="47" t="n"/>
      <c r="B982" s="38" t="n"/>
      <c r="C982" s="48" t="n"/>
      <c r="D982" s="48" t="n"/>
      <c r="E982" s="38" t="n"/>
      <c r="F982" s="38" t="n"/>
      <c r="G982" s="38" t="n"/>
      <c r="H982" s="49">
        <f>IF(B982="","",IFERROR(INDEX('JOBS'!$D$5:$D$1504,MATCH(B982,'JOBS'!$A$5:$A$1504,0)),"Job ID not found"))</f>
        <v/>
      </c>
      <c r="I982" s="49">
        <f>IF(B982="","",IFERROR(INDEX('JOBS'!$F$5:$F$1504,MATCH(B982,'JOBS'!$A$5:$A$1504,0)),""))</f>
        <v/>
      </c>
      <c r="J982" s="55">
        <f>IF(C982="","",ROUND(C982*IF(IFERROR(INDEX('SETTINGS'!$K$5:$K$24,MATCH(E982,'SETTINGS'!$J$5:$J$24,0)),"No")="Yes",FeePct,0),2))</f>
        <v/>
      </c>
      <c r="K982" s="51">
        <f>IF(A982="","",DATE(YEAR(A982),MONTH(A982),1))</f>
        <v/>
      </c>
    </row>
    <row r="983">
      <c r="A983" s="47" t="n"/>
      <c r="B983" s="38" t="n"/>
      <c r="C983" s="48" t="n"/>
      <c r="D983" s="48" t="n"/>
      <c r="E983" s="38" t="n"/>
      <c r="F983" s="38" t="n"/>
      <c r="G983" s="38" t="n"/>
      <c r="H983" s="49">
        <f>IF(B983="","",IFERROR(INDEX('JOBS'!$D$5:$D$1504,MATCH(B983,'JOBS'!$A$5:$A$1504,0)),"Job ID not found"))</f>
        <v/>
      </c>
      <c r="I983" s="49">
        <f>IF(B983="","",IFERROR(INDEX('JOBS'!$F$5:$F$1504,MATCH(B983,'JOBS'!$A$5:$A$1504,0)),""))</f>
        <v/>
      </c>
      <c r="J983" s="55">
        <f>IF(C983="","",ROUND(C983*IF(IFERROR(INDEX('SETTINGS'!$K$5:$K$24,MATCH(E983,'SETTINGS'!$J$5:$J$24,0)),"No")="Yes",FeePct,0),2))</f>
        <v/>
      </c>
      <c r="K983" s="51">
        <f>IF(A983="","",DATE(YEAR(A983),MONTH(A983),1))</f>
        <v/>
      </c>
    </row>
    <row r="984">
      <c r="A984" s="47" t="n"/>
      <c r="B984" s="38" t="n"/>
      <c r="C984" s="48" t="n"/>
      <c r="D984" s="48" t="n"/>
      <c r="E984" s="38" t="n"/>
      <c r="F984" s="38" t="n"/>
      <c r="G984" s="38" t="n"/>
      <c r="H984" s="49">
        <f>IF(B984="","",IFERROR(INDEX('JOBS'!$D$5:$D$1504,MATCH(B984,'JOBS'!$A$5:$A$1504,0)),"Job ID not found"))</f>
        <v/>
      </c>
      <c r="I984" s="49">
        <f>IF(B984="","",IFERROR(INDEX('JOBS'!$F$5:$F$1504,MATCH(B984,'JOBS'!$A$5:$A$1504,0)),""))</f>
        <v/>
      </c>
      <c r="J984" s="55">
        <f>IF(C984="","",ROUND(C984*IF(IFERROR(INDEX('SETTINGS'!$K$5:$K$24,MATCH(E984,'SETTINGS'!$J$5:$J$24,0)),"No")="Yes",FeePct,0),2))</f>
        <v/>
      </c>
      <c r="K984" s="51">
        <f>IF(A984="","",DATE(YEAR(A984),MONTH(A984),1))</f>
        <v/>
      </c>
    </row>
    <row r="985">
      <c r="A985" s="47" t="n"/>
      <c r="B985" s="38" t="n"/>
      <c r="C985" s="48" t="n"/>
      <c r="D985" s="48" t="n"/>
      <c r="E985" s="38" t="n"/>
      <c r="F985" s="38" t="n"/>
      <c r="G985" s="38" t="n"/>
      <c r="H985" s="49">
        <f>IF(B985="","",IFERROR(INDEX('JOBS'!$D$5:$D$1504,MATCH(B985,'JOBS'!$A$5:$A$1504,0)),"Job ID not found"))</f>
        <v/>
      </c>
      <c r="I985" s="49">
        <f>IF(B985="","",IFERROR(INDEX('JOBS'!$F$5:$F$1504,MATCH(B985,'JOBS'!$A$5:$A$1504,0)),""))</f>
        <v/>
      </c>
      <c r="J985" s="55">
        <f>IF(C985="","",ROUND(C985*IF(IFERROR(INDEX('SETTINGS'!$K$5:$K$24,MATCH(E985,'SETTINGS'!$J$5:$J$24,0)),"No")="Yes",FeePct,0),2))</f>
        <v/>
      </c>
      <c r="K985" s="51">
        <f>IF(A985="","",DATE(YEAR(A985),MONTH(A985),1))</f>
        <v/>
      </c>
    </row>
    <row r="986">
      <c r="A986" s="47" t="n"/>
      <c r="B986" s="38" t="n"/>
      <c r="C986" s="48" t="n"/>
      <c r="D986" s="48" t="n"/>
      <c r="E986" s="38" t="n"/>
      <c r="F986" s="38" t="n"/>
      <c r="G986" s="38" t="n"/>
      <c r="H986" s="49">
        <f>IF(B986="","",IFERROR(INDEX('JOBS'!$D$5:$D$1504,MATCH(B986,'JOBS'!$A$5:$A$1504,0)),"Job ID not found"))</f>
        <v/>
      </c>
      <c r="I986" s="49">
        <f>IF(B986="","",IFERROR(INDEX('JOBS'!$F$5:$F$1504,MATCH(B986,'JOBS'!$A$5:$A$1504,0)),""))</f>
        <v/>
      </c>
      <c r="J986" s="55">
        <f>IF(C986="","",ROUND(C986*IF(IFERROR(INDEX('SETTINGS'!$K$5:$K$24,MATCH(E986,'SETTINGS'!$J$5:$J$24,0)),"No")="Yes",FeePct,0),2))</f>
        <v/>
      </c>
      <c r="K986" s="51">
        <f>IF(A986="","",DATE(YEAR(A986),MONTH(A986),1))</f>
        <v/>
      </c>
    </row>
    <row r="987">
      <c r="A987" s="47" t="n"/>
      <c r="B987" s="38" t="n"/>
      <c r="C987" s="48" t="n"/>
      <c r="D987" s="48" t="n"/>
      <c r="E987" s="38" t="n"/>
      <c r="F987" s="38" t="n"/>
      <c r="G987" s="38" t="n"/>
      <c r="H987" s="49">
        <f>IF(B987="","",IFERROR(INDEX('JOBS'!$D$5:$D$1504,MATCH(B987,'JOBS'!$A$5:$A$1504,0)),"Job ID not found"))</f>
        <v/>
      </c>
      <c r="I987" s="49">
        <f>IF(B987="","",IFERROR(INDEX('JOBS'!$F$5:$F$1504,MATCH(B987,'JOBS'!$A$5:$A$1504,0)),""))</f>
        <v/>
      </c>
      <c r="J987" s="55">
        <f>IF(C987="","",ROUND(C987*IF(IFERROR(INDEX('SETTINGS'!$K$5:$K$24,MATCH(E987,'SETTINGS'!$J$5:$J$24,0)),"No")="Yes",FeePct,0),2))</f>
        <v/>
      </c>
      <c r="K987" s="51">
        <f>IF(A987="","",DATE(YEAR(A987),MONTH(A987),1))</f>
        <v/>
      </c>
    </row>
    <row r="988">
      <c r="A988" s="47" t="n"/>
      <c r="B988" s="38" t="n"/>
      <c r="C988" s="48" t="n"/>
      <c r="D988" s="48" t="n"/>
      <c r="E988" s="38" t="n"/>
      <c r="F988" s="38" t="n"/>
      <c r="G988" s="38" t="n"/>
      <c r="H988" s="49">
        <f>IF(B988="","",IFERROR(INDEX('JOBS'!$D$5:$D$1504,MATCH(B988,'JOBS'!$A$5:$A$1504,0)),"Job ID not found"))</f>
        <v/>
      </c>
      <c r="I988" s="49">
        <f>IF(B988="","",IFERROR(INDEX('JOBS'!$F$5:$F$1504,MATCH(B988,'JOBS'!$A$5:$A$1504,0)),""))</f>
        <v/>
      </c>
      <c r="J988" s="55">
        <f>IF(C988="","",ROUND(C988*IF(IFERROR(INDEX('SETTINGS'!$K$5:$K$24,MATCH(E988,'SETTINGS'!$J$5:$J$24,0)),"No")="Yes",FeePct,0),2))</f>
        <v/>
      </c>
      <c r="K988" s="51">
        <f>IF(A988="","",DATE(YEAR(A988),MONTH(A988),1))</f>
        <v/>
      </c>
    </row>
    <row r="989">
      <c r="A989" s="47" t="n"/>
      <c r="B989" s="38" t="n"/>
      <c r="C989" s="48" t="n"/>
      <c r="D989" s="48" t="n"/>
      <c r="E989" s="38" t="n"/>
      <c r="F989" s="38" t="n"/>
      <c r="G989" s="38" t="n"/>
      <c r="H989" s="49">
        <f>IF(B989="","",IFERROR(INDEX('JOBS'!$D$5:$D$1504,MATCH(B989,'JOBS'!$A$5:$A$1504,0)),"Job ID not found"))</f>
        <v/>
      </c>
      <c r="I989" s="49">
        <f>IF(B989="","",IFERROR(INDEX('JOBS'!$F$5:$F$1504,MATCH(B989,'JOBS'!$A$5:$A$1504,0)),""))</f>
        <v/>
      </c>
      <c r="J989" s="55">
        <f>IF(C989="","",ROUND(C989*IF(IFERROR(INDEX('SETTINGS'!$K$5:$K$24,MATCH(E989,'SETTINGS'!$J$5:$J$24,0)),"No")="Yes",FeePct,0),2))</f>
        <v/>
      </c>
      <c r="K989" s="51">
        <f>IF(A989="","",DATE(YEAR(A989),MONTH(A989),1))</f>
        <v/>
      </c>
    </row>
    <row r="990">
      <c r="A990" s="47" t="n"/>
      <c r="B990" s="38" t="n"/>
      <c r="C990" s="48" t="n"/>
      <c r="D990" s="48" t="n"/>
      <c r="E990" s="38" t="n"/>
      <c r="F990" s="38" t="n"/>
      <c r="G990" s="38" t="n"/>
      <c r="H990" s="49">
        <f>IF(B990="","",IFERROR(INDEX('JOBS'!$D$5:$D$1504,MATCH(B990,'JOBS'!$A$5:$A$1504,0)),"Job ID not found"))</f>
        <v/>
      </c>
      <c r="I990" s="49">
        <f>IF(B990="","",IFERROR(INDEX('JOBS'!$F$5:$F$1504,MATCH(B990,'JOBS'!$A$5:$A$1504,0)),""))</f>
        <v/>
      </c>
      <c r="J990" s="55">
        <f>IF(C990="","",ROUND(C990*IF(IFERROR(INDEX('SETTINGS'!$K$5:$K$24,MATCH(E990,'SETTINGS'!$J$5:$J$24,0)),"No")="Yes",FeePct,0),2))</f>
        <v/>
      </c>
      <c r="K990" s="51">
        <f>IF(A990="","",DATE(YEAR(A990),MONTH(A990),1))</f>
        <v/>
      </c>
    </row>
    <row r="991">
      <c r="A991" s="47" t="n"/>
      <c r="B991" s="38" t="n"/>
      <c r="C991" s="48" t="n"/>
      <c r="D991" s="48" t="n"/>
      <c r="E991" s="38" t="n"/>
      <c r="F991" s="38" t="n"/>
      <c r="G991" s="38" t="n"/>
      <c r="H991" s="49">
        <f>IF(B991="","",IFERROR(INDEX('JOBS'!$D$5:$D$1504,MATCH(B991,'JOBS'!$A$5:$A$1504,0)),"Job ID not found"))</f>
        <v/>
      </c>
      <c r="I991" s="49">
        <f>IF(B991="","",IFERROR(INDEX('JOBS'!$F$5:$F$1504,MATCH(B991,'JOBS'!$A$5:$A$1504,0)),""))</f>
        <v/>
      </c>
      <c r="J991" s="55">
        <f>IF(C991="","",ROUND(C991*IF(IFERROR(INDEX('SETTINGS'!$K$5:$K$24,MATCH(E991,'SETTINGS'!$J$5:$J$24,0)),"No")="Yes",FeePct,0),2))</f>
        <v/>
      </c>
      <c r="K991" s="51">
        <f>IF(A991="","",DATE(YEAR(A991),MONTH(A991),1))</f>
        <v/>
      </c>
    </row>
    <row r="992">
      <c r="A992" s="47" t="n"/>
      <c r="B992" s="38" t="n"/>
      <c r="C992" s="48" t="n"/>
      <c r="D992" s="48" t="n"/>
      <c r="E992" s="38" t="n"/>
      <c r="F992" s="38" t="n"/>
      <c r="G992" s="38" t="n"/>
      <c r="H992" s="49">
        <f>IF(B992="","",IFERROR(INDEX('JOBS'!$D$5:$D$1504,MATCH(B992,'JOBS'!$A$5:$A$1504,0)),"Job ID not found"))</f>
        <v/>
      </c>
      <c r="I992" s="49">
        <f>IF(B992="","",IFERROR(INDEX('JOBS'!$F$5:$F$1504,MATCH(B992,'JOBS'!$A$5:$A$1504,0)),""))</f>
        <v/>
      </c>
      <c r="J992" s="55">
        <f>IF(C992="","",ROUND(C992*IF(IFERROR(INDEX('SETTINGS'!$K$5:$K$24,MATCH(E992,'SETTINGS'!$J$5:$J$24,0)),"No")="Yes",FeePct,0),2))</f>
        <v/>
      </c>
      <c r="K992" s="51">
        <f>IF(A992="","",DATE(YEAR(A992),MONTH(A992),1))</f>
        <v/>
      </c>
    </row>
    <row r="993">
      <c r="A993" s="47" t="n"/>
      <c r="B993" s="38" t="n"/>
      <c r="C993" s="48" t="n"/>
      <c r="D993" s="48" t="n"/>
      <c r="E993" s="38" t="n"/>
      <c r="F993" s="38" t="n"/>
      <c r="G993" s="38" t="n"/>
      <c r="H993" s="49">
        <f>IF(B993="","",IFERROR(INDEX('JOBS'!$D$5:$D$1504,MATCH(B993,'JOBS'!$A$5:$A$1504,0)),"Job ID not found"))</f>
        <v/>
      </c>
      <c r="I993" s="49">
        <f>IF(B993="","",IFERROR(INDEX('JOBS'!$F$5:$F$1504,MATCH(B993,'JOBS'!$A$5:$A$1504,0)),""))</f>
        <v/>
      </c>
      <c r="J993" s="55">
        <f>IF(C993="","",ROUND(C993*IF(IFERROR(INDEX('SETTINGS'!$K$5:$K$24,MATCH(E993,'SETTINGS'!$J$5:$J$24,0)),"No")="Yes",FeePct,0),2))</f>
        <v/>
      </c>
      <c r="K993" s="51">
        <f>IF(A993="","",DATE(YEAR(A993),MONTH(A993),1))</f>
        <v/>
      </c>
    </row>
    <row r="994">
      <c r="A994" s="47" t="n"/>
      <c r="B994" s="38" t="n"/>
      <c r="C994" s="48" t="n"/>
      <c r="D994" s="48" t="n"/>
      <c r="E994" s="38" t="n"/>
      <c r="F994" s="38" t="n"/>
      <c r="G994" s="38" t="n"/>
      <c r="H994" s="49">
        <f>IF(B994="","",IFERROR(INDEX('JOBS'!$D$5:$D$1504,MATCH(B994,'JOBS'!$A$5:$A$1504,0)),"Job ID not found"))</f>
        <v/>
      </c>
      <c r="I994" s="49">
        <f>IF(B994="","",IFERROR(INDEX('JOBS'!$F$5:$F$1504,MATCH(B994,'JOBS'!$A$5:$A$1504,0)),""))</f>
        <v/>
      </c>
      <c r="J994" s="55">
        <f>IF(C994="","",ROUND(C994*IF(IFERROR(INDEX('SETTINGS'!$K$5:$K$24,MATCH(E994,'SETTINGS'!$J$5:$J$24,0)),"No")="Yes",FeePct,0),2))</f>
        <v/>
      </c>
      <c r="K994" s="51">
        <f>IF(A994="","",DATE(YEAR(A994),MONTH(A994),1))</f>
        <v/>
      </c>
    </row>
    <row r="995">
      <c r="A995" s="47" t="n"/>
      <c r="B995" s="38" t="n"/>
      <c r="C995" s="48" t="n"/>
      <c r="D995" s="48" t="n"/>
      <c r="E995" s="38" t="n"/>
      <c r="F995" s="38" t="n"/>
      <c r="G995" s="38" t="n"/>
      <c r="H995" s="49">
        <f>IF(B995="","",IFERROR(INDEX('JOBS'!$D$5:$D$1504,MATCH(B995,'JOBS'!$A$5:$A$1504,0)),"Job ID not found"))</f>
        <v/>
      </c>
      <c r="I995" s="49">
        <f>IF(B995="","",IFERROR(INDEX('JOBS'!$F$5:$F$1504,MATCH(B995,'JOBS'!$A$5:$A$1504,0)),""))</f>
        <v/>
      </c>
      <c r="J995" s="55">
        <f>IF(C995="","",ROUND(C995*IF(IFERROR(INDEX('SETTINGS'!$K$5:$K$24,MATCH(E995,'SETTINGS'!$J$5:$J$24,0)),"No")="Yes",FeePct,0),2))</f>
        <v/>
      </c>
      <c r="K995" s="51">
        <f>IF(A995="","",DATE(YEAR(A995),MONTH(A995),1))</f>
        <v/>
      </c>
    </row>
    <row r="996">
      <c r="A996" s="47" t="n"/>
      <c r="B996" s="38" t="n"/>
      <c r="C996" s="48" t="n"/>
      <c r="D996" s="48" t="n"/>
      <c r="E996" s="38" t="n"/>
      <c r="F996" s="38" t="n"/>
      <c r="G996" s="38" t="n"/>
      <c r="H996" s="49">
        <f>IF(B996="","",IFERROR(INDEX('JOBS'!$D$5:$D$1504,MATCH(B996,'JOBS'!$A$5:$A$1504,0)),"Job ID not found"))</f>
        <v/>
      </c>
      <c r="I996" s="49">
        <f>IF(B996="","",IFERROR(INDEX('JOBS'!$F$5:$F$1504,MATCH(B996,'JOBS'!$A$5:$A$1504,0)),""))</f>
        <v/>
      </c>
      <c r="J996" s="55">
        <f>IF(C996="","",ROUND(C996*IF(IFERROR(INDEX('SETTINGS'!$K$5:$K$24,MATCH(E996,'SETTINGS'!$J$5:$J$24,0)),"No")="Yes",FeePct,0),2))</f>
        <v/>
      </c>
      <c r="K996" s="51">
        <f>IF(A996="","",DATE(YEAR(A996),MONTH(A996),1))</f>
        <v/>
      </c>
    </row>
    <row r="997">
      <c r="A997" s="47" t="n"/>
      <c r="B997" s="38" t="n"/>
      <c r="C997" s="48" t="n"/>
      <c r="D997" s="48" t="n"/>
      <c r="E997" s="38" t="n"/>
      <c r="F997" s="38" t="n"/>
      <c r="G997" s="38" t="n"/>
      <c r="H997" s="49">
        <f>IF(B997="","",IFERROR(INDEX('JOBS'!$D$5:$D$1504,MATCH(B997,'JOBS'!$A$5:$A$1504,0)),"Job ID not found"))</f>
        <v/>
      </c>
      <c r="I997" s="49">
        <f>IF(B997="","",IFERROR(INDEX('JOBS'!$F$5:$F$1504,MATCH(B997,'JOBS'!$A$5:$A$1504,0)),""))</f>
        <v/>
      </c>
      <c r="J997" s="55">
        <f>IF(C997="","",ROUND(C997*IF(IFERROR(INDEX('SETTINGS'!$K$5:$K$24,MATCH(E997,'SETTINGS'!$J$5:$J$24,0)),"No")="Yes",FeePct,0),2))</f>
        <v/>
      </c>
      <c r="K997" s="51">
        <f>IF(A997="","",DATE(YEAR(A997),MONTH(A997),1))</f>
        <v/>
      </c>
    </row>
    <row r="998">
      <c r="A998" s="47" t="n"/>
      <c r="B998" s="38" t="n"/>
      <c r="C998" s="48" t="n"/>
      <c r="D998" s="48" t="n"/>
      <c r="E998" s="38" t="n"/>
      <c r="F998" s="38" t="n"/>
      <c r="G998" s="38" t="n"/>
      <c r="H998" s="49">
        <f>IF(B998="","",IFERROR(INDEX('JOBS'!$D$5:$D$1504,MATCH(B998,'JOBS'!$A$5:$A$1504,0)),"Job ID not found"))</f>
        <v/>
      </c>
      <c r="I998" s="49">
        <f>IF(B998="","",IFERROR(INDEX('JOBS'!$F$5:$F$1504,MATCH(B998,'JOBS'!$A$5:$A$1504,0)),""))</f>
        <v/>
      </c>
      <c r="J998" s="55">
        <f>IF(C998="","",ROUND(C998*IF(IFERROR(INDEX('SETTINGS'!$K$5:$K$24,MATCH(E998,'SETTINGS'!$J$5:$J$24,0)),"No")="Yes",FeePct,0),2))</f>
        <v/>
      </c>
      <c r="K998" s="51">
        <f>IF(A998="","",DATE(YEAR(A998),MONTH(A998),1))</f>
        <v/>
      </c>
    </row>
    <row r="999">
      <c r="A999" s="47" t="n"/>
      <c r="B999" s="38" t="n"/>
      <c r="C999" s="48" t="n"/>
      <c r="D999" s="48" t="n"/>
      <c r="E999" s="38" t="n"/>
      <c r="F999" s="38" t="n"/>
      <c r="G999" s="38" t="n"/>
      <c r="H999" s="49">
        <f>IF(B999="","",IFERROR(INDEX('JOBS'!$D$5:$D$1504,MATCH(B999,'JOBS'!$A$5:$A$1504,0)),"Job ID not found"))</f>
        <v/>
      </c>
      <c r="I999" s="49">
        <f>IF(B999="","",IFERROR(INDEX('JOBS'!$F$5:$F$1504,MATCH(B999,'JOBS'!$A$5:$A$1504,0)),""))</f>
        <v/>
      </c>
      <c r="J999" s="55">
        <f>IF(C999="","",ROUND(C999*IF(IFERROR(INDEX('SETTINGS'!$K$5:$K$24,MATCH(E999,'SETTINGS'!$J$5:$J$24,0)),"No")="Yes",FeePct,0),2))</f>
        <v/>
      </c>
      <c r="K999" s="51">
        <f>IF(A999="","",DATE(YEAR(A999),MONTH(A999),1))</f>
        <v/>
      </c>
    </row>
    <row r="1000">
      <c r="A1000" s="47" t="n"/>
      <c r="B1000" s="38" t="n"/>
      <c r="C1000" s="48" t="n"/>
      <c r="D1000" s="48" t="n"/>
      <c r="E1000" s="38" t="n"/>
      <c r="F1000" s="38" t="n"/>
      <c r="G1000" s="38" t="n"/>
      <c r="H1000" s="49">
        <f>IF(B1000="","",IFERROR(INDEX('JOBS'!$D$5:$D$1504,MATCH(B1000,'JOBS'!$A$5:$A$1504,0)),"Job ID not found"))</f>
        <v/>
      </c>
      <c r="I1000" s="49">
        <f>IF(B1000="","",IFERROR(INDEX('JOBS'!$F$5:$F$1504,MATCH(B1000,'JOBS'!$A$5:$A$1504,0)),""))</f>
        <v/>
      </c>
      <c r="J1000" s="55">
        <f>IF(C1000="","",ROUND(C1000*IF(IFERROR(INDEX('SETTINGS'!$K$5:$K$24,MATCH(E1000,'SETTINGS'!$J$5:$J$24,0)),"No")="Yes",FeePct,0),2))</f>
        <v/>
      </c>
      <c r="K1000" s="51">
        <f>IF(A1000="","",DATE(YEAR(A1000),MONTH(A1000),1))</f>
        <v/>
      </c>
    </row>
    <row r="1001">
      <c r="A1001" s="47" t="n"/>
      <c r="B1001" s="38" t="n"/>
      <c r="C1001" s="48" t="n"/>
      <c r="D1001" s="48" t="n"/>
      <c r="E1001" s="38" t="n"/>
      <c r="F1001" s="38" t="n"/>
      <c r="G1001" s="38" t="n"/>
      <c r="H1001" s="49">
        <f>IF(B1001="","",IFERROR(INDEX('JOBS'!$D$5:$D$1504,MATCH(B1001,'JOBS'!$A$5:$A$1504,0)),"Job ID not found"))</f>
        <v/>
      </c>
      <c r="I1001" s="49">
        <f>IF(B1001="","",IFERROR(INDEX('JOBS'!$F$5:$F$1504,MATCH(B1001,'JOBS'!$A$5:$A$1504,0)),""))</f>
        <v/>
      </c>
      <c r="J1001" s="55">
        <f>IF(C1001="","",ROUND(C1001*IF(IFERROR(INDEX('SETTINGS'!$K$5:$K$24,MATCH(E1001,'SETTINGS'!$J$5:$J$24,0)),"No")="Yes",FeePct,0),2))</f>
        <v/>
      </c>
      <c r="K1001" s="51">
        <f>IF(A1001="","",DATE(YEAR(A1001),MONTH(A1001),1))</f>
        <v/>
      </c>
    </row>
    <row r="1002">
      <c r="A1002" s="47" t="n"/>
      <c r="B1002" s="38" t="n"/>
      <c r="C1002" s="48" t="n"/>
      <c r="D1002" s="48" t="n"/>
      <c r="E1002" s="38" t="n"/>
      <c r="F1002" s="38" t="n"/>
      <c r="G1002" s="38" t="n"/>
      <c r="H1002" s="49">
        <f>IF(B1002="","",IFERROR(INDEX('JOBS'!$D$5:$D$1504,MATCH(B1002,'JOBS'!$A$5:$A$1504,0)),"Job ID not found"))</f>
        <v/>
      </c>
      <c r="I1002" s="49">
        <f>IF(B1002="","",IFERROR(INDEX('JOBS'!$F$5:$F$1504,MATCH(B1002,'JOBS'!$A$5:$A$1504,0)),""))</f>
        <v/>
      </c>
      <c r="J1002" s="55">
        <f>IF(C1002="","",ROUND(C1002*IF(IFERROR(INDEX('SETTINGS'!$K$5:$K$24,MATCH(E1002,'SETTINGS'!$J$5:$J$24,0)),"No")="Yes",FeePct,0),2))</f>
        <v/>
      </c>
      <c r="K1002" s="51">
        <f>IF(A1002="","",DATE(YEAR(A1002),MONTH(A1002),1))</f>
        <v/>
      </c>
    </row>
    <row r="1003">
      <c r="A1003" s="47" t="n"/>
      <c r="B1003" s="38" t="n"/>
      <c r="C1003" s="48" t="n"/>
      <c r="D1003" s="48" t="n"/>
      <c r="E1003" s="38" t="n"/>
      <c r="F1003" s="38" t="n"/>
      <c r="G1003" s="38" t="n"/>
      <c r="H1003" s="49">
        <f>IF(B1003="","",IFERROR(INDEX('JOBS'!$D$5:$D$1504,MATCH(B1003,'JOBS'!$A$5:$A$1504,0)),"Job ID not found"))</f>
        <v/>
      </c>
      <c r="I1003" s="49">
        <f>IF(B1003="","",IFERROR(INDEX('JOBS'!$F$5:$F$1504,MATCH(B1003,'JOBS'!$A$5:$A$1504,0)),""))</f>
        <v/>
      </c>
      <c r="J1003" s="55">
        <f>IF(C1003="","",ROUND(C1003*IF(IFERROR(INDEX('SETTINGS'!$K$5:$K$24,MATCH(E1003,'SETTINGS'!$J$5:$J$24,0)),"No")="Yes",FeePct,0),2))</f>
        <v/>
      </c>
      <c r="K1003" s="51">
        <f>IF(A1003="","",DATE(YEAR(A1003),MONTH(A1003),1))</f>
        <v/>
      </c>
    </row>
    <row r="1004">
      <c r="A1004" s="47" t="n"/>
      <c r="B1004" s="38" t="n"/>
      <c r="C1004" s="48" t="n"/>
      <c r="D1004" s="48" t="n"/>
      <c r="E1004" s="38" t="n"/>
      <c r="F1004" s="38" t="n"/>
      <c r="G1004" s="38" t="n"/>
      <c r="H1004" s="49">
        <f>IF(B1004="","",IFERROR(INDEX('JOBS'!$D$5:$D$1504,MATCH(B1004,'JOBS'!$A$5:$A$1504,0)),"Job ID not found"))</f>
        <v/>
      </c>
      <c r="I1004" s="49">
        <f>IF(B1004="","",IFERROR(INDEX('JOBS'!$F$5:$F$1504,MATCH(B1004,'JOBS'!$A$5:$A$1504,0)),""))</f>
        <v/>
      </c>
      <c r="J1004" s="55">
        <f>IF(C1004="","",ROUND(C1004*IF(IFERROR(INDEX('SETTINGS'!$K$5:$K$24,MATCH(E1004,'SETTINGS'!$J$5:$J$24,0)),"No")="Yes",FeePct,0),2))</f>
        <v/>
      </c>
      <c r="K1004" s="51">
        <f>IF(A1004="","",DATE(YEAR(A1004),MONTH(A1004),1))</f>
        <v/>
      </c>
    </row>
    <row r="1005">
      <c r="A1005" s="47" t="n"/>
      <c r="B1005" s="38" t="n"/>
      <c r="C1005" s="48" t="n"/>
      <c r="D1005" s="48" t="n"/>
      <c r="E1005" s="38" t="n"/>
      <c r="F1005" s="38" t="n"/>
      <c r="G1005" s="38" t="n"/>
      <c r="H1005" s="49">
        <f>IF(B1005="","",IFERROR(INDEX('JOBS'!$D$5:$D$1504,MATCH(B1005,'JOBS'!$A$5:$A$1504,0)),"Job ID not found"))</f>
        <v/>
      </c>
      <c r="I1005" s="49">
        <f>IF(B1005="","",IFERROR(INDEX('JOBS'!$F$5:$F$1504,MATCH(B1005,'JOBS'!$A$5:$A$1504,0)),""))</f>
        <v/>
      </c>
      <c r="J1005" s="55">
        <f>IF(C1005="","",ROUND(C1005*IF(IFERROR(INDEX('SETTINGS'!$K$5:$K$24,MATCH(E1005,'SETTINGS'!$J$5:$J$24,0)),"No")="Yes",FeePct,0),2))</f>
        <v/>
      </c>
      <c r="K1005" s="51">
        <f>IF(A1005="","",DATE(YEAR(A1005),MONTH(A1005),1))</f>
        <v/>
      </c>
    </row>
    <row r="1006">
      <c r="A1006" s="47" t="n"/>
      <c r="B1006" s="38" t="n"/>
      <c r="C1006" s="48" t="n"/>
      <c r="D1006" s="48" t="n"/>
      <c r="E1006" s="38" t="n"/>
      <c r="F1006" s="38" t="n"/>
      <c r="G1006" s="38" t="n"/>
      <c r="H1006" s="49">
        <f>IF(B1006="","",IFERROR(INDEX('JOBS'!$D$5:$D$1504,MATCH(B1006,'JOBS'!$A$5:$A$1504,0)),"Job ID not found"))</f>
        <v/>
      </c>
      <c r="I1006" s="49">
        <f>IF(B1006="","",IFERROR(INDEX('JOBS'!$F$5:$F$1504,MATCH(B1006,'JOBS'!$A$5:$A$1504,0)),""))</f>
        <v/>
      </c>
      <c r="J1006" s="55">
        <f>IF(C1006="","",ROUND(C1006*IF(IFERROR(INDEX('SETTINGS'!$K$5:$K$24,MATCH(E1006,'SETTINGS'!$J$5:$J$24,0)),"No")="Yes",FeePct,0),2))</f>
        <v/>
      </c>
      <c r="K1006" s="51">
        <f>IF(A1006="","",DATE(YEAR(A1006),MONTH(A1006),1))</f>
        <v/>
      </c>
    </row>
    <row r="1007">
      <c r="A1007" s="47" t="n"/>
      <c r="B1007" s="38" t="n"/>
      <c r="C1007" s="48" t="n"/>
      <c r="D1007" s="48" t="n"/>
      <c r="E1007" s="38" t="n"/>
      <c r="F1007" s="38" t="n"/>
      <c r="G1007" s="38" t="n"/>
      <c r="H1007" s="49">
        <f>IF(B1007="","",IFERROR(INDEX('JOBS'!$D$5:$D$1504,MATCH(B1007,'JOBS'!$A$5:$A$1504,0)),"Job ID not found"))</f>
        <v/>
      </c>
      <c r="I1007" s="49">
        <f>IF(B1007="","",IFERROR(INDEX('JOBS'!$F$5:$F$1504,MATCH(B1007,'JOBS'!$A$5:$A$1504,0)),""))</f>
        <v/>
      </c>
      <c r="J1007" s="55">
        <f>IF(C1007="","",ROUND(C1007*IF(IFERROR(INDEX('SETTINGS'!$K$5:$K$24,MATCH(E1007,'SETTINGS'!$J$5:$J$24,0)),"No")="Yes",FeePct,0),2))</f>
        <v/>
      </c>
      <c r="K1007" s="51">
        <f>IF(A1007="","",DATE(YEAR(A1007),MONTH(A1007),1))</f>
        <v/>
      </c>
    </row>
    <row r="1008">
      <c r="A1008" s="47" t="n"/>
      <c r="B1008" s="38" t="n"/>
      <c r="C1008" s="48" t="n"/>
      <c r="D1008" s="48" t="n"/>
      <c r="E1008" s="38" t="n"/>
      <c r="F1008" s="38" t="n"/>
      <c r="G1008" s="38" t="n"/>
      <c r="H1008" s="49">
        <f>IF(B1008="","",IFERROR(INDEX('JOBS'!$D$5:$D$1504,MATCH(B1008,'JOBS'!$A$5:$A$1504,0)),"Job ID not found"))</f>
        <v/>
      </c>
      <c r="I1008" s="49">
        <f>IF(B1008="","",IFERROR(INDEX('JOBS'!$F$5:$F$1504,MATCH(B1008,'JOBS'!$A$5:$A$1504,0)),""))</f>
        <v/>
      </c>
      <c r="J1008" s="55">
        <f>IF(C1008="","",ROUND(C1008*IF(IFERROR(INDEX('SETTINGS'!$K$5:$K$24,MATCH(E1008,'SETTINGS'!$J$5:$J$24,0)),"No")="Yes",FeePct,0),2))</f>
        <v/>
      </c>
      <c r="K1008" s="51">
        <f>IF(A1008="","",DATE(YEAR(A1008),MONTH(A1008),1))</f>
        <v/>
      </c>
    </row>
    <row r="1009">
      <c r="A1009" s="47" t="n"/>
      <c r="B1009" s="38" t="n"/>
      <c r="C1009" s="48" t="n"/>
      <c r="D1009" s="48" t="n"/>
      <c r="E1009" s="38" t="n"/>
      <c r="F1009" s="38" t="n"/>
      <c r="G1009" s="38" t="n"/>
      <c r="H1009" s="49">
        <f>IF(B1009="","",IFERROR(INDEX('JOBS'!$D$5:$D$1504,MATCH(B1009,'JOBS'!$A$5:$A$1504,0)),"Job ID not found"))</f>
        <v/>
      </c>
      <c r="I1009" s="49">
        <f>IF(B1009="","",IFERROR(INDEX('JOBS'!$F$5:$F$1504,MATCH(B1009,'JOBS'!$A$5:$A$1504,0)),""))</f>
        <v/>
      </c>
      <c r="J1009" s="55">
        <f>IF(C1009="","",ROUND(C1009*IF(IFERROR(INDEX('SETTINGS'!$K$5:$K$24,MATCH(E1009,'SETTINGS'!$J$5:$J$24,0)),"No")="Yes",FeePct,0),2))</f>
        <v/>
      </c>
      <c r="K1009" s="51">
        <f>IF(A1009="","",DATE(YEAR(A1009),MONTH(A1009),1))</f>
        <v/>
      </c>
    </row>
    <row r="1010">
      <c r="A1010" s="47" t="n"/>
      <c r="B1010" s="38" t="n"/>
      <c r="C1010" s="48" t="n"/>
      <c r="D1010" s="48" t="n"/>
      <c r="E1010" s="38" t="n"/>
      <c r="F1010" s="38" t="n"/>
      <c r="G1010" s="38" t="n"/>
      <c r="H1010" s="49">
        <f>IF(B1010="","",IFERROR(INDEX('JOBS'!$D$5:$D$1504,MATCH(B1010,'JOBS'!$A$5:$A$1504,0)),"Job ID not found"))</f>
        <v/>
      </c>
      <c r="I1010" s="49">
        <f>IF(B1010="","",IFERROR(INDEX('JOBS'!$F$5:$F$1504,MATCH(B1010,'JOBS'!$A$5:$A$1504,0)),""))</f>
        <v/>
      </c>
      <c r="J1010" s="55">
        <f>IF(C1010="","",ROUND(C1010*IF(IFERROR(INDEX('SETTINGS'!$K$5:$K$24,MATCH(E1010,'SETTINGS'!$J$5:$J$24,0)),"No")="Yes",FeePct,0),2))</f>
        <v/>
      </c>
      <c r="K1010" s="51">
        <f>IF(A1010="","",DATE(YEAR(A1010),MONTH(A1010),1))</f>
        <v/>
      </c>
    </row>
    <row r="1011">
      <c r="A1011" s="47" t="n"/>
      <c r="B1011" s="38" t="n"/>
      <c r="C1011" s="48" t="n"/>
      <c r="D1011" s="48" t="n"/>
      <c r="E1011" s="38" t="n"/>
      <c r="F1011" s="38" t="n"/>
      <c r="G1011" s="38" t="n"/>
      <c r="H1011" s="49">
        <f>IF(B1011="","",IFERROR(INDEX('JOBS'!$D$5:$D$1504,MATCH(B1011,'JOBS'!$A$5:$A$1504,0)),"Job ID not found"))</f>
        <v/>
      </c>
      <c r="I1011" s="49">
        <f>IF(B1011="","",IFERROR(INDEX('JOBS'!$F$5:$F$1504,MATCH(B1011,'JOBS'!$A$5:$A$1504,0)),""))</f>
        <v/>
      </c>
      <c r="J1011" s="55">
        <f>IF(C1011="","",ROUND(C1011*IF(IFERROR(INDEX('SETTINGS'!$K$5:$K$24,MATCH(E1011,'SETTINGS'!$J$5:$J$24,0)),"No")="Yes",FeePct,0),2))</f>
        <v/>
      </c>
      <c r="K1011" s="51">
        <f>IF(A1011="","",DATE(YEAR(A1011),MONTH(A1011),1))</f>
        <v/>
      </c>
    </row>
    <row r="1012">
      <c r="A1012" s="47" t="n"/>
      <c r="B1012" s="38" t="n"/>
      <c r="C1012" s="48" t="n"/>
      <c r="D1012" s="48" t="n"/>
      <c r="E1012" s="38" t="n"/>
      <c r="F1012" s="38" t="n"/>
      <c r="G1012" s="38" t="n"/>
      <c r="H1012" s="49">
        <f>IF(B1012="","",IFERROR(INDEX('JOBS'!$D$5:$D$1504,MATCH(B1012,'JOBS'!$A$5:$A$1504,0)),"Job ID not found"))</f>
        <v/>
      </c>
      <c r="I1012" s="49">
        <f>IF(B1012="","",IFERROR(INDEX('JOBS'!$F$5:$F$1504,MATCH(B1012,'JOBS'!$A$5:$A$1504,0)),""))</f>
        <v/>
      </c>
      <c r="J1012" s="55">
        <f>IF(C1012="","",ROUND(C1012*IF(IFERROR(INDEX('SETTINGS'!$K$5:$K$24,MATCH(E1012,'SETTINGS'!$J$5:$J$24,0)),"No")="Yes",FeePct,0),2))</f>
        <v/>
      </c>
      <c r="K1012" s="51">
        <f>IF(A1012="","",DATE(YEAR(A1012),MONTH(A1012),1))</f>
        <v/>
      </c>
    </row>
    <row r="1013">
      <c r="A1013" s="47" t="n"/>
      <c r="B1013" s="38" t="n"/>
      <c r="C1013" s="48" t="n"/>
      <c r="D1013" s="48" t="n"/>
      <c r="E1013" s="38" t="n"/>
      <c r="F1013" s="38" t="n"/>
      <c r="G1013" s="38" t="n"/>
      <c r="H1013" s="49">
        <f>IF(B1013="","",IFERROR(INDEX('JOBS'!$D$5:$D$1504,MATCH(B1013,'JOBS'!$A$5:$A$1504,0)),"Job ID not found"))</f>
        <v/>
      </c>
      <c r="I1013" s="49">
        <f>IF(B1013="","",IFERROR(INDEX('JOBS'!$F$5:$F$1504,MATCH(B1013,'JOBS'!$A$5:$A$1504,0)),""))</f>
        <v/>
      </c>
      <c r="J1013" s="55">
        <f>IF(C1013="","",ROUND(C1013*IF(IFERROR(INDEX('SETTINGS'!$K$5:$K$24,MATCH(E1013,'SETTINGS'!$J$5:$J$24,0)),"No")="Yes",FeePct,0),2))</f>
        <v/>
      </c>
      <c r="K1013" s="51">
        <f>IF(A1013="","",DATE(YEAR(A1013),MONTH(A1013),1))</f>
        <v/>
      </c>
    </row>
    <row r="1014">
      <c r="A1014" s="47" t="n"/>
      <c r="B1014" s="38" t="n"/>
      <c r="C1014" s="48" t="n"/>
      <c r="D1014" s="48" t="n"/>
      <c r="E1014" s="38" t="n"/>
      <c r="F1014" s="38" t="n"/>
      <c r="G1014" s="38" t="n"/>
      <c r="H1014" s="49">
        <f>IF(B1014="","",IFERROR(INDEX('JOBS'!$D$5:$D$1504,MATCH(B1014,'JOBS'!$A$5:$A$1504,0)),"Job ID not found"))</f>
        <v/>
      </c>
      <c r="I1014" s="49">
        <f>IF(B1014="","",IFERROR(INDEX('JOBS'!$F$5:$F$1504,MATCH(B1014,'JOBS'!$A$5:$A$1504,0)),""))</f>
        <v/>
      </c>
      <c r="J1014" s="55">
        <f>IF(C1014="","",ROUND(C1014*IF(IFERROR(INDEX('SETTINGS'!$K$5:$K$24,MATCH(E1014,'SETTINGS'!$J$5:$J$24,0)),"No")="Yes",FeePct,0),2))</f>
        <v/>
      </c>
      <c r="K1014" s="51">
        <f>IF(A1014="","",DATE(YEAR(A1014),MONTH(A1014),1))</f>
        <v/>
      </c>
    </row>
    <row r="1015">
      <c r="A1015" s="47" t="n"/>
      <c r="B1015" s="38" t="n"/>
      <c r="C1015" s="48" t="n"/>
      <c r="D1015" s="48" t="n"/>
      <c r="E1015" s="38" t="n"/>
      <c r="F1015" s="38" t="n"/>
      <c r="G1015" s="38" t="n"/>
      <c r="H1015" s="49">
        <f>IF(B1015="","",IFERROR(INDEX('JOBS'!$D$5:$D$1504,MATCH(B1015,'JOBS'!$A$5:$A$1504,0)),"Job ID not found"))</f>
        <v/>
      </c>
      <c r="I1015" s="49">
        <f>IF(B1015="","",IFERROR(INDEX('JOBS'!$F$5:$F$1504,MATCH(B1015,'JOBS'!$A$5:$A$1504,0)),""))</f>
        <v/>
      </c>
      <c r="J1015" s="55">
        <f>IF(C1015="","",ROUND(C1015*IF(IFERROR(INDEX('SETTINGS'!$K$5:$K$24,MATCH(E1015,'SETTINGS'!$J$5:$J$24,0)),"No")="Yes",FeePct,0),2))</f>
        <v/>
      </c>
      <c r="K1015" s="51">
        <f>IF(A1015="","",DATE(YEAR(A1015),MONTH(A1015),1))</f>
        <v/>
      </c>
    </row>
    <row r="1016">
      <c r="A1016" s="47" t="n"/>
      <c r="B1016" s="38" t="n"/>
      <c r="C1016" s="48" t="n"/>
      <c r="D1016" s="48" t="n"/>
      <c r="E1016" s="38" t="n"/>
      <c r="F1016" s="38" t="n"/>
      <c r="G1016" s="38" t="n"/>
      <c r="H1016" s="49">
        <f>IF(B1016="","",IFERROR(INDEX('JOBS'!$D$5:$D$1504,MATCH(B1016,'JOBS'!$A$5:$A$1504,0)),"Job ID not found"))</f>
        <v/>
      </c>
      <c r="I1016" s="49">
        <f>IF(B1016="","",IFERROR(INDEX('JOBS'!$F$5:$F$1504,MATCH(B1016,'JOBS'!$A$5:$A$1504,0)),""))</f>
        <v/>
      </c>
      <c r="J1016" s="55">
        <f>IF(C1016="","",ROUND(C1016*IF(IFERROR(INDEX('SETTINGS'!$K$5:$K$24,MATCH(E1016,'SETTINGS'!$J$5:$J$24,0)),"No")="Yes",FeePct,0),2))</f>
        <v/>
      </c>
      <c r="K1016" s="51">
        <f>IF(A1016="","",DATE(YEAR(A1016),MONTH(A1016),1))</f>
        <v/>
      </c>
    </row>
    <row r="1017">
      <c r="A1017" s="47" t="n"/>
      <c r="B1017" s="38" t="n"/>
      <c r="C1017" s="48" t="n"/>
      <c r="D1017" s="48" t="n"/>
      <c r="E1017" s="38" t="n"/>
      <c r="F1017" s="38" t="n"/>
      <c r="G1017" s="38" t="n"/>
      <c r="H1017" s="49">
        <f>IF(B1017="","",IFERROR(INDEX('JOBS'!$D$5:$D$1504,MATCH(B1017,'JOBS'!$A$5:$A$1504,0)),"Job ID not found"))</f>
        <v/>
      </c>
      <c r="I1017" s="49">
        <f>IF(B1017="","",IFERROR(INDEX('JOBS'!$F$5:$F$1504,MATCH(B1017,'JOBS'!$A$5:$A$1504,0)),""))</f>
        <v/>
      </c>
      <c r="J1017" s="55">
        <f>IF(C1017="","",ROUND(C1017*IF(IFERROR(INDEX('SETTINGS'!$K$5:$K$24,MATCH(E1017,'SETTINGS'!$J$5:$J$24,0)),"No")="Yes",FeePct,0),2))</f>
        <v/>
      </c>
      <c r="K1017" s="51">
        <f>IF(A1017="","",DATE(YEAR(A1017),MONTH(A1017),1))</f>
        <v/>
      </c>
    </row>
    <row r="1018">
      <c r="A1018" s="47" t="n"/>
      <c r="B1018" s="38" t="n"/>
      <c r="C1018" s="48" t="n"/>
      <c r="D1018" s="48" t="n"/>
      <c r="E1018" s="38" t="n"/>
      <c r="F1018" s="38" t="n"/>
      <c r="G1018" s="38" t="n"/>
      <c r="H1018" s="49">
        <f>IF(B1018="","",IFERROR(INDEX('JOBS'!$D$5:$D$1504,MATCH(B1018,'JOBS'!$A$5:$A$1504,0)),"Job ID not found"))</f>
        <v/>
      </c>
      <c r="I1018" s="49">
        <f>IF(B1018="","",IFERROR(INDEX('JOBS'!$F$5:$F$1504,MATCH(B1018,'JOBS'!$A$5:$A$1504,0)),""))</f>
        <v/>
      </c>
      <c r="J1018" s="55">
        <f>IF(C1018="","",ROUND(C1018*IF(IFERROR(INDEX('SETTINGS'!$K$5:$K$24,MATCH(E1018,'SETTINGS'!$J$5:$J$24,0)),"No")="Yes",FeePct,0),2))</f>
        <v/>
      </c>
      <c r="K1018" s="51">
        <f>IF(A1018="","",DATE(YEAR(A1018),MONTH(A1018),1))</f>
        <v/>
      </c>
    </row>
    <row r="1019">
      <c r="A1019" s="47" t="n"/>
      <c r="B1019" s="38" t="n"/>
      <c r="C1019" s="48" t="n"/>
      <c r="D1019" s="48" t="n"/>
      <c r="E1019" s="38" t="n"/>
      <c r="F1019" s="38" t="n"/>
      <c r="G1019" s="38" t="n"/>
      <c r="H1019" s="49">
        <f>IF(B1019="","",IFERROR(INDEX('JOBS'!$D$5:$D$1504,MATCH(B1019,'JOBS'!$A$5:$A$1504,0)),"Job ID not found"))</f>
        <v/>
      </c>
      <c r="I1019" s="49">
        <f>IF(B1019="","",IFERROR(INDEX('JOBS'!$F$5:$F$1504,MATCH(B1019,'JOBS'!$A$5:$A$1504,0)),""))</f>
        <v/>
      </c>
      <c r="J1019" s="55">
        <f>IF(C1019="","",ROUND(C1019*IF(IFERROR(INDEX('SETTINGS'!$K$5:$K$24,MATCH(E1019,'SETTINGS'!$J$5:$J$24,0)),"No")="Yes",FeePct,0),2))</f>
        <v/>
      </c>
      <c r="K1019" s="51">
        <f>IF(A1019="","",DATE(YEAR(A1019),MONTH(A1019),1))</f>
        <v/>
      </c>
    </row>
    <row r="1020">
      <c r="A1020" s="47" t="n"/>
      <c r="B1020" s="38" t="n"/>
      <c r="C1020" s="48" t="n"/>
      <c r="D1020" s="48" t="n"/>
      <c r="E1020" s="38" t="n"/>
      <c r="F1020" s="38" t="n"/>
      <c r="G1020" s="38" t="n"/>
      <c r="H1020" s="49">
        <f>IF(B1020="","",IFERROR(INDEX('JOBS'!$D$5:$D$1504,MATCH(B1020,'JOBS'!$A$5:$A$1504,0)),"Job ID not found"))</f>
        <v/>
      </c>
      <c r="I1020" s="49">
        <f>IF(B1020="","",IFERROR(INDEX('JOBS'!$F$5:$F$1504,MATCH(B1020,'JOBS'!$A$5:$A$1504,0)),""))</f>
        <v/>
      </c>
      <c r="J1020" s="55">
        <f>IF(C1020="","",ROUND(C1020*IF(IFERROR(INDEX('SETTINGS'!$K$5:$K$24,MATCH(E1020,'SETTINGS'!$J$5:$J$24,0)),"No")="Yes",FeePct,0),2))</f>
        <v/>
      </c>
      <c r="K1020" s="51">
        <f>IF(A1020="","",DATE(YEAR(A1020),MONTH(A1020),1))</f>
        <v/>
      </c>
    </row>
    <row r="1021">
      <c r="A1021" s="47" t="n"/>
      <c r="B1021" s="38" t="n"/>
      <c r="C1021" s="48" t="n"/>
      <c r="D1021" s="48" t="n"/>
      <c r="E1021" s="38" t="n"/>
      <c r="F1021" s="38" t="n"/>
      <c r="G1021" s="38" t="n"/>
      <c r="H1021" s="49">
        <f>IF(B1021="","",IFERROR(INDEX('JOBS'!$D$5:$D$1504,MATCH(B1021,'JOBS'!$A$5:$A$1504,0)),"Job ID not found"))</f>
        <v/>
      </c>
      <c r="I1021" s="49">
        <f>IF(B1021="","",IFERROR(INDEX('JOBS'!$F$5:$F$1504,MATCH(B1021,'JOBS'!$A$5:$A$1504,0)),""))</f>
        <v/>
      </c>
      <c r="J1021" s="55">
        <f>IF(C1021="","",ROUND(C1021*IF(IFERROR(INDEX('SETTINGS'!$K$5:$K$24,MATCH(E1021,'SETTINGS'!$J$5:$J$24,0)),"No")="Yes",FeePct,0),2))</f>
        <v/>
      </c>
      <c r="K1021" s="51">
        <f>IF(A1021="","",DATE(YEAR(A1021),MONTH(A1021),1))</f>
        <v/>
      </c>
    </row>
    <row r="1022">
      <c r="A1022" s="47" t="n"/>
      <c r="B1022" s="38" t="n"/>
      <c r="C1022" s="48" t="n"/>
      <c r="D1022" s="48" t="n"/>
      <c r="E1022" s="38" t="n"/>
      <c r="F1022" s="38" t="n"/>
      <c r="G1022" s="38" t="n"/>
      <c r="H1022" s="49">
        <f>IF(B1022="","",IFERROR(INDEX('JOBS'!$D$5:$D$1504,MATCH(B1022,'JOBS'!$A$5:$A$1504,0)),"Job ID not found"))</f>
        <v/>
      </c>
      <c r="I1022" s="49">
        <f>IF(B1022="","",IFERROR(INDEX('JOBS'!$F$5:$F$1504,MATCH(B1022,'JOBS'!$A$5:$A$1504,0)),""))</f>
        <v/>
      </c>
      <c r="J1022" s="55">
        <f>IF(C1022="","",ROUND(C1022*IF(IFERROR(INDEX('SETTINGS'!$K$5:$K$24,MATCH(E1022,'SETTINGS'!$J$5:$J$24,0)),"No")="Yes",FeePct,0),2))</f>
        <v/>
      </c>
      <c r="K1022" s="51">
        <f>IF(A1022="","",DATE(YEAR(A1022),MONTH(A1022),1))</f>
        <v/>
      </c>
    </row>
    <row r="1023">
      <c r="A1023" s="47" t="n"/>
      <c r="B1023" s="38" t="n"/>
      <c r="C1023" s="48" t="n"/>
      <c r="D1023" s="48" t="n"/>
      <c r="E1023" s="38" t="n"/>
      <c r="F1023" s="38" t="n"/>
      <c r="G1023" s="38" t="n"/>
      <c r="H1023" s="49">
        <f>IF(B1023="","",IFERROR(INDEX('JOBS'!$D$5:$D$1504,MATCH(B1023,'JOBS'!$A$5:$A$1504,0)),"Job ID not found"))</f>
        <v/>
      </c>
      <c r="I1023" s="49">
        <f>IF(B1023="","",IFERROR(INDEX('JOBS'!$F$5:$F$1504,MATCH(B1023,'JOBS'!$A$5:$A$1504,0)),""))</f>
        <v/>
      </c>
      <c r="J1023" s="55">
        <f>IF(C1023="","",ROUND(C1023*IF(IFERROR(INDEX('SETTINGS'!$K$5:$K$24,MATCH(E1023,'SETTINGS'!$J$5:$J$24,0)),"No")="Yes",FeePct,0),2))</f>
        <v/>
      </c>
      <c r="K1023" s="51">
        <f>IF(A1023="","",DATE(YEAR(A1023),MONTH(A1023),1))</f>
        <v/>
      </c>
    </row>
    <row r="1024">
      <c r="A1024" s="47" t="n"/>
      <c r="B1024" s="38" t="n"/>
      <c r="C1024" s="48" t="n"/>
      <c r="D1024" s="48" t="n"/>
      <c r="E1024" s="38" t="n"/>
      <c r="F1024" s="38" t="n"/>
      <c r="G1024" s="38" t="n"/>
      <c r="H1024" s="49">
        <f>IF(B1024="","",IFERROR(INDEX('JOBS'!$D$5:$D$1504,MATCH(B1024,'JOBS'!$A$5:$A$1504,0)),"Job ID not found"))</f>
        <v/>
      </c>
      <c r="I1024" s="49">
        <f>IF(B1024="","",IFERROR(INDEX('JOBS'!$F$5:$F$1504,MATCH(B1024,'JOBS'!$A$5:$A$1504,0)),""))</f>
        <v/>
      </c>
      <c r="J1024" s="55">
        <f>IF(C1024="","",ROUND(C1024*IF(IFERROR(INDEX('SETTINGS'!$K$5:$K$24,MATCH(E1024,'SETTINGS'!$J$5:$J$24,0)),"No")="Yes",FeePct,0),2))</f>
        <v/>
      </c>
      <c r="K1024" s="51">
        <f>IF(A1024="","",DATE(YEAR(A1024),MONTH(A1024),1))</f>
        <v/>
      </c>
    </row>
    <row r="1025">
      <c r="A1025" s="47" t="n"/>
      <c r="B1025" s="38" t="n"/>
      <c r="C1025" s="48" t="n"/>
      <c r="D1025" s="48" t="n"/>
      <c r="E1025" s="38" t="n"/>
      <c r="F1025" s="38" t="n"/>
      <c r="G1025" s="38" t="n"/>
      <c r="H1025" s="49">
        <f>IF(B1025="","",IFERROR(INDEX('JOBS'!$D$5:$D$1504,MATCH(B1025,'JOBS'!$A$5:$A$1504,0)),"Job ID not found"))</f>
        <v/>
      </c>
      <c r="I1025" s="49">
        <f>IF(B1025="","",IFERROR(INDEX('JOBS'!$F$5:$F$1504,MATCH(B1025,'JOBS'!$A$5:$A$1504,0)),""))</f>
        <v/>
      </c>
      <c r="J1025" s="55">
        <f>IF(C1025="","",ROUND(C1025*IF(IFERROR(INDEX('SETTINGS'!$K$5:$K$24,MATCH(E1025,'SETTINGS'!$J$5:$J$24,0)),"No")="Yes",FeePct,0),2))</f>
        <v/>
      </c>
      <c r="K1025" s="51">
        <f>IF(A1025="","",DATE(YEAR(A1025),MONTH(A1025),1))</f>
        <v/>
      </c>
    </row>
    <row r="1026">
      <c r="A1026" s="47" t="n"/>
      <c r="B1026" s="38" t="n"/>
      <c r="C1026" s="48" t="n"/>
      <c r="D1026" s="48" t="n"/>
      <c r="E1026" s="38" t="n"/>
      <c r="F1026" s="38" t="n"/>
      <c r="G1026" s="38" t="n"/>
      <c r="H1026" s="49">
        <f>IF(B1026="","",IFERROR(INDEX('JOBS'!$D$5:$D$1504,MATCH(B1026,'JOBS'!$A$5:$A$1504,0)),"Job ID not found"))</f>
        <v/>
      </c>
      <c r="I1026" s="49">
        <f>IF(B1026="","",IFERROR(INDEX('JOBS'!$F$5:$F$1504,MATCH(B1026,'JOBS'!$A$5:$A$1504,0)),""))</f>
        <v/>
      </c>
      <c r="J1026" s="55">
        <f>IF(C1026="","",ROUND(C1026*IF(IFERROR(INDEX('SETTINGS'!$K$5:$K$24,MATCH(E1026,'SETTINGS'!$J$5:$J$24,0)),"No")="Yes",FeePct,0),2))</f>
        <v/>
      </c>
      <c r="K1026" s="51">
        <f>IF(A1026="","",DATE(YEAR(A1026),MONTH(A1026),1))</f>
        <v/>
      </c>
    </row>
    <row r="1027">
      <c r="A1027" s="47" t="n"/>
      <c r="B1027" s="38" t="n"/>
      <c r="C1027" s="48" t="n"/>
      <c r="D1027" s="48" t="n"/>
      <c r="E1027" s="38" t="n"/>
      <c r="F1027" s="38" t="n"/>
      <c r="G1027" s="38" t="n"/>
      <c r="H1027" s="49">
        <f>IF(B1027="","",IFERROR(INDEX('JOBS'!$D$5:$D$1504,MATCH(B1027,'JOBS'!$A$5:$A$1504,0)),"Job ID not found"))</f>
        <v/>
      </c>
      <c r="I1027" s="49">
        <f>IF(B1027="","",IFERROR(INDEX('JOBS'!$F$5:$F$1504,MATCH(B1027,'JOBS'!$A$5:$A$1504,0)),""))</f>
        <v/>
      </c>
      <c r="J1027" s="55">
        <f>IF(C1027="","",ROUND(C1027*IF(IFERROR(INDEX('SETTINGS'!$K$5:$K$24,MATCH(E1027,'SETTINGS'!$J$5:$J$24,0)),"No")="Yes",FeePct,0),2))</f>
        <v/>
      </c>
      <c r="K1027" s="51">
        <f>IF(A1027="","",DATE(YEAR(A1027),MONTH(A1027),1))</f>
        <v/>
      </c>
    </row>
    <row r="1028">
      <c r="A1028" s="47" t="n"/>
      <c r="B1028" s="38" t="n"/>
      <c r="C1028" s="48" t="n"/>
      <c r="D1028" s="48" t="n"/>
      <c r="E1028" s="38" t="n"/>
      <c r="F1028" s="38" t="n"/>
      <c r="G1028" s="38" t="n"/>
      <c r="H1028" s="49">
        <f>IF(B1028="","",IFERROR(INDEX('JOBS'!$D$5:$D$1504,MATCH(B1028,'JOBS'!$A$5:$A$1504,0)),"Job ID not found"))</f>
        <v/>
      </c>
      <c r="I1028" s="49">
        <f>IF(B1028="","",IFERROR(INDEX('JOBS'!$F$5:$F$1504,MATCH(B1028,'JOBS'!$A$5:$A$1504,0)),""))</f>
        <v/>
      </c>
      <c r="J1028" s="55">
        <f>IF(C1028="","",ROUND(C1028*IF(IFERROR(INDEX('SETTINGS'!$K$5:$K$24,MATCH(E1028,'SETTINGS'!$J$5:$J$24,0)),"No")="Yes",FeePct,0),2))</f>
        <v/>
      </c>
      <c r="K1028" s="51">
        <f>IF(A1028="","",DATE(YEAR(A1028),MONTH(A1028),1))</f>
        <v/>
      </c>
    </row>
    <row r="1029">
      <c r="A1029" s="47" t="n"/>
      <c r="B1029" s="38" t="n"/>
      <c r="C1029" s="48" t="n"/>
      <c r="D1029" s="48" t="n"/>
      <c r="E1029" s="38" t="n"/>
      <c r="F1029" s="38" t="n"/>
      <c r="G1029" s="38" t="n"/>
      <c r="H1029" s="49">
        <f>IF(B1029="","",IFERROR(INDEX('JOBS'!$D$5:$D$1504,MATCH(B1029,'JOBS'!$A$5:$A$1504,0)),"Job ID not found"))</f>
        <v/>
      </c>
      <c r="I1029" s="49">
        <f>IF(B1029="","",IFERROR(INDEX('JOBS'!$F$5:$F$1504,MATCH(B1029,'JOBS'!$A$5:$A$1504,0)),""))</f>
        <v/>
      </c>
      <c r="J1029" s="55">
        <f>IF(C1029="","",ROUND(C1029*IF(IFERROR(INDEX('SETTINGS'!$K$5:$K$24,MATCH(E1029,'SETTINGS'!$J$5:$J$24,0)),"No")="Yes",FeePct,0),2))</f>
        <v/>
      </c>
      <c r="K1029" s="51">
        <f>IF(A1029="","",DATE(YEAR(A1029),MONTH(A1029),1))</f>
        <v/>
      </c>
    </row>
    <row r="1030">
      <c r="A1030" s="47" t="n"/>
      <c r="B1030" s="38" t="n"/>
      <c r="C1030" s="48" t="n"/>
      <c r="D1030" s="48" t="n"/>
      <c r="E1030" s="38" t="n"/>
      <c r="F1030" s="38" t="n"/>
      <c r="G1030" s="38" t="n"/>
      <c r="H1030" s="49">
        <f>IF(B1030="","",IFERROR(INDEX('JOBS'!$D$5:$D$1504,MATCH(B1030,'JOBS'!$A$5:$A$1504,0)),"Job ID not found"))</f>
        <v/>
      </c>
      <c r="I1030" s="49">
        <f>IF(B1030="","",IFERROR(INDEX('JOBS'!$F$5:$F$1504,MATCH(B1030,'JOBS'!$A$5:$A$1504,0)),""))</f>
        <v/>
      </c>
      <c r="J1030" s="55">
        <f>IF(C1030="","",ROUND(C1030*IF(IFERROR(INDEX('SETTINGS'!$K$5:$K$24,MATCH(E1030,'SETTINGS'!$J$5:$J$24,0)),"No")="Yes",FeePct,0),2))</f>
        <v/>
      </c>
      <c r="K1030" s="51">
        <f>IF(A1030="","",DATE(YEAR(A1030),MONTH(A1030),1))</f>
        <v/>
      </c>
    </row>
    <row r="1031">
      <c r="A1031" s="47" t="n"/>
      <c r="B1031" s="38" t="n"/>
      <c r="C1031" s="48" t="n"/>
      <c r="D1031" s="48" t="n"/>
      <c r="E1031" s="38" t="n"/>
      <c r="F1031" s="38" t="n"/>
      <c r="G1031" s="38" t="n"/>
      <c r="H1031" s="49">
        <f>IF(B1031="","",IFERROR(INDEX('JOBS'!$D$5:$D$1504,MATCH(B1031,'JOBS'!$A$5:$A$1504,0)),"Job ID not found"))</f>
        <v/>
      </c>
      <c r="I1031" s="49">
        <f>IF(B1031="","",IFERROR(INDEX('JOBS'!$F$5:$F$1504,MATCH(B1031,'JOBS'!$A$5:$A$1504,0)),""))</f>
        <v/>
      </c>
      <c r="J1031" s="55">
        <f>IF(C1031="","",ROUND(C1031*IF(IFERROR(INDEX('SETTINGS'!$K$5:$K$24,MATCH(E1031,'SETTINGS'!$J$5:$J$24,0)),"No")="Yes",FeePct,0),2))</f>
        <v/>
      </c>
      <c r="K1031" s="51">
        <f>IF(A1031="","",DATE(YEAR(A1031),MONTH(A1031),1))</f>
        <v/>
      </c>
    </row>
    <row r="1032">
      <c r="A1032" s="47" t="n"/>
      <c r="B1032" s="38" t="n"/>
      <c r="C1032" s="48" t="n"/>
      <c r="D1032" s="48" t="n"/>
      <c r="E1032" s="38" t="n"/>
      <c r="F1032" s="38" t="n"/>
      <c r="G1032" s="38" t="n"/>
      <c r="H1032" s="49">
        <f>IF(B1032="","",IFERROR(INDEX('JOBS'!$D$5:$D$1504,MATCH(B1032,'JOBS'!$A$5:$A$1504,0)),"Job ID not found"))</f>
        <v/>
      </c>
      <c r="I1032" s="49">
        <f>IF(B1032="","",IFERROR(INDEX('JOBS'!$F$5:$F$1504,MATCH(B1032,'JOBS'!$A$5:$A$1504,0)),""))</f>
        <v/>
      </c>
      <c r="J1032" s="55">
        <f>IF(C1032="","",ROUND(C1032*IF(IFERROR(INDEX('SETTINGS'!$K$5:$K$24,MATCH(E1032,'SETTINGS'!$J$5:$J$24,0)),"No")="Yes",FeePct,0),2))</f>
        <v/>
      </c>
      <c r="K1032" s="51">
        <f>IF(A1032="","",DATE(YEAR(A1032),MONTH(A1032),1))</f>
        <v/>
      </c>
    </row>
    <row r="1033">
      <c r="A1033" s="47" t="n"/>
      <c r="B1033" s="38" t="n"/>
      <c r="C1033" s="48" t="n"/>
      <c r="D1033" s="48" t="n"/>
      <c r="E1033" s="38" t="n"/>
      <c r="F1033" s="38" t="n"/>
      <c r="G1033" s="38" t="n"/>
      <c r="H1033" s="49">
        <f>IF(B1033="","",IFERROR(INDEX('JOBS'!$D$5:$D$1504,MATCH(B1033,'JOBS'!$A$5:$A$1504,0)),"Job ID not found"))</f>
        <v/>
      </c>
      <c r="I1033" s="49">
        <f>IF(B1033="","",IFERROR(INDEX('JOBS'!$F$5:$F$1504,MATCH(B1033,'JOBS'!$A$5:$A$1504,0)),""))</f>
        <v/>
      </c>
      <c r="J1033" s="55">
        <f>IF(C1033="","",ROUND(C1033*IF(IFERROR(INDEX('SETTINGS'!$K$5:$K$24,MATCH(E1033,'SETTINGS'!$J$5:$J$24,0)),"No")="Yes",FeePct,0),2))</f>
        <v/>
      </c>
      <c r="K1033" s="51">
        <f>IF(A1033="","",DATE(YEAR(A1033),MONTH(A1033),1))</f>
        <v/>
      </c>
    </row>
    <row r="1034">
      <c r="A1034" s="47" t="n"/>
      <c r="B1034" s="38" t="n"/>
      <c r="C1034" s="48" t="n"/>
      <c r="D1034" s="48" t="n"/>
      <c r="E1034" s="38" t="n"/>
      <c r="F1034" s="38" t="n"/>
      <c r="G1034" s="38" t="n"/>
      <c r="H1034" s="49">
        <f>IF(B1034="","",IFERROR(INDEX('JOBS'!$D$5:$D$1504,MATCH(B1034,'JOBS'!$A$5:$A$1504,0)),"Job ID not found"))</f>
        <v/>
      </c>
      <c r="I1034" s="49">
        <f>IF(B1034="","",IFERROR(INDEX('JOBS'!$F$5:$F$1504,MATCH(B1034,'JOBS'!$A$5:$A$1504,0)),""))</f>
        <v/>
      </c>
      <c r="J1034" s="55">
        <f>IF(C1034="","",ROUND(C1034*IF(IFERROR(INDEX('SETTINGS'!$K$5:$K$24,MATCH(E1034,'SETTINGS'!$J$5:$J$24,0)),"No")="Yes",FeePct,0),2))</f>
        <v/>
      </c>
      <c r="K1034" s="51">
        <f>IF(A1034="","",DATE(YEAR(A1034),MONTH(A1034),1))</f>
        <v/>
      </c>
    </row>
    <row r="1035">
      <c r="A1035" s="47" t="n"/>
      <c r="B1035" s="38" t="n"/>
      <c r="C1035" s="48" t="n"/>
      <c r="D1035" s="48" t="n"/>
      <c r="E1035" s="38" t="n"/>
      <c r="F1035" s="38" t="n"/>
      <c r="G1035" s="38" t="n"/>
      <c r="H1035" s="49">
        <f>IF(B1035="","",IFERROR(INDEX('JOBS'!$D$5:$D$1504,MATCH(B1035,'JOBS'!$A$5:$A$1504,0)),"Job ID not found"))</f>
        <v/>
      </c>
      <c r="I1035" s="49">
        <f>IF(B1035="","",IFERROR(INDEX('JOBS'!$F$5:$F$1504,MATCH(B1035,'JOBS'!$A$5:$A$1504,0)),""))</f>
        <v/>
      </c>
      <c r="J1035" s="55">
        <f>IF(C1035="","",ROUND(C1035*IF(IFERROR(INDEX('SETTINGS'!$K$5:$K$24,MATCH(E1035,'SETTINGS'!$J$5:$J$24,0)),"No")="Yes",FeePct,0),2))</f>
        <v/>
      </c>
      <c r="K1035" s="51">
        <f>IF(A1035="","",DATE(YEAR(A1035),MONTH(A1035),1))</f>
        <v/>
      </c>
    </row>
    <row r="1036">
      <c r="A1036" s="47" t="n"/>
      <c r="B1036" s="38" t="n"/>
      <c r="C1036" s="48" t="n"/>
      <c r="D1036" s="48" t="n"/>
      <c r="E1036" s="38" t="n"/>
      <c r="F1036" s="38" t="n"/>
      <c r="G1036" s="38" t="n"/>
      <c r="H1036" s="49">
        <f>IF(B1036="","",IFERROR(INDEX('JOBS'!$D$5:$D$1504,MATCH(B1036,'JOBS'!$A$5:$A$1504,0)),"Job ID not found"))</f>
        <v/>
      </c>
      <c r="I1036" s="49">
        <f>IF(B1036="","",IFERROR(INDEX('JOBS'!$F$5:$F$1504,MATCH(B1036,'JOBS'!$A$5:$A$1504,0)),""))</f>
        <v/>
      </c>
      <c r="J1036" s="55">
        <f>IF(C1036="","",ROUND(C1036*IF(IFERROR(INDEX('SETTINGS'!$K$5:$K$24,MATCH(E1036,'SETTINGS'!$J$5:$J$24,0)),"No")="Yes",FeePct,0),2))</f>
        <v/>
      </c>
      <c r="K1036" s="51">
        <f>IF(A1036="","",DATE(YEAR(A1036),MONTH(A1036),1))</f>
        <v/>
      </c>
    </row>
    <row r="1037">
      <c r="A1037" s="47" t="n"/>
      <c r="B1037" s="38" t="n"/>
      <c r="C1037" s="48" t="n"/>
      <c r="D1037" s="48" t="n"/>
      <c r="E1037" s="38" t="n"/>
      <c r="F1037" s="38" t="n"/>
      <c r="G1037" s="38" t="n"/>
      <c r="H1037" s="49">
        <f>IF(B1037="","",IFERROR(INDEX('JOBS'!$D$5:$D$1504,MATCH(B1037,'JOBS'!$A$5:$A$1504,0)),"Job ID not found"))</f>
        <v/>
      </c>
      <c r="I1037" s="49">
        <f>IF(B1037="","",IFERROR(INDEX('JOBS'!$F$5:$F$1504,MATCH(B1037,'JOBS'!$A$5:$A$1504,0)),""))</f>
        <v/>
      </c>
      <c r="J1037" s="55">
        <f>IF(C1037="","",ROUND(C1037*IF(IFERROR(INDEX('SETTINGS'!$K$5:$K$24,MATCH(E1037,'SETTINGS'!$J$5:$J$24,0)),"No")="Yes",FeePct,0),2))</f>
        <v/>
      </c>
      <c r="K1037" s="51">
        <f>IF(A1037="","",DATE(YEAR(A1037),MONTH(A1037),1))</f>
        <v/>
      </c>
    </row>
    <row r="1038">
      <c r="A1038" s="47" t="n"/>
      <c r="B1038" s="38" t="n"/>
      <c r="C1038" s="48" t="n"/>
      <c r="D1038" s="48" t="n"/>
      <c r="E1038" s="38" t="n"/>
      <c r="F1038" s="38" t="n"/>
      <c r="G1038" s="38" t="n"/>
      <c r="H1038" s="49">
        <f>IF(B1038="","",IFERROR(INDEX('JOBS'!$D$5:$D$1504,MATCH(B1038,'JOBS'!$A$5:$A$1504,0)),"Job ID not found"))</f>
        <v/>
      </c>
      <c r="I1038" s="49">
        <f>IF(B1038="","",IFERROR(INDEX('JOBS'!$F$5:$F$1504,MATCH(B1038,'JOBS'!$A$5:$A$1504,0)),""))</f>
        <v/>
      </c>
      <c r="J1038" s="55">
        <f>IF(C1038="","",ROUND(C1038*IF(IFERROR(INDEX('SETTINGS'!$K$5:$K$24,MATCH(E1038,'SETTINGS'!$J$5:$J$24,0)),"No")="Yes",FeePct,0),2))</f>
        <v/>
      </c>
      <c r="K1038" s="51">
        <f>IF(A1038="","",DATE(YEAR(A1038),MONTH(A1038),1))</f>
        <v/>
      </c>
    </row>
    <row r="1039">
      <c r="A1039" s="47" t="n"/>
      <c r="B1039" s="38" t="n"/>
      <c r="C1039" s="48" t="n"/>
      <c r="D1039" s="48" t="n"/>
      <c r="E1039" s="38" t="n"/>
      <c r="F1039" s="38" t="n"/>
      <c r="G1039" s="38" t="n"/>
      <c r="H1039" s="49">
        <f>IF(B1039="","",IFERROR(INDEX('JOBS'!$D$5:$D$1504,MATCH(B1039,'JOBS'!$A$5:$A$1504,0)),"Job ID not found"))</f>
        <v/>
      </c>
      <c r="I1039" s="49">
        <f>IF(B1039="","",IFERROR(INDEX('JOBS'!$F$5:$F$1504,MATCH(B1039,'JOBS'!$A$5:$A$1504,0)),""))</f>
        <v/>
      </c>
      <c r="J1039" s="55">
        <f>IF(C1039="","",ROUND(C1039*IF(IFERROR(INDEX('SETTINGS'!$K$5:$K$24,MATCH(E1039,'SETTINGS'!$J$5:$J$24,0)),"No")="Yes",FeePct,0),2))</f>
        <v/>
      </c>
      <c r="K1039" s="51">
        <f>IF(A1039="","",DATE(YEAR(A1039),MONTH(A1039),1))</f>
        <v/>
      </c>
    </row>
    <row r="1040">
      <c r="A1040" s="47" t="n"/>
      <c r="B1040" s="38" t="n"/>
      <c r="C1040" s="48" t="n"/>
      <c r="D1040" s="48" t="n"/>
      <c r="E1040" s="38" t="n"/>
      <c r="F1040" s="38" t="n"/>
      <c r="G1040" s="38" t="n"/>
      <c r="H1040" s="49">
        <f>IF(B1040="","",IFERROR(INDEX('JOBS'!$D$5:$D$1504,MATCH(B1040,'JOBS'!$A$5:$A$1504,0)),"Job ID not found"))</f>
        <v/>
      </c>
      <c r="I1040" s="49">
        <f>IF(B1040="","",IFERROR(INDEX('JOBS'!$F$5:$F$1504,MATCH(B1040,'JOBS'!$A$5:$A$1504,0)),""))</f>
        <v/>
      </c>
      <c r="J1040" s="55">
        <f>IF(C1040="","",ROUND(C1040*IF(IFERROR(INDEX('SETTINGS'!$K$5:$K$24,MATCH(E1040,'SETTINGS'!$J$5:$J$24,0)),"No")="Yes",FeePct,0),2))</f>
        <v/>
      </c>
      <c r="K1040" s="51">
        <f>IF(A1040="","",DATE(YEAR(A1040),MONTH(A1040),1))</f>
        <v/>
      </c>
    </row>
    <row r="1041">
      <c r="A1041" s="47" t="n"/>
      <c r="B1041" s="38" t="n"/>
      <c r="C1041" s="48" t="n"/>
      <c r="D1041" s="48" t="n"/>
      <c r="E1041" s="38" t="n"/>
      <c r="F1041" s="38" t="n"/>
      <c r="G1041" s="38" t="n"/>
      <c r="H1041" s="49">
        <f>IF(B1041="","",IFERROR(INDEX('JOBS'!$D$5:$D$1504,MATCH(B1041,'JOBS'!$A$5:$A$1504,0)),"Job ID not found"))</f>
        <v/>
      </c>
      <c r="I1041" s="49">
        <f>IF(B1041="","",IFERROR(INDEX('JOBS'!$F$5:$F$1504,MATCH(B1041,'JOBS'!$A$5:$A$1504,0)),""))</f>
        <v/>
      </c>
      <c r="J1041" s="55">
        <f>IF(C1041="","",ROUND(C1041*IF(IFERROR(INDEX('SETTINGS'!$K$5:$K$24,MATCH(E1041,'SETTINGS'!$J$5:$J$24,0)),"No")="Yes",FeePct,0),2))</f>
        <v/>
      </c>
      <c r="K1041" s="51">
        <f>IF(A1041="","",DATE(YEAR(A1041),MONTH(A1041),1))</f>
        <v/>
      </c>
    </row>
    <row r="1042">
      <c r="A1042" s="47" t="n"/>
      <c r="B1042" s="38" t="n"/>
      <c r="C1042" s="48" t="n"/>
      <c r="D1042" s="48" t="n"/>
      <c r="E1042" s="38" t="n"/>
      <c r="F1042" s="38" t="n"/>
      <c r="G1042" s="38" t="n"/>
      <c r="H1042" s="49">
        <f>IF(B1042="","",IFERROR(INDEX('JOBS'!$D$5:$D$1504,MATCH(B1042,'JOBS'!$A$5:$A$1504,0)),"Job ID not found"))</f>
        <v/>
      </c>
      <c r="I1042" s="49">
        <f>IF(B1042="","",IFERROR(INDEX('JOBS'!$F$5:$F$1504,MATCH(B1042,'JOBS'!$A$5:$A$1504,0)),""))</f>
        <v/>
      </c>
      <c r="J1042" s="55">
        <f>IF(C1042="","",ROUND(C1042*IF(IFERROR(INDEX('SETTINGS'!$K$5:$K$24,MATCH(E1042,'SETTINGS'!$J$5:$J$24,0)),"No")="Yes",FeePct,0),2))</f>
        <v/>
      </c>
      <c r="K1042" s="51">
        <f>IF(A1042="","",DATE(YEAR(A1042),MONTH(A1042),1))</f>
        <v/>
      </c>
    </row>
    <row r="1043">
      <c r="A1043" s="47" t="n"/>
      <c r="B1043" s="38" t="n"/>
      <c r="C1043" s="48" t="n"/>
      <c r="D1043" s="48" t="n"/>
      <c r="E1043" s="38" t="n"/>
      <c r="F1043" s="38" t="n"/>
      <c r="G1043" s="38" t="n"/>
      <c r="H1043" s="49">
        <f>IF(B1043="","",IFERROR(INDEX('JOBS'!$D$5:$D$1504,MATCH(B1043,'JOBS'!$A$5:$A$1504,0)),"Job ID not found"))</f>
        <v/>
      </c>
      <c r="I1043" s="49">
        <f>IF(B1043="","",IFERROR(INDEX('JOBS'!$F$5:$F$1504,MATCH(B1043,'JOBS'!$A$5:$A$1504,0)),""))</f>
        <v/>
      </c>
      <c r="J1043" s="55">
        <f>IF(C1043="","",ROUND(C1043*IF(IFERROR(INDEX('SETTINGS'!$K$5:$K$24,MATCH(E1043,'SETTINGS'!$J$5:$J$24,0)),"No")="Yes",FeePct,0),2))</f>
        <v/>
      </c>
      <c r="K1043" s="51">
        <f>IF(A1043="","",DATE(YEAR(A1043),MONTH(A1043),1))</f>
        <v/>
      </c>
    </row>
    <row r="1044">
      <c r="A1044" s="47" t="n"/>
      <c r="B1044" s="38" t="n"/>
      <c r="C1044" s="48" t="n"/>
      <c r="D1044" s="48" t="n"/>
      <c r="E1044" s="38" t="n"/>
      <c r="F1044" s="38" t="n"/>
      <c r="G1044" s="38" t="n"/>
      <c r="H1044" s="49">
        <f>IF(B1044="","",IFERROR(INDEX('JOBS'!$D$5:$D$1504,MATCH(B1044,'JOBS'!$A$5:$A$1504,0)),"Job ID not found"))</f>
        <v/>
      </c>
      <c r="I1044" s="49">
        <f>IF(B1044="","",IFERROR(INDEX('JOBS'!$F$5:$F$1504,MATCH(B1044,'JOBS'!$A$5:$A$1504,0)),""))</f>
        <v/>
      </c>
      <c r="J1044" s="55">
        <f>IF(C1044="","",ROUND(C1044*IF(IFERROR(INDEX('SETTINGS'!$K$5:$K$24,MATCH(E1044,'SETTINGS'!$J$5:$J$24,0)),"No")="Yes",FeePct,0),2))</f>
        <v/>
      </c>
      <c r="K1044" s="51">
        <f>IF(A1044="","",DATE(YEAR(A1044),MONTH(A1044),1))</f>
        <v/>
      </c>
    </row>
    <row r="1045">
      <c r="A1045" s="47" t="n"/>
      <c r="B1045" s="38" t="n"/>
      <c r="C1045" s="48" t="n"/>
      <c r="D1045" s="48" t="n"/>
      <c r="E1045" s="38" t="n"/>
      <c r="F1045" s="38" t="n"/>
      <c r="G1045" s="38" t="n"/>
      <c r="H1045" s="49">
        <f>IF(B1045="","",IFERROR(INDEX('JOBS'!$D$5:$D$1504,MATCH(B1045,'JOBS'!$A$5:$A$1504,0)),"Job ID not found"))</f>
        <v/>
      </c>
      <c r="I1045" s="49">
        <f>IF(B1045="","",IFERROR(INDEX('JOBS'!$F$5:$F$1504,MATCH(B1045,'JOBS'!$A$5:$A$1504,0)),""))</f>
        <v/>
      </c>
      <c r="J1045" s="55">
        <f>IF(C1045="","",ROUND(C1045*IF(IFERROR(INDEX('SETTINGS'!$K$5:$K$24,MATCH(E1045,'SETTINGS'!$J$5:$J$24,0)),"No")="Yes",FeePct,0),2))</f>
        <v/>
      </c>
      <c r="K1045" s="51">
        <f>IF(A1045="","",DATE(YEAR(A1045),MONTH(A1045),1))</f>
        <v/>
      </c>
    </row>
    <row r="1046">
      <c r="A1046" s="47" t="n"/>
      <c r="B1046" s="38" t="n"/>
      <c r="C1046" s="48" t="n"/>
      <c r="D1046" s="48" t="n"/>
      <c r="E1046" s="38" t="n"/>
      <c r="F1046" s="38" t="n"/>
      <c r="G1046" s="38" t="n"/>
      <c r="H1046" s="49">
        <f>IF(B1046="","",IFERROR(INDEX('JOBS'!$D$5:$D$1504,MATCH(B1046,'JOBS'!$A$5:$A$1504,0)),"Job ID not found"))</f>
        <v/>
      </c>
      <c r="I1046" s="49">
        <f>IF(B1046="","",IFERROR(INDEX('JOBS'!$F$5:$F$1504,MATCH(B1046,'JOBS'!$A$5:$A$1504,0)),""))</f>
        <v/>
      </c>
      <c r="J1046" s="55">
        <f>IF(C1046="","",ROUND(C1046*IF(IFERROR(INDEX('SETTINGS'!$K$5:$K$24,MATCH(E1046,'SETTINGS'!$J$5:$J$24,0)),"No")="Yes",FeePct,0),2))</f>
        <v/>
      </c>
      <c r="K1046" s="51">
        <f>IF(A1046="","",DATE(YEAR(A1046),MONTH(A1046),1))</f>
        <v/>
      </c>
    </row>
    <row r="1047">
      <c r="A1047" s="47" t="n"/>
      <c r="B1047" s="38" t="n"/>
      <c r="C1047" s="48" t="n"/>
      <c r="D1047" s="48" t="n"/>
      <c r="E1047" s="38" t="n"/>
      <c r="F1047" s="38" t="n"/>
      <c r="G1047" s="38" t="n"/>
      <c r="H1047" s="49">
        <f>IF(B1047="","",IFERROR(INDEX('JOBS'!$D$5:$D$1504,MATCH(B1047,'JOBS'!$A$5:$A$1504,0)),"Job ID not found"))</f>
        <v/>
      </c>
      <c r="I1047" s="49">
        <f>IF(B1047="","",IFERROR(INDEX('JOBS'!$F$5:$F$1504,MATCH(B1047,'JOBS'!$A$5:$A$1504,0)),""))</f>
        <v/>
      </c>
      <c r="J1047" s="55">
        <f>IF(C1047="","",ROUND(C1047*IF(IFERROR(INDEX('SETTINGS'!$K$5:$K$24,MATCH(E1047,'SETTINGS'!$J$5:$J$24,0)),"No")="Yes",FeePct,0),2))</f>
        <v/>
      </c>
      <c r="K1047" s="51">
        <f>IF(A1047="","",DATE(YEAR(A1047),MONTH(A1047),1))</f>
        <v/>
      </c>
    </row>
    <row r="1048">
      <c r="A1048" s="47" t="n"/>
      <c r="B1048" s="38" t="n"/>
      <c r="C1048" s="48" t="n"/>
      <c r="D1048" s="48" t="n"/>
      <c r="E1048" s="38" t="n"/>
      <c r="F1048" s="38" t="n"/>
      <c r="G1048" s="38" t="n"/>
      <c r="H1048" s="49">
        <f>IF(B1048="","",IFERROR(INDEX('JOBS'!$D$5:$D$1504,MATCH(B1048,'JOBS'!$A$5:$A$1504,0)),"Job ID not found"))</f>
        <v/>
      </c>
      <c r="I1048" s="49">
        <f>IF(B1048="","",IFERROR(INDEX('JOBS'!$F$5:$F$1504,MATCH(B1048,'JOBS'!$A$5:$A$1504,0)),""))</f>
        <v/>
      </c>
      <c r="J1048" s="55">
        <f>IF(C1048="","",ROUND(C1048*IF(IFERROR(INDEX('SETTINGS'!$K$5:$K$24,MATCH(E1048,'SETTINGS'!$J$5:$J$24,0)),"No")="Yes",FeePct,0),2))</f>
        <v/>
      </c>
      <c r="K1048" s="51">
        <f>IF(A1048="","",DATE(YEAR(A1048),MONTH(A1048),1))</f>
        <v/>
      </c>
    </row>
    <row r="1049">
      <c r="A1049" s="47" t="n"/>
      <c r="B1049" s="38" t="n"/>
      <c r="C1049" s="48" t="n"/>
      <c r="D1049" s="48" t="n"/>
      <c r="E1049" s="38" t="n"/>
      <c r="F1049" s="38" t="n"/>
      <c r="G1049" s="38" t="n"/>
      <c r="H1049" s="49">
        <f>IF(B1049="","",IFERROR(INDEX('JOBS'!$D$5:$D$1504,MATCH(B1049,'JOBS'!$A$5:$A$1504,0)),"Job ID not found"))</f>
        <v/>
      </c>
      <c r="I1049" s="49">
        <f>IF(B1049="","",IFERROR(INDEX('JOBS'!$F$5:$F$1504,MATCH(B1049,'JOBS'!$A$5:$A$1504,0)),""))</f>
        <v/>
      </c>
      <c r="J1049" s="55">
        <f>IF(C1049="","",ROUND(C1049*IF(IFERROR(INDEX('SETTINGS'!$K$5:$K$24,MATCH(E1049,'SETTINGS'!$J$5:$J$24,0)),"No")="Yes",FeePct,0),2))</f>
        <v/>
      </c>
      <c r="K1049" s="51">
        <f>IF(A1049="","",DATE(YEAR(A1049),MONTH(A1049),1))</f>
        <v/>
      </c>
    </row>
    <row r="1050">
      <c r="A1050" s="47" t="n"/>
      <c r="B1050" s="38" t="n"/>
      <c r="C1050" s="48" t="n"/>
      <c r="D1050" s="48" t="n"/>
      <c r="E1050" s="38" t="n"/>
      <c r="F1050" s="38" t="n"/>
      <c r="G1050" s="38" t="n"/>
      <c r="H1050" s="49">
        <f>IF(B1050="","",IFERROR(INDEX('JOBS'!$D$5:$D$1504,MATCH(B1050,'JOBS'!$A$5:$A$1504,0)),"Job ID not found"))</f>
        <v/>
      </c>
      <c r="I1050" s="49">
        <f>IF(B1050="","",IFERROR(INDEX('JOBS'!$F$5:$F$1504,MATCH(B1050,'JOBS'!$A$5:$A$1504,0)),""))</f>
        <v/>
      </c>
      <c r="J1050" s="55">
        <f>IF(C1050="","",ROUND(C1050*IF(IFERROR(INDEX('SETTINGS'!$K$5:$K$24,MATCH(E1050,'SETTINGS'!$J$5:$J$24,0)),"No")="Yes",FeePct,0),2))</f>
        <v/>
      </c>
      <c r="K1050" s="51">
        <f>IF(A1050="","",DATE(YEAR(A1050),MONTH(A1050),1))</f>
        <v/>
      </c>
    </row>
    <row r="1051">
      <c r="A1051" s="47" t="n"/>
      <c r="B1051" s="38" t="n"/>
      <c r="C1051" s="48" t="n"/>
      <c r="D1051" s="48" t="n"/>
      <c r="E1051" s="38" t="n"/>
      <c r="F1051" s="38" t="n"/>
      <c r="G1051" s="38" t="n"/>
      <c r="H1051" s="49">
        <f>IF(B1051="","",IFERROR(INDEX('JOBS'!$D$5:$D$1504,MATCH(B1051,'JOBS'!$A$5:$A$1504,0)),"Job ID not found"))</f>
        <v/>
      </c>
      <c r="I1051" s="49">
        <f>IF(B1051="","",IFERROR(INDEX('JOBS'!$F$5:$F$1504,MATCH(B1051,'JOBS'!$A$5:$A$1504,0)),""))</f>
        <v/>
      </c>
      <c r="J1051" s="55">
        <f>IF(C1051="","",ROUND(C1051*IF(IFERROR(INDEX('SETTINGS'!$K$5:$K$24,MATCH(E1051,'SETTINGS'!$J$5:$J$24,0)),"No")="Yes",FeePct,0),2))</f>
        <v/>
      </c>
      <c r="K1051" s="51">
        <f>IF(A1051="","",DATE(YEAR(A1051),MONTH(A1051),1))</f>
        <v/>
      </c>
    </row>
    <row r="1052">
      <c r="A1052" s="47" t="n"/>
      <c r="B1052" s="38" t="n"/>
      <c r="C1052" s="48" t="n"/>
      <c r="D1052" s="48" t="n"/>
      <c r="E1052" s="38" t="n"/>
      <c r="F1052" s="38" t="n"/>
      <c r="G1052" s="38" t="n"/>
      <c r="H1052" s="49">
        <f>IF(B1052="","",IFERROR(INDEX('JOBS'!$D$5:$D$1504,MATCH(B1052,'JOBS'!$A$5:$A$1504,0)),"Job ID not found"))</f>
        <v/>
      </c>
      <c r="I1052" s="49">
        <f>IF(B1052="","",IFERROR(INDEX('JOBS'!$F$5:$F$1504,MATCH(B1052,'JOBS'!$A$5:$A$1504,0)),""))</f>
        <v/>
      </c>
      <c r="J1052" s="55">
        <f>IF(C1052="","",ROUND(C1052*IF(IFERROR(INDEX('SETTINGS'!$K$5:$K$24,MATCH(E1052,'SETTINGS'!$J$5:$J$24,0)),"No")="Yes",FeePct,0),2))</f>
        <v/>
      </c>
      <c r="K1052" s="51">
        <f>IF(A1052="","",DATE(YEAR(A1052),MONTH(A1052),1))</f>
        <v/>
      </c>
    </row>
    <row r="1053">
      <c r="A1053" s="47" t="n"/>
      <c r="B1053" s="38" t="n"/>
      <c r="C1053" s="48" t="n"/>
      <c r="D1053" s="48" t="n"/>
      <c r="E1053" s="38" t="n"/>
      <c r="F1053" s="38" t="n"/>
      <c r="G1053" s="38" t="n"/>
      <c r="H1053" s="49">
        <f>IF(B1053="","",IFERROR(INDEX('JOBS'!$D$5:$D$1504,MATCH(B1053,'JOBS'!$A$5:$A$1504,0)),"Job ID not found"))</f>
        <v/>
      </c>
      <c r="I1053" s="49">
        <f>IF(B1053="","",IFERROR(INDEX('JOBS'!$F$5:$F$1504,MATCH(B1053,'JOBS'!$A$5:$A$1504,0)),""))</f>
        <v/>
      </c>
      <c r="J1053" s="55">
        <f>IF(C1053="","",ROUND(C1053*IF(IFERROR(INDEX('SETTINGS'!$K$5:$K$24,MATCH(E1053,'SETTINGS'!$J$5:$J$24,0)),"No")="Yes",FeePct,0),2))</f>
        <v/>
      </c>
      <c r="K1053" s="51">
        <f>IF(A1053="","",DATE(YEAR(A1053),MONTH(A1053),1))</f>
        <v/>
      </c>
    </row>
    <row r="1054">
      <c r="A1054" s="47" t="n"/>
      <c r="B1054" s="38" t="n"/>
      <c r="C1054" s="48" t="n"/>
      <c r="D1054" s="48" t="n"/>
      <c r="E1054" s="38" t="n"/>
      <c r="F1054" s="38" t="n"/>
      <c r="G1054" s="38" t="n"/>
      <c r="H1054" s="49">
        <f>IF(B1054="","",IFERROR(INDEX('JOBS'!$D$5:$D$1504,MATCH(B1054,'JOBS'!$A$5:$A$1504,0)),"Job ID not found"))</f>
        <v/>
      </c>
      <c r="I1054" s="49">
        <f>IF(B1054="","",IFERROR(INDEX('JOBS'!$F$5:$F$1504,MATCH(B1054,'JOBS'!$A$5:$A$1504,0)),""))</f>
        <v/>
      </c>
      <c r="J1054" s="55">
        <f>IF(C1054="","",ROUND(C1054*IF(IFERROR(INDEX('SETTINGS'!$K$5:$K$24,MATCH(E1054,'SETTINGS'!$J$5:$J$24,0)),"No")="Yes",FeePct,0),2))</f>
        <v/>
      </c>
      <c r="K1054" s="51">
        <f>IF(A1054="","",DATE(YEAR(A1054),MONTH(A1054),1))</f>
        <v/>
      </c>
    </row>
    <row r="1055">
      <c r="A1055" s="47" t="n"/>
      <c r="B1055" s="38" t="n"/>
      <c r="C1055" s="48" t="n"/>
      <c r="D1055" s="48" t="n"/>
      <c r="E1055" s="38" t="n"/>
      <c r="F1055" s="38" t="n"/>
      <c r="G1055" s="38" t="n"/>
      <c r="H1055" s="49">
        <f>IF(B1055="","",IFERROR(INDEX('JOBS'!$D$5:$D$1504,MATCH(B1055,'JOBS'!$A$5:$A$1504,0)),"Job ID not found"))</f>
        <v/>
      </c>
      <c r="I1055" s="49">
        <f>IF(B1055="","",IFERROR(INDEX('JOBS'!$F$5:$F$1504,MATCH(B1055,'JOBS'!$A$5:$A$1504,0)),""))</f>
        <v/>
      </c>
      <c r="J1055" s="55">
        <f>IF(C1055="","",ROUND(C1055*IF(IFERROR(INDEX('SETTINGS'!$K$5:$K$24,MATCH(E1055,'SETTINGS'!$J$5:$J$24,0)),"No")="Yes",FeePct,0),2))</f>
        <v/>
      </c>
      <c r="K1055" s="51">
        <f>IF(A1055="","",DATE(YEAR(A1055),MONTH(A1055),1))</f>
        <v/>
      </c>
    </row>
    <row r="1056">
      <c r="A1056" s="47" t="n"/>
      <c r="B1056" s="38" t="n"/>
      <c r="C1056" s="48" t="n"/>
      <c r="D1056" s="48" t="n"/>
      <c r="E1056" s="38" t="n"/>
      <c r="F1056" s="38" t="n"/>
      <c r="G1056" s="38" t="n"/>
      <c r="H1056" s="49">
        <f>IF(B1056="","",IFERROR(INDEX('JOBS'!$D$5:$D$1504,MATCH(B1056,'JOBS'!$A$5:$A$1504,0)),"Job ID not found"))</f>
        <v/>
      </c>
      <c r="I1056" s="49">
        <f>IF(B1056="","",IFERROR(INDEX('JOBS'!$F$5:$F$1504,MATCH(B1056,'JOBS'!$A$5:$A$1504,0)),""))</f>
        <v/>
      </c>
      <c r="J1056" s="55">
        <f>IF(C1056="","",ROUND(C1056*IF(IFERROR(INDEX('SETTINGS'!$K$5:$K$24,MATCH(E1056,'SETTINGS'!$J$5:$J$24,0)),"No")="Yes",FeePct,0),2))</f>
        <v/>
      </c>
      <c r="K1056" s="51">
        <f>IF(A1056="","",DATE(YEAR(A1056),MONTH(A1056),1))</f>
        <v/>
      </c>
    </row>
    <row r="1057">
      <c r="A1057" s="47" t="n"/>
      <c r="B1057" s="38" t="n"/>
      <c r="C1057" s="48" t="n"/>
      <c r="D1057" s="48" t="n"/>
      <c r="E1057" s="38" t="n"/>
      <c r="F1057" s="38" t="n"/>
      <c r="G1057" s="38" t="n"/>
      <c r="H1057" s="49">
        <f>IF(B1057="","",IFERROR(INDEX('JOBS'!$D$5:$D$1504,MATCH(B1057,'JOBS'!$A$5:$A$1504,0)),"Job ID not found"))</f>
        <v/>
      </c>
      <c r="I1057" s="49">
        <f>IF(B1057="","",IFERROR(INDEX('JOBS'!$F$5:$F$1504,MATCH(B1057,'JOBS'!$A$5:$A$1504,0)),""))</f>
        <v/>
      </c>
      <c r="J1057" s="55">
        <f>IF(C1057="","",ROUND(C1057*IF(IFERROR(INDEX('SETTINGS'!$K$5:$K$24,MATCH(E1057,'SETTINGS'!$J$5:$J$24,0)),"No")="Yes",FeePct,0),2))</f>
        <v/>
      </c>
      <c r="K1057" s="51">
        <f>IF(A1057="","",DATE(YEAR(A1057),MONTH(A1057),1))</f>
        <v/>
      </c>
    </row>
    <row r="1058">
      <c r="A1058" s="47" t="n"/>
      <c r="B1058" s="38" t="n"/>
      <c r="C1058" s="48" t="n"/>
      <c r="D1058" s="48" t="n"/>
      <c r="E1058" s="38" t="n"/>
      <c r="F1058" s="38" t="n"/>
      <c r="G1058" s="38" t="n"/>
      <c r="H1058" s="49">
        <f>IF(B1058="","",IFERROR(INDEX('JOBS'!$D$5:$D$1504,MATCH(B1058,'JOBS'!$A$5:$A$1504,0)),"Job ID not found"))</f>
        <v/>
      </c>
      <c r="I1058" s="49">
        <f>IF(B1058="","",IFERROR(INDEX('JOBS'!$F$5:$F$1504,MATCH(B1058,'JOBS'!$A$5:$A$1504,0)),""))</f>
        <v/>
      </c>
      <c r="J1058" s="55">
        <f>IF(C1058="","",ROUND(C1058*IF(IFERROR(INDEX('SETTINGS'!$K$5:$K$24,MATCH(E1058,'SETTINGS'!$J$5:$J$24,0)),"No")="Yes",FeePct,0),2))</f>
        <v/>
      </c>
      <c r="K1058" s="51">
        <f>IF(A1058="","",DATE(YEAR(A1058),MONTH(A1058),1))</f>
        <v/>
      </c>
    </row>
    <row r="1059">
      <c r="A1059" s="47" t="n"/>
      <c r="B1059" s="38" t="n"/>
      <c r="C1059" s="48" t="n"/>
      <c r="D1059" s="48" t="n"/>
      <c r="E1059" s="38" t="n"/>
      <c r="F1059" s="38" t="n"/>
      <c r="G1059" s="38" t="n"/>
      <c r="H1059" s="49">
        <f>IF(B1059="","",IFERROR(INDEX('JOBS'!$D$5:$D$1504,MATCH(B1059,'JOBS'!$A$5:$A$1504,0)),"Job ID not found"))</f>
        <v/>
      </c>
      <c r="I1059" s="49">
        <f>IF(B1059="","",IFERROR(INDEX('JOBS'!$F$5:$F$1504,MATCH(B1059,'JOBS'!$A$5:$A$1504,0)),""))</f>
        <v/>
      </c>
      <c r="J1059" s="55">
        <f>IF(C1059="","",ROUND(C1059*IF(IFERROR(INDEX('SETTINGS'!$K$5:$K$24,MATCH(E1059,'SETTINGS'!$J$5:$J$24,0)),"No")="Yes",FeePct,0),2))</f>
        <v/>
      </c>
      <c r="K1059" s="51">
        <f>IF(A1059="","",DATE(YEAR(A1059),MONTH(A1059),1))</f>
        <v/>
      </c>
    </row>
    <row r="1060">
      <c r="A1060" s="47" t="n"/>
      <c r="B1060" s="38" t="n"/>
      <c r="C1060" s="48" t="n"/>
      <c r="D1060" s="48" t="n"/>
      <c r="E1060" s="38" t="n"/>
      <c r="F1060" s="38" t="n"/>
      <c r="G1060" s="38" t="n"/>
      <c r="H1060" s="49">
        <f>IF(B1060="","",IFERROR(INDEX('JOBS'!$D$5:$D$1504,MATCH(B1060,'JOBS'!$A$5:$A$1504,0)),"Job ID not found"))</f>
        <v/>
      </c>
      <c r="I1060" s="49">
        <f>IF(B1060="","",IFERROR(INDEX('JOBS'!$F$5:$F$1504,MATCH(B1060,'JOBS'!$A$5:$A$1504,0)),""))</f>
        <v/>
      </c>
      <c r="J1060" s="55">
        <f>IF(C1060="","",ROUND(C1060*IF(IFERROR(INDEX('SETTINGS'!$K$5:$K$24,MATCH(E1060,'SETTINGS'!$J$5:$J$24,0)),"No")="Yes",FeePct,0),2))</f>
        <v/>
      </c>
      <c r="K1060" s="51">
        <f>IF(A1060="","",DATE(YEAR(A1060),MONTH(A1060),1))</f>
        <v/>
      </c>
    </row>
    <row r="1061">
      <c r="A1061" s="47" t="n"/>
      <c r="B1061" s="38" t="n"/>
      <c r="C1061" s="48" t="n"/>
      <c r="D1061" s="48" t="n"/>
      <c r="E1061" s="38" t="n"/>
      <c r="F1061" s="38" t="n"/>
      <c r="G1061" s="38" t="n"/>
      <c r="H1061" s="49">
        <f>IF(B1061="","",IFERROR(INDEX('JOBS'!$D$5:$D$1504,MATCH(B1061,'JOBS'!$A$5:$A$1504,0)),"Job ID not found"))</f>
        <v/>
      </c>
      <c r="I1061" s="49">
        <f>IF(B1061="","",IFERROR(INDEX('JOBS'!$F$5:$F$1504,MATCH(B1061,'JOBS'!$A$5:$A$1504,0)),""))</f>
        <v/>
      </c>
      <c r="J1061" s="55">
        <f>IF(C1061="","",ROUND(C1061*IF(IFERROR(INDEX('SETTINGS'!$K$5:$K$24,MATCH(E1061,'SETTINGS'!$J$5:$J$24,0)),"No")="Yes",FeePct,0),2))</f>
        <v/>
      </c>
      <c r="K1061" s="51">
        <f>IF(A1061="","",DATE(YEAR(A1061),MONTH(A1061),1))</f>
        <v/>
      </c>
    </row>
    <row r="1062">
      <c r="A1062" s="47" t="n"/>
      <c r="B1062" s="38" t="n"/>
      <c r="C1062" s="48" t="n"/>
      <c r="D1062" s="48" t="n"/>
      <c r="E1062" s="38" t="n"/>
      <c r="F1062" s="38" t="n"/>
      <c r="G1062" s="38" t="n"/>
      <c r="H1062" s="49">
        <f>IF(B1062="","",IFERROR(INDEX('JOBS'!$D$5:$D$1504,MATCH(B1062,'JOBS'!$A$5:$A$1504,0)),"Job ID not found"))</f>
        <v/>
      </c>
      <c r="I1062" s="49">
        <f>IF(B1062="","",IFERROR(INDEX('JOBS'!$F$5:$F$1504,MATCH(B1062,'JOBS'!$A$5:$A$1504,0)),""))</f>
        <v/>
      </c>
      <c r="J1062" s="55">
        <f>IF(C1062="","",ROUND(C1062*IF(IFERROR(INDEX('SETTINGS'!$K$5:$K$24,MATCH(E1062,'SETTINGS'!$J$5:$J$24,0)),"No")="Yes",FeePct,0),2))</f>
        <v/>
      </c>
      <c r="K1062" s="51">
        <f>IF(A1062="","",DATE(YEAR(A1062),MONTH(A1062),1))</f>
        <v/>
      </c>
    </row>
    <row r="1063">
      <c r="A1063" s="47" t="n"/>
      <c r="B1063" s="38" t="n"/>
      <c r="C1063" s="48" t="n"/>
      <c r="D1063" s="48" t="n"/>
      <c r="E1063" s="38" t="n"/>
      <c r="F1063" s="38" t="n"/>
      <c r="G1063" s="38" t="n"/>
      <c r="H1063" s="49">
        <f>IF(B1063="","",IFERROR(INDEX('JOBS'!$D$5:$D$1504,MATCH(B1063,'JOBS'!$A$5:$A$1504,0)),"Job ID not found"))</f>
        <v/>
      </c>
      <c r="I1063" s="49">
        <f>IF(B1063="","",IFERROR(INDEX('JOBS'!$F$5:$F$1504,MATCH(B1063,'JOBS'!$A$5:$A$1504,0)),""))</f>
        <v/>
      </c>
      <c r="J1063" s="55">
        <f>IF(C1063="","",ROUND(C1063*IF(IFERROR(INDEX('SETTINGS'!$K$5:$K$24,MATCH(E1063,'SETTINGS'!$J$5:$J$24,0)),"No")="Yes",FeePct,0),2))</f>
        <v/>
      </c>
      <c r="K1063" s="51">
        <f>IF(A1063="","",DATE(YEAR(A1063),MONTH(A1063),1))</f>
        <v/>
      </c>
    </row>
    <row r="1064">
      <c r="A1064" s="47" t="n"/>
      <c r="B1064" s="38" t="n"/>
      <c r="C1064" s="48" t="n"/>
      <c r="D1064" s="48" t="n"/>
      <c r="E1064" s="38" t="n"/>
      <c r="F1064" s="38" t="n"/>
      <c r="G1064" s="38" t="n"/>
      <c r="H1064" s="49">
        <f>IF(B1064="","",IFERROR(INDEX('JOBS'!$D$5:$D$1504,MATCH(B1064,'JOBS'!$A$5:$A$1504,0)),"Job ID not found"))</f>
        <v/>
      </c>
      <c r="I1064" s="49">
        <f>IF(B1064="","",IFERROR(INDEX('JOBS'!$F$5:$F$1504,MATCH(B1064,'JOBS'!$A$5:$A$1504,0)),""))</f>
        <v/>
      </c>
      <c r="J1064" s="55">
        <f>IF(C1064="","",ROUND(C1064*IF(IFERROR(INDEX('SETTINGS'!$K$5:$K$24,MATCH(E1064,'SETTINGS'!$J$5:$J$24,0)),"No")="Yes",FeePct,0),2))</f>
        <v/>
      </c>
      <c r="K1064" s="51">
        <f>IF(A1064="","",DATE(YEAR(A1064),MONTH(A1064),1))</f>
        <v/>
      </c>
    </row>
    <row r="1065">
      <c r="A1065" s="47" t="n"/>
      <c r="B1065" s="38" t="n"/>
      <c r="C1065" s="48" t="n"/>
      <c r="D1065" s="48" t="n"/>
      <c r="E1065" s="38" t="n"/>
      <c r="F1065" s="38" t="n"/>
      <c r="G1065" s="38" t="n"/>
      <c r="H1065" s="49">
        <f>IF(B1065="","",IFERROR(INDEX('JOBS'!$D$5:$D$1504,MATCH(B1065,'JOBS'!$A$5:$A$1504,0)),"Job ID not found"))</f>
        <v/>
      </c>
      <c r="I1065" s="49">
        <f>IF(B1065="","",IFERROR(INDEX('JOBS'!$F$5:$F$1504,MATCH(B1065,'JOBS'!$A$5:$A$1504,0)),""))</f>
        <v/>
      </c>
      <c r="J1065" s="55">
        <f>IF(C1065="","",ROUND(C1065*IF(IFERROR(INDEX('SETTINGS'!$K$5:$K$24,MATCH(E1065,'SETTINGS'!$J$5:$J$24,0)),"No")="Yes",FeePct,0),2))</f>
        <v/>
      </c>
      <c r="K1065" s="51">
        <f>IF(A1065="","",DATE(YEAR(A1065),MONTH(A1065),1))</f>
        <v/>
      </c>
    </row>
    <row r="1066">
      <c r="A1066" s="47" t="n"/>
      <c r="B1066" s="38" t="n"/>
      <c r="C1066" s="48" t="n"/>
      <c r="D1066" s="48" t="n"/>
      <c r="E1066" s="38" t="n"/>
      <c r="F1066" s="38" t="n"/>
      <c r="G1066" s="38" t="n"/>
      <c r="H1066" s="49">
        <f>IF(B1066="","",IFERROR(INDEX('JOBS'!$D$5:$D$1504,MATCH(B1066,'JOBS'!$A$5:$A$1504,0)),"Job ID not found"))</f>
        <v/>
      </c>
      <c r="I1066" s="49">
        <f>IF(B1066="","",IFERROR(INDEX('JOBS'!$F$5:$F$1504,MATCH(B1066,'JOBS'!$A$5:$A$1504,0)),""))</f>
        <v/>
      </c>
      <c r="J1066" s="55">
        <f>IF(C1066="","",ROUND(C1066*IF(IFERROR(INDEX('SETTINGS'!$K$5:$K$24,MATCH(E1066,'SETTINGS'!$J$5:$J$24,0)),"No")="Yes",FeePct,0),2))</f>
        <v/>
      </c>
      <c r="K1066" s="51">
        <f>IF(A1066="","",DATE(YEAR(A1066),MONTH(A1066),1))</f>
        <v/>
      </c>
    </row>
    <row r="1067">
      <c r="A1067" s="47" t="n"/>
      <c r="B1067" s="38" t="n"/>
      <c r="C1067" s="48" t="n"/>
      <c r="D1067" s="48" t="n"/>
      <c r="E1067" s="38" t="n"/>
      <c r="F1067" s="38" t="n"/>
      <c r="G1067" s="38" t="n"/>
      <c r="H1067" s="49">
        <f>IF(B1067="","",IFERROR(INDEX('JOBS'!$D$5:$D$1504,MATCH(B1067,'JOBS'!$A$5:$A$1504,0)),"Job ID not found"))</f>
        <v/>
      </c>
      <c r="I1067" s="49">
        <f>IF(B1067="","",IFERROR(INDEX('JOBS'!$F$5:$F$1504,MATCH(B1067,'JOBS'!$A$5:$A$1504,0)),""))</f>
        <v/>
      </c>
      <c r="J1067" s="55">
        <f>IF(C1067="","",ROUND(C1067*IF(IFERROR(INDEX('SETTINGS'!$K$5:$K$24,MATCH(E1067,'SETTINGS'!$J$5:$J$24,0)),"No")="Yes",FeePct,0),2))</f>
        <v/>
      </c>
      <c r="K1067" s="51">
        <f>IF(A1067="","",DATE(YEAR(A1067),MONTH(A1067),1))</f>
        <v/>
      </c>
    </row>
    <row r="1068">
      <c r="A1068" s="47" t="n"/>
      <c r="B1068" s="38" t="n"/>
      <c r="C1068" s="48" t="n"/>
      <c r="D1068" s="48" t="n"/>
      <c r="E1068" s="38" t="n"/>
      <c r="F1068" s="38" t="n"/>
      <c r="G1068" s="38" t="n"/>
      <c r="H1068" s="49">
        <f>IF(B1068="","",IFERROR(INDEX('JOBS'!$D$5:$D$1504,MATCH(B1068,'JOBS'!$A$5:$A$1504,0)),"Job ID not found"))</f>
        <v/>
      </c>
      <c r="I1068" s="49">
        <f>IF(B1068="","",IFERROR(INDEX('JOBS'!$F$5:$F$1504,MATCH(B1068,'JOBS'!$A$5:$A$1504,0)),""))</f>
        <v/>
      </c>
      <c r="J1068" s="55">
        <f>IF(C1068="","",ROUND(C1068*IF(IFERROR(INDEX('SETTINGS'!$K$5:$K$24,MATCH(E1068,'SETTINGS'!$J$5:$J$24,0)),"No")="Yes",FeePct,0),2))</f>
        <v/>
      </c>
      <c r="K1068" s="51">
        <f>IF(A1068="","",DATE(YEAR(A1068),MONTH(A1068),1))</f>
        <v/>
      </c>
    </row>
    <row r="1069">
      <c r="A1069" s="47" t="n"/>
      <c r="B1069" s="38" t="n"/>
      <c r="C1069" s="48" t="n"/>
      <c r="D1069" s="48" t="n"/>
      <c r="E1069" s="38" t="n"/>
      <c r="F1069" s="38" t="n"/>
      <c r="G1069" s="38" t="n"/>
      <c r="H1069" s="49">
        <f>IF(B1069="","",IFERROR(INDEX('JOBS'!$D$5:$D$1504,MATCH(B1069,'JOBS'!$A$5:$A$1504,0)),"Job ID not found"))</f>
        <v/>
      </c>
      <c r="I1069" s="49">
        <f>IF(B1069="","",IFERROR(INDEX('JOBS'!$F$5:$F$1504,MATCH(B1069,'JOBS'!$A$5:$A$1504,0)),""))</f>
        <v/>
      </c>
      <c r="J1069" s="55">
        <f>IF(C1069="","",ROUND(C1069*IF(IFERROR(INDEX('SETTINGS'!$K$5:$K$24,MATCH(E1069,'SETTINGS'!$J$5:$J$24,0)),"No")="Yes",FeePct,0),2))</f>
        <v/>
      </c>
      <c r="K1069" s="51">
        <f>IF(A1069="","",DATE(YEAR(A1069),MONTH(A1069),1))</f>
        <v/>
      </c>
    </row>
    <row r="1070">
      <c r="A1070" s="47" t="n"/>
      <c r="B1070" s="38" t="n"/>
      <c r="C1070" s="48" t="n"/>
      <c r="D1070" s="48" t="n"/>
      <c r="E1070" s="38" t="n"/>
      <c r="F1070" s="38" t="n"/>
      <c r="G1070" s="38" t="n"/>
      <c r="H1070" s="49">
        <f>IF(B1070="","",IFERROR(INDEX('JOBS'!$D$5:$D$1504,MATCH(B1070,'JOBS'!$A$5:$A$1504,0)),"Job ID not found"))</f>
        <v/>
      </c>
      <c r="I1070" s="49">
        <f>IF(B1070="","",IFERROR(INDEX('JOBS'!$F$5:$F$1504,MATCH(B1070,'JOBS'!$A$5:$A$1504,0)),""))</f>
        <v/>
      </c>
      <c r="J1070" s="55">
        <f>IF(C1070="","",ROUND(C1070*IF(IFERROR(INDEX('SETTINGS'!$K$5:$K$24,MATCH(E1070,'SETTINGS'!$J$5:$J$24,0)),"No")="Yes",FeePct,0),2))</f>
        <v/>
      </c>
      <c r="K1070" s="51">
        <f>IF(A1070="","",DATE(YEAR(A1070),MONTH(A1070),1))</f>
        <v/>
      </c>
    </row>
    <row r="1071">
      <c r="A1071" s="47" t="n"/>
      <c r="B1071" s="38" t="n"/>
      <c r="C1071" s="48" t="n"/>
      <c r="D1071" s="48" t="n"/>
      <c r="E1071" s="38" t="n"/>
      <c r="F1071" s="38" t="n"/>
      <c r="G1071" s="38" t="n"/>
      <c r="H1071" s="49">
        <f>IF(B1071="","",IFERROR(INDEX('JOBS'!$D$5:$D$1504,MATCH(B1071,'JOBS'!$A$5:$A$1504,0)),"Job ID not found"))</f>
        <v/>
      </c>
      <c r="I1071" s="49">
        <f>IF(B1071="","",IFERROR(INDEX('JOBS'!$F$5:$F$1504,MATCH(B1071,'JOBS'!$A$5:$A$1504,0)),""))</f>
        <v/>
      </c>
      <c r="J1071" s="55">
        <f>IF(C1071="","",ROUND(C1071*IF(IFERROR(INDEX('SETTINGS'!$K$5:$K$24,MATCH(E1071,'SETTINGS'!$J$5:$J$24,0)),"No")="Yes",FeePct,0),2))</f>
        <v/>
      </c>
      <c r="K1071" s="51">
        <f>IF(A1071="","",DATE(YEAR(A1071),MONTH(A1071),1))</f>
        <v/>
      </c>
    </row>
    <row r="1072">
      <c r="A1072" s="47" t="n"/>
      <c r="B1072" s="38" t="n"/>
      <c r="C1072" s="48" t="n"/>
      <c r="D1072" s="48" t="n"/>
      <c r="E1072" s="38" t="n"/>
      <c r="F1072" s="38" t="n"/>
      <c r="G1072" s="38" t="n"/>
      <c r="H1072" s="49">
        <f>IF(B1072="","",IFERROR(INDEX('JOBS'!$D$5:$D$1504,MATCH(B1072,'JOBS'!$A$5:$A$1504,0)),"Job ID not found"))</f>
        <v/>
      </c>
      <c r="I1072" s="49">
        <f>IF(B1072="","",IFERROR(INDEX('JOBS'!$F$5:$F$1504,MATCH(B1072,'JOBS'!$A$5:$A$1504,0)),""))</f>
        <v/>
      </c>
      <c r="J1072" s="55">
        <f>IF(C1072="","",ROUND(C1072*IF(IFERROR(INDEX('SETTINGS'!$K$5:$K$24,MATCH(E1072,'SETTINGS'!$J$5:$J$24,0)),"No")="Yes",FeePct,0),2))</f>
        <v/>
      </c>
      <c r="K1072" s="51">
        <f>IF(A1072="","",DATE(YEAR(A1072),MONTH(A1072),1))</f>
        <v/>
      </c>
    </row>
    <row r="1073">
      <c r="A1073" s="47" t="n"/>
      <c r="B1073" s="38" t="n"/>
      <c r="C1073" s="48" t="n"/>
      <c r="D1073" s="48" t="n"/>
      <c r="E1073" s="38" t="n"/>
      <c r="F1073" s="38" t="n"/>
      <c r="G1073" s="38" t="n"/>
      <c r="H1073" s="49">
        <f>IF(B1073="","",IFERROR(INDEX('JOBS'!$D$5:$D$1504,MATCH(B1073,'JOBS'!$A$5:$A$1504,0)),"Job ID not found"))</f>
        <v/>
      </c>
      <c r="I1073" s="49">
        <f>IF(B1073="","",IFERROR(INDEX('JOBS'!$F$5:$F$1504,MATCH(B1073,'JOBS'!$A$5:$A$1504,0)),""))</f>
        <v/>
      </c>
      <c r="J1073" s="55">
        <f>IF(C1073="","",ROUND(C1073*IF(IFERROR(INDEX('SETTINGS'!$K$5:$K$24,MATCH(E1073,'SETTINGS'!$J$5:$J$24,0)),"No")="Yes",FeePct,0),2))</f>
        <v/>
      </c>
      <c r="K1073" s="51">
        <f>IF(A1073="","",DATE(YEAR(A1073),MONTH(A1073),1))</f>
        <v/>
      </c>
    </row>
    <row r="1074">
      <c r="A1074" s="47" t="n"/>
      <c r="B1074" s="38" t="n"/>
      <c r="C1074" s="48" t="n"/>
      <c r="D1074" s="48" t="n"/>
      <c r="E1074" s="38" t="n"/>
      <c r="F1074" s="38" t="n"/>
      <c r="G1074" s="38" t="n"/>
      <c r="H1074" s="49">
        <f>IF(B1074="","",IFERROR(INDEX('JOBS'!$D$5:$D$1504,MATCH(B1074,'JOBS'!$A$5:$A$1504,0)),"Job ID not found"))</f>
        <v/>
      </c>
      <c r="I1074" s="49">
        <f>IF(B1074="","",IFERROR(INDEX('JOBS'!$F$5:$F$1504,MATCH(B1074,'JOBS'!$A$5:$A$1504,0)),""))</f>
        <v/>
      </c>
      <c r="J1074" s="55">
        <f>IF(C1074="","",ROUND(C1074*IF(IFERROR(INDEX('SETTINGS'!$K$5:$K$24,MATCH(E1074,'SETTINGS'!$J$5:$J$24,0)),"No")="Yes",FeePct,0),2))</f>
        <v/>
      </c>
      <c r="K1074" s="51">
        <f>IF(A1074="","",DATE(YEAR(A1074),MONTH(A1074),1))</f>
        <v/>
      </c>
    </row>
    <row r="1075">
      <c r="A1075" s="47" t="n"/>
      <c r="B1075" s="38" t="n"/>
      <c r="C1075" s="48" t="n"/>
      <c r="D1075" s="48" t="n"/>
      <c r="E1075" s="38" t="n"/>
      <c r="F1075" s="38" t="n"/>
      <c r="G1075" s="38" t="n"/>
      <c r="H1075" s="49">
        <f>IF(B1075="","",IFERROR(INDEX('JOBS'!$D$5:$D$1504,MATCH(B1075,'JOBS'!$A$5:$A$1504,0)),"Job ID not found"))</f>
        <v/>
      </c>
      <c r="I1075" s="49">
        <f>IF(B1075="","",IFERROR(INDEX('JOBS'!$F$5:$F$1504,MATCH(B1075,'JOBS'!$A$5:$A$1504,0)),""))</f>
        <v/>
      </c>
      <c r="J1075" s="55">
        <f>IF(C1075="","",ROUND(C1075*IF(IFERROR(INDEX('SETTINGS'!$K$5:$K$24,MATCH(E1075,'SETTINGS'!$J$5:$J$24,0)),"No")="Yes",FeePct,0),2))</f>
        <v/>
      </c>
      <c r="K1075" s="51">
        <f>IF(A1075="","",DATE(YEAR(A1075),MONTH(A1075),1))</f>
        <v/>
      </c>
    </row>
    <row r="1076">
      <c r="A1076" s="47" t="n"/>
      <c r="B1076" s="38" t="n"/>
      <c r="C1076" s="48" t="n"/>
      <c r="D1076" s="48" t="n"/>
      <c r="E1076" s="38" t="n"/>
      <c r="F1076" s="38" t="n"/>
      <c r="G1076" s="38" t="n"/>
      <c r="H1076" s="49">
        <f>IF(B1076="","",IFERROR(INDEX('JOBS'!$D$5:$D$1504,MATCH(B1076,'JOBS'!$A$5:$A$1504,0)),"Job ID not found"))</f>
        <v/>
      </c>
      <c r="I1076" s="49">
        <f>IF(B1076="","",IFERROR(INDEX('JOBS'!$F$5:$F$1504,MATCH(B1076,'JOBS'!$A$5:$A$1504,0)),""))</f>
        <v/>
      </c>
      <c r="J1076" s="55">
        <f>IF(C1076="","",ROUND(C1076*IF(IFERROR(INDEX('SETTINGS'!$K$5:$K$24,MATCH(E1076,'SETTINGS'!$J$5:$J$24,0)),"No")="Yes",FeePct,0),2))</f>
        <v/>
      </c>
      <c r="K1076" s="51">
        <f>IF(A1076="","",DATE(YEAR(A1076),MONTH(A1076),1))</f>
        <v/>
      </c>
    </row>
    <row r="1077">
      <c r="A1077" s="47" t="n"/>
      <c r="B1077" s="38" t="n"/>
      <c r="C1077" s="48" t="n"/>
      <c r="D1077" s="48" t="n"/>
      <c r="E1077" s="38" t="n"/>
      <c r="F1077" s="38" t="n"/>
      <c r="G1077" s="38" t="n"/>
      <c r="H1077" s="49">
        <f>IF(B1077="","",IFERROR(INDEX('JOBS'!$D$5:$D$1504,MATCH(B1077,'JOBS'!$A$5:$A$1504,0)),"Job ID not found"))</f>
        <v/>
      </c>
      <c r="I1077" s="49">
        <f>IF(B1077="","",IFERROR(INDEX('JOBS'!$F$5:$F$1504,MATCH(B1077,'JOBS'!$A$5:$A$1504,0)),""))</f>
        <v/>
      </c>
      <c r="J1077" s="55">
        <f>IF(C1077="","",ROUND(C1077*IF(IFERROR(INDEX('SETTINGS'!$K$5:$K$24,MATCH(E1077,'SETTINGS'!$J$5:$J$24,0)),"No")="Yes",FeePct,0),2))</f>
        <v/>
      </c>
      <c r="K1077" s="51">
        <f>IF(A1077="","",DATE(YEAR(A1077),MONTH(A1077),1))</f>
        <v/>
      </c>
    </row>
    <row r="1078">
      <c r="A1078" s="47" t="n"/>
      <c r="B1078" s="38" t="n"/>
      <c r="C1078" s="48" t="n"/>
      <c r="D1078" s="48" t="n"/>
      <c r="E1078" s="38" t="n"/>
      <c r="F1078" s="38" t="n"/>
      <c r="G1078" s="38" t="n"/>
      <c r="H1078" s="49">
        <f>IF(B1078="","",IFERROR(INDEX('JOBS'!$D$5:$D$1504,MATCH(B1078,'JOBS'!$A$5:$A$1504,0)),"Job ID not found"))</f>
        <v/>
      </c>
      <c r="I1078" s="49">
        <f>IF(B1078="","",IFERROR(INDEX('JOBS'!$F$5:$F$1504,MATCH(B1078,'JOBS'!$A$5:$A$1504,0)),""))</f>
        <v/>
      </c>
      <c r="J1078" s="55">
        <f>IF(C1078="","",ROUND(C1078*IF(IFERROR(INDEX('SETTINGS'!$K$5:$K$24,MATCH(E1078,'SETTINGS'!$J$5:$J$24,0)),"No")="Yes",FeePct,0),2))</f>
        <v/>
      </c>
      <c r="K1078" s="51">
        <f>IF(A1078="","",DATE(YEAR(A1078),MONTH(A1078),1))</f>
        <v/>
      </c>
    </row>
    <row r="1079">
      <c r="A1079" s="47" t="n"/>
      <c r="B1079" s="38" t="n"/>
      <c r="C1079" s="48" t="n"/>
      <c r="D1079" s="48" t="n"/>
      <c r="E1079" s="38" t="n"/>
      <c r="F1079" s="38" t="n"/>
      <c r="G1079" s="38" t="n"/>
      <c r="H1079" s="49">
        <f>IF(B1079="","",IFERROR(INDEX('JOBS'!$D$5:$D$1504,MATCH(B1079,'JOBS'!$A$5:$A$1504,0)),"Job ID not found"))</f>
        <v/>
      </c>
      <c r="I1079" s="49">
        <f>IF(B1079="","",IFERROR(INDEX('JOBS'!$F$5:$F$1504,MATCH(B1079,'JOBS'!$A$5:$A$1504,0)),""))</f>
        <v/>
      </c>
      <c r="J1079" s="55">
        <f>IF(C1079="","",ROUND(C1079*IF(IFERROR(INDEX('SETTINGS'!$K$5:$K$24,MATCH(E1079,'SETTINGS'!$J$5:$J$24,0)),"No")="Yes",FeePct,0),2))</f>
        <v/>
      </c>
      <c r="K1079" s="51">
        <f>IF(A1079="","",DATE(YEAR(A1079),MONTH(A1079),1))</f>
        <v/>
      </c>
    </row>
    <row r="1080">
      <c r="A1080" s="47" t="n"/>
      <c r="B1080" s="38" t="n"/>
      <c r="C1080" s="48" t="n"/>
      <c r="D1080" s="48" t="n"/>
      <c r="E1080" s="38" t="n"/>
      <c r="F1080" s="38" t="n"/>
      <c r="G1080" s="38" t="n"/>
      <c r="H1080" s="49">
        <f>IF(B1080="","",IFERROR(INDEX('JOBS'!$D$5:$D$1504,MATCH(B1080,'JOBS'!$A$5:$A$1504,0)),"Job ID not found"))</f>
        <v/>
      </c>
      <c r="I1080" s="49">
        <f>IF(B1080="","",IFERROR(INDEX('JOBS'!$F$5:$F$1504,MATCH(B1080,'JOBS'!$A$5:$A$1504,0)),""))</f>
        <v/>
      </c>
      <c r="J1080" s="55">
        <f>IF(C1080="","",ROUND(C1080*IF(IFERROR(INDEX('SETTINGS'!$K$5:$K$24,MATCH(E1080,'SETTINGS'!$J$5:$J$24,0)),"No")="Yes",FeePct,0),2))</f>
        <v/>
      </c>
      <c r="K1080" s="51">
        <f>IF(A1080="","",DATE(YEAR(A1080),MONTH(A1080),1))</f>
        <v/>
      </c>
    </row>
    <row r="1081">
      <c r="A1081" s="47" t="n"/>
      <c r="B1081" s="38" t="n"/>
      <c r="C1081" s="48" t="n"/>
      <c r="D1081" s="48" t="n"/>
      <c r="E1081" s="38" t="n"/>
      <c r="F1081" s="38" t="n"/>
      <c r="G1081" s="38" t="n"/>
      <c r="H1081" s="49">
        <f>IF(B1081="","",IFERROR(INDEX('JOBS'!$D$5:$D$1504,MATCH(B1081,'JOBS'!$A$5:$A$1504,0)),"Job ID not found"))</f>
        <v/>
      </c>
      <c r="I1081" s="49">
        <f>IF(B1081="","",IFERROR(INDEX('JOBS'!$F$5:$F$1504,MATCH(B1081,'JOBS'!$A$5:$A$1504,0)),""))</f>
        <v/>
      </c>
      <c r="J1081" s="55">
        <f>IF(C1081="","",ROUND(C1081*IF(IFERROR(INDEX('SETTINGS'!$K$5:$K$24,MATCH(E1081,'SETTINGS'!$J$5:$J$24,0)),"No")="Yes",FeePct,0),2))</f>
        <v/>
      </c>
      <c r="K1081" s="51">
        <f>IF(A1081="","",DATE(YEAR(A1081),MONTH(A1081),1))</f>
        <v/>
      </c>
    </row>
    <row r="1082">
      <c r="A1082" s="47" t="n"/>
      <c r="B1082" s="38" t="n"/>
      <c r="C1082" s="48" t="n"/>
      <c r="D1082" s="48" t="n"/>
      <c r="E1082" s="38" t="n"/>
      <c r="F1082" s="38" t="n"/>
      <c r="G1082" s="38" t="n"/>
      <c r="H1082" s="49">
        <f>IF(B1082="","",IFERROR(INDEX('JOBS'!$D$5:$D$1504,MATCH(B1082,'JOBS'!$A$5:$A$1504,0)),"Job ID not found"))</f>
        <v/>
      </c>
      <c r="I1082" s="49">
        <f>IF(B1082="","",IFERROR(INDEX('JOBS'!$F$5:$F$1504,MATCH(B1082,'JOBS'!$A$5:$A$1504,0)),""))</f>
        <v/>
      </c>
      <c r="J1082" s="55">
        <f>IF(C1082="","",ROUND(C1082*IF(IFERROR(INDEX('SETTINGS'!$K$5:$K$24,MATCH(E1082,'SETTINGS'!$J$5:$J$24,0)),"No")="Yes",FeePct,0),2))</f>
        <v/>
      </c>
      <c r="K1082" s="51">
        <f>IF(A1082="","",DATE(YEAR(A1082),MONTH(A1082),1))</f>
        <v/>
      </c>
    </row>
    <row r="1083">
      <c r="A1083" s="47" t="n"/>
      <c r="B1083" s="38" t="n"/>
      <c r="C1083" s="48" t="n"/>
      <c r="D1083" s="48" t="n"/>
      <c r="E1083" s="38" t="n"/>
      <c r="F1083" s="38" t="n"/>
      <c r="G1083" s="38" t="n"/>
      <c r="H1083" s="49">
        <f>IF(B1083="","",IFERROR(INDEX('JOBS'!$D$5:$D$1504,MATCH(B1083,'JOBS'!$A$5:$A$1504,0)),"Job ID not found"))</f>
        <v/>
      </c>
      <c r="I1083" s="49">
        <f>IF(B1083="","",IFERROR(INDEX('JOBS'!$F$5:$F$1504,MATCH(B1083,'JOBS'!$A$5:$A$1504,0)),""))</f>
        <v/>
      </c>
      <c r="J1083" s="55">
        <f>IF(C1083="","",ROUND(C1083*IF(IFERROR(INDEX('SETTINGS'!$K$5:$K$24,MATCH(E1083,'SETTINGS'!$J$5:$J$24,0)),"No")="Yes",FeePct,0),2))</f>
        <v/>
      </c>
      <c r="K1083" s="51">
        <f>IF(A1083="","",DATE(YEAR(A1083),MONTH(A1083),1))</f>
        <v/>
      </c>
    </row>
    <row r="1084">
      <c r="A1084" s="47" t="n"/>
      <c r="B1084" s="38" t="n"/>
      <c r="C1084" s="48" t="n"/>
      <c r="D1084" s="48" t="n"/>
      <c r="E1084" s="38" t="n"/>
      <c r="F1084" s="38" t="n"/>
      <c r="G1084" s="38" t="n"/>
      <c r="H1084" s="49">
        <f>IF(B1084="","",IFERROR(INDEX('JOBS'!$D$5:$D$1504,MATCH(B1084,'JOBS'!$A$5:$A$1504,0)),"Job ID not found"))</f>
        <v/>
      </c>
      <c r="I1084" s="49">
        <f>IF(B1084="","",IFERROR(INDEX('JOBS'!$F$5:$F$1504,MATCH(B1084,'JOBS'!$A$5:$A$1504,0)),""))</f>
        <v/>
      </c>
      <c r="J1084" s="55">
        <f>IF(C1084="","",ROUND(C1084*IF(IFERROR(INDEX('SETTINGS'!$K$5:$K$24,MATCH(E1084,'SETTINGS'!$J$5:$J$24,0)),"No")="Yes",FeePct,0),2))</f>
        <v/>
      </c>
      <c r="K1084" s="51">
        <f>IF(A1084="","",DATE(YEAR(A1084),MONTH(A1084),1))</f>
        <v/>
      </c>
    </row>
    <row r="1085">
      <c r="A1085" s="47" t="n"/>
      <c r="B1085" s="38" t="n"/>
      <c r="C1085" s="48" t="n"/>
      <c r="D1085" s="48" t="n"/>
      <c r="E1085" s="38" t="n"/>
      <c r="F1085" s="38" t="n"/>
      <c r="G1085" s="38" t="n"/>
      <c r="H1085" s="49">
        <f>IF(B1085="","",IFERROR(INDEX('JOBS'!$D$5:$D$1504,MATCH(B1085,'JOBS'!$A$5:$A$1504,0)),"Job ID not found"))</f>
        <v/>
      </c>
      <c r="I1085" s="49">
        <f>IF(B1085="","",IFERROR(INDEX('JOBS'!$F$5:$F$1504,MATCH(B1085,'JOBS'!$A$5:$A$1504,0)),""))</f>
        <v/>
      </c>
      <c r="J1085" s="55">
        <f>IF(C1085="","",ROUND(C1085*IF(IFERROR(INDEX('SETTINGS'!$K$5:$K$24,MATCH(E1085,'SETTINGS'!$J$5:$J$24,0)),"No")="Yes",FeePct,0),2))</f>
        <v/>
      </c>
      <c r="K1085" s="51">
        <f>IF(A1085="","",DATE(YEAR(A1085),MONTH(A1085),1))</f>
        <v/>
      </c>
    </row>
    <row r="1086">
      <c r="A1086" s="47" t="n"/>
      <c r="B1086" s="38" t="n"/>
      <c r="C1086" s="48" t="n"/>
      <c r="D1086" s="48" t="n"/>
      <c r="E1086" s="38" t="n"/>
      <c r="F1086" s="38" t="n"/>
      <c r="G1086" s="38" t="n"/>
      <c r="H1086" s="49">
        <f>IF(B1086="","",IFERROR(INDEX('JOBS'!$D$5:$D$1504,MATCH(B1086,'JOBS'!$A$5:$A$1504,0)),"Job ID not found"))</f>
        <v/>
      </c>
      <c r="I1086" s="49">
        <f>IF(B1086="","",IFERROR(INDEX('JOBS'!$F$5:$F$1504,MATCH(B1086,'JOBS'!$A$5:$A$1504,0)),""))</f>
        <v/>
      </c>
      <c r="J1086" s="55">
        <f>IF(C1086="","",ROUND(C1086*IF(IFERROR(INDEX('SETTINGS'!$K$5:$K$24,MATCH(E1086,'SETTINGS'!$J$5:$J$24,0)),"No")="Yes",FeePct,0),2))</f>
        <v/>
      </c>
      <c r="K1086" s="51">
        <f>IF(A1086="","",DATE(YEAR(A1086),MONTH(A1086),1))</f>
        <v/>
      </c>
    </row>
    <row r="1087">
      <c r="A1087" s="47" t="n"/>
      <c r="B1087" s="38" t="n"/>
      <c r="C1087" s="48" t="n"/>
      <c r="D1087" s="48" t="n"/>
      <c r="E1087" s="38" t="n"/>
      <c r="F1087" s="38" t="n"/>
      <c r="G1087" s="38" t="n"/>
      <c r="H1087" s="49">
        <f>IF(B1087="","",IFERROR(INDEX('JOBS'!$D$5:$D$1504,MATCH(B1087,'JOBS'!$A$5:$A$1504,0)),"Job ID not found"))</f>
        <v/>
      </c>
      <c r="I1087" s="49">
        <f>IF(B1087="","",IFERROR(INDEX('JOBS'!$F$5:$F$1504,MATCH(B1087,'JOBS'!$A$5:$A$1504,0)),""))</f>
        <v/>
      </c>
      <c r="J1087" s="55">
        <f>IF(C1087="","",ROUND(C1087*IF(IFERROR(INDEX('SETTINGS'!$K$5:$K$24,MATCH(E1087,'SETTINGS'!$J$5:$J$24,0)),"No")="Yes",FeePct,0),2))</f>
        <v/>
      </c>
      <c r="K1087" s="51">
        <f>IF(A1087="","",DATE(YEAR(A1087),MONTH(A1087),1))</f>
        <v/>
      </c>
    </row>
    <row r="1088">
      <c r="A1088" s="47" t="n"/>
      <c r="B1088" s="38" t="n"/>
      <c r="C1088" s="48" t="n"/>
      <c r="D1088" s="48" t="n"/>
      <c r="E1088" s="38" t="n"/>
      <c r="F1088" s="38" t="n"/>
      <c r="G1088" s="38" t="n"/>
      <c r="H1088" s="49">
        <f>IF(B1088="","",IFERROR(INDEX('JOBS'!$D$5:$D$1504,MATCH(B1088,'JOBS'!$A$5:$A$1504,0)),"Job ID not found"))</f>
        <v/>
      </c>
      <c r="I1088" s="49">
        <f>IF(B1088="","",IFERROR(INDEX('JOBS'!$F$5:$F$1504,MATCH(B1088,'JOBS'!$A$5:$A$1504,0)),""))</f>
        <v/>
      </c>
      <c r="J1088" s="55">
        <f>IF(C1088="","",ROUND(C1088*IF(IFERROR(INDEX('SETTINGS'!$K$5:$K$24,MATCH(E1088,'SETTINGS'!$J$5:$J$24,0)),"No")="Yes",FeePct,0),2))</f>
        <v/>
      </c>
      <c r="K1088" s="51">
        <f>IF(A1088="","",DATE(YEAR(A1088),MONTH(A1088),1))</f>
        <v/>
      </c>
    </row>
    <row r="1089">
      <c r="A1089" s="47" t="n"/>
      <c r="B1089" s="38" t="n"/>
      <c r="C1089" s="48" t="n"/>
      <c r="D1089" s="48" t="n"/>
      <c r="E1089" s="38" t="n"/>
      <c r="F1089" s="38" t="n"/>
      <c r="G1089" s="38" t="n"/>
      <c r="H1089" s="49">
        <f>IF(B1089="","",IFERROR(INDEX('JOBS'!$D$5:$D$1504,MATCH(B1089,'JOBS'!$A$5:$A$1504,0)),"Job ID not found"))</f>
        <v/>
      </c>
      <c r="I1089" s="49">
        <f>IF(B1089="","",IFERROR(INDEX('JOBS'!$F$5:$F$1504,MATCH(B1089,'JOBS'!$A$5:$A$1504,0)),""))</f>
        <v/>
      </c>
      <c r="J1089" s="55">
        <f>IF(C1089="","",ROUND(C1089*IF(IFERROR(INDEX('SETTINGS'!$K$5:$K$24,MATCH(E1089,'SETTINGS'!$J$5:$J$24,0)),"No")="Yes",FeePct,0),2))</f>
        <v/>
      </c>
      <c r="K1089" s="51">
        <f>IF(A1089="","",DATE(YEAR(A1089),MONTH(A1089),1))</f>
        <v/>
      </c>
    </row>
    <row r="1090">
      <c r="A1090" s="47" t="n"/>
      <c r="B1090" s="38" t="n"/>
      <c r="C1090" s="48" t="n"/>
      <c r="D1090" s="48" t="n"/>
      <c r="E1090" s="38" t="n"/>
      <c r="F1090" s="38" t="n"/>
      <c r="G1090" s="38" t="n"/>
      <c r="H1090" s="49">
        <f>IF(B1090="","",IFERROR(INDEX('JOBS'!$D$5:$D$1504,MATCH(B1090,'JOBS'!$A$5:$A$1504,0)),"Job ID not found"))</f>
        <v/>
      </c>
      <c r="I1090" s="49">
        <f>IF(B1090="","",IFERROR(INDEX('JOBS'!$F$5:$F$1504,MATCH(B1090,'JOBS'!$A$5:$A$1504,0)),""))</f>
        <v/>
      </c>
      <c r="J1090" s="55">
        <f>IF(C1090="","",ROUND(C1090*IF(IFERROR(INDEX('SETTINGS'!$K$5:$K$24,MATCH(E1090,'SETTINGS'!$J$5:$J$24,0)),"No")="Yes",FeePct,0),2))</f>
        <v/>
      </c>
      <c r="K1090" s="51">
        <f>IF(A1090="","",DATE(YEAR(A1090),MONTH(A1090),1))</f>
        <v/>
      </c>
    </row>
    <row r="1091">
      <c r="A1091" s="47" t="n"/>
      <c r="B1091" s="38" t="n"/>
      <c r="C1091" s="48" t="n"/>
      <c r="D1091" s="48" t="n"/>
      <c r="E1091" s="38" t="n"/>
      <c r="F1091" s="38" t="n"/>
      <c r="G1091" s="38" t="n"/>
      <c r="H1091" s="49">
        <f>IF(B1091="","",IFERROR(INDEX('JOBS'!$D$5:$D$1504,MATCH(B1091,'JOBS'!$A$5:$A$1504,0)),"Job ID not found"))</f>
        <v/>
      </c>
      <c r="I1091" s="49">
        <f>IF(B1091="","",IFERROR(INDEX('JOBS'!$F$5:$F$1504,MATCH(B1091,'JOBS'!$A$5:$A$1504,0)),""))</f>
        <v/>
      </c>
      <c r="J1091" s="55">
        <f>IF(C1091="","",ROUND(C1091*IF(IFERROR(INDEX('SETTINGS'!$K$5:$K$24,MATCH(E1091,'SETTINGS'!$J$5:$J$24,0)),"No")="Yes",FeePct,0),2))</f>
        <v/>
      </c>
      <c r="K1091" s="51">
        <f>IF(A1091="","",DATE(YEAR(A1091),MONTH(A1091),1))</f>
        <v/>
      </c>
    </row>
    <row r="1092">
      <c r="A1092" s="47" t="n"/>
      <c r="B1092" s="38" t="n"/>
      <c r="C1092" s="48" t="n"/>
      <c r="D1092" s="48" t="n"/>
      <c r="E1092" s="38" t="n"/>
      <c r="F1092" s="38" t="n"/>
      <c r="G1092" s="38" t="n"/>
      <c r="H1092" s="49">
        <f>IF(B1092="","",IFERROR(INDEX('JOBS'!$D$5:$D$1504,MATCH(B1092,'JOBS'!$A$5:$A$1504,0)),"Job ID not found"))</f>
        <v/>
      </c>
      <c r="I1092" s="49">
        <f>IF(B1092="","",IFERROR(INDEX('JOBS'!$F$5:$F$1504,MATCH(B1092,'JOBS'!$A$5:$A$1504,0)),""))</f>
        <v/>
      </c>
      <c r="J1092" s="55">
        <f>IF(C1092="","",ROUND(C1092*IF(IFERROR(INDEX('SETTINGS'!$K$5:$K$24,MATCH(E1092,'SETTINGS'!$J$5:$J$24,0)),"No")="Yes",FeePct,0),2))</f>
        <v/>
      </c>
      <c r="K1092" s="51">
        <f>IF(A1092="","",DATE(YEAR(A1092),MONTH(A1092),1))</f>
        <v/>
      </c>
    </row>
    <row r="1093">
      <c r="A1093" s="47" t="n"/>
      <c r="B1093" s="38" t="n"/>
      <c r="C1093" s="48" t="n"/>
      <c r="D1093" s="48" t="n"/>
      <c r="E1093" s="38" t="n"/>
      <c r="F1093" s="38" t="n"/>
      <c r="G1093" s="38" t="n"/>
      <c r="H1093" s="49">
        <f>IF(B1093="","",IFERROR(INDEX('JOBS'!$D$5:$D$1504,MATCH(B1093,'JOBS'!$A$5:$A$1504,0)),"Job ID not found"))</f>
        <v/>
      </c>
      <c r="I1093" s="49">
        <f>IF(B1093="","",IFERROR(INDEX('JOBS'!$F$5:$F$1504,MATCH(B1093,'JOBS'!$A$5:$A$1504,0)),""))</f>
        <v/>
      </c>
      <c r="J1093" s="55">
        <f>IF(C1093="","",ROUND(C1093*IF(IFERROR(INDEX('SETTINGS'!$K$5:$K$24,MATCH(E1093,'SETTINGS'!$J$5:$J$24,0)),"No")="Yes",FeePct,0),2))</f>
        <v/>
      </c>
      <c r="K1093" s="51">
        <f>IF(A1093="","",DATE(YEAR(A1093),MONTH(A1093),1))</f>
        <v/>
      </c>
    </row>
    <row r="1094">
      <c r="A1094" s="47" t="n"/>
      <c r="B1094" s="38" t="n"/>
      <c r="C1094" s="48" t="n"/>
      <c r="D1094" s="48" t="n"/>
      <c r="E1094" s="38" t="n"/>
      <c r="F1094" s="38" t="n"/>
      <c r="G1094" s="38" t="n"/>
      <c r="H1094" s="49">
        <f>IF(B1094="","",IFERROR(INDEX('JOBS'!$D$5:$D$1504,MATCH(B1094,'JOBS'!$A$5:$A$1504,0)),"Job ID not found"))</f>
        <v/>
      </c>
      <c r="I1094" s="49">
        <f>IF(B1094="","",IFERROR(INDEX('JOBS'!$F$5:$F$1504,MATCH(B1094,'JOBS'!$A$5:$A$1504,0)),""))</f>
        <v/>
      </c>
      <c r="J1094" s="55">
        <f>IF(C1094="","",ROUND(C1094*IF(IFERROR(INDEX('SETTINGS'!$K$5:$K$24,MATCH(E1094,'SETTINGS'!$J$5:$J$24,0)),"No")="Yes",FeePct,0),2))</f>
        <v/>
      </c>
      <c r="K1094" s="51">
        <f>IF(A1094="","",DATE(YEAR(A1094),MONTH(A1094),1))</f>
        <v/>
      </c>
    </row>
    <row r="1095">
      <c r="A1095" s="47" t="n"/>
      <c r="B1095" s="38" t="n"/>
      <c r="C1095" s="48" t="n"/>
      <c r="D1095" s="48" t="n"/>
      <c r="E1095" s="38" t="n"/>
      <c r="F1095" s="38" t="n"/>
      <c r="G1095" s="38" t="n"/>
      <c r="H1095" s="49">
        <f>IF(B1095="","",IFERROR(INDEX('JOBS'!$D$5:$D$1504,MATCH(B1095,'JOBS'!$A$5:$A$1504,0)),"Job ID not found"))</f>
        <v/>
      </c>
      <c r="I1095" s="49">
        <f>IF(B1095="","",IFERROR(INDEX('JOBS'!$F$5:$F$1504,MATCH(B1095,'JOBS'!$A$5:$A$1504,0)),""))</f>
        <v/>
      </c>
      <c r="J1095" s="55">
        <f>IF(C1095="","",ROUND(C1095*IF(IFERROR(INDEX('SETTINGS'!$K$5:$K$24,MATCH(E1095,'SETTINGS'!$J$5:$J$24,0)),"No")="Yes",FeePct,0),2))</f>
        <v/>
      </c>
      <c r="K1095" s="51">
        <f>IF(A1095="","",DATE(YEAR(A1095),MONTH(A1095),1))</f>
        <v/>
      </c>
    </row>
    <row r="1096">
      <c r="A1096" s="47" t="n"/>
      <c r="B1096" s="38" t="n"/>
      <c r="C1096" s="48" t="n"/>
      <c r="D1096" s="48" t="n"/>
      <c r="E1096" s="38" t="n"/>
      <c r="F1096" s="38" t="n"/>
      <c r="G1096" s="38" t="n"/>
      <c r="H1096" s="49">
        <f>IF(B1096="","",IFERROR(INDEX('JOBS'!$D$5:$D$1504,MATCH(B1096,'JOBS'!$A$5:$A$1504,0)),"Job ID not found"))</f>
        <v/>
      </c>
      <c r="I1096" s="49">
        <f>IF(B1096="","",IFERROR(INDEX('JOBS'!$F$5:$F$1504,MATCH(B1096,'JOBS'!$A$5:$A$1504,0)),""))</f>
        <v/>
      </c>
      <c r="J1096" s="55">
        <f>IF(C1096="","",ROUND(C1096*IF(IFERROR(INDEX('SETTINGS'!$K$5:$K$24,MATCH(E1096,'SETTINGS'!$J$5:$J$24,0)),"No")="Yes",FeePct,0),2))</f>
        <v/>
      </c>
      <c r="K1096" s="51">
        <f>IF(A1096="","",DATE(YEAR(A1096),MONTH(A1096),1))</f>
        <v/>
      </c>
    </row>
    <row r="1097">
      <c r="A1097" s="47" t="n"/>
      <c r="B1097" s="38" t="n"/>
      <c r="C1097" s="48" t="n"/>
      <c r="D1097" s="48" t="n"/>
      <c r="E1097" s="38" t="n"/>
      <c r="F1097" s="38" t="n"/>
      <c r="G1097" s="38" t="n"/>
      <c r="H1097" s="49">
        <f>IF(B1097="","",IFERROR(INDEX('JOBS'!$D$5:$D$1504,MATCH(B1097,'JOBS'!$A$5:$A$1504,0)),"Job ID not found"))</f>
        <v/>
      </c>
      <c r="I1097" s="49">
        <f>IF(B1097="","",IFERROR(INDEX('JOBS'!$F$5:$F$1504,MATCH(B1097,'JOBS'!$A$5:$A$1504,0)),""))</f>
        <v/>
      </c>
      <c r="J1097" s="55">
        <f>IF(C1097="","",ROUND(C1097*IF(IFERROR(INDEX('SETTINGS'!$K$5:$K$24,MATCH(E1097,'SETTINGS'!$J$5:$J$24,0)),"No")="Yes",FeePct,0),2))</f>
        <v/>
      </c>
      <c r="K1097" s="51">
        <f>IF(A1097="","",DATE(YEAR(A1097),MONTH(A1097),1))</f>
        <v/>
      </c>
    </row>
    <row r="1098">
      <c r="A1098" s="47" t="n"/>
      <c r="B1098" s="38" t="n"/>
      <c r="C1098" s="48" t="n"/>
      <c r="D1098" s="48" t="n"/>
      <c r="E1098" s="38" t="n"/>
      <c r="F1098" s="38" t="n"/>
      <c r="G1098" s="38" t="n"/>
      <c r="H1098" s="49">
        <f>IF(B1098="","",IFERROR(INDEX('JOBS'!$D$5:$D$1504,MATCH(B1098,'JOBS'!$A$5:$A$1504,0)),"Job ID not found"))</f>
        <v/>
      </c>
      <c r="I1098" s="49">
        <f>IF(B1098="","",IFERROR(INDEX('JOBS'!$F$5:$F$1504,MATCH(B1098,'JOBS'!$A$5:$A$1504,0)),""))</f>
        <v/>
      </c>
      <c r="J1098" s="55">
        <f>IF(C1098="","",ROUND(C1098*IF(IFERROR(INDEX('SETTINGS'!$K$5:$K$24,MATCH(E1098,'SETTINGS'!$J$5:$J$24,0)),"No")="Yes",FeePct,0),2))</f>
        <v/>
      </c>
      <c r="K1098" s="51">
        <f>IF(A1098="","",DATE(YEAR(A1098),MONTH(A1098),1))</f>
        <v/>
      </c>
    </row>
    <row r="1099">
      <c r="A1099" s="47" t="n"/>
      <c r="B1099" s="38" t="n"/>
      <c r="C1099" s="48" t="n"/>
      <c r="D1099" s="48" t="n"/>
      <c r="E1099" s="38" t="n"/>
      <c r="F1099" s="38" t="n"/>
      <c r="G1099" s="38" t="n"/>
      <c r="H1099" s="49">
        <f>IF(B1099="","",IFERROR(INDEX('JOBS'!$D$5:$D$1504,MATCH(B1099,'JOBS'!$A$5:$A$1504,0)),"Job ID not found"))</f>
        <v/>
      </c>
      <c r="I1099" s="49">
        <f>IF(B1099="","",IFERROR(INDEX('JOBS'!$F$5:$F$1504,MATCH(B1099,'JOBS'!$A$5:$A$1504,0)),""))</f>
        <v/>
      </c>
      <c r="J1099" s="55">
        <f>IF(C1099="","",ROUND(C1099*IF(IFERROR(INDEX('SETTINGS'!$K$5:$K$24,MATCH(E1099,'SETTINGS'!$J$5:$J$24,0)),"No")="Yes",FeePct,0),2))</f>
        <v/>
      </c>
      <c r="K1099" s="51">
        <f>IF(A1099="","",DATE(YEAR(A1099),MONTH(A1099),1))</f>
        <v/>
      </c>
    </row>
    <row r="1100">
      <c r="A1100" s="47" t="n"/>
      <c r="B1100" s="38" t="n"/>
      <c r="C1100" s="48" t="n"/>
      <c r="D1100" s="48" t="n"/>
      <c r="E1100" s="38" t="n"/>
      <c r="F1100" s="38" t="n"/>
      <c r="G1100" s="38" t="n"/>
      <c r="H1100" s="49">
        <f>IF(B1100="","",IFERROR(INDEX('JOBS'!$D$5:$D$1504,MATCH(B1100,'JOBS'!$A$5:$A$1504,0)),"Job ID not found"))</f>
        <v/>
      </c>
      <c r="I1100" s="49">
        <f>IF(B1100="","",IFERROR(INDEX('JOBS'!$F$5:$F$1504,MATCH(B1100,'JOBS'!$A$5:$A$1504,0)),""))</f>
        <v/>
      </c>
      <c r="J1100" s="55">
        <f>IF(C1100="","",ROUND(C1100*IF(IFERROR(INDEX('SETTINGS'!$K$5:$K$24,MATCH(E1100,'SETTINGS'!$J$5:$J$24,0)),"No")="Yes",FeePct,0),2))</f>
        <v/>
      </c>
      <c r="K1100" s="51">
        <f>IF(A1100="","",DATE(YEAR(A1100),MONTH(A1100),1))</f>
        <v/>
      </c>
    </row>
    <row r="1101">
      <c r="A1101" s="47" t="n"/>
      <c r="B1101" s="38" t="n"/>
      <c r="C1101" s="48" t="n"/>
      <c r="D1101" s="48" t="n"/>
      <c r="E1101" s="38" t="n"/>
      <c r="F1101" s="38" t="n"/>
      <c r="G1101" s="38" t="n"/>
      <c r="H1101" s="49">
        <f>IF(B1101="","",IFERROR(INDEX('JOBS'!$D$5:$D$1504,MATCH(B1101,'JOBS'!$A$5:$A$1504,0)),"Job ID not found"))</f>
        <v/>
      </c>
      <c r="I1101" s="49">
        <f>IF(B1101="","",IFERROR(INDEX('JOBS'!$F$5:$F$1504,MATCH(B1101,'JOBS'!$A$5:$A$1504,0)),""))</f>
        <v/>
      </c>
      <c r="J1101" s="55">
        <f>IF(C1101="","",ROUND(C1101*IF(IFERROR(INDEX('SETTINGS'!$K$5:$K$24,MATCH(E1101,'SETTINGS'!$J$5:$J$24,0)),"No")="Yes",FeePct,0),2))</f>
        <v/>
      </c>
      <c r="K1101" s="51">
        <f>IF(A1101="","",DATE(YEAR(A1101),MONTH(A1101),1))</f>
        <v/>
      </c>
    </row>
    <row r="1102">
      <c r="A1102" s="47" t="n"/>
      <c r="B1102" s="38" t="n"/>
      <c r="C1102" s="48" t="n"/>
      <c r="D1102" s="48" t="n"/>
      <c r="E1102" s="38" t="n"/>
      <c r="F1102" s="38" t="n"/>
      <c r="G1102" s="38" t="n"/>
      <c r="H1102" s="49">
        <f>IF(B1102="","",IFERROR(INDEX('JOBS'!$D$5:$D$1504,MATCH(B1102,'JOBS'!$A$5:$A$1504,0)),"Job ID not found"))</f>
        <v/>
      </c>
      <c r="I1102" s="49">
        <f>IF(B1102="","",IFERROR(INDEX('JOBS'!$F$5:$F$1504,MATCH(B1102,'JOBS'!$A$5:$A$1504,0)),""))</f>
        <v/>
      </c>
      <c r="J1102" s="55">
        <f>IF(C1102="","",ROUND(C1102*IF(IFERROR(INDEX('SETTINGS'!$K$5:$K$24,MATCH(E1102,'SETTINGS'!$J$5:$J$24,0)),"No")="Yes",FeePct,0),2))</f>
        <v/>
      </c>
      <c r="K1102" s="51">
        <f>IF(A1102="","",DATE(YEAR(A1102),MONTH(A1102),1))</f>
        <v/>
      </c>
    </row>
    <row r="1103">
      <c r="A1103" s="47" t="n"/>
      <c r="B1103" s="38" t="n"/>
      <c r="C1103" s="48" t="n"/>
      <c r="D1103" s="48" t="n"/>
      <c r="E1103" s="38" t="n"/>
      <c r="F1103" s="38" t="n"/>
      <c r="G1103" s="38" t="n"/>
      <c r="H1103" s="49">
        <f>IF(B1103="","",IFERROR(INDEX('JOBS'!$D$5:$D$1504,MATCH(B1103,'JOBS'!$A$5:$A$1504,0)),"Job ID not found"))</f>
        <v/>
      </c>
      <c r="I1103" s="49">
        <f>IF(B1103="","",IFERROR(INDEX('JOBS'!$F$5:$F$1504,MATCH(B1103,'JOBS'!$A$5:$A$1504,0)),""))</f>
        <v/>
      </c>
      <c r="J1103" s="55">
        <f>IF(C1103="","",ROUND(C1103*IF(IFERROR(INDEX('SETTINGS'!$K$5:$K$24,MATCH(E1103,'SETTINGS'!$J$5:$J$24,0)),"No")="Yes",FeePct,0),2))</f>
        <v/>
      </c>
      <c r="K1103" s="51">
        <f>IF(A1103="","",DATE(YEAR(A1103),MONTH(A1103),1))</f>
        <v/>
      </c>
    </row>
    <row r="1104">
      <c r="A1104" s="47" t="n"/>
      <c r="B1104" s="38" t="n"/>
      <c r="C1104" s="48" t="n"/>
      <c r="D1104" s="48" t="n"/>
      <c r="E1104" s="38" t="n"/>
      <c r="F1104" s="38" t="n"/>
      <c r="G1104" s="38" t="n"/>
      <c r="H1104" s="49">
        <f>IF(B1104="","",IFERROR(INDEX('JOBS'!$D$5:$D$1504,MATCH(B1104,'JOBS'!$A$5:$A$1504,0)),"Job ID not found"))</f>
        <v/>
      </c>
      <c r="I1104" s="49">
        <f>IF(B1104="","",IFERROR(INDEX('JOBS'!$F$5:$F$1504,MATCH(B1104,'JOBS'!$A$5:$A$1504,0)),""))</f>
        <v/>
      </c>
      <c r="J1104" s="55">
        <f>IF(C1104="","",ROUND(C1104*IF(IFERROR(INDEX('SETTINGS'!$K$5:$K$24,MATCH(E1104,'SETTINGS'!$J$5:$J$24,0)),"No")="Yes",FeePct,0),2))</f>
        <v/>
      </c>
      <c r="K1104" s="51">
        <f>IF(A1104="","",DATE(YEAR(A1104),MONTH(A1104),1))</f>
        <v/>
      </c>
    </row>
    <row r="1105">
      <c r="A1105" s="47" t="n"/>
      <c r="B1105" s="38" t="n"/>
      <c r="C1105" s="48" t="n"/>
      <c r="D1105" s="48" t="n"/>
      <c r="E1105" s="38" t="n"/>
      <c r="F1105" s="38" t="n"/>
      <c r="G1105" s="38" t="n"/>
      <c r="H1105" s="49">
        <f>IF(B1105="","",IFERROR(INDEX('JOBS'!$D$5:$D$1504,MATCH(B1105,'JOBS'!$A$5:$A$1504,0)),"Job ID not found"))</f>
        <v/>
      </c>
      <c r="I1105" s="49">
        <f>IF(B1105="","",IFERROR(INDEX('JOBS'!$F$5:$F$1504,MATCH(B1105,'JOBS'!$A$5:$A$1504,0)),""))</f>
        <v/>
      </c>
      <c r="J1105" s="55">
        <f>IF(C1105="","",ROUND(C1105*IF(IFERROR(INDEX('SETTINGS'!$K$5:$K$24,MATCH(E1105,'SETTINGS'!$J$5:$J$24,0)),"No")="Yes",FeePct,0),2))</f>
        <v/>
      </c>
      <c r="K1105" s="51">
        <f>IF(A1105="","",DATE(YEAR(A1105),MONTH(A1105),1))</f>
        <v/>
      </c>
    </row>
    <row r="1106">
      <c r="A1106" s="47" t="n"/>
      <c r="B1106" s="38" t="n"/>
      <c r="C1106" s="48" t="n"/>
      <c r="D1106" s="48" t="n"/>
      <c r="E1106" s="38" t="n"/>
      <c r="F1106" s="38" t="n"/>
      <c r="G1106" s="38" t="n"/>
      <c r="H1106" s="49">
        <f>IF(B1106="","",IFERROR(INDEX('JOBS'!$D$5:$D$1504,MATCH(B1106,'JOBS'!$A$5:$A$1504,0)),"Job ID not found"))</f>
        <v/>
      </c>
      <c r="I1106" s="49">
        <f>IF(B1106="","",IFERROR(INDEX('JOBS'!$F$5:$F$1504,MATCH(B1106,'JOBS'!$A$5:$A$1504,0)),""))</f>
        <v/>
      </c>
      <c r="J1106" s="55">
        <f>IF(C1106="","",ROUND(C1106*IF(IFERROR(INDEX('SETTINGS'!$K$5:$K$24,MATCH(E1106,'SETTINGS'!$J$5:$J$24,0)),"No")="Yes",FeePct,0),2))</f>
        <v/>
      </c>
      <c r="K1106" s="51">
        <f>IF(A1106="","",DATE(YEAR(A1106),MONTH(A1106),1))</f>
        <v/>
      </c>
    </row>
    <row r="1107">
      <c r="A1107" s="47" t="n"/>
      <c r="B1107" s="38" t="n"/>
      <c r="C1107" s="48" t="n"/>
      <c r="D1107" s="48" t="n"/>
      <c r="E1107" s="38" t="n"/>
      <c r="F1107" s="38" t="n"/>
      <c r="G1107" s="38" t="n"/>
      <c r="H1107" s="49">
        <f>IF(B1107="","",IFERROR(INDEX('JOBS'!$D$5:$D$1504,MATCH(B1107,'JOBS'!$A$5:$A$1504,0)),"Job ID not found"))</f>
        <v/>
      </c>
      <c r="I1107" s="49">
        <f>IF(B1107="","",IFERROR(INDEX('JOBS'!$F$5:$F$1504,MATCH(B1107,'JOBS'!$A$5:$A$1504,0)),""))</f>
        <v/>
      </c>
      <c r="J1107" s="55">
        <f>IF(C1107="","",ROUND(C1107*IF(IFERROR(INDEX('SETTINGS'!$K$5:$K$24,MATCH(E1107,'SETTINGS'!$J$5:$J$24,0)),"No")="Yes",FeePct,0),2))</f>
        <v/>
      </c>
      <c r="K1107" s="51">
        <f>IF(A1107="","",DATE(YEAR(A1107),MONTH(A1107),1))</f>
        <v/>
      </c>
    </row>
    <row r="1108">
      <c r="A1108" s="47" t="n"/>
      <c r="B1108" s="38" t="n"/>
      <c r="C1108" s="48" t="n"/>
      <c r="D1108" s="48" t="n"/>
      <c r="E1108" s="38" t="n"/>
      <c r="F1108" s="38" t="n"/>
      <c r="G1108" s="38" t="n"/>
      <c r="H1108" s="49">
        <f>IF(B1108="","",IFERROR(INDEX('JOBS'!$D$5:$D$1504,MATCH(B1108,'JOBS'!$A$5:$A$1504,0)),"Job ID not found"))</f>
        <v/>
      </c>
      <c r="I1108" s="49">
        <f>IF(B1108="","",IFERROR(INDEX('JOBS'!$F$5:$F$1504,MATCH(B1108,'JOBS'!$A$5:$A$1504,0)),""))</f>
        <v/>
      </c>
      <c r="J1108" s="55">
        <f>IF(C1108="","",ROUND(C1108*IF(IFERROR(INDEX('SETTINGS'!$K$5:$K$24,MATCH(E1108,'SETTINGS'!$J$5:$J$24,0)),"No")="Yes",FeePct,0),2))</f>
        <v/>
      </c>
      <c r="K1108" s="51">
        <f>IF(A1108="","",DATE(YEAR(A1108),MONTH(A1108),1))</f>
        <v/>
      </c>
    </row>
    <row r="1109">
      <c r="A1109" s="47" t="n"/>
      <c r="B1109" s="38" t="n"/>
      <c r="C1109" s="48" t="n"/>
      <c r="D1109" s="48" t="n"/>
      <c r="E1109" s="38" t="n"/>
      <c r="F1109" s="38" t="n"/>
      <c r="G1109" s="38" t="n"/>
      <c r="H1109" s="49">
        <f>IF(B1109="","",IFERROR(INDEX('JOBS'!$D$5:$D$1504,MATCH(B1109,'JOBS'!$A$5:$A$1504,0)),"Job ID not found"))</f>
        <v/>
      </c>
      <c r="I1109" s="49">
        <f>IF(B1109="","",IFERROR(INDEX('JOBS'!$F$5:$F$1504,MATCH(B1109,'JOBS'!$A$5:$A$1504,0)),""))</f>
        <v/>
      </c>
      <c r="J1109" s="55">
        <f>IF(C1109="","",ROUND(C1109*IF(IFERROR(INDEX('SETTINGS'!$K$5:$K$24,MATCH(E1109,'SETTINGS'!$J$5:$J$24,0)),"No")="Yes",FeePct,0),2))</f>
        <v/>
      </c>
      <c r="K1109" s="51">
        <f>IF(A1109="","",DATE(YEAR(A1109),MONTH(A1109),1))</f>
        <v/>
      </c>
    </row>
    <row r="1110">
      <c r="A1110" s="47" t="n"/>
      <c r="B1110" s="38" t="n"/>
      <c r="C1110" s="48" t="n"/>
      <c r="D1110" s="48" t="n"/>
      <c r="E1110" s="38" t="n"/>
      <c r="F1110" s="38" t="n"/>
      <c r="G1110" s="38" t="n"/>
      <c r="H1110" s="49">
        <f>IF(B1110="","",IFERROR(INDEX('JOBS'!$D$5:$D$1504,MATCH(B1110,'JOBS'!$A$5:$A$1504,0)),"Job ID not found"))</f>
        <v/>
      </c>
      <c r="I1110" s="49">
        <f>IF(B1110="","",IFERROR(INDEX('JOBS'!$F$5:$F$1504,MATCH(B1110,'JOBS'!$A$5:$A$1504,0)),""))</f>
        <v/>
      </c>
      <c r="J1110" s="55">
        <f>IF(C1110="","",ROUND(C1110*IF(IFERROR(INDEX('SETTINGS'!$K$5:$K$24,MATCH(E1110,'SETTINGS'!$J$5:$J$24,0)),"No")="Yes",FeePct,0),2))</f>
        <v/>
      </c>
      <c r="K1110" s="51">
        <f>IF(A1110="","",DATE(YEAR(A1110),MONTH(A1110),1))</f>
        <v/>
      </c>
    </row>
    <row r="1111">
      <c r="A1111" s="47" t="n"/>
      <c r="B1111" s="38" t="n"/>
      <c r="C1111" s="48" t="n"/>
      <c r="D1111" s="48" t="n"/>
      <c r="E1111" s="38" t="n"/>
      <c r="F1111" s="38" t="n"/>
      <c r="G1111" s="38" t="n"/>
      <c r="H1111" s="49">
        <f>IF(B1111="","",IFERROR(INDEX('JOBS'!$D$5:$D$1504,MATCH(B1111,'JOBS'!$A$5:$A$1504,0)),"Job ID not found"))</f>
        <v/>
      </c>
      <c r="I1111" s="49">
        <f>IF(B1111="","",IFERROR(INDEX('JOBS'!$F$5:$F$1504,MATCH(B1111,'JOBS'!$A$5:$A$1504,0)),""))</f>
        <v/>
      </c>
      <c r="J1111" s="55">
        <f>IF(C1111="","",ROUND(C1111*IF(IFERROR(INDEX('SETTINGS'!$K$5:$K$24,MATCH(E1111,'SETTINGS'!$J$5:$J$24,0)),"No")="Yes",FeePct,0),2))</f>
        <v/>
      </c>
      <c r="K1111" s="51">
        <f>IF(A1111="","",DATE(YEAR(A1111),MONTH(A1111),1))</f>
        <v/>
      </c>
    </row>
    <row r="1112">
      <c r="A1112" s="47" t="n"/>
      <c r="B1112" s="38" t="n"/>
      <c r="C1112" s="48" t="n"/>
      <c r="D1112" s="48" t="n"/>
      <c r="E1112" s="38" t="n"/>
      <c r="F1112" s="38" t="n"/>
      <c r="G1112" s="38" t="n"/>
      <c r="H1112" s="49">
        <f>IF(B1112="","",IFERROR(INDEX('JOBS'!$D$5:$D$1504,MATCH(B1112,'JOBS'!$A$5:$A$1504,0)),"Job ID not found"))</f>
        <v/>
      </c>
      <c r="I1112" s="49">
        <f>IF(B1112="","",IFERROR(INDEX('JOBS'!$F$5:$F$1504,MATCH(B1112,'JOBS'!$A$5:$A$1504,0)),""))</f>
        <v/>
      </c>
      <c r="J1112" s="55">
        <f>IF(C1112="","",ROUND(C1112*IF(IFERROR(INDEX('SETTINGS'!$K$5:$K$24,MATCH(E1112,'SETTINGS'!$J$5:$J$24,0)),"No")="Yes",FeePct,0),2))</f>
        <v/>
      </c>
      <c r="K1112" s="51">
        <f>IF(A1112="","",DATE(YEAR(A1112),MONTH(A1112),1))</f>
        <v/>
      </c>
    </row>
    <row r="1113">
      <c r="A1113" s="47" t="n"/>
      <c r="B1113" s="38" t="n"/>
      <c r="C1113" s="48" t="n"/>
      <c r="D1113" s="48" t="n"/>
      <c r="E1113" s="38" t="n"/>
      <c r="F1113" s="38" t="n"/>
      <c r="G1113" s="38" t="n"/>
      <c r="H1113" s="49">
        <f>IF(B1113="","",IFERROR(INDEX('JOBS'!$D$5:$D$1504,MATCH(B1113,'JOBS'!$A$5:$A$1504,0)),"Job ID not found"))</f>
        <v/>
      </c>
      <c r="I1113" s="49">
        <f>IF(B1113="","",IFERROR(INDEX('JOBS'!$F$5:$F$1504,MATCH(B1113,'JOBS'!$A$5:$A$1504,0)),""))</f>
        <v/>
      </c>
      <c r="J1113" s="55">
        <f>IF(C1113="","",ROUND(C1113*IF(IFERROR(INDEX('SETTINGS'!$K$5:$K$24,MATCH(E1113,'SETTINGS'!$J$5:$J$24,0)),"No")="Yes",FeePct,0),2))</f>
        <v/>
      </c>
      <c r="K1113" s="51">
        <f>IF(A1113="","",DATE(YEAR(A1113),MONTH(A1113),1))</f>
        <v/>
      </c>
    </row>
    <row r="1114">
      <c r="A1114" s="47" t="n"/>
      <c r="B1114" s="38" t="n"/>
      <c r="C1114" s="48" t="n"/>
      <c r="D1114" s="48" t="n"/>
      <c r="E1114" s="38" t="n"/>
      <c r="F1114" s="38" t="n"/>
      <c r="G1114" s="38" t="n"/>
      <c r="H1114" s="49">
        <f>IF(B1114="","",IFERROR(INDEX('JOBS'!$D$5:$D$1504,MATCH(B1114,'JOBS'!$A$5:$A$1504,0)),"Job ID not found"))</f>
        <v/>
      </c>
      <c r="I1114" s="49">
        <f>IF(B1114="","",IFERROR(INDEX('JOBS'!$F$5:$F$1504,MATCH(B1114,'JOBS'!$A$5:$A$1504,0)),""))</f>
        <v/>
      </c>
      <c r="J1114" s="55">
        <f>IF(C1114="","",ROUND(C1114*IF(IFERROR(INDEX('SETTINGS'!$K$5:$K$24,MATCH(E1114,'SETTINGS'!$J$5:$J$24,0)),"No")="Yes",FeePct,0),2))</f>
        <v/>
      </c>
      <c r="K1114" s="51">
        <f>IF(A1114="","",DATE(YEAR(A1114),MONTH(A1114),1))</f>
        <v/>
      </c>
    </row>
    <row r="1115">
      <c r="A1115" s="47" t="n"/>
      <c r="B1115" s="38" t="n"/>
      <c r="C1115" s="48" t="n"/>
      <c r="D1115" s="48" t="n"/>
      <c r="E1115" s="38" t="n"/>
      <c r="F1115" s="38" t="n"/>
      <c r="G1115" s="38" t="n"/>
      <c r="H1115" s="49">
        <f>IF(B1115="","",IFERROR(INDEX('JOBS'!$D$5:$D$1504,MATCH(B1115,'JOBS'!$A$5:$A$1504,0)),"Job ID not found"))</f>
        <v/>
      </c>
      <c r="I1115" s="49">
        <f>IF(B1115="","",IFERROR(INDEX('JOBS'!$F$5:$F$1504,MATCH(B1115,'JOBS'!$A$5:$A$1504,0)),""))</f>
        <v/>
      </c>
      <c r="J1115" s="55">
        <f>IF(C1115="","",ROUND(C1115*IF(IFERROR(INDEX('SETTINGS'!$K$5:$K$24,MATCH(E1115,'SETTINGS'!$J$5:$J$24,0)),"No")="Yes",FeePct,0),2))</f>
        <v/>
      </c>
      <c r="K1115" s="51">
        <f>IF(A1115="","",DATE(YEAR(A1115),MONTH(A1115),1))</f>
        <v/>
      </c>
    </row>
    <row r="1116">
      <c r="A1116" s="47" t="n"/>
      <c r="B1116" s="38" t="n"/>
      <c r="C1116" s="48" t="n"/>
      <c r="D1116" s="48" t="n"/>
      <c r="E1116" s="38" t="n"/>
      <c r="F1116" s="38" t="n"/>
      <c r="G1116" s="38" t="n"/>
      <c r="H1116" s="49">
        <f>IF(B1116="","",IFERROR(INDEX('JOBS'!$D$5:$D$1504,MATCH(B1116,'JOBS'!$A$5:$A$1504,0)),"Job ID not found"))</f>
        <v/>
      </c>
      <c r="I1116" s="49">
        <f>IF(B1116="","",IFERROR(INDEX('JOBS'!$F$5:$F$1504,MATCH(B1116,'JOBS'!$A$5:$A$1504,0)),""))</f>
        <v/>
      </c>
      <c r="J1116" s="55">
        <f>IF(C1116="","",ROUND(C1116*IF(IFERROR(INDEX('SETTINGS'!$K$5:$K$24,MATCH(E1116,'SETTINGS'!$J$5:$J$24,0)),"No")="Yes",FeePct,0),2))</f>
        <v/>
      </c>
      <c r="K1116" s="51">
        <f>IF(A1116="","",DATE(YEAR(A1116),MONTH(A1116),1))</f>
        <v/>
      </c>
    </row>
    <row r="1117">
      <c r="A1117" s="47" t="n"/>
      <c r="B1117" s="38" t="n"/>
      <c r="C1117" s="48" t="n"/>
      <c r="D1117" s="48" t="n"/>
      <c r="E1117" s="38" t="n"/>
      <c r="F1117" s="38" t="n"/>
      <c r="G1117" s="38" t="n"/>
      <c r="H1117" s="49">
        <f>IF(B1117="","",IFERROR(INDEX('JOBS'!$D$5:$D$1504,MATCH(B1117,'JOBS'!$A$5:$A$1504,0)),"Job ID not found"))</f>
        <v/>
      </c>
      <c r="I1117" s="49">
        <f>IF(B1117="","",IFERROR(INDEX('JOBS'!$F$5:$F$1504,MATCH(B1117,'JOBS'!$A$5:$A$1504,0)),""))</f>
        <v/>
      </c>
      <c r="J1117" s="55">
        <f>IF(C1117="","",ROUND(C1117*IF(IFERROR(INDEX('SETTINGS'!$K$5:$K$24,MATCH(E1117,'SETTINGS'!$J$5:$J$24,0)),"No")="Yes",FeePct,0),2))</f>
        <v/>
      </c>
      <c r="K1117" s="51">
        <f>IF(A1117="","",DATE(YEAR(A1117),MONTH(A1117),1))</f>
        <v/>
      </c>
    </row>
    <row r="1118">
      <c r="A1118" s="47" t="n"/>
      <c r="B1118" s="38" t="n"/>
      <c r="C1118" s="48" t="n"/>
      <c r="D1118" s="48" t="n"/>
      <c r="E1118" s="38" t="n"/>
      <c r="F1118" s="38" t="n"/>
      <c r="G1118" s="38" t="n"/>
      <c r="H1118" s="49">
        <f>IF(B1118="","",IFERROR(INDEX('JOBS'!$D$5:$D$1504,MATCH(B1118,'JOBS'!$A$5:$A$1504,0)),"Job ID not found"))</f>
        <v/>
      </c>
      <c r="I1118" s="49">
        <f>IF(B1118="","",IFERROR(INDEX('JOBS'!$F$5:$F$1504,MATCH(B1118,'JOBS'!$A$5:$A$1504,0)),""))</f>
        <v/>
      </c>
      <c r="J1118" s="55">
        <f>IF(C1118="","",ROUND(C1118*IF(IFERROR(INDEX('SETTINGS'!$K$5:$K$24,MATCH(E1118,'SETTINGS'!$J$5:$J$24,0)),"No")="Yes",FeePct,0),2))</f>
        <v/>
      </c>
      <c r="K1118" s="51">
        <f>IF(A1118="","",DATE(YEAR(A1118),MONTH(A1118),1))</f>
        <v/>
      </c>
    </row>
    <row r="1119">
      <c r="A1119" s="47" t="n"/>
      <c r="B1119" s="38" t="n"/>
      <c r="C1119" s="48" t="n"/>
      <c r="D1119" s="48" t="n"/>
      <c r="E1119" s="38" t="n"/>
      <c r="F1119" s="38" t="n"/>
      <c r="G1119" s="38" t="n"/>
      <c r="H1119" s="49">
        <f>IF(B1119="","",IFERROR(INDEX('JOBS'!$D$5:$D$1504,MATCH(B1119,'JOBS'!$A$5:$A$1504,0)),"Job ID not found"))</f>
        <v/>
      </c>
      <c r="I1119" s="49">
        <f>IF(B1119="","",IFERROR(INDEX('JOBS'!$F$5:$F$1504,MATCH(B1119,'JOBS'!$A$5:$A$1504,0)),""))</f>
        <v/>
      </c>
      <c r="J1119" s="55">
        <f>IF(C1119="","",ROUND(C1119*IF(IFERROR(INDEX('SETTINGS'!$K$5:$K$24,MATCH(E1119,'SETTINGS'!$J$5:$J$24,0)),"No")="Yes",FeePct,0),2))</f>
        <v/>
      </c>
      <c r="K1119" s="51">
        <f>IF(A1119="","",DATE(YEAR(A1119),MONTH(A1119),1))</f>
        <v/>
      </c>
    </row>
    <row r="1120">
      <c r="A1120" s="47" t="n"/>
      <c r="B1120" s="38" t="n"/>
      <c r="C1120" s="48" t="n"/>
      <c r="D1120" s="48" t="n"/>
      <c r="E1120" s="38" t="n"/>
      <c r="F1120" s="38" t="n"/>
      <c r="G1120" s="38" t="n"/>
      <c r="H1120" s="49">
        <f>IF(B1120="","",IFERROR(INDEX('JOBS'!$D$5:$D$1504,MATCH(B1120,'JOBS'!$A$5:$A$1504,0)),"Job ID not found"))</f>
        <v/>
      </c>
      <c r="I1120" s="49">
        <f>IF(B1120="","",IFERROR(INDEX('JOBS'!$F$5:$F$1504,MATCH(B1120,'JOBS'!$A$5:$A$1504,0)),""))</f>
        <v/>
      </c>
      <c r="J1120" s="55">
        <f>IF(C1120="","",ROUND(C1120*IF(IFERROR(INDEX('SETTINGS'!$K$5:$K$24,MATCH(E1120,'SETTINGS'!$J$5:$J$24,0)),"No")="Yes",FeePct,0),2))</f>
        <v/>
      </c>
      <c r="K1120" s="51">
        <f>IF(A1120="","",DATE(YEAR(A1120),MONTH(A1120),1))</f>
        <v/>
      </c>
    </row>
    <row r="1121">
      <c r="A1121" s="47" t="n"/>
      <c r="B1121" s="38" t="n"/>
      <c r="C1121" s="48" t="n"/>
      <c r="D1121" s="48" t="n"/>
      <c r="E1121" s="38" t="n"/>
      <c r="F1121" s="38" t="n"/>
      <c r="G1121" s="38" t="n"/>
      <c r="H1121" s="49">
        <f>IF(B1121="","",IFERROR(INDEX('JOBS'!$D$5:$D$1504,MATCH(B1121,'JOBS'!$A$5:$A$1504,0)),"Job ID not found"))</f>
        <v/>
      </c>
      <c r="I1121" s="49">
        <f>IF(B1121="","",IFERROR(INDEX('JOBS'!$F$5:$F$1504,MATCH(B1121,'JOBS'!$A$5:$A$1504,0)),""))</f>
        <v/>
      </c>
      <c r="J1121" s="55">
        <f>IF(C1121="","",ROUND(C1121*IF(IFERROR(INDEX('SETTINGS'!$K$5:$K$24,MATCH(E1121,'SETTINGS'!$J$5:$J$24,0)),"No")="Yes",FeePct,0),2))</f>
        <v/>
      </c>
      <c r="K1121" s="51">
        <f>IF(A1121="","",DATE(YEAR(A1121),MONTH(A1121),1))</f>
        <v/>
      </c>
    </row>
    <row r="1122">
      <c r="A1122" s="47" t="n"/>
      <c r="B1122" s="38" t="n"/>
      <c r="C1122" s="48" t="n"/>
      <c r="D1122" s="48" t="n"/>
      <c r="E1122" s="38" t="n"/>
      <c r="F1122" s="38" t="n"/>
      <c r="G1122" s="38" t="n"/>
      <c r="H1122" s="49">
        <f>IF(B1122="","",IFERROR(INDEX('JOBS'!$D$5:$D$1504,MATCH(B1122,'JOBS'!$A$5:$A$1504,0)),"Job ID not found"))</f>
        <v/>
      </c>
      <c r="I1122" s="49">
        <f>IF(B1122="","",IFERROR(INDEX('JOBS'!$F$5:$F$1504,MATCH(B1122,'JOBS'!$A$5:$A$1504,0)),""))</f>
        <v/>
      </c>
      <c r="J1122" s="55">
        <f>IF(C1122="","",ROUND(C1122*IF(IFERROR(INDEX('SETTINGS'!$K$5:$K$24,MATCH(E1122,'SETTINGS'!$J$5:$J$24,0)),"No")="Yes",FeePct,0),2))</f>
        <v/>
      </c>
      <c r="K1122" s="51">
        <f>IF(A1122="","",DATE(YEAR(A1122),MONTH(A1122),1))</f>
        <v/>
      </c>
    </row>
    <row r="1123">
      <c r="A1123" s="47" t="n"/>
      <c r="B1123" s="38" t="n"/>
      <c r="C1123" s="48" t="n"/>
      <c r="D1123" s="48" t="n"/>
      <c r="E1123" s="38" t="n"/>
      <c r="F1123" s="38" t="n"/>
      <c r="G1123" s="38" t="n"/>
      <c r="H1123" s="49">
        <f>IF(B1123="","",IFERROR(INDEX('JOBS'!$D$5:$D$1504,MATCH(B1123,'JOBS'!$A$5:$A$1504,0)),"Job ID not found"))</f>
        <v/>
      </c>
      <c r="I1123" s="49">
        <f>IF(B1123="","",IFERROR(INDEX('JOBS'!$F$5:$F$1504,MATCH(B1123,'JOBS'!$A$5:$A$1504,0)),""))</f>
        <v/>
      </c>
      <c r="J1123" s="55">
        <f>IF(C1123="","",ROUND(C1123*IF(IFERROR(INDEX('SETTINGS'!$K$5:$K$24,MATCH(E1123,'SETTINGS'!$J$5:$J$24,0)),"No")="Yes",FeePct,0),2))</f>
        <v/>
      </c>
      <c r="K1123" s="51">
        <f>IF(A1123="","",DATE(YEAR(A1123),MONTH(A1123),1))</f>
        <v/>
      </c>
    </row>
    <row r="1124">
      <c r="A1124" s="47" t="n"/>
      <c r="B1124" s="38" t="n"/>
      <c r="C1124" s="48" t="n"/>
      <c r="D1124" s="48" t="n"/>
      <c r="E1124" s="38" t="n"/>
      <c r="F1124" s="38" t="n"/>
      <c r="G1124" s="38" t="n"/>
      <c r="H1124" s="49">
        <f>IF(B1124="","",IFERROR(INDEX('JOBS'!$D$5:$D$1504,MATCH(B1124,'JOBS'!$A$5:$A$1504,0)),"Job ID not found"))</f>
        <v/>
      </c>
      <c r="I1124" s="49">
        <f>IF(B1124="","",IFERROR(INDEX('JOBS'!$F$5:$F$1504,MATCH(B1124,'JOBS'!$A$5:$A$1504,0)),""))</f>
        <v/>
      </c>
      <c r="J1124" s="55">
        <f>IF(C1124="","",ROUND(C1124*IF(IFERROR(INDEX('SETTINGS'!$K$5:$K$24,MATCH(E1124,'SETTINGS'!$J$5:$J$24,0)),"No")="Yes",FeePct,0),2))</f>
        <v/>
      </c>
      <c r="K1124" s="51">
        <f>IF(A1124="","",DATE(YEAR(A1124),MONTH(A1124),1))</f>
        <v/>
      </c>
    </row>
    <row r="1125">
      <c r="A1125" s="47" t="n"/>
      <c r="B1125" s="38" t="n"/>
      <c r="C1125" s="48" t="n"/>
      <c r="D1125" s="48" t="n"/>
      <c r="E1125" s="38" t="n"/>
      <c r="F1125" s="38" t="n"/>
      <c r="G1125" s="38" t="n"/>
      <c r="H1125" s="49">
        <f>IF(B1125="","",IFERROR(INDEX('JOBS'!$D$5:$D$1504,MATCH(B1125,'JOBS'!$A$5:$A$1504,0)),"Job ID not found"))</f>
        <v/>
      </c>
      <c r="I1125" s="49">
        <f>IF(B1125="","",IFERROR(INDEX('JOBS'!$F$5:$F$1504,MATCH(B1125,'JOBS'!$A$5:$A$1504,0)),""))</f>
        <v/>
      </c>
      <c r="J1125" s="55">
        <f>IF(C1125="","",ROUND(C1125*IF(IFERROR(INDEX('SETTINGS'!$K$5:$K$24,MATCH(E1125,'SETTINGS'!$J$5:$J$24,0)),"No")="Yes",FeePct,0),2))</f>
        <v/>
      </c>
      <c r="K1125" s="51">
        <f>IF(A1125="","",DATE(YEAR(A1125),MONTH(A1125),1))</f>
        <v/>
      </c>
    </row>
    <row r="1126">
      <c r="A1126" s="47" t="n"/>
      <c r="B1126" s="38" t="n"/>
      <c r="C1126" s="48" t="n"/>
      <c r="D1126" s="48" t="n"/>
      <c r="E1126" s="38" t="n"/>
      <c r="F1126" s="38" t="n"/>
      <c r="G1126" s="38" t="n"/>
      <c r="H1126" s="49">
        <f>IF(B1126="","",IFERROR(INDEX('JOBS'!$D$5:$D$1504,MATCH(B1126,'JOBS'!$A$5:$A$1504,0)),"Job ID not found"))</f>
        <v/>
      </c>
      <c r="I1126" s="49">
        <f>IF(B1126="","",IFERROR(INDEX('JOBS'!$F$5:$F$1504,MATCH(B1126,'JOBS'!$A$5:$A$1504,0)),""))</f>
        <v/>
      </c>
      <c r="J1126" s="55">
        <f>IF(C1126="","",ROUND(C1126*IF(IFERROR(INDEX('SETTINGS'!$K$5:$K$24,MATCH(E1126,'SETTINGS'!$J$5:$J$24,0)),"No")="Yes",FeePct,0),2))</f>
        <v/>
      </c>
      <c r="K1126" s="51">
        <f>IF(A1126="","",DATE(YEAR(A1126),MONTH(A1126),1))</f>
        <v/>
      </c>
    </row>
    <row r="1127">
      <c r="A1127" s="47" t="n"/>
      <c r="B1127" s="38" t="n"/>
      <c r="C1127" s="48" t="n"/>
      <c r="D1127" s="48" t="n"/>
      <c r="E1127" s="38" t="n"/>
      <c r="F1127" s="38" t="n"/>
      <c r="G1127" s="38" t="n"/>
      <c r="H1127" s="49">
        <f>IF(B1127="","",IFERROR(INDEX('JOBS'!$D$5:$D$1504,MATCH(B1127,'JOBS'!$A$5:$A$1504,0)),"Job ID not found"))</f>
        <v/>
      </c>
      <c r="I1127" s="49">
        <f>IF(B1127="","",IFERROR(INDEX('JOBS'!$F$5:$F$1504,MATCH(B1127,'JOBS'!$A$5:$A$1504,0)),""))</f>
        <v/>
      </c>
      <c r="J1127" s="55">
        <f>IF(C1127="","",ROUND(C1127*IF(IFERROR(INDEX('SETTINGS'!$K$5:$K$24,MATCH(E1127,'SETTINGS'!$J$5:$J$24,0)),"No")="Yes",FeePct,0),2))</f>
        <v/>
      </c>
      <c r="K1127" s="51">
        <f>IF(A1127="","",DATE(YEAR(A1127),MONTH(A1127),1))</f>
        <v/>
      </c>
    </row>
    <row r="1128">
      <c r="A1128" s="47" t="n"/>
      <c r="B1128" s="38" t="n"/>
      <c r="C1128" s="48" t="n"/>
      <c r="D1128" s="48" t="n"/>
      <c r="E1128" s="38" t="n"/>
      <c r="F1128" s="38" t="n"/>
      <c r="G1128" s="38" t="n"/>
      <c r="H1128" s="49">
        <f>IF(B1128="","",IFERROR(INDEX('JOBS'!$D$5:$D$1504,MATCH(B1128,'JOBS'!$A$5:$A$1504,0)),"Job ID not found"))</f>
        <v/>
      </c>
      <c r="I1128" s="49">
        <f>IF(B1128="","",IFERROR(INDEX('JOBS'!$F$5:$F$1504,MATCH(B1128,'JOBS'!$A$5:$A$1504,0)),""))</f>
        <v/>
      </c>
      <c r="J1128" s="55">
        <f>IF(C1128="","",ROUND(C1128*IF(IFERROR(INDEX('SETTINGS'!$K$5:$K$24,MATCH(E1128,'SETTINGS'!$J$5:$J$24,0)),"No")="Yes",FeePct,0),2))</f>
        <v/>
      </c>
      <c r="K1128" s="51">
        <f>IF(A1128="","",DATE(YEAR(A1128),MONTH(A1128),1))</f>
        <v/>
      </c>
    </row>
    <row r="1129">
      <c r="A1129" s="47" t="n"/>
      <c r="B1129" s="38" t="n"/>
      <c r="C1129" s="48" t="n"/>
      <c r="D1129" s="48" t="n"/>
      <c r="E1129" s="38" t="n"/>
      <c r="F1129" s="38" t="n"/>
      <c r="G1129" s="38" t="n"/>
      <c r="H1129" s="49">
        <f>IF(B1129="","",IFERROR(INDEX('JOBS'!$D$5:$D$1504,MATCH(B1129,'JOBS'!$A$5:$A$1504,0)),"Job ID not found"))</f>
        <v/>
      </c>
      <c r="I1129" s="49">
        <f>IF(B1129="","",IFERROR(INDEX('JOBS'!$F$5:$F$1504,MATCH(B1129,'JOBS'!$A$5:$A$1504,0)),""))</f>
        <v/>
      </c>
      <c r="J1129" s="55">
        <f>IF(C1129="","",ROUND(C1129*IF(IFERROR(INDEX('SETTINGS'!$K$5:$K$24,MATCH(E1129,'SETTINGS'!$J$5:$J$24,0)),"No")="Yes",FeePct,0),2))</f>
        <v/>
      </c>
      <c r="K1129" s="51">
        <f>IF(A1129="","",DATE(YEAR(A1129),MONTH(A1129),1))</f>
        <v/>
      </c>
    </row>
    <row r="1130">
      <c r="A1130" s="47" t="n"/>
      <c r="B1130" s="38" t="n"/>
      <c r="C1130" s="48" t="n"/>
      <c r="D1130" s="48" t="n"/>
      <c r="E1130" s="38" t="n"/>
      <c r="F1130" s="38" t="n"/>
      <c r="G1130" s="38" t="n"/>
      <c r="H1130" s="49">
        <f>IF(B1130="","",IFERROR(INDEX('JOBS'!$D$5:$D$1504,MATCH(B1130,'JOBS'!$A$5:$A$1504,0)),"Job ID not found"))</f>
        <v/>
      </c>
      <c r="I1130" s="49">
        <f>IF(B1130="","",IFERROR(INDEX('JOBS'!$F$5:$F$1504,MATCH(B1130,'JOBS'!$A$5:$A$1504,0)),""))</f>
        <v/>
      </c>
      <c r="J1130" s="55">
        <f>IF(C1130="","",ROUND(C1130*IF(IFERROR(INDEX('SETTINGS'!$K$5:$K$24,MATCH(E1130,'SETTINGS'!$J$5:$J$24,0)),"No")="Yes",FeePct,0),2))</f>
        <v/>
      </c>
      <c r="K1130" s="51">
        <f>IF(A1130="","",DATE(YEAR(A1130),MONTH(A1130),1))</f>
        <v/>
      </c>
    </row>
    <row r="1131">
      <c r="A1131" s="47" t="n"/>
      <c r="B1131" s="38" t="n"/>
      <c r="C1131" s="48" t="n"/>
      <c r="D1131" s="48" t="n"/>
      <c r="E1131" s="38" t="n"/>
      <c r="F1131" s="38" t="n"/>
      <c r="G1131" s="38" t="n"/>
      <c r="H1131" s="49">
        <f>IF(B1131="","",IFERROR(INDEX('JOBS'!$D$5:$D$1504,MATCH(B1131,'JOBS'!$A$5:$A$1504,0)),"Job ID not found"))</f>
        <v/>
      </c>
      <c r="I1131" s="49">
        <f>IF(B1131="","",IFERROR(INDEX('JOBS'!$F$5:$F$1504,MATCH(B1131,'JOBS'!$A$5:$A$1504,0)),""))</f>
        <v/>
      </c>
      <c r="J1131" s="55">
        <f>IF(C1131="","",ROUND(C1131*IF(IFERROR(INDEX('SETTINGS'!$K$5:$K$24,MATCH(E1131,'SETTINGS'!$J$5:$J$24,0)),"No")="Yes",FeePct,0),2))</f>
        <v/>
      </c>
      <c r="K1131" s="51">
        <f>IF(A1131="","",DATE(YEAR(A1131),MONTH(A1131),1))</f>
        <v/>
      </c>
    </row>
    <row r="1132">
      <c r="A1132" s="47" t="n"/>
      <c r="B1132" s="38" t="n"/>
      <c r="C1132" s="48" t="n"/>
      <c r="D1132" s="48" t="n"/>
      <c r="E1132" s="38" t="n"/>
      <c r="F1132" s="38" t="n"/>
      <c r="G1132" s="38" t="n"/>
      <c r="H1132" s="49">
        <f>IF(B1132="","",IFERROR(INDEX('JOBS'!$D$5:$D$1504,MATCH(B1132,'JOBS'!$A$5:$A$1504,0)),"Job ID not found"))</f>
        <v/>
      </c>
      <c r="I1132" s="49">
        <f>IF(B1132="","",IFERROR(INDEX('JOBS'!$F$5:$F$1504,MATCH(B1132,'JOBS'!$A$5:$A$1504,0)),""))</f>
        <v/>
      </c>
      <c r="J1132" s="55">
        <f>IF(C1132="","",ROUND(C1132*IF(IFERROR(INDEX('SETTINGS'!$K$5:$K$24,MATCH(E1132,'SETTINGS'!$J$5:$J$24,0)),"No")="Yes",FeePct,0),2))</f>
        <v/>
      </c>
      <c r="K1132" s="51">
        <f>IF(A1132="","",DATE(YEAR(A1132),MONTH(A1132),1))</f>
        <v/>
      </c>
    </row>
    <row r="1133">
      <c r="A1133" s="47" t="n"/>
      <c r="B1133" s="38" t="n"/>
      <c r="C1133" s="48" t="n"/>
      <c r="D1133" s="48" t="n"/>
      <c r="E1133" s="38" t="n"/>
      <c r="F1133" s="38" t="n"/>
      <c r="G1133" s="38" t="n"/>
      <c r="H1133" s="49">
        <f>IF(B1133="","",IFERROR(INDEX('JOBS'!$D$5:$D$1504,MATCH(B1133,'JOBS'!$A$5:$A$1504,0)),"Job ID not found"))</f>
        <v/>
      </c>
      <c r="I1133" s="49">
        <f>IF(B1133="","",IFERROR(INDEX('JOBS'!$F$5:$F$1504,MATCH(B1133,'JOBS'!$A$5:$A$1504,0)),""))</f>
        <v/>
      </c>
      <c r="J1133" s="55">
        <f>IF(C1133="","",ROUND(C1133*IF(IFERROR(INDEX('SETTINGS'!$K$5:$K$24,MATCH(E1133,'SETTINGS'!$J$5:$J$24,0)),"No")="Yes",FeePct,0),2))</f>
        <v/>
      </c>
      <c r="K1133" s="51">
        <f>IF(A1133="","",DATE(YEAR(A1133),MONTH(A1133),1))</f>
        <v/>
      </c>
    </row>
    <row r="1134">
      <c r="A1134" s="47" t="n"/>
      <c r="B1134" s="38" t="n"/>
      <c r="C1134" s="48" t="n"/>
      <c r="D1134" s="48" t="n"/>
      <c r="E1134" s="38" t="n"/>
      <c r="F1134" s="38" t="n"/>
      <c r="G1134" s="38" t="n"/>
      <c r="H1134" s="49">
        <f>IF(B1134="","",IFERROR(INDEX('JOBS'!$D$5:$D$1504,MATCH(B1134,'JOBS'!$A$5:$A$1504,0)),"Job ID not found"))</f>
        <v/>
      </c>
      <c r="I1134" s="49">
        <f>IF(B1134="","",IFERROR(INDEX('JOBS'!$F$5:$F$1504,MATCH(B1134,'JOBS'!$A$5:$A$1504,0)),""))</f>
        <v/>
      </c>
      <c r="J1134" s="55">
        <f>IF(C1134="","",ROUND(C1134*IF(IFERROR(INDEX('SETTINGS'!$K$5:$K$24,MATCH(E1134,'SETTINGS'!$J$5:$J$24,0)),"No")="Yes",FeePct,0),2))</f>
        <v/>
      </c>
      <c r="K1134" s="51">
        <f>IF(A1134="","",DATE(YEAR(A1134),MONTH(A1134),1))</f>
        <v/>
      </c>
    </row>
    <row r="1135">
      <c r="A1135" s="47" t="n"/>
      <c r="B1135" s="38" t="n"/>
      <c r="C1135" s="48" t="n"/>
      <c r="D1135" s="48" t="n"/>
      <c r="E1135" s="38" t="n"/>
      <c r="F1135" s="38" t="n"/>
      <c r="G1135" s="38" t="n"/>
      <c r="H1135" s="49">
        <f>IF(B1135="","",IFERROR(INDEX('JOBS'!$D$5:$D$1504,MATCH(B1135,'JOBS'!$A$5:$A$1504,0)),"Job ID not found"))</f>
        <v/>
      </c>
      <c r="I1135" s="49">
        <f>IF(B1135="","",IFERROR(INDEX('JOBS'!$F$5:$F$1504,MATCH(B1135,'JOBS'!$A$5:$A$1504,0)),""))</f>
        <v/>
      </c>
      <c r="J1135" s="55">
        <f>IF(C1135="","",ROUND(C1135*IF(IFERROR(INDEX('SETTINGS'!$K$5:$K$24,MATCH(E1135,'SETTINGS'!$J$5:$J$24,0)),"No")="Yes",FeePct,0),2))</f>
        <v/>
      </c>
      <c r="K1135" s="51">
        <f>IF(A1135="","",DATE(YEAR(A1135),MONTH(A1135),1))</f>
        <v/>
      </c>
    </row>
    <row r="1136">
      <c r="A1136" s="47" t="n"/>
      <c r="B1136" s="38" t="n"/>
      <c r="C1136" s="48" t="n"/>
      <c r="D1136" s="48" t="n"/>
      <c r="E1136" s="38" t="n"/>
      <c r="F1136" s="38" t="n"/>
      <c r="G1136" s="38" t="n"/>
      <c r="H1136" s="49">
        <f>IF(B1136="","",IFERROR(INDEX('JOBS'!$D$5:$D$1504,MATCH(B1136,'JOBS'!$A$5:$A$1504,0)),"Job ID not found"))</f>
        <v/>
      </c>
      <c r="I1136" s="49">
        <f>IF(B1136="","",IFERROR(INDEX('JOBS'!$F$5:$F$1504,MATCH(B1136,'JOBS'!$A$5:$A$1504,0)),""))</f>
        <v/>
      </c>
      <c r="J1136" s="55">
        <f>IF(C1136="","",ROUND(C1136*IF(IFERROR(INDEX('SETTINGS'!$K$5:$K$24,MATCH(E1136,'SETTINGS'!$J$5:$J$24,0)),"No")="Yes",FeePct,0),2))</f>
        <v/>
      </c>
      <c r="K1136" s="51">
        <f>IF(A1136="","",DATE(YEAR(A1136),MONTH(A1136),1))</f>
        <v/>
      </c>
    </row>
    <row r="1137">
      <c r="A1137" s="47" t="n"/>
      <c r="B1137" s="38" t="n"/>
      <c r="C1137" s="48" t="n"/>
      <c r="D1137" s="48" t="n"/>
      <c r="E1137" s="38" t="n"/>
      <c r="F1137" s="38" t="n"/>
      <c r="G1137" s="38" t="n"/>
      <c r="H1137" s="49">
        <f>IF(B1137="","",IFERROR(INDEX('JOBS'!$D$5:$D$1504,MATCH(B1137,'JOBS'!$A$5:$A$1504,0)),"Job ID not found"))</f>
        <v/>
      </c>
      <c r="I1137" s="49">
        <f>IF(B1137="","",IFERROR(INDEX('JOBS'!$F$5:$F$1504,MATCH(B1137,'JOBS'!$A$5:$A$1504,0)),""))</f>
        <v/>
      </c>
      <c r="J1137" s="55">
        <f>IF(C1137="","",ROUND(C1137*IF(IFERROR(INDEX('SETTINGS'!$K$5:$K$24,MATCH(E1137,'SETTINGS'!$J$5:$J$24,0)),"No")="Yes",FeePct,0),2))</f>
        <v/>
      </c>
      <c r="K1137" s="51">
        <f>IF(A1137="","",DATE(YEAR(A1137),MONTH(A1137),1))</f>
        <v/>
      </c>
    </row>
    <row r="1138">
      <c r="A1138" s="47" t="n"/>
      <c r="B1138" s="38" t="n"/>
      <c r="C1138" s="48" t="n"/>
      <c r="D1138" s="48" t="n"/>
      <c r="E1138" s="38" t="n"/>
      <c r="F1138" s="38" t="n"/>
      <c r="G1138" s="38" t="n"/>
      <c r="H1138" s="49">
        <f>IF(B1138="","",IFERROR(INDEX('JOBS'!$D$5:$D$1504,MATCH(B1138,'JOBS'!$A$5:$A$1504,0)),"Job ID not found"))</f>
        <v/>
      </c>
      <c r="I1138" s="49">
        <f>IF(B1138="","",IFERROR(INDEX('JOBS'!$F$5:$F$1504,MATCH(B1138,'JOBS'!$A$5:$A$1504,0)),""))</f>
        <v/>
      </c>
      <c r="J1138" s="55">
        <f>IF(C1138="","",ROUND(C1138*IF(IFERROR(INDEX('SETTINGS'!$K$5:$K$24,MATCH(E1138,'SETTINGS'!$J$5:$J$24,0)),"No")="Yes",FeePct,0),2))</f>
        <v/>
      </c>
      <c r="K1138" s="51">
        <f>IF(A1138="","",DATE(YEAR(A1138),MONTH(A1138),1))</f>
        <v/>
      </c>
    </row>
    <row r="1139">
      <c r="A1139" s="47" t="n"/>
      <c r="B1139" s="38" t="n"/>
      <c r="C1139" s="48" t="n"/>
      <c r="D1139" s="48" t="n"/>
      <c r="E1139" s="38" t="n"/>
      <c r="F1139" s="38" t="n"/>
      <c r="G1139" s="38" t="n"/>
      <c r="H1139" s="49">
        <f>IF(B1139="","",IFERROR(INDEX('JOBS'!$D$5:$D$1504,MATCH(B1139,'JOBS'!$A$5:$A$1504,0)),"Job ID not found"))</f>
        <v/>
      </c>
      <c r="I1139" s="49">
        <f>IF(B1139="","",IFERROR(INDEX('JOBS'!$F$5:$F$1504,MATCH(B1139,'JOBS'!$A$5:$A$1504,0)),""))</f>
        <v/>
      </c>
      <c r="J1139" s="55">
        <f>IF(C1139="","",ROUND(C1139*IF(IFERROR(INDEX('SETTINGS'!$K$5:$K$24,MATCH(E1139,'SETTINGS'!$J$5:$J$24,0)),"No")="Yes",FeePct,0),2))</f>
        <v/>
      </c>
      <c r="K1139" s="51">
        <f>IF(A1139="","",DATE(YEAR(A1139),MONTH(A1139),1))</f>
        <v/>
      </c>
    </row>
    <row r="1140">
      <c r="A1140" s="47" t="n"/>
      <c r="B1140" s="38" t="n"/>
      <c r="C1140" s="48" t="n"/>
      <c r="D1140" s="48" t="n"/>
      <c r="E1140" s="38" t="n"/>
      <c r="F1140" s="38" t="n"/>
      <c r="G1140" s="38" t="n"/>
      <c r="H1140" s="49">
        <f>IF(B1140="","",IFERROR(INDEX('JOBS'!$D$5:$D$1504,MATCH(B1140,'JOBS'!$A$5:$A$1504,0)),"Job ID not found"))</f>
        <v/>
      </c>
      <c r="I1140" s="49">
        <f>IF(B1140="","",IFERROR(INDEX('JOBS'!$F$5:$F$1504,MATCH(B1140,'JOBS'!$A$5:$A$1504,0)),""))</f>
        <v/>
      </c>
      <c r="J1140" s="55">
        <f>IF(C1140="","",ROUND(C1140*IF(IFERROR(INDEX('SETTINGS'!$K$5:$K$24,MATCH(E1140,'SETTINGS'!$J$5:$J$24,0)),"No")="Yes",FeePct,0),2))</f>
        <v/>
      </c>
      <c r="K1140" s="51">
        <f>IF(A1140="","",DATE(YEAR(A1140),MONTH(A1140),1))</f>
        <v/>
      </c>
    </row>
    <row r="1141">
      <c r="A1141" s="47" t="n"/>
      <c r="B1141" s="38" t="n"/>
      <c r="C1141" s="48" t="n"/>
      <c r="D1141" s="48" t="n"/>
      <c r="E1141" s="38" t="n"/>
      <c r="F1141" s="38" t="n"/>
      <c r="G1141" s="38" t="n"/>
      <c r="H1141" s="49">
        <f>IF(B1141="","",IFERROR(INDEX('JOBS'!$D$5:$D$1504,MATCH(B1141,'JOBS'!$A$5:$A$1504,0)),"Job ID not found"))</f>
        <v/>
      </c>
      <c r="I1141" s="49">
        <f>IF(B1141="","",IFERROR(INDEX('JOBS'!$F$5:$F$1504,MATCH(B1141,'JOBS'!$A$5:$A$1504,0)),""))</f>
        <v/>
      </c>
      <c r="J1141" s="55">
        <f>IF(C1141="","",ROUND(C1141*IF(IFERROR(INDEX('SETTINGS'!$K$5:$K$24,MATCH(E1141,'SETTINGS'!$J$5:$J$24,0)),"No")="Yes",FeePct,0),2))</f>
        <v/>
      </c>
      <c r="K1141" s="51">
        <f>IF(A1141="","",DATE(YEAR(A1141),MONTH(A1141),1))</f>
        <v/>
      </c>
    </row>
    <row r="1142">
      <c r="A1142" s="47" t="n"/>
      <c r="B1142" s="38" t="n"/>
      <c r="C1142" s="48" t="n"/>
      <c r="D1142" s="48" t="n"/>
      <c r="E1142" s="38" t="n"/>
      <c r="F1142" s="38" t="n"/>
      <c r="G1142" s="38" t="n"/>
      <c r="H1142" s="49">
        <f>IF(B1142="","",IFERROR(INDEX('JOBS'!$D$5:$D$1504,MATCH(B1142,'JOBS'!$A$5:$A$1504,0)),"Job ID not found"))</f>
        <v/>
      </c>
      <c r="I1142" s="49">
        <f>IF(B1142="","",IFERROR(INDEX('JOBS'!$F$5:$F$1504,MATCH(B1142,'JOBS'!$A$5:$A$1504,0)),""))</f>
        <v/>
      </c>
      <c r="J1142" s="55">
        <f>IF(C1142="","",ROUND(C1142*IF(IFERROR(INDEX('SETTINGS'!$K$5:$K$24,MATCH(E1142,'SETTINGS'!$J$5:$J$24,0)),"No")="Yes",FeePct,0),2))</f>
        <v/>
      </c>
      <c r="K1142" s="51">
        <f>IF(A1142="","",DATE(YEAR(A1142),MONTH(A1142),1))</f>
        <v/>
      </c>
    </row>
    <row r="1143">
      <c r="A1143" s="47" t="n"/>
      <c r="B1143" s="38" t="n"/>
      <c r="C1143" s="48" t="n"/>
      <c r="D1143" s="48" t="n"/>
      <c r="E1143" s="38" t="n"/>
      <c r="F1143" s="38" t="n"/>
      <c r="G1143" s="38" t="n"/>
      <c r="H1143" s="49">
        <f>IF(B1143="","",IFERROR(INDEX('JOBS'!$D$5:$D$1504,MATCH(B1143,'JOBS'!$A$5:$A$1504,0)),"Job ID not found"))</f>
        <v/>
      </c>
      <c r="I1143" s="49">
        <f>IF(B1143="","",IFERROR(INDEX('JOBS'!$F$5:$F$1504,MATCH(B1143,'JOBS'!$A$5:$A$1504,0)),""))</f>
        <v/>
      </c>
      <c r="J1143" s="55">
        <f>IF(C1143="","",ROUND(C1143*IF(IFERROR(INDEX('SETTINGS'!$K$5:$K$24,MATCH(E1143,'SETTINGS'!$J$5:$J$24,0)),"No")="Yes",FeePct,0),2))</f>
        <v/>
      </c>
      <c r="K1143" s="51">
        <f>IF(A1143="","",DATE(YEAR(A1143),MONTH(A1143),1))</f>
        <v/>
      </c>
    </row>
    <row r="1144">
      <c r="A1144" s="47" t="n"/>
      <c r="B1144" s="38" t="n"/>
      <c r="C1144" s="48" t="n"/>
      <c r="D1144" s="48" t="n"/>
      <c r="E1144" s="38" t="n"/>
      <c r="F1144" s="38" t="n"/>
      <c r="G1144" s="38" t="n"/>
      <c r="H1144" s="49">
        <f>IF(B1144="","",IFERROR(INDEX('JOBS'!$D$5:$D$1504,MATCH(B1144,'JOBS'!$A$5:$A$1504,0)),"Job ID not found"))</f>
        <v/>
      </c>
      <c r="I1144" s="49">
        <f>IF(B1144="","",IFERROR(INDEX('JOBS'!$F$5:$F$1504,MATCH(B1144,'JOBS'!$A$5:$A$1504,0)),""))</f>
        <v/>
      </c>
      <c r="J1144" s="55">
        <f>IF(C1144="","",ROUND(C1144*IF(IFERROR(INDEX('SETTINGS'!$K$5:$K$24,MATCH(E1144,'SETTINGS'!$J$5:$J$24,0)),"No")="Yes",FeePct,0),2))</f>
        <v/>
      </c>
      <c r="K1144" s="51">
        <f>IF(A1144="","",DATE(YEAR(A1144),MONTH(A1144),1))</f>
        <v/>
      </c>
    </row>
    <row r="1145">
      <c r="A1145" s="47" t="n"/>
      <c r="B1145" s="38" t="n"/>
      <c r="C1145" s="48" t="n"/>
      <c r="D1145" s="48" t="n"/>
      <c r="E1145" s="38" t="n"/>
      <c r="F1145" s="38" t="n"/>
      <c r="G1145" s="38" t="n"/>
      <c r="H1145" s="49">
        <f>IF(B1145="","",IFERROR(INDEX('JOBS'!$D$5:$D$1504,MATCH(B1145,'JOBS'!$A$5:$A$1504,0)),"Job ID not found"))</f>
        <v/>
      </c>
      <c r="I1145" s="49">
        <f>IF(B1145="","",IFERROR(INDEX('JOBS'!$F$5:$F$1504,MATCH(B1145,'JOBS'!$A$5:$A$1504,0)),""))</f>
        <v/>
      </c>
      <c r="J1145" s="55">
        <f>IF(C1145="","",ROUND(C1145*IF(IFERROR(INDEX('SETTINGS'!$K$5:$K$24,MATCH(E1145,'SETTINGS'!$J$5:$J$24,0)),"No")="Yes",FeePct,0),2))</f>
        <v/>
      </c>
      <c r="K1145" s="51">
        <f>IF(A1145="","",DATE(YEAR(A1145),MONTH(A1145),1))</f>
        <v/>
      </c>
    </row>
    <row r="1146">
      <c r="A1146" s="47" t="n"/>
      <c r="B1146" s="38" t="n"/>
      <c r="C1146" s="48" t="n"/>
      <c r="D1146" s="48" t="n"/>
      <c r="E1146" s="38" t="n"/>
      <c r="F1146" s="38" t="n"/>
      <c r="G1146" s="38" t="n"/>
      <c r="H1146" s="49">
        <f>IF(B1146="","",IFERROR(INDEX('JOBS'!$D$5:$D$1504,MATCH(B1146,'JOBS'!$A$5:$A$1504,0)),"Job ID not found"))</f>
        <v/>
      </c>
      <c r="I1146" s="49">
        <f>IF(B1146="","",IFERROR(INDEX('JOBS'!$F$5:$F$1504,MATCH(B1146,'JOBS'!$A$5:$A$1504,0)),""))</f>
        <v/>
      </c>
      <c r="J1146" s="55">
        <f>IF(C1146="","",ROUND(C1146*IF(IFERROR(INDEX('SETTINGS'!$K$5:$K$24,MATCH(E1146,'SETTINGS'!$J$5:$J$24,0)),"No")="Yes",FeePct,0),2))</f>
        <v/>
      </c>
      <c r="K1146" s="51">
        <f>IF(A1146="","",DATE(YEAR(A1146),MONTH(A1146),1))</f>
        <v/>
      </c>
    </row>
    <row r="1147">
      <c r="A1147" s="47" t="n"/>
      <c r="B1147" s="38" t="n"/>
      <c r="C1147" s="48" t="n"/>
      <c r="D1147" s="48" t="n"/>
      <c r="E1147" s="38" t="n"/>
      <c r="F1147" s="38" t="n"/>
      <c r="G1147" s="38" t="n"/>
      <c r="H1147" s="49">
        <f>IF(B1147="","",IFERROR(INDEX('JOBS'!$D$5:$D$1504,MATCH(B1147,'JOBS'!$A$5:$A$1504,0)),"Job ID not found"))</f>
        <v/>
      </c>
      <c r="I1147" s="49">
        <f>IF(B1147="","",IFERROR(INDEX('JOBS'!$F$5:$F$1504,MATCH(B1147,'JOBS'!$A$5:$A$1504,0)),""))</f>
        <v/>
      </c>
      <c r="J1147" s="55">
        <f>IF(C1147="","",ROUND(C1147*IF(IFERROR(INDEX('SETTINGS'!$K$5:$K$24,MATCH(E1147,'SETTINGS'!$J$5:$J$24,0)),"No")="Yes",FeePct,0),2))</f>
        <v/>
      </c>
      <c r="K1147" s="51">
        <f>IF(A1147="","",DATE(YEAR(A1147),MONTH(A1147),1))</f>
        <v/>
      </c>
    </row>
    <row r="1148">
      <c r="A1148" s="47" t="n"/>
      <c r="B1148" s="38" t="n"/>
      <c r="C1148" s="48" t="n"/>
      <c r="D1148" s="48" t="n"/>
      <c r="E1148" s="38" t="n"/>
      <c r="F1148" s="38" t="n"/>
      <c r="G1148" s="38" t="n"/>
      <c r="H1148" s="49">
        <f>IF(B1148="","",IFERROR(INDEX('JOBS'!$D$5:$D$1504,MATCH(B1148,'JOBS'!$A$5:$A$1504,0)),"Job ID not found"))</f>
        <v/>
      </c>
      <c r="I1148" s="49">
        <f>IF(B1148="","",IFERROR(INDEX('JOBS'!$F$5:$F$1504,MATCH(B1148,'JOBS'!$A$5:$A$1504,0)),""))</f>
        <v/>
      </c>
      <c r="J1148" s="55">
        <f>IF(C1148="","",ROUND(C1148*IF(IFERROR(INDEX('SETTINGS'!$K$5:$K$24,MATCH(E1148,'SETTINGS'!$J$5:$J$24,0)),"No")="Yes",FeePct,0),2))</f>
        <v/>
      </c>
      <c r="K1148" s="51">
        <f>IF(A1148="","",DATE(YEAR(A1148),MONTH(A1148),1))</f>
        <v/>
      </c>
    </row>
    <row r="1149">
      <c r="A1149" s="47" t="n"/>
      <c r="B1149" s="38" t="n"/>
      <c r="C1149" s="48" t="n"/>
      <c r="D1149" s="48" t="n"/>
      <c r="E1149" s="38" t="n"/>
      <c r="F1149" s="38" t="n"/>
      <c r="G1149" s="38" t="n"/>
      <c r="H1149" s="49">
        <f>IF(B1149="","",IFERROR(INDEX('JOBS'!$D$5:$D$1504,MATCH(B1149,'JOBS'!$A$5:$A$1504,0)),"Job ID not found"))</f>
        <v/>
      </c>
      <c r="I1149" s="49">
        <f>IF(B1149="","",IFERROR(INDEX('JOBS'!$F$5:$F$1504,MATCH(B1149,'JOBS'!$A$5:$A$1504,0)),""))</f>
        <v/>
      </c>
      <c r="J1149" s="55">
        <f>IF(C1149="","",ROUND(C1149*IF(IFERROR(INDEX('SETTINGS'!$K$5:$K$24,MATCH(E1149,'SETTINGS'!$J$5:$J$24,0)),"No")="Yes",FeePct,0),2))</f>
        <v/>
      </c>
      <c r="K1149" s="51">
        <f>IF(A1149="","",DATE(YEAR(A1149),MONTH(A1149),1))</f>
        <v/>
      </c>
    </row>
    <row r="1150">
      <c r="A1150" s="47" t="n"/>
      <c r="B1150" s="38" t="n"/>
      <c r="C1150" s="48" t="n"/>
      <c r="D1150" s="48" t="n"/>
      <c r="E1150" s="38" t="n"/>
      <c r="F1150" s="38" t="n"/>
      <c r="G1150" s="38" t="n"/>
      <c r="H1150" s="49">
        <f>IF(B1150="","",IFERROR(INDEX('JOBS'!$D$5:$D$1504,MATCH(B1150,'JOBS'!$A$5:$A$1504,0)),"Job ID not found"))</f>
        <v/>
      </c>
      <c r="I1150" s="49">
        <f>IF(B1150="","",IFERROR(INDEX('JOBS'!$F$5:$F$1504,MATCH(B1150,'JOBS'!$A$5:$A$1504,0)),""))</f>
        <v/>
      </c>
      <c r="J1150" s="55">
        <f>IF(C1150="","",ROUND(C1150*IF(IFERROR(INDEX('SETTINGS'!$K$5:$K$24,MATCH(E1150,'SETTINGS'!$J$5:$J$24,0)),"No")="Yes",FeePct,0),2))</f>
        <v/>
      </c>
      <c r="K1150" s="51">
        <f>IF(A1150="","",DATE(YEAR(A1150),MONTH(A1150),1))</f>
        <v/>
      </c>
    </row>
    <row r="1151">
      <c r="A1151" s="47" t="n"/>
      <c r="B1151" s="38" t="n"/>
      <c r="C1151" s="48" t="n"/>
      <c r="D1151" s="48" t="n"/>
      <c r="E1151" s="38" t="n"/>
      <c r="F1151" s="38" t="n"/>
      <c r="G1151" s="38" t="n"/>
      <c r="H1151" s="49">
        <f>IF(B1151="","",IFERROR(INDEX('JOBS'!$D$5:$D$1504,MATCH(B1151,'JOBS'!$A$5:$A$1504,0)),"Job ID not found"))</f>
        <v/>
      </c>
      <c r="I1151" s="49">
        <f>IF(B1151="","",IFERROR(INDEX('JOBS'!$F$5:$F$1504,MATCH(B1151,'JOBS'!$A$5:$A$1504,0)),""))</f>
        <v/>
      </c>
      <c r="J1151" s="55">
        <f>IF(C1151="","",ROUND(C1151*IF(IFERROR(INDEX('SETTINGS'!$K$5:$K$24,MATCH(E1151,'SETTINGS'!$J$5:$J$24,0)),"No")="Yes",FeePct,0),2))</f>
        <v/>
      </c>
      <c r="K1151" s="51">
        <f>IF(A1151="","",DATE(YEAR(A1151),MONTH(A1151),1))</f>
        <v/>
      </c>
    </row>
    <row r="1152">
      <c r="A1152" s="47" t="n"/>
      <c r="B1152" s="38" t="n"/>
      <c r="C1152" s="48" t="n"/>
      <c r="D1152" s="48" t="n"/>
      <c r="E1152" s="38" t="n"/>
      <c r="F1152" s="38" t="n"/>
      <c r="G1152" s="38" t="n"/>
      <c r="H1152" s="49">
        <f>IF(B1152="","",IFERROR(INDEX('JOBS'!$D$5:$D$1504,MATCH(B1152,'JOBS'!$A$5:$A$1504,0)),"Job ID not found"))</f>
        <v/>
      </c>
      <c r="I1152" s="49">
        <f>IF(B1152="","",IFERROR(INDEX('JOBS'!$F$5:$F$1504,MATCH(B1152,'JOBS'!$A$5:$A$1504,0)),""))</f>
        <v/>
      </c>
      <c r="J1152" s="55">
        <f>IF(C1152="","",ROUND(C1152*IF(IFERROR(INDEX('SETTINGS'!$K$5:$K$24,MATCH(E1152,'SETTINGS'!$J$5:$J$24,0)),"No")="Yes",FeePct,0),2))</f>
        <v/>
      </c>
      <c r="K1152" s="51">
        <f>IF(A1152="","",DATE(YEAR(A1152),MONTH(A1152),1))</f>
        <v/>
      </c>
    </row>
    <row r="1153">
      <c r="A1153" s="47" t="n"/>
      <c r="B1153" s="38" t="n"/>
      <c r="C1153" s="48" t="n"/>
      <c r="D1153" s="48" t="n"/>
      <c r="E1153" s="38" t="n"/>
      <c r="F1153" s="38" t="n"/>
      <c r="G1153" s="38" t="n"/>
      <c r="H1153" s="49">
        <f>IF(B1153="","",IFERROR(INDEX('JOBS'!$D$5:$D$1504,MATCH(B1153,'JOBS'!$A$5:$A$1504,0)),"Job ID not found"))</f>
        <v/>
      </c>
      <c r="I1153" s="49">
        <f>IF(B1153="","",IFERROR(INDEX('JOBS'!$F$5:$F$1504,MATCH(B1153,'JOBS'!$A$5:$A$1504,0)),""))</f>
        <v/>
      </c>
      <c r="J1153" s="55">
        <f>IF(C1153="","",ROUND(C1153*IF(IFERROR(INDEX('SETTINGS'!$K$5:$K$24,MATCH(E1153,'SETTINGS'!$J$5:$J$24,0)),"No")="Yes",FeePct,0),2))</f>
        <v/>
      </c>
      <c r="K1153" s="51">
        <f>IF(A1153="","",DATE(YEAR(A1153),MONTH(A1153),1))</f>
        <v/>
      </c>
    </row>
    <row r="1154">
      <c r="A1154" s="47" t="n"/>
      <c r="B1154" s="38" t="n"/>
      <c r="C1154" s="48" t="n"/>
      <c r="D1154" s="48" t="n"/>
      <c r="E1154" s="38" t="n"/>
      <c r="F1154" s="38" t="n"/>
      <c r="G1154" s="38" t="n"/>
      <c r="H1154" s="49">
        <f>IF(B1154="","",IFERROR(INDEX('JOBS'!$D$5:$D$1504,MATCH(B1154,'JOBS'!$A$5:$A$1504,0)),"Job ID not found"))</f>
        <v/>
      </c>
      <c r="I1154" s="49">
        <f>IF(B1154="","",IFERROR(INDEX('JOBS'!$F$5:$F$1504,MATCH(B1154,'JOBS'!$A$5:$A$1504,0)),""))</f>
        <v/>
      </c>
      <c r="J1154" s="55">
        <f>IF(C1154="","",ROUND(C1154*IF(IFERROR(INDEX('SETTINGS'!$K$5:$K$24,MATCH(E1154,'SETTINGS'!$J$5:$J$24,0)),"No")="Yes",FeePct,0),2))</f>
        <v/>
      </c>
      <c r="K1154" s="51">
        <f>IF(A1154="","",DATE(YEAR(A1154),MONTH(A1154),1))</f>
        <v/>
      </c>
    </row>
    <row r="1155">
      <c r="A1155" s="47" t="n"/>
      <c r="B1155" s="38" t="n"/>
      <c r="C1155" s="48" t="n"/>
      <c r="D1155" s="48" t="n"/>
      <c r="E1155" s="38" t="n"/>
      <c r="F1155" s="38" t="n"/>
      <c r="G1155" s="38" t="n"/>
      <c r="H1155" s="49">
        <f>IF(B1155="","",IFERROR(INDEX('JOBS'!$D$5:$D$1504,MATCH(B1155,'JOBS'!$A$5:$A$1504,0)),"Job ID not found"))</f>
        <v/>
      </c>
      <c r="I1155" s="49">
        <f>IF(B1155="","",IFERROR(INDEX('JOBS'!$F$5:$F$1504,MATCH(B1155,'JOBS'!$A$5:$A$1504,0)),""))</f>
        <v/>
      </c>
      <c r="J1155" s="55">
        <f>IF(C1155="","",ROUND(C1155*IF(IFERROR(INDEX('SETTINGS'!$K$5:$K$24,MATCH(E1155,'SETTINGS'!$J$5:$J$24,0)),"No")="Yes",FeePct,0),2))</f>
        <v/>
      </c>
      <c r="K1155" s="51">
        <f>IF(A1155="","",DATE(YEAR(A1155),MONTH(A1155),1))</f>
        <v/>
      </c>
    </row>
    <row r="1156">
      <c r="A1156" s="47" t="n"/>
      <c r="B1156" s="38" t="n"/>
      <c r="C1156" s="48" t="n"/>
      <c r="D1156" s="48" t="n"/>
      <c r="E1156" s="38" t="n"/>
      <c r="F1156" s="38" t="n"/>
      <c r="G1156" s="38" t="n"/>
      <c r="H1156" s="49">
        <f>IF(B1156="","",IFERROR(INDEX('JOBS'!$D$5:$D$1504,MATCH(B1156,'JOBS'!$A$5:$A$1504,0)),"Job ID not found"))</f>
        <v/>
      </c>
      <c r="I1156" s="49">
        <f>IF(B1156="","",IFERROR(INDEX('JOBS'!$F$5:$F$1504,MATCH(B1156,'JOBS'!$A$5:$A$1504,0)),""))</f>
        <v/>
      </c>
      <c r="J1156" s="55">
        <f>IF(C1156="","",ROUND(C1156*IF(IFERROR(INDEX('SETTINGS'!$K$5:$K$24,MATCH(E1156,'SETTINGS'!$J$5:$J$24,0)),"No")="Yes",FeePct,0),2))</f>
        <v/>
      </c>
      <c r="K1156" s="51">
        <f>IF(A1156="","",DATE(YEAR(A1156),MONTH(A1156),1))</f>
        <v/>
      </c>
    </row>
    <row r="1157">
      <c r="A1157" s="47" t="n"/>
      <c r="B1157" s="38" t="n"/>
      <c r="C1157" s="48" t="n"/>
      <c r="D1157" s="48" t="n"/>
      <c r="E1157" s="38" t="n"/>
      <c r="F1157" s="38" t="n"/>
      <c r="G1157" s="38" t="n"/>
      <c r="H1157" s="49">
        <f>IF(B1157="","",IFERROR(INDEX('JOBS'!$D$5:$D$1504,MATCH(B1157,'JOBS'!$A$5:$A$1504,0)),"Job ID not found"))</f>
        <v/>
      </c>
      <c r="I1157" s="49">
        <f>IF(B1157="","",IFERROR(INDEX('JOBS'!$F$5:$F$1504,MATCH(B1157,'JOBS'!$A$5:$A$1504,0)),""))</f>
        <v/>
      </c>
      <c r="J1157" s="55">
        <f>IF(C1157="","",ROUND(C1157*IF(IFERROR(INDEX('SETTINGS'!$K$5:$K$24,MATCH(E1157,'SETTINGS'!$J$5:$J$24,0)),"No")="Yes",FeePct,0),2))</f>
        <v/>
      </c>
      <c r="K1157" s="51">
        <f>IF(A1157="","",DATE(YEAR(A1157),MONTH(A1157),1))</f>
        <v/>
      </c>
    </row>
    <row r="1158">
      <c r="A1158" s="47" t="n"/>
      <c r="B1158" s="38" t="n"/>
      <c r="C1158" s="48" t="n"/>
      <c r="D1158" s="48" t="n"/>
      <c r="E1158" s="38" t="n"/>
      <c r="F1158" s="38" t="n"/>
      <c r="G1158" s="38" t="n"/>
      <c r="H1158" s="49">
        <f>IF(B1158="","",IFERROR(INDEX('JOBS'!$D$5:$D$1504,MATCH(B1158,'JOBS'!$A$5:$A$1504,0)),"Job ID not found"))</f>
        <v/>
      </c>
      <c r="I1158" s="49">
        <f>IF(B1158="","",IFERROR(INDEX('JOBS'!$F$5:$F$1504,MATCH(B1158,'JOBS'!$A$5:$A$1504,0)),""))</f>
        <v/>
      </c>
      <c r="J1158" s="55">
        <f>IF(C1158="","",ROUND(C1158*IF(IFERROR(INDEX('SETTINGS'!$K$5:$K$24,MATCH(E1158,'SETTINGS'!$J$5:$J$24,0)),"No")="Yes",FeePct,0),2))</f>
        <v/>
      </c>
      <c r="K1158" s="51">
        <f>IF(A1158="","",DATE(YEAR(A1158),MONTH(A1158),1))</f>
        <v/>
      </c>
    </row>
    <row r="1159">
      <c r="A1159" s="47" t="n"/>
      <c r="B1159" s="38" t="n"/>
      <c r="C1159" s="48" t="n"/>
      <c r="D1159" s="48" t="n"/>
      <c r="E1159" s="38" t="n"/>
      <c r="F1159" s="38" t="n"/>
      <c r="G1159" s="38" t="n"/>
      <c r="H1159" s="49">
        <f>IF(B1159="","",IFERROR(INDEX('JOBS'!$D$5:$D$1504,MATCH(B1159,'JOBS'!$A$5:$A$1504,0)),"Job ID not found"))</f>
        <v/>
      </c>
      <c r="I1159" s="49">
        <f>IF(B1159="","",IFERROR(INDEX('JOBS'!$F$5:$F$1504,MATCH(B1159,'JOBS'!$A$5:$A$1504,0)),""))</f>
        <v/>
      </c>
      <c r="J1159" s="55">
        <f>IF(C1159="","",ROUND(C1159*IF(IFERROR(INDEX('SETTINGS'!$K$5:$K$24,MATCH(E1159,'SETTINGS'!$J$5:$J$24,0)),"No")="Yes",FeePct,0),2))</f>
        <v/>
      </c>
      <c r="K1159" s="51">
        <f>IF(A1159="","",DATE(YEAR(A1159),MONTH(A1159),1))</f>
        <v/>
      </c>
    </row>
    <row r="1160">
      <c r="A1160" s="47" t="n"/>
      <c r="B1160" s="38" t="n"/>
      <c r="C1160" s="48" t="n"/>
      <c r="D1160" s="48" t="n"/>
      <c r="E1160" s="38" t="n"/>
      <c r="F1160" s="38" t="n"/>
      <c r="G1160" s="38" t="n"/>
      <c r="H1160" s="49">
        <f>IF(B1160="","",IFERROR(INDEX('JOBS'!$D$5:$D$1504,MATCH(B1160,'JOBS'!$A$5:$A$1504,0)),"Job ID not found"))</f>
        <v/>
      </c>
      <c r="I1160" s="49">
        <f>IF(B1160="","",IFERROR(INDEX('JOBS'!$F$5:$F$1504,MATCH(B1160,'JOBS'!$A$5:$A$1504,0)),""))</f>
        <v/>
      </c>
      <c r="J1160" s="55">
        <f>IF(C1160="","",ROUND(C1160*IF(IFERROR(INDEX('SETTINGS'!$K$5:$K$24,MATCH(E1160,'SETTINGS'!$J$5:$J$24,0)),"No")="Yes",FeePct,0),2))</f>
        <v/>
      </c>
      <c r="K1160" s="51">
        <f>IF(A1160="","",DATE(YEAR(A1160),MONTH(A1160),1))</f>
        <v/>
      </c>
    </row>
    <row r="1161">
      <c r="A1161" s="47" t="n"/>
      <c r="B1161" s="38" t="n"/>
      <c r="C1161" s="48" t="n"/>
      <c r="D1161" s="48" t="n"/>
      <c r="E1161" s="38" t="n"/>
      <c r="F1161" s="38" t="n"/>
      <c r="G1161" s="38" t="n"/>
      <c r="H1161" s="49">
        <f>IF(B1161="","",IFERROR(INDEX('JOBS'!$D$5:$D$1504,MATCH(B1161,'JOBS'!$A$5:$A$1504,0)),"Job ID not found"))</f>
        <v/>
      </c>
      <c r="I1161" s="49">
        <f>IF(B1161="","",IFERROR(INDEX('JOBS'!$F$5:$F$1504,MATCH(B1161,'JOBS'!$A$5:$A$1504,0)),""))</f>
        <v/>
      </c>
      <c r="J1161" s="55">
        <f>IF(C1161="","",ROUND(C1161*IF(IFERROR(INDEX('SETTINGS'!$K$5:$K$24,MATCH(E1161,'SETTINGS'!$J$5:$J$24,0)),"No")="Yes",FeePct,0),2))</f>
        <v/>
      </c>
      <c r="K1161" s="51">
        <f>IF(A1161="","",DATE(YEAR(A1161),MONTH(A1161),1))</f>
        <v/>
      </c>
    </row>
    <row r="1162">
      <c r="A1162" s="47" t="n"/>
      <c r="B1162" s="38" t="n"/>
      <c r="C1162" s="48" t="n"/>
      <c r="D1162" s="48" t="n"/>
      <c r="E1162" s="38" t="n"/>
      <c r="F1162" s="38" t="n"/>
      <c r="G1162" s="38" t="n"/>
      <c r="H1162" s="49">
        <f>IF(B1162="","",IFERROR(INDEX('JOBS'!$D$5:$D$1504,MATCH(B1162,'JOBS'!$A$5:$A$1504,0)),"Job ID not found"))</f>
        <v/>
      </c>
      <c r="I1162" s="49">
        <f>IF(B1162="","",IFERROR(INDEX('JOBS'!$F$5:$F$1504,MATCH(B1162,'JOBS'!$A$5:$A$1504,0)),""))</f>
        <v/>
      </c>
      <c r="J1162" s="55">
        <f>IF(C1162="","",ROUND(C1162*IF(IFERROR(INDEX('SETTINGS'!$K$5:$K$24,MATCH(E1162,'SETTINGS'!$J$5:$J$24,0)),"No")="Yes",FeePct,0),2))</f>
        <v/>
      </c>
      <c r="K1162" s="51">
        <f>IF(A1162="","",DATE(YEAR(A1162),MONTH(A1162),1))</f>
        <v/>
      </c>
    </row>
    <row r="1163">
      <c r="A1163" s="47" t="n"/>
      <c r="B1163" s="38" t="n"/>
      <c r="C1163" s="48" t="n"/>
      <c r="D1163" s="48" t="n"/>
      <c r="E1163" s="38" t="n"/>
      <c r="F1163" s="38" t="n"/>
      <c r="G1163" s="38" t="n"/>
      <c r="H1163" s="49">
        <f>IF(B1163="","",IFERROR(INDEX('JOBS'!$D$5:$D$1504,MATCH(B1163,'JOBS'!$A$5:$A$1504,0)),"Job ID not found"))</f>
        <v/>
      </c>
      <c r="I1163" s="49">
        <f>IF(B1163="","",IFERROR(INDEX('JOBS'!$F$5:$F$1504,MATCH(B1163,'JOBS'!$A$5:$A$1504,0)),""))</f>
        <v/>
      </c>
      <c r="J1163" s="55">
        <f>IF(C1163="","",ROUND(C1163*IF(IFERROR(INDEX('SETTINGS'!$K$5:$K$24,MATCH(E1163,'SETTINGS'!$J$5:$J$24,0)),"No")="Yes",FeePct,0),2))</f>
        <v/>
      </c>
      <c r="K1163" s="51">
        <f>IF(A1163="","",DATE(YEAR(A1163),MONTH(A1163),1))</f>
        <v/>
      </c>
    </row>
    <row r="1164">
      <c r="A1164" s="47" t="n"/>
      <c r="B1164" s="38" t="n"/>
      <c r="C1164" s="48" t="n"/>
      <c r="D1164" s="48" t="n"/>
      <c r="E1164" s="38" t="n"/>
      <c r="F1164" s="38" t="n"/>
      <c r="G1164" s="38" t="n"/>
      <c r="H1164" s="49">
        <f>IF(B1164="","",IFERROR(INDEX('JOBS'!$D$5:$D$1504,MATCH(B1164,'JOBS'!$A$5:$A$1504,0)),"Job ID not found"))</f>
        <v/>
      </c>
      <c r="I1164" s="49">
        <f>IF(B1164="","",IFERROR(INDEX('JOBS'!$F$5:$F$1504,MATCH(B1164,'JOBS'!$A$5:$A$1504,0)),""))</f>
        <v/>
      </c>
      <c r="J1164" s="55">
        <f>IF(C1164="","",ROUND(C1164*IF(IFERROR(INDEX('SETTINGS'!$K$5:$K$24,MATCH(E1164,'SETTINGS'!$J$5:$J$24,0)),"No")="Yes",FeePct,0),2))</f>
        <v/>
      </c>
      <c r="K1164" s="51">
        <f>IF(A1164="","",DATE(YEAR(A1164),MONTH(A1164),1))</f>
        <v/>
      </c>
    </row>
    <row r="1165">
      <c r="A1165" s="47" t="n"/>
      <c r="B1165" s="38" t="n"/>
      <c r="C1165" s="48" t="n"/>
      <c r="D1165" s="48" t="n"/>
      <c r="E1165" s="38" t="n"/>
      <c r="F1165" s="38" t="n"/>
      <c r="G1165" s="38" t="n"/>
      <c r="H1165" s="49">
        <f>IF(B1165="","",IFERROR(INDEX('JOBS'!$D$5:$D$1504,MATCH(B1165,'JOBS'!$A$5:$A$1504,0)),"Job ID not found"))</f>
        <v/>
      </c>
      <c r="I1165" s="49">
        <f>IF(B1165="","",IFERROR(INDEX('JOBS'!$F$5:$F$1504,MATCH(B1165,'JOBS'!$A$5:$A$1504,0)),""))</f>
        <v/>
      </c>
      <c r="J1165" s="55">
        <f>IF(C1165="","",ROUND(C1165*IF(IFERROR(INDEX('SETTINGS'!$K$5:$K$24,MATCH(E1165,'SETTINGS'!$J$5:$J$24,0)),"No")="Yes",FeePct,0),2))</f>
        <v/>
      </c>
      <c r="K1165" s="51">
        <f>IF(A1165="","",DATE(YEAR(A1165),MONTH(A1165),1))</f>
        <v/>
      </c>
    </row>
    <row r="1166">
      <c r="A1166" s="47" t="n"/>
      <c r="B1166" s="38" t="n"/>
      <c r="C1166" s="48" t="n"/>
      <c r="D1166" s="48" t="n"/>
      <c r="E1166" s="38" t="n"/>
      <c r="F1166" s="38" t="n"/>
      <c r="G1166" s="38" t="n"/>
      <c r="H1166" s="49">
        <f>IF(B1166="","",IFERROR(INDEX('JOBS'!$D$5:$D$1504,MATCH(B1166,'JOBS'!$A$5:$A$1504,0)),"Job ID not found"))</f>
        <v/>
      </c>
      <c r="I1166" s="49">
        <f>IF(B1166="","",IFERROR(INDEX('JOBS'!$F$5:$F$1504,MATCH(B1166,'JOBS'!$A$5:$A$1504,0)),""))</f>
        <v/>
      </c>
      <c r="J1166" s="55">
        <f>IF(C1166="","",ROUND(C1166*IF(IFERROR(INDEX('SETTINGS'!$K$5:$K$24,MATCH(E1166,'SETTINGS'!$J$5:$J$24,0)),"No")="Yes",FeePct,0),2))</f>
        <v/>
      </c>
      <c r="K1166" s="51">
        <f>IF(A1166="","",DATE(YEAR(A1166),MONTH(A1166),1))</f>
        <v/>
      </c>
    </row>
    <row r="1167">
      <c r="A1167" s="47" t="n"/>
      <c r="B1167" s="38" t="n"/>
      <c r="C1167" s="48" t="n"/>
      <c r="D1167" s="48" t="n"/>
      <c r="E1167" s="38" t="n"/>
      <c r="F1167" s="38" t="n"/>
      <c r="G1167" s="38" t="n"/>
      <c r="H1167" s="49">
        <f>IF(B1167="","",IFERROR(INDEX('JOBS'!$D$5:$D$1504,MATCH(B1167,'JOBS'!$A$5:$A$1504,0)),"Job ID not found"))</f>
        <v/>
      </c>
      <c r="I1167" s="49">
        <f>IF(B1167="","",IFERROR(INDEX('JOBS'!$F$5:$F$1504,MATCH(B1167,'JOBS'!$A$5:$A$1504,0)),""))</f>
        <v/>
      </c>
      <c r="J1167" s="55">
        <f>IF(C1167="","",ROUND(C1167*IF(IFERROR(INDEX('SETTINGS'!$K$5:$K$24,MATCH(E1167,'SETTINGS'!$J$5:$J$24,0)),"No")="Yes",FeePct,0),2))</f>
        <v/>
      </c>
      <c r="K1167" s="51">
        <f>IF(A1167="","",DATE(YEAR(A1167),MONTH(A1167),1))</f>
        <v/>
      </c>
    </row>
    <row r="1168">
      <c r="A1168" s="47" t="n"/>
      <c r="B1168" s="38" t="n"/>
      <c r="C1168" s="48" t="n"/>
      <c r="D1168" s="48" t="n"/>
      <c r="E1168" s="38" t="n"/>
      <c r="F1168" s="38" t="n"/>
      <c r="G1168" s="38" t="n"/>
      <c r="H1168" s="49">
        <f>IF(B1168="","",IFERROR(INDEX('JOBS'!$D$5:$D$1504,MATCH(B1168,'JOBS'!$A$5:$A$1504,0)),"Job ID not found"))</f>
        <v/>
      </c>
      <c r="I1168" s="49">
        <f>IF(B1168="","",IFERROR(INDEX('JOBS'!$F$5:$F$1504,MATCH(B1168,'JOBS'!$A$5:$A$1504,0)),""))</f>
        <v/>
      </c>
      <c r="J1168" s="55">
        <f>IF(C1168="","",ROUND(C1168*IF(IFERROR(INDEX('SETTINGS'!$K$5:$K$24,MATCH(E1168,'SETTINGS'!$J$5:$J$24,0)),"No")="Yes",FeePct,0),2))</f>
        <v/>
      </c>
      <c r="K1168" s="51">
        <f>IF(A1168="","",DATE(YEAR(A1168),MONTH(A1168),1))</f>
        <v/>
      </c>
    </row>
    <row r="1169">
      <c r="A1169" s="47" t="n"/>
      <c r="B1169" s="38" t="n"/>
      <c r="C1169" s="48" t="n"/>
      <c r="D1169" s="48" t="n"/>
      <c r="E1169" s="38" t="n"/>
      <c r="F1169" s="38" t="n"/>
      <c r="G1169" s="38" t="n"/>
      <c r="H1169" s="49">
        <f>IF(B1169="","",IFERROR(INDEX('JOBS'!$D$5:$D$1504,MATCH(B1169,'JOBS'!$A$5:$A$1504,0)),"Job ID not found"))</f>
        <v/>
      </c>
      <c r="I1169" s="49">
        <f>IF(B1169="","",IFERROR(INDEX('JOBS'!$F$5:$F$1504,MATCH(B1169,'JOBS'!$A$5:$A$1504,0)),""))</f>
        <v/>
      </c>
      <c r="J1169" s="55">
        <f>IF(C1169="","",ROUND(C1169*IF(IFERROR(INDEX('SETTINGS'!$K$5:$K$24,MATCH(E1169,'SETTINGS'!$J$5:$J$24,0)),"No")="Yes",FeePct,0),2))</f>
        <v/>
      </c>
      <c r="K1169" s="51">
        <f>IF(A1169="","",DATE(YEAR(A1169),MONTH(A1169),1))</f>
        <v/>
      </c>
    </row>
    <row r="1170">
      <c r="A1170" s="47" t="n"/>
      <c r="B1170" s="38" t="n"/>
      <c r="C1170" s="48" t="n"/>
      <c r="D1170" s="48" t="n"/>
      <c r="E1170" s="38" t="n"/>
      <c r="F1170" s="38" t="n"/>
      <c r="G1170" s="38" t="n"/>
      <c r="H1170" s="49">
        <f>IF(B1170="","",IFERROR(INDEX('JOBS'!$D$5:$D$1504,MATCH(B1170,'JOBS'!$A$5:$A$1504,0)),"Job ID not found"))</f>
        <v/>
      </c>
      <c r="I1170" s="49">
        <f>IF(B1170="","",IFERROR(INDEX('JOBS'!$F$5:$F$1504,MATCH(B1170,'JOBS'!$A$5:$A$1504,0)),""))</f>
        <v/>
      </c>
      <c r="J1170" s="55">
        <f>IF(C1170="","",ROUND(C1170*IF(IFERROR(INDEX('SETTINGS'!$K$5:$K$24,MATCH(E1170,'SETTINGS'!$J$5:$J$24,0)),"No")="Yes",FeePct,0),2))</f>
        <v/>
      </c>
      <c r="K1170" s="51">
        <f>IF(A1170="","",DATE(YEAR(A1170),MONTH(A1170),1))</f>
        <v/>
      </c>
    </row>
    <row r="1171">
      <c r="A1171" s="47" t="n"/>
      <c r="B1171" s="38" t="n"/>
      <c r="C1171" s="48" t="n"/>
      <c r="D1171" s="48" t="n"/>
      <c r="E1171" s="38" t="n"/>
      <c r="F1171" s="38" t="n"/>
      <c r="G1171" s="38" t="n"/>
      <c r="H1171" s="49">
        <f>IF(B1171="","",IFERROR(INDEX('JOBS'!$D$5:$D$1504,MATCH(B1171,'JOBS'!$A$5:$A$1504,0)),"Job ID not found"))</f>
        <v/>
      </c>
      <c r="I1171" s="49">
        <f>IF(B1171="","",IFERROR(INDEX('JOBS'!$F$5:$F$1504,MATCH(B1171,'JOBS'!$A$5:$A$1504,0)),""))</f>
        <v/>
      </c>
      <c r="J1171" s="55">
        <f>IF(C1171="","",ROUND(C1171*IF(IFERROR(INDEX('SETTINGS'!$K$5:$K$24,MATCH(E1171,'SETTINGS'!$J$5:$J$24,0)),"No")="Yes",FeePct,0),2))</f>
        <v/>
      </c>
      <c r="K1171" s="51">
        <f>IF(A1171="","",DATE(YEAR(A1171),MONTH(A1171),1))</f>
        <v/>
      </c>
    </row>
    <row r="1172">
      <c r="A1172" s="47" t="n"/>
      <c r="B1172" s="38" t="n"/>
      <c r="C1172" s="48" t="n"/>
      <c r="D1172" s="48" t="n"/>
      <c r="E1172" s="38" t="n"/>
      <c r="F1172" s="38" t="n"/>
      <c r="G1172" s="38" t="n"/>
      <c r="H1172" s="49">
        <f>IF(B1172="","",IFERROR(INDEX('JOBS'!$D$5:$D$1504,MATCH(B1172,'JOBS'!$A$5:$A$1504,0)),"Job ID not found"))</f>
        <v/>
      </c>
      <c r="I1172" s="49">
        <f>IF(B1172="","",IFERROR(INDEX('JOBS'!$F$5:$F$1504,MATCH(B1172,'JOBS'!$A$5:$A$1504,0)),""))</f>
        <v/>
      </c>
      <c r="J1172" s="55">
        <f>IF(C1172="","",ROUND(C1172*IF(IFERROR(INDEX('SETTINGS'!$K$5:$K$24,MATCH(E1172,'SETTINGS'!$J$5:$J$24,0)),"No")="Yes",FeePct,0),2))</f>
        <v/>
      </c>
      <c r="K1172" s="51">
        <f>IF(A1172="","",DATE(YEAR(A1172),MONTH(A1172),1))</f>
        <v/>
      </c>
    </row>
    <row r="1173">
      <c r="A1173" s="47" t="n"/>
      <c r="B1173" s="38" t="n"/>
      <c r="C1173" s="48" t="n"/>
      <c r="D1173" s="48" t="n"/>
      <c r="E1173" s="38" t="n"/>
      <c r="F1173" s="38" t="n"/>
      <c r="G1173" s="38" t="n"/>
      <c r="H1173" s="49">
        <f>IF(B1173="","",IFERROR(INDEX('JOBS'!$D$5:$D$1504,MATCH(B1173,'JOBS'!$A$5:$A$1504,0)),"Job ID not found"))</f>
        <v/>
      </c>
      <c r="I1173" s="49">
        <f>IF(B1173="","",IFERROR(INDEX('JOBS'!$F$5:$F$1504,MATCH(B1173,'JOBS'!$A$5:$A$1504,0)),""))</f>
        <v/>
      </c>
      <c r="J1173" s="55">
        <f>IF(C1173="","",ROUND(C1173*IF(IFERROR(INDEX('SETTINGS'!$K$5:$K$24,MATCH(E1173,'SETTINGS'!$J$5:$J$24,0)),"No")="Yes",FeePct,0),2))</f>
        <v/>
      </c>
      <c r="K1173" s="51">
        <f>IF(A1173="","",DATE(YEAR(A1173),MONTH(A1173),1))</f>
        <v/>
      </c>
    </row>
    <row r="1174">
      <c r="A1174" s="47" t="n"/>
      <c r="B1174" s="38" t="n"/>
      <c r="C1174" s="48" t="n"/>
      <c r="D1174" s="48" t="n"/>
      <c r="E1174" s="38" t="n"/>
      <c r="F1174" s="38" t="n"/>
      <c r="G1174" s="38" t="n"/>
      <c r="H1174" s="49">
        <f>IF(B1174="","",IFERROR(INDEX('JOBS'!$D$5:$D$1504,MATCH(B1174,'JOBS'!$A$5:$A$1504,0)),"Job ID not found"))</f>
        <v/>
      </c>
      <c r="I1174" s="49">
        <f>IF(B1174="","",IFERROR(INDEX('JOBS'!$F$5:$F$1504,MATCH(B1174,'JOBS'!$A$5:$A$1504,0)),""))</f>
        <v/>
      </c>
      <c r="J1174" s="55">
        <f>IF(C1174="","",ROUND(C1174*IF(IFERROR(INDEX('SETTINGS'!$K$5:$K$24,MATCH(E1174,'SETTINGS'!$J$5:$J$24,0)),"No")="Yes",FeePct,0),2))</f>
        <v/>
      </c>
      <c r="K1174" s="51">
        <f>IF(A1174="","",DATE(YEAR(A1174),MONTH(A1174),1))</f>
        <v/>
      </c>
    </row>
    <row r="1175">
      <c r="A1175" s="47" t="n"/>
      <c r="B1175" s="38" t="n"/>
      <c r="C1175" s="48" t="n"/>
      <c r="D1175" s="48" t="n"/>
      <c r="E1175" s="38" t="n"/>
      <c r="F1175" s="38" t="n"/>
      <c r="G1175" s="38" t="n"/>
      <c r="H1175" s="49">
        <f>IF(B1175="","",IFERROR(INDEX('JOBS'!$D$5:$D$1504,MATCH(B1175,'JOBS'!$A$5:$A$1504,0)),"Job ID not found"))</f>
        <v/>
      </c>
      <c r="I1175" s="49">
        <f>IF(B1175="","",IFERROR(INDEX('JOBS'!$F$5:$F$1504,MATCH(B1175,'JOBS'!$A$5:$A$1504,0)),""))</f>
        <v/>
      </c>
      <c r="J1175" s="55">
        <f>IF(C1175="","",ROUND(C1175*IF(IFERROR(INDEX('SETTINGS'!$K$5:$K$24,MATCH(E1175,'SETTINGS'!$J$5:$J$24,0)),"No")="Yes",FeePct,0),2))</f>
        <v/>
      </c>
      <c r="K1175" s="51">
        <f>IF(A1175="","",DATE(YEAR(A1175),MONTH(A1175),1))</f>
        <v/>
      </c>
    </row>
    <row r="1176">
      <c r="A1176" s="47" t="n"/>
      <c r="B1176" s="38" t="n"/>
      <c r="C1176" s="48" t="n"/>
      <c r="D1176" s="48" t="n"/>
      <c r="E1176" s="38" t="n"/>
      <c r="F1176" s="38" t="n"/>
      <c r="G1176" s="38" t="n"/>
      <c r="H1176" s="49">
        <f>IF(B1176="","",IFERROR(INDEX('JOBS'!$D$5:$D$1504,MATCH(B1176,'JOBS'!$A$5:$A$1504,0)),"Job ID not found"))</f>
        <v/>
      </c>
      <c r="I1176" s="49">
        <f>IF(B1176="","",IFERROR(INDEX('JOBS'!$F$5:$F$1504,MATCH(B1176,'JOBS'!$A$5:$A$1504,0)),""))</f>
        <v/>
      </c>
      <c r="J1176" s="55">
        <f>IF(C1176="","",ROUND(C1176*IF(IFERROR(INDEX('SETTINGS'!$K$5:$K$24,MATCH(E1176,'SETTINGS'!$J$5:$J$24,0)),"No")="Yes",FeePct,0),2))</f>
        <v/>
      </c>
      <c r="K1176" s="51">
        <f>IF(A1176="","",DATE(YEAR(A1176),MONTH(A1176),1))</f>
        <v/>
      </c>
    </row>
    <row r="1177">
      <c r="A1177" s="47" t="n"/>
      <c r="B1177" s="38" t="n"/>
      <c r="C1177" s="48" t="n"/>
      <c r="D1177" s="48" t="n"/>
      <c r="E1177" s="38" t="n"/>
      <c r="F1177" s="38" t="n"/>
      <c r="G1177" s="38" t="n"/>
      <c r="H1177" s="49">
        <f>IF(B1177="","",IFERROR(INDEX('JOBS'!$D$5:$D$1504,MATCH(B1177,'JOBS'!$A$5:$A$1504,0)),"Job ID not found"))</f>
        <v/>
      </c>
      <c r="I1177" s="49">
        <f>IF(B1177="","",IFERROR(INDEX('JOBS'!$F$5:$F$1504,MATCH(B1177,'JOBS'!$A$5:$A$1504,0)),""))</f>
        <v/>
      </c>
      <c r="J1177" s="55">
        <f>IF(C1177="","",ROUND(C1177*IF(IFERROR(INDEX('SETTINGS'!$K$5:$K$24,MATCH(E1177,'SETTINGS'!$J$5:$J$24,0)),"No")="Yes",FeePct,0),2))</f>
        <v/>
      </c>
      <c r="K1177" s="51">
        <f>IF(A1177="","",DATE(YEAR(A1177),MONTH(A1177),1))</f>
        <v/>
      </c>
    </row>
    <row r="1178">
      <c r="A1178" s="47" t="n"/>
      <c r="B1178" s="38" t="n"/>
      <c r="C1178" s="48" t="n"/>
      <c r="D1178" s="48" t="n"/>
      <c r="E1178" s="38" t="n"/>
      <c r="F1178" s="38" t="n"/>
      <c r="G1178" s="38" t="n"/>
      <c r="H1178" s="49">
        <f>IF(B1178="","",IFERROR(INDEX('JOBS'!$D$5:$D$1504,MATCH(B1178,'JOBS'!$A$5:$A$1504,0)),"Job ID not found"))</f>
        <v/>
      </c>
      <c r="I1178" s="49">
        <f>IF(B1178="","",IFERROR(INDEX('JOBS'!$F$5:$F$1504,MATCH(B1178,'JOBS'!$A$5:$A$1504,0)),""))</f>
        <v/>
      </c>
      <c r="J1178" s="55">
        <f>IF(C1178="","",ROUND(C1178*IF(IFERROR(INDEX('SETTINGS'!$K$5:$K$24,MATCH(E1178,'SETTINGS'!$J$5:$J$24,0)),"No")="Yes",FeePct,0),2))</f>
        <v/>
      </c>
      <c r="K1178" s="51">
        <f>IF(A1178="","",DATE(YEAR(A1178),MONTH(A1178),1))</f>
        <v/>
      </c>
    </row>
    <row r="1179">
      <c r="A1179" s="47" t="n"/>
      <c r="B1179" s="38" t="n"/>
      <c r="C1179" s="48" t="n"/>
      <c r="D1179" s="48" t="n"/>
      <c r="E1179" s="38" t="n"/>
      <c r="F1179" s="38" t="n"/>
      <c r="G1179" s="38" t="n"/>
      <c r="H1179" s="49">
        <f>IF(B1179="","",IFERROR(INDEX('JOBS'!$D$5:$D$1504,MATCH(B1179,'JOBS'!$A$5:$A$1504,0)),"Job ID not found"))</f>
        <v/>
      </c>
      <c r="I1179" s="49">
        <f>IF(B1179="","",IFERROR(INDEX('JOBS'!$F$5:$F$1504,MATCH(B1179,'JOBS'!$A$5:$A$1504,0)),""))</f>
        <v/>
      </c>
      <c r="J1179" s="55">
        <f>IF(C1179="","",ROUND(C1179*IF(IFERROR(INDEX('SETTINGS'!$K$5:$K$24,MATCH(E1179,'SETTINGS'!$J$5:$J$24,0)),"No")="Yes",FeePct,0),2))</f>
        <v/>
      </c>
      <c r="K1179" s="51">
        <f>IF(A1179="","",DATE(YEAR(A1179),MONTH(A1179),1))</f>
        <v/>
      </c>
    </row>
    <row r="1180">
      <c r="A1180" s="47" t="n"/>
      <c r="B1180" s="38" t="n"/>
      <c r="C1180" s="48" t="n"/>
      <c r="D1180" s="48" t="n"/>
      <c r="E1180" s="38" t="n"/>
      <c r="F1180" s="38" t="n"/>
      <c r="G1180" s="38" t="n"/>
      <c r="H1180" s="49">
        <f>IF(B1180="","",IFERROR(INDEX('JOBS'!$D$5:$D$1504,MATCH(B1180,'JOBS'!$A$5:$A$1504,0)),"Job ID not found"))</f>
        <v/>
      </c>
      <c r="I1180" s="49">
        <f>IF(B1180="","",IFERROR(INDEX('JOBS'!$F$5:$F$1504,MATCH(B1180,'JOBS'!$A$5:$A$1504,0)),""))</f>
        <v/>
      </c>
      <c r="J1180" s="55">
        <f>IF(C1180="","",ROUND(C1180*IF(IFERROR(INDEX('SETTINGS'!$K$5:$K$24,MATCH(E1180,'SETTINGS'!$J$5:$J$24,0)),"No")="Yes",FeePct,0),2))</f>
        <v/>
      </c>
      <c r="K1180" s="51">
        <f>IF(A1180="","",DATE(YEAR(A1180),MONTH(A1180),1))</f>
        <v/>
      </c>
    </row>
    <row r="1181">
      <c r="A1181" s="47" t="n"/>
      <c r="B1181" s="38" t="n"/>
      <c r="C1181" s="48" t="n"/>
      <c r="D1181" s="48" t="n"/>
      <c r="E1181" s="38" t="n"/>
      <c r="F1181" s="38" t="n"/>
      <c r="G1181" s="38" t="n"/>
      <c r="H1181" s="49">
        <f>IF(B1181="","",IFERROR(INDEX('JOBS'!$D$5:$D$1504,MATCH(B1181,'JOBS'!$A$5:$A$1504,0)),"Job ID not found"))</f>
        <v/>
      </c>
      <c r="I1181" s="49">
        <f>IF(B1181="","",IFERROR(INDEX('JOBS'!$F$5:$F$1504,MATCH(B1181,'JOBS'!$A$5:$A$1504,0)),""))</f>
        <v/>
      </c>
      <c r="J1181" s="55">
        <f>IF(C1181="","",ROUND(C1181*IF(IFERROR(INDEX('SETTINGS'!$K$5:$K$24,MATCH(E1181,'SETTINGS'!$J$5:$J$24,0)),"No")="Yes",FeePct,0),2))</f>
        <v/>
      </c>
      <c r="K1181" s="51">
        <f>IF(A1181="","",DATE(YEAR(A1181),MONTH(A1181),1))</f>
        <v/>
      </c>
    </row>
    <row r="1182">
      <c r="A1182" s="47" t="n"/>
      <c r="B1182" s="38" t="n"/>
      <c r="C1182" s="48" t="n"/>
      <c r="D1182" s="48" t="n"/>
      <c r="E1182" s="38" t="n"/>
      <c r="F1182" s="38" t="n"/>
      <c r="G1182" s="38" t="n"/>
      <c r="H1182" s="49">
        <f>IF(B1182="","",IFERROR(INDEX('JOBS'!$D$5:$D$1504,MATCH(B1182,'JOBS'!$A$5:$A$1504,0)),"Job ID not found"))</f>
        <v/>
      </c>
      <c r="I1182" s="49">
        <f>IF(B1182="","",IFERROR(INDEX('JOBS'!$F$5:$F$1504,MATCH(B1182,'JOBS'!$A$5:$A$1504,0)),""))</f>
        <v/>
      </c>
      <c r="J1182" s="55">
        <f>IF(C1182="","",ROUND(C1182*IF(IFERROR(INDEX('SETTINGS'!$K$5:$K$24,MATCH(E1182,'SETTINGS'!$J$5:$J$24,0)),"No")="Yes",FeePct,0),2))</f>
        <v/>
      </c>
      <c r="K1182" s="51">
        <f>IF(A1182="","",DATE(YEAR(A1182),MONTH(A1182),1))</f>
        <v/>
      </c>
    </row>
    <row r="1183">
      <c r="A1183" s="47" t="n"/>
      <c r="B1183" s="38" t="n"/>
      <c r="C1183" s="48" t="n"/>
      <c r="D1183" s="48" t="n"/>
      <c r="E1183" s="38" t="n"/>
      <c r="F1183" s="38" t="n"/>
      <c r="G1183" s="38" t="n"/>
      <c r="H1183" s="49">
        <f>IF(B1183="","",IFERROR(INDEX('JOBS'!$D$5:$D$1504,MATCH(B1183,'JOBS'!$A$5:$A$1504,0)),"Job ID not found"))</f>
        <v/>
      </c>
      <c r="I1183" s="49">
        <f>IF(B1183="","",IFERROR(INDEX('JOBS'!$F$5:$F$1504,MATCH(B1183,'JOBS'!$A$5:$A$1504,0)),""))</f>
        <v/>
      </c>
      <c r="J1183" s="55">
        <f>IF(C1183="","",ROUND(C1183*IF(IFERROR(INDEX('SETTINGS'!$K$5:$K$24,MATCH(E1183,'SETTINGS'!$J$5:$J$24,0)),"No")="Yes",FeePct,0),2))</f>
        <v/>
      </c>
      <c r="K1183" s="51">
        <f>IF(A1183="","",DATE(YEAR(A1183),MONTH(A1183),1))</f>
        <v/>
      </c>
    </row>
    <row r="1184">
      <c r="A1184" s="47" t="n"/>
      <c r="B1184" s="38" t="n"/>
      <c r="C1184" s="48" t="n"/>
      <c r="D1184" s="48" t="n"/>
      <c r="E1184" s="38" t="n"/>
      <c r="F1184" s="38" t="n"/>
      <c r="G1184" s="38" t="n"/>
      <c r="H1184" s="49">
        <f>IF(B1184="","",IFERROR(INDEX('JOBS'!$D$5:$D$1504,MATCH(B1184,'JOBS'!$A$5:$A$1504,0)),"Job ID not found"))</f>
        <v/>
      </c>
      <c r="I1184" s="49">
        <f>IF(B1184="","",IFERROR(INDEX('JOBS'!$F$5:$F$1504,MATCH(B1184,'JOBS'!$A$5:$A$1504,0)),""))</f>
        <v/>
      </c>
      <c r="J1184" s="55">
        <f>IF(C1184="","",ROUND(C1184*IF(IFERROR(INDEX('SETTINGS'!$K$5:$K$24,MATCH(E1184,'SETTINGS'!$J$5:$J$24,0)),"No")="Yes",FeePct,0),2))</f>
        <v/>
      </c>
      <c r="K1184" s="51">
        <f>IF(A1184="","",DATE(YEAR(A1184),MONTH(A1184),1))</f>
        <v/>
      </c>
    </row>
    <row r="1185">
      <c r="A1185" s="47" t="n"/>
      <c r="B1185" s="38" t="n"/>
      <c r="C1185" s="48" t="n"/>
      <c r="D1185" s="48" t="n"/>
      <c r="E1185" s="38" t="n"/>
      <c r="F1185" s="38" t="n"/>
      <c r="G1185" s="38" t="n"/>
      <c r="H1185" s="49">
        <f>IF(B1185="","",IFERROR(INDEX('JOBS'!$D$5:$D$1504,MATCH(B1185,'JOBS'!$A$5:$A$1504,0)),"Job ID not found"))</f>
        <v/>
      </c>
      <c r="I1185" s="49">
        <f>IF(B1185="","",IFERROR(INDEX('JOBS'!$F$5:$F$1504,MATCH(B1185,'JOBS'!$A$5:$A$1504,0)),""))</f>
        <v/>
      </c>
      <c r="J1185" s="55">
        <f>IF(C1185="","",ROUND(C1185*IF(IFERROR(INDEX('SETTINGS'!$K$5:$K$24,MATCH(E1185,'SETTINGS'!$J$5:$J$24,0)),"No")="Yes",FeePct,0),2))</f>
        <v/>
      </c>
      <c r="K1185" s="51">
        <f>IF(A1185="","",DATE(YEAR(A1185),MONTH(A1185),1))</f>
        <v/>
      </c>
    </row>
    <row r="1186">
      <c r="A1186" s="47" t="n"/>
      <c r="B1186" s="38" t="n"/>
      <c r="C1186" s="48" t="n"/>
      <c r="D1186" s="48" t="n"/>
      <c r="E1186" s="38" t="n"/>
      <c r="F1186" s="38" t="n"/>
      <c r="G1186" s="38" t="n"/>
      <c r="H1186" s="49">
        <f>IF(B1186="","",IFERROR(INDEX('JOBS'!$D$5:$D$1504,MATCH(B1186,'JOBS'!$A$5:$A$1504,0)),"Job ID not found"))</f>
        <v/>
      </c>
      <c r="I1186" s="49">
        <f>IF(B1186="","",IFERROR(INDEX('JOBS'!$F$5:$F$1504,MATCH(B1186,'JOBS'!$A$5:$A$1504,0)),""))</f>
        <v/>
      </c>
      <c r="J1186" s="55">
        <f>IF(C1186="","",ROUND(C1186*IF(IFERROR(INDEX('SETTINGS'!$K$5:$K$24,MATCH(E1186,'SETTINGS'!$J$5:$J$24,0)),"No")="Yes",FeePct,0),2))</f>
        <v/>
      </c>
      <c r="K1186" s="51">
        <f>IF(A1186="","",DATE(YEAR(A1186),MONTH(A1186),1))</f>
        <v/>
      </c>
    </row>
    <row r="1187">
      <c r="A1187" s="47" t="n"/>
      <c r="B1187" s="38" t="n"/>
      <c r="C1187" s="48" t="n"/>
      <c r="D1187" s="48" t="n"/>
      <c r="E1187" s="38" t="n"/>
      <c r="F1187" s="38" t="n"/>
      <c r="G1187" s="38" t="n"/>
      <c r="H1187" s="49">
        <f>IF(B1187="","",IFERROR(INDEX('JOBS'!$D$5:$D$1504,MATCH(B1187,'JOBS'!$A$5:$A$1504,0)),"Job ID not found"))</f>
        <v/>
      </c>
      <c r="I1187" s="49">
        <f>IF(B1187="","",IFERROR(INDEX('JOBS'!$F$5:$F$1504,MATCH(B1187,'JOBS'!$A$5:$A$1504,0)),""))</f>
        <v/>
      </c>
      <c r="J1187" s="55">
        <f>IF(C1187="","",ROUND(C1187*IF(IFERROR(INDEX('SETTINGS'!$K$5:$K$24,MATCH(E1187,'SETTINGS'!$J$5:$J$24,0)),"No")="Yes",FeePct,0),2))</f>
        <v/>
      </c>
      <c r="K1187" s="51">
        <f>IF(A1187="","",DATE(YEAR(A1187),MONTH(A1187),1))</f>
        <v/>
      </c>
    </row>
    <row r="1188">
      <c r="A1188" s="47" t="n"/>
      <c r="B1188" s="38" t="n"/>
      <c r="C1188" s="48" t="n"/>
      <c r="D1188" s="48" t="n"/>
      <c r="E1188" s="38" t="n"/>
      <c r="F1188" s="38" t="n"/>
      <c r="G1188" s="38" t="n"/>
      <c r="H1188" s="49">
        <f>IF(B1188="","",IFERROR(INDEX('JOBS'!$D$5:$D$1504,MATCH(B1188,'JOBS'!$A$5:$A$1504,0)),"Job ID not found"))</f>
        <v/>
      </c>
      <c r="I1188" s="49">
        <f>IF(B1188="","",IFERROR(INDEX('JOBS'!$F$5:$F$1504,MATCH(B1188,'JOBS'!$A$5:$A$1504,0)),""))</f>
        <v/>
      </c>
      <c r="J1188" s="55">
        <f>IF(C1188="","",ROUND(C1188*IF(IFERROR(INDEX('SETTINGS'!$K$5:$K$24,MATCH(E1188,'SETTINGS'!$J$5:$J$24,0)),"No")="Yes",FeePct,0),2))</f>
        <v/>
      </c>
      <c r="K1188" s="51">
        <f>IF(A1188="","",DATE(YEAR(A1188),MONTH(A1188),1))</f>
        <v/>
      </c>
    </row>
    <row r="1189">
      <c r="A1189" s="47" t="n"/>
      <c r="B1189" s="38" t="n"/>
      <c r="C1189" s="48" t="n"/>
      <c r="D1189" s="48" t="n"/>
      <c r="E1189" s="38" t="n"/>
      <c r="F1189" s="38" t="n"/>
      <c r="G1189" s="38" t="n"/>
      <c r="H1189" s="49">
        <f>IF(B1189="","",IFERROR(INDEX('JOBS'!$D$5:$D$1504,MATCH(B1189,'JOBS'!$A$5:$A$1504,0)),"Job ID not found"))</f>
        <v/>
      </c>
      <c r="I1189" s="49">
        <f>IF(B1189="","",IFERROR(INDEX('JOBS'!$F$5:$F$1504,MATCH(B1189,'JOBS'!$A$5:$A$1504,0)),""))</f>
        <v/>
      </c>
      <c r="J1189" s="55">
        <f>IF(C1189="","",ROUND(C1189*IF(IFERROR(INDEX('SETTINGS'!$K$5:$K$24,MATCH(E1189,'SETTINGS'!$J$5:$J$24,0)),"No")="Yes",FeePct,0),2))</f>
        <v/>
      </c>
      <c r="K1189" s="51">
        <f>IF(A1189="","",DATE(YEAR(A1189),MONTH(A1189),1))</f>
        <v/>
      </c>
    </row>
    <row r="1190">
      <c r="A1190" s="47" t="n"/>
      <c r="B1190" s="38" t="n"/>
      <c r="C1190" s="48" t="n"/>
      <c r="D1190" s="48" t="n"/>
      <c r="E1190" s="38" t="n"/>
      <c r="F1190" s="38" t="n"/>
      <c r="G1190" s="38" t="n"/>
      <c r="H1190" s="49">
        <f>IF(B1190="","",IFERROR(INDEX('JOBS'!$D$5:$D$1504,MATCH(B1190,'JOBS'!$A$5:$A$1504,0)),"Job ID not found"))</f>
        <v/>
      </c>
      <c r="I1190" s="49">
        <f>IF(B1190="","",IFERROR(INDEX('JOBS'!$F$5:$F$1504,MATCH(B1190,'JOBS'!$A$5:$A$1504,0)),""))</f>
        <v/>
      </c>
      <c r="J1190" s="55">
        <f>IF(C1190="","",ROUND(C1190*IF(IFERROR(INDEX('SETTINGS'!$K$5:$K$24,MATCH(E1190,'SETTINGS'!$J$5:$J$24,0)),"No")="Yes",FeePct,0),2))</f>
        <v/>
      </c>
      <c r="K1190" s="51">
        <f>IF(A1190="","",DATE(YEAR(A1190),MONTH(A1190),1))</f>
        <v/>
      </c>
    </row>
    <row r="1191">
      <c r="A1191" s="47" t="n"/>
      <c r="B1191" s="38" t="n"/>
      <c r="C1191" s="48" t="n"/>
      <c r="D1191" s="48" t="n"/>
      <c r="E1191" s="38" t="n"/>
      <c r="F1191" s="38" t="n"/>
      <c r="G1191" s="38" t="n"/>
      <c r="H1191" s="49">
        <f>IF(B1191="","",IFERROR(INDEX('JOBS'!$D$5:$D$1504,MATCH(B1191,'JOBS'!$A$5:$A$1504,0)),"Job ID not found"))</f>
        <v/>
      </c>
      <c r="I1191" s="49">
        <f>IF(B1191="","",IFERROR(INDEX('JOBS'!$F$5:$F$1504,MATCH(B1191,'JOBS'!$A$5:$A$1504,0)),""))</f>
        <v/>
      </c>
      <c r="J1191" s="55">
        <f>IF(C1191="","",ROUND(C1191*IF(IFERROR(INDEX('SETTINGS'!$K$5:$K$24,MATCH(E1191,'SETTINGS'!$J$5:$J$24,0)),"No")="Yes",FeePct,0),2))</f>
        <v/>
      </c>
      <c r="K1191" s="51">
        <f>IF(A1191="","",DATE(YEAR(A1191),MONTH(A1191),1))</f>
        <v/>
      </c>
    </row>
    <row r="1192">
      <c r="A1192" s="47" t="n"/>
      <c r="B1192" s="38" t="n"/>
      <c r="C1192" s="48" t="n"/>
      <c r="D1192" s="48" t="n"/>
      <c r="E1192" s="38" t="n"/>
      <c r="F1192" s="38" t="n"/>
      <c r="G1192" s="38" t="n"/>
      <c r="H1192" s="49">
        <f>IF(B1192="","",IFERROR(INDEX('JOBS'!$D$5:$D$1504,MATCH(B1192,'JOBS'!$A$5:$A$1504,0)),"Job ID not found"))</f>
        <v/>
      </c>
      <c r="I1192" s="49">
        <f>IF(B1192="","",IFERROR(INDEX('JOBS'!$F$5:$F$1504,MATCH(B1192,'JOBS'!$A$5:$A$1504,0)),""))</f>
        <v/>
      </c>
      <c r="J1192" s="55">
        <f>IF(C1192="","",ROUND(C1192*IF(IFERROR(INDEX('SETTINGS'!$K$5:$K$24,MATCH(E1192,'SETTINGS'!$J$5:$J$24,0)),"No")="Yes",FeePct,0),2))</f>
        <v/>
      </c>
      <c r="K1192" s="51">
        <f>IF(A1192="","",DATE(YEAR(A1192),MONTH(A1192),1))</f>
        <v/>
      </c>
    </row>
    <row r="1193">
      <c r="A1193" s="47" t="n"/>
      <c r="B1193" s="38" t="n"/>
      <c r="C1193" s="48" t="n"/>
      <c r="D1193" s="48" t="n"/>
      <c r="E1193" s="38" t="n"/>
      <c r="F1193" s="38" t="n"/>
      <c r="G1193" s="38" t="n"/>
      <c r="H1193" s="49">
        <f>IF(B1193="","",IFERROR(INDEX('JOBS'!$D$5:$D$1504,MATCH(B1193,'JOBS'!$A$5:$A$1504,0)),"Job ID not found"))</f>
        <v/>
      </c>
      <c r="I1193" s="49">
        <f>IF(B1193="","",IFERROR(INDEX('JOBS'!$F$5:$F$1504,MATCH(B1193,'JOBS'!$A$5:$A$1504,0)),""))</f>
        <v/>
      </c>
      <c r="J1193" s="55">
        <f>IF(C1193="","",ROUND(C1193*IF(IFERROR(INDEX('SETTINGS'!$K$5:$K$24,MATCH(E1193,'SETTINGS'!$J$5:$J$24,0)),"No")="Yes",FeePct,0),2))</f>
        <v/>
      </c>
      <c r="K1193" s="51">
        <f>IF(A1193="","",DATE(YEAR(A1193),MONTH(A1193),1))</f>
        <v/>
      </c>
    </row>
    <row r="1194">
      <c r="A1194" s="47" t="n"/>
      <c r="B1194" s="38" t="n"/>
      <c r="C1194" s="48" t="n"/>
      <c r="D1194" s="48" t="n"/>
      <c r="E1194" s="38" t="n"/>
      <c r="F1194" s="38" t="n"/>
      <c r="G1194" s="38" t="n"/>
      <c r="H1194" s="49">
        <f>IF(B1194="","",IFERROR(INDEX('JOBS'!$D$5:$D$1504,MATCH(B1194,'JOBS'!$A$5:$A$1504,0)),"Job ID not found"))</f>
        <v/>
      </c>
      <c r="I1194" s="49">
        <f>IF(B1194="","",IFERROR(INDEX('JOBS'!$F$5:$F$1504,MATCH(B1194,'JOBS'!$A$5:$A$1504,0)),""))</f>
        <v/>
      </c>
      <c r="J1194" s="55">
        <f>IF(C1194="","",ROUND(C1194*IF(IFERROR(INDEX('SETTINGS'!$K$5:$K$24,MATCH(E1194,'SETTINGS'!$J$5:$J$24,0)),"No")="Yes",FeePct,0),2))</f>
        <v/>
      </c>
      <c r="K1194" s="51">
        <f>IF(A1194="","",DATE(YEAR(A1194),MONTH(A1194),1))</f>
        <v/>
      </c>
    </row>
    <row r="1195">
      <c r="A1195" s="47" t="n"/>
      <c r="B1195" s="38" t="n"/>
      <c r="C1195" s="48" t="n"/>
      <c r="D1195" s="48" t="n"/>
      <c r="E1195" s="38" t="n"/>
      <c r="F1195" s="38" t="n"/>
      <c r="G1195" s="38" t="n"/>
      <c r="H1195" s="49">
        <f>IF(B1195="","",IFERROR(INDEX('JOBS'!$D$5:$D$1504,MATCH(B1195,'JOBS'!$A$5:$A$1504,0)),"Job ID not found"))</f>
        <v/>
      </c>
      <c r="I1195" s="49">
        <f>IF(B1195="","",IFERROR(INDEX('JOBS'!$F$5:$F$1504,MATCH(B1195,'JOBS'!$A$5:$A$1504,0)),""))</f>
        <v/>
      </c>
      <c r="J1195" s="55">
        <f>IF(C1195="","",ROUND(C1195*IF(IFERROR(INDEX('SETTINGS'!$K$5:$K$24,MATCH(E1195,'SETTINGS'!$J$5:$J$24,0)),"No")="Yes",FeePct,0),2))</f>
        <v/>
      </c>
      <c r="K1195" s="51">
        <f>IF(A1195="","",DATE(YEAR(A1195),MONTH(A1195),1))</f>
        <v/>
      </c>
    </row>
    <row r="1196">
      <c r="A1196" s="47" t="n"/>
      <c r="B1196" s="38" t="n"/>
      <c r="C1196" s="48" t="n"/>
      <c r="D1196" s="48" t="n"/>
      <c r="E1196" s="38" t="n"/>
      <c r="F1196" s="38" t="n"/>
      <c r="G1196" s="38" t="n"/>
      <c r="H1196" s="49">
        <f>IF(B1196="","",IFERROR(INDEX('JOBS'!$D$5:$D$1504,MATCH(B1196,'JOBS'!$A$5:$A$1504,0)),"Job ID not found"))</f>
        <v/>
      </c>
      <c r="I1196" s="49">
        <f>IF(B1196="","",IFERROR(INDEX('JOBS'!$F$5:$F$1504,MATCH(B1196,'JOBS'!$A$5:$A$1504,0)),""))</f>
        <v/>
      </c>
      <c r="J1196" s="55">
        <f>IF(C1196="","",ROUND(C1196*IF(IFERROR(INDEX('SETTINGS'!$K$5:$K$24,MATCH(E1196,'SETTINGS'!$J$5:$J$24,0)),"No")="Yes",FeePct,0),2))</f>
        <v/>
      </c>
      <c r="K1196" s="51">
        <f>IF(A1196="","",DATE(YEAR(A1196),MONTH(A1196),1))</f>
        <v/>
      </c>
    </row>
    <row r="1197">
      <c r="A1197" s="47" t="n"/>
      <c r="B1197" s="38" t="n"/>
      <c r="C1197" s="48" t="n"/>
      <c r="D1197" s="48" t="n"/>
      <c r="E1197" s="38" t="n"/>
      <c r="F1197" s="38" t="n"/>
      <c r="G1197" s="38" t="n"/>
      <c r="H1197" s="49">
        <f>IF(B1197="","",IFERROR(INDEX('JOBS'!$D$5:$D$1504,MATCH(B1197,'JOBS'!$A$5:$A$1504,0)),"Job ID not found"))</f>
        <v/>
      </c>
      <c r="I1197" s="49">
        <f>IF(B1197="","",IFERROR(INDEX('JOBS'!$F$5:$F$1504,MATCH(B1197,'JOBS'!$A$5:$A$1504,0)),""))</f>
        <v/>
      </c>
      <c r="J1197" s="55">
        <f>IF(C1197="","",ROUND(C1197*IF(IFERROR(INDEX('SETTINGS'!$K$5:$K$24,MATCH(E1197,'SETTINGS'!$J$5:$J$24,0)),"No")="Yes",FeePct,0),2))</f>
        <v/>
      </c>
      <c r="K1197" s="51">
        <f>IF(A1197="","",DATE(YEAR(A1197),MONTH(A1197),1))</f>
        <v/>
      </c>
    </row>
    <row r="1198">
      <c r="A1198" s="47" t="n"/>
      <c r="B1198" s="38" t="n"/>
      <c r="C1198" s="48" t="n"/>
      <c r="D1198" s="48" t="n"/>
      <c r="E1198" s="38" t="n"/>
      <c r="F1198" s="38" t="n"/>
      <c r="G1198" s="38" t="n"/>
      <c r="H1198" s="49">
        <f>IF(B1198="","",IFERROR(INDEX('JOBS'!$D$5:$D$1504,MATCH(B1198,'JOBS'!$A$5:$A$1504,0)),"Job ID not found"))</f>
        <v/>
      </c>
      <c r="I1198" s="49">
        <f>IF(B1198="","",IFERROR(INDEX('JOBS'!$F$5:$F$1504,MATCH(B1198,'JOBS'!$A$5:$A$1504,0)),""))</f>
        <v/>
      </c>
      <c r="J1198" s="55">
        <f>IF(C1198="","",ROUND(C1198*IF(IFERROR(INDEX('SETTINGS'!$K$5:$K$24,MATCH(E1198,'SETTINGS'!$J$5:$J$24,0)),"No")="Yes",FeePct,0),2))</f>
        <v/>
      </c>
      <c r="K1198" s="51">
        <f>IF(A1198="","",DATE(YEAR(A1198),MONTH(A1198),1))</f>
        <v/>
      </c>
    </row>
    <row r="1199">
      <c r="A1199" s="47" t="n"/>
      <c r="B1199" s="38" t="n"/>
      <c r="C1199" s="48" t="n"/>
      <c r="D1199" s="48" t="n"/>
      <c r="E1199" s="38" t="n"/>
      <c r="F1199" s="38" t="n"/>
      <c r="G1199" s="38" t="n"/>
      <c r="H1199" s="49">
        <f>IF(B1199="","",IFERROR(INDEX('JOBS'!$D$5:$D$1504,MATCH(B1199,'JOBS'!$A$5:$A$1504,0)),"Job ID not found"))</f>
        <v/>
      </c>
      <c r="I1199" s="49">
        <f>IF(B1199="","",IFERROR(INDEX('JOBS'!$F$5:$F$1504,MATCH(B1199,'JOBS'!$A$5:$A$1504,0)),""))</f>
        <v/>
      </c>
      <c r="J1199" s="55">
        <f>IF(C1199="","",ROUND(C1199*IF(IFERROR(INDEX('SETTINGS'!$K$5:$K$24,MATCH(E1199,'SETTINGS'!$J$5:$J$24,0)),"No")="Yes",FeePct,0),2))</f>
        <v/>
      </c>
      <c r="K1199" s="51">
        <f>IF(A1199="","",DATE(YEAR(A1199),MONTH(A1199),1))</f>
        <v/>
      </c>
    </row>
    <row r="1200">
      <c r="A1200" s="47" t="n"/>
      <c r="B1200" s="38" t="n"/>
      <c r="C1200" s="48" t="n"/>
      <c r="D1200" s="48" t="n"/>
      <c r="E1200" s="38" t="n"/>
      <c r="F1200" s="38" t="n"/>
      <c r="G1200" s="38" t="n"/>
      <c r="H1200" s="49">
        <f>IF(B1200="","",IFERROR(INDEX('JOBS'!$D$5:$D$1504,MATCH(B1200,'JOBS'!$A$5:$A$1504,0)),"Job ID not found"))</f>
        <v/>
      </c>
      <c r="I1200" s="49">
        <f>IF(B1200="","",IFERROR(INDEX('JOBS'!$F$5:$F$1504,MATCH(B1200,'JOBS'!$A$5:$A$1504,0)),""))</f>
        <v/>
      </c>
      <c r="J1200" s="55">
        <f>IF(C1200="","",ROUND(C1200*IF(IFERROR(INDEX('SETTINGS'!$K$5:$K$24,MATCH(E1200,'SETTINGS'!$J$5:$J$24,0)),"No")="Yes",FeePct,0),2))</f>
        <v/>
      </c>
      <c r="K1200" s="51">
        <f>IF(A1200="","",DATE(YEAR(A1200),MONTH(A1200),1))</f>
        <v/>
      </c>
    </row>
    <row r="1201">
      <c r="A1201" s="47" t="n"/>
      <c r="B1201" s="38" t="n"/>
      <c r="C1201" s="48" t="n"/>
      <c r="D1201" s="48" t="n"/>
      <c r="E1201" s="38" t="n"/>
      <c r="F1201" s="38" t="n"/>
      <c r="G1201" s="38" t="n"/>
      <c r="H1201" s="49">
        <f>IF(B1201="","",IFERROR(INDEX('JOBS'!$D$5:$D$1504,MATCH(B1201,'JOBS'!$A$5:$A$1504,0)),"Job ID not found"))</f>
        <v/>
      </c>
      <c r="I1201" s="49">
        <f>IF(B1201="","",IFERROR(INDEX('JOBS'!$F$5:$F$1504,MATCH(B1201,'JOBS'!$A$5:$A$1504,0)),""))</f>
        <v/>
      </c>
      <c r="J1201" s="55">
        <f>IF(C1201="","",ROUND(C1201*IF(IFERROR(INDEX('SETTINGS'!$K$5:$K$24,MATCH(E1201,'SETTINGS'!$J$5:$J$24,0)),"No")="Yes",FeePct,0),2))</f>
        <v/>
      </c>
      <c r="K1201" s="51">
        <f>IF(A1201="","",DATE(YEAR(A1201),MONTH(A1201),1))</f>
        <v/>
      </c>
    </row>
    <row r="1202">
      <c r="A1202" s="47" t="n"/>
      <c r="B1202" s="38" t="n"/>
      <c r="C1202" s="48" t="n"/>
      <c r="D1202" s="48" t="n"/>
      <c r="E1202" s="38" t="n"/>
      <c r="F1202" s="38" t="n"/>
      <c r="G1202" s="38" t="n"/>
      <c r="H1202" s="49">
        <f>IF(B1202="","",IFERROR(INDEX('JOBS'!$D$5:$D$1504,MATCH(B1202,'JOBS'!$A$5:$A$1504,0)),"Job ID not found"))</f>
        <v/>
      </c>
      <c r="I1202" s="49">
        <f>IF(B1202="","",IFERROR(INDEX('JOBS'!$F$5:$F$1504,MATCH(B1202,'JOBS'!$A$5:$A$1504,0)),""))</f>
        <v/>
      </c>
      <c r="J1202" s="55">
        <f>IF(C1202="","",ROUND(C1202*IF(IFERROR(INDEX('SETTINGS'!$K$5:$K$24,MATCH(E1202,'SETTINGS'!$J$5:$J$24,0)),"No")="Yes",FeePct,0),2))</f>
        <v/>
      </c>
      <c r="K1202" s="51">
        <f>IF(A1202="","",DATE(YEAR(A1202),MONTH(A1202),1))</f>
        <v/>
      </c>
    </row>
    <row r="1203">
      <c r="A1203" s="47" t="n"/>
      <c r="B1203" s="38" t="n"/>
      <c r="C1203" s="48" t="n"/>
      <c r="D1203" s="48" t="n"/>
      <c r="E1203" s="38" t="n"/>
      <c r="F1203" s="38" t="n"/>
      <c r="G1203" s="38" t="n"/>
      <c r="H1203" s="49">
        <f>IF(B1203="","",IFERROR(INDEX('JOBS'!$D$5:$D$1504,MATCH(B1203,'JOBS'!$A$5:$A$1504,0)),"Job ID not found"))</f>
        <v/>
      </c>
      <c r="I1203" s="49">
        <f>IF(B1203="","",IFERROR(INDEX('JOBS'!$F$5:$F$1504,MATCH(B1203,'JOBS'!$A$5:$A$1504,0)),""))</f>
        <v/>
      </c>
      <c r="J1203" s="55">
        <f>IF(C1203="","",ROUND(C1203*IF(IFERROR(INDEX('SETTINGS'!$K$5:$K$24,MATCH(E1203,'SETTINGS'!$J$5:$J$24,0)),"No")="Yes",FeePct,0),2))</f>
        <v/>
      </c>
      <c r="K1203" s="51">
        <f>IF(A1203="","",DATE(YEAR(A1203),MONTH(A1203),1))</f>
        <v/>
      </c>
    </row>
    <row r="1204">
      <c r="A1204" s="47" t="n"/>
      <c r="B1204" s="38" t="n"/>
      <c r="C1204" s="48" t="n"/>
      <c r="D1204" s="48" t="n"/>
      <c r="E1204" s="38" t="n"/>
      <c r="F1204" s="38" t="n"/>
      <c r="G1204" s="38" t="n"/>
      <c r="H1204" s="49">
        <f>IF(B1204="","",IFERROR(INDEX('JOBS'!$D$5:$D$1504,MATCH(B1204,'JOBS'!$A$5:$A$1504,0)),"Job ID not found"))</f>
        <v/>
      </c>
      <c r="I1204" s="49">
        <f>IF(B1204="","",IFERROR(INDEX('JOBS'!$F$5:$F$1504,MATCH(B1204,'JOBS'!$A$5:$A$1504,0)),""))</f>
        <v/>
      </c>
      <c r="J1204" s="55">
        <f>IF(C1204="","",ROUND(C1204*IF(IFERROR(INDEX('SETTINGS'!$K$5:$K$24,MATCH(E1204,'SETTINGS'!$J$5:$J$24,0)),"No")="Yes",FeePct,0),2))</f>
        <v/>
      </c>
      <c r="K1204" s="51">
        <f>IF(A1204="","",DATE(YEAR(A1204),MONTH(A1204),1))</f>
        <v/>
      </c>
    </row>
    <row r="1205">
      <c r="A1205" s="47" t="n"/>
      <c r="B1205" s="38" t="n"/>
      <c r="C1205" s="48" t="n"/>
      <c r="D1205" s="48" t="n"/>
      <c r="E1205" s="38" t="n"/>
      <c r="F1205" s="38" t="n"/>
      <c r="G1205" s="38" t="n"/>
      <c r="H1205" s="49">
        <f>IF(B1205="","",IFERROR(INDEX('JOBS'!$D$5:$D$1504,MATCH(B1205,'JOBS'!$A$5:$A$1504,0)),"Job ID not found"))</f>
        <v/>
      </c>
      <c r="I1205" s="49">
        <f>IF(B1205="","",IFERROR(INDEX('JOBS'!$F$5:$F$1504,MATCH(B1205,'JOBS'!$A$5:$A$1504,0)),""))</f>
        <v/>
      </c>
      <c r="J1205" s="55">
        <f>IF(C1205="","",ROUND(C1205*IF(IFERROR(INDEX('SETTINGS'!$K$5:$K$24,MATCH(E1205,'SETTINGS'!$J$5:$J$24,0)),"No")="Yes",FeePct,0),2))</f>
        <v/>
      </c>
      <c r="K1205" s="51">
        <f>IF(A1205="","",DATE(YEAR(A1205),MONTH(A1205),1))</f>
        <v/>
      </c>
    </row>
    <row r="1206">
      <c r="A1206" s="47" t="n"/>
      <c r="B1206" s="38" t="n"/>
      <c r="C1206" s="48" t="n"/>
      <c r="D1206" s="48" t="n"/>
      <c r="E1206" s="38" t="n"/>
      <c r="F1206" s="38" t="n"/>
      <c r="G1206" s="38" t="n"/>
      <c r="H1206" s="49">
        <f>IF(B1206="","",IFERROR(INDEX('JOBS'!$D$5:$D$1504,MATCH(B1206,'JOBS'!$A$5:$A$1504,0)),"Job ID not found"))</f>
        <v/>
      </c>
      <c r="I1206" s="49">
        <f>IF(B1206="","",IFERROR(INDEX('JOBS'!$F$5:$F$1504,MATCH(B1206,'JOBS'!$A$5:$A$1504,0)),""))</f>
        <v/>
      </c>
      <c r="J1206" s="55">
        <f>IF(C1206="","",ROUND(C1206*IF(IFERROR(INDEX('SETTINGS'!$K$5:$K$24,MATCH(E1206,'SETTINGS'!$J$5:$J$24,0)),"No")="Yes",FeePct,0),2))</f>
        <v/>
      </c>
      <c r="K1206" s="51">
        <f>IF(A1206="","",DATE(YEAR(A1206),MONTH(A1206),1))</f>
        <v/>
      </c>
    </row>
    <row r="1207">
      <c r="A1207" s="47" t="n"/>
      <c r="B1207" s="38" t="n"/>
      <c r="C1207" s="48" t="n"/>
      <c r="D1207" s="48" t="n"/>
      <c r="E1207" s="38" t="n"/>
      <c r="F1207" s="38" t="n"/>
      <c r="G1207" s="38" t="n"/>
      <c r="H1207" s="49">
        <f>IF(B1207="","",IFERROR(INDEX('JOBS'!$D$5:$D$1504,MATCH(B1207,'JOBS'!$A$5:$A$1504,0)),"Job ID not found"))</f>
        <v/>
      </c>
      <c r="I1207" s="49">
        <f>IF(B1207="","",IFERROR(INDEX('JOBS'!$F$5:$F$1504,MATCH(B1207,'JOBS'!$A$5:$A$1504,0)),""))</f>
        <v/>
      </c>
      <c r="J1207" s="55">
        <f>IF(C1207="","",ROUND(C1207*IF(IFERROR(INDEX('SETTINGS'!$K$5:$K$24,MATCH(E1207,'SETTINGS'!$J$5:$J$24,0)),"No")="Yes",FeePct,0),2))</f>
        <v/>
      </c>
      <c r="K1207" s="51">
        <f>IF(A1207="","",DATE(YEAR(A1207),MONTH(A1207),1))</f>
        <v/>
      </c>
    </row>
    <row r="1208">
      <c r="A1208" s="47" t="n"/>
      <c r="B1208" s="38" t="n"/>
      <c r="C1208" s="48" t="n"/>
      <c r="D1208" s="48" t="n"/>
      <c r="E1208" s="38" t="n"/>
      <c r="F1208" s="38" t="n"/>
      <c r="G1208" s="38" t="n"/>
      <c r="H1208" s="49">
        <f>IF(B1208="","",IFERROR(INDEX('JOBS'!$D$5:$D$1504,MATCH(B1208,'JOBS'!$A$5:$A$1504,0)),"Job ID not found"))</f>
        <v/>
      </c>
      <c r="I1208" s="49">
        <f>IF(B1208="","",IFERROR(INDEX('JOBS'!$F$5:$F$1504,MATCH(B1208,'JOBS'!$A$5:$A$1504,0)),""))</f>
        <v/>
      </c>
      <c r="J1208" s="55">
        <f>IF(C1208="","",ROUND(C1208*IF(IFERROR(INDEX('SETTINGS'!$K$5:$K$24,MATCH(E1208,'SETTINGS'!$J$5:$J$24,0)),"No")="Yes",FeePct,0),2))</f>
        <v/>
      </c>
      <c r="K1208" s="51">
        <f>IF(A1208="","",DATE(YEAR(A1208),MONTH(A1208),1))</f>
        <v/>
      </c>
    </row>
    <row r="1209">
      <c r="A1209" s="47" t="n"/>
      <c r="B1209" s="38" t="n"/>
      <c r="C1209" s="48" t="n"/>
      <c r="D1209" s="48" t="n"/>
      <c r="E1209" s="38" t="n"/>
      <c r="F1209" s="38" t="n"/>
      <c r="G1209" s="38" t="n"/>
      <c r="H1209" s="49">
        <f>IF(B1209="","",IFERROR(INDEX('JOBS'!$D$5:$D$1504,MATCH(B1209,'JOBS'!$A$5:$A$1504,0)),"Job ID not found"))</f>
        <v/>
      </c>
      <c r="I1209" s="49">
        <f>IF(B1209="","",IFERROR(INDEX('JOBS'!$F$5:$F$1504,MATCH(B1209,'JOBS'!$A$5:$A$1504,0)),""))</f>
        <v/>
      </c>
      <c r="J1209" s="55">
        <f>IF(C1209="","",ROUND(C1209*IF(IFERROR(INDEX('SETTINGS'!$K$5:$K$24,MATCH(E1209,'SETTINGS'!$J$5:$J$24,0)),"No")="Yes",FeePct,0),2))</f>
        <v/>
      </c>
      <c r="K1209" s="51">
        <f>IF(A1209="","",DATE(YEAR(A1209),MONTH(A1209),1))</f>
        <v/>
      </c>
    </row>
    <row r="1210">
      <c r="A1210" s="47" t="n"/>
      <c r="B1210" s="38" t="n"/>
      <c r="C1210" s="48" t="n"/>
      <c r="D1210" s="48" t="n"/>
      <c r="E1210" s="38" t="n"/>
      <c r="F1210" s="38" t="n"/>
      <c r="G1210" s="38" t="n"/>
      <c r="H1210" s="49">
        <f>IF(B1210="","",IFERROR(INDEX('JOBS'!$D$5:$D$1504,MATCH(B1210,'JOBS'!$A$5:$A$1504,0)),"Job ID not found"))</f>
        <v/>
      </c>
      <c r="I1210" s="49">
        <f>IF(B1210="","",IFERROR(INDEX('JOBS'!$F$5:$F$1504,MATCH(B1210,'JOBS'!$A$5:$A$1504,0)),""))</f>
        <v/>
      </c>
      <c r="J1210" s="55">
        <f>IF(C1210="","",ROUND(C1210*IF(IFERROR(INDEX('SETTINGS'!$K$5:$K$24,MATCH(E1210,'SETTINGS'!$J$5:$J$24,0)),"No")="Yes",FeePct,0),2))</f>
        <v/>
      </c>
      <c r="K1210" s="51">
        <f>IF(A1210="","",DATE(YEAR(A1210),MONTH(A1210),1))</f>
        <v/>
      </c>
    </row>
    <row r="1211">
      <c r="A1211" s="47" t="n"/>
      <c r="B1211" s="38" t="n"/>
      <c r="C1211" s="48" t="n"/>
      <c r="D1211" s="48" t="n"/>
      <c r="E1211" s="38" t="n"/>
      <c r="F1211" s="38" t="n"/>
      <c r="G1211" s="38" t="n"/>
      <c r="H1211" s="49">
        <f>IF(B1211="","",IFERROR(INDEX('JOBS'!$D$5:$D$1504,MATCH(B1211,'JOBS'!$A$5:$A$1504,0)),"Job ID not found"))</f>
        <v/>
      </c>
      <c r="I1211" s="49">
        <f>IF(B1211="","",IFERROR(INDEX('JOBS'!$F$5:$F$1504,MATCH(B1211,'JOBS'!$A$5:$A$1504,0)),""))</f>
        <v/>
      </c>
      <c r="J1211" s="55">
        <f>IF(C1211="","",ROUND(C1211*IF(IFERROR(INDEX('SETTINGS'!$K$5:$K$24,MATCH(E1211,'SETTINGS'!$J$5:$J$24,0)),"No")="Yes",FeePct,0),2))</f>
        <v/>
      </c>
      <c r="K1211" s="51">
        <f>IF(A1211="","",DATE(YEAR(A1211),MONTH(A1211),1))</f>
        <v/>
      </c>
    </row>
    <row r="1212">
      <c r="A1212" s="47" t="n"/>
      <c r="B1212" s="38" t="n"/>
      <c r="C1212" s="48" t="n"/>
      <c r="D1212" s="48" t="n"/>
      <c r="E1212" s="38" t="n"/>
      <c r="F1212" s="38" t="n"/>
      <c r="G1212" s="38" t="n"/>
      <c r="H1212" s="49">
        <f>IF(B1212="","",IFERROR(INDEX('JOBS'!$D$5:$D$1504,MATCH(B1212,'JOBS'!$A$5:$A$1504,0)),"Job ID not found"))</f>
        <v/>
      </c>
      <c r="I1212" s="49">
        <f>IF(B1212="","",IFERROR(INDEX('JOBS'!$F$5:$F$1504,MATCH(B1212,'JOBS'!$A$5:$A$1504,0)),""))</f>
        <v/>
      </c>
      <c r="J1212" s="55">
        <f>IF(C1212="","",ROUND(C1212*IF(IFERROR(INDEX('SETTINGS'!$K$5:$K$24,MATCH(E1212,'SETTINGS'!$J$5:$J$24,0)),"No")="Yes",FeePct,0),2))</f>
        <v/>
      </c>
      <c r="K1212" s="51">
        <f>IF(A1212="","",DATE(YEAR(A1212),MONTH(A1212),1))</f>
        <v/>
      </c>
    </row>
    <row r="1213">
      <c r="A1213" s="47" t="n"/>
      <c r="B1213" s="38" t="n"/>
      <c r="C1213" s="48" t="n"/>
      <c r="D1213" s="48" t="n"/>
      <c r="E1213" s="38" t="n"/>
      <c r="F1213" s="38" t="n"/>
      <c r="G1213" s="38" t="n"/>
      <c r="H1213" s="49">
        <f>IF(B1213="","",IFERROR(INDEX('JOBS'!$D$5:$D$1504,MATCH(B1213,'JOBS'!$A$5:$A$1504,0)),"Job ID not found"))</f>
        <v/>
      </c>
      <c r="I1213" s="49">
        <f>IF(B1213="","",IFERROR(INDEX('JOBS'!$F$5:$F$1504,MATCH(B1213,'JOBS'!$A$5:$A$1504,0)),""))</f>
        <v/>
      </c>
      <c r="J1213" s="55">
        <f>IF(C1213="","",ROUND(C1213*IF(IFERROR(INDEX('SETTINGS'!$K$5:$K$24,MATCH(E1213,'SETTINGS'!$J$5:$J$24,0)),"No")="Yes",FeePct,0),2))</f>
        <v/>
      </c>
      <c r="K1213" s="51">
        <f>IF(A1213="","",DATE(YEAR(A1213),MONTH(A1213),1))</f>
        <v/>
      </c>
    </row>
    <row r="1214">
      <c r="A1214" s="47" t="n"/>
      <c r="B1214" s="38" t="n"/>
      <c r="C1214" s="48" t="n"/>
      <c r="D1214" s="48" t="n"/>
      <c r="E1214" s="38" t="n"/>
      <c r="F1214" s="38" t="n"/>
      <c r="G1214" s="38" t="n"/>
      <c r="H1214" s="49">
        <f>IF(B1214="","",IFERROR(INDEX('JOBS'!$D$5:$D$1504,MATCH(B1214,'JOBS'!$A$5:$A$1504,0)),"Job ID not found"))</f>
        <v/>
      </c>
      <c r="I1214" s="49">
        <f>IF(B1214="","",IFERROR(INDEX('JOBS'!$F$5:$F$1504,MATCH(B1214,'JOBS'!$A$5:$A$1504,0)),""))</f>
        <v/>
      </c>
      <c r="J1214" s="55">
        <f>IF(C1214="","",ROUND(C1214*IF(IFERROR(INDEX('SETTINGS'!$K$5:$K$24,MATCH(E1214,'SETTINGS'!$J$5:$J$24,0)),"No")="Yes",FeePct,0),2))</f>
        <v/>
      </c>
      <c r="K1214" s="51">
        <f>IF(A1214="","",DATE(YEAR(A1214),MONTH(A1214),1))</f>
        <v/>
      </c>
    </row>
    <row r="1215">
      <c r="A1215" s="47" t="n"/>
      <c r="B1215" s="38" t="n"/>
      <c r="C1215" s="48" t="n"/>
      <c r="D1215" s="48" t="n"/>
      <c r="E1215" s="38" t="n"/>
      <c r="F1215" s="38" t="n"/>
      <c r="G1215" s="38" t="n"/>
      <c r="H1215" s="49">
        <f>IF(B1215="","",IFERROR(INDEX('JOBS'!$D$5:$D$1504,MATCH(B1215,'JOBS'!$A$5:$A$1504,0)),"Job ID not found"))</f>
        <v/>
      </c>
      <c r="I1215" s="49">
        <f>IF(B1215="","",IFERROR(INDEX('JOBS'!$F$5:$F$1504,MATCH(B1215,'JOBS'!$A$5:$A$1504,0)),""))</f>
        <v/>
      </c>
      <c r="J1215" s="55">
        <f>IF(C1215="","",ROUND(C1215*IF(IFERROR(INDEX('SETTINGS'!$K$5:$K$24,MATCH(E1215,'SETTINGS'!$J$5:$J$24,0)),"No")="Yes",FeePct,0),2))</f>
        <v/>
      </c>
      <c r="K1215" s="51">
        <f>IF(A1215="","",DATE(YEAR(A1215),MONTH(A1215),1))</f>
        <v/>
      </c>
    </row>
    <row r="1216">
      <c r="A1216" s="47" t="n"/>
      <c r="B1216" s="38" t="n"/>
      <c r="C1216" s="48" t="n"/>
      <c r="D1216" s="48" t="n"/>
      <c r="E1216" s="38" t="n"/>
      <c r="F1216" s="38" t="n"/>
      <c r="G1216" s="38" t="n"/>
      <c r="H1216" s="49">
        <f>IF(B1216="","",IFERROR(INDEX('JOBS'!$D$5:$D$1504,MATCH(B1216,'JOBS'!$A$5:$A$1504,0)),"Job ID not found"))</f>
        <v/>
      </c>
      <c r="I1216" s="49">
        <f>IF(B1216="","",IFERROR(INDEX('JOBS'!$F$5:$F$1504,MATCH(B1216,'JOBS'!$A$5:$A$1504,0)),""))</f>
        <v/>
      </c>
      <c r="J1216" s="55">
        <f>IF(C1216="","",ROUND(C1216*IF(IFERROR(INDEX('SETTINGS'!$K$5:$K$24,MATCH(E1216,'SETTINGS'!$J$5:$J$24,0)),"No")="Yes",FeePct,0),2))</f>
        <v/>
      </c>
      <c r="K1216" s="51">
        <f>IF(A1216="","",DATE(YEAR(A1216),MONTH(A1216),1))</f>
        <v/>
      </c>
    </row>
    <row r="1217">
      <c r="A1217" s="47" t="n"/>
      <c r="B1217" s="38" t="n"/>
      <c r="C1217" s="48" t="n"/>
      <c r="D1217" s="48" t="n"/>
      <c r="E1217" s="38" t="n"/>
      <c r="F1217" s="38" t="n"/>
      <c r="G1217" s="38" t="n"/>
      <c r="H1217" s="49">
        <f>IF(B1217="","",IFERROR(INDEX('JOBS'!$D$5:$D$1504,MATCH(B1217,'JOBS'!$A$5:$A$1504,0)),"Job ID not found"))</f>
        <v/>
      </c>
      <c r="I1217" s="49">
        <f>IF(B1217="","",IFERROR(INDEX('JOBS'!$F$5:$F$1504,MATCH(B1217,'JOBS'!$A$5:$A$1504,0)),""))</f>
        <v/>
      </c>
      <c r="J1217" s="55">
        <f>IF(C1217="","",ROUND(C1217*IF(IFERROR(INDEX('SETTINGS'!$K$5:$K$24,MATCH(E1217,'SETTINGS'!$J$5:$J$24,0)),"No")="Yes",FeePct,0),2))</f>
        <v/>
      </c>
      <c r="K1217" s="51">
        <f>IF(A1217="","",DATE(YEAR(A1217),MONTH(A1217),1))</f>
        <v/>
      </c>
    </row>
    <row r="1218">
      <c r="A1218" s="47" t="n"/>
      <c r="B1218" s="38" t="n"/>
      <c r="C1218" s="48" t="n"/>
      <c r="D1218" s="48" t="n"/>
      <c r="E1218" s="38" t="n"/>
      <c r="F1218" s="38" t="n"/>
      <c r="G1218" s="38" t="n"/>
      <c r="H1218" s="49">
        <f>IF(B1218="","",IFERROR(INDEX('JOBS'!$D$5:$D$1504,MATCH(B1218,'JOBS'!$A$5:$A$1504,0)),"Job ID not found"))</f>
        <v/>
      </c>
      <c r="I1218" s="49">
        <f>IF(B1218="","",IFERROR(INDEX('JOBS'!$F$5:$F$1504,MATCH(B1218,'JOBS'!$A$5:$A$1504,0)),""))</f>
        <v/>
      </c>
      <c r="J1218" s="55">
        <f>IF(C1218="","",ROUND(C1218*IF(IFERROR(INDEX('SETTINGS'!$K$5:$K$24,MATCH(E1218,'SETTINGS'!$J$5:$J$24,0)),"No")="Yes",FeePct,0),2))</f>
        <v/>
      </c>
      <c r="K1218" s="51">
        <f>IF(A1218="","",DATE(YEAR(A1218),MONTH(A1218),1))</f>
        <v/>
      </c>
    </row>
    <row r="1219">
      <c r="A1219" s="47" t="n"/>
      <c r="B1219" s="38" t="n"/>
      <c r="C1219" s="48" t="n"/>
      <c r="D1219" s="48" t="n"/>
      <c r="E1219" s="38" t="n"/>
      <c r="F1219" s="38" t="n"/>
      <c r="G1219" s="38" t="n"/>
      <c r="H1219" s="49">
        <f>IF(B1219="","",IFERROR(INDEX('JOBS'!$D$5:$D$1504,MATCH(B1219,'JOBS'!$A$5:$A$1504,0)),"Job ID not found"))</f>
        <v/>
      </c>
      <c r="I1219" s="49">
        <f>IF(B1219="","",IFERROR(INDEX('JOBS'!$F$5:$F$1504,MATCH(B1219,'JOBS'!$A$5:$A$1504,0)),""))</f>
        <v/>
      </c>
      <c r="J1219" s="55">
        <f>IF(C1219="","",ROUND(C1219*IF(IFERROR(INDEX('SETTINGS'!$K$5:$K$24,MATCH(E1219,'SETTINGS'!$J$5:$J$24,0)),"No")="Yes",FeePct,0),2))</f>
        <v/>
      </c>
      <c r="K1219" s="51">
        <f>IF(A1219="","",DATE(YEAR(A1219),MONTH(A1219),1))</f>
        <v/>
      </c>
    </row>
    <row r="1220">
      <c r="A1220" s="47" t="n"/>
      <c r="B1220" s="38" t="n"/>
      <c r="C1220" s="48" t="n"/>
      <c r="D1220" s="48" t="n"/>
      <c r="E1220" s="38" t="n"/>
      <c r="F1220" s="38" t="n"/>
      <c r="G1220" s="38" t="n"/>
      <c r="H1220" s="49">
        <f>IF(B1220="","",IFERROR(INDEX('JOBS'!$D$5:$D$1504,MATCH(B1220,'JOBS'!$A$5:$A$1504,0)),"Job ID not found"))</f>
        <v/>
      </c>
      <c r="I1220" s="49">
        <f>IF(B1220="","",IFERROR(INDEX('JOBS'!$F$5:$F$1504,MATCH(B1220,'JOBS'!$A$5:$A$1504,0)),""))</f>
        <v/>
      </c>
      <c r="J1220" s="55">
        <f>IF(C1220="","",ROUND(C1220*IF(IFERROR(INDEX('SETTINGS'!$K$5:$K$24,MATCH(E1220,'SETTINGS'!$J$5:$J$24,0)),"No")="Yes",FeePct,0),2))</f>
        <v/>
      </c>
      <c r="K1220" s="51">
        <f>IF(A1220="","",DATE(YEAR(A1220),MONTH(A1220),1))</f>
        <v/>
      </c>
    </row>
    <row r="1221">
      <c r="A1221" s="47" t="n"/>
      <c r="B1221" s="38" t="n"/>
      <c r="C1221" s="48" t="n"/>
      <c r="D1221" s="48" t="n"/>
      <c r="E1221" s="38" t="n"/>
      <c r="F1221" s="38" t="n"/>
      <c r="G1221" s="38" t="n"/>
      <c r="H1221" s="49">
        <f>IF(B1221="","",IFERROR(INDEX('JOBS'!$D$5:$D$1504,MATCH(B1221,'JOBS'!$A$5:$A$1504,0)),"Job ID not found"))</f>
        <v/>
      </c>
      <c r="I1221" s="49">
        <f>IF(B1221="","",IFERROR(INDEX('JOBS'!$F$5:$F$1504,MATCH(B1221,'JOBS'!$A$5:$A$1504,0)),""))</f>
        <v/>
      </c>
      <c r="J1221" s="55">
        <f>IF(C1221="","",ROUND(C1221*IF(IFERROR(INDEX('SETTINGS'!$K$5:$K$24,MATCH(E1221,'SETTINGS'!$J$5:$J$24,0)),"No")="Yes",FeePct,0),2))</f>
        <v/>
      </c>
      <c r="K1221" s="51">
        <f>IF(A1221="","",DATE(YEAR(A1221),MONTH(A1221),1))</f>
        <v/>
      </c>
    </row>
    <row r="1222">
      <c r="A1222" s="47" t="n"/>
      <c r="B1222" s="38" t="n"/>
      <c r="C1222" s="48" t="n"/>
      <c r="D1222" s="48" t="n"/>
      <c r="E1222" s="38" t="n"/>
      <c r="F1222" s="38" t="n"/>
      <c r="G1222" s="38" t="n"/>
      <c r="H1222" s="49">
        <f>IF(B1222="","",IFERROR(INDEX('JOBS'!$D$5:$D$1504,MATCH(B1222,'JOBS'!$A$5:$A$1504,0)),"Job ID not found"))</f>
        <v/>
      </c>
      <c r="I1222" s="49">
        <f>IF(B1222="","",IFERROR(INDEX('JOBS'!$F$5:$F$1504,MATCH(B1222,'JOBS'!$A$5:$A$1504,0)),""))</f>
        <v/>
      </c>
      <c r="J1222" s="55">
        <f>IF(C1222="","",ROUND(C1222*IF(IFERROR(INDEX('SETTINGS'!$K$5:$K$24,MATCH(E1222,'SETTINGS'!$J$5:$J$24,0)),"No")="Yes",FeePct,0),2))</f>
        <v/>
      </c>
      <c r="K1222" s="51">
        <f>IF(A1222="","",DATE(YEAR(A1222),MONTH(A1222),1))</f>
        <v/>
      </c>
    </row>
    <row r="1223">
      <c r="A1223" s="47" t="n"/>
      <c r="B1223" s="38" t="n"/>
      <c r="C1223" s="48" t="n"/>
      <c r="D1223" s="48" t="n"/>
      <c r="E1223" s="38" t="n"/>
      <c r="F1223" s="38" t="n"/>
      <c r="G1223" s="38" t="n"/>
      <c r="H1223" s="49">
        <f>IF(B1223="","",IFERROR(INDEX('JOBS'!$D$5:$D$1504,MATCH(B1223,'JOBS'!$A$5:$A$1504,0)),"Job ID not found"))</f>
        <v/>
      </c>
      <c r="I1223" s="49">
        <f>IF(B1223="","",IFERROR(INDEX('JOBS'!$F$5:$F$1504,MATCH(B1223,'JOBS'!$A$5:$A$1504,0)),""))</f>
        <v/>
      </c>
      <c r="J1223" s="55">
        <f>IF(C1223="","",ROUND(C1223*IF(IFERROR(INDEX('SETTINGS'!$K$5:$K$24,MATCH(E1223,'SETTINGS'!$J$5:$J$24,0)),"No")="Yes",FeePct,0),2))</f>
        <v/>
      </c>
      <c r="K1223" s="51">
        <f>IF(A1223="","",DATE(YEAR(A1223),MONTH(A1223),1))</f>
        <v/>
      </c>
    </row>
    <row r="1224">
      <c r="A1224" s="47" t="n"/>
      <c r="B1224" s="38" t="n"/>
      <c r="C1224" s="48" t="n"/>
      <c r="D1224" s="48" t="n"/>
      <c r="E1224" s="38" t="n"/>
      <c r="F1224" s="38" t="n"/>
      <c r="G1224" s="38" t="n"/>
      <c r="H1224" s="49">
        <f>IF(B1224="","",IFERROR(INDEX('JOBS'!$D$5:$D$1504,MATCH(B1224,'JOBS'!$A$5:$A$1504,0)),"Job ID not found"))</f>
        <v/>
      </c>
      <c r="I1224" s="49">
        <f>IF(B1224="","",IFERROR(INDEX('JOBS'!$F$5:$F$1504,MATCH(B1224,'JOBS'!$A$5:$A$1504,0)),""))</f>
        <v/>
      </c>
      <c r="J1224" s="55">
        <f>IF(C1224="","",ROUND(C1224*IF(IFERROR(INDEX('SETTINGS'!$K$5:$K$24,MATCH(E1224,'SETTINGS'!$J$5:$J$24,0)),"No")="Yes",FeePct,0),2))</f>
        <v/>
      </c>
      <c r="K1224" s="51">
        <f>IF(A1224="","",DATE(YEAR(A1224),MONTH(A1224),1))</f>
        <v/>
      </c>
    </row>
    <row r="1225">
      <c r="A1225" s="47" t="n"/>
      <c r="B1225" s="38" t="n"/>
      <c r="C1225" s="48" t="n"/>
      <c r="D1225" s="48" t="n"/>
      <c r="E1225" s="38" t="n"/>
      <c r="F1225" s="38" t="n"/>
      <c r="G1225" s="38" t="n"/>
      <c r="H1225" s="49">
        <f>IF(B1225="","",IFERROR(INDEX('JOBS'!$D$5:$D$1504,MATCH(B1225,'JOBS'!$A$5:$A$1504,0)),"Job ID not found"))</f>
        <v/>
      </c>
      <c r="I1225" s="49">
        <f>IF(B1225="","",IFERROR(INDEX('JOBS'!$F$5:$F$1504,MATCH(B1225,'JOBS'!$A$5:$A$1504,0)),""))</f>
        <v/>
      </c>
      <c r="J1225" s="55">
        <f>IF(C1225="","",ROUND(C1225*IF(IFERROR(INDEX('SETTINGS'!$K$5:$K$24,MATCH(E1225,'SETTINGS'!$J$5:$J$24,0)),"No")="Yes",FeePct,0),2))</f>
        <v/>
      </c>
      <c r="K1225" s="51">
        <f>IF(A1225="","",DATE(YEAR(A1225),MONTH(A1225),1))</f>
        <v/>
      </c>
    </row>
    <row r="1226">
      <c r="A1226" s="47" t="n"/>
      <c r="B1226" s="38" t="n"/>
      <c r="C1226" s="48" t="n"/>
      <c r="D1226" s="48" t="n"/>
      <c r="E1226" s="38" t="n"/>
      <c r="F1226" s="38" t="n"/>
      <c r="G1226" s="38" t="n"/>
      <c r="H1226" s="49">
        <f>IF(B1226="","",IFERROR(INDEX('JOBS'!$D$5:$D$1504,MATCH(B1226,'JOBS'!$A$5:$A$1504,0)),"Job ID not found"))</f>
        <v/>
      </c>
      <c r="I1226" s="49">
        <f>IF(B1226="","",IFERROR(INDEX('JOBS'!$F$5:$F$1504,MATCH(B1226,'JOBS'!$A$5:$A$1504,0)),""))</f>
        <v/>
      </c>
      <c r="J1226" s="55">
        <f>IF(C1226="","",ROUND(C1226*IF(IFERROR(INDEX('SETTINGS'!$K$5:$K$24,MATCH(E1226,'SETTINGS'!$J$5:$J$24,0)),"No")="Yes",FeePct,0),2))</f>
        <v/>
      </c>
      <c r="K1226" s="51">
        <f>IF(A1226="","",DATE(YEAR(A1226),MONTH(A1226),1))</f>
        <v/>
      </c>
    </row>
    <row r="1227">
      <c r="A1227" s="47" t="n"/>
      <c r="B1227" s="38" t="n"/>
      <c r="C1227" s="48" t="n"/>
      <c r="D1227" s="48" t="n"/>
      <c r="E1227" s="38" t="n"/>
      <c r="F1227" s="38" t="n"/>
      <c r="G1227" s="38" t="n"/>
      <c r="H1227" s="49">
        <f>IF(B1227="","",IFERROR(INDEX('JOBS'!$D$5:$D$1504,MATCH(B1227,'JOBS'!$A$5:$A$1504,0)),"Job ID not found"))</f>
        <v/>
      </c>
      <c r="I1227" s="49">
        <f>IF(B1227="","",IFERROR(INDEX('JOBS'!$F$5:$F$1504,MATCH(B1227,'JOBS'!$A$5:$A$1504,0)),""))</f>
        <v/>
      </c>
      <c r="J1227" s="55">
        <f>IF(C1227="","",ROUND(C1227*IF(IFERROR(INDEX('SETTINGS'!$K$5:$K$24,MATCH(E1227,'SETTINGS'!$J$5:$J$24,0)),"No")="Yes",FeePct,0),2))</f>
        <v/>
      </c>
      <c r="K1227" s="51">
        <f>IF(A1227="","",DATE(YEAR(A1227),MONTH(A1227),1))</f>
        <v/>
      </c>
    </row>
    <row r="1228">
      <c r="A1228" s="47" t="n"/>
      <c r="B1228" s="38" t="n"/>
      <c r="C1228" s="48" t="n"/>
      <c r="D1228" s="48" t="n"/>
      <c r="E1228" s="38" t="n"/>
      <c r="F1228" s="38" t="n"/>
      <c r="G1228" s="38" t="n"/>
      <c r="H1228" s="49">
        <f>IF(B1228="","",IFERROR(INDEX('JOBS'!$D$5:$D$1504,MATCH(B1228,'JOBS'!$A$5:$A$1504,0)),"Job ID not found"))</f>
        <v/>
      </c>
      <c r="I1228" s="49">
        <f>IF(B1228="","",IFERROR(INDEX('JOBS'!$F$5:$F$1504,MATCH(B1228,'JOBS'!$A$5:$A$1504,0)),""))</f>
        <v/>
      </c>
      <c r="J1228" s="55">
        <f>IF(C1228="","",ROUND(C1228*IF(IFERROR(INDEX('SETTINGS'!$K$5:$K$24,MATCH(E1228,'SETTINGS'!$J$5:$J$24,0)),"No")="Yes",FeePct,0),2))</f>
        <v/>
      </c>
      <c r="K1228" s="51">
        <f>IF(A1228="","",DATE(YEAR(A1228),MONTH(A1228),1))</f>
        <v/>
      </c>
    </row>
    <row r="1229">
      <c r="A1229" s="47" t="n"/>
      <c r="B1229" s="38" t="n"/>
      <c r="C1229" s="48" t="n"/>
      <c r="D1229" s="48" t="n"/>
      <c r="E1229" s="38" t="n"/>
      <c r="F1229" s="38" t="n"/>
      <c r="G1229" s="38" t="n"/>
      <c r="H1229" s="49">
        <f>IF(B1229="","",IFERROR(INDEX('JOBS'!$D$5:$D$1504,MATCH(B1229,'JOBS'!$A$5:$A$1504,0)),"Job ID not found"))</f>
        <v/>
      </c>
      <c r="I1229" s="49">
        <f>IF(B1229="","",IFERROR(INDEX('JOBS'!$F$5:$F$1504,MATCH(B1229,'JOBS'!$A$5:$A$1504,0)),""))</f>
        <v/>
      </c>
      <c r="J1229" s="55">
        <f>IF(C1229="","",ROUND(C1229*IF(IFERROR(INDEX('SETTINGS'!$K$5:$K$24,MATCH(E1229,'SETTINGS'!$J$5:$J$24,0)),"No")="Yes",FeePct,0),2))</f>
        <v/>
      </c>
      <c r="K1229" s="51">
        <f>IF(A1229="","",DATE(YEAR(A1229),MONTH(A1229),1))</f>
        <v/>
      </c>
    </row>
    <row r="1230">
      <c r="A1230" s="47" t="n"/>
      <c r="B1230" s="38" t="n"/>
      <c r="C1230" s="48" t="n"/>
      <c r="D1230" s="48" t="n"/>
      <c r="E1230" s="38" t="n"/>
      <c r="F1230" s="38" t="n"/>
      <c r="G1230" s="38" t="n"/>
      <c r="H1230" s="49">
        <f>IF(B1230="","",IFERROR(INDEX('JOBS'!$D$5:$D$1504,MATCH(B1230,'JOBS'!$A$5:$A$1504,0)),"Job ID not found"))</f>
        <v/>
      </c>
      <c r="I1230" s="49">
        <f>IF(B1230="","",IFERROR(INDEX('JOBS'!$F$5:$F$1504,MATCH(B1230,'JOBS'!$A$5:$A$1504,0)),""))</f>
        <v/>
      </c>
      <c r="J1230" s="55">
        <f>IF(C1230="","",ROUND(C1230*IF(IFERROR(INDEX('SETTINGS'!$K$5:$K$24,MATCH(E1230,'SETTINGS'!$J$5:$J$24,0)),"No")="Yes",FeePct,0),2))</f>
        <v/>
      </c>
      <c r="K1230" s="51">
        <f>IF(A1230="","",DATE(YEAR(A1230),MONTH(A1230),1))</f>
        <v/>
      </c>
    </row>
    <row r="1231">
      <c r="A1231" s="47" t="n"/>
      <c r="B1231" s="38" t="n"/>
      <c r="C1231" s="48" t="n"/>
      <c r="D1231" s="48" t="n"/>
      <c r="E1231" s="38" t="n"/>
      <c r="F1231" s="38" t="n"/>
      <c r="G1231" s="38" t="n"/>
      <c r="H1231" s="49">
        <f>IF(B1231="","",IFERROR(INDEX('JOBS'!$D$5:$D$1504,MATCH(B1231,'JOBS'!$A$5:$A$1504,0)),"Job ID not found"))</f>
        <v/>
      </c>
      <c r="I1231" s="49">
        <f>IF(B1231="","",IFERROR(INDEX('JOBS'!$F$5:$F$1504,MATCH(B1231,'JOBS'!$A$5:$A$1504,0)),""))</f>
        <v/>
      </c>
      <c r="J1231" s="55">
        <f>IF(C1231="","",ROUND(C1231*IF(IFERROR(INDEX('SETTINGS'!$K$5:$K$24,MATCH(E1231,'SETTINGS'!$J$5:$J$24,0)),"No")="Yes",FeePct,0),2))</f>
        <v/>
      </c>
      <c r="K1231" s="51">
        <f>IF(A1231="","",DATE(YEAR(A1231),MONTH(A1231),1))</f>
        <v/>
      </c>
    </row>
    <row r="1232">
      <c r="A1232" s="47" t="n"/>
      <c r="B1232" s="38" t="n"/>
      <c r="C1232" s="48" t="n"/>
      <c r="D1232" s="48" t="n"/>
      <c r="E1232" s="38" t="n"/>
      <c r="F1232" s="38" t="n"/>
      <c r="G1232" s="38" t="n"/>
      <c r="H1232" s="49">
        <f>IF(B1232="","",IFERROR(INDEX('JOBS'!$D$5:$D$1504,MATCH(B1232,'JOBS'!$A$5:$A$1504,0)),"Job ID not found"))</f>
        <v/>
      </c>
      <c r="I1232" s="49">
        <f>IF(B1232="","",IFERROR(INDEX('JOBS'!$F$5:$F$1504,MATCH(B1232,'JOBS'!$A$5:$A$1504,0)),""))</f>
        <v/>
      </c>
      <c r="J1232" s="55">
        <f>IF(C1232="","",ROUND(C1232*IF(IFERROR(INDEX('SETTINGS'!$K$5:$K$24,MATCH(E1232,'SETTINGS'!$J$5:$J$24,0)),"No")="Yes",FeePct,0),2))</f>
        <v/>
      </c>
      <c r="K1232" s="51">
        <f>IF(A1232="","",DATE(YEAR(A1232),MONTH(A1232),1))</f>
        <v/>
      </c>
    </row>
    <row r="1233">
      <c r="A1233" s="47" t="n"/>
      <c r="B1233" s="38" t="n"/>
      <c r="C1233" s="48" t="n"/>
      <c r="D1233" s="48" t="n"/>
      <c r="E1233" s="38" t="n"/>
      <c r="F1233" s="38" t="n"/>
      <c r="G1233" s="38" t="n"/>
      <c r="H1233" s="49">
        <f>IF(B1233="","",IFERROR(INDEX('JOBS'!$D$5:$D$1504,MATCH(B1233,'JOBS'!$A$5:$A$1504,0)),"Job ID not found"))</f>
        <v/>
      </c>
      <c r="I1233" s="49">
        <f>IF(B1233="","",IFERROR(INDEX('JOBS'!$F$5:$F$1504,MATCH(B1233,'JOBS'!$A$5:$A$1504,0)),""))</f>
        <v/>
      </c>
      <c r="J1233" s="55">
        <f>IF(C1233="","",ROUND(C1233*IF(IFERROR(INDEX('SETTINGS'!$K$5:$K$24,MATCH(E1233,'SETTINGS'!$J$5:$J$24,0)),"No")="Yes",FeePct,0),2))</f>
        <v/>
      </c>
      <c r="K1233" s="51">
        <f>IF(A1233="","",DATE(YEAR(A1233),MONTH(A1233),1))</f>
        <v/>
      </c>
    </row>
    <row r="1234">
      <c r="A1234" s="47" t="n"/>
      <c r="B1234" s="38" t="n"/>
      <c r="C1234" s="48" t="n"/>
      <c r="D1234" s="48" t="n"/>
      <c r="E1234" s="38" t="n"/>
      <c r="F1234" s="38" t="n"/>
      <c r="G1234" s="38" t="n"/>
      <c r="H1234" s="49">
        <f>IF(B1234="","",IFERROR(INDEX('JOBS'!$D$5:$D$1504,MATCH(B1234,'JOBS'!$A$5:$A$1504,0)),"Job ID not found"))</f>
        <v/>
      </c>
      <c r="I1234" s="49">
        <f>IF(B1234="","",IFERROR(INDEX('JOBS'!$F$5:$F$1504,MATCH(B1234,'JOBS'!$A$5:$A$1504,0)),""))</f>
        <v/>
      </c>
      <c r="J1234" s="55">
        <f>IF(C1234="","",ROUND(C1234*IF(IFERROR(INDEX('SETTINGS'!$K$5:$K$24,MATCH(E1234,'SETTINGS'!$J$5:$J$24,0)),"No")="Yes",FeePct,0),2))</f>
        <v/>
      </c>
      <c r="K1234" s="51">
        <f>IF(A1234="","",DATE(YEAR(A1234),MONTH(A1234),1))</f>
        <v/>
      </c>
    </row>
    <row r="1235">
      <c r="A1235" s="47" t="n"/>
      <c r="B1235" s="38" t="n"/>
      <c r="C1235" s="48" t="n"/>
      <c r="D1235" s="48" t="n"/>
      <c r="E1235" s="38" t="n"/>
      <c r="F1235" s="38" t="n"/>
      <c r="G1235" s="38" t="n"/>
      <c r="H1235" s="49">
        <f>IF(B1235="","",IFERROR(INDEX('JOBS'!$D$5:$D$1504,MATCH(B1235,'JOBS'!$A$5:$A$1504,0)),"Job ID not found"))</f>
        <v/>
      </c>
      <c r="I1235" s="49">
        <f>IF(B1235="","",IFERROR(INDEX('JOBS'!$F$5:$F$1504,MATCH(B1235,'JOBS'!$A$5:$A$1504,0)),""))</f>
        <v/>
      </c>
      <c r="J1235" s="55">
        <f>IF(C1235="","",ROUND(C1235*IF(IFERROR(INDEX('SETTINGS'!$K$5:$K$24,MATCH(E1235,'SETTINGS'!$J$5:$J$24,0)),"No")="Yes",FeePct,0),2))</f>
        <v/>
      </c>
      <c r="K1235" s="51">
        <f>IF(A1235="","",DATE(YEAR(A1235),MONTH(A1235),1))</f>
        <v/>
      </c>
    </row>
    <row r="1236">
      <c r="A1236" s="47" t="n"/>
      <c r="B1236" s="38" t="n"/>
      <c r="C1236" s="48" t="n"/>
      <c r="D1236" s="48" t="n"/>
      <c r="E1236" s="38" t="n"/>
      <c r="F1236" s="38" t="n"/>
      <c r="G1236" s="38" t="n"/>
      <c r="H1236" s="49">
        <f>IF(B1236="","",IFERROR(INDEX('JOBS'!$D$5:$D$1504,MATCH(B1236,'JOBS'!$A$5:$A$1504,0)),"Job ID not found"))</f>
        <v/>
      </c>
      <c r="I1236" s="49">
        <f>IF(B1236="","",IFERROR(INDEX('JOBS'!$F$5:$F$1504,MATCH(B1236,'JOBS'!$A$5:$A$1504,0)),""))</f>
        <v/>
      </c>
      <c r="J1236" s="55">
        <f>IF(C1236="","",ROUND(C1236*IF(IFERROR(INDEX('SETTINGS'!$K$5:$K$24,MATCH(E1236,'SETTINGS'!$J$5:$J$24,0)),"No")="Yes",FeePct,0),2))</f>
        <v/>
      </c>
      <c r="K1236" s="51">
        <f>IF(A1236="","",DATE(YEAR(A1236),MONTH(A1236),1))</f>
        <v/>
      </c>
    </row>
    <row r="1237">
      <c r="A1237" s="47" t="n"/>
      <c r="B1237" s="38" t="n"/>
      <c r="C1237" s="48" t="n"/>
      <c r="D1237" s="48" t="n"/>
      <c r="E1237" s="38" t="n"/>
      <c r="F1237" s="38" t="n"/>
      <c r="G1237" s="38" t="n"/>
      <c r="H1237" s="49">
        <f>IF(B1237="","",IFERROR(INDEX('JOBS'!$D$5:$D$1504,MATCH(B1237,'JOBS'!$A$5:$A$1504,0)),"Job ID not found"))</f>
        <v/>
      </c>
      <c r="I1237" s="49">
        <f>IF(B1237="","",IFERROR(INDEX('JOBS'!$F$5:$F$1504,MATCH(B1237,'JOBS'!$A$5:$A$1504,0)),""))</f>
        <v/>
      </c>
      <c r="J1237" s="55">
        <f>IF(C1237="","",ROUND(C1237*IF(IFERROR(INDEX('SETTINGS'!$K$5:$K$24,MATCH(E1237,'SETTINGS'!$J$5:$J$24,0)),"No")="Yes",FeePct,0),2))</f>
        <v/>
      </c>
      <c r="K1237" s="51">
        <f>IF(A1237="","",DATE(YEAR(A1237),MONTH(A1237),1))</f>
        <v/>
      </c>
    </row>
    <row r="1238">
      <c r="A1238" s="47" t="n"/>
      <c r="B1238" s="38" t="n"/>
      <c r="C1238" s="48" t="n"/>
      <c r="D1238" s="48" t="n"/>
      <c r="E1238" s="38" t="n"/>
      <c r="F1238" s="38" t="n"/>
      <c r="G1238" s="38" t="n"/>
      <c r="H1238" s="49">
        <f>IF(B1238="","",IFERROR(INDEX('JOBS'!$D$5:$D$1504,MATCH(B1238,'JOBS'!$A$5:$A$1504,0)),"Job ID not found"))</f>
        <v/>
      </c>
      <c r="I1238" s="49">
        <f>IF(B1238="","",IFERROR(INDEX('JOBS'!$F$5:$F$1504,MATCH(B1238,'JOBS'!$A$5:$A$1504,0)),""))</f>
        <v/>
      </c>
      <c r="J1238" s="55">
        <f>IF(C1238="","",ROUND(C1238*IF(IFERROR(INDEX('SETTINGS'!$K$5:$K$24,MATCH(E1238,'SETTINGS'!$J$5:$J$24,0)),"No")="Yes",FeePct,0),2))</f>
        <v/>
      </c>
      <c r="K1238" s="51">
        <f>IF(A1238="","",DATE(YEAR(A1238),MONTH(A1238),1))</f>
        <v/>
      </c>
    </row>
    <row r="1239">
      <c r="A1239" s="47" t="n"/>
      <c r="B1239" s="38" t="n"/>
      <c r="C1239" s="48" t="n"/>
      <c r="D1239" s="48" t="n"/>
      <c r="E1239" s="38" t="n"/>
      <c r="F1239" s="38" t="n"/>
      <c r="G1239" s="38" t="n"/>
      <c r="H1239" s="49">
        <f>IF(B1239="","",IFERROR(INDEX('JOBS'!$D$5:$D$1504,MATCH(B1239,'JOBS'!$A$5:$A$1504,0)),"Job ID not found"))</f>
        <v/>
      </c>
      <c r="I1239" s="49">
        <f>IF(B1239="","",IFERROR(INDEX('JOBS'!$F$5:$F$1504,MATCH(B1239,'JOBS'!$A$5:$A$1504,0)),""))</f>
        <v/>
      </c>
      <c r="J1239" s="55">
        <f>IF(C1239="","",ROUND(C1239*IF(IFERROR(INDEX('SETTINGS'!$K$5:$K$24,MATCH(E1239,'SETTINGS'!$J$5:$J$24,0)),"No")="Yes",FeePct,0),2))</f>
        <v/>
      </c>
      <c r="K1239" s="51">
        <f>IF(A1239="","",DATE(YEAR(A1239),MONTH(A1239),1))</f>
        <v/>
      </c>
    </row>
    <row r="1240">
      <c r="A1240" s="47" t="n"/>
      <c r="B1240" s="38" t="n"/>
      <c r="C1240" s="48" t="n"/>
      <c r="D1240" s="48" t="n"/>
      <c r="E1240" s="38" t="n"/>
      <c r="F1240" s="38" t="n"/>
      <c r="G1240" s="38" t="n"/>
      <c r="H1240" s="49">
        <f>IF(B1240="","",IFERROR(INDEX('JOBS'!$D$5:$D$1504,MATCH(B1240,'JOBS'!$A$5:$A$1504,0)),"Job ID not found"))</f>
        <v/>
      </c>
      <c r="I1240" s="49">
        <f>IF(B1240="","",IFERROR(INDEX('JOBS'!$F$5:$F$1504,MATCH(B1240,'JOBS'!$A$5:$A$1504,0)),""))</f>
        <v/>
      </c>
      <c r="J1240" s="55">
        <f>IF(C1240="","",ROUND(C1240*IF(IFERROR(INDEX('SETTINGS'!$K$5:$K$24,MATCH(E1240,'SETTINGS'!$J$5:$J$24,0)),"No")="Yes",FeePct,0),2))</f>
        <v/>
      </c>
      <c r="K1240" s="51">
        <f>IF(A1240="","",DATE(YEAR(A1240),MONTH(A1240),1))</f>
        <v/>
      </c>
    </row>
    <row r="1241">
      <c r="A1241" s="47" t="n"/>
      <c r="B1241" s="38" t="n"/>
      <c r="C1241" s="48" t="n"/>
      <c r="D1241" s="48" t="n"/>
      <c r="E1241" s="38" t="n"/>
      <c r="F1241" s="38" t="n"/>
      <c r="G1241" s="38" t="n"/>
      <c r="H1241" s="49">
        <f>IF(B1241="","",IFERROR(INDEX('JOBS'!$D$5:$D$1504,MATCH(B1241,'JOBS'!$A$5:$A$1504,0)),"Job ID not found"))</f>
        <v/>
      </c>
      <c r="I1241" s="49">
        <f>IF(B1241="","",IFERROR(INDEX('JOBS'!$F$5:$F$1504,MATCH(B1241,'JOBS'!$A$5:$A$1504,0)),""))</f>
        <v/>
      </c>
      <c r="J1241" s="55">
        <f>IF(C1241="","",ROUND(C1241*IF(IFERROR(INDEX('SETTINGS'!$K$5:$K$24,MATCH(E1241,'SETTINGS'!$J$5:$J$24,0)),"No")="Yes",FeePct,0),2))</f>
        <v/>
      </c>
      <c r="K1241" s="51">
        <f>IF(A1241="","",DATE(YEAR(A1241),MONTH(A1241),1))</f>
        <v/>
      </c>
    </row>
    <row r="1242">
      <c r="A1242" s="47" t="n"/>
      <c r="B1242" s="38" t="n"/>
      <c r="C1242" s="48" t="n"/>
      <c r="D1242" s="48" t="n"/>
      <c r="E1242" s="38" t="n"/>
      <c r="F1242" s="38" t="n"/>
      <c r="G1242" s="38" t="n"/>
      <c r="H1242" s="49">
        <f>IF(B1242="","",IFERROR(INDEX('JOBS'!$D$5:$D$1504,MATCH(B1242,'JOBS'!$A$5:$A$1504,0)),"Job ID not found"))</f>
        <v/>
      </c>
      <c r="I1242" s="49">
        <f>IF(B1242="","",IFERROR(INDEX('JOBS'!$F$5:$F$1504,MATCH(B1242,'JOBS'!$A$5:$A$1504,0)),""))</f>
        <v/>
      </c>
      <c r="J1242" s="55">
        <f>IF(C1242="","",ROUND(C1242*IF(IFERROR(INDEX('SETTINGS'!$K$5:$K$24,MATCH(E1242,'SETTINGS'!$J$5:$J$24,0)),"No")="Yes",FeePct,0),2))</f>
        <v/>
      </c>
      <c r="K1242" s="51">
        <f>IF(A1242="","",DATE(YEAR(A1242),MONTH(A1242),1))</f>
        <v/>
      </c>
    </row>
    <row r="1243">
      <c r="A1243" s="47" t="n"/>
      <c r="B1243" s="38" t="n"/>
      <c r="C1243" s="48" t="n"/>
      <c r="D1243" s="48" t="n"/>
      <c r="E1243" s="38" t="n"/>
      <c r="F1243" s="38" t="n"/>
      <c r="G1243" s="38" t="n"/>
      <c r="H1243" s="49">
        <f>IF(B1243="","",IFERROR(INDEX('JOBS'!$D$5:$D$1504,MATCH(B1243,'JOBS'!$A$5:$A$1504,0)),"Job ID not found"))</f>
        <v/>
      </c>
      <c r="I1243" s="49">
        <f>IF(B1243="","",IFERROR(INDEX('JOBS'!$F$5:$F$1504,MATCH(B1243,'JOBS'!$A$5:$A$1504,0)),""))</f>
        <v/>
      </c>
      <c r="J1243" s="55">
        <f>IF(C1243="","",ROUND(C1243*IF(IFERROR(INDEX('SETTINGS'!$K$5:$K$24,MATCH(E1243,'SETTINGS'!$J$5:$J$24,0)),"No")="Yes",FeePct,0),2))</f>
        <v/>
      </c>
      <c r="K1243" s="51">
        <f>IF(A1243="","",DATE(YEAR(A1243),MONTH(A1243),1))</f>
        <v/>
      </c>
    </row>
    <row r="1244">
      <c r="A1244" s="47" t="n"/>
      <c r="B1244" s="38" t="n"/>
      <c r="C1244" s="48" t="n"/>
      <c r="D1244" s="48" t="n"/>
      <c r="E1244" s="38" t="n"/>
      <c r="F1244" s="38" t="n"/>
      <c r="G1244" s="38" t="n"/>
      <c r="H1244" s="49">
        <f>IF(B1244="","",IFERROR(INDEX('JOBS'!$D$5:$D$1504,MATCH(B1244,'JOBS'!$A$5:$A$1504,0)),"Job ID not found"))</f>
        <v/>
      </c>
      <c r="I1244" s="49">
        <f>IF(B1244="","",IFERROR(INDEX('JOBS'!$F$5:$F$1504,MATCH(B1244,'JOBS'!$A$5:$A$1504,0)),""))</f>
        <v/>
      </c>
      <c r="J1244" s="55">
        <f>IF(C1244="","",ROUND(C1244*IF(IFERROR(INDEX('SETTINGS'!$K$5:$K$24,MATCH(E1244,'SETTINGS'!$J$5:$J$24,0)),"No")="Yes",FeePct,0),2))</f>
        <v/>
      </c>
      <c r="K1244" s="51">
        <f>IF(A1244="","",DATE(YEAR(A1244),MONTH(A1244),1))</f>
        <v/>
      </c>
    </row>
    <row r="1245">
      <c r="A1245" s="47" t="n"/>
      <c r="B1245" s="38" t="n"/>
      <c r="C1245" s="48" t="n"/>
      <c r="D1245" s="48" t="n"/>
      <c r="E1245" s="38" t="n"/>
      <c r="F1245" s="38" t="n"/>
      <c r="G1245" s="38" t="n"/>
      <c r="H1245" s="49">
        <f>IF(B1245="","",IFERROR(INDEX('JOBS'!$D$5:$D$1504,MATCH(B1245,'JOBS'!$A$5:$A$1504,0)),"Job ID not found"))</f>
        <v/>
      </c>
      <c r="I1245" s="49">
        <f>IF(B1245="","",IFERROR(INDEX('JOBS'!$F$5:$F$1504,MATCH(B1245,'JOBS'!$A$5:$A$1504,0)),""))</f>
        <v/>
      </c>
      <c r="J1245" s="55">
        <f>IF(C1245="","",ROUND(C1245*IF(IFERROR(INDEX('SETTINGS'!$K$5:$K$24,MATCH(E1245,'SETTINGS'!$J$5:$J$24,0)),"No")="Yes",FeePct,0),2))</f>
        <v/>
      </c>
      <c r="K1245" s="51">
        <f>IF(A1245="","",DATE(YEAR(A1245),MONTH(A1245),1))</f>
        <v/>
      </c>
    </row>
    <row r="1246">
      <c r="A1246" s="47" t="n"/>
      <c r="B1246" s="38" t="n"/>
      <c r="C1246" s="48" t="n"/>
      <c r="D1246" s="48" t="n"/>
      <c r="E1246" s="38" t="n"/>
      <c r="F1246" s="38" t="n"/>
      <c r="G1246" s="38" t="n"/>
      <c r="H1246" s="49">
        <f>IF(B1246="","",IFERROR(INDEX('JOBS'!$D$5:$D$1504,MATCH(B1246,'JOBS'!$A$5:$A$1504,0)),"Job ID not found"))</f>
        <v/>
      </c>
      <c r="I1246" s="49">
        <f>IF(B1246="","",IFERROR(INDEX('JOBS'!$F$5:$F$1504,MATCH(B1246,'JOBS'!$A$5:$A$1504,0)),""))</f>
        <v/>
      </c>
      <c r="J1246" s="55">
        <f>IF(C1246="","",ROUND(C1246*IF(IFERROR(INDEX('SETTINGS'!$K$5:$K$24,MATCH(E1246,'SETTINGS'!$J$5:$J$24,0)),"No")="Yes",FeePct,0),2))</f>
        <v/>
      </c>
      <c r="K1246" s="51">
        <f>IF(A1246="","",DATE(YEAR(A1246),MONTH(A1246),1))</f>
        <v/>
      </c>
    </row>
    <row r="1247">
      <c r="A1247" s="47" t="n"/>
      <c r="B1247" s="38" t="n"/>
      <c r="C1247" s="48" t="n"/>
      <c r="D1247" s="48" t="n"/>
      <c r="E1247" s="38" t="n"/>
      <c r="F1247" s="38" t="n"/>
      <c r="G1247" s="38" t="n"/>
      <c r="H1247" s="49">
        <f>IF(B1247="","",IFERROR(INDEX('JOBS'!$D$5:$D$1504,MATCH(B1247,'JOBS'!$A$5:$A$1504,0)),"Job ID not found"))</f>
        <v/>
      </c>
      <c r="I1247" s="49">
        <f>IF(B1247="","",IFERROR(INDEX('JOBS'!$F$5:$F$1504,MATCH(B1247,'JOBS'!$A$5:$A$1504,0)),""))</f>
        <v/>
      </c>
      <c r="J1247" s="55">
        <f>IF(C1247="","",ROUND(C1247*IF(IFERROR(INDEX('SETTINGS'!$K$5:$K$24,MATCH(E1247,'SETTINGS'!$J$5:$J$24,0)),"No")="Yes",FeePct,0),2))</f>
        <v/>
      </c>
      <c r="K1247" s="51">
        <f>IF(A1247="","",DATE(YEAR(A1247),MONTH(A1247),1))</f>
        <v/>
      </c>
    </row>
    <row r="1248">
      <c r="A1248" s="47" t="n"/>
      <c r="B1248" s="38" t="n"/>
      <c r="C1248" s="48" t="n"/>
      <c r="D1248" s="48" t="n"/>
      <c r="E1248" s="38" t="n"/>
      <c r="F1248" s="38" t="n"/>
      <c r="G1248" s="38" t="n"/>
      <c r="H1248" s="49">
        <f>IF(B1248="","",IFERROR(INDEX('JOBS'!$D$5:$D$1504,MATCH(B1248,'JOBS'!$A$5:$A$1504,0)),"Job ID not found"))</f>
        <v/>
      </c>
      <c r="I1248" s="49">
        <f>IF(B1248="","",IFERROR(INDEX('JOBS'!$F$5:$F$1504,MATCH(B1248,'JOBS'!$A$5:$A$1504,0)),""))</f>
        <v/>
      </c>
      <c r="J1248" s="55">
        <f>IF(C1248="","",ROUND(C1248*IF(IFERROR(INDEX('SETTINGS'!$K$5:$K$24,MATCH(E1248,'SETTINGS'!$J$5:$J$24,0)),"No")="Yes",FeePct,0),2))</f>
        <v/>
      </c>
      <c r="K1248" s="51">
        <f>IF(A1248="","",DATE(YEAR(A1248),MONTH(A1248),1))</f>
        <v/>
      </c>
    </row>
    <row r="1249">
      <c r="A1249" s="47" t="n"/>
      <c r="B1249" s="38" t="n"/>
      <c r="C1249" s="48" t="n"/>
      <c r="D1249" s="48" t="n"/>
      <c r="E1249" s="38" t="n"/>
      <c r="F1249" s="38" t="n"/>
      <c r="G1249" s="38" t="n"/>
      <c r="H1249" s="49">
        <f>IF(B1249="","",IFERROR(INDEX('JOBS'!$D$5:$D$1504,MATCH(B1249,'JOBS'!$A$5:$A$1504,0)),"Job ID not found"))</f>
        <v/>
      </c>
      <c r="I1249" s="49">
        <f>IF(B1249="","",IFERROR(INDEX('JOBS'!$F$5:$F$1504,MATCH(B1249,'JOBS'!$A$5:$A$1504,0)),""))</f>
        <v/>
      </c>
      <c r="J1249" s="55">
        <f>IF(C1249="","",ROUND(C1249*IF(IFERROR(INDEX('SETTINGS'!$K$5:$K$24,MATCH(E1249,'SETTINGS'!$J$5:$J$24,0)),"No")="Yes",FeePct,0),2))</f>
        <v/>
      </c>
      <c r="K1249" s="51">
        <f>IF(A1249="","",DATE(YEAR(A1249),MONTH(A1249),1))</f>
        <v/>
      </c>
    </row>
    <row r="1250">
      <c r="A1250" s="47" t="n"/>
      <c r="B1250" s="38" t="n"/>
      <c r="C1250" s="48" t="n"/>
      <c r="D1250" s="48" t="n"/>
      <c r="E1250" s="38" t="n"/>
      <c r="F1250" s="38" t="n"/>
      <c r="G1250" s="38" t="n"/>
      <c r="H1250" s="49">
        <f>IF(B1250="","",IFERROR(INDEX('JOBS'!$D$5:$D$1504,MATCH(B1250,'JOBS'!$A$5:$A$1504,0)),"Job ID not found"))</f>
        <v/>
      </c>
      <c r="I1250" s="49">
        <f>IF(B1250="","",IFERROR(INDEX('JOBS'!$F$5:$F$1504,MATCH(B1250,'JOBS'!$A$5:$A$1504,0)),""))</f>
        <v/>
      </c>
      <c r="J1250" s="55">
        <f>IF(C1250="","",ROUND(C1250*IF(IFERROR(INDEX('SETTINGS'!$K$5:$K$24,MATCH(E1250,'SETTINGS'!$J$5:$J$24,0)),"No")="Yes",FeePct,0),2))</f>
        <v/>
      </c>
      <c r="K1250" s="51">
        <f>IF(A1250="","",DATE(YEAR(A1250),MONTH(A1250),1))</f>
        <v/>
      </c>
    </row>
    <row r="1251">
      <c r="A1251" s="47" t="n"/>
      <c r="B1251" s="38" t="n"/>
      <c r="C1251" s="48" t="n"/>
      <c r="D1251" s="48" t="n"/>
      <c r="E1251" s="38" t="n"/>
      <c r="F1251" s="38" t="n"/>
      <c r="G1251" s="38" t="n"/>
      <c r="H1251" s="49">
        <f>IF(B1251="","",IFERROR(INDEX('JOBS'!$D$5:$D$1504,MATCH(B1251,'JOBS'!$A$5:$A$1504,0)),"Job ID not found"))</f>
        <v/>
      </c>
      <c r="I1251" s="49">
        <f>IF(B1251="","",IFERROR(INDEX('JOBS'!$F$5:$F$1504,MATCH(B1251,'JOBS'!$A$5:$A$1504,0)),""))</f>
        <v/>
      </c>
      <c r="J1251" s="55">
        <f>IF(C1251="","",ROUND(C1251*IF(IFERROR(INDEX('SETTINGS'!$K$5:$K$24,MATCH(E1251,'SETTINGS'!$J$5:$J$24,0)),"No")="Yes",FeePct,0),2))</f>
        <v/>
      </c>
      <c r="K1251" s="51">
        <f>IF(A1251="","",DATE(YEAR(A1251),MONTH(A1251),1))</f>
        <v/>
      </c>
    </row>
    <row r="1252">
      <c r="A1252" s="47" t="n"/>
      <c r="B1252" s="38" t="n"/>
      <c r="C1252" s="48" t="n"/>
      <c r="D1252" s="48" t="n"/>
      <c r="E1252" s="38" t="n"/>
      <c r="F1252" s="38" t="n"/>
      <c r="G1252" s="38" t="n"/>
      <c r="H1252" s="49">
        <f>IF(B1252="","",IFERROR(INDEX('JOBS'!$D$5:$D$1504,MATCH(B1252,'JOBS'!$A$5:$A$1504,0)),"Job ID not found"))</f>
        <v/>
      </c>
      <c r="I1252" s="49">
        <f>IF(B1252="","",IFERROR(INDEX('JOBS'!$F$5:$F$1504,MATCH(B1252,'JOBS'!$A$5:$A$1504,0)),""))</f>
        <v/>
      </c>
      <c r="J1252" s="55">
        <f>IF(C1252="","",ROUND(C1252*IF(IFERROR(INDEX('SETTINGS'!$K$5:$K$24,MATCH(E1252,'SETTINGS'!$J$5:$J$24,0)),"No")="Yes",FeePct,0),2))</f>
        <v/>
      </c>
      <c r="K1252" s="51">
        <f>IF(A1252="","",DATE(YEAR(A1252),MONTH(A1252),1))</f>
        <v/>
      </c>
    </row>
    <row r="1253">
      <c r="A1253" s="47" t="n"/>
      <c r="B1253" s="38" t="n"/>
      <c r="C1253" s="48" t="n"/>
      <c r="D1253" s="48" t="n"/>
      <c r="E1253" s="38" t="n"/>
      <c r="F1253" s="38" t="n"/>
      <c r="G1253" s="38" t="n"/>
      <c r="H1253" s="49">
        <f>IF(B1253="","",IFERROR(INDEX('JOBS'!$D$5:$D$1504,MATCH(B1253,'JOBS'!$A$5:$A$1504,0)),"Job ID not found"))</f>
        <v/>
      </c>
      <c r="I1253" s="49">
        <f>IF(B1253="","",IFERROR(INDEX('JOBS'!$F$5:$F$1504,MATCH(B1253,'JOBS'!$A$5:$A$1504,0)),""))</f>
        <v/>
      </c>
      <c r="J1253" s="55">
        <f>IF(C1253="","",ROUND(C1253*IF(IFERROR(INDEX('SETTINGS'!$K$5:$K$24,MATCH(E1253,'SETTINGS'!$J$5:$J$24,0)),"No")="Yes",FeePct,0),2))</f>
        <v/>
      </c>
      <c r="K1253" s="51">
        <f>IF(A1253="","",DATE(YEAR(A1253),MONTH(A1253),1))</f>
        <v/>
      </c>
    </row>
    <row r="1254">
      <c r="A1254" s="47" t="n"/>
      <c r="B1254" s="38" t="n"/>
      <c r="C1254" s="48" t="n"/>
      <c r="D1254" s="48" t="n"/>
      <c r="E1254" s="38" t="n"/>
      <c r="F1254" s="38" t="n"/>
      <c r="G1254" s="38" t="n"/>
      <c r="H1254" s="49">
        <f>IF(B1254="","",IFERROR(INDEX('JOBS'!$D$5:$D$1504,MATCH(B1254,'JOBS'!$A$5:$A$1504,0)),"Job ID not found"))</f>
        <v/>
      </c>
      <c r="I1254" s="49">
        <f>IF(B1254="","",IFERROR(INDEX('JOBS'!$F$5:$F$1504,MATCH(B1254,'JOBS'!$A$5:$A$1504,0)),""))</f>
        <v/>
      </c>
      <c r="J1254" s="55">
        <f>IF(C1254="","",ROUND(C1254*IF(IFERROR(INDEX('SETTINGS'!$K$5:$K$24,MATCH(E1254,'SETTINGS'!$J$5:$J$24,0)),"No")="Yes",FeePct,0),2))</f>
        <v/>
      </c>
      <c r="K1254" s="51">
        <f>IF(A1254="","",DATE(YEAR(A1254),MONTH(A1254),1))</f>
        <v/>
      </c>
    </row>
    <row r="1255">
      <c r="A1255" s="47" t="n"/>
      <c r="B1255" s="38" t="n"/>
      <c r="C1255" s="48" t="n"/>
      <c r="D1255" s="48" t="n"/>
      <c r="E1255" s="38" t="n"/>
      <c r="F1255" s="38" t="n"/>
      <c r="G1255" s="38" t="n"/>
      <c r="H1255" s="49">
        <f>IF(B1255="","",IFERROR(INDEX('JOBS'!$D$5:$D$1504,MATCH(B1255,'JOBS'!$A$5:$A$1504,0)),"Job ID not found"))</f>
        <v/>
      </c>
      <c r="I1255" s="49">
        <f>IF(B1255="","",IFERROR(INDEX('JOBS'!$F$5:$F$1504,MATCH(B1255,'JOBS'!$A$5:$A$1504,0)),""))</f>
        <v/>
      </c>
      <c r="J1255" s="55">
        <f>IF(C1255="","",ROUND(C1255*IF(IFERROR(INDEX('SETTINGS'!$K$5:$K$24,MATCH(E1255,'SETTINGS'!$J$5:$J$24,0)),"No")="Yes",FeePct,0),2))</f>
        <v/>
      </c>
      <c r="K1255" s="51">
        <f>IF(A1255="","",DATE(YEAR(A1255),MONTH(A1255),1))</f>
        <v/>
      </c>
    </row>
    <row r="1256">
      <c r="A1256" s="47" t="n"/>
      <c r="B1256" s="38" t="n"/>
      <c r="C1256" s="48" t="n"/>
      <c r="D1256" s="48" t="n"/>
      <c r="E1256" s="38" t="n"/>
      <c r="F1256" s="38" t="n"/>
      <c r="G1256" s="38" t="n"/>
      <c r="H1256" s="49">
        <f>IF(B1256="","",IFERROR(INDEX('JOBS'!$D$5:$D$1504,MATCH(B1256,'JOBS'!$A$5:$A$1504,0)),"Job ID not found"))</f>
        <v/>
      </c>
      <c r="I1256" s="49">
        <f>IF(B1256="","",IFERROR(INDEX('JOBS'!$F$5:$F$1504,MATCH(B1256,'JOBS'!$A$5:$A$1504,0)),""))</f>
        <v/>
      </c>
      <c r="J1256" s="55">
        <f>IF(C1256="","",ROUND(C1256*IF(IFERROR(INDEX('SETTINGS'!$K$5:$K$24,MATCH(E1256,'SETTINGS'!$J$5:$J$24,0)),"No")="Yes",FeePct,0),2))</f>
        <v/>
      </c>
      <c r="K1256" s="51">
        <f>IF(A1256="","",DATE(YEAR(A1256),MONTH(A1256),1))</f>
        <v/>
      </c>
    </row>
    <row r="1257">
      <c r="A1257" s="47" t="n"/>
      <c r="B1257" s="38" t="n"/>
      <c r="C1257" s="48" t="n"/>
      <c r="D1257" s="48" t="n"/>
      <c r="E1257" s="38" t="n"/>
      <c r="F1257" s="38" t="n"/>
      <c r="G1257" s="38" t="n"/>
      <c r="H1257" s="49">
        <f>IF(B1257="","",IFERROR(INDEX('JOBS'!$D$5:$D$1504,MATCH(B1257,'JOBS'!$A$5:$A$1504,0)),"Job ID not found"))</f>
        <v/>
      </c>
      <c r="I1257" s="49">
        <f>IF(B1257="","",IFERROR(INDEX('JOBS'!$F$5:$F$1504,MATCH(B1257,'JOBS'!$A$5:$A$1504,0)),""))</f>
        <v/>
      </c>
      <c r="J1257" s="55">
        <f>IF(C1257="","",ROUND(C1257*IF(IFERROR(INDEX('SETTINGS'!$K$5:$K$24,MATCH(E1257,'SETTINGS'!$J$5:$J$24,0)),"No")="Yes",FeePct,0),2))</f>
        <v/>
      </c>
      <c r="K1257" s="51">
        <f>IF(A1257="","",DATE(YEAR(A1257),MONTH(A1257),1))</f>
        <v/>
      </c>
    </row>
    <row r="1258">
      <c r="A1258" s="47" t="n"/>
      <c r="B1258" s="38" t="n"/>
      <c r="C1258" s="48" t="n"/>
      <c r="D1258" s="48" t="n"/>
      <c r="E1258" s="38" t="n"/>
      <c r="F1258" s="38" t="n"/>
      <c r="G1258" s="38" t="n"/>
      <c r="H1258" s="49">
        <f>IF(B1258="","",IFERROR(INDEX('JOBS'!$D$5:$D$1504,MATCH(B1258,'JOBS'!$A$5:$A$1504,0)),"Job ID not found"))</f>
        <v/>
      </c>
      <c r="I1258" s="49">
        <f>IF(B1258="","",IFERROR(INDEX('JOBS'!$F$5:$F$1504,MATCH(B1258,'JOBS'!$A$5:$A$1504,0)),""))</f>
        <v/>
      </c>
      <c r="J1258" s="55">
        <f>IF(C1258="","",ROUND(C1258*IF(IFERROR(INDEX('SETTINGS'!$K$5:$K$24,MATCH(E1258,'SETTINGS'!$J$5:$J$24,0)),"No")="Yes",FeePct,0),2))</f>
        <v/>
      </c>
      <c r="K1258" s="51">
        <f>IF(A1258="","",DATE(YEAR(A1258),MONTH(A1258),1))</f>
        <v/>
      </c>
    </row>
    <row r="1259">
      <c r="A1259" s="47" t="n"/>
      <c r="B1259" s="38" t="n"/>
      <c r="C1259" s="48" t="n"/>
      <c r="D1259" s="48" t="n"/>
      <c r="E1259" s="38" t="n"/>
      <c r="F1259" s="38" t="n"/>
      <c r="G1259" s="38" t="n"/>
      <c r="H1259" s="49">
        <f>IF(B1259="","",IFERROR(INDEX('JOBS'!$D$5:$D$1504,MATCH(B1259,'JOBS'!$A$5:$A$1504,0)),"Job ID not found"))</f>
        <v/>
      </c>
      <c r="I1259" s="49">
        <f>IF(B1259="","",IFERROR(INDEX('JOBS'!$F$5:$F$1504,MATCH(B1259,'JOBS'!$A$5:$A$1504,0)),""))</f>
        <v/>
      </c>
      <c r="J1259" s="55">
        <f>IF(C1259="","",ROUND(C1259*IF(IFERROR(INDEX('SETTINGS'!$K$5:$K$24,MATCH(E1259,'SETTINGS'!$J$5:$J$24,0)),"No")="Yes",FeePct,0),2))</f>
        <v/>
      </c>
      <c r="K1259" s="51">
        <f>IF(A1259="","",DATE(YEAR(A1259),MONTH(A1259),1))</f>
        <v/>
      </c>
    </row>
    <row r="1260">
      <c r="A1260" s="47" t="n"/>
      <c r="B1260" s="38" t="n"/>
      <c r="C1260" s="48" t="n"/>
      <c r="D1260" s="48" t="n"/>
      <c r="E1260" s="38" t="n"/>
      <c r="F1260" s="38" t="n"/>
      <c r="G1260" s="38" t="n"/>
      <c r="H1260" s="49">
        <f>IF(B1260="","",IFERROR(INDEX('JOBS'!$D$5:$D$1504,MATCH(B1260,'JOBS'!$A$5:$A$1504,0)),"Job ID not found"))</f>
        <v/>
      </c>
      <c r="I1260" s="49">
        <f>IF(B1260="","",IFERROR(INDEX('JOBS'!$F$5:$F$1504,MATCH(B1260,'JOBS'!$A$5:$A$1504,0)),""))</f>
        <v/>
      </c>
      <c r="J1260" s="55">
        <f>IF(C1260="","",ROUND(C1260*IF(IFERROR(INDEX('SETTINGS'!$K$5:$K$24,MATCH(E1260,'SETTINGS'!$J$5:$J$24,0)),"No")="Yes",FeePct,0),2))</f>
        <v/>
      </c>
      <c r="K1260" s="51">
        <f>IF(A1260="","",DATE(YEAR(A1260),MONTH(A1260),1))</f>
        <v/>
      </c>
    </row>
    <row r="1261">
      <c r="A1261" s="47" t="n"/>
      <c r="B1261" s="38" t="n"/>
      <c r="C1261" s="48" t="n"/>
      <c r="D1261" s="48" t="n"/>
      <c r="E1261" s="38" t="n"/>
      <c r="F1261" s="38" t="n"/>
      <c r="G1261" s="38" t="n"/>
      <c r="H1261" s="49">
        <f>IF(B1261="","",IFERROR(INDEX('JOBS'!$D$5:$D$1504,MATCH(B1261,'JOBS'!$A$5:$A$1504,0)),"Job ID not found"))</f>
        <v/>
      </c>
      <c r="I1261" s="49">
        <f>IF(B1261="","",IFERROR(INDEX('JOBS'!$F$5:$F$1504,MATCH(B1261,'JOBS'!$A$5:$A$1504,0)),""))</f>
        <v/>
      </c>
      <c r="J1261" s="55">
        <f>IF(C1261="","",ROUND(C1261*IF(IFERROR(INDEX('SETTINGS'!$K$5:$K$24,MATCH(E1261,'SETTINGS'!$J$5:$J$24,0)),"No")="Yes",FeePct,0),2))</f>
        <v/>
      </c>
      <c r="K1261" s="51">
        <f>IF(A1261="","",DATE(YEAR(A1261),MONTH(A1261),1))</f>
        <v/>
      </c>
    </row>
    <row r="1262">
      <c r="A1262" s="47" t="n"/>
      <c r="B1262" s="38" t="n"/>
      <c r="C1262" s="48" t="n"/>
      <c r="D1262" s="48" t="n"/>
      <c r="E1262" s="38" t="n"/>
      <c r="F1262" s="38" t="n"/>
      <c r="G1262" s="38" t="n"/>
      <c r="H1262" s="49">
        <f>IF(B1262="","",IFERROR(INDEX('JOBS'!$D$5:$D$1504,MATCH(B1262,'JOBS'!$A$5:$A$1504,0)),"Job ID not found"))</f>
        <v/>
      </c>
      <c r="I1262" s="49">
        <f>IF(B1262="","",IFERROR(INDEX('JOBS'!$F$5:$F$1504,MATCH(B1262,'JOBS'!$A$5:$A$1504,0)),""))</f>
        <v/>
      </c>
      <c r="J1262" s="55">
        <f>IF(C1262="","",ROUND(C1262*IF(IFERROR(INDEX('SETTINGS'!$K$5:$K$24,MATCH(E1262,'SETTINGS'!$J$5:$J$24,0)),"No")="Yes",FeePct,0),2))</f>
        <v/>
      </c>
      <c r="K1262" s="51">
        <f>IF(A1262="","",DATE(YEAR(A1262),MONTH(A1262),1))</f>
        <v/>
      </c>
    </row>
    <row r="1263">
      <c r="A1263" s="47" t="n"/>
      <c r="B1263" s="38" t="n"/>
      <c r="C1263" s="48" t="n"/>
      <c r="D1263" s="48" t="n"/>
      <c r="E1263" s="38" t="n"/>
      <c r="F1263" s="38" t="n"/>
      <c r="G1263" s="38" t="n"/>
      <c r="H1263" s="49">
        <f>IF(B1263="","",IFERROR(INDEX('JOBS'!$D$5:$D$1504,MATCH(B1263,'JOBS'!$A$5:$A$1504,0)),"Job ID not found"))</f>
        <v/>
      </c>
      <c r="I1263" s="49">
        <f>IF(B1263="","",IFERROR(INDEX('JOBS'!$F$5:$F$1504,MATCH(B1263,'JOBS'!$A$5:$A$1504,0)),""))</f>
        <v/>
      </c>
      <c r="J1263" s="55">
        <f>IF(C1263="","",ROUND(C1263*IF(IFERROR(INDEX('SETTINGS'!$K$5:$K$24,MATCH(E1263,'SETTINGS'!$J$5:$J$24,0)),"No")="Yes",FeePct,0),2))</f>
        <v/>
      </c>
      <c r="K1263" s="51">
        <f>IF(A1263="","",DATE(YEAR(A1263),MONTH(A1263),1))</f>
        <v/>
      </c>
    </row>
    <row r="1264">
      <c r="A1264" s="47" t="n"/>
      <c r="B1264" s="38" t="n"/>
      <c r="C1264" s="48" t="n"/>
      <c r="D1264" s="48" t="n"/>
      <c r="E1264" s="38" t="n"/>
      <c r="F1264" s="38" t="n"/>
      <c r="G1264" s="38" t="n"/>
      <c r="H1264" s="49">
        <f>IF(B1264="","",IFERROR(INDEX('JOBS'!$D$5:$D$1504,MATCH(B1264,'JOBS'!$A$5:$A$1504,0)),"Job ID not found"))</f>
        <v/>
      </c>
      <c r="I1264" s="49">
        <f>IF(B1264="","",IFERROR(INDEX('JOBS'!$F$5:$F$1504,MATCH(B1264,'JOBS'!$A$5:$A$1504,0)),""))</f>
        <v/>
      </c>
      <c r="J1264" s="55">
        <f>IF(C1264="","",ROUND(C1264*IF(IFERROR(INDEX('SETTINGS'!$K$5:$K$24,MATCH(E1264,'SETTINGS'!$J$5:$J$24,0)),"No")="Yes",FeePct,0),2))</f>
        <v/>
      </c>
      <c r="K1264" s="51">
        <f>IF(A1264="","",DATE(YEAR(A1264),MONTH(A1264),1))</f>
        <v/>
      </c>
    </row>
    <row r="1265">
      <c r="A1265" s="47" t="n"/>
      <c r="B1265" s="38" t="n"/>
      <c r="C1265" s="48" t="n"/>
      <c r="D1265" s="48" t="n"/>
      <c r="E1265" s="38" t="n"/>
      <c r="F1265" s="38" t="n"/>
      <c r="G1265" s="38" t="n"/>
      <c r="H1265" s="49">
        <f>IF(B1265="","",IFERROR(INDEX('JOBS'!$D$5:$D$1504,MATCH(B1265,'JOBS'!$A$5:$A$1504,0)),"Job ID not found"))</f>
        <v/>
      </c>
      <c r="I1265" s="49">
        <f>IF(B1265="","",IFERROR(INDEX('JOBS'!$F$5:$F$1504,MATCH(B1265,'JOBS'!$A$5:$A$1504,0)),""))</f>
        <v/>
      </c>
      <c r="J1265" s="55">
        <f>IF(C1265="","",ROUND(C1265*IF(IFERROR(INDEX('SETTINGS'!$K$5:$K$24,MATCH(E1265,'SETTINGS'!$J$5:$J$24,0)),"No")="Yes",FeePct,0),2))</f>
        <v/>
      </c>
      <c r="K1265" s="51">
        <f>IF(A1265="","",DATE(YEAR(A1265),MONTH(A1265),1))</f>
        <v/>
      </c>
    </row>
    <row r="1266">
      <c r="A1266" s="47" t="n"/>
      <c r="B1266" s="38" t="n"/>
      <c r="C1266" s="48" t="n"/>
      <c r="D1266" s="48" t="n"/>
      <c r="E1266" s="38" t="n"/>
      <c r="F1266" s="38" t="n"/>
      <c r="G1266" s="38" t="n"/>
      <c r="H1266" s="49">
        <f>IF(B1266="","",IFERROR(INDEX('JOBS'!$D$5:$D$1504,MATCH(B1266,'JOBS'!$A$5:$A$1504,0)),"Job ID not found"))</f>
        <v/>
      </c>
      <c r="I1266" s="49">
        <f>IF(B1266="","",IFERROR(INDEX('JOBS'!$F$5:$F$1504,MATCH(B1266,'JOBS'!$A$5:$A$1504,0)),""))</f>
        <v/>
      </c>
      <c r="J1266" s="55">
        <f>IF(C1266="","",ROUND(C1266*IF(IFERROR(INDEX('SETTINGS'!$K$5:$K$24,MATCH(E1266,'SETTINGS'!$J$5:$J$24,0)),"No")="Yes",FeePct,0),2))</f>
        <v/>
      </c>
      <c r="K1266" s="51">
        <f>IF(A1266="","",DATE(YEAR(A1266),MONTH(A1266),1))</f>
        <v/>
      </c>
    </row>
    <row r="1267">
      <c r="A1267" s="47" t="n"/>
      <c r="B1267" s="38" t="n"/>
      <c r="C1267" s="48" t="n"/>
      <c r="D1267" s="48" t="n"/>
      <c r="E1267" s="38" t="n"/>
      <c r="F1267" s="38" t="n"/>
      <c r="G1267" s="38" t="n"/>
      <c r="H1267" s="49">
        <f>IF(B1267="","",IFERROR(INDEX('JOBS'!$D$5:$D$1504,MATCH(B1267,'JOBS'!$A$5:$A$1504,0)),"Job ID not found"))</f>
        <v/>
      </c>
      <c r="I1267" s="49">
        <f>IF(B1267="","",IFERROR(INDEX('JOBS'!$F$5:$F$1504,MATCH(B1267,'JOBS'!$A$5:$A$1504,0)),""))</f>
        <v/>
      </c>
      <c r="J1267" s="55">
        <f>IF(C1267="","",ROUND(C1267*IF(IFERROR(INDEX('SETTINGS'!$K$5:$K$24,MATCH(E1267,'SETTINGS'!$J$5:$J$24,0)),"No")="Yes",FeePct,0),2))</f>
        <v/>
      </c>
      <c r="K1267" s="51">
        <f>IF(A1267="","",DATE(YEAR(A1267),MONTH(A1267),1))</f>
        <v/>
      </c>
    </row>
    <row r="1268">
      <c r="A1268" s="47" t="n"/>
      <c r="B1268" s="38" t="n"/>
      <c r="C1268" s="48" t="n"/>
      <c r="D1268" s="48" t="n"/>
      <c r="E1268" s="38" t="n"/>
      <c r="F1268" s="38" t="n"/>
      <c r="G1268" s="38" t="n"/>
      <c r="H1268" s="49">
        <f>IF(B1268="","",IFERROR(INDEX('JOBS'!$D$5:$D$1504,MATCH(B1268,'JOBS'!$A$5:$A$1504,0)),"Job ID not found"))</f>
        <v/>
      </c>
      <c r="I1268" s="49">
        <f>IF(B1268="","",IFERROR(INDEX('JOBS'!$F$5:$F$1504,MATCH(B1268,'JOBS'!$A$5:$A$1504,0)),""))</f>
        <v/>
      </c>
      <c r="J1268" s="55">
        <f>IF(C1268="","",ROUND(C1268*IF(IFERROR(INDEX('SETTINGS'!$K$5:$K$24,MATCH(E1268,'SETTINGS'!$J$5:$J$24,0)),"No")="Yes",FeePct,0),2))</f>
        <v/>
      </c>
      <c r="K1268" s="51">
        <f>IF(A1268="","",DATE(YEAR(A1268),MONTH(A1268),1))</f>
        <v/>
      </c>
    </row>
    <row r="1269">
      <c r="A1269" s="47" t="n"/>
      <c r="B1269" s="38" t="n"/>
      <c r="C1269" s="48" t="n"/>
      <c r="D1269" s="48" t="n"/>
      <c r="E1269" s="38" t="n"/>
      <c r="F1269" s="38" t="n"/>
      <c r="G1269" s="38" t="n"/>
      <c r="H1269" s="49">
        <f>IF(B1269="","",IFERROR(INDEX('JOBS'!$D$5:$D$1504,MATCH(B1269,'JOBS'!$A$5:$A$1504,0)),"Job ID not found"))</f>
        <v/>
      </c>
      <c r="I1269" s="49">
        <f>IF(B1269="","",IFERROR(INDEX('JOBS'!$F$5:$F$1504,MATCH(B1269,'JOBS'!$A$5:$A$1504,0)),""))</f>
        <v/>
      </c>
      <c r="J1269" s="55">
        <f>IF(C1269="","",ROUND(C1269*IF(IFERROR(INDEX('SETTINGS'!$K$5:$K$24,MATCH(E1269,'SETTINGS'!$J$5:$J$24,0)),"No")="Yes",FeePct,0),2))</f>
        <v/>
      </c>
      <c r="K1269" s="51">
        <f>IF(A1269="","",DATE(YEAR(A1269),MONTH(A1269),1))</f>
        <v/>
      </c>
    </row>
    <row r="1270">
      <c r="A1270" s="47" t="n"/>
      <c r="B1270" s="38" t="n"/>
      <c r="C1270" s="48" t="n"/>
      <c r="D1270" s="48" t="n"/>
      <c r="E1270" s="38" t="n"/>
      <c r="F1270" s="38" t="n"/>
      <c r="G1270" s="38" t="n"/>
      <c r="H1270" s="49">
        <f>IF(B1270="","",IFERROR(INDEX('JOBS'!$D$5:$D$1504,MATCH(B1270,'JOBS'!$A$5:$A$1504,0)),"Job ID not found"))</f>
        <v/>
      </c>
      <c r="I1270" s="49">
        <f>IF(B1270="","",IFERROR(INDEX('JOBS'!$F$5:$F$1504,MATCH(B1270,'JOBS'!$A$5:$A$1504,0)),""))</f>
        <v/>
      </c>
      <c r="J1270" s="55">
        <f>IF(C1270="","",ROUND(C1270*IF(IFERROR(INDEX('SETTINGS'!$K$5:$K$24,MATCH(E1270,'SETTINGS'!$J$5:$J$24,0)),"No")="Yes",FeePct,0),2))</f>
        <v/>
      </c>
      <c r="K1270" s="51">
        <f>IF(A1270="","",DATE(YEAR(A1270),MONTH(A1270),1))</f>
        <v/>
      </c>
    </row>
    <row r="1271">
      <c r="A1271" s="47" t="n"/>
      <c r="B1271" s="38" t="n"/>
      <c r="C1271" s="48" t="n"/>
      <c r="D1271" s="48" t="n"/>
      <c r="E1271" s="38" t="n"/>
      <c r="F1271" s="38" t="n"/>
      <c r="G1271" s="38" t="n"/>
      <c r="H1271" s="49">
        <f>IF(B1271="","",IFERROR(INDEX('JOBS'!$D$5:$D$1504,MATCH(B1271,'JOBS'!$A$5:$A$1504,0)),"Job ID not found"))</f>
        <v/>
      </c>
      <c r="I1271" s="49">
        <f>IF(B1271="","",IFERROR(INDEX('JOBS'!$F$5:$F$1504,MATCH(B1271,'JOBS'!$A$5:$A$1504,0)),""))</f>
        <v/>
      </c>
      <c r="J1271" s="55">
        <f>IF(C1271="","",ROUND(C1271*IF(IFERROR(INDEX('SETTINGS'!$K$5:$K$24,MATCH(E1271,'SETTINGS'!$J$5:$J$24,0)),"No")="Yes",FeePct,0),2))</f>
        <v/>
      </c>
      <c r="K1271" s="51">
        <f>IF(A1271="","",DATE(YEAR(A1271),MONTH(A1271),1))</f>
        <v/>
      </c>
    </row>
    <row r="1272">
      <c r="A1272" s="47" t="n"/>
      <c r="B1272" s="38" t="n"/>
      <c r="C1272" s="48" t="n"/>
      <c r="D1272" s="48" t="n"/>
      <c r="E1272" s="38" t="n"/>
      <c r="F1272" s="38" t="n"/>
      <c r="G1272" s="38" t="n"/>
      <c r="H1272" s="49">
        <f>IF(B1272="","",IFERROR(INDEX('JOBS'!$D$5:$D$1504,MATCH(B1272,'JOBS'!$A$5:$A$1504,0)),"Job ID not found"))</f>
        <v/>
      </c>
      <c r="I1272" s="49">
        <f>IF(B1272="","",IFERROR(INDEX('JOBS'!$F$5:$F$1504,MATCH(B1272,'JOBS'!$A$5:$A$1504,0)),""))</f>
        <v/>
      </c>
      <c r="J1272" s="55">
        <f>IF(C1272="","",ROUND(C1272*IF(IFERROR(INDEX('SETTINGS'!$K$5:$K$24,MATCH(E1272,'SETTINGS'!$J$5:$J$24,0)),"No")="Yes",FeePct,0),2))</f>
        <v/>
      </c>
      <c r="K1272" s="51">
        <f>IF(A1272="","",DATE(YEAR(A1272),MONTH(A1272),1))</f>
        <v/>
      </c>
    </row>
    <row r="1273">
      <c r="A1273" s="47" t="n"/>
      <c r="B1273" s="38" t="n"/>
      <c r="C1273" s="48" t="n"/>
      <c r="D1273" s="48" t="n"/>
      <c r="E1273" s="38" t="n"/>
      <c r="F1273" s="38" t="n"/>
      <c r="G1273" s="38" t="n"/>
      <c r="H1273" s="49">
        <f>IF(B1273="","",IFERROR(INDEX('JOBS'!$D$5:$D$1504,MATCH(B1273,'JOBS'!$A$5:$A$1504,0)),"Job ID not found"))</f>
        <v/>
      </c>
      <c r="I1273" s="49">
        <f>IF(B1273="","",IFERROR(INDEX('JOBS'!$F$5:$F$1504,MATCH(B1273,'JOBS'!$A$5:$A$1504,0)),""))</f>
        <v/>
      </c>
      <c r="J1273" s="55">
        <f>IF(C1273="","",ROUND(C1273*IF(IFERROR(INDEX('SETTINGS'!$K$5:$K$24,MATCH(E1273,'SETTINGS'!$J$5:$J$24,0)),"No")="Yes",FeePct,0),2))</f>
        <v/>
      </c>
      <c r="K1273" s="51">
        <f>IF(A1273="","",DATE(YEAR(A1273),MONTH(A1273),1))</f>
        <v/>
      </c>
    </row>
    <row r="1274">
      <c r="A1274" s="47" t="n"/>
      <c r="B1274" s="38" t="n"/>
      <c r="C1274" s="48" t="n"/>
      <c r="D1274" s="48" t="n"/>
      <c r="E1274" s="38" t="n"/>
      <c r="F1274" s="38" t="n"/>
      <c r="G1274" s="38" t="n"/>
      <c r="H1274" s="49">
        <f>IF(B1274="","",IFERROR(INDEX('JOBS'!$D$5:$D$1504,MATCH(B1274,'JOBS'!$A$5:$A$1504,0)),"Job ID not found"))</f>
        <v/>
      </c>
      <c r="I1274" s="49">
        <f>IF(B1274="","",IFERROR(INDEX('JOBS'!$F$5:$F$1504,MATCH(B1274,'JOBS'!$A$5:$A$1504,0)),""))</f>
        <v/>
      </c>
      <c r="J1274" s="55">
        <f>IF(C1274="","",ROUND(C1274*IF(IFERROR(INDEX('SETTINGS'!$K$5:$K$24,MATCH(E1274,'SETTINGS'!$J$5:$J$24,0)),"No")="Yes",FeePct,0),2))</f>
        <v/>
      </c>
      <c r="K1274" s="51">
        <f>IF(A1274="","",DATE(YEAR(A1274),MONTH(A1274),1))</f>
        <v/>
      </c>
    </row>
    <row r="1275">
      <c r="A1275" s="47" t="n"/>
      <c r="B1275" s="38" t="n"/>
      <c r="C1275" s="48" t="n"/>
      <c r="D1275" s="48" t="n"/>
      <c r="E1275" s="38" t="n"/>
      <c r="F1275" s="38" t="n"/>
      <c r="G1275" s="38" t="n"/>
      <c r="H1275" s="49">
        <f>IF(B1275="","",IFERROR(INDEX('JOBS'!$D$5:$D$1504,MATCH(B1275,'JOBS'!$A$5:$A$1504,0)),"Job ID not found"))</f>
        <v/>
      </c>
      <c r="I1275" s="49">
        <f>IF(B1275="","",IFERROR(INDEX('JOBS'!$F$5:$F$1504,MATCH(B1275,'JOBS'!$A$5:$A$1504,0)),""))</f>
        <v/>
      </c>
      <c r="J1275" s="55">
        <f>IF(C1275="","",ROUND(C1275*IF(IFERROR(INDEX('SETTINGS'!$K$5:$K$24,MATCH(E1275,'SETTINGS'!$J$5:$J$24,0)),"No")="Yes",FeePct,0),2))</f>
        <v/>
      </c>
      <c r="K1275" s="51">
        <f>IF(A1275="","",DATE(YEAR(A1275),MONTH(A1275),1))</f>
        <v/>
      </c>
    </row>
    <row r="1276">
      <c r="A1276" s="47" t="n"/>
      <c r="B1276" s="38" t="n"/>
      <c r="C1276" s="48" t="n"/>
      <c r="D1276" s="48" t="n"/>
      <c r="E1276" s="38" t="n"/>
      <c r="F1276" s="38" t="n"/>
      <c r="G1276" s="38" t="n"/>
      <c r="H1276" s="49">
        <f>IF(B1276="","",IFERROR(INDEX('JOBS'!$D$5:$D$1504,MATCH(B1276,'JOBS'!$A$5:$A$1504,0)),"Job ID not found"))</f>
        <v/>
      </c>
      <c r="I1276" s="49">
        <f>IF(B1276="","",IFERROR(INDEX('JOBS'!$F$5:$F$1504,MATCH(B1276,'JOBS'!$A$5:$A$1504,0)),""))</f>
        <v/>
      </c>
      <c r="J1276" s="55">
        <f>IF(C1276="","",ROUND(C1276*IF(IFERROR(INDEX('SETTINGS'!$K$5:$K$24,MATCH(E1276,'SETTINGS'!$J$5:$J$24,0)),"No")="Yes",FeePct,0),2))</f>
        <v/>
      </c>
      <c r="K1276" s="51">
        <f>IF(A1276="","",DATE(YEAR(A1276),MONTH(A1276),1))</f>
        <v/>
      </c>
    </row>
    <row r="1277">
      <c r="A1277" s="47" t="n"/>
      <c r="B1277" s="38" t="n"/>
      <c r="C1277" s="48" t="n"/>
      <c r="D1277" s="48" t="n"/>
      <c r="E1277" s="38" t="n"/>
      <c r="F1277" s="38" t="n"/>
      <c r="G1277" s="38" t="n"/>
      <c r="H1277" s="49">
        <f>IF(B1277="","",IFERROR(INDEX('JOBS'!$D$5:$D$1504,MATCH(B1277,'JOBS'!$A$5:$A$1504,0)),"Job ID not found"))</f>
        <v/>
      </c>
      <c r="I1277" s="49">
        <f>IF(B1277="","",IFERROR(INDEX('JOBS'!$F$5:$F$1504,MATCH(B1277,'JOBS'!$A$5:$A$1504,0)),""))</f>
        <v/>
      </c>
      <c r="J1277" s="55">
        <f>IF(C1277="","",ROUND(C1277*IF(IFERROR(INDEX('SETTINGS'!$K$5:$K$24,MATCH(E1277,'SETTINGS'!$J$5:$J$24,0)),"No")="Yes",FeePct,0),2))</f>
        <v/>
      </c>
      <c r="K1277" s="51">
        <f>IF(A1277="","",DATE(YEAR(A1277),MONTH(A1277),1))</f>
        <v/>
      </c>
    </row>
    <row r="1278">
      <c r="A1278" s="47" t="n"/>
      <c r="B1278" s="38" t="n"/>
      <c r="C1278" s="48" t="n"/>
      <c r="D1278" s="48" t="n"/>
      <c r="E1278" s="38" t="n"/>
      <c r="F1278" s="38" t="n"/>
      <c r="G1278" s="38" t="n"/>
      <c r="H1278" s="49">
        <f>IF(B1278="","",IFERROR(INDEX('JOBS'!$D$5:$D$1504,MATCH(B1278,'JOBS'!$A$5:$A$1504,0)),"Job ID not found"))</f>
        <v/>
      </c>
      <c r="I1278" s="49">
        <f>IF(B1278="","",IFERROR(INDEX('JOBS'!$F$5:$F$1504,MATCH(B1278,'JOBS'!$A$5:$A$1504,0)),""))</f>
        <v/>
      </c>
      <c r="J1278" s="55">
        <f>IF(C1278="","",ROUND(C1278*IF(IFERROR(INDEX('SETTINGS'!$K$5:$K$24,MATCH(E1278,'SETTINGS'!$J$5:$J$24,0)),"No")="Yes",FeePct,0),2))</f>
        <v/>
      </c>
      <c r="K1278" s="51">
        <f>IF(A1278="","",DATE(YEAR(A1278),MONTH(A1278),1))</f>
        <v/>
      </c>
    </row>
    <row r="1279">
      <c r="A1279" s="47" t="n"/>
      <c r="B1279" s="38" t="n"/>
      <c r="C1279" s="48" t="n"/>
      <c r="D1279" s="48" t="n"/>
      <c r="E1279" s="38" t="n"/>
      <c r="F1279" s="38" t="n"/>
      <c r="G1279" s="38" t="n"/>
      <c r="H1279" s="49">
        <f>IF(B1279="","",IFERROR(INDEX('JOBS'!$D$5:$D$1504,MATCH(B1279,'JOBS'!$A$5:$A$1504,0)),"Job ID not found"))</f>
        <v/>
      </c>
      <c r="I1279" s="49">
        <f>IF(B1279="","",IFERROR(INDEX('JOBS'!$F$5:$F$1504,MATCH(B1279,'JOBS'!$A$5:$A$1504,0)),""))</f>
        <v/>
      </c>
      <c r="J1279" s="55">
        <f>IF(C1279="","",ROUND(C1279*IF(IFERROR(INDEX('SETTINGS'!$K$5:$K$24,MATCH(E1279,'SETTINGS'!$J$5:$J$24,0)),"No")="Yes",FeePct,0),2))</f>
        <v/>
      </c>
      <c r="K1279" s="51">
        <f>IF(A1279="","",DATE(YEAR(A1279),MONTH(A1279),1))</f>
        <v/>
      </c>
    </row>
    <row r="1280">
      <c r="A1280" s="47" t="n"/>
      <c r="B1280" s="38" t="n"/>
      <c r="C1280" s="48" t="n"/>
      <c r="D1280" s="48" t="n"/>
      <c r="E1280" s="38" t="n"/>
      <c r="F1280" s="38" t="n"/>
      <c r="G1280" s="38" t="n"/>
      <c r="H1280" s="49">
        <f>IF(B1280="","",IFERROR(INDEX('JOBS'!$D$5:$D$1504,MATCH(B1280,'JOBS'!$A$5:$A$1504,0)),"Job ID not found"))</f>
        <v/>
      </c>
      <c r="I1280" s="49">
        <f>IF(B1280="","",IFERROR(INDEX('JOBS'!$F$5:$F$1504,MATCH(B1280,'JOBS'!$A$5:$A$1504,0)),""))</f>
        <v/>
      </c>
      <c r="J1280" s="55">
        <f>IF(C1280="","",ROUND(C1280*IF(IFERROR(INDEX('SETTINGS'!$K$5:$K$24,MATCH(E1280,'SETTINGS'!$J$5:$J$24,0)),"No")="Yes",FeePct,0),2))</f>
        <v/>
      </c>
      <c r="K1280" s="51">
        <f>IF(A1280="","",DATE(YEAR(A1280),MONTH(A1280),1))</f>
        <v/>
      </c>
    </row>
    <row r="1281">
      <c r="A1281" s="47" t="n"/>
      <c r="B1281" s="38" t="n"/>
      <c r="C1281" s="48" t="n"/>
      <c r="D1281" s="48" t="n"/>
      <c r="E1281" s="38" t="n"/>
      <c r="F1281" s="38" t="n"/>
      <c r="G1281" s="38" t="n"/>
      <c r="H1281" s="49">
        <f>IF(B1281="","",IFERROR(INDEX('JOBS'!$D$5:$D$1504,MATCH(B1281,'JOBS'!$A$5:$A$1504,0)),"Job ID not found"))</f>
        <v/>
      </c>
      <c r="I1281" s="49">
        <f>IF(B1281="","",IFERROR(INDEX('JOBS'!$F$5:$F$1504,MATCH(B1281,'JOBS'!$A$5:$A$1504,0)),""))</f>
        <v/>
      </c>
      <c r="J1281" s="55">
        <f>IF(C1281="","",ROUND(C1281*IF(IFERROR(INDEX('SETTINGS'!$K$5:$K$24,MATCH(E1281,'SETTINGS'!$J$5:$J$24,0)),"No")="Yes",FeePct,0),2))</f>
        <v/>
      </c>
      <c r="K1281" s="51">
        <f>IF(A1281="","",DATE(YEAR(A1281),MONTH(A1281),1))</f>
        <v/>
      </c>
    </row>
    <row r="1282">
      <c r="A1282" s="47" t="n"/>
      <c r="B1282" s="38" t="n"/>
      <c r="C1282" s="48" t="n"/>
      <c r="D1282" s="48" t="n"/>
      <c r="E1282" s="38" t="n"/>
      <c r="F1282" s="38" t="n"/>
      <c r="G1282" s="38" t="n"/>
      <c r="H1282" s="49">
        <f>IF(B1282="","",IFERROR(INDEX('JOBS'!$D$5:$D$1504,MATCH(B1282,'JOBS'!$A$5:$A$1504,0)),"Job ID not found"))</f>
        <v/>
      </c>
      <c r="I1282" s="49">
        <f>IF(B1282="","",IFERROR(INDEX('JOBS'!$F$5:$F$1504,MATCH(B1282,'JOBS'!$A$5:$A$1504,0)),""))</f>
        <v/>
      </c>
      <c r="J1282" s="55">
        <f>IF(C1282="","",ROUND(C1282*IF(IFERROR(INDEX('SETTINGS'!$K$5:$K$24,MATCH(E1282,'SETTINGS'!$J$5:$J$24,0)),"No")="Yes",FeePct,0),2))</f>
        <v/>
      </c>
      <c r="K1282" s="51">
        <f>IF(A1282="","",DATE(YEAR(A1282),MONTH(A1282),1))</f>
        <v/>
      </c>
    </row>
    <row r="1283">
      <c r="A1283" s="47" t="n"/>
      <c r="B1283" s="38" t="n"/>
      <c r="C1283" s="48" t="n"/>
      <c r="D1283" s="48" t="n"/>
      <c r="E1283" s="38" t="n"/>
      <c r="F1283" s="38" t="n"/>
      <c r="G1283" s="38" t="n"/>
      <c r="H1283" s="49">
        <f>IF(B1283="","",IFERROR(INDEX('JOBS'!$D$5:$D$1504,MATCH(B1283,'JOBS'!$A$5:$A$1504,0)),"Job ID not found"))</f>
        <v/>
      </c>
      <c r="I1283" s="49">
        <f>IF(B1283="","",IFERROR(INDEX('JOBS'!$F$5:$F$1504,MATCH(B1283,'JOBS'!$A$5:$A$1504,0)),""))</f>
        <v/>
      </c>
      <c r="J1283" s="55">
        <f>IF(C1283="","",ROUND(C1283*IF(IFERROR(INDEX('SETTINGS'!$K$5:$K$24,MATCH(E1283,'SETTINGS'!$J$5:$J$24,0)),"No")="Yes",FeePct,0),2))</f>
        <v/>
      </c>
      <c r="K1283" s="51">
        <f>IF(A1283="","",DATE(YEAR(A1283),MONTH(A1283),1))</f>
        <v/>
      </c>
    </row>
    <row r="1284">
      <c r="A1284" s="47" t="n"/>
      <c r="B1284" s="38" t="n"/>
      <c r="C1284" s="48" t="n"/>
      <c r="D1284" s="48" t="n"/>
      <c r="E1284" s="38" t="n"/>
      <c r="F1284" s="38" t="n"/>
      <c r="G1284" s="38" t="n"/>
      <c r="H1284" s="49">
        <f>IF(B1284="","",IFERROR(INDEX('JOBS'!$D$5:$D$1504,MATCH(B1284,'JOBS'!$A$5:$A$1504,0)),"Job ID not found"))</f>
        <v/>
      </c>
      <c r="I1284" s="49">
        <f>IF(B1284="","",IFERROR(INDEX('JOBS'!$F$5:$F$1504,MATCH(B1284,'JOBS'!$A$5:$A$1504,0)),""))</f>
        <v/>
      </c>
      <c r="J1284" s="55">
        <f>IF(C1284="","",ROUND(C1284*IF(IFERROR(INDEX('SETTINGS'!$K$5:$K$24,MATCH(E1284,'SETTINGS'!$J$5:$J$24,0)),"No")="Yes",FeePct,0),2))</f>
        <v/>
      </c>
      <c r="K1284" s="51">
        <f>IF(A1284="","",DATE(YEAR(A1284),MONTH(A1284),1))</f>
        <v/>
      </c>
    </row>
    <row r="1285">
      <c r="A1285" s="47" t="n"/>
      <c r="B1285" s="38" t="n"/>
      <c r="C1285" s="48" t="n"/>
      <c r="D1285" s="48" t="n"/>
      <c r="E1285" s="38" t="n"/>
      <c r="F1285" s="38" t="n"/>
      <c r="G1285" s="38" t="n"/>
      <c r="H1285" s="49">
        <f>IF(B1285="","",IFERROR(INDEX('JOBS'!$D$5:$D$1504,MATCH(B1285,'JOBS'!$A$5:$A$1504,0)),"Job ID not found"))</f>
        <v/>
      </c>
      <c r="I1285" s="49">
        <f>IF(B1285="","",IFERROR(INDEX('JOBS'!$F$5:$F$1504,MATCH(B1285,'JOBS'!$A$5:$A$1504,0)),""))</f>
        <v/>
      </c>
      <c r="J1285" s="55">
        <f>IF(C1285="","",ROUND(C1285*IF(IFERROR(INDEX('SETTINGS'!$K$5:$K$24,MATCH(E1285,'SETTINGS'!$J$5:$J$24,0)),"No")="Yes",FeePct,0),2))</f>
        <v/>
      </c>
      <c r="K1285" s="51">
        <f>IF(A1285="","",DATE(YEAR(A1285),MONTH(A1285),1))</f>
        <v/>
      </c>
    </row>
    <row r="1286">
      <c r="A1286" s="47" t="n"/>
      <c r="B1286" s="38" t="n"/>
      <c r="C1286" s="48" t="n"/>
      <c r="D1286" s="48" t="n"/>
      <c r="E1286" s="38" t="n"/>
      <c r="F1286" s="38" t="n"/>
      <c r="G1286" s="38" t="n"/>
      <c r="H1286" s="49">
        <f>IF(B1286="","",IFERROR(INDEX('JOBS'!$D$5:$D$1504,MATCH(B1286,'JOBS'!$A$5:$A$1504,0)),"Job ID not found"))</f>
        <v/>
      </c>
      <c r="I1286" s="49">
        <f>IF(B1286="","",IFERROR(INDEX('JOBS'!$F$5:$F$1504,MATCH(B1286,'JOBS'!$A$5:$A$1504,0)),""))</f>
        <v/>
      </c>
      <c r="J1286" s="55">
        <f>IF(C1286="","",ROUND(C1286*IF(IFERROR(INDEX('SETTINGS'!$K$5:$K$24,MATCH(E1286,'SETTINGS'!$J$5:$J$24,0)),"No")="Yes",FeePct,0),2))</f>
        <v/>
      </c>
      <c r="K1286" s="51">
        <f>IF(A1286="","",DATE(YEAR(A1286),MONTH(A1286),1))</f>
        <v/>
      </c>
    </row>
    <row r="1287">
      <c r="A1287" s="47" t="n"/>
      <c r="B1287" s="38" t="n"/>
      <c r="C1287" s="48" t="n"/>
      <c r="D1287" s="48" t="n"/>
      <c r="E1287" s="38" t="n"/>
      <c r="F1287" s="38" t="n"/>
      <c r="G1287" s="38" t="n"/>
      <c r="H1287" s="49">
        <f>IF(B1287="","",IFERROR(INDEX('JOBS'!$D$5:$D$1504,MATCH(B1287,'JOBS'!$A$5:$A$1504,0)),"Job ID not found"))</f>
        <v/>
      </c>
      <c r="I1287" s="49">
        <f>IF(B1287="","",IFERROR(INDEX('JOBS'!$F$5:$F$1504,MATCH(B1287,'JOBS'!$A$5:$A$1504,0)),""))</f>
        <v/>
      </c>
      <c r="J1287" s="55">
        <f>IF(C1287="","",ROUND(C1287*IF(IFERROR(INDEX('SETTINGS'!$K$5:$K$24,MATCH(E1287,'SETTINGS'!$J$5:$J$24,0)),"No")="Yes",FeePct,0),2))</f>
        <v/>
      </c>
      <c r="K1287" s="51">
        <f>IF(A1287="","",DATE(YEAR(A1287),MONTH(A1287),1))</f>
        <v/>
      </c>
    </row>
    <row r="1288">
      <c r="A1288" s="47" t="n"/>
      <c r="B1288" s="38" t="n"/>
      <c r="C1288" s="48" t="n"/>
      <c r="D1288" s="48" t="n"/>
      <c r="E1288" s="38" t="n"/>
      <c r="F1288" s="38" t="n"/>
      <c r="G1288" s="38" t="n"/>
      <c r="H1288" s="49">
        <f>IF(B1288="","",IFERROR(INDEX('JOBS'!$D$5:$D$1504,MATCH(B1288,'JOBS'!$A$5:$A$1504,0)),"Job ID not found"))</f>
        <v/>
      </c>
      <c r="I1288" s="49">
        <f>IF(B1288="","",IFERROR(INDEX('JOBS'!$F$5:$F$1504,MATCH(B1288,'JOBS'!$A$5:$A$1504,0)),""))</f>
        <v/>
      </c>
      <c r="J1288" s="55">
        <f>IF(C1288="","",ROUND(C1288*IF(IFERROR(INDEX('SETTINGS'!$K$5:$K$24,MATCH(E1288,'SETTINGS'!$J$5:$J$24,0)),"No")="Yes",FeePct,0),2))</f>
        <v/>
      </c>
      <c r="K1288" s="51">
        <f>IF(A1288="","",DATE(YEAR(A1288),MONTH(A1288),1))</f>
        <v/>
      </c>
    </row>
    <row r="1289">
      <c r="A1289" s="47" t="n"/>
      <c r="B1289" s="38" t="n"/>
      <c r="C1289" s="48" t="n"/>
      <c r="D1289" s="48" t="n"/>
      <c r="E1289" s="38" t="n"/>
      <c r="F1289" s="38" t="n"/>
      <c r="G1289" s="38" t="n"/>
      <c r="H1289" s="49">
        <f>IF(B1289="","",IFERROR(INDEX('JOBS'!$D$5:$D$1504,MATCH(B1289,'JOBS'!$A$5:$A$1504,0)),"Job ID not found"))</f>
        <v/>
      </c>
      <c r="I1289" s="49">
        <f>IF(B1289="","",IFERROR(INDEX('JOBS'!$F$5:$F$1504,MATCH(B1289,'JOBS'!$A$5:$A$1504,0)),""))</f>
        <v/>
      </c>
      <c r="J1289" s="55">
        <f>IF(C1289="","",ROUND(C1289*IF(IFERROR(INDEX('SETTINGS'!$K$5:$K$24,MATCH(E1289,'SETTINGS'!$J$5:$J$24,0)),"No")="Yes",FeePct,0),2))</f>
        <v/>
      </c>
      <c r="K1289" s="51">
        <f>IF(A1289="","",DATE(YEAR(A1289),MONTH(A1289),1))</f>
        <v/>
      </c>
    </row>
    <row r="1290">
      <c r="A1290" s="47" t="n"/>
      <c r="B1290" s="38" t="n"/>
      <c r="C1290" s="48" t="n"/>
      <c r="D1290" s="48" t="n"/>
      <c r="E1290" s="38" t="n"/>
      <c r="F1290" s="38" t="n"/>
      <c r="G1290" s="38" t="n"/>
      <c r="H1290" s="49">
        <f>IF(B1290="","",IFERROR(INDEX('JOBS'!$D$5:$D$1504,MATCH(B1290,'JOBS'!$A$5:$A$1504,0)),"Job ID not found"))</f>
        <v/>
      </c>
      <c r="I1290" s="49">
        <f>IF(B1290="","",IFERROR(INDEX('JOBS'!$F$5:$F$1504,MATCH(B1290,'JOBS'!$A$5:$A$1504,0)),""))</f>
        <v/>
      </c>
      <c r="J1290" s="55">
        <f>IF(C1290="","",ROUND(C1290*IF(IFERROR(INDEX('SETTINGS'!$K$5:$K$24,MATCH(E1290,'SETTINGS'!$J$5:$J$24,0)),"No")="Yes",FeePct,0),2))</f>
        <v/>
      </c>
      <c r="K1290" s="51">
        <f>IF(A1290="","",DATE(YEAR(A1290),MONTH(A1290),1))</f>
        <v/>
      </c>
    </row>
    <row r="1291">
      <c r="A1291" s="47" t="n"/>
      <c r="B1291" s="38" t="n"/>
      <c r="C1291" s="48" t="n"/>
      <c r="D1291" s="48" t="n"/>
      <c r="E1291" s="38" t="n"/>
      <c r="F1291" s="38" t="n"/>
      <c r="G1291" s="38" t="n"/>
      <c r="H1291" s="49">
        <f>IF(B1291="","",IFERROR(INDEX('JOBS'!$D$5:$D$1504,MATCH(B1291,'JOBS'!$A$5:$A$1504,0)),"Job ID not found"))</f>
        <v/>
      </c>
      <c r="I1291" s="49">
        <f>IF(B1291="","",IFERROR(INDEX('JOBS'!$F$5:$F$1504,MATCH(B1291,'JOBS'!$A$5:$A$1504,0)),""))</f>
        <v/>
      </c>
      <c r="J1291" s="55">
        <f>IF(C1291="","",ROUND(C1291*IF(IFERROR(INDEX('SETTINGS'!$K$5:$K$24,MATCH(E1291,'SETTINGS'!$J$5:$J$24,0)),"No")="Yes",FeePct,0),2))</f>
        <v/>
      </c>
      <c r="K1291" s="51">
        <f>IF(A1291="","",DATE(YEAR(A1291),MONTH(A1291),1))</f>
        <v/>
      </c>
    </row>
    <row r="1292">
      <c r="A1292" s="47" t="n"/>
      <c r="B1292" s="38" t="n"/>
      <c r="C1292" s="48" t="n"/>
      <c r="D1292" s="48" t="n"/>
      <c r="E1292" s="38" t="n"/>
      <c r="F1292" s="38" t="n"/>
      <c r="G1292" s="38" t="n"/>
      <c r="H1292" s="49">
        <f>IF(B1292="","",IFERROR(INDEX('JOBS'!$D$5:$D$1504,MATCH(B1292,'JOBS'!$A$5:$A$1504,0)),"Job ID not found"))</f>
        <v/>
      </c>
      <c r="I1292" s="49">
        <f>IF(B1292="","",IFERROR(INDEX('JOBS'!$F$5:$F$1504,MATCH(B1292,'JOBS'!$A$5:$A$1504,0)),""))</f>
        <v/>
      </c>
      <c r="J1292" s="55">
        <f>IF(C1292="","",ROUND(C1292*IF(IFERROR(INDEX('SETTINGS'!$K$5:$K$24,MATCH(E1292,'SETTINGS'!$J$5:$J$24,0)),"No")="Yes",FeePct,0),2))</f>
        <v/>
      </c>
      <c r="K1292" s="51">
        <f>IF(A1292="","",DATE(YEAR(A1292),MONTH(A1292),1))</f>
        <v/>
      </c>
    </row>
    <row r="1293">
      <c r="A1293" s="47" t="n"/>
      <c r="B1293" s="38" t="n"/>
      <c r="C1293" s="48" t="n"/>
      <c r="D1293" s="48" t="n"/>
      <c r="E1293" s="38" t="n"/>
      <c r="F1293" s="38" t="n"/>
      <c r="G1293" s="38" t="n"/>
      <c r="H1293" s="49">
        <f>IF(B1293="","",IFERROR(INDEX('JOBS'!$D$5:$D$1504,MATCH(B1293,'JOBS'!$A$5:$A$1504,0)),"Job ID not found"))</f>
        <v/>
      </c>
      <c r="I1293" s="49">
        <f>IF(B1293="","",IFERROR(INDEX('JOBS'!$F$5:$F$1504,MATCH(B1293,'JOBS'!$A$5:$A$1504,0)),""))</f>
        <v/>
      </c>
      <c r="J1293" s="55">
        <f>IF(C1293="","",ROUND(C1293*IF(IFERROR(INDEX('SETTINGS'!$K$5:$K$24,MATCH(E1293,'SETTINGS'!$J$5:$J$24,0)),"No")="Yes",FeePct,0),2))</f>
        <v/>
      </c>
      <c r="K1293" s="51">
        <f>IF(A1293="","",DATE(YEAR(A1293),MONTH(A1293),1))</f>
        <v/>
      </c>
    </row>
    <row r="1294">
      <c r="A1294" s="47" t="n"/>
      <c r="B1294" s="38" t="n"/>
      <c r="C1294" s="48" t="n"/>
      <c r="D1294" s="48" t="n"/>
      <c r="E1294" s="38" t="n"/>
      <c r="F1294" s="38" t="n"/>
      <c r="G1294" s="38" t="n"/>
      <c r="H1294" s="49">
        <f>IF(B1294="","",IFERROR(INDEX('JOBS'!$D$5:$D$1504,MATCH(B1294,'JOBS'!$A$5:$A$1504,0)),"Job ID not found"))</f>
        <v/>
      </c>
      <c r="I1294" s="49">
        <f>IF(B1294="","",IFERROR(INDEX('JOBS'!$F$5:$F$1504,MATCH(B1294,'JOBS'!$A$5:$A$1504,0)),""))</f>
        <v/>
      </c>
      <c r="J1294" s="55">
        <f>IF(C1294="","",ROUND(C1294*IF(IFERROR(INDEX('SETTINGS'!$K$5:$K$24,MATCH(E1294,'SETTINGS'!$J$5:$J$24,0)),"No")="Yes",FeePct,0),2))</f>
        <v/>
      </c>
      <c r="K1294" s="51">
        <f>IF(A1294="","",DATE(YEAR(A1294),MONTH(A1294),1))</f>
        <v/>
      </c>
    </row>
    <row r="1295">
      <c r="A1295" s="47" t="n"/>
      <c r="B1295" s="38" t="n"/>
      <c r="C1295" s="48" t="n"/>
      <c r="D1295" s="48" t="n"/>
      <c r="E1295" s="38" t="n"/>
      <c r="F1295" s="38" t="n"/>
      <c r="G1295" s="38" t="n"/>
      <c r="H1295" s="49">
        <f>IF(B1295="","",IFERROR(INDEX('JOBS'!$D$5:$D$1504,MATCH(B1295,'JOBS'!$A$5:$A$1504,0)),"Job ID not found"))</f>
        <v/>
      </c>
      <c r="I1295" s="49">
        <f>IF(B1295="","",IFERROR(INDEX('JOBS'!$F$5:$F$1504,MATCH(B1295,'JOBS'!$A$5:$A$1504,0)),""))</f>
        <v/>
      </c>
      <c r="J1295" s="55">
        <f>IF(C1295="","",ROUND(C1295*IF(IFERROR(INDEX('SETTINGS'!$K$5:$K$24,MATCH(E1295,'SETTINGS'!$J$5:$J$24,0)),"No")="Yes",FeePct,0),2))</f>
        <v/>
      </c>
      <c r="K1295" s="51">
        <f>IF(A1295="","",DATE(YEAR(A1295),MONTH(A1295),1))</f>
        <v/>
      </c>
    </row>
    <row r="1296">
      <c r="A1296" s="47" t="n"/>
      <c r="B1296" s="38" t="n"/>
      <c r="C1296" s="48" t="n"/>
      <c r="D1296" s="48" t="n"/>
      <c r="E1296" s="38" t="n"/>
      <c r="F1296" s="38" t="n"/>
      <c r="G1296" s="38" t="n"/>
      <c r="H1296" s="49">
        <f>IF(B1296="","",IFERROR(INDEX('JOBS'!$D$5:$D$1504,MATCH(B1296,'JOBS'!$A$5:$A$1504,0)),"Job ID not found"))</f>
        <v/>
      </c>
      <c r="I1296" s="49">
        <f>IF(B1296="","",IFERROR(INDEX('JOBS'!$F$5:$F$1504,MATCH(B1296,'JOBS'!$A$5:$A$1504,0)),""))</f>
        <v/>
      </c>
      <c r="J1296" s="55">
        <f>IF(C1296="","",ROUND(C1296*IF(IFERROR(INDEX('SETTINGS'!$K$5:$K$24,MATCH(E1296,'SETTINGS'!$J$5:$J$24,0)),"No")="Yes",FeePct,0),2))</f>
        <v/>
      </c>
      <c r="K1296" s="51">
        <f>IF(A1296="","",DATE(YEAR(A1296),MONTH(A1296),1))</f>
        <v/>
      </c>
    </row>
    <row r="1297">
      <c r="A1297" s="47" t="n"/>
      <c r="B1297" s="38" t="n"/>
      <c r="C1297" s="48" t="n"/>
      <c r="D1297" s="48" t="n"/>
      <c r="E1297" s="38" t="n"/>
      <c r="F1297" s="38" t="n"/>
      <c r="G1297" s="38" t="n"/>
      <c r="H1297" s="49">
        <f>IF(B1297="","",IFERROR(INDEX('JOBS'!$D$5:$D$1504,MATCH(B1297,'JOBS'!$A$5:$A$1504,0)),"Job ID not found"))</f>
        <v/>
      </c>
      <c r="I1297" s="49">
        <f>IF(B1297="","",IFERROR(INDEX('JOBS'!$F$5:$F$1504,MATCH(B1297,'JOBS'!$A$5:$A$1504,0)),""))</f>
        <v/>
      </c>
      <c r="J1297" s="55">
        <f>IF(C1297="","",ROUND(C1297*IF(IFERROR(INDEX('SETTINGS'!$K$5:$K$24,MATCH(E1297,'SETTINGS'!$J$5:$J$24,0)),"No")="Yes",FeePct,0),2))</f>
        <v/>
      </c>
      <c r="K1297" s="51">
        <f>IF(A1297="","",DATE(YEAR(A1297),MONTH(A1297),1))</f>
        <v/>
      </c>
    </row>
    <row r="1298">
      <c r="A1298" s="47" t="n"/>
      <c r="B1298" s="38" t="n"/>
      <c r="C1298" s="48" t="n"/>
      <c r="D1298" s="48" t="n"/>
      <c r="E1298" s="38" t="n"/>
      <c r="F1298" s="38" t="n"/>
      <c r="G1298" s="38" t="n"/>
      <c r="H1298" s="49">
        <f>IF(B1298="","",IFERROR(INDEX('JOBS'!$D$5:$D$1504,MATCH(B1298,'JOBS'!$A$5:$A$1504,0)),"Job ID not found"))</f>
        <v/>
      </c>
      <c r="I1298" s="49">
        <f>IF(B1298="","",IFERROR(INDEX('JOBS'!$F$5:$F$1504,MATCH(B1298,'JOBS'!$A$5:$A$1504,0)),""))</f>
        <v/>
      </c>
      <c r="J1298" s="55">
        <f>IF(C1298="","",ROUND(C1298*IF(IFERROR(INDEX('SETTINGS'!$K$5:$K$24,MATCH(E1298,'SETTINGS'!$J$5:$J$24,0)),"No")="Yes",FeePct,0),2))</f>
        <v/>
      </c>
      <c r="K1298" s="51">
        <f>IF(A1298="","",DATE(YEAR(A1298),MONTH(A1298),1))</f>
        <v/>
      </c>
    </row>
    <row r="1299">
      <c r="A1299" s="47" t="n"/>
      <c r="B1299" s="38" t="n"/>
      <c r="C1299" s="48" t="n"/>
      <c r="D1299" s="48" t="n"/>
      <c r="E1299" s="38" t="n"/>
      <c r="F1299" s="38" t="n"/>
      <c r="G1299" s="38" t="n"/>
      <c r="H1299" s="49">
        <f>IF(B1299="","",IFERROR(INDEX('JOBS'!$D$5:$D$1504,MATCH(B1299,'JOBS'!$A$5:$A$1504,0)),"Job ID not found"))</f>
        <v/>
      </c>
      <c r="I1299" s="49">
        <f>IF(B1299="","",IFERROR(INDEX('JOBS'!$F$5:$F$1504,MATCH(B1299,'JOBS'!$A$5:$A$1504,0)),""))</f>
        <v/>
      </c>
      <c r="J1299" s="55">
        <f>IF(C1299="","",ROUND(C1299*IF(IFERROR(INDEX('SETTINGS'!$K$5:$K$24,MATCH(E1299,'SETTINGS'!$J$5:$J$24,0)),"No")="Yes",FeePct,0),2))</f>
        <v/>
      </c>
      <c r="K1299" s="51">
        <f>IF(A1299="","",DATE(YEAR(A1299),MONTH(A1299),1))</f>
        <v/>
      </c>
    </row>
    <row r="1300">
      <c r="A1300" s="47" t="n"/>
      <c r="B1300" s="38" t="n"/>
      <c r="C1300" s="48" t="n"/>
      <c r="D1300" s="48" t="n"/>
      <c r="E1300" s="38" t="n"/>
      <c r="F1300" s="38" t="n"/>
      <c r="G1300" s="38" t="n"/>
      <c r="H1300" s="49">
        <f>IF(B1300="","",IFERROR(INDEX('JOBS'!$D$5:$D$1504,MATCH(B1300,'JOBS'!$A$5:$A$1504,0)),"Job ID not found"))</f>
        <v/>
      </c>
      <c r="I1300" s="49">
        <f>IF(B1300="","",IFERROR(INDEX('JOBS'!$F$5:$F$1504,MATCH(B1300,'JOBS'!$A$5:$A$1504,0)),""))</f>
        <v/>
      </c>
      <c r="J1300" s="55">
        <f>IF(C1300="","",ROUND(C1300*IF(IFERROR(INDEX('SETTINGS'!$K$5:$K$24,MATCH(E1300,'SETTINGS'!$J$5:$J$24,0)),"No")="Yes",FeePct,0),2))</f>
        <v/>
      </c>
      <c r="K1300" s="51">
        <f>IF(A1300="","",DATE(YEAR(A1300),MONTH(A1300),1))</f>
        <v/>
      </c>
    </row>
    <row r="1301">
      <c r="A1301" s="47" t="n"/>
      <c r="B1301" s="38" t="n"/>
      <c r="C1301" s="48" t="n"/>
      <c r="D1301" s="48" t="n"/>
      <c r="E1301" s="38" t="n"/>
      <c r="F1301" s="38" t="n"/>
      <c r="G1301" s="38" t="n"/>
      <c r="H1301" s="49">
        <f>IF(B1301="","",IFERROR(INDEX('JOBS'!$D$5:$D$1504,MATCH(B1301,'JOBS'!$A$5:$A$1504,0)),"Job ID not found"))</f>
        <v/>
      </c>
      <c r="I1301" s="49">
        <f>IF(B1301="","",IFERROR(INDEX('JOBS'!$F$5:$F$1504,MATCH(B1301,'JOBS'!$A$5:$A$1504,0)),""))</f>
        <v/>
      </c>
      <c r="J1301" s="55">
        <f>IF(C1301="","",ROUND(C1301*IF(IFERROR(INDEX('SETTINGS'!$K$5:$K$24,MATCH(E1301,'SETTINGS'!$J$5:$J$24,0)),"No")="Yes",FeePct,0),2))</f>
        <v/>
      </c>
      <c r="K1301" s="51">
        <f>IF(A1301="","",DATE(YEAR(A1301),MONTH(A1301),1))</f>
        <v/>
      </c>
    </row>
    <row r="1302">
      <c r="A1302" s="47" t="n"/>
      <c r="B1302" s="38" t="n"/>
      <c r="C1302" s="48" t="n"/>
      <c r="D1302" s="48" t="n"/>
      <c r="E1302" s="38" t="n"/>
      <c r="F1302" s="38" t="n"/>
      <c r="G1302" s="38" t="n"/>
      <c r="H1302" s="49">
        <f>IF(B1302="","",IFERROR(INDEX('JOBS'!$D$5:$D$1504,MATCH(B1302,'JOBS'!$A$5:$A$1504,0)),"Job ID not found"))</f>
        <v/>
      </c>
      <c r="I1302" s="49">
        <f>IF(B1302="","",IFERROR(INDEX('JOBS'!$F$5:$F$1504,MATCH(B1302,'JOBS'!$A$5:$A$1504,0)),""))</f>
        <v/>
      </c>
      <c r="J1302" s="55">
        <f>IF(C1302="","",ROUND(C1302*IF(IFERROR(INDEX('SETTINGS'!$K$5:$K$24,MATCH(E1302,'SETTINGS'!$J$5:$J$24,0)),"No")="Yes",FeePct,0),2))</f>
        <v/>
      </c>
      <c r="K1302" s="51">
        <f>IF(A1302="","",DATE(YEAR(A1302),MONTH(A1302),1))</f>
        <v/>
      </c>
    </row>
    <row r="1303">
      <c r="A1303" s="47" t="n"/>
      <c r="B1303" s="38" t="n"/>
      <c r="C1303" s="48" t="n"/>
      <c r="D1303" s="48" t="n"/>
      <c r="E1303" s="38" t="n"/>
      <c r="F1303" s="38" t="n"/>
      <c r="G1303" s="38" t="n"/>
      <c r="H1303" s="49">
        <f>IF(B1303="","",IFERROR(INDEX('JOBS'!$D$5:$D$1504,MATCH(B1303,'JOBS'!$A$5:$A$1504,0)),"Job ID not found"))</f>
        <v/>
      </c>
      <c r="I1303" s="49">
        <f>IF(B1303="","",IFERROR(INDEX('JOBS'!$F$5:$F$1504,MATCH(B1303,'JOBS'!$A$5:$A$1504,0)),""))</f>
        <v/>
      </c>
      <c r="J1303" s="55">
        <f>IF(C1303="","",ROUND(C1303*IF(IFERROR(INDEX('SETTINGS'!$K$5:$K$24,MATCH(E1303,'SETTINGS'!$J$5:$J$24,0)),"No")="Yes",FeePct,0),2))</f>
        <v/>
      </c>
      <c r="K1303" s="51">
        <f>IF(A1303="","",DATE(YEAR(A1303),MONTH(A1303),1))</f>
        <v/>
      </c>
    </row>
    <row r="1304">
      <c r="A1304" s="47" t="n"/>
      <c r="B1304" s="38" t="n"/>
      <c r="C1304" s="48" t="n"/>
      <c r="D1304" s="48" t="n"/>
      <c r="E1304" s="38" t="n"/>
      <c r="F1304" s="38" t="n"/>
      <c r="G1304" s="38" t="n"/>
      <c r="H1304" s="49">
        <f>IF(B1304="","",IFERROR(INDEX('JOBS'!$D$5:$D$1504,MATCH(B1304,'JOBS'!$A$5:$A$1504,0)),"Job ID not found"))</f>
        <v/>
      </c>
      <c r="I1304" s="49">
        <f>IF(B1304="","",IFERROR(INDEX('JOBS'!$F$5:$F$1504,MATCH(B1304,'JOBS'!$A$5:$A$1504,0)),""))</f>
        <v/>
      </c>
      <c r="J1304" s="55">
        <f>IF(C1304="","",ROUND(C1304*IF(IFERROR(INDEX('SETTINGS'!$K$5:$K$24,MATCH(E1304,'SETTINGS'!$J$5:$J$24,0)),"No")="Yes",FeePct,0),2))</f>
        <v/>
      </c>
      <c r="K1304" s="51">
        <f>IF(A1304="","",DATE(YEAR(A1304),MONTH(A1304),1))</f>
        <v/>
      </c>
    </row>
    <row r="1305">
      <c r="A1305" s="47" t="n"/>
      <c r="B1305" s="38" t="n"/>
      <c r="C1305" s="48" t="n"/>
      <c r="D1305" s="48" t="n"/>
      <c r="E1305" s="38" t="n"/>
      <c r="F1305" s="38" t="n"/>
      <c r="G1305" s="38" t="n"/>
      <c r="H1305" s="49">
        <f>IF(B1305="","",IFERROR(INDEX('JOBS'!$D$5:$D$1504,MATCH(B1305,'JOBS'!$A$5:$A$1504,0)),"Job ID not found"))</f>
        <v/>
      </c>
      <c r="I1305" s="49">
        <f>IF(B1305="","",IFERROR(INDEX('JOBS'!$F$5:$F$1504,MATCH(B1305,'JOBS'!$A$5:$A$1504,0)),""))</f>
        <v/>
      </c>
      <c r="J1305" s="55">
        <f>IF(C1305="","",ROUND(C1305*IF(IFERROR(INDEX('SETTINGS'!$K$5:$K$24,MATCH(E1305,'SETTINGS'!$J$5:$J$24,0)),"No")="Yes",FeePct,0),2))</f>
        <v/>
      </c>
      <c r="K1305" s="51">
        <f>IF(A1305="","",DATE(YEAR(A1305),MONTH(A1305),1))</f>
        <v/>
      </c>
    </row>
    <row r="1306">
      <c r="A1306" s="47" t="n"/>
      <c r="B1306" s="38" t="n"/>
      <c r="C1306" s="48" t="n"/>
      <c r="D1306" s="48" t="n"/>
      <c r="E1306" s="38" t="n"/>
      <c r="F1306" s="38" t="n"/>
      <c r="G1306" s="38" t="n"/>
      <c r="H1306" s="49">
        <f>IF(B1306="","",IFERROR(INDEX('JOBS'!$D$5:$D$1504,MATCH(B1306,'JOBS'!$A$5:$A$1504,0)),"Job ID not found"))</f>
        <v/>
      </c>
      <c r="I1306" s="49">
        <f>IF(B1306="","",IFERROR(INDEX('JOBS'!$F$5:$F$1504,MATCH(B1306,'JOBS'!$A$5:$A$1504,0)),""))</f>
        <v/>
      </c>
      <c r="J1306" s="55">
        <f>IF(C1306="","",ROUND(C1306*IF(IFERROR(INDEX('SETTINGS'!$K$5:$K$24,MATCH(E1306,'SETTINGS'!$J$5:$J$24,0)),"No")="Yes",FeePct,0),2))</f>
        <v/>
      </c>
      <c r="K1306" s="51">
        <f>IF(A1306="","",DATE(YEAR(A1306),MONTH(A1306),1))</f>
        <v/>
      </c>
    </row>
    <row r="1307">
      <c r="A1307" s="47" t="n"/>
      <c r="B1307" s="38" t="n"/>
      <c r="C1307" s="48" t="n"/>
      <c r="D1307" s="48" t="n"/>
      <c r="E1307" s="38" t="n"/>
      <c r="F1307" s="38" t="n"/>
      <c r="G1307" s="38" t="n"/>
      <c r="H1307" s="49">
        <f>IF(B1307="","",IFERROR(INDEX('JOBS'!$D$5:$D$1504,MATCH(B1307,'JOBS'!$A$5:$A$1504,0)),"Job ID not found"))</f>
        <v/>
      </c>
      <c r="I1307" s="49">
        <f>IF(B1307="","",IFERROR(INDEX('JOBS'!$F$5:$F$1504,MATCH(B1307,'JOBS'!$A$5:$A$1504,0)),""))</f>
        <v/>
      </c>
      <c r="J1307" s="55">
        <f>IF(C1307="","",ROUND(C1307*IF(IFERROR(INDEX('SETTINGS'!$K$5:$K$24,MATCH(E1307,'SETTINGS'!$J$5:$J$24,0)),"No")="Yes",FeePct,0),2))</f>
        <v/>
      </c>
      <c r="K1307" s="51">
        <f>IF(A1307="","",DATE(YEAR(A1307),MONTH(A1307),1))</f>
        <v/>
      </c>
    </row>
    <row r="1308">
      <c r="A1308" s="47" t="n"/>
      <c r="B1308" s="38" t="n"/>
      <c r="C1308" s="48" t="n"/>
      <c r="D1308" s="48" t="n"/>
      <c r="E1308" s="38" t="n"/>
      <c r="F1308" s="38" t="n"/>
      <c r="G1308" s="38" t="n"/>
      <c r="H1308" s="49">
        <f>IF(B1308="","",IFERROR(INDEX('JOBS'!$D$5:$D$1504,MATCH(B1308,'JOBS'!$A$5:$A$1504,0)),"Job ID not found"))</f>
        <v/>
      </c>
      <c r="I1308" s="49">
        <f>IF(B1308="","",IFERROR(INDEX('JOBS'!$F$5:$F$1504,MATCH(B1308,'JOBS'!$A$5:$A$1504,0)),""))</f>
        <v/>
      </c>
      <c r="J1308" s="55">
        <f>IF(C1308="","",ROUND(C1308*IF(IFERROR(INDEX('SETTINGS'!$K$5:$K$24,MATCH(E1308,'SETTINGS'!$J$5:$J$24,0)),"No")="Yes",FeePct,0),2))</f>
        <v/>
      </c>
      <c r="K1308" s="51">
        <f>IF(A1308="","",DATE(YEAR(A1308),MONTH(A1308),1))</f>
        <v/>
      </c>
    </row>
    <row r="1309">
      <c r="A1309" s="47" t="n"/>
      <c r="B1309" s="38" t="n"/>
      <c r="C1309" s="48" t="n"/>
      <c r="D1309" s="48" t="n"/>
      <c r="E1309" s="38" t="n"/>
      <c r="F1309" s="38" t="n"/>
      <c r="G1309" s="38" t="n"/>
      <c r="H1309" s="49">
        <f>IF(B1309="","",IFERROR(INDEX('JOBS'!$D$5:$D$1504,MATCH(B1309,'JOBS'!$A$5:$A$1504,0)),"Job ID not found"))</f>
        <v/>
      </c>
      <c r="I1309" s="49">
        <f>IF(B1309="","",IFERROR(INDEX('JOBS'!$F$5:$F$1504,MATCH(B1309,'JOBS'!$A$5:$A$1504,0)),""))</f>
        <v/>
      </c>
      <c r="J1309" s="55">
        <f>IF(C1309="","",ROUND(C1309*IF(IFERROR(INDEX('SETTINGS'!$K$5:$K$24,MATCH(E1309,'SETTINGS'!$J$5:$J$24,0)),"No")="Yes",FeePct,0),2))</f>
        <v/>
      </c>
      <c r="K1309" s="51">
        <f>IF(A1309="","",DATE(YEAR(A1309),MONTH(A1309),1))</f>
        <v/>
      </c>
    </row>
    <row r="1310">
      <c r="A1310" s="47" t="n"/>
      <c r="B1310" s="38" t="n"/>
      <c r="C1310" s="48" t="n"/>
      <c r="D1310" s="48" t="n"/>
      <c r="E1310" s="38" t="n"/>
      <c r="F1310" s="38" t="n"/>
      <c r="G1310" s="38" t="n"/>
      <c r="H1310" s="49">
        <f>IF(B1310="","",IFERROR(INDEX('JOBS'!$D$5:$D$1504,MATCH(B1310,'JOBS'!$A$5:$A$1504,0)),"Job ID not found"))</f>
        <v/>
      </c>
      <c r="I1310" s="49">
        <f>IF(B1310="","",IFERROR(INDEX('JOBS'!$F$5:$F$1504,MATCH(B1310,'JOBS'!$A$5:$A$1504,0)),""))</f>
        <v/>
      </c>
      <c r="J1310" s="55">
        <f>IF(C1310="","",ROUND(C1310*IF(IFERROR(INDEX('SETTINGS'!$K$5:$K$24,MATCH(E1310,'SETTINGS'!$J$5:$J$24,0)),"No")="Yes",FeePct,0),2))</f>
        <v/>
      </c>
      <c r="K1310" s="51">
        <f>IF(A1310="","",DATE(YEAR(A1310),MONTH(A1310),1))</f>
        <v/>
      </c>
    </row>
    <row r="1311">
      <c r="A1311" s="47" t="n"/>
      <c r="B1311" s="38" t="n"/>
      <c r="C1311" s="48" t="n"/>
      <c r="D1311" s="48" t="n"/>
      <c r="E1311" s="38" t="n"/>
      <c r="F1311" s="38" t="n"/>
      <c r="G1311" s="38" t="n"/>
      <c r="H1311" s="49">
        <f>IF(B1311="","",IFERROR(INDEX('JOBS'!$D$5:$D$1504,MATCH(B1311,'JOBS'!$A$5:$A$1504,0)),"Job ID not found"))</f>
        <v/>
      </c>
      <c r="I1311" s="49">
        <f>IF(B1311="","",IFERROR(INDEX('JOBS'!$F$5:$F$1504,MATCH(B1311,'JOBS'!$A$5:$A$1504,0)),""))</f>
        <v/>
      </c>
      <c r="J1311" s="55">
        <f>IF(C1311="","",ROUND(C1311*IF(IFERROR(INDEX('SETTINGS'!$K$5:$K$24,MATCH(E1311,'SETTINGS'!$J$5:$J$24,0)),"No")="Yes",FeePct,0),2))</f>
        <v/>
      </c>
      <c r="K1311" s="51">
        <f>IF(A1311="","",DATE(YEAR(A1311),MONTH(A1311),1))</f>
        <v/>
      </c>
    </row>
    <row r="1312">
      <c r="A1312" s="47" t="n"/>
      <c r="B1312" s="38" t="n"/>
      <c r="C1312" s="48" t="n"/>
      <c r="D1312" s="48" t="n"/>
      <c r="E1312" s="38" t="n"/>
      <c r="F1312" s="38" t="n"/>
      <c r="G1312" s="38" t="n"/>
      <c r="H1312" s="49">
        <f>IF(B1312="","",IFERROR(INDEX('JOBS'!$D$5:$D$1504,MATCH(B1312,'JOBS'!$A$5:$A$1504,0)),"Job ID not found"))</f>
        <v/>
      </c>
      <c r="I1312" s="49">
        <f>IF(B1312="","",IFERROR(INDEX('JOBS'!$F$5:$F$1504,MATCH(B1312,'JOBS'!$A$5:$A$1504,0)),""))</f>
        <v/>
      </c>
      <c r="J1312" s="55">
        <f>IF(C1312="","",ROUND(C1312*IF(IFERROR(INDEX('SETTINGS'!$K$5:$K$24,MATCH(E1312,'SETTINGS'!$J$5:$J$24,0)),"No")="Yes",FeePct,0),2))</f>
        <v/>
      </c>
      <c r="K1312" s="51">
        <f>IF(A1312="","",DATE(YEAR(A1312),MONTH(A1312),1))</f>
        <v/>
      </c>
    </row>
    <row r="1313">
      <c r="A1313" s="47" t="n"/>
      <c r="B1313" s="38" t="n"/>
      <c r="C1313" s="48" t="n"/>
      <c r="D1313" s="48" t="n"/>
      <c r="E1313" s="38" t="n"/>
      <c r="F1313" s="38" t="n"/>
      <c r="G1313" s="38" t="n"/>
      <c r="H1313" s="49">
        <f>IF(B1313="","",IFERROR(INDEX('JOBS'!$D$5:$D$1504,MATCH(B1313,'JOBS'!$A$5:$A$1504,0)),"Job ID not found"))</f>
        <v/>
      </c>
      <c r="I1313" s="49">
        <f>IF(B1313="","",IFERROR(INDEX('JOBS'!$F$5:$F$1504,MATCH(B1313,'JOBS'!$A$5:$A$1504,0)),""))</f>
        <v/>
      </c>
      <c r="J1313" s="55">
        <f>IF(C1313="","",ROUND(C1313*IF(IFERROR(INDEX('SETTINGS'!$K$5:$K$24,MATCH(E1313,'SETTINGS'!$J$5:$J$24,0)),"No")="Yes",FeePct,0),2))</f>
        <v/>
      </c>
      <c r="K1313" s="51">
        <f>IF(A1313="","",DATE(YEAR(A1313),MONTH(A1313),1))</f>
        <v/>
      </c>
    </row>
    <row r="1314">
      <c r="A1314" s="47" t="n"/>
      <c r="B1314" s="38" t="n"/>
      <c r="C1314" s="48" t="n"/>
      <c r="D1314" s="48" t="n"/>
      <c r="E1314" s="38" t="n"/>
      <c r="F1314" s="38" t="n"/>
      <c r="G1314" s="38" t="n"/>
      <c r="H1314" s="49">
        <f>IF(B1314="","",IFERROR(INDEX('JOBS'!$D$5:$D$1504,MATCH(B1314,'JOBS'!$A$5:$A$1504,0)),"Job ID not found"))</f>
        <v/>
      </c>
      <c r="I1314" s="49">
        <f>IF(B1314="","",IFERROR(INDEX('JOBS'!$F$5:$F$1504,MATCH(B1314,'JOBS'!$A$5:$A$1504,0)),""))</f>
        <v/>
      </c>
      <c r="J1314" s="55">
        <f>IF(C1314="","",ROUND(C1314*IF(IFERROR(INDEX('SETTINGS'!$K$5:$K$24,MATCH(E1314,'SETTINGS'!$J$5:$J$24,0)),"No")="Yes",FeePct,0),2))</f>
        <v/>
      </c>
      <c r="K1314" s="51">
        <f>IF(A1314="","",DATE(YEAR(A1314),MONTH(A1314),1))</f>
        <v/>
      </c>
    </row>
    <row r="1315">
      <c r="A1315" s="47" t="n"/>
      <c r="B1315" s="38" t="n"/>
      <c r="C1315" s="48" t="n"/>
      <c r="D1315" s="48" t="n"/>
      <c r="E1315" s="38" t="n"/>
      <c r="F1315" s="38" t="n"/>
      <c r="G1315" s="38" t="n"/>
      <c r="H1315" s="49">
        <f>IF(B1315="","",IFERROR(INDEX('JOBS'!$D$5:$D$1504,MATCH(B1315,'JOBS'!$A$5:$A$1504,0)),"Job ID not found"))</f>
        <v/>
      </c>
      <c r="I1315" s="49">
        <f>IF(B1315="","",IFERROR(INDEX('JOBS'!$F$5:$F$1504,MATCH(B1315,'JOBS'!$A$5:$A$1504,0)),""))</f>
        <v/>
      </c>
      <c r="J1315" s="55">
        <f>IF(C1315="","",ROUND(C1315*IF(IFERROR(INDEX('SETTINGS'!$K$5:$K$24,MATCH(E1315,'SETTINGS'!$J$5:$J$24,0)),"No")="Yes",FeePct,0),2))</f>
        <v/>
      </c>
      <c r="K1315" s="51">
        <f>IF(A1315="","",DATE(YEAR(A1315),MONTH(A1315),1))</f>
        <v/>
      </c>
    </row>
    <row r="1316">
      <c r="A1316" s="47" t="n"/>
      <c r="B1316" s="38" t="n"/>
      <c r="C1316" s="48" t="n"/>
      <c r="D1316" s="48" t="n"/>
      <c r="E1316" s="38" t="n"/>
      <c r="F1316" s="38" t="n"/>
      <c r="G1316" s="38" t="n"/>
      <c r="H1316" s="49">
        <f>IF(B1316="","",IFERROR(INDEX('JOBS'!$D$5:$D$1504,MATCH(B1316,'JOBS'!$A$5:$A$1504,0)),"Job ID not found"))</f>
        <v/>
      </c>
      <c r="I1316" s="49">
        <f>IF(B1316="","",IFERROR(INDEX('JOBS'!$F$5:$F$1504,MATCH(B1316,'JOBS'!$A$5:$A$1504,0)),""))</f>
        <v/>
      </c>
      <c r="J1316" s="55">
        <f>IF(C1316="","",ROUND(C1316*IF(IFERROR(INDEX('SETTINGS'!$K$5:$K$24,MATCH(E1316,'SETTINGS'!$J$5:$J$24,0)),"No")="Yes",FeePct,0),2))</f>
        <v/>
      </c>
      <c r="K1316" s="51">
        <f>IF(A1316="","",DATE(YEAR(A1316),MONTH(A1316),1))</f>
        <v/>
      </c>
    </row>
    <row r="1317">
      <c r="A1317" s="47" t="n"/>
      <c r="B1317" s="38" t="n"/>
      <c r="C1317" s="48" t="n"/>
      <c r="D1317" s="48" t="n"/>
      <c r="E1317" s="38" t="n"/>
      <c r="F1317" s="38" t="n"/>
      <c r="G1317" s="38" t="n"/>
      <c r="H1317" s="49">
        <f>IF(B1317="","",IFERROR(INDEX('JOBS'!$D$5:$D$1504,MATCH(B1317,'JOBS'!$A$5:$A$1504,0)),"Job ID not found"))</f>
        <v/>
      </c>
      <c r="I1317" s="49">
        <f>IF(B1317="","",IFERROR(INDEX('JOBS'!$F$5:$F$1504,MATCH(B1317,'JOBS'!$A$5:$A$1504,0)),""))</f>
        <v/>
      </c>
      <c r="J1317" s="55">
        <f>IF(C1317="","",ROUND(C1317*IF(IFERROR(INDEX('SETTINGS'!$K$5:$K$24,MATCH(E1317,'SETTINGS'!$J$5:$J$24,0)),"No")="Yes",FeePct,0),2))</f>
        <v/>
      </c>
      <c r="K1317" s="51">
        <f>IF(A1317="","",DATE(YEAR(A1317),MONTH(A1317),1))</f>
        <v/>
      </c>
    </row>
    <row r="1318">
      <c r="A1318" s="47" t="n"/>
      <c r="B1318" s="38" t="n"/>
      <c r="C1318" s="48" t="n"/>
      <c r="D1318" s="48" t="n"/>
      <c r="E1318" s="38" t="n"/>
      <c r="F1318" s="38" t="n"/>
      <c r="G1318" s="38" t="n"/>
      <c r="H1318" s="49">
        <f>IF(B1318="","",IFERROR(INDEX('JOBS'!$D$5:$D$1504,MATCH(B1318,'JOBS'!$A$5:$A$1504,0)),"Job ID not found"))</f>
        <v/>
      </c>
      <c r="I1318" s="49">
        <f>IF(B1318="","",IFERROR(INDEX('JOBS'!$F$5:$F$1504,MATCH(B1318,'JOBS'!$A$5:$A$1504,0)),""))</f>
        <v/>
      </c>
      <c r="J1318" s="55">
        <f>IF(C1318="","",ROUND(C1318*IF(IFERROR(INDEX('SETTINGS'!$K$5:$K$24,MATCH(E1318,'SETTINGS'!$J$5:$J$24,0)),"No")="Yes",FeePct,0),2))</f>
        <v/>
      </c>
      <c r="K1318" s="51">
        <f>IF(A1318="","",DATE(YEAR(A1318),MONTH(A1318),1))</f>
        <v/>
      </c>
    </row>
    <row r="1319">
      <c r="A1319" s="47" t="n"/>
      <c r="B1319" s="38" t="n"/>
      <c r="C1319" s="48" t="n"/>
      <c r="D1319" s="48" t="n"/>
      <c r="E1319" s="38" t="n"/>
      <c r="F1319" s="38" t="n"/>
      <c r="G1319" s="38" t="n"/>
      <c r="H1319" s="49">
        <f>IF(B1319="","",IFERROR(INDEX('JOBS'!$D$5:$D$1504,MATCH(B1319,'JOBS'!$A$5:$A$1504,0)),"Job ID not found"))</f>
        <v/>
      </c>
      <c r="I1319" s="49">
        <f>IF(B1319="","",IFERROR(INDEX('JOBS'!$F$5:$F$1504,MATCH(B1319,'JOBS'!$A$5:$A$1504,0)),""))</f>
        <v/>
      </c>
      <c r="J1319" s="55">
        <f>IF(C1319="","",ROUND(C1319*IF(IFERROR(INDEX('SETTINGS'!$K$5:$K$24,MATCH(E1319,'SETTINGS'!$J$5:$J$24,0)),"No")="Yes",FeePct,0),2))</f>
        <v/>
      </c>
      <c r="K1319" s="51">
        <f>IF(A1319="","",DATE(YEAR(A1319),MONTH(A1319),1))</f>
        <v/>
      </c>
    </row>
    <row r="1320">
      <c r="A1320" s="47" t="n"/>
      <c r="B1320" s="38" t="n"/>
      <c r="C1320" s="48" t="n"/>
      <c r="D1320" s="48" t="n"/>
      <c r="E1320" s="38" t="n"/>
      <c r="F1320" s="38" t="n"/>
      <c r="G1320" s="38" t="n"/>
      <c r="H1320" s="49">
        <f>IF(B1320="","",IFERROR(INDEX('JOBS'!$D$5:$D$1504,MATCH(B1320,'JOBS'!$A$5:$A$1504,0)),"Job ID not found"))</f>
        <v/>
      </c>
      <c r="I1320" s="49">
        <f>IF(B1320="","",IFERROR(INDEX('JOBS'!$F$5:$F$1504,MATCH(B1320,'JOBS'!$A$5:$A$1504,0)),""))</f>
        <v/>
      </c>
      <c r="J1320" s="55">
        <f>IF(C1320="","",ROUND(C1320*IF(IFERROR(INDEX('SETTINGS'!$K$5:$K$24,MATCH(E1320,'SETTINGS'!$J$5:$J$24,0)),"No")="Yes",FeePct,0),2))</f>
        <v/>
      </c>
      <c r="K1320" s="51">
        <f>IF(A1320="","",DATE(YEAR(A1320),MONTH(A1320),1))</f>
        <v/>
      </c>
    </row>
    <row r="1321">
      <c r="A1321" s="47" t="n"/>
      <c r="B1321" s="38" t="n"/>
      <c r="C1321" s="48" t="n"/>
      <c r="D1321" s="48" t="n"/>
      <c r="E1321" s="38" t="n"/>
      <c r="F1321" s="38" t="n"/>
      <c r="G1321" s="38" t="n"/>
      <c r="H1321" s="49">
        <f>IF(B1321="","",IFERROR(INDEX('JOBS'!$D$5:$D$1504,MATCH(B1321,'JOBS'!$A$5:$A$1504,0)),"Job ID not found"))</f>
        <v/>
      </c>
      <c r="I1321" s="49">
        <f>IF(B1321="","",IFERROR(INDEX('JOBS'!$F$5:$F$1504,MATCH(B1321,'JOBS'!$A$5:$A$1504,0)),""))</f>
        <v/>
      </c>
      <c r="J1321" s="55">
        <f>IF(C1321="","",ROUND(C1321*IF(IFERROR(INDEX('SETTINGS'!$K$5:$K$24,MATCH(E1321,'SETTINGS'!$J$5:$J$24,0)),"No")="Yes",FeePct,0),2))</f>
        <v/>
      </c>
      <c r="K1321" s="51">
        <f>IF(A1321="","",DATE(YEAR(A1321),MONTH(A1321),1))</f>
        <v/>
      </c>
    </row>
    <row r="1322">
      <c r="A1322" s="47" t="n"/>
      <c r="B1322" s="38" t="n"/>
      <c r="C1322" s="48" t="n"/>
      <c r="D1322" s="48" t="n"/>
      <c r="E1322" s="38" t="n"/>
      <c r="F1322" s="38" t="n"/>
      <c r="G1322" s="38" t="n"/>
      <c r="H1322" s="49">
        <f>IF(B1322="","",IFERROR(INDEX('JOBS'!$D$5:$D$1504,MATCH(B1322,'JOBS'!$A$5:$A$1504,0)),"Job ID not found"))</f>
        <v/>
      </c>
      <c r="I1322" s="49">
        <f>IF(B1322="","",IFERROR(INDEX('JOBS'!$F$5:$F$1504,MATCH(B1322,'JOBS'!$A$5:$A$1504,0)),""))</f>
        <v/>
      </c>
      <c r="J1322" s="55">
        <f>IF(C1322="","",ROUND(C1322*IF(IFERROR(INDEX('SETTINGS'!$K$5:$K$24,MATCH(E1322,'SETTINGS'!$J$5:$J$24,0)),"No")="Yes",FeePct,0),2))</f>
        <v/>
      </c>
      <c r="K1322" s="51">
        <f>IF(A1322="","",DATE(YEAR(A1322),MONTH(A1322),1))</f>
        <v/>
      </c>
    </row>
    <row r="1323">
      <c r="A1323" s="47" t="n"/>
      <c r="B1323" s="38" t="n"/>
      <c r="C1323" s="48" t="n"/>
      <c r="D1323" s="48" t="n"/>
      <c r="E1323" s="38" t="n"/>
      <c r="F1323" s="38" t="n"/>
      <c r="G1323" s="38" t="n"/>
      <c r="H1323" s="49">
        <f>IF(B1323="","",IFERROR(INDEX('JOBS'!$D$5:$D$1504,MATCH(B1323,'JOBS'!$A$5:$A$1504,0)),"Job ID not found"))</f>
        <v/>
      </c>
      <c r="I1323" s="49">
        <f>IF(B1323="","",IFERROR(INDEX('JOBS'!$F$5:$F$1504,MATCH(B1323,'JOBS'!$A$5:$A$1504,0)),""))</f>
        <v/>
      </c>
      <c r="J1323" s="55">
        <f>IF(C1323="","",ROUND(C1323*IF(IFERROR(INDEX('SETTINGS'!$K$5:$K$24,MATCH(E1323,'SETTINGS'!$J$5:$J$24,0)),"No")="Yes",FeePct,0),2))</f>
        <v/>
      </c>
      <c r="K1323" s="51">
        <f>IF(A1323="","",DATE(YEAR(A1323),MONTH(A1323),1))</f>
        <v/>
      </c>
    </row>
    <row r="1324">
      <c r="A1324" s="47" t="n"/>
      <c r="B1324" s="38" t="n"/>
      <c r="C1324" s="48" t="n"/>
      <c r="D1324" s="48" t="n"/>
      <c r="E1324" s="38" t="n"/>
      <c r="F1324" s="38" t="n"/>
      <c r="G1324" s="38" t="n"/>
      <c r="H1324" s="49">
        <f>IF(B1324="","",IFERROR(INDEX('JOBS'!$D$5:$D$1504,MATCH(B1324,'JOBS'!$A$5:$A$1504,0)),"Job ID not found"))</f>
        <v/>
      </c>
      <c r="I1324" s="49">
        <f>IF(B1324="","",IFERROR(INDEX('JOBS'!$F$5:$F$1504,MATCH(B1324,'JOBS'!$A$5:$A$1504,0)),""))</f>
        <v/>
      </c>
      <c r="J1324" s="55">
        <f>IF(C1324="","",ROUND(C1324*IF(IFERROR(INDEX('SETTINGS'!$K$5:$K$24,MATCH(E1324,'SETTINGS'!$J$5:$J$24,0)),"No")="Yes",FeePct,0),2))</f>
        <v/>
      </c>
      <c r="K1324" s="51">
        <f>IF(A1324="","",DATE(YEAR(A1324),MONTH(A1324),1))</f>
        <v/>
      </c>
    </row>
    <row r="1325">
      <c r="A1325" s="47" t="n"/>
      <c r="B1325" s="38" t="n"/>
      <c r="C1325" s="48" t="n"/>
      <c r="D1325" s="48" t="n"/>
      <c r="E1325" s="38" t="n"/>
      <c r="F1325" s="38" t="n"/>
      <c r="G1325" s="38" t="n"/>
      <c r="H1325" s="49">
        <f>IF(B1325="","",IFERROR(INDEX('JOBS'!$D$5:$D$1504,MATCH(B1325,'JOBS'!$A$5:$A$1504,0)),"Job ID not found"))</f>
        <v/>
      </c>
      <c r="I1325" s="49">
        <f>IF(B1325="","",IFERROR(INDEX('JOBS'!$F$5:$F$1504,MATCH(B1325,'JOBS'!$A$5:$A$1504,0)),""))</f>
        <v/>
      </c>
      <c r="J1325" s="55">
        <f>IF(C1325="","",ROUND(C1325*IF(IFERROR(INDEX('SETTINGS'!$K$5:$K$24,MATCH(E1325,'SETTINGS'!$J$5:$J$24,0)),"No")="Yes",FeePct,0),2))</f>
        <v/>
      </c>
      <c r="K1325" s="51">
        <f>IF(A1325="","",DATE(YEAR(A1325),MONTH(A1325),1))</f>
        <v/>
      </c>
    </row>
    <row r="1326">
      <c r="A1326" s="47" t="n"/>
      <c r="B1326" s="38" t="n"/>
      <c r="C1326" s="48" t="n"/>
      <c r="D1326" s="48" t="n"/>
      <c r="E1326" s="38" t="n"/>
      <c r="F1326" s="38" t="n"/>
      <c r="G1326" s="38" t="n"/>
      <c r="H1326" s="49">
        <f>IF(B1326="","",IFERROR(INDEX('JOBS'!$D$5:$D$1504,MATCH(B1326,'JOBS'!$A$5:$A$1504,0)),"Job ID not found"))</f>
        <v/>
      </c>
      <c r="I1326" s="49">
        <f>IF(B1326="","",IFERROR(INDEX('JOBS'!$F$5:$F$1504,MATCH(B1326,'JOBS'!$A$5:$A$1504,0)),""))</f>
        <v/>
      </c>
      <c r="J1326" s="55">
        <f>IF(C1326="","",ROUND(C1326*IF(IFERROR(INDEX('SETTINGS'!$K$5:$K$24,MATCH(E1326,'SETTINGS'!$J$5:$J$24,0)),"No")="Yes",FeePct,0),2))</f>
        <v/>
      </c>
      <c r="K1326" s="51">
        <f>IF(A1326="","",DATE(YEAR(A1326),MONTH(A1326),1))</f>
        <v/>
      </c>
    </row>
    <row r="1327">
      <c r="A1327" s="47" t="n"/>
      <c r="B1327" s="38" t="n"/>
      <c r="C1327" s="48" t="n"/>
      <c r="D1327" s="48" t="n"/>
      <c r="E1327" s="38" t="n"/>
      <c r="F1327" s="38" t="n"/>
      <c r="G1327" s="38" t="n"/>
      <c r="H1327" s="49">
        <f>IF(B1327="","",IFERROR(INDEX('JOBS'!$D$5:$D$1504,MATCH(B1327,'JOBS'!$A$5:$A$1504,0)),"Job ID not found"))</f>
        <v/>
      </c>
      <c r="I1327" s="49">
        <f>IF(B1327="","",IFERROR(INDEX('JOBS'!$F$5:$F$1504,MATCH(B1327,'JOBS'!$A$5:$A$1504,0)),""))</f>
        <v/>
      </c>
      <c r="J1327" s="55">
        <f>IF(C1327="","",ROUND(C1327*IF(IFERROR(INDEX('SETTINGS'!$K$5:$K$24,MATCH(E1327,'SETTINGS'!$J$5:$J$24,0)),"No")="Yes",FeePct,0),2))</f>
        <v/>
      </c>
      <c r="K1327" s="51">
        <f>IF(A1327="","",DATE(YEAR(A1327),MONTH(A1327),1))</f>
        <v/>
      </c>
    </row>
    <row r="1328">
      <c r="A1328" s="47" t="n"/>
      <c r="B1328" s="38" t="n"/>
      <c r="C1328" s="48" t="n"/>
      <c r="D1328" s="48" t="n"/>
      <c r="E1328" s="38" t="n"/>
      <c r="F1328" s="38" t="n"/>
      <c r="G1328" s="38" t="n"/>
      <c r="H1328" s="49">
        <f>IF(B1328="","",IFERROR(INDEX('JOBS'!$D$5:$D$1504,MATCH(B1328,'JOBS'!$A$5:$A$1504,0)),"Job ID not found"))</f>
        <v/>
      </c>
      <c r="I1328" s="49">
        <f>IF(B1328="","",IFERROR(INDEX('JOBS'!$F$5:$F$1504,MATCH(B1328,'JOBS'!$A$5:$A$1504,0)),""))</f>
        <v/>
      </c>
      <c r="J1328" s="55">
        <f>IF(C1328="","",ROUND(C1328*IF(IFERROR(INDEX('SETTINGS'!$K$5:$K$24,MATCH(E1328,'SETTINGS'!$J$5:$J$24,0)),"No")="Yes",FeePct,0),2))</f>
        <v/>
      </c>
      <c r="K1328" s="51">
        <f>IF(A1328="","",DATE(YEAR(A1328),MONTH(A1328),1))</f>
        <v/>
      </c>
    </row>
    <row r="1329">
      <c r="A1329" s="47" t="n"/>
      <c r="B1329" s="38" t="n"/>
      <c r="C1329" s="48" t="n"/>
      <c r="D1329" s="48" t="n"/>
      <c r="E1329" s="38" t="n"/>
      <c r="F1329" s="38" t="n"/>
      <c r="G1329" s="38" t="n"/>
      <c r="H1329" s="49">
        <f>IF(B1329="","",IFERROR(INDEX('JOBS'!$D$5:$D$1504,MATCH(B1329,'JOBS'!$A$5:$A$1504,0)),"Job ID not found"))</f>
        <v/>
      </c>
      <c r="I1329" s="49">
        <f>IF(B1329="","",IFERROR(INDEX('JOBS'!$F$5:$F$1504,MATCH(B1329,'JOBS'!$A$5:$A$1504,0)),""))</f>
        <v/>
      </c>
      <c r="J1329" s="55">
        <f>IF(C1329="","",ROUND(C1329*IF(IFERROR(INDEX('SETTINGS'!$K$5:$K$24,MATCH(E1329,'SETTINGS'!$J$5:$J$24,0)),"No")="Yes",FeePct,0),2))</f>
        <v/>
      </c>
      <c r="K1329" s="51">
        <f>IF(A1329="","",DATE(YEAR(A1329),MONTH(A1329),1))</f>
        <v/>
      </c>
    </row>
    <row r="1330">
      <c r="A1330" s="47" t="n"/>
      <c r="B1330" s="38" t="n"/>
      <c r="C1330" s="48" t="n"/>
      <c r="D1330" s="48" t="n"/>
      <c r="E1330" s="38" t="n"/>
      <c r="F1330" s="38" t="n"/>
      <c r="G1330" s="38" t="n"/>
      <c r="H1330" s="49">
        <f>IF(B1330="","",IFERROR(INDEX('JOBS'!$D$5:$D$1504,MATCH(B1330,'JOBS'!$A$5:$A$1504,0)),"Job ID not found"))</f>
        <v/>
      </c>
      <c r="I1330" s="49">
        <f>IF(B1330="","",IFERROR(INDEX('JOBS'!$F$5:$F$1504,MATCH(B1330,'JOBS'!$A$5:$A$1504,0)),""))</f>
        <v/>
      </c>
      <c r="J1330" s="55">
        <f>IF(C1330="","",ROUND(C1330*IF(IFERROR(INDEX('SETTINGS'!$K$5:$K$24,MATCH(E1330,'SETTINGS'!$J$5:$J$24,0)),"No")="Yes",FeePct,0),2))</f>
        <v/>
      </c>
      <c r="K1330" s="51">
        <f>IF(A1330="","",DATE(YEAR(A1330),MONTH(A1330),1))</f>
        <v/>
      </c>
    </row>
    <row r="1331">
      <c r="A1331" s="47" t="n"/>
      <c r="B1331" s="38" t="n"/>
      <c r="C1331" s="48" t="n"/>
      <c r="D1331" s="48" t="n"/>
      <c r="E1331" s="38" t="n"/>
      <c r="F1331" s="38" t="n"/>
      <c r="G1331" s="38" t="n"/>
      <c r="H1331" s="49">
        <f>IF(B1331="","",IFERROR(INDEX('JOBS'!$D$5:$D$1504,MATCH(B1331,'JOBS'!$A$5:$A$1504,0)),"Job ID not found"))</f>
        <v/>
      </c>
      <c r="I1331" s="49">
        <f>IF(B1331="","",IFERROR(INDEX('JOBS'!$F$5:$F$1504,MATCH(B1331,'JOBS'!$A$5:$A$1504,0)),""))</f>
        <v/>
      </c>
      <c r="J1331" s="55">
        <f>IF(C1331="","",ROUND(C1331*IF(IFERROR(INDEX('SETTINGS'!$K$5:$K$24,MATCH(E1331,'SETTINGS'!$J$5:$J$24,0)),"No")="Yes",FeePct,0),2))</f>
        <v/>
      </c>
      <c r="K1331" s="51">
        <f>IF(A1331="","",DATE(YEAR(A1331),MONTH(A1331),1))</f>
        <v/>
      </c>
    </row>
    <row r="1332">
      <c r="A1332" s="47" t="n"/>
      <c r="B1332" s="38" t="n"/>
      <c r="C1332" s="48" t="n"/>
      <c r="D1332" s="48" t="n"/>
      <c r="E1332" s="38" t="n"/>
      <c r="F1332" s="38" t="n"/>
      <c r="G1332" s="38" t="n"/>
      <c r="H1332" s="49">
        <f>IF(B1332="","",IFERROR(INDEX('JOBS'!$D$5:$D$1504,MATCH(B1332,'JOBS'!$A$5:$A$1504,0)),"Job ID not found"))</f>
        <v/>
      </c>
      <c r="I1332" s="49">
        <f>IF(B1332="","",IFERROR(INDEX('JOBS'!$F$5:$F$1504,MATCH(B1332,'JOBS'!$A$5:$A$1504,0)),""))</f>
        <v/>
      </c>
      <c r="J1332" s="55">
        <f>IF(C1332="","",ROUND(C1332*IF(IFERROR(INDEX('SETTINGS'!$K$5:$K$24,MATCH(E1332,'SETTINGS'!$J$5:$J$24,0)),"No")="Yes",FeePct,0),2))</f>
        <v/>
      </c>
      <c r="K1332" s="51">
        <f>IF(A1332="","",DATE(YEAR(A1332),MONTH(A1332),1))</f>
        <v/>
      </c>
    </row>
    <row r="1333">
      <c r="A1333" s="47" t="n"/>
      <c r="B1333" s="38" t="n"/>
      <c r="C1333" s="48" t="n"/>
      <c r="D1333" s="48" t="n"/>
      <c r="E1333" s="38" t="n"/>
      <c r="F1333" s="38" t="n"/>
      <c r="G1333" s="38" t="n"/>
      <c r="H1333" s="49">
        <f>IF(B1333="","",IFERROR(INDEX('JOBS'!$D$5:$D$1504,MATCH(B1333,'JOBS'!$A$5:$A$1504,0)),"Job ID not found"))</f>
        <v/>
      </c>
      <c r="I1333" s="49">
        <f>IF(B1333="","",IFERROR(INDEX('JOBS'!$F$5:$F$1504,MATCH(B1333,'JOBS'!$A$5:$A$1504,0)),""))</f>
        <v/>
      </c>
      <c r="J1333" s="55">
        <f>IF(C1333="","",ROUND(C1333*IF(IFERROR(INDEX('SETTINGS'!$K$5:$K$24,MATCH(E1333,'SETTINGS'!$J$5:$J$24,0)),"No")="Yes",FeePct,0),2))</f>
        <v/>
      </c>
      <c r="K1333" s="51">
        <f>IF(A1333="","",DATE(YEAR(A1333),MONTH(A1333),1))</f>
        <v/>
      </c>
    </row>
    <row r="1334">
      <c r="A1334" s="47" t="n"/>
      <c r="B1334" s="38" t="n"/>
      <c r="C1334" s="48" t="n"/>
      <c r="D1334" s="48" t="n"/>
      <c r="E1334" s="38" t="n"/>
      <c r="F1334" s="38" t="n"/>
      <c r="G1334" s="38" t="n"/>
      <c r="H1334" s="49">
        <f>IF(B1334="","",IFERROR(INDEX('JOBS'!$D$5:$D$1504,MATCH(B1334,'JOBS'!$A$5:$A$1504,0)),"Job ID not found"))</f>
        <v/>
      </c>
      <c r="I1334" s="49">
        <f>IF(B1334="","",IFERROR(INDEX('JOBS'!$F$5:$F$1504,MATCH(B1334,'JOBS'!$A$5:$A$1504,0)),""))</f>
        <v/>
      </c>
      <c r="J1334" s="55">
        <f>IF(C1334="","",ROUND(C1334*IF(IFERROR(INDEX('SETTINGS'!$K$5:$K$24,MATCH(E1334,'SETTINGS'!$J$5:$J$24,0)),"No")="Yes",FeePct,0),2))</f>
        <v/>
      </c>
      <c r="K1334" s="51">
        <f>IF(A1334="","",DATE(YEAR(A1334),MONTH(A1334),1))</f>
        <v/>
      </c>
    </row>
    <row r="1335">
      <c r="A1335" s="47" t="n"/>
      <c r="B1335" s="38" t="n"/>
      <c r="C1335" s="48" t="n"/>
      <c r="D1335" s="48" t="n"/>
      <c r="E1335" s="38" t="n"/>
      <c r="F1335" s="38" t="n"/>
      <c r="G1335" s="38" t="n"/>
      <c r="H1335" s="49">
        <f>IF(B1335="","",IFERROR(INDEX('JOBS'!$D$5:$D$1504,MATCH(B1335,'JOBS'!$A$5:$A$1504,0)),"Job ID not found"))</f>
        <v/>
      </c>
      <c r="I1335" s="49">
        <f>IF(B1335="","",IFERROR(INDEX('JOBS'!$F$5:$F$1504,MATCH(B1335,'JOBS'!$A$5:$A$1504,0)),""))</f>
        <v/>
      </c>
      <c r="J1335" s="55">
        <f>IF(C1335="","",ROUND(C1335*IF(IFERROR(INDEX('SETTINGS'!$K$5:$K$24,MATCH(E1335,'SETTINGS'!$J$5:$J$24,0)),"No")="Yes",FeePct,0),2))</f>
        <v/>
      </c>
      <c r="K1335" s="51">
        <f>IF(A1335="","",DATE(YEAR(A1335),MONTH(A1335),1))</f>
        <v/>
      </c>
    </row>
    <row r="1336">
      <c r="A1336" s="47" t="n"/>
      <c r="B1336" s="38" t="n"/>
      <c r="C1336" s="48" t="n"/>
      <c r="D1336" s="48" t="n"/>
      <c r="E1336" s="38" t="n"/>
      <c r="F1336" s="38" t="n"/>
      <c r="G1336" s="38" t="n"/>
      <c r="H1336" s="49">
        <f>IF(B1336="","",IFERROR(INDEX('JOBS'!$D$5:$D$1504,MATCH(B1336,'JOBS'!$A$5:$A$1504,0)),"Job ID not found"))</f>
        <v/>
      </c>
      <c r="I1336" s="49">
        <f>IF(B1336="","",IFERROR(INDEX('JOBS'!$F$5:$F$1504,MATCH(B1336,'JOBS'!$A$5:$A$1504,0)),""))</f>
        <v/>
      </c>
      <c r="J1336" s="55">
        <f>IF(C1336="","",ROUND(C1336*IF(IFERROR(INDEX('SETTINGS'!$K$5:$K$24,MATCH(E1336,'SETTINGS'!$J$5:$J$24,0)),"No")="Yes",FeePct,0),2))</f>
        <v/>
      </c>
      <c r="K1336" s="51">
        <f>IF(A1336="","",DATE(YEAR(A1336),MONTH(A1336),1))</f>
        <v/>
      </c>
    </row>
    <row r="1337">
      <c r="A1337" s="47" t="n"/>
      <c r="B1337" s="38" t="n"/>
      <c r="C1337" s="48" t="n"/>
      <c r="D1337" s="48" t="n"/>
      <c r="E1337" s="38" t="n"/>
      <c r="F1337" s="38" t="n"/>
      <c r="G1337" s="38" t="n"/>
      <c r="H1337" s="49">
        <f>IF(B1337="","",IFERROR(INDEX('JOBS'!$D$5:$D$1504,MATCH(B1337,'JOBS'!$A$5:$A$1504,0)),"Job ID not found"))</f>
        <v/>
      </c>
      <c r="I1337" s="49">
        <f>IF(B1337="","",IFERROR(INDEX('JOBS'!$F$5:$F$1504,MATCH(B1337,'JOBS'!$A$5:$A$1504,0)),""))</f>
        <v/>
      </c>
      <c r="J1337" s="55">
        <f>IF(C1337="","",ROUND(C1337*IF(IFERROR(INDEX('SETTINGS'!$K$5:$K$24,MATCH(E1337,'SETTINGS'!$J$5:$J$24,0)),"No")="Yes",FeePct,0),2))</f>
        <v/>
      </c>
      <c r="K1337" s="51">
        <f>IF(A1337="","",DATE(YEAR(A1337),MONTH(A1337),1))</f>
        <v/>
      </c>
    </row>
    <row r="1338">
      <c r="A1338" s="47" t="n"/>
      <c r="B1338" s="38" t="n"/>
      <c r="C1338" s="48" t="n"/>
      <c r="D1338" s="48" t="n"/>
      <c r="E1338" s="38" t="n"/>
      <c r="F1338" s="38" t="n"/>
      <c r="G1338" s="38" t="n"/>
      <c r="H1338" s="49">
        <f>IF(B1338="","",IFERROR(INDEX('JOBS'!$D$5:$D$1504,MATCH(B1338,'JOBS'!$A$5:$A$1504,0)),"Job ID not found"))</f>
        <v/>
      </c>
      <c r="I1338" s="49">
        <f>IF(B1338="","",IFERROR(INDEX('JOBS'!$F$5:$F$1504,MATCH(B1338,'JOBS'!$A$5:$A$1504,0)),""))</f>
        <v/>
      </c>
      <c r="J1338" s="55">
        <f>IF(C1338="","",ROUND(C1338*IF(IFERROR(INDEX('SETTINGS'!$K$5:$K$24,MATCH(E1338,'SETTINGS'!$J$5:$J$24,0)),"No")="Yes",FeePct,0),2))</f>
        <v/>
      </c>
      <c r="K1338" s="51">
        <f>IF(A1338="","",DATE(YEAR(A1338),MONTH(A1338),1))</f>
        <v/>
      </c>
    </row>
    <row r="1339">
      <c r="A1339" s="47" t="n"/>
      <c r="B1339" s="38" t="n"/>
      <c r="C1339" s="48" t="n"/>
      <c r="D1339" s="48" t="n"/>
      <c r="E1339" s="38" t="n"/>
      <c r="F1339" s="38" t="n"/>
      <c r="G1339" s="38" t="n"/>
      <c r="H1339" s="49">
        <f>IF(B1339="","",IFERROR(INDEX('JOBS'!$D$5:$D$1504,MATCH(B1339,'JOBS'!$A$5:$A$1504,0)),"Job ID not found"))</f>
        <v/>
      </c>
      <c r="I1339" s="49">
        <f>IF(B1339="","",IFERROR(INDEX('JOBS'!$F$5:$F$1504,MATCH(B1339,'JOBS'!$A$5:$A$1504,0)),""))</f>
        <v/>
      </c>
      <c r="J1339" s="55">
        <f>IF(C1339="","",ROUND(C1339*IF(IFERROR(INDEX('SETTINGS'!$K$5:$K$24,MATCH(E1339,'SETTINGS'!$J$5:$J$24,0)),"No")="Yes",FeePct,0),2))</f>
        <v/>
      </c>
      <c r="K1339" s="51">
        <f>IF(A1339="","",DATE(YEAR(A1339),MONTH(A1339),1))</f>
        <v/>
      </c>
    </row>
    <row r="1340">
      <c r="A1340" s="47" t="n"/>
      <c r="B1340" s="38" t="n"/>
      <c r="C1340" s="48" t="n"/>
      <c r="D1340" s="48" t="n"/>
      <c r="E1340" s="38" t="n"/>
      <c r="F1340" s="38" t="n"/>
      <c r="G1340" s="38" t="n"/>
      <c r="H1340" s="49">
        <f>IF(B1340="","",IFERROR(INDEX('JOBS'!$D$5:$D$1504,MATCH(B1340,'JOBS'!$A$5:$A$1504,0)),"Job ID not found"))</f>
        <v/>
      </c>
      <c r="I1340" s="49">
        <f>IF(B1340="","",IFERROR(INDEX('JOBS'!$F$5:$F$1504,MATCH(B1340,'JOBS'!$A$5:$A$1504,0)),""))</f>
        <v/>
      </c>
      <c r="J1340" s="55">
        <f>IF(C1340="","",ROUND(C1340*IF(IFERROR(INDEX('SETTINGS'!$K$5:$K$24,MATCH(E1340,'SETTINGS'!$J$5:$J$24,0)),"No")="Yes",FeePct,0),2))</f>
        <v/>
      </c>
      <c r="K1340" s="51">
        <f>IF(A1340="","",DATE(YEAR(A1340),MONTH(A1340),1))</f>
        <v/>
      </c>
    </row>
    <row r="1341">
      <c r="A1341" s="47" t="n"/>
      <c r="B1341" s="38" t="n"/>
      <c r="C1341" s="48" t="n"/>
      <c r="D1341" s="48" t="n"/>
      <c r="E1341" s="38" t="n"/>
      <c r="F1341" s="38" t="n"/>
      <c r="G1341" s="38" t="n"/>
      <c r="H1341" s="49">
        <f>IF(B1341="","",IFERROR(INDEX('JOBS'!$D$5:$D$1504,MATCH(B1341,'JOBS'!$A$5:$A$1504,0)),"Job ID not found"))</f>
        <v/>
      </c>
      <c r="I1341" s="49">
        <f>IF(B1341="","",IFERROR(INDEX('JOBS'!$F$5:$F$1504,MATCH(B1341,'JOBS'!$A$5:$A$1504,0)),""))</f>
        <v/>
      </c>
      <c r="J1341" s="55">
        <f>IF(C1341="","",ROUND(C1341*IF(IFERROR(INDEX('SETTINGS'!$K$5:$K$24,MATCH(E1341,'SETTINGS'!$J$5:$J$24,0)),"No")="Yes",FeePct,0),2))</f>
        <v/>
      </c>
      <c r="K1341" s="51">
        <f>IF(A1341="","",DATE(YEAR(A1341),MONTH(A1341),1))</f>
        <v/>
      </c>
    </row>
    <row r="1342">
      <c r="A1342" s="47" t="n"/>
      <c r="B1342" s="38" t="n"/>
      <c r="C1342" s="48" t="n"/>
      <c r="D1342" s="48" t="n"/>
      <c r="E1342" s="38" t="n"/>
      <c r="F1342" s="38" t="n"/>
      <c r="G1342" s="38" t="n"/>
      <c r="H1342" s="49">
        <f>IF(B1342="","",IFERROR(INDEX('JOBS'!$D$5:$D$1504,MATCH(B1342,'JOBS'!$A$5:$A$1504,0)),"Job ID not found"))</f>
        <v/>
      </c>
      <c r="I1342" s="49">
        <f>IF(B1342="","",IFERROR(INDEX('JOBS'!$F$5:$F$1504,MATCH(B1342,'JOBS'!$A$5:$A$1504,0)),""))</f>
        <v/>
      </c>
      <c r="J1342" s="55">
        <f>IF(C1342="","",ROUND(C1342*IF(IFERROR(INDEX('SETTINGS'!$K$5:$K$24,MATCH(E1342,'SETTINGS'!$J$5:$J$24,0)),"No")="Yes",FeePct,0),2))</f>
        <v/>
      </c>
      <c r="K1342" s="51">
        <f>IF(A1342="","",DATE(YEAR(A1342),MONTH(A1342),1))</f>
        <v/>
      </c>
    </row>
    <row r="1343">
      <c r="A1343" s="47" t="n"/>
      <c r="B1343" s="38" t="n"/>
      <c r="C1343" s="48" t="n"/>
      <c r="D1343" s="48" t="n"/>
      <c r="E1343" s="38" t="n"/>
      <c r="F1343" s="38" t="n"/>
      <c r="G1343" s="38" t="n"/>
      <c r="H1343" s="49">
        <f>IF(B1343="","",IFERROR(INDEX('JOBS'!$D$5:$D$1504,MATCH(B1343,'JOBS'!$A$5:$A$1504,0)),"Job ID not found"))</f>
        <v/>
      </c>
      <c r="I1343" s="49">
        <f>IF(B1343="","",IFERROR(INDEX('JOBS'!$F$5:$F$1504,MATCH(B1343,'JOBS'!$A$5:$A$1504,0)),""))</f>
        <v/>
      </c>
      <c r="J1343" s="55">
        <f>IF(C1343="","",ROUND(C1343*IF(IFERROR(INDEX('SETTINGS'!$K$5:$K$24,MATCH(E1343,'SETTINGS'!$J$5:$J$24,0)),"No")="Yes",FeePct,0),2))</f>
        <v/>
      </c>
      <c r="K1343" s="51">
        <f>IF(A1343="","",DATE(YEAR(A1343),MONTH(A1343),1))</f>
        <v/>
      </c>
    </row>
    <row r="1344">
      <c r="A1344" s="47" t="n"/>
      <c r="B1344" s="38" t="n"/>
      <c r="C1344" s="48" t="n"/>
      <c r="D1344" s="48" t="n"/>
      <c r="E1344" s="38" t="n"/>
      <c r="F1344" s="38" t="n"/>
      <c r="G1344" s="38" t="n"/>
      <c r="H1344" s="49">
        <f>IF(B1344="","",IFERROR(INDEX('JOBS'!$D$5:$D$1504,MATCH(B1344,'JOBS'!$A$5:$A$1504,0)),"Job ID not found"))</f>
        <v/>
      </c>
      <c r="I1344" s="49">
        <f>IF(B1344="","",IFERROR(INDEX('JOBS'!$F$5:$F$1504,MATCH(B1344,'JOBS'!$A$5:$A$1504,0)),""))</f>
        <v/>
      </c>
      <c r="J1344" s="55">
        <f>IF(C1344="","",ROUND(C1344*IF(IFERROR(INDEX('SETTINGS'!$K$5:$K$24,MATCH(E1344,'SETTINGS'!$J$5:$J$24,0)),"No")="Yes",FeePct,0),2))</f>
        <v/>
      </c>
      <c r="K1344" s="51">
        <f>IF(A1344="","",DATE(YEAR(A1344),MONTH(A1344),1))</f>
        <v/>
      </c>
    </row>
    <row r="1345">
      <c r="A1345" s="47" t="n"/>
      <c r="B1345" s="38" t="n"/>
      <c r="C1345" s="48" t="n"/>
      <c r="D1345" s="48" t="n"/>
      <c r="E1345" s="38" t="n"/>
      <c r="F1345" s="38" t="n"/>
      <c r="G1345" s="38" t="n"/>
      <c r="H1345" s="49">
        <f>IF(B1345="","",IFERROR(INDEX('JOBS'!$D$5:$D$1504,MATCH(B1345,'JOBS'!$A$5:$A$1504,0)),"Job ID not found"))</f>
        <v/>
      </c>
      <c r="I1345" s="49">
        <f>IF(B1345="","",IFERROR(INDEX('JOBS'!$F$5:$F$1504,MATCH(B1345,'JOBS'!$A$5:$A$1504,0)),""))</f>
        <v/>
      </c>
      <c r="J1345" s="55">
        <f>IF(C1345="","",ROUND(C1345*IF(IFERROR(INDEX('SETTINGS'!$K$5:$K$24,MATCH(E1345,'SETTINGS'!$J$5:$J$24,0)),"No")="Yes",FeePct,0),2))</f>
        <v/>
      </c>
      <c r="K1345" s="51">
        <f>IF(A1345="","",DATE(YEAR(A1345),MONTH(A1345),1))</f>
        <v/>
      </c>
    </row>
    <row r="1346">
      <c r="A1346" s="47" t="n"/>
      <c r="B1346" s="38" t="n"/>
      <c r="C1346" s="48" t="n"/>
      <c r="D1346" s="48" t="n"/>
      <c r="E1346" s="38" t="n"/>
      <c r="F1346" s="38" t="n"/>
      <c r="G1346" s="38" t="n"/>
      <c r="H1346" s="49">
        <f>IF(B1346="","",IFERROR(INDEX('JOBS'!$D$5:$D$1504,MATCH(B1346,'JOBS'!$A$5:$A$1504,0)),"Job ID not found"))</f>
        <v/>
      </c>
      <c r="I1346" s="49">
        <f>IF(B1346="","",IFERROR(INDEX('JOBS'!$F$5:$F$1504,MATCH(B1346,'JOBS'!$A$5:$A$1504,0)),""))</f>
        <v/>
      </c>
      <c r="J1346" s="55">
        <f>IF(C1346="","",ROUND(C1346*IF(IFERROR(INDEX('SETTINGS'!$K$5:$K$24,MATCH(E1346,'SETTINGS'!$J$5:$J$24,0)),"No")="Yes",FeePct,0),2))</f>
        <v/>
      </c>
      <c r="K1346" s="51">
        <f>IF(A1346="","",DATE(YEAR(A1346),MONTH(A1346),1))</f>
        <v/>
      </c>
    </row>
    <row r="1347">
      <c r="A1347" s="47" t="n"/>
      <c r="B1347" s="38" t="n"/>
      <c r="C1347" s="48" t="n"/>
      <c r="D1347" s="48" t="n"/>
      <c r="E1347" s="38" t="n"/>
      <c r="F1347" s="38" t="n"/>
      <c r="G1347" s="38" t="n"/>
      <c r="H1347" s="49">
        <f>IF(B1347="","",IFERROR(INDEX('JOBS'!$D$5:$D$1504,MATCH(B1347,'JOBS'!$A$5:$A$1504,0)),"Job ID not found"))</f>
        <v/>
      </c>
      <c r="I1347" s="49">
        <f>IF(B1347="","",IFERROR(INDEX('JOBS'!$F$5:$F$1504,MATCH(B1347,'JOBS'!$A$5:$A$1504,0)),""))</f>
        <v/>
      </c>
      <c r="J1347" s="55">
        <f>IF(C1347="","",ROUND(C1347*IF(IFERROR(INDEX('SETTINGS'!$K$5:$K$24,MATCH(E1347,'SETTINGS'!$J$5:$J$24,0)),"No")="Yes",FeePct,0),2))</f>
        <v/>
      </c>
      <c r="K1347" s="51">
        <f>IF(A1347="","",DATE(YEAR(A1347),MONTH(A1347),1))</f>
        <v/>
      </c>
    </row>
    <row r="1348">
      <c r="A1348" s="47" t="n"/>
      <c r="B1348" s="38" t="n"/>
      <c r="C1348" s="48" t="n"/>
      <c r="D1348" s="48" t="n"/>
      <c r="E1348" s="38" t="n"/>
      <c r="F1348" s="38" t="n"/>
      <c r="G1348" s="38" t="n"/>
      <c r="H1348" s="49">
        <f>IF(B1348="","",IFERROR(INDEX('JOBS'!$D$5:$D$1504,MATCH(B1348,'JOBS'!$A$5:$A$1504,0)),"Job ID not found"))</f>
        <v/>
      </c>
      <c r="I1348" s="49">
        <f>IF(B1348="","",IFERROR(INDEX('JOBS'!$F$5:$F$1504,MATCH(B1348,'JOBS'!$A$5:$A$1504,0)),""))</f>
        <v/>
      </c>
      <c r="J1348" s="55">
        <f>IF(C1348="","",ROUND(C1348*IF(IFERROR(INDEX('SETTINGS'!$K$5:$K$24,MATCH(E1348,'SETTINGS'!$J$5:$J$24,0)),"No")="Yes",FeePct,0),2))</f>
        <v/>
      </c>
      <c r="K1348" s="51">
        <f>IF(A1348="","",DATE(YEAR(A1348),MONTH(A1348),1))</f>
        <v/>
      </c>
    </row>
    <row r="1349">
      <c r="A1349" s="47" t="n"/>
      <c r="B1349" s="38" t="n"/>
      <c r="C1349" s="48" t="n"/>
      <c r="D1349" s="48" t="n"/>
      <c r="E1349" s="38" t="n"/>
      <c r="F1349" s="38" t="n"/>
      <c r="G1349" s="38" t="n"/>
      <c r="H1349" s="49">
        <f>IF(B1349="","",IFERROR(INDEX('JOBS'!$D$5:$D$1504,MATCH(B1349,'JOBS'!$A$5:$A$1504,0)),"Job ID not found"))</f>
        <v/>
      </c>
      <c r="I1349" s="49">
        <f>IF(B1349="","",IFERROR(INDEX('JOBS'!$F$5:$F$1504,MATCH(B1349,'JOBS'!$A$5:$A$1504,0)),""))</f>
        <v/>
      </c>
      <c r="J1349" s="55">
        <f>IF(C1349="","",ROUND(C1349*IF(IFERROR(INDEX('SETTINGS'!$K$5:$K$24,MATCH(E1349,'SETTINGS'!$J$5:$J$24,0)),"No")="Yes",FeePct,0),2))</f>
        <v/>
      </c>
      <c r="K1349" s="51">
        <f>IF(A1349="","",DATE(YEAR(A1349),MONTH(A1349),1))</f>
        <v/>
      </c>
    </row>
    <row r="1350">
      <c r="A1350" s="47" t="n"/>
      <c r="B1350" s="38" t="n"/>
      <c r="C1350" s="48" t="n"/>
      <c r="D1350" s="48" t="n"/>
      <c r="E1350" s="38" t="n"/>
      <c r="F1350" s="38" t="n"/>
      <c r="G1350" s="38" t="n"/>
      <c r="H1350" s="49">
        <f>IF(B1350="","",IFERROR(INDEX('JOBS'!$D$5:$D$1504,MATCH(B1350,'JOBS'!$A$5:$A$1504,0)),"Job ID not found"))</f>
        <v/>
      </c>
      <c r="I1350" s="49">
        <f>IF(B1350="","",IFERROR(INDEX('JOBS'!$F$5:$F$1504,MATCH(B1350,'JOBS'!$A$5:$A$1504,0)),""))</f>
        <v/>
      </c>
      <c r="J1350" s="55">
        <f>IF(C1350="","",ROUND(C1350*IF(IFERROR(INDEX('SETTINGS'!$K$5:$K$24,MATCH(E1350,'SETTINGS'!$J$5:$J$24,0)),"No")="Yes",FeePct,0),2))</f>
        <v/>
      </c>
      <c r="K1350" s="51">
        <f>IF(A1350="","",DATE(YEAR(A1350),MONTH(A1350),1))</f>
        <v/>
      </c>
    </row>
    <row r="1351">
      <c r="A1351" s="47" t="n"/>
      <c r="B1351" s="38" t="n"/>
      <c r="C1351" s="48" t="n"/>
      <c r="D1351" s="48" t="n"/>
      <c r="E1351" s="38" t="n"/>
      <c r="F1351" s="38" t="n"/>
      <c r="G1351" s="38" t="n"/>
      <c r="H1351" s="49">
        <f>IF(B1351="","",IFERROR(INDEX('JOBS'!$D$5:$D$1504,MATCH(B1351,'JOBS'!$A$5:$A$1504,0)),"Job ID not found"))</f>
        <v/>
      </c>
      <c r="I1351" s="49">
        <f>IF(B1351="","",IFERROR(INDEX('JOBS'!$F$5:$F$1504,MATCH(B1351,'JOBS'!$A$5:$A$1504,0)),""))</f>
        <v/>
      </c>
      <c r="J1351" s="55">
        <f>IF(C1351="","",ROUND(C1351*IF(IFERROR(INDEX('SETTINGS'!$K$5:$K$24,MATCH(E1351,'SETTINGS'!$J$5:$J$24,0)),"No")="Yes",FeePct,0),2))</f>
        <v/>
      </c>
      <c r="K1351" s="51">
        <f>IF(A1351="","",DATE(YEAR(A1351),MONTH(A1351),1))</f>
        <v/>
      </c>
    </row>
    <row r="1352">
      <c r="A1352" s="47" t="n"/>
      <c r="B1352" s="38" t="n"/>
      <c r="C1352" s="48" t="n"/>
      <c r="D1352" s="48" t="n"/>
      <c r="E1352" s="38" t="n"/>
      <c r="F1352" s="38" t="n"/>
      <c r="G1352" s="38" t="n"/>
      <c r="H1352" s="49">
        <f>IF(B1352="","",IFERROR(INDEX('JOBS'!$D$5:$D$1504,MATCH(B1352,'JOBS'!$A$5:$A$1504,0)),"Job ID not found"))</f>
        <v/>
      </c>
      <c r="I1352" s="49">
        <f>IF(B1352="","",IFERROR(INDEX('JOBS'!$F$5:$F$1504,MATCH(B1352,'JOBS'!$A$5:$A$1504,0)),""))</f>
        <v/>
      </c>
      <c r="J1352" s="55">
        <f>IF(C1352="","",ROUND(C1352*IF(IFERROR(INDEX('SETTINGS'!$K$5:$K$24,MATCH(E1352,'SETTINGS'!$J$5:$J$24,0)),"No")="Yes",FeePct,0),2))</f>
        <v/>
      </c>
      <c r="K1352" s="51">
        <f>IF(A1352="","",DATE(YEAR(A1352),MONTH(A1352),1))</f>
        <v/>
      </c>
    </row>
    <row r="1353">
      <c r="A1353" s="47" t="n"/>
      <c r="B1353" s="38" t="n"/>
      <c r="C1353" s="48" t="n"/>
      <c r="D1353" s="48" t="n"/>
      <c r="E1353" s="38" t="n"/>
      <c r="F1353" s="38" t="n"/>
      <c r="G1353" s="38" t="n"/>
      <c r="H1353" s="49">
        <f>IF(B1353="","",IFERROR(INDEX('JOBS'!$D$5:$D$1504,MATCH(B1353,'JOBS'!$A$5:$A$1504,0)),"Job ID not found"))</f>
        <v/>
      </c>
      <c r="I1353" s="49">
        <f>IF(B1353="","",IFERROR(INDEX('JOBS'!$F$5:$F$1504,MATCH(B1353,'JOBS'!$A$5:$A$1504,0)),""))</f>
        <v/>
      </c>
      <c r="J1353" s="55">
        <f>IF(C1353="","",ROUND(C1353*IF(IFERROR(INDEX('SETTINGS'!$K$5:$K$24,MATCH(E1353,'SETTINGS'!$J$5:$J$24,0)),"No")="Yes",FeePct,0),2))</f>
        <v/>
      </c>
      <c r="K1353" s="51">
        <f>IF(A1353="","",DATE(YEAR(A1353),MONTH(A1353),1))</f>
        <v/>
      </c>
    </row>
    <row r="1354">
      <c r="A1354" s="47" t="n"/>
      <c r="B1354" s="38" t="n"/>
      <c r="C1354" s="48" t="n"/>
      <c r="D1354" s="48" t="n"/>
      <c r="E1354" s="38" t="n"/>
      <c r="F1354" s="38" t="n"/>
      <c r="G1354" s="38" t="n"/>
      <c r="H1354" s="49">
        <f>IF(B1354="","",IFERROR(INDEX('JOBS'!$D$5:$D$1504,MATCH(B1354,'JOBS'!$A$5:$A$1504,0)),"Job ID not found"))</f>
        <v/>
      </c>
      <c r="I1354" s="49">
        <f>IF(B1354="","",IFERROR(INDEX('JOBS'!$F$5:$F$1504,MATCH(B1354,'JOBS'!$A$5:$A$1504,0)),""))</f>
        <v/>
      </c>
      <c r="J1354" s="55">
        <f>IF(C1354="","",ROUND(C1354*IF(IFERROR(INDEX('SETTINGS'!$K$5:$K$24,MATCH(E1354,'SETTINGS'!$J$5:$J$24,0)),"No")="Yes",FeePct,0),2))</f>
        <v/>
      </c>
      <c r="K1354" s="51">
        <f>IF(A1354="","",DATE(YEAR(A1354),MONTH(A1354),1))</f>
        <v/>
      </c>
    </row>
    <row r="1355">
      <c r="A1355" s="47" t="n"/>
      <c r="B1355" s="38" t="n"/>
      <c r="C1355" s="48" t="n"/>
      <c r="D1355" s="48" t="n"/>
      <c r="E1355" s="38" t="n"/>
      <c r="F1355" s="38" t="n"/>
      <c r="G1355" s="38" t="n"/>
      <c r="H1355" s="49">
        <f>IF(B1355="","",IFERROR(INDEX('JOBS'!$D$5:$D$1504,MATCH(B1355,'JOBS'!$A$5:$A$1504,0)),"Job ID not found"))</f>
        <v/>
      </c>
      <c r="I1355" s="49">
        <f>IF(B1355="","",IFERROR(INDEX('JOBS'!$F$5:$F$1504,MATCH(B1355,'JOBS'!$A$5:$A$1504,0)),""))</f>
        <v/>
      </c>
      <c r="J1355" s="55">
        <f>IF(C1355="","",ROUND(C1355*IF(IFERROR(INDEX('SETTINGS'!$K$5:$K$24,MATCH(E1355,'SETTINGS'!$J$5:$J$24,0)),"No")="Yes",FeePct,0),2))</f>
        <v/>
      </c>
      <c r="K1355" s="51">
        <f>IF(A1355="","",DATE(YEAR(A1355),MONTH(A1355),1))</f>
        <v/>
      </c>
    </row>
    <row r="1356">
      <c r="A1356" s="47" t="n"/>
      <c r="B1356" s="38" t="n"/>
      <c r="C1356" s="48" t="n"/>
      <c r="D1356" s="48" t="n"/>
      <c r="E1356" s="38" t="n"/>
      <c r="F1356" s="38" t="n"/>
      <c r="G1356" s="38" t="n"/>
      <c r="H1356" s="49">
        <f>IF(B1356="","",IFERROR(INDEX('JOBS'!$D$5:$D$1504,MATCH(B1356,'JOBS'!$A$5:$A$1504,0)),"Job ID not found"))</f>
        <v/>
      </c>
      <c r="I1356" s="49">
        <f>IF(B1356="","",IFERROR(INDEX('JOBS'!$F$5:$F$1504,MATCH(B1356,'JOBS'!$A$5:$A$1504,0)),""))</f>
        <v/>
      </c>
      <c r="J1356" s="55">
        <f>IF(C1356="","",ROUND(C1356*IF(IFERROR(INDEX('SETTINGS'!$K$5:$K$24,MATCH(E1356,'SETTINGS'!$J$5:$J$24,0)),"No")="Yes",FeePct,0),2))</f>
        <v/>
      </c>
      <c r="K1356" s="51">
        <f>IF(A1356="","",DATE(YEAR(A1356),MONTH(A1356),1))</f>
        <v/>
      </c>
    </row>
    <row r="1357">
      <c r="A1357" s="47" t="n"/>
      <c r="B1357" s="38" t="n"/>
      <c r="C1357" s="48" t="n"/>
      <c r="D1357" s="48" t="n"/>
      <c r="E1357" s="38" t="n"/>
      <c r="F1357" s="38" t="n"/>
      <c r="G1357" s="38" t="n"/>
      <c r="H1357" s="49">
        <f>IF(B1357="","",IFERROR(INDEX('JOBS'!$D$5:$D$1504,MATCH(B1357,'JOBS'!$A$5:$A$1504,0)),"Job ID not found"))</f>
        <v/>
      </c>
      <c r="I1357" s="49">
        <f>IF(B1357="","",IFERROR(INDEX('JOBS'!$F$5:$F$1504,MATCH(B1357,'JOBS'!$A$5:$A$1504,0)),""))</f>
        <v/>
      </c>
      <c r="J1357" s="55">
        <f>IF(C1357="","",ROUND(C1357*IF(IFERROR(INDEX('SETTINGS'!$K$5:$K$24,MATCH(E1357,'SETTINGS'!$J$5:$J$24,0)),"No")="Yes",FeePct,0),2))</f>
        <v/>
      </c>
      <c r="K1357" s="51">
        <f>IF(A1357="","",DATE(YEAR(A1357),MONTH(A1357),1))</f>
        <v/>
      </c>
    </row>
    <row r="1358">
      <c r="A1358" s="47" t="n"/>
      <c r="B1358" s="38" t="n"/>
      <c r="C1358" s="48" t="n"/>
      <c r="D1358" s="48" t="n"/>
      <c r="E1358" s="38" t="n"/>
      <c r="F1358" s="38" t="n"/>
      <c r="G1358" s="38" t="n"/>
      <c r="H1358" s="49">
        <f>IF(B1358="","",IFERROR(INDEX('JOBS'!$D$5:$D$1504,MATCH(B1358,'JOBS'!$A$5:$A$1504,0)),"Job ID not found"))</f>
        <v/>
      </c>
      <c r="I1358" s="49">
        <f>IF(B1358="","",IFERROR(INDEX('JOBS'!$F$5:$F$1504,MATCH(B1358,'JOBS'!$A$5:$A$1504,0)),""))</f>
        <v/>
      </c>
      <c r="J1358" s="55">
        <f>IF(C1358="","",ROUND(C1358*IF(IFERROR(INDEX('SETTINGS'!$K$5:$K$24,MATCH(E1358,'SETTINGS'!$J$5:$J$24,0)),"No")="Yes",FeePct,0),2))</f>
        <v/>
      </c>
      <c r="K1358" s="51">
        <f>IF(A1358="","",DATE(YEAR(A1358),MONTH(A1358),1))</f>
        <v/>
      </c>
    </row>
    <row r="1359">
      <c r="A1359" s="47" t="n"/>
      <c r="B1359" s="38" t="n"/>
      <c r="C1359" s="48" t="n"/>
      <c r="D1359" s="48" t="n"/>
      <c r="E1359" s="38" t="n"/>
      <c r="F1359" s="38" t="n"/>
      <c r="G1359" s="38" t="n"/>
      <c r="H1359" s="49">
        <f>IF(B1359="","",IFERROR(INDEX('JOBS'!$D$5:$D$1504,MATCH(B1359,'JOBS'!$A$5:$A$1504,0)),"Job ID not found"))</f>
        <v/>
      </c>
      <c r="I1359" s="49">
        <f>IF(B1359="","",IFERROR(INDEX('JOBS'!$F$5:$F$1504,MATCH(B1359,'JOBS'!$A$5:$A$1504,0)),""))</f>
        <v/>
      </c>
      <c r="J1359" s="55">
        <f>IF(C1359="","",ROUND(C1359*IF(IFERROR(INDEX('SETTINGS'!$K$5:$K$24,MATCH(E1359,'SETTINGS'!$J$5:$J$24,0)),"No")="Yes",FeePct,0),2))</f>
        <v/>
      </c>
      <c r="K1359" s="51">
        <f>IF(A1359="","",DATE(YEAR(A1359),MONTH(A1359),1))</f>
        <v/>
      </c>
    </row>
    <row r="1360">
      <c r="A1360" s="47" t="n"/>
      <c r="B1360" s="38" t="n"/>
      <c r="C1360" s="48" t="n"/>
      <c r="D1360" s="48" t="n"/>
      <c r="E1360" s="38" t="n"/>
      <c r="F1360" s="38" t="n"/>
      <c r="G1360" s="38" t="n"/>
      <c r="H1360" s="49">
        <f>IF(B1360="","",IFERROR(INDEX('JOBS'!$D$5:$D$1504,MATCH(B1360,'JOBS'!$A$5:$A$1504,0)),"Job ID not found"))</f>
        <v/>
      </c>
      <c r="I1360" s="49">
        <f>IF(B1360="","",IFERROR(INDEX('JOBS'!$F$5:$F$1504,MATCH(B1360,'JOBS'!$A$5:$A$1504,0)),""))</f>
        <v/>
      </c>
      <c r="J1360" s="55">
        <f>IF(C1360="","",ROUND(C1360*IF(IFERROR(INDEX('SETTINGS'!$K$5:$K$24,MATCH(E1360,'SETTINGS'!$J$5:$J$24,0)),"No")="Yes",FeePct,0),2))</f>
        <v/>
      </c>
      <c r="K1360" s="51">
        <f>IF(A1360="","",DATE(YEAR(A1360),MONTH(A1360),1))</f>
        <v/>
      </c>
    </row>
    <row r="1361">
      <c r="A1361" s="47" t="n"/>
      <c r="B1361" s="38" t="n"/>
      <c r="C1361" s="48" t="n"/>
      <c r="D1361" s="48" t="n"/>
      <c r="E1361" s="38" t="n"/>
      <c r="F1361" s="38" t="n"/>
      <c r="G1361" s="38" t="n"/>
      <c r="H1361" s="49">
        <f>IF(B1361="","",IFERROR(INDEX('JOBS'!$D$5:$D$1504,MATCH(B1361,'JOBS'!$A$5:$A$1504,0)),"Job ID not found"))</f>
        <v/>
      </c>
      <c r="I1361" s="49">
        <f>IF(B1361="","",IFERROR(INDEX('JOBS'!$F$5:$F$1504,MATCH(B1361,'JOBS'!$A$5:$A$1504,0)),""))</f>
        <v/>
      </c>
      <c r="J1361" s="55">
        <f>IF(C1361="","",ROUND(C1361*IF(IFERROR(INDEX('SETTINGS'!$K$5:$K$24,MATCH(E1361,'SETTINGS'!$J$5:$J$24,0)),"No")="Yes",FeePct,0),2))</f>
        <v/>
      </c>
      <c r="K1361" s="51">
        <f>IF(A1361="","",DATE(YEAR(A1361),MONTH(A1361),1))</f>
        <v/>
      </c>
    </row>
    <row r="1362">
      <c r="A1362" s="47" t="n"/>
      <c r="B1362" s="38" t="n"/>
      <c r="C1362" s="48" t="n"/>
      <c r="D1362" s="48" t="n"/>
      <c r="E1362" s="38" t="n"/>
      <c r="F1362" s="38" t="n"/>
      <c r="G1362" s="38" t="n"/>
      <c r="H1362" s="49">
        <f>IF(B1362="","",IFERROR(INDEX('JOBS'!$D$5:$D$1504,MATCH(B1362,'JOBS'!$A$5:$A$1504,0)),"Job ID not found"))</f>
        <v/>
      </c>
      <c r="I1362" s="49">
        <f>IF(B1362="","",IFERROR(INDEX('JOBS'!$F$5:$F$1504,MATCH(B1362,'JOBS'!$A$5:$A$1504,0)),""))</f>
        <v/>
      </c>
      <c r="J1362" s="55">
        <f>IF(C1362="","",ROUND(C1362*IF(IFERROR(INDEX('SETTINGS'!$K$5:$K$24,MATCH(E1362,'SETTINGS'!$J$5:$J$24,0)),"No")="Yes",FeePct,0),2))</f>
        <v/>
      </c>
      <c r="K1362" s="51">
        <f>IF(A1362="","",DATE(YEAR(A1362),MONTH(A1362),1))</f>
        <v/>
      </c>
    </row>
    <row r="1363">
      <c r="A1363" s="47" t="n"/>
      <c r="B1363" s="38" t="n"/>
      <c r="C1363" s="48" t="n"/>
      <c r="D1363" s="48" t="n"/>
      <c r="E1363" s="38" t="n"/>
      <c r="F1363" s="38" t="n"/>
      <c r="G1363" s="38" t="n"/>
      <c r="H1363" s="49">
        <f>IF(B1363="","",IFERROR(INDEX('JOBS'!$D$5:$D$1504,MATCH(B1363,'JOBS'!$A$5:$A$1504,0)),"Job ID not found"))</f>
        <v/>
      </c>
      <c r="I1363" s="49">
        <f>IF(B1363="","",IFERROR(INDEX('JOBS'!$F$5:$F$1504,MATCH(B1363,'JOBS'!$A$5:$A$1504,0)),""))</f>
        <v/>
      </c>
      <c r="J1363" s="55">
        <f>IF(C1363="","",ROUND(C1363*IF(IFERROR(INDEX('SETTINGS'!$K$5:$K$24,MATCH(E1363,'SETTINGS'!$J$5:$J$24,0)),"No")="Yes",FeePct,0),2))</f>
        <v/>
      </c>
      <c r="K1363" s="51">
        <f>IF(A1363="","",DATE(YEAR(A1363),MONTH(A1363),1))</f>
        <v/>
      </c>
    </row>
    <row r="1364">
      <c r="A1364" s="47" t="n"/>
      <c r="B1364" s="38" t="n"/>
      <c r="C1364" s="48" t="n"/>
      <c r="D1364" s="48" t="n"/>
      <c r="E1364" s="38" t="n"/>
      <c r="F1364" s="38" t="n"/>
      <c r="G1364" s="38" t="n"/>
      <c r="H1364" s="49">
        <f>IF(B1364="","",IFERROR(INDEX('JOBS'!$D$5:$D$1504,MATCH(B1364,'JOBS'!$A$5:$A$1504,0)),"Job ID not found"))</f>
        <v/>
      </c>
      <c r="I1364" s="49">
        <f>IF(B1364="","",IFERROR(INDEX('JOBS'!$F$5:$F$1504,MATCH(B1364,'JOBS'!$A$5:$A$1504,0)),""))</f>
        <v/>
      </c>
      <c r="J1364" s="55">
        <f>IF(C1364="","",ROUND(C1364*IF(IFERROR(INDEX('SETTINGS'!$K$5:$K$24,MATCH(E1364,'SETTINGS'!$J$5:$J$24,0)),"No")="Yes",FeePct,0),2))</f>
        <v/>
      </c>
      <c r="K1364" s="51">
        <f>IF(A1364="","",DATE(YEAR(A1364),MONTH(A1364),1))</f>
        <v/>
      </c>
    </row>
    <row r="1365">
      <c r="A1365" s="47" t="n"/>
      <c r="B1365" s="38" t="n"/>
      <c r="C1365" s="48" t="n"/>
      <c r="D1365" s="48" t="n"/>
      <c r="E1365" s="38" t="n"/>
      <c r="F1365" s="38" t="n"/>
      <c r="G1365" s="38" t="n"/>
      <c r="H1365" s="49">
        <f>IF(B1365="","",IFERROR(INDEX('JOBS'!$D$5:$D$1504,MATCH(B1365,'JOBS'!$A$5:$A$1504,0)),"Job ID not found"))</f>
        <v/>
      </c>
      <c r="I1365" s="49">
        <f>IF(B1365="","",IFERROR(INDEX('JOBS'!$F$5:$F$1504,MATCH(B1365,'JOBS'!$A$5:$A$1504,0)),""))</f>
        <v/>
      </c>
      <c r="J1365" s="55">
        <f>IF(C1365="","",ROUND(C1365*IF(IFERROR(INDEX('SETTINGS'!$K$5:$K$24,MATCH(E1365,'SETTINGS'!$J$5:$J$24,0)),"No")="Yes",FeePct,0),2))</f>
        <v/>
      </c>
      <c r="K1365" s="51">
        <f>IF(A1365="","",DATE(YEAR(A1365),MONTH(A1365),1))</f>
        <v/>
      </c>
    </row>
    <row r="1366">
      <c r="A1366" s="47" t="n"/>
      <c r="B1366" s="38" t="n"/>
      <c r="C1366" s="48" t="n"/>
      <c r="D1366" s="48" t="n"/>
      <c r="E1366" s="38" t="n"/>
      <c r="F1366" s="38" t="n"/>
      <c r="G1366" s="38" t="n"/>
      <c r="H1366" s="49">
        <f>IF(B1366="","",IFERROR(INDEX('JOBS'!$D$5:$D$1504,MATCH(B1366,'JOBS'!$A$5:$A$1504,0)),"Job ID not found"))</f>
        <v/>
      </c>
      <c r="I1366" s="49">
        <f>IF(B1366="","",IFERROR(INDEX('JOBS'!$F$5:$F$1504,MATCH(B1366,'JOBS'!$A$5:$A$1504,0)),""))</f>
        <v/>
      </c>
      <c r="J1366" s="55">
        <f>IF(C1366="","",ROUND(C1366*IF(IFERROR(INDEX('SETTINGS'!$K$5:$K$24,MATCH(E1366,'SETTINGS'!$J$5:$J$24,0)),"No")="Yes",FeePct,0),2))</f>
        <v/>
      </c>
      <c r="K1366" s="51">
        <f>IF(A1366="","",DATE(YEAR(A1366),MONTH(A1366),1))</f>
        <v/>
      </c>
    </row>
    <row r="1367">
      <c r="A1367" s="47" t="n"/>
      <c r="B1367" s="38" t="n"/>
      <c r="C1367" s="48" t="n"/>
      <c r="D1367" s="48" t="n"/>
      <c r="E1367" s="38" t="n"/>
      <c r="F1367" s="38" t="n"/>
      <c r="G1367" s="38" t="n"/>
      <c r="H1367" s="49">
        <f>IF(B1367="","",IFERROR(INDEX('JOBS'!$D$5:$D$1504,MATCH(B1367,'JOBS'!$A$5:$A$1504,0)),"Job ID not found"))</f>
        <v/>
      </c>
      <c r="I1367" s="49">
        <f>IF(B1367="","",IFERROR(INDEX('JOBS'!$F$5:$F$1504,MATCH(B1367,'JOBS'!$A$5:$A$1504,0)),""))</f>
        <v/>
      </c>
      <c r="J1367" s="55">
        <f>IF(C1367="","",ROUND(C1367*IF(IFERROR(INDEX('SETTINGS'!$K$5:$K$24,MATCH(E1367,'SETTINGS'!$J$5:$J$24,0)),"No")="Yes",FeePct,0),2))</f>
        <v/>
      </c>
      <c r="K1367" s="51">
        <f>IF(A1367="","",DATE(YEAR(A1367),MONTH(A1367),1))</f>
        <v/>
      </c>
    </row>
    <row r="1368">
      <c r="A1368" s="47" t="n"/>
      <c r="B1368" s="38" t="n"/>
      <c r="C1368" s="48" t="n"/>
      <c r="D1368" s="48" t="n"/>
      <c r="E1368" s="38" t="n"/>
      <c r="F1368" s="38" t="n"/>
      <c r="G1368" s="38" t="n"/>
      <c r="H1368" s="49">
        <f>IF(B1368="","",IFERROR(INDEX('JOBS'!$D$5:$D$1504,MATCH(B1368,'JOBS'!$A$5:$A$1504,0)),"Job ID not found"))</f>
        <v/>
      </c>
      <c r="I1368" s="49">
        <f>IF(B1368="","",IFERROR(INDEX('JOBS'!$F$5:$F$1504,MATCH(B1368,'JOBS'!$A$5:$A$1504,0)),""))</f>
        <v/>
      </c>
      <c r="J1368" s="55">
        <f>IF(C1368="","",ROUND(C1368*IF(IFERROR(INDEX('SETTINGS'!$K$5:$K$24,MATCH(E1368,'SETTINGS'!$J$5:$J$24,0)),"No")="Yes",FeePct,0),2))</f>
        <v/>
      </c>
      <c r="K1368" s="51">
        <f>IF(A1368="","",DATE(YEAR(A1368),MONTH(A1368),1))</f>
        <v/>
      </c>
    </row>
    <row r="1369">
      <c r="A1369" s="47" t="n"/>
      <c r="B1369" s="38" t="n"/>
      <c r="C1369" s="48" t="n"/>
      <c r="D1369" s="48" t="n"/>
      <c r="E1369" s="38" t="n"/>
      <c r="F1369" s="38" t="n"/>
      <c r="G1369" s="38" t="n"/>
      <c r="H1369" s="49">
        <f>IF(B1369="","",IFERROR(INDEX('JOBS'!$D$5:$D$1504,MATCH(B1369,'JOBS'!$A$5:$A$1504,0)),"Job ID not found"))</f>
        <v/>
      </c>
      <c r="I1369" s="49">
        <f>IF(B1369="","",IFERROR(INDEX('JOBS'!$F$5:$F$1504,MATCH(B1369,'JOBS'!$A$5:$A$1504,0)),""))</f>
        <v/>
      </c>
      <c r="J1369" s="55">
        <f>IF(C1369="","",ROUND(C1369*IF(IFERROR(INDEX('SETTINGS'!$K$5:$K$24,MATCH(E1369,'SETTINGS'!$J$5:$J$24,0)),"No")="Yes",FeePct,0),2))</f>
        <v/>
      </c>
      <c r="K1369" s="51">
        <f>IF(A1369="","",DATE(YEAR(A1369),MONTH(A1369),1))</f>
        <v/>
      </c>
    </row>
    <row r="1370">
      <c r="A1370" s="47" t="n"/>
      <c r="B1370" s="38" t="n"/>
      <c r="C1370" s="48" t="n"/>
      <c r="D1370" s="48" t="n"/>
      <c r="E1370" s="38" t="n"/>
      <c r="F1370" s="38" t="n"/>
      <c r="G1370" s="38" t="n"/>
      <c r="H1370" s="49">
        <f>IF(B1370="","",IFERROR(INDEX('JOBS'!$D$5:$D$1504,MATCH(B1370,'JOBS'!$A$5:$A$1504,0)),"Job ID not found"))</f>
        <v/>
      </c>
      <c r="I1370" s="49">
        <f>IF(B1370="","",IFERROR(INDEX('JOBS'!$F$5:$F$1504,MATCH(B1370,'JOBS'!$A$5:$A$1504,0)),""))</f>
        <v/>
      </c>
      <c r="J1370" s="55">
        <f>IF(C1370="","",ROUND(C1370*IF(IFERROR(INDEX('SETTINGS'!$K$5:$K$24,MATCH(E1370,'SETTINGS'!$J$5:$J$24,0)),"No")="Yes",FeePct,0),2))</f>
        <v/>
      </c>
      <c r="K1370" s="51">
        <f>IF(A1370="","",DATE(YEAR(A1370),MONTH(A1370),1))</f>
        <v/>
      </c>
    </row>
    <row r="1371">
      <c r="A1371" s="47" t="n"/>
      <c r="B1371" s="38" t="n"/>
      <c r="C1371" s="48" t="n"/>
      <c r="D1371" s="48" t="n"/>
      <c r="E1371" s="38" t="n"/>
      <c r="F1371" s="38" t="n"/>
      <c r="G1371" s="38" t="n"/>
      <c r="H1371" s="49">
        <f>IF(B1371="","",IFERROR(INDEX('JOBS'!$D$5:$D$1504,MATCH(B1371,'JOBS'!$A$5:$A$1504,0)),"Job ID not found"))</f>
        <v/>
      </c>
      <c r="I1371" s="49">
        <f>IF(B1371="","",IFERROR(INDEX('JOBS'!$F$5:$F$1504,MATCH(B1371,'JOBS'!$A$5:$A$1504,0)),""))</f>
        <v/>
      </c>
      <c r="J1371" s="55">
        <f>IF(C1371="","",ROUND(C1371*IF(IFERROR(INDEX('SETTINGS'!$K$5:$K$24,MATCH(E1371,'SETTINGS'!$J$5:$J$24,0)),"No")="Yes",FeePct,0),2))</f>
        <v/>
      </c>
      <c r="K1371" s="51">
        <f>IF(A1371="","",DATE(YEAR(A1371),MONTH(A1371),1))</f>
        <v/>
      </c>
    </row>
    <row r="1372">
      <c r="A1372" s="47" t="n"/>
      <c r="B1372" s="38" t="n"/>
      <c r="C1372" s="48" t="n"/>
      <c r="D1372" s="48" t="n"/>
      <c r="E1372" s="38" t="n"/>
      <c r="F1372" s="38" t="n"/>
      <c r="G1372" s="38" t="n"/>
      <c r="H1372" s="49">
        <f>IF(B1372="","",IFERROR(INDEX('JOBS'!$D$5:$D$1504,MATCH(B1372,'JOBS'!$A$5:$A$1504,0)),"Job ID not found"))</f>
        <v/>
      </c>
      <c r="I1372" s="49">
        <f>IF(B1372="","",IFERROR(INDEX('JOBS'!$F$5:$F$1504,MATCH(B1372,'JOBS'!$A$5:$A$1504,0)),""))</f>
        <v/>
      </c>
      <c r="J1372" s="55">
        <f>IF(C1372="","",ROUND(C1372*IF(IFERROR(INDEX('SETTINGS'!$K$5:$K$24,MATCH(E1372,'SETTINGS'!$J$5:$J$24,0)),"No")="Yes",FeePct,0),2))</f>
        <v/>
      </c>
      <c r="K1372" s="51">
        <f>IF(A1372="","",DATE(YEAR(A1372),MONTH(A1372),1))</f>
        <v/>
      </c>
    </row>
    <row r="1373">
      <c r="A1373" s="47" t="n"/>
      <c r="B1373" s="38" t="n"/>
      <c r="C1373" s="48" t="n"/>
      <c r="D1373" s="48" t="n"/>
      <c r="E1373" s="38" t="n"/>
      <c r="F1373" s="38" t="n"/>
      <c r="G1373" s="38" t="n"/>
      <c r="H1373" s="49">
        <f>IF(B1373="","",IFERROR(INDEX('JOBS'!$D$5:$D$1504,MATCH(B1373,'JOBS'!$A$5:$A$1504,0)),"Job ID not found"))</f>
        <v/>
      </c>
      <c r="I1373" s="49">
        <f>IF(B1373="","",IFERROR(INDEX('JOBS'!$F$5:$F$1504,MATCH(B1373,'JOBS'!$A$5:$A$1504,0)),""))</f>
        <v/>
      </c>
      <c r="J1373" s="55">
        <f>IF(C1373="","",ROUND(C1373*IF(IFERROR(INDEX('SETTINGS'!$K$5:$K$24,MATCH(E1373,'SETTINGS'!$J$5:$J$24,0)),"No")="Yes",FeePct,0),2))</f>
        <v/>
      </c>
      <c r="K1373" s="51">
        <f>IF(A1373="","",DATE(YEAR(A1373),MONTH(A1373),1))</f>
        <v/>
      </c>
    </row>
    <row r="1374">
      <c r="A1374" s="47" t="n"/>
      <c r="B1374" s="38" t="n"/>
      <c r="C1374" s="48" t="n"/>
      <c r="D1374" s="48" t="n"/>
      <c r="E1374" s="38" t="n"/>
      <c r="F1374" s="38" t="n"/>
      <c r="G1374" s="38" t="n"/>
      <c r="H1374" s="49">
        <f>IF(B1374="","",IFERROR(INDEX('JOBS'!$D$5:$D$1504,MATCH(B1374,'JOBS'!$A$5:$A$1504,0)),"Job ID not found"))</f>
        <v/>
      </c>
      <c r="I1374" s="49">
        <f>IF(B1374="","",IFERROR(INDEX('JOBS'!$F$5:$F$1504,MATCH(B1374,'JOBS'!$A$5:$A$1504,0)),""))</f>
        <v/>
      </c>
      <c r="J1374" s="55">
        <f>IF(C1374="","",ROUND(C1374*IF(IFERROR(INDEX('SETTINGS'!$K$5:$K$24,MATCH(E1374,'SETTINGS'!$J$5:$J$24,0)),"No")="Yes",FeePct,0),2))</f>
        <v/>
      </c>
      <c r="K1374" s="51">
        <f>IF(A1374="","",DATE(YEAR(A1374),MONTH(A1374),1))</f>
        <v/>
      </c>
    </row>
    <row r="1375">
      <c r="A1375" s="47" t="n"/>
      <c r="B1375" s="38" t="n"/>
      <c r="C1375" s="48" t="n"/>
      <c r="D1375" s="48" t="n"/>
      <c r="E1375" s="38" t="n"/>
      <c r="F1375" s="38" t="n"/>
      <c r="G1375" s="38" t="n"/>
      <c r="H1375" s="49">
        <f>IF(B1375="","",IFERROR(INDEX('JOBS'!$D$5:$D$1504,MATCH(B1375,'JOBS'!$A$5:$A$1504,0)),"Job ID not found"))</f>
        <v/>
      </c>
      <c r="I1375" s="49">
        <f>IF(B1375="","",IFERROR(INDEX('JOBS'!$F$5:$F$1504,MATCH(B1375,'JOBS'!$A$5:$A$1504,0)),""))</f>
        <v/>
      </c>
      <c r="J1375" s="55">
        <f>IF(C1375="","",ROUND(C1375*IF(IFERROR(INDEX('SETTINGS'!$K$5:$K$24,MATCH(E1375,'SETTINGS'!$J$5:$J$24,0)),"No")="Yes",FeePct,0),2))</f>
        <v/>
      </c>
      <c r="K1375" s="51">
        <f>IF(A1375="","",DATE(YEAR(A1375),MONTH(A1375),1))</f>
        <v/>
      </c>
    </row>
    <row r="1376">
      <c r="A1376" s="47" t="n"/>
      <c r="B1376" s="38" t="n"/>
      <c r="C1376" s="48" t="n"/>
      <c r="D1376" s="48" t="n"/>
      <c r="E1376" s="38" t="n"/>
      <c r="F1376" s="38" t="n"/>
      <c r="G1376" s="38" t="n"/>
      <c r="H1376" s="49">
        <f>IF(B1376="","",IFERROR(INDEX('JOBS'!$D$5:$D$1504,MATCH(B1376,'JOBS'!$A$5:$A$1504,0)),"Job ID not found"))</f>
        <v/>
      </c>
      <c r="I1376" s="49">
        <f>IF(B1376="","",IFERROR(INDEX('JOBS'!$F$5:$F$1504,MATCH(B1376,'JOBS'!$A$5:$A$1504,0)),""))</f>
        <v/>
      </c>
      <c r="J1376" s="55">
        <f>IF(C1376="","",ROUND(C1376*IF(IFERROR(INDEX('SETTINGS'!$K$5:$K$24,MATCH(E1376,'SETTINGS'!$J$5:$J$24,0)),"No")="Yes",FeePct,0),2))</f>
        <v/>
      </c>
      <c r="K1376" s="51">
        <f>IF(A1376="","",DATE(YEAR(A1376),MONTH(A1376),1))</f>
        <v/>
      </c>
    </row>
    <row r="1377">
      <c r="A1377" s="47" t="n"/>
      <c r="B1377" s="38" t="n"/>
      <c r="C1377" s="48" t="n"/>
      <c r="D1377" s="48" t="n"/>
      <c r="E1377" s="38" t="n"/>
      <c r="F1377" s="38" t="n"/>
      <c r="G1377" s="38" t="n"/>
      <c r="H1377" s="49">
        <f>IF(B1377="","",IFERROR(INDEX('JOBS'!$D$5:$D$1504,MATCH(B1377,'JOBS'!$A$5:$A$1504,0)),"Job ID not found"))</f>
        <v/>
      </c>
      <c r="I1377" s="49">
        <f>IF(B1377="","",IFERROR(INDEX('JOBS'!$F$5:$F$1504,MATCH(B1377,'JOBS'!$A$5:$A$1504,0)),""))</f>
        <v/>
      </c>
      <c r="J1377" s="55">
        <f>IF(C1377="","",ROUND(C1377*IF(IFERROR(INDEX('SETTINGS'!$K$5:$K$24,MATCH(E1377,'SETTINGS'!$J$5:$J$24,0)),"No")="Yes",FeePct,0),2))</f>
        <v/>
      </c>
      <c r="K1377" s="51">
        <f>IF(A1377="","",DATE(YEAR(A1377),MONTH(A1377),1))</f>
        <v/>
      </c>
    </row>
    <row r="1378">
      <c r="A1378" s="47" t="n"/>
      <c r="B1378" s="38" t="n"/>
      <c r="C1378" s="48" t="n"/>
      <c r="D1378" s="48" t="n"/>
      <c r="E1378" s="38" t="n"/>
      <c r="F1378" s="38" t="n"/>
      <c r="G1378" s="38" t="n"/>
      <c r="H1378" s="49">
        <f>IF(B1378="","",IFERROR(INDEX('JOBS'!$D$5:$D$1504,MATCH(B1378,'JOBS'!$A$5:$A$1504,0)),"Job ID not found"))</f>
        <v/>
      </c>
      <c r="I1378" s="49">
        <f>IF(B1378="","",IFERROR(INDEX('JOBS'!$F$5:$F$1504,MATCH(B1378,'JOBS'!$A$5:$A$1504,0)),""))</f>
        <v/>
      </c>
      <c r="J1378" s="55">
        <f>IF(C1378="","",ROUND(C1378*IF(IFERROR(INDEX('SETTINGS'!$K$5:$K$24,MATCH(E1378,'SETTINGS'!$J$5:$J$24,0)),"No")="Yes",FeePct,0),2))</f>
        <v/>
      </c>
      <c r="K1378" s="51">
        <f>IF(A1378="","",DATE(YEAR(A1378),MONTH(A1378),1))</f>
        <v/>
      </c>
    </row>
    <row r="1379">
      <c r="A1379" s="47" t="n"/>
      <c r="B1379" s="38" t="n"/>
      <c r="C1379" s="48" t="n"/>
      <c r="D1379" s="48" t="n"/>
      <c r="E1379" s="38" t="n"/>
      <c r="F1379" s="38" t="n"/>
      <c r="G1379" s="38" t="n"/>
      <c r="H1379" s="49">
        <f>IF(B1379="","",IFERROR(INDEX('JOBS'!$D$5:$D$1504,MATCH(B1379,'JOBS'!$A$5:$A$1504,0)),"Job ID not found"))</f>
        <v/>
      </c>
      <c r="I1379" s="49">
        <f>IF(B1379="","",IFERROR(INDEX('JOBS'!$F$5:$F$1504,MATCH(B1379,'JOBS'!$A$5:$A$1504,0)),""))</f>
        <v/>
      </c>
      <c r="J1379" s="55">
        <f>IF(C1379="","",ROUND(C1379*IF(IFERROR(INDEX('SETTINGS'!$K$5:$K$24,MATCH(E1379,'SETTINGS'!$J$5:$J$24,0)),"No")="Yes",FeePct,0),2))</f>
        <v/>
      </c>
      <c r="K1379" s="51">
        <f>IF(A1379="","",DATE(YEAR(A1379),MONTH(A1379),1))</f>
        <v/>
      </c>
    </row>
    <row r="1380">
      <c r="A1380" s="47" t="n"/>
      <c r="B1380" s="38" t="n"/>
      <c r="C1380" s="48" t="n"/>
      <c r="D1380" s="48" t="n"/>
      <c r="E1380" s="38" t="n"/>
      <c r="F1380" s="38" t="n"/>
      <c r="G1380" s="38" t="n"/>
      <c r="H1380" s="49">
        <f>IF(B1380="","",IFERROR(INDEX('JOBS'!$D$5:$D$1504,MATCH(B1380,'JOBS'!$A$5:$A$1504,0)),"Job ID not found"))</f>
        <v/>
      </c>
      <c r="I1380" s="49">
        <f>IF(B1380="","",IFERROR(INDEX('JOBS'!$F$5:$F$1504,MATCH(B1380,'JOBS'!$A$5:$A$1504,0)),""))</f>
        <v/>
      </c>
      <c r="J1380" s="55">
        <f>IF(C1380="","",ROUND(C1380*IF(IFERROR(INDEX('SETTINGS'!$K$5:$K$24,MATCH(E1380,'SETTINGS'!$J$5:$J$24,0)),"No")="Yes",FeePct,0),2))</f>
        <v/>
      </c>
      <c r="K1380" s="51">
        <f>IF(A1380="","",DATE(YEAR(A1380),MONTH(A1380),1))</f>
        <v/>
      </c>
    </row>
    <row r="1381">
      <c r="A1381" s="47" t="n"/>
      <c r="B1381" s="38" t="n"/>
      <c r="C1381" s="48" t="n"/>
      <c r="D1381" s="48" t="n"/>
      <c r="E1381" s="38" t="n"/>
      <c r="F1381" s="38" t="n"/>
      <c r="G1381" s="38" t="n"/>
      <c r="H1381" s="49">
        <f>IF(B1381="","",IFERROR(INDEX('JOBS'!$D$5:$D$1504,MATCH(B1381,'JOBS'!$A$5:$A$1504,0)),"Job ID not found"))</f>
        <v/>
      </c>
      <c r="I1381" s="49">
        <f>IF(B1381="","",IFERROR(INDEX('JOBS'!$F$5:$F$1504,MATCH(B1381,'JOBS'!$A$5:$A$1504,0)),""))</f>
        <v/>
      </c>
      <c r="J1381" s="55">
        <f>IF(C1381="","",ROUND(C1381*IF(IFERROR(INDEX('SETTINGS'!$K$5:$K$24,MATCH(E1381,'SETTINGS'!$J$5:$J$24,0)),"No")="Yes",FeePct,0),2))</f>
        <v/>
      </c>
      <c r="K1381" s="51">
        <f>IF(A1381="","",DATE(YEAR(A1381),MONTH(A1381),1))</f>
        <v/>
      </c>
    </row>
    <row r="1382">
      <c r="A1382" s="47" t="n"/>
      <c r="B1382" s="38" t="n"/>
      <c r="C1382" s="48" t="n"/>
      <c r="D1382" s="48" t="n"/>
      <c r="E1382" s="38" t="n"/>
      <c r="F1382" s="38" t="n"/>
      <c r="G1382" s="38" t="n"/>
      <c r="H1382" s="49">
        <f>IF(B1382="","",IFERROR(INDEX('JOBS'!$D$5:$D$1504,MATCH(B1382,'JOBS'!$A$5:$A$1504,0)),"Job ID not found"))</f>
        <v/>
      </c>
      <c r="I1382" s="49">
        <f>IF(B1382="","",IFERROR(INDEX('JOBS'!$F$5:$F$1504,MATCH(B1382,'JOBS'!$A$5:$A$1504,0)),""))</f>
        <v/>
      </c>
      <c r="J1382" s="55">
        <f>IF(C1382="","",ROUND(C1382*IF(IFERROR(INDEX('SETTINGS'!$K$5:$K$24,MATCH(E1382,'SETTINGS'!$J$5:$J$24,0)),"No")="Yes",FeePct,0),2))</f>
        <v/>
      </c>
      <c r="K1382" s="51">
        <f>IF(A1382="","",DATE(YEAR(A1382),MONTH(A1382),1))</f>
        <v/>
      </c>
    </row>
    <row r="1383">
      <c r="A1383" s="47" t="n"/>
      <c r="B1383" s="38" t="n"/>
      <c r="C1383" s="48" t="n"/>
      <c r="D1383" s="48" t="n"/>
      <c r="E1383" s="38" t="n"/>
      <c r="F1383" s="38" t="n"/>
      <c r="G1383" s="38" t="n"/>
      <c r="H1383" s="49">
        <f>IF(B1383="","",IFERROR(INDEX('JOBS'!$D$5:$D$1504,MATCH(B1383,'JOBS'!$A$5:$A$1504,0)),"Job ID not found"))</f>
        <v/>
      </c>
      <c r="I1383" s="49">
        <f>IF(B1383="","",IFERROR(INDEX('JOBS'!$F$5:$F$1504,MATCH(B1383,'JOBS'!$A$5:$A$1504,0)),""))</f>
        <v/>
      </c>
      <c r="J1383" s="55">
        <f>IF(C1383="","",ROUND(C1383*IF(IFERROR(INDEX('SETTINGS'!$K$5:$K$24,MATCH(E1383,'SETTINGS'!$J$5:$J$24,0)),"No")="Yes",FeePct,0),2))</f>
        <v/>
      </c>
      <c r="K1383" s="51">
        <f>IF(A1383="","",DATE(YEAR(A1383),MONTH(A1383),1))</f>
        <v/>
      </c>
    </row>
    <row r="1384">
      <c r="A1384" s="47" t="n"/>
      <c r="B1384" s="38" t="n"/>
      <c r="C1384" s="48" t="n"/>
      <c r="D1384" s="48" t="n"/>
      <c r="E1384" s="38" t="n"/>
      <c r="F1384" s="38" t="n"/>
      <c r="G1384" s="38" t="n"/>
      <c r="H1384" s="49">
        <f>IF(B1384="","",IFERROR(INDEX('JOBS'!$D$5:$D$1504,MATCH(B1384,'JOBS'!$A$5:$A$1504,0)),"Job ID not found"))</f>
        <v/>
      </c>
      <c r="I1384" s="49">
        <f>IF(B1384="","",IFERROR(INDEX('JOBS'!$F$5:$F$1504,MATCH(B1384,'JOBS'!$A$5:$A$1504,0)),""))</f>
        <v/>
      </c>
      <c r="J1384" s="55">
        <f>IF(C1384="","",ROUND(C1384*IF(IFERROR(INDEX('SETTINGS'!$K$5:$K$24,MATCH(E1384,'SETTINGS'!$J$5:$J$24,0)),"No")="Yes",FeePct,0),2))</f>
        <v/>
      </c>
      <c r="K1384" s="51">
        <f>IF(A1384="","",DATE(YEAR(A1384),MONTH(A1384),1))</f>
        <v/>
      </c>
    </row>
    <row r="1385">
      <c r="A1385" s="47" t="n"/>
      <c r="B1385" s="38" t="n"/>
      <c r="C1385" s="48" t="n"/>
      <c r="D1385" s="48" t="n"/>
      <c r="E1385" s="38" t="n"/>
      <c r="F1385" s="38" t="n"/>
      <c r="G1385" s="38" t="n"/>
      <c r="H1385" s="49">
        <f>IF(B1385="","",IFERROR(INDEX('JOBS'!$D$5:$D$1504,MATCH(B1385,'JOBS'!$A$5:$A$1504,0)),"Job ID not found"))</f>
        <v/>
      </c>
      <c r="I1385" s="49">
        <f>IF(B1385="","",IFERROR(INDEX('JOBS'!$F$5:$F$1504,MATCH(B1385,'JOBS'!$A$5:$A$1504,0)),""))</f>
        <v/>
      </c>
      <c r="J1385" s="55">
        <f>IF(C1385="","",ROUND(C1385*IF(IFERROR(INDEX('SETTINGS'!$K$5:$K$24,MATCH(E1385,'SETTINGS'!$J$5:$J$24,0)),"No")="Yes",FeePct,0),2))</f>
        <v/>
      </c>
      <c r="K1385" s="51">
        <f>IF(A1385="","",DATE(YEAR(A1385),MONTH(A1385),1))</f>
        <v/>
      </c>
    </row>
    <row r="1386">
      <c r="A1386" s="47" t="n"/>
      <c r="B1386" s="38" t="n"/>
      <c r="C1386" s="48" t="n"/>
      <c r="D1386" s="48" t="n"/>
      <c r="E1386" s="38" t="n"/>
      <c r="F1386" s="38" t="n"/>
      <c r="G1386" s="38" t="n"/>
      <c r="H1386" s="49">
        <f>IF(B1386="","",IFERROR(INDEX('JOBS'!$D$5:$D$1504,MATCH(B1386,'JOBS'!$A$5:$A$1504,0)),"Job ID not found"))</f>
        <v/>
      </c>
      <c r="I1386" s="49">
        <f>IF(B1386="","",IFERROR(INDEX('JOBS'!$F$5:$F$1504,MATCH(B1386,'JOBS'!$A$5:$A$1504,0)),""))</f>
        <v/>
      </c>
      <c r="J1386" s="55">
        <f>IF(C1386="","",ROUND(C1386*IF(IFERROR(INDEX('SETTINGS'!$K$5:$K$24,MATCH(E1386,'SETTINGS'!$J$5:$J$24,0)),"No")="Yes",FeePct,0),2))</f>
        <v/>
      </c>
      <c r="K1386" s="51">
        <f>IF(A1386="","",DATE(YEAR(A1386),MONTH(A1386),1))</f>
        <v/>
      </c>
    </row>
    <row r="1387">
      <c r="A1387" s="47" t="n"/>
      <c r="B1387" s="38" t="n"/>
      <c r="C1387" s="48" t="n"/>
      <c r="D1387" s="48" t="n"/>
      <c r="E1387" s="38" t="n"/>
      <c r="F1387" s="38" t="n"/>
      <c r="G1387" s="38" t="n"/>
      <c r="H1387" s="49">
        <f>IF(B1387="","",IFERROR(INDEX('JOBS'!$D$5:$D$1504,MATCH(B1387,'JOBS'!$A$5:$A$1504,0)),"Job ID not found"))</f>
        <v/>
      </c>
      <c r="I1387" s="49">
        <f>IF(B1387="","",IFERROR(INDEX('JOBS'!$F$5:$F$1504,MATCH(B1387,'JOBS'!$A$5:$A$1504,0)),""))</f>
        <v/>
      </c>
      <c r="J1387" s="55">
        <f>IF(C1387="","",ROUND(C1387*IF(IFERROR(INDEX('SETTINGS'!$K$5:$K$24,MATCH(E1387,'SETTINGS'!$J$5:$J$24,0)),"No")="Yes",FeePct,0),2))</f>
        <v/>
      </c>
      <c r="K1387" s="51">
        <f>IF(A1387="","",DATE(YEAR(A1387),MONTH(A1387),1))</f>
        <v/>
      </c>
    </row>
    <row r="1388">
      <c r="A1388" s="47" t="n"/>
      <c r="B1388" s="38" t="n"/>
      <c r="C1388" s="48" t="n"/>
      <c r="D1388" s="48" t="n"/>
      <c r="E1388" s="38" t="n"/>
      <c r="F1388" s="38" t="n"/>
      <c r="G1388" s="38" t="n"/>
      <c r="H1388" s="49">
        <f>IF(B1388="","",IFERROR(INDEX('JOBS'!$D$5:$D$1504,MATCH(B1388,'JOBS'!$A$5:$A$1504,0)),"Job ID not found"))</f>
        <v/>
      </c>
      <c r="I1388" s="49">
        <f>IF(B1388="","",IFERROR(INDEX('JOBS'!$F$5:$F$1504,MATCH(B1388,'JOBS'!$A$5:$A$1504,0)),""))</f>
        <v/>
      </c>
      <c r="J1388" s="55">
        <f>IF(C1388="","",ROUND(C1388*IF(IFERROR(INDEX('SETTINGS'!$K$5:$K$24,MATCH(E1388,'SETTINGS'!$J$5:$J$24,0)),"No")="Yes",FeePct,0),2))</f>
        <v/>
      </c>
      <c r="K1388" s="51">
        <f>IF(A1388="","",DATE(YEAR(A1388),MONTH(A1388),1))</f>
        <v/>
      </c>
    </row>
    <row r="1389">
      <c r="A1389" s="47" t="n"/>
      <c r="B1389" s="38" t="n"/>
      <c r="C1389" s="48" t="n"/>
      <c r="D1389" s="48" t="n"/>
      <c r="E1389" s="38" t="n"/>
      <c r="F1389" s="38" t="n"/>
      <c r="G1389" s="38" t="n"/>
      <c r="H1389" s="49">
        <f>IF(B1389="","",IFERROR(INDEX('JOBS'!$D$5:$D$1504,MATCH(B1389,'JOBS'!$A$5:$A$1504,0)),"Job ID not found"))</f>
        <v/>
      </c>
      <c r="I1389" s="49">
        <f>IF(B1389="","",IFERROR(INDEX('JOBS'!$F$5:$F$1504,MATCH(B1389,'JOBS'!$A$5:$A$1504,0)),""))</f>
        <v/>
      </c>
      <c r="J1389" s="55">
        <f>IF(C1389="","",ROUND(C1389*IF(IFERROR(INDEX('SETTINGS'!$K$5:$K$24,MATCH(E1389,'SETTINGS'!$J$5:$J$24,0)),"No")="Yes",FeePct,0),2))</f>
        <v/>
      </c>
      <c r="K1389" s="51">
        <f>IF(A1389="","",DATE(YEAR(A1389),MONTH(A1389),1))</f>
        <v/>
      </c>
    </row>
    <row r="1390">
      <c r="A1390" s="47" t="n"/>
      <c r="B1390" s="38" t="n"/>
      <c r="C1390" s="48" t="n"/>
      <c r="D1390" s="48" t="n"/>
      <c r="E1390" s="38" t="n"/>
      <c r="F1390" s="38" t="n"/>
      <c r="G1390" s="38" t="n"/>
      <c r="H1390" s="49">
        <f>IF(B1390="","",IFERROR(INDEX('JOBS'!$D$5:$D$1504,MATCH(B1390,'JOBS'!$A$5:$A$1504,0)),"Job ID not found"))</f>
        <v/>
      </c>
      <c r="I1390" s="49">
        <f>IF(B1390="","",IFERROR(INDEX('JOBS'!$F$5:$F$1504,MATCH(B1390,'JOBS'!$A$5:$A$1504,0)),""))</f>
        <v/>
      </c>
      <c r="J1390" s="55">
        <f>IF(C1390="","",ROUND(C1390*IF(IFERROR(INDEX('SETTINGS'!$K$5:$K$24,MATCH(E1390,'SETTINGS'!$J$5:$J$24,0)),"No")="Yes",FeePct,0),2))</f>
        <v/>
      </c>
      <c r="K1390" s="51">
        <f>IF(A1390="","",DATE(YEAR(A1390),MONTH(A1390),1))</f>
        <v/>
      </c>
    </row>
    <row r="1391">
      <c r="A1391" s="47" t="n"/>
      <c r="B1391" s="38" t="n"/>
      <c r="C1391" s="48" t="n"/>
      <c r="D1391" s="48" t="n"/>
      <c r="E1391" s="38" t="n"/>
      <c r="F1391" s="38" t="n"/>
      <c r="G1391" s="38" t="n"/>
      <c r="H1391" s="49">
        <f>IF(B1391="","",IFERROR(INDEX('JOBS'!$D$5:$D$1504,MATCH(B1391,'JOBS'!$A$5:$A$1504,0)),"Job ID not found"))</f>
        <v/>
      </c>
      <c r="I1391" s="49">
        <f>IF(B1391="","",IFERROR(INDEX('JOBS'!$F$5:$F$1504,MATCH(B1391,'JOBS'!$A$5:$A$1504,0)),""))</f>
        <v/>
      </c>
      <c r="J1391" s="55">
        <f>IF(C1391="","",ROUND(C1391*IF(IFERROR(INDEX('SETTINGS'!$K$5:$K$24,MATCH(E1391,'SETTINGS'!$J$5:$J$24,0)),"No")="Yes",FeePct,0),2))</f>
        <v/>
      </c>
      <c r="K1391" s="51">
        <f>IF(A1391="","",DATE(YEAR(A1391),MONTH(A1391),1))</f>
        <v/>
      </c>
    </row>
    <row r="1392">
      <c r="A1392" s="47" t="n"/>
      <c r="B1392" s="38" t="n"/>
      <c r="C1392" s="48" t="n"/>
      <c r="D1392" s="48" t="n"/>
      <c r="E1392" s="38" t="n"/>
      <c r="F1392" s="38" t="n"/>
      <c r="G1392" s="38" t="n"/>
      <c r="H1392" s="49">
        <f>IF(B1392="","",IFERROR(INDEX('JOBS'!$D$5:$D$1504,MATCH(B1392,'JOBS'!$A$5:$A$1504,0)),"Job ID not found"))</f>
        <v/>
      </c>
      <c r="I1392" s="49">
        <f>IF(B1392="","",IFERROR(INDEX('JOBS'!$F$5:$F$1504,MATCH(B1392,'JOBS'!$A$5:$A$1504,0)),""))</f>
        <v/>
      </c>
      <c r="J1392" s="55">
        <f>IF(C1392="","",ROUND(C1392*IF(IFERROR(INDEX('SETTINGS'!$K$5:$K$24,MATCH(E1392,'SETTINGS'!$J$5:$J$24,0)),"No")="Yes",FeePct,0),2))</f>
        <v/>
      </c>
      <c r="K1392" s="51">
        <f>IF(A1392="","",DATE(YEAR(A1392),MONTH(A1392),1))</f>
        <v/>
      </c>
    </row>
    <row r="1393">
      <c r="A1393" s="47" t="n"/>
      <c r="B1393" s="38" t="n"/>
      <c r="C1393" s="48" t="n"/>
      <c r="D1393" s="48" t="n"/>
      <c r="E1393" s="38" t="n"/>
      <c r="F1393" s="38" t="n"/>
      <c r="G1393" s="38" t="n"/>
      <c r="H1393" s="49">
        <f>IF(B1393="","",IFERROR(INDEX('JOBS'!$D$5:$D$1504,MATCH(B1393,'JOBS'!$A$5:$A$1504,0)),"Job ID not found"))</f>
        <v/>
      </c>
      <c r="I1393" s="49">
        <f>IF(B1393="","",IFERROR(INDEX('JOBS'!$F$5:$F$1504,MATCH(B1393,'JOBS'!$A$5:$A$1504,0)),""))</f>
        <v/>
      </c>
      <c r="J1393" s="55">
        <f>IF(C1393="","",ROUND(C1393*IF(IFERROR(INDEX('SETTINGS'!$K$5:$K$24,MATCH(E1393,'SETTINGS'!$J$5:$J$24,0)),"No")="Yes",FeePct,0),2))</f>
        <v/>
      </c>
      <c r="K1393" s="51">
        <f>IF(A1393="","",DATE(YEAR(A1393),MONTH(A1393),1))</f>
        <v/>
      </c>
    </row>
    <row r="1394">
      <c r="A1394" s="47" t="n"/>
      <c r="B1394" s="38" t="n"/>
      <c r="C1394" s="48" t="n"/>
      <c r="D1394" s="48" t="n"/>
      <c r="E1394" s="38" t="n"/>
      <c r="F1394" s="38" t="n"/>
      <c r="G1394" s="38" t="n"/>
      <c r="H1394" s="49">
        <f>IF(B1394="","",IFERROR(INDEX('JOBS'!$D$5:$D$1504,MATCH(B1394,'JOBS'!$A$5:$A$1504,0)),"Job ID not found"))</f>
        <v/>
      </c>
      <c r="I1394" s="49">
        <f>IF(B1394="","",IFERROR(INDEX('JOBS'!$F$5:$F$1504,MATCH(B1394,'JOBS'!$A$5:$A$1504,0)),""))</f>
        <v/>
      </c>
      <c r="J1394" s="55">
        <f>IF(C1394="","",ROUND(C1394*IF(IFERROR(INDEX('SETTINGS'!$K$5:$K$24,MATCH(E1394,'SETTINGS'!$J$5:$J$24,0)),"No")="Yes",FeePct,0),2))</f>
        <v/>
      </c>
      <c r="K1394" s="51">
        <f>IF(A1394="","",DATE(YEAR(A1394),MONTH(A1394),1))</f>
        <v/>
      </c>
    </row>
    <row r="1395">
      <c r="A1395" s="47" t="n"/>
      <c r="B1395" s="38" t="n"/>
      <c r="C1395" s="48" t="n"/>
      <c r="D1395" s="48" t="n"/>
      <c r="E1395" s="38" t="n"/>
      <c r="F1395" s="38" t="n"/>
      <c r="G1395" s="38" t="n"/>
      <c r="H1395" s="49">
        <f>IF(B1395="","",IFERROR(INDEX('JOBS'!$D$5:$D$1504,MATCH(B1395,'JOBS'!$A$5:$A$1504,0)),"Job ID not found"))</f>
        <v/>
      </c>
      <c r="I1395" s="49">
        <f>IF(B1395="","",IFERROR(INDEX('JOBS'!$F$5:$F$1504,MATCH(B1395,'JOBS'!$A$5:$A$1504,0)),""))</f>
        <v/>
      </c>
      <c r="J1395" s="55">
        <f>IF(C1395="","",ROUND(C1395*IF(IFERROR(INDEX('SETTINGS'!$K$5:$K$24,MATCH(E1395,'SETTINGS'!$J$5:$J$24,0)),"No")="Yes",FeePct,0),2))</f>
        <v/>
      </c>
      <c r="K1395" s="51">
        <f>IF(A1395="","",DATE(YEAR(A1395),MONTH(A1395),1))</f>
        <v/>
      </c>
    </row>
    <row r="1396">
      <c r="A1396" s="47" t="n"/>
      <c r="B1396" s="38" t="n"/>
      <c r="C1396" s="48" t="n"/>
      <c r="D1396" s="48" t="n"/>
      <c r="E1396" s="38" t="n"/>
      <c r="F1396" s="38" t="n"/>
      <c r="G1396" s="38" t="n"/>
      <c r="H1396" s="49">
        <f>IF(B1396="","",IFERROR(INDEX('JOBS'!$D$5:$D$1504,MATCH(B1396,'JOBS'!$A$5:$A$1504,0)),"Job ID not found"))</f>
        <v/>
      </c>
      <c r="I1396" s="49">
        <f>IF(B1396="","",IFERROR(INDEX('JOBS'!$F$5:$F$1504,MATCH(B1396,'JOBS'!$A$5:$A$1504,0)),""))</f>
        <v/>
      </c>
      <c r="J1396" s="55">
        <f>IF(C1396="","",ROUND(C1396*IF(IFERROR(INDEX('SETTINGS'!$K$5:$K$24,MATCH(E1396,'SETTINGS'!$J$5:$J$24,0)),"No")="Yes",FeePct,0),2))</f>
        <v/>
      </c>
      <c r="K1396" s="51">
        <f>IF(A1396="","",DATE(YEAR(A1396),MONTH(A1396),1))</f>
        <v/>
      </c>
    </row>
    <row r="1397">
      <c r="A1397" s="47" t="n"/>
      <c r="B1397" s="38" t="n"/>
      <c r="C1397" s="48" t="n"/>
      <c r="D1397" s="48" t="n"/>
      <c r="E1397" s="38" t="n"/>
      <c r="F1397" s="38" t="n"/>
      <c r="G1397" s="38" t="n"/>
      <c r="H1397" s="49">
        <f>IF(B1397="","",IFERROR(INDEX('JOBS'!$D$5:$D$1504,MATCH(B1397,'JOBS'!$A$5:$A$1504,0)),"Job ID not found"))</f>
        <v/>
      </c>
      <c r="I1397" s="49">
        <f>IF(B1397="","",IFERROR(INDEX('JOBS'!$F$5:$F$1504,MATCH(B1397,'JOBS'!$A$5:$A$1504,0)),""))</f>
        <v/>
      </c>
      <c r="J1397" s="55">
        <f>IF(C1397="","",ROUND(C1397*IF(IFERROR(INDEX('SETTINGS'!$K$5:$K$24,MATCH(E1397,'SETTINGS'!$J$5:$J$24,0)),"No")="Yes",FeePct,0),2))</f>
        <v/>
      </c>
      <c r="K1397" s="51">
        <f>IF(A1397="","",DATE(YEAR(A1397),MONTH(A1397),1))</f>
        <v/>
      </c>
    </row>
    <row r="1398">
      <c r="A1398" s="47" t="n"/>
      <c r="B1398" s="38" t="n"/>
      <c r="C1398" s="48" t="n"/>
      <c r="D1398" s="48" t="n"/>
      <c r="E1398" s="38" t="n"/>
      <c r="F1398" s="38" t="n"/>
      <c r="G1398" s="38" t="n"/>
      <c r="H1398" s="49">
        <f>IF(B1398="","",IFERROR(INDEX('JOBS'!$D$5:$D$1504,MATCH(B1398,'JOBS'!$A$5:$A$1504,0)),"Job ID not found"))</f>
        <v/>
      </c>
      <c r="I1398" s="49">
        <f>IF(B1398="","",IFERROR(INDEX('JOBS'!$F$5:$F$1504,MATCH(B1398,'JOBS'!$A$5:$A$1504,0)),""))</f>
        <v/>
      </c>
      <c r="J1398" s="55">
        <f>IF(C1398="","",ROUND(C1398*IF(IFERROR(INDEX('SETTINGS'!$K$5:$K$24,MATCH(E1398,'SETTINGS'!$J$5:$J$24,0)),"No")="Yes",FeePct,0),2))</f>
        <v/>
      </c>
      <c r="K1398" s="51">
        <f>IF(A1398="","",DATE(YEAR(A1398),MONTH(A1398),1))</f>
        <v/>
      </c>
    </row>
    <row r="1399">
      <c r="A1399" s="47" t="n"/>
      <c r="B1399" s="38" t="n"/>
      <c r="C1399" s="48" t="n"/>
      <c r="D1399" s="48" t="n"/>
      <c r="E1399" s="38" t="n"/>
      <c r="F1399" s="38" t="n"/>
      <c r="G1399" s="38" t="n"/>
      <c r="H1399" s="49">
        <f>IF(B1399="","",IFERROR(INDEX('JOBS'!$D$5:$D$1504,MATCH(B1399,'JOBS'!$A$5:$A$1504,0)),"Job ID not found"))</f>
        <v/>
      </c>
      <c r="I1399" s="49">
        <f>IF(B1399="","",IFERROR(INDEX('JOBS'!$F$5:$F$1504,MATCH(B1399,'JOBS'!$A$5:$A$1504,0)),""))</f>
        <v/>
      </c>
      <c r="J1399" s="55">
        <f>IF(C1399="","",ROUND(C1399*IF(IFERROR(INDEX('SETTINGS'!$K$5:$K$24,MATCH(E1399,'SETTINGS'!$J$5:$J$24,0)),"No")="Yes",FeePct,0),2))</f>
        <v/>
      </c>
      <c r="K1399" s="51">
        <f>IF(A1399="","",DATE(YEAR(A1399),MONTH(A1399),1))</f>
        <v/>
      </c>
    </row>
    <row r="1400">
      <c r="A1400" s="47" t="n"/>
      <c r="B1400" s="38" t="n"/>
      <c r="C1400" s="48" t="n"/>
      <c r="D1400" s="48" t="n"/>
      <c r="E1400" s="38" t="n"/>
      <c r="F1400" s="38" t="n"/>
      <c r="G1400" s="38" t="n"/>
      <c r="H1400" s="49">
        <f>IF(B1400="","",IFERROR(INDEX('JOBS'!$D$5:$D$1504,MATCH(B1400,'JOBS'!$A$5:$A$1504,0)),"Job ID not found"))</f>
        <v/>
      </c>
      <c r="I1400" s="49">
        <f>IF(B1400="","",IFERROR(INDEX('JOBS'!$F$5:$F$1504,MATCH(B1400,'JOBS'!$A$5:$A$1504,0)),""))</f>
        <v/>
      </c>
      <c r="J1400" s="55">
        <f>IF(C1400="","",ROUND(C1400*IF(IFERROR(INDEX('SETTINGS'!$K$5:$K$24,MATCH(E1400,'SETTINGS'!$J$5:$J$24,0)),"No")="Yes",FeePct,0),2))</f>
        <v/>
      </c>
      <c r="K1400" s="51">
        <f>IF(A1400="","",DATE(YEAR(A1400),MONTH(A1400),1))</f>
        <v/>
      </c>
    </row>
    <row r="1401">
      <c r="A1401" s="47" t="n"/>
      <c r="B1401" s="38" t="n"/>
      <c r="C1401" s="48" t="n"/>
      <c r="D1401" s="48" t="n"/>
      <c r="E1401" s="38" t="n"/>
      <c r="F1401" s="38" t="n"/>
      <c r="G1401" s="38" t="n"/>
      <c r="H1401" s="49">
        <f>IF(B1401="","",IFERROR(INDEX('JOBS'!$D$5:$D$1504,MATCH(B1401,'JOBS'!$A$5:$A$1504,0)),"Job ID not found"))</f>
        <v/>
      </c>
      <c r="I1401" s="49">
        <f>IF(B1401="","",IFERROR(INDEX('JOBS'!$F$5:$F$1504,MATCH(B1401,'JOBS'!$A$5:$A$1504,0)),""))</f>
        <v/>
      </c>
      <c r="J1401" s="55">
        <f>IF(C1401="","",ROUND(C1401*IF(IFERROR(INDEX('SETTINGS'!$K$5:$K$24,MATCH(E1401,'SETTINGS'!$J$5:$J$24,0)),"No")="Yes",FeePct,0),2))</f>
        <v/>
      </c>
      <c r="K1401" s="51">
        <f>IF(A1401="","",DATE(YEAR(A1401),MONTH(A1401),1))</f>
        <v/>
      </c>
    </row>
    <row r="1402">
      <c r="A1402" s="47" t="n"/>
      <c r="B1402" s="38" t="n"/>
      <c r="C1402" s="48" t="n"/>
      <c r="D1402" s="48" t="n"/>
      <c r="E1402" s="38" t="n"/>
      <c r="F1402" s="38" t="n"/>
      <c r="G1402" s="38" t="n"/>
      <c r="H1402" s="49">
        <f>IF(B1402="","",IFERROR(INDEX('JOBS'!$D$5:$D$1504,MATCH(B1402,'JOBS'!$A$5:$A$1504,0)),"Job ID not found"))</f>
        <v/>
      </c>
      <c r="I1402" s="49">
        <f>IF(B1402="","",IFERROR(INDEX('JOBS'!$F$5:$F$1504,MATCH(B1402,'JOBS'!$A$5:$A$1504,0)),""))</f>
        <v/>
      </c>
      <c r="J1402" s="55">
        <f>IF(C1402="","",ROUND(C1402*IF(IFERROR(INDEX('SETTINGS'!$K$5:$K$24,MATCH(E1402,'SETTINGS'!$J$5:$J$24,0)),"No")="Yes",FeePct,0),2))</f>
        <v/>
      </c>
      <c r="K1402" s="51">
        <f>IF(A1402="","",DATE(YEAR(A1402),MONTH(A1402),1))</f>
        <v/>
      </c>
    </row>
    <row r="1403">
      <c r="A1403" s="47" t="n"/>
      <c r="B1403" s="38" t="n"/>
      <c r="C1403" s="48" t="n"/>
      <c r="D1403" s="48" t="n"/>
      <c r="E1403" s="38" t="n"/>
      <c r="F1403" s="38" t="n"/>
      <c r="G1403" s="38" t="n"/>
      <c r="H1403" s="49">
        <f>IF(B1403="","",IFERROR(INDEX('JOBS'!$D$5:$D$1504,MATCH(B1403,'JOBS'!$A$5:$A$1504,0)),"Job ID not found"))</f>
        <v/>
      </c>
      <c r="I1403" s="49">
        <f>IF(B1403="","",IFERROR(INDEX('JOBS'!$F$5:$F$1504,MATCH(B1403,'JOBS'!$A$5:$A$1504,0)),""))</f>
        <v/>
      </c>
      <c r="J1403" s="55">
        <f>IF(C1403="","",ROUND(C1403*IF(IFERROR(INDEX('SETTINGS'!$K$5:$K$24,MATCH(E1403,'SETTINGS'!$J$5:$J$24,0)),"No")="Yes",FeePct,0),2))</f>
        <v/>
      </c>
      <c r="K1403" s="51">
        <f>IF(A1403="","",DATE(YEAR(A1403),MONTH(A1403),1))</f>
        <v/>
      </c>
    </row>
    <row r="1404">
      <c r="A1404" s="47" t="n"/>
      <c r="B1404" s="38" t="n"/>
      <c r="C1404" s="48" t="n"/>
      <c r="D1404" s="48" t="n"/>
      <c r="E1404" s="38" t="n"/>
      <c r="F1404" s="38" t="n"/>
      <c r="G1404" s="38" t="n"/>
      <c r="H1404" s="49">
        <f>IF(B1404="","",IFERROR(INDEX('JOBS'!$D$5:$D$1504,MATCH(B1404,'JOBS'!$A$5:$A$1504,0)),"Job ID not found"))</f>
        <v/>
      </c>
      <c r="I1404" s="49">
        <f>IF(B1404="","",IFERROR(INDEX('JOBS'!$F$5:$F$1504,MATCH(B1404,'JOBS'!$A$5:$A$1504,0)),""))</f>
        <v/>
      </c>
      <c r="J1404" s="55">
        <f>IF(C1404="","",ROUND(C1404*IF(IFERROR(INDEX('SETTINGS'!$K$5:$K$24,MATCH(E1404,'SETTINGS'!$J$5:$J$24,0)),"No")="Yes",FeePct,0),2))</f>
        <v/>
      </c>
      <c r="K1404" s="51">
        <f>IF(A1404="","",DATE(YEAR(A1404),MONTH(A1404),1))</f>
        <v/>
      </c>
    </row>
    <row r="1405">
      <c r="A1405" s="47" t="n"/>
      <c r="B1405" s="38" t="n"/>
      <c r="C1405" s="48" t="n"/>
      <c r="D1405" s="48" t="n"/>
      <c r="E1405" s="38" t="n"/>
      <c r="F1405" s="38" t="n"/>
      <c r="G1405" s="38" t="n"/>
      <c r="H1405" s="49">
        <f>IF(B1405="","",IFERROR(INDEX('JOBS'!$D$5:$D$1504,MATCH(B1405,'JOBS'!$A$5:$A$1504,0)),"Job ID not found"))</f>
        <v/>
      </c>
      <c r="I1405" s="49">
        <f>IF(B1405="","",IFERROR(INDEX('JOBS'!$F$5:$F$1504,MATCH(B1405,'JOBS'!$A$5:$A$1504,0)),""))</f>
        <v/>
      </c>
      <c r="J1405" s="55">
        <f>IF(C1405="","",ROUND(C1405*IF(IFERROR(INDEX('SETTINGS'!$K$5:$K$24,MATCH(E1405,'SETTINGS'!$J$5:$J$24,0)),"No")="Yes",FeePct,0),2))</f>
        <v/>
      </c>
      <c r="K1405" s="51">
        <f>IF(A1405="","",DATE(YEAR(A1405),MONTH(A1405),1))</f>
        <v/>
      </c>
    </row>
    <row r="1406">
      <c r="A1406" s="47" t="n"/>
      <c r="B1406" s="38" t="n"/>
      <c r="C1406" s="48" t="n"/>
      <c r="D1406" s="48" t="n"/>
      <c r="E1406" s="38" t="n"/>
      <c r="F1406" s="38" t="n"/>
      <c r="G1406" s="38" t="n"/>
      <c r="H1406" s="49">
        <f>IF(B1406="","",IFERROR(INDEX('JOBS'!$D$5:$D$1504,MATCH(B1406,'JOBS'!$A$5:$A$1504,0)),"Job ID not found"))</f>
        <v/>
      </c>
      <c r="I1406" s="49">
        <f>IF(B1406="","",IFERROR(INDEX('JOBS'!$F$5:$F$1504,MATCH(B1406,'JOBS'!$A$5:$A$1504,0)),""))</f>
        <v/>
      </c>
      <c r="J1406" s="55">
        <f>IF(C1406="","",ROUND(C1406*IF(IFERROR(INDEX('SETTINGS'!$K$5:$K$24,MATCH(E1406,'SETTINGS'!$J$5:$J$24,0)),"No")="Yes",FeePct,0),2))</f>
        <v/>
      </c>
      <c r="K1406" s="51">
        <f>IF(A1406="","",DATE(YEAR(A1406),MONTH(A1406),1))</f>
        <v/>
      </c>
    </row>
    <row r="1407">
      <c r="A1407" s="47" t="n"/>
      <c r="B1407" s="38" t="n"/>
      <c r="C1407" s="48" t="n"/>
      <c r="D1407" s="48" t="n"/>
      <c r="E1407" s="38" t="n"/>
      <c r="F1407" s="38" t="n"/>
      <c r="G1407" s="38" t="n"/>
      <c r="H1407" s="49">
        <f>IF(B1407="","",IFERROR(INDEX('JOBS'!$D$5:$D$1504,MATCH(B1407,'JOBS'!$A$5:$A$1504,0)),"Job ID not found"))</f>
        <v/>
      </c>
      <c r="I1407" s="49">
        <f>IF(B1407="","",IFERROR(INDEX('JOBS'!$F$5:$F$1504,MATCH(B1407,'JOBS'!$A$5:$A$1504,0)),""))</f>
        <v/>
      </c>
      <c r="J1407" s="55">
        <f>IF(C1407="","",ROUND(C1407*IF(IFERROR(INDEX('SETTINGS'!$K$5:$K$24,MATCH(E1407,'SETTINGS'!$J$5:$J$24,0)),"No")="Yes",FeePct,0),2))</f>
        <v/>
      </c>
      <c r="K1407" s="51">
        <f>IF(A1407="","",DATE(YEAR(A1407),MONTH(A1407),1))</f>
        <v/>
      </c>
    </row>
    <row r="1408">
      <c r="A1408" s="47" t="n"/>
      <c r="B1408" s="38" t="n"/>
      <c r="C1408" s="48" t="n"/>
      <c r="D1408" s="48" t="n"/>
      <c r="E1408" s="38" t="n"/>
      <c r="F1408" s="38" t="n"/>
      <c r="G1408" s="38" t="n"/>
      <c r="H1408" s="49">
        <f>IF(B1408="","",IFERROR(INDEX('JOBS'!$D$5:$D$1504,MATCH(B1408,'JOBS'!$A$5:$A$1504,0)),"Job ID not found"))</f>
        <v/>
      </c>
      <c r="I1408" s="49">
        <f>IF(B1408="","",IFERROR(INDEX('JOBS'!$F$5:$F$1504,MATCH(B1408,'JOBS'!$A$5:$A$1504,0)),""))</f>
        <v/>
      </c>
      <c r="J1408" s="55">
        <f>IF(C1408="","",ROUND(C1408*IF(IFERROR(INDEX('SETTINGS'!$K$5:$K$24,MATCH(E1408,'SETTINGS'!$J$5:$J$24,0)),"No")="Yes",FeePct,0),2))</f>
        <v/>
      </c>
      <c r="K1408" s="51">
        <f>IF(A1408="","",DATE(YEAR(A1408),MONTH(A1408),1))</f>
        <v/>
      </c>
    </row>
    <row r="1409">
      <c r="A1409" s="47" t="n"/>
      <c r="B1409" s="38" t="n"/>
      <c r="C1409" s="48" t="n"/>
      <c r="D1409" s="48" t="n"/>
      <c r="E1409" s="38" t="n"/>
      <c r="F1409" s="38" t="n"/>
      <c r="G1409" s="38" t="n"/>
      <c r="H1409" s="49">
        <f>IF(B1409="","",IFERROR(INDEX('JOBS'!$D$5:$D$1504,MATCH(B1409,'JOBS'!$A$5:$A$1504,0)),"Job ID not found"))</f>
        <v/>
      </c>
      <c r="I1409" s="49">
        <f>IF(B1409="","",IFERROR(INDEX('JOBS'!$F$5:$F$1504,MATCH(B1409,'JOBS'!$A$5:$A$1504,0)),""))</f>
        <v/>
      </c>
      <c r="J1409" s="55">
        <f>IF(C1409="","",ROUND(C1409*IF(IFERROR(INDEX('SETTINGS'!$K$5:$K$24,MATCH(E1409,'SETTINGS'!$J$5:$J$24,0)),"No")="Yes",FeePct,0),2))</f>
        <v/>
      </c>
      <c r="K1409" s="51">
        <f>IF(A1409="","",DATE(YEAR(A1409),MONTH(A1409),1))</f>
        <v/>
      </c>
    </row>
    <row r="1410">
      <c r="A1410" s="47" t="n"/>
      <c r="B1410" s="38" t="n"/>
      <c r="C1410" s="48" t="n"/>
      <c r="D1410" s="48" t="n"/>
      <c r="E1410" s="38" t="n"/>
      <c r="F1410" s="38" t="n"/>
      <c r="G1410" s="38" t="n"/>
      <c r="H1410" s="49">
        <f>IF(B1410="","",IFERROR(INDEX('JOBS'!$D$5:$D$1504,MATCH(B1410,'JOBS'!$A$5:$A$1504,0)),"Job ID not found"))</f>
        <v/>
      </c>
      <c r="I1410" s="49">
        <f>IF(B1410="","",IFERROR(INDEX('JOBS'!$F$5:$F$1504,MATCH(B1410,'JOBS'!$A$5:$A$1504,0)),""))</f>
        <v/>
      </c>
      <c r="J1410" s="55">
        <f>IF(C1410="","",ROUND(C1410*IF(IFERROR(INDEX('SETTINGS'!$K$5:$K$24,MATCH(E1410,'SETTINGS'!$J$5:$J$24,0)),"No")="Yes",FeePct,0),2))</f>
        <v/>
      </c>
      <c r="K1410" s="51">
        <f>IF(A1410="","",DATE(YEAR(A1410),MONTH(A1410),1))</f>
        <v/>
      </c>
    </row>
    <row r="1411">
      <c r="A1411" s="47" t="n"/>
      <c r="B1411" s="38" t="n"/>
      <c r="C1411" s="48" t="n"/>
      <c r="D1411" s="48" t="n"/>
      <c r="E1411" s="38" t="n"/>
      <c r="F1411" s="38" t="n"/>
      <c r="G1411" s="38" t="n"/>
      <c r="H1411" s="49">
        <f>IF(B1411="","",IFERROR(INDEX('JOBS'!$D$5:$D$1504,MATCH(B1411,'JOBS'!$A$5:$A$1504,0)),"Job ID not found"))</f>
        <v/>
      </c>
      <c r="I1411" s="49">
        <f>IF(B1411="","",IFERROR(INDEX('JOBS'!$F$5:$F$1504,MATCH(B1411,'JOBS'!$A$5:$A$1504,0)),""))</f>
        <v/>
      </c>
      <c r="J1411" s="55">
        <f>IF(C1411="","",ROUND(C1411*IF(IFERROR(INDEX('SETTINGS'!$K$5:$K$24,MATCH(E1411,'SETTINGS'!$J$5:$J$24,0)),"No")="Yes",FeePct,0),2))</f>
        <v/>
      </c>
      <c r="K1411" s="51">
        <f>IF(A1411="","",DATE(YEAR(A1411),MONTH(A1411),1))</f>
        <v/>
      </c>
    </row>
    <row r="1412">
      <c r="A1412" s="47" t="n"/>
      <c r="B1412" s="38" t="n"/>
      <c r="C1412" s="48" t="n"/>
      <c r="D1412" s="48" t="n"/>
      <c r="E1412" s="38" t="n"/>
      <c r="F1412" s="38" t="n"/>
      <c r="G1412" s="38" t="n"/>
      <c r="H1412" s="49">
        <f>IF(B1412="","",IFERROR(INDEX('JOBS'!$D$5:$D$1504,MATCH(B1412,'JOBS'!$A$5:$A$1504,0)),"Job ID not found"))</f>
        <v/>
      </c>
      <c r="I1412" s="49">
        <f>IF(B1412="","",IFERROR(INDEX('JOBS'!$F$5:$F$1504,MATCH(B1412,'JOBS'!$A$5:$A$1504,0)),""))</f>
        <v/>
      </c>
      <c r="J1412" s="55">
        <f>IF(C1412="","",ROUND(C1412*IF(IFERROR(INDEX('SETTINGS'!$K$5:$K$24,MATCH(E1412,'SETTINGS'!$J$5:$J$24,0)),"No")="Yes",FeePct,0),2))</f>
        <v/>
      </c>
      <c r="K1412" s="51">
        <f>IF(A1412="","",DATE(YEAR(A1412),MONTH(A1412),1))</f>
        <v/>
      </c>
    </row>
    <row r="1413">
      <c r="A1413" s="47" t="n"/>
      <c r="B1413" s="38" t="n"/>
      <c r="C1413" s="48" t="n"/>
      <c r="D1413" s="48" t="n"/>
      <c r="E1413" s="38" t="n"/>
      <c r="F1413" s="38" t="n"/>
      <c r="G1413" s="38" t="n"/>
      <c r="H1413" s="49">
        <f>IF(B1413="","",IFERROR(INDEX('JOBS'!$D$5:$D$1504,MATCH(B1413,'JOBS'!$A$5:$A$1504,0)),"Job ID not found"))</f>
        <v/>
      </c>
      <c r="I1413" s="49">
        <f>IF(B1413="","",IFERROR(INDEX('JOBS'!$F$5:$F$1504,MATCH(B1413,'JOBS'!$A$5:$A$1504,0)),""))</f>
        <v/>
      </c>
      <c r="J1413" s="55">
        <f>IF(C1413="","",ROUND(C1413*IF(IFERROR(INDEX('SETTINGS'!$K$5:$K$24,MATCH(E1413,'SETTINGS'!$J$5:$J$24,0)),"No")="Yes",FeePct,0),2))</f>
        <v/>
      </c>
      <c r="K1413" s="51">
        <f>IF(A1413="","",DATE(YEAR(A1413),MONTH(A1413),1))</f>
        <v/>
      </c>
    </row>
    <row r="1414">
      <c r="A1414" s="47" t="n"/>
      <c r="B1414" s="38" t="n"/>
      <c r="C1414" s="48" t="n"/>
      <c r="D1414" s="48" t="n"/>
      <c r="E1414" s="38" t="n"/>
      <c r="F1414" s="38" t="n"/>
      <c r="G1414" s="38" t="n"/>
      <c r="H1414" s="49">
        <f>IF(B1414="","",IFERROR(INDEX('JOBS'!$D$5:$D$1504,MATCH(B1414,'JOBS'!$A$5:$A$1504,0)),"Job ID not found"))</f>
        <v/>
      </c>
      <c r="I1414" s="49">
        <f>IF(B1414="","",IFERROR(INDEX('JOBS'!$F$5:$F$1504,MATCH(B1414,'JOBS'!$A$5:$A$1504,0)),""))</f>
        <v/>
      </c>
      <c r="J1414" s="55">
        <f>IF(C1414="","",ROUND(C1414*IF(IFERROR(INDEX('SETTINGS'!$K$5:$K$24,MATCH(E1414,'SETTINGS'!$J$5:$J$24,0)),"No")="Yes",FeePct,0),2))</f>
        <v/>
      </c>
      <c r="K1414" s="51">
        <f>IF(A1414="","",DATE(YEAR(A1414),MONTH(A1414),1))</f>
        <v/>
      </c>
    </row>
    <row r="1415">
      <c r="A1415" s="47" t="n"/>
      <c r="B1415" s="38" t="n"/>
      <c r="C1415" s="48" t="n"/>
      <c r="D1415" s="48" t="n"/>
      <c r="E1415" s="38" t="n"/>
      <c r="F1415" s="38" t="n"/>
      <c r="G1415" s="38" t="n"/>
      <c r="H1415" s="49">
        <f>IF(B1415="","",IFERROR(INDEX('JOBS'!$D$5:$D$1504,MATCH(B1415,'JOBS'!$A$5:$A$1504,0)),"Job ID not found"))</f>
        <v/>
      </c>
      <c r="I1415" s="49">
        <f>IF(B1415="","",IFERROR(INDEX('JOBS'!$F$5:$F$1504,MATCH(B1415,'JOBS'!$A$5:$A$1504,0)),""))</f>
        <v/>
      </c>
      <c r="J1415" s="55">
        <f>IF(C1415="","",ROUND(C1415*IF(IFERROR(INDEX('SETTINGS'!$K$5:$K$24,MATCH(E1415,'SETTINGS'!$J$5:$J$24,0)),"No")="Yes",FeePct,0),2))</f>
        <v/>
      </c>
      <c r="K1415" s="51">
        <f>IF(A1415="","",DATE(YEAR(A1415),MONTH(A1415),1))</f>
        <v/>
      </c>
    </row>
    <row r="1416">
      <c r="A1416" s="47" t="n"/>
      <c r="B1416" s="38" t="n"/>
      <c r="C1416" s="48" t="n"/>
      <c r="D1416" s="48" t="n"/>
      <c r="E1416" s="38" t="n"/>
      <c r="F1416" s="38" t="n"/>
      <c r="G1416" s="38" t="n"/>
      <c r="H1416" s="49">
        <f>IF(B1416="","",IFERROR(INDEX('JOBS'!$D$5:$D$1504,MATCH(B1416,'JOBS'!$A$5:$A$1504,0)),"Job ID not found"))</f>
        <v/>
      </c>
      <c r="I1416" s="49">
        <f>IF(B1416="","",IFERROR(INDEX('JOBS'!$F$5:$F$1504,MATCH(B1416,'JOBS'!$A$5:$A$1504,0)),""))</f>
        <v/>
      </c>
      <c r="J1416" s="55">
        <f>IF(C1416="","",ROUND(C1416*IF(IFERROR(INDEX('SETTINGS'!$K$5:$K$24,MATCH(E1416,'SETTINGS'!$J$5:$J$24,0)),"No")="Yes",FeePct,0),2))</f>
        <v/>
      </c>
      <c r="K1416" s="51">
        <f>IF(A1416="","",DATE(YEAR(A1416),MONTH(A1416),1))</f>
        <v/>
      </c>
    </row>
    <row r="1417">
      <c r="A1417" s="47" t="n"/>
      <c r="B1417" s="38" t="n"/>
      <c r="C1417" s="48" t="n"/>
      <c r="D1417" s="48" t="n"/>
      <c r="E1417" s="38" t="n"/>
      <c r="F1417" s="38" t="n"/>
      <c r="G1417" s="38" t="n"/>
      <c r="H1417" s="49">
        <f>IF(B1417="","",IFERROR(INDEX('JOBS'!$D$5:$D$1504,MATCH(B1417,'JOBS'!$A$5:$A$1504,0)),"Job ID not found"))</f>
        <v/>
      </c>
      <c r="I1417" s="49">
        <f>IF(B1417="","",IFERROR(INDEX('JOBS'!$F$5:$F$1504,MATCH(B1417,'JOBS'!$A$5:$A$1504,0)),""))</f>
        <v/>
      </c>
      <c r="J1417" s="55">
        <f>IF(C1417="","",ROUND(C1417*IF(IFERROR(INDEX('SETTINGS'!$K$5:$K$24,MATCH(E1417,'SETTINGS'!$J$5:$J$24,0)),"No")="Yes",FeePct,0),2))</f>
        <v/>
      </c>
      <c r="K1417" s="51">
        <f>IF(A1417="","",DATE(YEAR(A1417),MONTH(A1417),1))</f>
        <v/>
      </c>
    </row>
    <row r="1418">
      <c r="A1418" s="47" t="n"/>
      <c r="B1418" s="38" t="n"/>
      <c r="C1418" s="48" t="n"/>
      <c r="D1418" s="48" t="n"/>
      <c r="E1418" s="38" t="n"/>
      <c r="F1418" s="38" t="n"/>
      <c r="G1418" s="38" t="n"/>
      <c r="H1418" s="49">
        <f>IF(B1418="","",IFERROR(INDEX('JOBS'!$D$5:$D$1504,MATCH(B1418,'JOBS'!$A$5:$A$1504,0)),"Job ID not found"))</f>
        <v/>
      </c>
      <c r="I1418" s="49">
        <f>IF(B1418="","",IFERROR(INDEX('JOBS'!$F$5:$F$1504,MATCH(B1418,'JOBS'!$A$5:$A$1504,0)),""))</f>
        <v/>
      </c>
      <c r="J1418" s="55">
        <f>IF(C1418="","",ROUND(C1418*IF(IFERROR(INDEX('SETTINGS'!$K$5:$K$24,MATCH(E1418,'SETTINGS'!$J$5:$J$24,0)),"No")="Yes",FeePct,0),2))</f>
        <v/>
      </c>
      <c r="K1418" s="51">
        <f>IF(A1418="","",DATE(YEAR(A1418),MONTH(A1418),1))</f>
        <v/>
      </c>
    </row>
    <row r="1419">
      <c r="A1419" s="47" t="n"/>
      <c r="B1419" s="38" t="n"/>
      <c r="C1419" s="48" t="n"/>
      <c r="D1419" s="48" t="n"/>
      <c r="E1419" s="38" t="n"/>
      <c r="F1419" s="38" t="n"/>
      <c r="G1419" s="38" t="n"/>
      <c r="H1419" s="49">
        <f>IF(B1419="","",IFERROR(INDEX('JOBS'!$D$5:$D$1504,MATCH(B1419,'JOBS'!$A$5:$A$1504,0)),"Job ID not found"))</f>
        <v/>
      </c>
      <c r="I1419" s="49">
        <f>IF(B1419="","",IFERROR(INDEX('JOBS'!$F$5:$F$1504,MATCH(B1419,'JOBS'!$A$5:$A$1504,0)),""))</f>
        <v/>
      </c>
      <c r="J1419" s="55">
        <f>IF(C1419="","",ROUND(C1419*IF(IFERROR(INDEX('SETTINGS'!$K$5:$K$24,MATCH(E1419,'SETTINGS'!$J$5:$J$24,0)),"No")="Yes",FeePct,0),2))</f>
        <v/>
      </c>
      <c r="K1419" s="51">
        <f>IF(A1419="","",DATE(YEAR(A1419),MONTH(A1419),1))</f>
        <v/>
      </c>
    </row>
    <row r="1420">
      <c r="A1420" s="47" t="n"/>
      <c r="B1420" s="38" t="n"/>
      <c r="C1420" s="48" t="n"/>
      <c r="D1420" s="48" t="n"/>
      <c r="E1420" s="38" t="n"/>
      <c r="F1420" s="38" t="n"/>
      <c r="G1420" s="38" t="n"/>
      <c r="H1420" s="49">
        <f>IF(B1420="","",IFERROR(INDEX('JOBS'!$D$5:$D$1504,MATCH(B1420,'JOBS'!$A$5:$A$1504,0)),"Job ID not found"))</f>
        <v/>
      </c>
      <c r="I1420" s="49">
        <f>IF(B1420="","",IFERROR(INDEX('JOBS'!$F$5:$F$1504,MATCH(B1420,'JOBS'!$A$5:$A$1504,0)),""))</f>
        <v/>
      </c>
      <c r="J1420" s="55">
        <f>IF(C1420="","",ROUND(C1420*IF(IFERROR(INDEX('SETTINGS'!$K$5:$K$24,MATCH(E1420,'SETTINGS'!$J$5:$J$24,0)),"No")="Yes",FeePct,0),2))</f>
        <v/>
      </c>
      <c r="K1420" s="51">
        <f>IF(A1420="","",DATE(YEAR(A1420),MONTH(A1420),1))</f>
        <v/>
      </c>
    </row>
    <row r="1421">
      <c r="A1421" s="47" t="n"/>
      <c r="B1421" s="38" t="n"/>
      <c r="C1421" s="48" t="n"/>
      <c r="D1421" s="48" t="n"/>
      <c r="E1421" s="38" t="n"/>
      <c r="F1421" s="38" t="n"/>
      <c r="G1421" s="38" t="n"/>
      <c r="H1421" s="49">
        <f>IF(B1421="","",IFERROR(INDEX('JOBS'!$D$5:$D$1504,MATCH(B1421,'JOBS'!$A$5:$A$1504,0)),"Job ID not found"))</f>
        <v/>
      </c>
      <c r="I1421" s="49">
        <f>IF(B1421="","",IFERROR(INDEX('JOBS'!$F$5:$F$1504,MATCH(B1421,'JOBS'!$A$5:$A$1504,0)),""))</f>
        <v/>
      </c>
      <c r="J1421" s="55">
        <f>IF(C1421="","",ROUND(C1421*IF(IFERROR(INDEX('SETTINGS'!$K$5:$K$24,MATCH(E1421,'SETTINGS'!$J$5:$J$24,0)),"No")="Yes",FeePct,0),2))</f>
        <v/>
      </c>
      <c r="K1421" s="51">
        <f>IF(A1421="","",DATE(YEAR(A1421),MONTH(A1421),1))</f>
        <v/>
      </c>
    </row>
    <row r="1422">
      <c r="A1422" s="47" t="n"/>
      <c r="B1422" s="38" t="n"/>
      <c r="C1422" s="48" t="n"/>
      <c r="D1422" s="48" t="n"/>
      <c r="E1422" s="38" t="n"/>
      <c r="F1422" s="38" t="n"/>
      <c r="G1422" s="38" t="n"/>
      <c r="H1422" s="49">
        <f>IF(B1422="","",IFERROR(INDEX('JOBS'!$D$5:$D$1504,MATCH(B1422,'JOBS'!$A$5:$A$1504,0)),"Job ID not found"))</f>
        <v/>
      </c>
      <c r="I1422" s="49">
        <f>IF(B1422="","",IFERROR(INDEX('JOBS'!$F$5:$F$1504,MATCH(B1422,'JOBS'!$A$5:$A$1504,0)),""))</f>
        <v/>
      </c>
      <c r="J1422" s="55">
        <f>IF(C1422="","",ROUND(C1422*IF(IFERROR(INDEX('SETTINGS'!$K$5:$K$24,MATCH(E1422,'SETTINGS'!$J$5:$J$24,0)),"No")="Yes",FeePct,0),2))</f>
        <v/>
      </c>
      <c r="K1422" s="51">
        <f>IF(A1422="","",DATE(YEAR(A1422),MONTH(A1422),1))</f>
        <v/>
      </c>
    </row>
    <row r="1423">
      <c r="A1423" s="47" t="n"/>
      <c r="B1423" s="38" t="n"/>
      <c r="C1423" s="48" t="n"/>
      <c r="D1423" s="48" t="n"/>
      <c r="E1423" s="38" t="n"/>
      <c r="F1423" s="38" t="n"/>
      <c r="G1423" s="38" t="n"/>
      <c r="H1423" s="49">
        <f>IF(B1423="","",IFERROR(INDEX('JOBS'!$D$5:$D$1504,MATCH(B1423,'JOBS'!$A$5:$A$1504,0)),"Job ID not found"))</f>
        <v/>
      </c>
      <c r="I1423" s="49">
        <f>IF(B1423="","",IFERROR(INDEX('JOBS'!$F$5:$F$1504,MATCH(B1423,'JOBS'!$A$5:$A$1504,0)),""))</f>
        <v/>
      </c>
      <c r="J1423" s="55">
        <f>IF(C1423="","",ROUND(C1423*IF(IFERROR(INDEX('SETTINGS'!$K$5:$K$24,MATCH(E1423,'SETTINGS'!$J$5:$J$24,0)),"No")="Yes",FeePct,0),2))</f>
        <v/>
      </c>
      <c r="K1423" s="51">
        <f>IF(A1423="","",DATE(YEAR(A1423),MONTH(A1423),1))</f>
        <v/>
      </c>
    </row>
    <row r="1424">
      <c r="A1424" s="47" t="n"/>
      <c r="B1424" s="38" t="n"/>
      <c r="C1424" s="48" t="n"/>
      <c r="D1424" s="48" t="n"/>
      <c r="E1424" s="38" t="n"/>
      <c r="F1424" s="38" t="n"/>
      <c r="G1424" s="38" t="n"/>
      <c r="H1424" s="49">
        <f>IF(B1424="","",IFERROR(INDEX('JOBS'!$D$5:$D$1504,MATCH(B1424,'JOBS'!$A$5:$A$1504,0)),"Job ID not found"))</f>
        <v/>
      </c>
      <c r="I1424" s="49">
        <f>IF(B1424="","",IFERROR(INDEX('JOBS'!$F$5:$F$1504,MATCH(B1424,'JOBS'!$A$5:$A$1504,0)),""))</f>
        <v/>
      </c>
      <c r="J1424" s="55">
        <f>IF(C1424="","",ROUND(C1424*IF(IFERROR(INDEX('SETTINGS'!$K$5:$K$24,MATCH(E1424,'SETTINGS'!$J$5:$J$24,0)),"No")="Yes",FeePct,0),2))</f>
        <v/>
      </c>
      <c r="K1424" s="51">
        <f>IF(A1424="","",DATE(YEAR(A1424),MONTH(A1424),1))</f>
        <v/>
      </c>
    </row>
    <row r="1425">
      <c r="A1425" s="47" t="n"/>
      <c r="B1425" s="38" t="n"/>
      <c r="C1425" s="48" t="n"/>
      <c r="D1425" s="48" t="n"/>
      <c r="E1425" s="38" t="n"/>
      <c r="F1425" s="38" t="n"/>
      <c r="G1425" s="38" t="n"/>
      <c r="H1425" s="49">
        <f>IF(B1425="","",IFERROR(INDEX('JOBS'!$D$5:$D$1504,MATCH(B1425,'JOBS'!$A$5:$A$1504,0)),"Job ID not found"))</f>
        <v/>
      </c>
      <c r="I1425" s="49">
        <f>IF(B1425="","",IFERROR(INDEX('JOBS'!$F$5:$F$1504,MATCH(B1425,'JOBS'!$A$5:$A$1504,0)),""))</f>
        <v/>
      </c>
      <c r="J1425" s="55">
        <f>IF(C1425="","",ROUND(C1425*IF(IFERROR(INDEX('SETTINGS'!$K$5:$K$24,MATCH(E1425,'SETTINGS'!$J$5:$J$24,0)),"No")="Yes",FeePct,0),2))</f>
        <v/>
      </c>
      <c r="K1425" s="51">
        <f>IF(A1425="","",DATE(YEAR(A1425),MONTH(A1425),1))</f>
        <v/>
      </c>
    </row>
    <row r="1426">
      <c r="A1426" s="47" t="n"/>
      <c r="B1426" s="38" t="n"/>
      <c r="C1426" s="48" t="n"/>
      <c r="D1426" s="48" t="n"/>
      <c r="E1426" s="38" t="n"/>
      <c r="F1426" s="38" t="n"/>
      <c r="G1426" s="38" t="n"/>
      <c r="H1426" s="49">
        <f>IF(B1426="","",IFERROR(INDEX('JOBS'!$D$5:$D$1504,MATCH(B1426,'JOBS'!$A$5:$A$1504,0)),"Job ID not found"))</f>
        <v/>
      </c>
      <c r="I1426" s="49">
        <f>IF(B1426="","",IFERROR(INDEX('JOBS'!$F$5:$F$1504,MATCH(B1426,'JOBS'!$A$5:$A$1504,0)),""))</f>
        <v/>
      </c>
      <c r="J1426" s="55">
        <f>IF(C1426="","",ROUND(C1426*IF(IFERROR(INDEX('SETTINGS'!$K$5:$K$24,MATCH(E1426,'SETTINGS'!$J$5:$J$24,0)),"No")="Yes",FeePct,0),2))</f>
        <v/>
      </c>
      <c r="K1426" s="51">
        <f>IF(A1426="","",DATE(YEAR(A1426),MONTH(A1426),1))</f>
        <v/>
      </c>
    </row>
    <row r="1427">
      <c r="A1427" s="47" t="n"/>
      <c r="B1427" s="38" t="n"/>
      <c r="C1427" s="48" t="n"/>
      <c r="D1427" s="48" t="n"/>
      <c r="E1427" s="38" t="n"/>
      <c r="F1427" s="38" t="n"/>
      <c r="G1427" s="38" t="n"/>
      <c r="H1427" s="49">
        <f>IF(B1427="","",IFERROR(INDEX('JOBS'!$D$5:$D$1504,MATCH(B1427,'JOBS'!$A$5:$A$1504,0)),"Job ID not found"))</f>
        <v/>
      </c>
      <c r="I1427" s="49">
        <f>IF(B1427="","",IFERROR(INDEX('JOBS'!$F$5:$F$1504,MATCH(B1427,'JOBS'!$A$5:$A$1504,0)),""))</f>
        <v/>
      </c>
      <c r="J1427" s="55">
        <f>IF(C1427="","",ROUND(C1427*IF(IFERROR(INDEX('SETTINGS'!$K$5:$K$24,MATCH(E1427,'SETTINGS'!$J$5:$J$24,0)),"No")="Yes",FeePct,0),2))</f>
        <v/>
      </c>
      <c r="K1427" s="51">
        <f>IF(A1427="","",DATE(YEAR(A1427),MONTH(A1427),1))</f>
        <v/>
      </c>
    </row>
    <row r="1428">
      <c r="A1428" s="47" t="n"/>
      <c r="B1428" s="38" t="n"/>
      <c r="C1428" s="48" t="n"/>
      <c r="D1428" s="48" t="n"/>
      <c r="E1428" s="38" t="n"/>
      <c r="F1428" s="38" t="n"/>
      <c r="G1428" s="38" t="n"/>
      <c r="H1428" s="49">
        <f>IF(B1428="","",IFERROR(INDEX('JOBS'!$D$5:$D$1504,MATCH(B1428,'JOBS'!$A$5:$A$1504,0)),"Job ID not found"))</f>
        <v/>
      </c>
      <c r="I1428" s="49">
        <f>IF(B1428="","",IFERROR(INDEX('JOBS'!$F$5:$F$1504,MATCH(B1428,'JOBS'!$A$5:$A$1504,0)),""))</f>
        <v/>
      </c>
      <c r="J1428" s="55">
        <f>IF(C1428="","",ROUND(C1428*IF(IFERROR(INDEX('SETTINGS'!$K$5:$K$24,MATCH(E1428,'SETTINGS'!$J$5:$J$24,0)),"No")="Yes",FeePct,0),2))</f>
        <v/>
      </c>
      <c r="K1428" s="51">
        <f>IF(A1428="","",DATE(YEAR(A1428),MONTH(A1428),1))</f>
        <v/>
      </c>
    </row>
    <row r="1429">
      <c r="A1429" s="47" t="n"/>
      <c r="B1429" s="38" t="n"/>
      <c r="C1429" s="48" t="n"/>
      <c r="D1429" s="48" t="n"/>
      <c r="E1429" s="38" t="n"/>
      <c r="F1429" s="38" t="n"/>
      <c r="G1429" s="38" t="n"/>
      <c r="H1429" s="49">
        <f>IF(B1429="","",IFERROR(INDEX('JOBS'!$D$5:$D$1504,MATCH(B1429,'JOBS'!$A$5:$A$1504,0)),"Job ID not found"))</f>
        <v/>
      </c>
      <c r="I1429" s="49">
        <f>IF(B1429="","",IFERROR(INDEX('JOBS'!$F$5:$F$1504,MATCH(B1429,'JOBS'!$A$5:$A$1504,0)),""))</f>
        <v/>
      </c>
      <c r="J1429" s="55">
        <f>IF(C1429="","",ROUND(C1429*IF(IFERROR(INDEX('SETTINGS'!$K$5:$K$24,MATCH(E1429,'SETTINGS'!$J$5:$J$24,0)),"No")="Yes",FeePct,0),2))</f>
        <v/>
      </c>
      <c r="K1429" s="51">
        <f>IF(A1429="","",DATE(YEAR(A1429),MONTH(A1429),1))</f>
        <v/>
      </c>
    </row>
    <row r="1430">
      <c r="A1430" s="47" t="n"/>
      <c r="B1430" s="38" t="n"/>
      <c r="C1430" s="48" t="n"/>
      <c r="D1430" s="48" t="n"/>
      <c r="E1430" s="38" t="n"/>
      <c r="F1430" s="38" t="n"/>
      <c r="G1430" s="38" t="n"/>
      <c r="H1430" s="49">
        <f>IF(B1430="","",IFERROR(INDEX('JOBS'!$D$5:$D$1504,MATCH(B1430,'JOBS'!$A$5:$A$1504,0)),"Job ID not found"))</f>
        <v/>
      </c>
      <c r="I1430" s="49">
        <f>IF(B1430="","",IFERROR(INDEX('JOBS'!$F$5:$F$1504,MATCH(B1430,'JOBS'!$A$5:$A$1504,0)),""))</f>
        <v/>
      </c>
      <c r="J1430" s="55">
        <f>IF(C1430="","",ROUND(C1430*IF(IFERROR(INDEX('SETTINGS'!$K$5:$K$24,MATCH(E1430,'SETTINGS'!$J$5:$J$24,0)),"No")="Yes",FeePct,0),2))</f>
        <v/>
      </c>
      <c r="K1430" s="51">
        <f>IF(A1430="","",DATE(YEAR(A1430),MONTH(A1430),1))</f>
        <v/>
      </c>
    </row>
    <row r="1431">
      <c r="A1431" s="47" t="n"/>
      <c r="B1431" s="38" t="n"/>
      <c r="C1431" s="48" t="n"/>
      <c r="D1431" s="48" t="n"/>
      <c r="E1431" s="38" t="n"/>
      <c r="F1431" s="38" t="n"/>
      <c r="G1431" s="38" t="n"/>
      <c r="H1431" s="49">
        <f>IF(B1431="","",IFERROR(INDEX('JOBS'!$D$5:$D$1504,MATCH(B1431,'JOBS'!$A$5:$A$1504,0)),"Job ID not found"))</f>
        <v/>
      </c>
      <c r="I1431" s="49">
        <f>IF(B1431="","",IFERROR(INDEX('JOBS'!$F$5:$F$1504,MATCH(B1431,'JOBS'!$A$5:$A$1504,0)),""))</f>
        <v/>
      </c>
      <c r="J1431" s="55">
        <f>IF(C1431="","",ROUND(C1431*IF(IFERROR(INDEX('SETTINGS'!$K$5:$K$24,MATCH(E1431,'SETTINGS'!$J$5:$J$24,0)),"No")="Yes",FeePct,0),2))</f>
        <v/>
      </c>
      <c r="K1431" s="51">
        <f>IF(A1431="","",DATE(YEAR(A1431),MONTH(A1431),1))</f>
        <v/>
      </c>
    </row>
    <row r="1432">
      <c r="A1432" s="47" t="n"/>
      <c r="B1432" s="38" t="n"/>
      <c r="C1432" s="48" t="n"/>
      <c r="D1432" s="48" t="n"/>
      <c r="E1432" s="38" t="n"/>
      <c r="F1432" s="38" t="n"/>
      <c r="G1432" s="38" t="n"/>
      <c r="H1432" s="49">
        <f>IF(B1432="","",IFERROR(INDEX('JOBS'!$D$5:$D$1504,MATCH(B1432,'JOBS'!$A$5:$A$1504,0)),"Job ID not found"))</f>
        <v/>
      </c>
      <c r="I1432" s="49">
        <f>IF(B1432="","",IFERROR(INDEX('JOBS'!$F$5:$F$1504,MATCH(B1432,'JOBS'!$A$5:$A$1504,0)),""))</f>
        <v/>
      </c>
      <c r="J1432" s="55">
        <f>IF(C1432="","",ROUND(C1432*IF(IFERROR(INDEX('SETTINGS'!$K$5:$K$24,MATCH(E1432,'SETTINGS'!$J$5:$J$24,0)),"No")="Yes",FeePct,0),2))</f>
        <v/>
      </c>
      <c r="K1432" s="51">
        <f>IF(A1432="","",DATE(YEAR(A1432),MONTH(A1432),1))</f>
        <v/>
      </c>
    </row>
    <row r="1433">
      <c r="A1433" s="47" t="n"/>
      <c r="B1433" s="38" t="n"/>
      <c r="C1433" s="48" t="n"/>
      <c r="D1433" s="48" t="n"/>
      <c r="E1433" s="38" t="n"/>
      <c r="F1433" s="38" t="n"/>
      <c r="G1433" s="38" t="n"/>
      <c r="H1433" s="49">
        <f>IF(B1433="","",IFERROR(INDEX('JOBS'!$D$5:$D$1504,MATCH(B1433,'JOBS'!$A$5:$A$1504,0)),"Job ID not found"))</f>
        <v/>
      </c>
      <c r="I1433" s="49">
        <f>IF(B1433="","",IFERROR(INDEX('JOBS'!$F$5:$F$1504,MATCH(B1433,'JOBS'!$A$5:$A$1504,0)),""))</f>
        <v/>
      </c>
      <c r="J1433" s="55">
        <f>IF(C1433="","",ROUND(C1433*IF(IFERROR(INDEX('SETTINGS'!$K$5:$K$24,MATCH(E1433,'SETTINGS'!$J$5:$J$24,0)),"No")="Yes",FeePct,0),2))</f>
        <v/>
      </c>
      <c r="K1433" s="51">
        <f>IF(A1433="","",DATE(YEAR(A1433),MONTH(A1433),1))</f>
        <v/>
      </c>
    </row>
    <row r="1434">
      <c r="A1434" s="47" t="n"/>
      <c r="B1434" s="38" t="n"/>
      <c r="C1434" s="48" t="n"/>
      <c r="D1434" s="48" t="n"/>
      <c r="E1434" s="38" t="n"/>
      <c r="F1434" s="38" t="n"/>
      <c r="G1434" s="38" t="n"/>
      <c r="H1434" s="49">
        <f>IF(B1434="","",IFERROR(INDEX('JOBS'!$D$5:$D$1504,MATCH(B1434,'JOBS'!$A$5:$A$1504,0)),"Job ID not found"))</f>
        <v/>
      </c>
      <c r="I1434" s="49">
        <f>IF(B1434="","",IFERROR(INDEX('JOBS'!$F$5:$F$1504,MATCH(B1434,'JOBS'!$A$5:$A$1504,0)),""))</f>
        <v/>
      </c>
      <c r="J1434" s="55">
        <f>IF(C1434="","",ROUND(C1434*IF(IFERROR(INDEX('SETTINGS'!$K$5:$K$24,MATCH(E1434,'SETTINGS'!$J$5:$J$24,0)),"No")="Yes",FeePct,0),2))</f>
        <v/>
      </c>
      <c r="K1434" s="51">
        <f>IF(A1434="","",DATE(YEAR(A1434),MONTH(A1434),1))</f>
        <v/>
      </c>
    </row>
    <row r="1435">
      <c r="A1435" s="47" t="n"/>
      <c r="B1435" s="38" t="n"/>
      <c r="C1435" s="48" t="n"/>
      <c r="D1435" s="48" t="n"/>
      <c r="E1435" s="38" t="n"/>
      <c r="F1435" s="38" t="n"/>
      <c r="G1435" s="38" t="n"/>
      <c r="H1435" s="49">
        <f>IF(B1435="","",IFERROR(INDEX('JOBS'!$D$5:$D$1504,MATCH(B1435,'JOBS'!$A$5:$A$1504,0)),"Job ID not found"))</f>
        <v/>
      </c>
      <c r="I1435" s="49">
        <f>IF(B1435="","",IFERROR(INDEX('JOBS'!$F$5:$F$1504,MATCH(B1435,'JOBS'!$A$5:$A$1504,0)),""))</f>
        <v/>
      </c>
      <c r="J1435" s="55">
        <f>IF(C1435="","",ROUND(C1435*IF(IFERROR(INDEX('SETTINGS'!$K$5:$K$24,MATCH(E1435,'SETTINGS'!$J$5:$J$24,0)),"No")="Yes",FeePct,0),2))</f>
        <v/>
      </c>
      <c r="K1435" s="51">
        <f>IF(A1435="","",DATE(YEAR(A1435),MONTH(A1435),1))</f>
        <v/>
      </c>
    </row>
    <row r="1436">
      <c r="A1436" s="47" t="n"/>
      <c r="B1436" s="38" t="n"/>
      <c r="C1436" s="48" t="n"/>
      <c r="D1436" s="48" t="n"/>
      <c r="E1436" s="38" t="n"/>
      <c r="F1436" s="38" t="n"/>
      <c r="G1436" s="38" t="n"/>
      <c r="H1436" s="49">
        <f>IF(B1436="","",IFERROR(INDEX('JOBS'!$D$5:$D$1504,MATCH(B1436,'JOBS'!$A$5:$A$1504,0)),"Job ID not found"))</f>
        <v/>
      </c>
      <c r="I1436" s="49">
        <f>IF(B1436="","",IFERROR(INDEX('JOBS'!$F$5:$F$1504,MATCH(B1436,'JOBS'!$A$5:$A$1504,0)),""))</f>
        <v/>
      </c>
      <c r="J1436" s="55">
        <f>IF(C1436="","",ROUND(C1436*IF(IFERROR(INDEX('SETTINGS'!$K$5:$K$24,MATCH(E1436,'SETTINGS'!$J$5:$J$24,0)),"No")="Yes",FeePct,0),2))</f>
        <v/>
      </c>
      <c r="K1436" s="51">
        <f>IF(A1436="","",DATE(YEAR(A1436),MONTH(A1436),1))</f>
        <v/>
      </c>
    </row>
    <row r="1437">
      <c r="A1437" s="47" t="n"/>
      <c r="B1437" s="38" t="n"/>
      <c r="C1437" s="48" t="n"/>
      <c r="D1437" s="48" t="n"/>
      <c r="E1437" s="38" t="n"/>
      <c r="F1437" s="38" t="n"/>
      <c r="G1437" s="38" t="n"/>
      <c r="H1437" s="49">
        <f>IF(B1437="","",IFERROR(INDEX('JOBS'!$D$5:$D$1504,MATCH(B1437,'JOBS'!$A$5:$A$1504,0)),"Job ID not found"))</f>
        <v/>
      </c>
      <c r="I1437" s="49">
        <f>IF(B1437="","",IFERROR(INDEX('JOBS'!$F$5:$F$1504,MATCH(B1437,'JOBS'!$A$5:$A$1504,0)),""))</f>
        <v/>
      </c>
      <c r="J1437" s="55">
        <f>IF(C1437="","",ROUND(C1437*IF(IFERROR(INDEX('SETTINGS'!$K$5:$K$24,MATCH(E1437,'SETTINGS'!$J$5:$J$24,0)),"No")="Yes",FeePct,0),2))</f>
        <v/>
      </c>
      <c r="K1437" s="51">
        <f>IF(A1437="","",DATE(YEAR(A1437),MONTH(A1437),1))</f>
        <v/>
      </c>
    </row>
    <row r="1438">
      <c r="A1438" s="47" t="n"/>
      <c r="B1438" s="38" t="n"/>
      <c r="C1438" s="48" t="n"/>
      <c r="D1438" s="48" t="n"/>
      <c r="E1438" s="38" t="n"/>
      <c r="F1438" s="38" t="n"/>
      <c r="G1438" s="38" t="n"/>
      <c r="H1438" s="49">
        <f>IF(B1438="","",IFERROR(INDEX('JOBS'!$D$5:$D$1504,MATCH(B1438,'JOBS'!$A$5:$A$1504,0)),"Job ID not found"))</f>
        <v/>
      </c>
      <c r="I1438" s="49">
        <f>IF(B1438="","",IFERROR(INDEX('JOBS'!$F$5:$F$1504,MATCH(B1438,'JOBS'!$A$5:$A$1504,0)),""))</f>
        <v/>
      </c>
      <c r="J1438" s="55">
        <f>IF(C1438="","",ROUND(C1438*IF(IFERROR(INDEX('SETTINGS'!$K$5:$K$24,MATCH(E1438,'SETTINGS'!$J$5:$J$24,0)),"No")="Yes",FeePct,0),2))</f>
        <v/>
      </c>
      <c r="K1438" s="51">
        <f>IF(A1438="","",DATE(YEAR(A1438),MONTH(A1438),1))</f>
        <v/>
      </c>
    </row>
    <row r="1439">
      <c r="A1439" s="47" t="n"/>
      <c r="B1439" s="38" t="n"/>
      <c r="C1439" s="48" t="n"/>
      <c r="D1439" s="48" t="n"/>
      <c r="E1439" s="38" t="n"/>
      <c r="F1439" s="38" t="n"/>
      <c r="G1439" s="38" t="n"/>
      <c r="H1439" s="49">
        <f>IF(B1439="","",IFERROR(INDEX('JOBS'!$D$5:$D$1504,MATCH(B1439,'JOBS'!$A$5:$A$1504,0)),"Job ID not found"))</f>
        <v/>
      </c>
      <c r="I1439" s="49">
        <f>IF(B1439="","",IFERROR(INDEX('JOBS'!$F$5:$F$1504,MATCH(B1439,'JOBS'!$A$5:$A$1504,0)),""))</f>
        <v/>
      </c>
      <c r="J1439" s="55">
        <f>IF(C1439="","",ROUND(C1439*IF(IFERROR(INDEX('SETTINGS'!$K$5:$K$24,MATCH(E1439,'SETTINGS'!$J$5:$J$24,0)),"No")="Yes",FeePct,0),2))</f>
        <v/>
      </c>
      <c r="K1439" s="51">
        <f>IF(A1439="","",DATE(YEAR(A1439),MONTH(A1439),1))</f>
        <v/>
      </c>
    </row>
    <row r="1440">
      <c r="A1440" s="47" t="n"/>
      <c r="B1440" s="38" t="n"/>
      <c r="C1440" s="48" t="n"/>
      <c r="D1440" s="48" t="n"/>
      <c r="E1440" s="38" t="n"/>
      <c r="F1440" s="38" t="n"/>
      <c r="G1440" s="38" t="n"/>
      <c r="H1440" s="49">
        <f>IF(B1440="","",IFERROR(INDEX('JOBS'!$D$5:$D$1504,MATCH(B1440,'JOBS'!$A$5:$A$1504,0)),"Job ID not found"))</f>
        <v/>
      </c>
      <c r="I1440" s="49">
        <f>IF(B1440="","",IFERROR(INDEX('JOBS'!$F$5:$F$1504,MATCH(B1440,'JOBS'!$A$5:$A$1504,0)),""))</f>
        <v/>
      </c>
      <c r="J1440" s="55">
        <f>IF(C1440="","",ROUND(C1440*IF(IFERROR(INDEX('SETTINGS'!$K$5:$K$24,MATCH(E1440,'SETTINGS'!$J$5:$J$24,0)),"No")="Yes",FeePct,0),2))</f>
        <v/>
      </c>
      <c r="K1440" s="51">
        <f>IF(A1440="","",DATE(YEAR(A1440),MONTH(A1440),1))</f>
        <v/>
      </c>
    </row>
    <row r="1441">
      <c r="A1441" s="47" t="n"/>
      <c r="B1441" s="38" t="n"/>
      <c r="C1441" s="48" t="n"/>
      <c r="D1441" s="48" t="n"/>
      <c r="E1441" s="38" t="n"/>
      <c r="F1441" s="38" t="n"/>
      <c r="G1441" s="38" t="n"/>
      <c r="H1441" s="49">
        <f>IF(B1441="","",IFERROR(INDEX('JOBS'!$D$5:$D$1504,MATCH(B1441,'JOBS'!$A$5:$A$1504,0)),"Job ID not found"))</f>
        <v/>
      </c>
      <c r="I1441" s="49">
        <f>IF(B1441="","",IFERROR(INDEX('JOBS'!$F$5:$F$1504,MATCH(B1441,'JOBS'!$A$5:$A$1504,0)),""))</f>
        <v/>
      </c>
      <c r="J1441" s="55">
        <f>IF(C1441="","",ROUND(C1441*IF(IFERROR(INDEX('SETTINGS'!$K$5:$K$24,MATCH(E1441,'SETTINGS'!$J$5:$J$24,0)),"No")="Yes",FeePct,0),2))</f>
        <v/>
      </c>
      <c r="K1441" s="51">
        <f>IF(A1441="","",DATE(YEAR(A1441),MONTH(A1441),1))</f>
        <v/>
      </c>
    </row>
    <row r="1442">
      <c r="A1442" s="47" t="n"/>
      <c r="B1442" s="38" t="n"/>
      <c r="C1442" s="48" t="n"/>
      <c r="D1442" s="48" t="n"/>
      <c r="E1442" s="38" t="n"/>
      <c r="F1442" s="38" t="n"/>
      <c r="G1442" s="38" t="n"/>
      <c r="H1442" s="49">
        <f>IF(B1442="","",IFERROR(INDEX('JOBS'!$D$5:$D$1504,MATCH(B1442,'JOBS'!$A$5:$A$1504,0)),"Job ID not found"))</f>
        <v/>
      </c>
      <c r="I1442" s="49">
        <f>IF(B1442="","",IFERROR(INDEX('JOBS'!$F$5:$F$1504,MATCH(B1442,'JOBS'!$A$5:$A$1504,0)),""))</f>
        <v/>
      </c>
      <c r="J1442" s="55">
        <f>IF(C1442="","",ROUND(C1442*IF(IFERROR(INDEX('SETTINGS'!$K$5:$K$24,MATCH(E1442,'SETTINGS'!$J$5:$J$24,0)),"No")="Yes",FeePct,0),2))</f>
        <v/>
      </c>
      <c r="K1442" s="51">
        <f>IF(A1442="","",DATE(YEAR(A1442),MONTH(A1442),1))</f>
        <v/>
      </c>
    </row>
    <row r="1443">
      <c r="A1443" s="47" t="n"/>
      <c r="B1443" s="38" t="n"/>
      <c r="C1443" s="48" t="n"/>
      <c r="D1443" s="48" t="n"/>
      <c r="E1443" s="38" t="n"/>
      <c r="F1443" s="38" t="n"/>
      <c r="G1443" s="38" t="n"/>
      <c r="H1443" s="49">
        <f>IF(B1443="","",IFERROR(INDEX('JOBS'!$D$5:$D$1504,MATCH(B1443,'JOBS'!$A$5:$A$1504,0)),"Job ID not found"))</f>
        <v/>
      </c>
      <c r="I1443" s="49">
        <f>IF(B1443="","",IFERROR(INDEX('JOBS'!$F$5:$F$1504,MATCH(B1443,'JOBS'!$A$5:$A$1504,0)),""))</f>
        <v/>
      </c>
      <c r="J1443" s="55">
        <f>IF(C1443="","",ROUND(C1443*IF(IFERROR(INDEX('SETTINGS'!$K$5:$K$24,MATCH(E1443,'SETTINGS'!$J$5:$J$24,0)),"No")="Yes",FeePct,0),2))</f>
        <v/>
      </c>
      <c r="K1443" s="51">
        <f>IF(A1443="","",DATE(YEAR(A1443),MONTH(A1443),1))</f>
        <v/>
      </c>
    </row>
    <row r="1444">
      <c r="A1444" s="47" t="n"/>
      <c r="B1444" s="38" t="n"/>
      <c r="C1444" s="48" t="n"/>
      <c r="D1444" s="48" t="n"/>
      <c r="E1444" s="38" t="n"/>
      <c r="F1444" s="38" t="n"/>
      <c r="G1444" s="38" t="n"/>
      <c r="H1444" s="49">
        <f>IF(B1444="","",IFERROR(INDEX('JOBS'!$D$5:$D$1504,MATCH(B1444,'JOBS'!$A$5:$A$1504,0)),"Job ID not found"))</f>
        <v/>
      </c>
      <c r="I1444" s="49">
        <f>IF(B1444="","",IFERROR(INDEX('JOBS'!$F$5:$F$1504,MATCH(B1444,'JOBS'!$A$5:$A$1504,0)),""))</f>
        <v/>
      </c>
      <c r="J1444" s="55">
        <f>IF(C1444="","",ROUND(C1444*IF(IFERROR(INDEX('SETTINGS'!$K$5:$K$24,MATCH(E1444,'SETTINGS'!$J$5:$J$24,0)),"No")="Yes",FeePct,0),2))</f>
        <v/>
      </c>
      <c r="K1444" s="51">
        <f>IF(A1444="","",DATE(YEAR(A1444),MONTH(A1444),1))</f>
        <v/>
      </c>
    </row>
    <row r="1445">
      <c r="A1445" s="47" t="n"/>
      <c r="B1445" s="38" t="n"/>
      <c r="C1445" s="48" t="n"/>
      <c r="D1445" s="48" t="n"/>
      <c r="E1445" s="38" t="n"/>
      <c r="F1445" s="38" t="n"/>
      <c r="G1445" s="38" t="n"/>
      <c r="H1445" s="49">
        <f>IF(B1445="","",IFERROR(INDEX('JOBS'!$D$5:$D$1504,MATCH(B1445,'JOBS'!$A$5:$A$1504,0)),"Job ID not found"))</f>
        <v/>
      </c>
      <c r="I1445" s="49">
        <f>IF(B1445="","",IFERROR(INDEX('JOBS'!$F$5:$F$1504,MATCH(B1445,'JOBS'!$A$5:$A$1504,0)),""))</f>
        <v/>
      </c>
      <c r="J1445" s="55">
        <f>IF(C1445="","",ROUND(C1445*IF(IFERROR(INDEX('SETTINGS'!$K$5:$K$24,MATCH(E1445,'SETTINGS'!$J$5:$J$24,0)),"No")="Yes",FeePct,0),2))</f>
        <v/>
      </c>
      <c r="K1445" s="51">
        <f>IF(A1445="","",DATE(YEAR(A1445),MONTH(A1445),1))</f>
        <v/>
      </c>
    </row>
    <row r="1446">
      <c r="A1446" s="47" t="n"/>
      <c r="B1446" s="38" t="n"/>
      <c r="C1446" s="48" t="n"/>
      <c r="D1446" s="48" t="n"/>
      <c r="E1446" s="38" t="n"/>
      <c r="F1446" s="38" t="n"/>
      <c r="G1446" s="38" t="n"/>
      <c r="H1446" s="49">
        <f>IF(B1446="","",IFERROR(INDEX('JOBS'!$D$5:$D$1504,MATCH(B1446,'JOBS'!$A$5:$A$1504,0)),"Job ID not found"))</f>
        <v/>
      </c>
      <c r="I1446" s="49">
        <f>IF(B1446="","",IFERROR(INDEX('JOBS'!$F$5:$F$1504,MATCH(B1446,'JOBS'!$A$5:$A$1504,0)),""))</f>
        <v/>
      </c>
      <c r="J1446" s="55">
        <f>IF(C1446="","",ROUND(C1446*IF(IFERROR(INDEX('SETTINGS'!$K$5:$K$24,MATCH(E1446,'SETTINGS'!$J$5:$J$24,0)),"No")="Yes",FeePct,0),2))</f>
        <v/>
      </c>
      <c r="K1446" s="51">
        <f>IF(A1446="","",DATE(YEAR(A1446),MONTH(A1446),1))</f>
        <v/>
      </c>
    </row>
    <row r="1447">
      <c r="A1447" s="47" t="n"/>
      <c r="B1447" s="38" t="n"/>
      <c r="C1447" s="48" t="n"/>
      <c r="D1447" s="48" t="n"/>
      <c r="E1447" s="38" t="n"/>
      <c r="F1447" s="38" t="n"/>
      <c r="G1447" s="38" t="n"/>
      <c r="H1447" s="49">
        <f>IF(B1447="","",IFERROR(INDEX('JOBS'!$D$5:$D$1504,MATCH(B1447,'JOBS'!$A$5:$A$1504,0)),"Job ID not found"))</f>
        <v/>
      </c>
      <c r="I1447" s="49">
        <f>IF(B1447="","",IFERROR(INDEX('JOBS'!$F$5:$F$1504,MATCH(B1447,'JOBS'!$A$5:$A$1504,0)),""))</f>
        <v/>
      </c>
      <c r="J1447" s="55">
        <f>IF(C1447="","",ROUND(C1447*IF(IFERROR(INDEX('SETTINGS'!$K$5:$K$24,MATCH(E1447,'SETTINGS'!$J$5:$J$24,0)),"No")="Yes",FeePct,0),2))</f>
        <v/>
      </c>
      <c r="K1447" s="51">
        <f>IF(A1447="","",DATE(YEAR(A1447),MONTH(A1447),1))</f>
        <v/>
      </c>
    </row>
    <row r="1448">
      <c r="A1448" s="47" t="n"/>
      <c r="B1448" s="38" t="n"/>
      <c r="C1448" s="48" t="n"/>
      <c r="D1448" s="48" t="n"/>
      <c r="E1448" s="38" t="n"/>
      <c r="F1448" s="38" t="n"/>
      <c r="G1448" s="38" t="n"/>
      <c r="H1448" s="49">
        <f>IF(B1448="","",IFERROR(INDEX('JOBS'!$D$5:$D$1504,MATCH(B1448,'JOBS'!$A$5:$A$1504,0)),"Job ID not found"))</f>
        <v/>
      </c>
      <c r="I1448" s="49">
        <f>IF(B1448="","",IFERROR(INDEX('JOBS'!$F$5:$F$1504,MATCH(B1448,'JOBS'!$A$5:$A$1504,0)),""))</f>
        <v/>
      </c>
      <c r="J1448" s="55">
        <f>IF(C1448="","",ROUND(C1448*IF(IFERROR(INDEX('SETTINGS'!$K$5:$K$24,MATCH(E1448,'SETTINGS'!$J$5:$J$24,0)),"No")="Yes",FeePct,0),2))</f>
        <v/>
      </c>
      <c r="K1448" s="51">
        <f>IF(A1448="","",DATE(YEAR(A1448),MONTH(A1448),1))</f>
        <v/>
      </c>
    </row>
    <row r="1449">
      <c r="A1449" s="47" t="n"/>
      <c r="B1449" s="38" t="n"/>
      <c r="C1449" s="48" t="n"/>
      <c r="D1449" s="48" t="n"/>
      <c r="E1449" s="38" t="n"/>
      <c r="F1449" s="38" t="n"/>
      <c r="G1449" s="38" t="n"/>
      <c r="H1449" s="49">
        <f>IF(B1449="","",IFERROR(INDEX('JOBS'!$D$5:$D$1504,MATCH(B1449,'JOBS'!$A$5:$A$1504,0)),"Job ID not found"))</f>
        <v/>
      </c>
      <c r="I1449" s="49">
        <f>IF(B1449="","",IFERROR(INDEX('JOBS'!$F$5:$F$1504,MATCH(B1449,'JOBS'!$A$5:$A$1504,0)),""))</f>
        <v/>
      </c>
      <c r="J1449" s="55">
        <f>IF(C1449="","",ROUND(C1449*IF(IFERROR(INDEX('SETTINGS'!$K$5:$K$24,MATCH(E1449,'SETTINGS'!$J$5:$J$24,0)),"No")="Yes",FeePct,0),2))</f>
        <v/>
      </c>
      <c r="K1449" s="51">
        <f>IF(A1449="","",DATE(YEAR(A1449),MONTH(A1449),1))</f>
        <v/>
      </c>
    </row>
    <row r="1450">
      <c r="A1450" s="47" t="n"/>
      <c r="B1450" s="38" t="n"/>
      <c r="C1450" s="48" t="n"/>
      <c r="D1450" s="48" t="n"/>
      <c r="E1450" s="38" t="n"/>
      <c r="F1450" s="38" t="n"/>
      <c r="G1450" s="38" t="n"/>
      <c r="H1450" s="49">
        <f>IF(B1450="","",IFERROR(INDEX('JOBS'!$D$5:$D$1504,MATCH(B1450,'JOBS'!$A$5:$A$1504,0)),"Job ID not found"))</f>
        <v/>
      </c>
      <c r="I1450" s="49">
        <f>IF(B1450="","",IFERROR(INDEX('JOBS'!$F$5:$F$1504,MATCH(B1450,'JOBS'!$A$5:$A$1504,0)),""))</f>
        <v/>
      </c>
      <c r="J1450" s="55">
        <f>IF(C1450="","",ROUND(C1450*IF(IFERROR(INDEX('SETTINGS'!$K$5:$K$24,MATCH(E1450,'SETTINGS'!$J$5:$J$24,0)),"No")="Yes",FeePct,0),2))</f>
        <v/>
      </c>
      <c r="K1450" s="51">
        <f>IF(A1450="","",DATE(YEAR(A1450),MONTH(A1450),1))</f>
        <v/>
      </c>
    </row>
    <row r="1451">
      <c r="A1451" s="47" t="n"/>
      <c r="B1451" s="38" t="n"/>
      <c r="C1451" s="48" t="n"/>
      <c r="D1451" s="48" t="n"/>
      <c r="E1451" s="38" t="n"/>
      <c r="F1451" s="38" t="n"/>
      <c r="G1451" s="38" t="n"/>
      <c r="H1451" s="49">
        <f>IF(B1451="","",IFERROR(INDEX('JOBS'!$D$5:$D$1504,MATCH(B1451,'JOBS'!$A$5:$A$1504,0)),"Job ID not found"))</f>
        <v/>
      </c>
      <c r="I1451" s="49">
        <f>IF(B1451="","",IFERROR(INDEX('JOBS'!$F$5:$F$1504,MATCH(B1451,'JOBS'!$A$5:$A$1504,0)),""))</f>
        <v/>
      </c>
      <c r="J1451" s="55">
        <f>IF(C1451="","",ROUND(C1451*IF(IFERROR(INDEX('SETTINGS'!$K$5:$K$24,MATCH(E1451,'SETTINGS'!$J$5:$J$24,0)),"No")="Yes",FeePct,0),2))</f>
        <v/>
      </c>
      <c r="K1451" s="51">
        <f>IF(A1451="","",DATE(YEAR(A1451),MONTH(A1451),1))</f>
        <v/>
      </c>
    </row>
    <row r="1452">
      <c r="A1452" s="47" t="n"/>
      <c r="B1452" s="38" t="n"/>
      <c r="C1452" s="48" t="n"/>
      <c r="D1452" s="48" t="n"/>
      <c r="E1452" s="38" t="n"/>
      <c r="F1452" s="38" t="n"/>
      <c r="G1452" s="38" t="n"/>
      <c r="H1452" s="49">
        <f>IF(B1452="","",IFERROR(INDEX('JOBS'!$D$5:$D$1504,MATCH(B1452,'JOBS'!$A$5:$A$1504,0)),"Job ID not found"))</f>
        <v/>
      </c>
      <c r="I1452" s="49">
        <f>IF(B1452="","",IFERROR(INDEX('JOBS'!$F$5:$F$1504,MATCH(B1452,'JOBS'!$A$5:$A$1504,0)),""))</f>
        <v/>
      </c>
      <c r="J1452" s="55">
        <f>IF(C1452="","",ROUND(C1452*IF(IFERROR(INDEX('SETTINGS'!$K$5:$K$24,MATCH(E1452,'SETTINGS'!$J$5:$J$24,0)),"No")="Yes",FeePct,0),2))</f>
        <v/>
      </c>
      <c r="K1452" s="51">
        <f>IF(A1452="","",DATE(YEAR(A1452),MONTH(A1452),1))</f>
        <v/>
      </c>
    </row>
    <row r="1453">
      <c r="A1453" s="47" t="n"/>
      <c r="B1453" s="38" t="n"/>
      <c r="C1453" s="48" t="n"/>
      <c r="D1453" s="48" t="n"/>
      <c r="E1453" s="38" t="n"/>
      <c r="F1453" s="38" t="n"/>
      <c r="G1453" s="38" t="n"/>
      <c r="H1453" s="49">
        <f>IF(B1453="","",IFERROR(INDEX('JOBS'!$D$5:$D$1504,MATCH(B1453,'JOBS'!$A$5:$A$1504,0)),"Job ID not found"))</f>
        <v/>
      </c>
      <c r="I1453" s="49">
        <f>IF(B1453="","",IFERROR(INDEX('JOBS'!$F$5:$F$1504,MATCH(B1453,'JOBS'!$A$5:$A$1504,0)),""))</f>
        <v/>
      </c>
      <c r="J1453" s="55">
        <f>IF(C1453="","",ROUND(C1453*IF(IFERROR(INDEX('SETTINGS'!$K$5:$K$24,MATCH(E1453,'SETTINGS'!$J$5:$J$24,0)),"No")="Yes",FeePct,0),2))</f>
        <v/>
      </c>
      <c r="K1453" s="51">
        <f>IF(A1453="","",DATE(YEAR(A1453),MONTH(A1453),1))</f>
        <v/>
      </c>
    </row>
    <row r="1454">
      <c r="A1454" s="47" t="n"/>
      <c r="B1454" s="38" t="n"/>
      <c r="C1454" s="48" t="n"/>
      <c r="D1454" s="48" t="n"/>
      <c r="E1454" s="38" t="n"/>
      <c r="F1454" s="38" t="n"/>
      <c r="G1454" s="38" t="n"/>
      <c r="H1454" s="49">
        <f>IF(B1454="","",IFERROR(INDEX('JOBS'!$D$5:$D$1504,MATCH(B1454,'JOBS'!$A$5:$A$1504,0)),"Job ID not found"))</f>
        <v/>
      </c>
      <c r="I1454" s="49">
        <f>IF(B1454="","",IFERROR(INDEX('JOBS'!$F$5:$F$1504,MATCH(B1454,'JOBS'!$A$5:$A$1504,0)),""))</f>
        <v/>
      </c>
      <c r="J1454" s="55">
        <f>IF(C1454="","",ROUND(C1454*IF(IFERROR(INDEX('SETTINGS'!$K$5:$K$24,MATCH(E1454,'SETTINGS'!$J$5:$J$24,0)),"No")="Yes",FeePct,0),2))</f>
        <v/>
      </c>
      <c r="K1454" s="51">
        <f>IF(A1454="","",DATE(YEAR(A1454),MONTH(A1454),1))</f>
        <v/>
      </c>
    </row>
    <row r="1455">
      <c r="A1455" s="47" t="n"/>
      <c r="B1455" s="38" t="n"/>
      <c r="C1455" s="48" t="n"/>
      <c r="D1455" s="48" t="n"/>
      <c r="E1455" s="38" t="n"/>
      <c r="F1455" s="38" t="n"/>
      <c r="G1455" s="38" t="n"/>
      <c r="H1455" s="49">
        <f>IF(B1455="","",IFERROR(INDEX('JOBS'!$D$5:$D$1504,MATCH(B1455,'JOBS'!$A$5:$A$1504,0)),"Job ID not found"))</f>
        <v/>
      </c>
      <c r="I1455" s="49">
        <f>IF(B1455="","",IFERROR(INDEX('JOBS'!$F$5:$F$1504,MATCH(B1455,'JOBS'!$A$5:$A$1504,0)),""))</f>
        <v/>
      </c>
      <c r="J1455" s="55">
        <f>IF(C1455="","",ROUND(C1455*IF(IFERROR(INDEX('SETTINGS'!$K$5:$K$24,MATCH(E1455,'SETTINGS'!$J$5:$J$24,0)),"No")="Yes",FeePct,0),2))</f>
        <v/>
      </c>
      <c r="K1455" s="51">
        <f>IF(A1455="","",DATE(YEAR(A1455),MONTH(A1455),1))</f>
        <v/>
      </c>
    </row>
    <row r="1456">
      <c r="A1456" s="47" t="n"/>
      <c r="B1456" s="38" t="n"/>
      <c r="C1456" s="48" t="n"/>
      <c r="D1456" s="48" t="n"/>
      <c r="E1456" s="38" t="n"/>
      <c r="F1456" s="38" t="n"/>
      <c r="G1456" s="38" t="n"/>
      <c r="H1456" s="49">
        <f>IF(B1456="","",IFERROR(INDEX('JOBS'!$D$5:$D$1504,MATCH(B1456,'JOBS'!$A$5:$A$1504,0)),"Job ID not found"))</f>
        <v/>
      </c>
      <c r="I1456" s="49">
        <f>IF(B1456="","",IFERROR(INDEX('JOBS'!$F$5:$F$1504,MATCH(B1456,'JOBS'!$A$5:$A$1504,0)),""))</f>
        <v/>
      </c>
      <c r="J1456" s="55">
        <f>IF(C1456="","",ROUND(C1456*IF(IFERROR(INDEX('SETTINGS'!$K$5:$K$24,MATCH(E1456,'SETTINGS'!$J$5:$J$24,0)),"No")="Yes",FeePct,0),2))</f>
        <v/>
      </c>
      <c r="K1456" s="51">
        <f>IF(A1456="","",DATE(YEAR(A1456),MONTH(A1456),1))</f>
        <v/>
      </c>
    </row>
    <row r="1457">
      <c r="A1457" s="47" t="n"/>
      <c r="B1457" s="38" t="n"/>
      <c r="C1457" s="48" t="n"/>
      <c r="D1457" s="48" t="n"/>
      <c r="E1457" s="38" t="n"/>
      <c r="F1457" s="38" t="n"/>
      <c r="G1457" s="38" t="n"/>
      <c r="H1457" s="49">
        <f>IF(B1457="","",IFERROR(INDEX('JOBS'!$D$5:$D$1504,MATCH(B1457,'JOBS'!$A$5:$A$1504,0)),"Job ID not found"))</f>
        <v/>
      </c>
      <c r="I1457" s="49">
        <f>IF(B1457="","",IFERROR(INDEX('JOBS'!$F$5:$F$1504,MATCH(B1457,'JOBS'!$A$5:$A$1504,0)),""))</f>
        <v/>
      </c>
      <c r="J1457" s="55">
        <f>IF(C1457="","",ROUND(C1457*IF(IFERROR(INDEX('SETTINGS'!$K$5:$K$24,MATCH(E1457,'SETTINGS'!$J$5:$J$24,0)),"No")="Yes",FeePct,0),2))</f>
        <v/>
      </c>
      <c r="K1457" s="51">
        <f>IF(A1457="","",DATE(YEAR(A1457),MONTH(A1457),1))</f>
        <v/>
      </c>
    </row>
    <row r="1458">
      <c r="A1458" s="47" t="n"/>
      <c r="B1458" s="38" t="n"/>
      <c r="C1458" s="48" t="n"/>
      <c r="D1458" s="48" t="n"/>
      <c r="E1458" s="38" t="n"/>
      <c r="F1458" s="38" t="n"/>
      <c r="G1458" s="38" t="n"/>
      <c r="H1458" s="49">
        <f>IF(B1458="","",IFERROR(INDEX('JOBS'!$D$5:$D$1504,MATCH(B1458,'JOBS'!$A$5:$A$1504,0)),"Job ID not found"))</f>
        <v/>
      </c>
      <c r="I1458" s="49">
        <f>IF(B1458="","",IFERROR(INDEX('JOBS'!$F$5:$F$1504,MATCH(B1458,'JOBS'!$A$5:$A$1504,0)),""))</f>
        <v/>
      </c>
      <c r="J1458" s="55">
        <f>IF(C1458="","",ROUND(C1458*IF(IFERROR(INDEX('SETTINGS'!$K$5:$K$24,MATCH(E1458,'SETTINGS'!$J$5:$J$24,0)),"No")="Yes",FeePct,0),2))</f>
        <v/>
      </c>
      <c r="K1458" s="51">
        <f>IF(A1458="","",DATE(YEAR(A1458),MONTH(A1458),1))</f>
        <v/>
      </c>
    </row>
    <row r="1459">
      <c r="A1459" s="47" t="n"/>
      <c r="B1459" s="38" t="n"/>
      <c r="C1459" s="48" t="n"/>
      <c r="D1459" s="48" t="n"/>
      <c r="E1459" s="38" t="n"/>
      <c r="F1459" s="38" t="n"/>
      <c r="G1459" s="38" t="n"/>
      <c r="H1459" s="49">
        <f>IF(B1459="","",IFERROR(INDEX('JOBS'!$D$5:$D$1504,MATCH(B1459,'JOBS'!$A$5:$A$1504,0)),"Job ID not found"))</f>
        <v/>
      </c>
      <c r="I1459" s="49">
        <f>IF(B1459="","",IFERROR(INDEX('JOBS'!$F$5:$F$1504,MATCH(B1459,'JOBS'!$A$5:$A$1504,0)),""))</f>
        <v/>
      </c>
      <c r="J1459" s="55">
        <f>IF(C1459="","",ROUND(C1459*IF(IFERROR(INDEX('SETTINGS'!$K$5:$K$24,MATCH(E1459,'SETTINGS'!$J$5:$J$24,0)),"No")="Yes",FeePct,0),2))</f>
        <v/>
      </c>
      <c r="K1459" s="51">
        <f>IF(A1459="","",DATE(YEAR(A1459),MONTH(A1459),1))</f>
        <v/>
      </c>
    </row>
    <row r="1460">
      <c r="A1460" s="47" t="n"/>
      <c r="B1460" s="38" t="n"/>
      <c r="C1460" s="48" t="n"/>
      <c r="D1460" s="48" t="n"/>
      <c r="E1460" s="38" t="n"/>
      <c r="F1460" s="38" t="n"/>
      <c r="G1460" s="38" t="n"/>
      <c r="H1460" s="49">
        <f>IF(B1460="","",IFERROR(INDEX('JOBS'!$D$5:$D$1504,MATCH(B1460,'JOBS'!$A$5:$A$1504,0)),"Job ID not found"))</f>
        <v/>
      </c>
      <c r="I1460" s="49">
        <f>IF(B1460="","",IFERROR(INDEX('JOBS'!$F$5:$F$1504,MATCH(B1460,'JOBS'!$A$5:$A$1504,0)),""))</f>
        <v/>
      </c>
      <c r="J1460" s="55">
        <f>IF(C1460="","",ROUND(C1460*IF(IFERROR(INDEX('SETTINGS'!$K$5:$K$24,MATCH(E1460,'SETTINGS'!$J$5:$J$24,0)),"No")="Yes",FeePct,0),2))</f>
        <v/>
      </c>
      <c r="K1460" s="51">
        <f>IF(A1460="","",DATE(YEAR(A1460),MONTH(A1460),1))</f>
        <v/>
      </c>
    </row>
    <row r="1461">
      <c r="A1461" s="47" t="n"/>
      <c r="B1461" s="38" t="n"/>
      <c r="C1461" s="48" t="n"/>
      <c r="D1461" s="48" t="n"/>
      <c r="E1461" s="38" t="n"/>
      <c r="F1461" s="38" t="n"/>
      <c r="G1461" s="38" t="n"/>
      <c r="H1461" s="49">
        <f>IF(B1461="","",IFERROR(INDEX('JOBS'!$D$5:$D$1504,MATCH(B1461,'JOBS'!$A$5:$A$1504,0)),"Job ID not found"))</f>
        <v/>
      </c>
      <c r="I1461" s="49">
        <f>IF(B1461="","",IFERROR(INDEX('JOBS'!$F$5:$F$1504,MATCH(B1461,'JOBS'!$A$5:$A$1504,0)),""))</f>
        <v/>
      </c>
      <c r="J1461" s="55">
        <f>IF(C1461="","",ROUND(C1461*IF(IFERROR(INDEX('SETTINGS'!$K$5:$K$24,MATCH(E1461,'SETTINGS'!$J$5:$J$24,0)),"No")="Yes",FeePct,0),2))</f>
        <v/>
      </c>
      <c r="K1461" s="51">
        <f>IF(A1461="","",DATE(YEAR(A1461),MONTH(A1461),1))</f>
        <v/>
      </c>
    </row>
    <row r="1462">
      <c r="A1462" s="47" t="n"/>
      <c r="B1462" s="38" t="n"/>
      <c r="C1462" s="48" t="n"/>
      <c r="D1462" s="48" t="n"/>
      <c r="E1462" s="38" t="n"/>
      <c r="F1462" s="38" t="n"/>
      <c r="G1462" s="38" t="n"/>
      <c r="H1462" s="49">
        <f>IF(B1462="","",IFERROR(INDEX('JOBS'!$D$5:$D$1504,MATCH(B1462,'JOBS'!$A$5:$A$1504,0)),"Job ID not found"))</f>
        <v/>
      </c>
      <c r="I1462" s="49">
        <f>IF(B1462="","",IFERROR(INDEX('JOBS'!$F$5:$F$1504,MATCH(B1462,'JOBS'!$A$5:$A$1504,0)),""))</f>
        <v/>
      </c>
      <c r="J1462" s="55">
        <f>IF(C1462="","",ROUND(C1462*IF(IFERROR(INDEX('SETTINGS'!$K$5:$K$24,MATCH(E1462,'SETTINGS'!$J$5:$J$24,0)),"No")="Yes",FeePct,0),2))</f>
        <v/>
      </c>
      <c r="K1462" s="51">
        <f>IF(A1462="","",DATE(YEAR(A1462),MONTH(A1462),1))</f>
        <v/>
      </c>
    </row>
    <row r="1463">
      <c r="A1463" s="47" t="n"/>
      <c r="B1463" s="38" t="n"/>
      <c r="C1463" s="48" t="n"/>
      <c r="D1463" s="48" t="n"/>
      <c r="E1463" s="38" t="n"/>
      <c r="F1463" s="38" t="n"/>
      <c r="G1463" s="38" t="n"/>
      <c r="H1463" s="49">
        <f>IF(B1463="","",IFERROR(INDEX('JOBS'!$D$5:$D$1504,MATCH(B1463,'JOBS'!$A$5:$A$1504,0)),"Job ID not found"))</f>
        <v/>
      </c>
      <c r="I1463" s="49">
        <f>IF(B1463="","",IFERROR(INDEX('JOBS'!$F$5:$F$1504,MATCH(B1463,'JOBS'!$A$5:$A$1504,0)),""))</f>
        <v/>
      </c>
      <c r="J1463" s="55">
        <f>IF(C1463="","",ROUND(C1463*IF(IFERROR(INDEX('SETTINGS'!$K$5:$K$24,MATCH(E1463,'SETTINGS'!$J$5:$J$24,0)),"No")="Yes",FeePct,0),2))</f>
        <v/>
      </c>
      <c r="K1463" s="51">
        <f>IF(A1463="","",DATE(YEAR(A1463),MONTH(A1463),1))</f>
        <v/>
      </c>
    </row>
    <row r="1464">
      <c r="A1464" s="47" t="n"/>
      <c r="B1464" s="38" t="n"/>
      <c r="C1464" s="48" t="n"/>
      <c r="D1464" s="48" t="n"/>
      <c r="E1464" s="38" t="n"/>
      <c r="F1464" s="38" t="n"/>
      <c r="G1464" s="38" t="n"/>
      <c r="H1464" s="49">
        <f>IF(B1464="","",IFERROR(INDEX('JOBS'!$D$5:$D$1504,MATCH(B1464,'JOBS'!$A$5:$A$1504,0)),"Job ID not found"))</f>
        <v/>
      </c>
      <c r="I1464" s="49">
        <f>IF(B1464="","",IFERROR(INDEX('JOBS'!$F$5:$F$1504,MATCH(B1464,'JOBS'!$A$5:$A$1504,0)),""))</f>
        <v/>
      </c>
      <c r="J1464" s="55">
        <f>IF(C1464="","",ROUND(C1464*IF(IFERROR(INDEX('SETTINGS'!$K$5:$K$24,MATCH(E1464,'SETTINGS'!$J$5:$J$24,0)),"No")="Yes",FeePct,0),2))</f>
        <v/>
      </c>
      <c r="K1464" s="51">
        <f>IF(A1464="","",DATE(YEAR(A1464),MONTH(A1464),1))</f>
        <v/>
      </c>
    </row>
    <row r="1465">
      <c r="A1465" s="47" t="n"/>
      <c r="B1465" s="38" t="n"/>
      <c r="C1465" s="48" t="n"/>
      <c r="D1465" s="48" t="n"/>
      <c r="E1465" s="38" t="n"/>
      <c r="F1465" s="38" t="n"/>
      <c r="G1465" s="38" t="n"/>
      <c r="H1465" s="49">
        <f>IF(B1465="","",IFERROR(INDEX('JOBS'!$D$5:$D$1504,MATCH(B1465,'JOBS'!$A$5:$A$1504,0)),"Job ID not found"))</f>
        <v/>
      </c>
      <c r="I1465" s="49">
        <f>IF(B1465="","",IFERROR(INDEX('JOBS'!$F$5:$F$1504,MATCH(B1465,'JOBS'!$A$5:$A$1504,0)),""))</f>
        <v/>
      </c>
      <c r="J1465" s="55">
        <f>IF(C1465="","",ROUND(C1465*IF(IFERROR(INDEX('SETTINGS'!$K$5:$K$24,MATCH(E1465,'SETTINGS'!$J$5:$J$24,0)),"No")="Yes",FeePct,0),2))</f>
        <v/>
      </c>
      <c r="K1465" s="51">
        <f>IF(A1465="","",DATE(YEAR(A1465),MONTH(A1465),1))</f>
        <v/>
      </c>
    </row>
    <row r="1466">
      <c r="A1466" s="47" t="n"/>
      <c r="B1466" s="38" t="n"/>
      <c r="C1466" s="48" t="n"/>
      <c r="D1466" s="48" t="n"/>
      <c r="E1466" s="38" t="n"/>
      <c r="F1466" s="38" t="n"/>
      <c r="G1466" s="38" t="n"/>
      <c r="H1466" s="49">
        <f>IF(B1466="","",IFERROR(INDEX('JOBS'!$D$5:$D$1504,MATCH(B1466,'JOBS'!$A$5:$A$1504,0)),"Job ID not found"))</f>
        <v/>
      </c>
      <c r="I1466" s="49">
        <f>IF(B1466="","",IFERROR(INDEX('JOBS'!$F$5:$F$1504,MATCH(B1466,'JOBS'!$A$5:$A$1504,0)),""))</f>
        <v/>
      </c>
      <c r="J1466" s="55">
        <f>IF(C1466="","",ROUND(C1466*IF(IFERROR(INDEX('SETTINGS'!$K$5:$K$24,MATCH(E1466,'SETTINGS'!$J$5:$J$24,0)),"No")="Yes",FeePct,0),2))</f>
        <v/>
      </c>
      <c r="K1466" s="51">
        <f>IF(A1466="","",DATE(YEAR(A1466),MONTH(A1466),1))</f>
        <v/>
      </c>
    </row>
    <row r="1467">
      <c r="A1467" s="47" t="n"/>
      <c r="B1467" s="38" t="n"/>
      <c r="C1467" s="48" t="n"/>
      <c r="D1467" s="48" t="n"/>
      <c r="E1467" s="38" t="n"/>
      <c r="F1467" s="38" t="n"/>
      <c r="G1467" s="38" t="n"/>
      <c r="H1467" s="49">
        <f>IF(B1467="","",IFERROR(INDEX('JOBS'!$D$5:$D$1504,MATCH(B1467,'JOBS'!$A$5:$A$1504,0)),"Job ID not found"))</f>
        <v/>
      </c>
      <c r="I1467" s="49">
        <f>IF(B1467="","",IFERROR(INDEX('JOBS'!$F$5:$F$1504,MATCH(B1467,'JOBS'!$A$5:$A$1504,0)),""))</f>
        <v/>
      </c>
      <c r="J1467" s="55">
        <f>IF(C1467="","",ROUND(C1467*IF(IFERROR(INDEX('SETTINGS'!$K$5:$K$24,MATCH(E1467,'SETTINGS'!$J$5:$J$24,0)),"No")="Yes",FeePct,0),2))</f>
        <v/>
      </c>
      <c r="K1467" s="51">
        <f>IF(A1467="","",DATE(YEAR(A1467),MONTH(A1467),1))</f>
        <v/>
      </c>
    </row>
    <row r="1468">
      <c r="A1468" s="47" t="n"/>
      <c r="B1468" s="38" t="n"/>
      <c r="C1468" s="48" t="n"/>
      <c r="D1468" s="48" t="n"/>
      <c r="E1468" s="38" t="n"/>
      <c r="F1468" s="38" t="n"/>
      <c r="G1468" s="38" t="n"/>
      <c r="H1468" s="49">
        <f>IF(B1468="","",IFERROR(INDEX('JOBS'!$D$5:$D$1504,MATCH(B1468,'JOBS'!$A$5:$A$1504,0)),"Job ID not found"))</f>
        <v/>
      </c>
      <c r="I1468" s="49">
        <f>IF(B1468="","",IFERROR(INDEX('JOBS'!$F$5:$F$1504,MATCH(B1468,'JOBS'!$A$5:$A$1504,0)),""))</f>
        <v/>
      </c>
      <c r="J1468" s="55">
        <f>IF(C1468="","",ROUND(C1468*IF(IFERROR(INDEX('SETTINGS'!$K$5:$K$24,MATCH(E1468,'SETTINGS'!$J$5:$J$24,0)),"No")="Yes",FeePct,0),2))</f>
        <v/>
      </c>
      <c r="K1468" s="51">
        <f>IF(A1468="","",DATE(YEAR(A1468),MONTH(A1468),1))</f>
        <v/>
      </c>
    </row>
    <row r="1469">
      <c r="A1469" s="47" t="n"/>
      <c r="B1469" s="38" t="n"/>
      <c r="C1469" s="48" t="n"/>
      <c r="D1469" s="48" t="n"/>
      <c r="E1469" s="38" t="n"/>
      <c r="F1469" s="38" t="n"/>
      <c r="G1469" s="38" t="n"/>
      <c r="H1469" s="49">
        <f>IF(B1469="","",IFERROR(INDEX('JOBS'!$D$5:$D$1504,MATCH(B1469,'JOBS'!$A$5:$A$1504,0)),"Job ID not found"))</f>
        <v/>
      </c>
      <c r="I1469" s="49">
        <f>IF(B1469="","",IFERROR(INDEX('JOBS'!$F$5:$F$1504,MATCH(B1469,'JOBS'!$A$5:$A$1504,0)),""))</f>
        <v/>
      </c>
      <c r="J1469" s="55">
        <f>IF(C1469="","",ROUND(C1469*IF(IFERROR(INDEX('SETTINGS'!$K$5:$K$24,MATCH(E1469,'SETTINGS'!$J$5:$J$24,0)),"No")="Yes",FeePct,0),2))</f>
        <v/>
      </c>
      <c r="K1469" s="51">
        <f>IF(A1469="","",DATE(YEAR(A1469),MONTH(A1469),1))</f>
        <v/>
      </c>
    </row>
    <row r="1470">
      <c r="A1470" s="47" t="n"/>
      <c r="B1470" s="38" t="n"/>
      <c r="C1470" s="48" t="n"/>
      <c r="D1470" s="48" t="n"/>
      <c r="E1470" s="38" t="n"/>
      <c r="F1470" s="38" t="n"/>
      <c r="G1470" s="38" t="n"/>
      <c r="H1470" s="49">
        <f>IF(B1470="","",IFERROR(INDEX('JOBS'!$D$5:$D$1504,MATCH(B1470,'JOBS'!$A$5:$A$1504,0)),"Job ID not found"))</f>
        <v/>
      </c>
      <c r="I1470" s="49">
        <f>IF(B1470="","",IFERROR(INDEX('JOBS'!$F$5:$F$1504,MATCH(B1470,'JOBS'!$A$5:$A$1504,0)),""))</f>
        <v/>
      </c>
      <c r="J1470" s="55">
        <f>IF(C1470="","",ROUND(C1470*IF(IFERROR(INDEX('SETTINGS'!$K$5:$K$24,MATCH(E1470,'SETTINGS'!$J$5:$J$24,0)),"No")="Yes",FeePct,0),2))</f>
        <v/>
      </c>
      <c r="K1470" s="51">
        <f>IF(A1470="","",DATE(YEAR(A1470),MONTH(A1470),1))</f>
        <v/>
      </c>
    </row>
    <row r="1471">
      <c r="A1471" s="47" t="n"/>
      <c r="B1471" s="38" t="n"/>
      <c r="C1471" s="48" t="n"/>
      <c r="D1471" s="48" t="n"/>
      <c r="E1471" s="38" t="n"/>
      <c r="F1471" s="38" t="n"/>
      <c r="G1471" s="38" t="n"/>
      <c r="H1471" s="49">
        <f>IF(B1471="","",IFERROR(INDEX('JOBS'!$D$5:$D$1504,MATCH(B1471,'JOBS'!$A$5:$A$1504,0)),"Job ID not found"))</f>
        <v/>
      </c>
      <c r="I1471" s="49">
        <f>IF(B1471="","",IFERROR(INDEX('JOBS'!$F$5:$F$1504,MATCH(B1471,'JOBS'!$A$5:$A$1504,0)),""))</f>
        <v/>
      </c>
      <c r="J1471" s="55">
        <f>IF(C1471="","",ROUND(C1471*IF(IFERROR(INDEX('SETTINGS'!$K$5:$K$24,MATCH(E1471,'SETTINGS'!$J$5:$J$24,0)),"No")="Yes",FeePct,0),2))</f>
        <v/>
      </c>
      <c r="K1471" s="51">
        <f>IF(A1471="","",DATE(YEAR(A1471),MONTH(A1471),1))</f>
        <v/>
      </c>
    </row>
    <row r="1472">
      <c r="A1472" s="47" t="n"/>
      <c r="B1472" s="38" t="n"/>
      <c r="C1472" s="48" t="n"/>
      <c r="D1472" s="48" t="n"/>
      <c r="E1472" s="38" t="n"/>
      <c r="F1472" s="38" t="n"/>
      <c r="G1472" s="38" t="n"/>
      <c r="H1472" s="49">
        <f>IF(B1472="","",IFERROR(INDEX('JOBS'!$D$5:$D$1504,MATCH(B1472,'JOBS'!$A$5:$A$1504,0)),"Job ID not found"))</f>
        <v/>
      </c>
      <c r="I1472" s="49">
        <f>IF(B1472="","",IFERROR(INDEX('JOBS'!$F$5:$F$1504,MATCH(B1472,'JOBS'!$A$5:$A$1504,0)),""))</f>
        <v/>
      </c>
      <c r="J1472" s="55">
        <f>IF(C1472="","",ROUND(C1472*IF(IFERROR(INDEX('SETTINGS'!$K$5:$K$24,MATCH(E1472,'SETTINGS'!$J$5:$J$24,0)),"No")="Yes",FeePct,0),2))</f>
        <v/>
      </c>
      <c r="K1472" s="51">
        <f>IF(A1472="","",DATE(YEAR(A1472),MONTH(A1472),1))</f>
        <v/>
      </c>
    </row>
    <row r="1473">
      <c r="A1473" s="47" t="n"/>
      <c r="B1473" s="38" t="n"/>
      <c r="C1473" s="48" t="n"/>
      <c r="D1473" s="48" t="n"/>
      <c r="E1473" s="38" t="n"/>
      <c r="F1473" s="38" t="n"/>
      <c r="G1473" s="38" t="n"/>
      <c r="H1473" s="49">
        <f>IF(B1473="","",IFERROR(INDEX('JOBS'!$D$5:$D$1504,MATCH(B1473,'JOBS'!$A$5:$A$1504,0)),"Job ID not found"))</f>
        <v/>
      </c>
      <c r="I1473" s="49">
        <f>IF(B1473="","",IFERROR(INDEX('JOBS'!$F$5:$F$1504,MATCH(B1473,'JOBS'!$A$5:$A$1504,0)),""))</f>
        <v/>
      </c>
      <c r="J1473" s="55">
        <f>IF(C1473="","",ROUND(C1473*IF(IFERROR(INDEX('SETTINGS'!$K$5:$K$24,MATCH(E1473,'SETTINGS'!$J$5:$J$24,0)),"No")="Yes",FeePct,0),2))</f>
        <v/>
      </c>
      <c r="K1473" s="51">
        <f>IF(A1473="","",DATE(YEAR(A1473),MONTH(A1473),1))</f>
        <v/>
      </c>
    </row>
    <row r="1474">
      <c r="A1474" s="47" t="n"/>
      <c r="B1474" s="38" t="n"/>
      <c r="C1474" s="48" t="n"/>
      <c r="D1474" s="48" t="n"/>
      <c r="E1474" s="38" t="n"/>
      <c r="F1474" s="38" t="n"/>
      <c r="G1474" s="38" t="n"/>
      <c r="H1474" s="49">
        <f>IF(B1474="","",IFERROR(INDEX('JOBS'!$D$5:$D$1504,MATCH(B1474,'JOBS'!$A$5:$A$1504,0)),"Job ID not found"))</f>
        <v/>
      </c>
      <c r="I1474" s="49">
        <f>IF(B1474="","",IFERROR(INDEX('JOBS'!$F$5:$F$1504,MATCH(B1474,'JOBS'!$A$5:$A$1504,0)),""))</f>
        <v/>
      </c>
      <c r="J1474" s="55">
        <f>IF(C1474="","",ROUND(C1474*IF(IFERROR(INDEX('SETTINGS'!$K$5:$K$24,MATCH(E1474,'SETTINGS'!$J$5:$J$24,0)),"No")="Yes",FeePct,0),2))</f>
        <v/>
      </c>
      <c r="K1474" s="51">
        <f>IF(A1474="","",DATE(YEAR(A1474),MONTH(A1474),1))</f>
        <v/>
      </c>
    </row>
    <row r="1475">
      <c r="A1475" s="47" t="n"/>
      <c r="B1475" s="38" t="n"/>
      <c r="C1475" s="48" t="n"/>
      <c r="D1475" s="48" t="n"/>
      <c r="E1475" s="38" t="n"/>
      <c r="F1475" s="38" t="n"/>
      <c r="G1475" s="38" t="n"/>
      <c r="H1475" s="49">
        <f>IF(B1475="","",IFERROR(INDEX('JOBS'!$D$5:$D$1504,MATCH(B1475,'JOBS'!$A$5:$A$1504,0)),"Job ID not found"))</f>
        <v/>
      </c>
      <c r="I1475" s="49">
        <f>IF(B1475="","",IFERROR(INDEX('JOBS'!$F$5:$F$1504,MATCH(B1475,'JOBS'!$A$5:$A$1504,0)),""))</f>
        <v/>
      </c>
      <c r="J1475" s="55">
        <f>IF(C1475="","",ROUND(C1475*IF(IFERROR(INDEX('SETTINGS'!$K$5:$K$24,MATCH(E1475,'SETTINGS'!$J$5:$J$24,0)),"No")="Yes",FeePct,0),2))</f>
        <v/>
      </c>
      <c r="K1475" s="51">
        <f>IF(A1475="","",DATE(YEAR(A1475),MONTH(A1475),1))</f>
        <v/>
      </c>
    </row>
    <row r="1476">
      <c r="A1476" s="47" t="n"/>
      <c r="B1476" s="38" t="n"/>
      <c r="C1476" s="48" t="n"/>
      <c r="D1476" s="48" t="n"/>
      <c r="E1476" s="38" t="n"/>
      <c r="F1476" s="38" t="n"/>
      <c r="G1476" s="38" t="n"/>
      <c r="H1476" s="49">
        <f>IF(B1476="","",IFERROR(INDEX('JOBS'!$D$5:$D$1504,MATCH(B1476,'JOBS'!$A$5:$A$1504,0)),"Job ID not found"))</f>
        <v/>
      </c>
      <c r="I1476" s="49">
        <f>IF(B1476="","",IFERROR(INDEX('JOBS'!$F$5:$F$1504,MATCH(B1476,'JOBS'!$A$5:$A$1504,0)),""))</f>
        <v/>
      </c>
      <c r="J1476" s="55">
        <f>IF(C1476="","",ROUND(C1476*IF(IFERROR(INDEX('SETTINGS'!$K$5:$K$24,MATCH(E1476,'SETTINGS'!$J$5:$J$24,0)),"No")="Yes",FeePct,0),2))</f>
        <v/>
      </c>
      <c r="K1476" s="51">
        <f>IF(A1476="","",DATE(YEAR(A1476),MONTH(A1476),1))</f>
        <v/>
      </c>
    </row>
    <row r="1477">
      <c r="A1477" s="47" t="n"/>
      <c r="B1477" s="38" t="n"/>
      <c r="C1477" s="48" t="n"/>
      <c r="D1477" s="48" t="n"/>
      <c r="E1477" s="38" t="n"/>
      <c r="F1477" s="38" t="n"/>
      <c r="G1477" s="38" t="n"/>
      <c r="H1477" s="49">
        <f>IF(B1477="","",IFERROR(INDEX('JOBS'!$D$5:$D$1504,MATCH(B1477,'JOBS'!$A$5:$A$1504,0)),"Job ID not found"))</f>
        <v/>
      </c>
      <c r="I1477" s="49">
        <f>IF(B1477="","",IFERROR(INDEX('JOBS'!$F$5:$F$1504,MATCH(B1477,'JOBS'!$A$5:$A$1504,0)),""))</f>
        <v/>
      </c>
      <c r="J1477" s="55">
        <f>IF(C1477="","",ROUND(C1477*IF(IFERROR(INDEX('SETTINGS'!$K$5:$K$24,MATCH(E1477,'SETTINGS'!$J$5:$J$24,0)),"No")="Yes",FeePct,0),2))</f>
        <v/>
      </c>
      <c r="K1477" s="51">
        <f>IF(A1477="","",DATE(YEAR(A1477),MONTH(A1477),1))</f>
        <v/>
      </c>
    </row>
    <row r="1478">
      <c r="A1478" s="47" t="n"/>
      <c r="B1478" s="38" t="n"/>
      <c r="C1478" s="48" t="n"/>
      <c r="D1478" s="48" t="n"/>
      <c r="E1478" s="38" t="n"/>
      <c r="F1478" s="38" t="n"/>
      <c r="G1478" s="38" t="n"/>
      <c r="H1478" s="49">
        <f>IF(B1478="","",IFERROR(INDEX('JOBS'!$D$5:$D$1504,MATCH(B1478,'JOBS'!$A$5:$A$1504,0)),"Job ID not found"))</f>
        <v/>
      </c>
      <c r="I1478" s="49">
        <f>IF(B1478="","",IFERROR(INDEX('JOBS'!$F$5:$F$1504,MATCH(B1478,'JOBS'!$A$5:$A$1504,0)),""))</f>
        <v/>
      </c>
      <c r="J1478" s="55">
        <f>IF(C1478="","",ROUND(C1478*IF(IFERROR(INDEX('SETTINGS'!$K$5:$K$24,MATCH(E1478,'SETTINGS'!$J$5:$J$24,0)),"No")="Yes",FeePct,0),2))</f>
        <v/>
      </c>
      <c r="K1478" s="51">
        <f>IF(A1478="","",DATE(YEAR(A1478),MONTH(A1478),1))</f>
        <v/>
      </c>
    </row>
    <row r="1479">
      <c r="A1479" s="47" t="n"/>
      <c r="B1479" s="38" t="n"/>
      <c r="C1479" s="48" t="n"/>
      <c r="D1479" s="48" t="n"/>
      <c r="E1479" s="38" t="n"/>
      <c r="F1479" s="38" t="n"/>
      <c r="G1479" s="38" t="n"/>
      <c r="H1479" s="49">
        <f>IF(B1479="","",IFERROR(INDEX('JOBS'!$D$5:$D$1504,MATCH(B1479,'JOBS'!$A$5:$A$1504,0)),"Job ID not found"))</f>
        <v/>
      </c>
      <c r="I1479" s="49">
        <f>IF(B1479="","",IFERROR(INDEX('JOBS'!$F$5:$F$1504,MATCH(B1479,'JOBS'!$A$5:$A$1504,0)),""))</f>
        <v/>
      </c>
      <c r="J1479" s="55">
        <f>IF(C1479="","",ROUND(C1479*IF(IFERROR(INDEX('SETTINGS'!$K$5:$K$24,MATCH(E1479,'SETTINGS'!$J$5:$J$24,0)),"No")="Yes",FeePct,0),2))</f>
        <v/>
      </c>
      <c r="K1479" s="51">
        <f>IF(A1479="","",DATE(YEAR(A1479),MONTH(A1479),1))</f>
        <v/>
      </c>
    </row>
    <row r="1480">
      <c r="A1480" s="47" t="n"/>
      <c r="B1480" s="38" t="n"/>
      <c r="C1480" s="48" t="n"/>
      <c r="D1480" s="48" t="n"/>
      <c r="E1480" s="38" t="n"/>
      <c r="F1480" s="38" t="n"/>
      <c r="G1480" s="38" t="n"/>
      <c r="H1480" s="49">
        <f>IF(B1480="","",IFERROR(INDEX('JOBS'!$D$5:$D$1504,MATCH(B1480,'JOBS'!$A$5:$A$1504,0)),"Job ID not found"))</f>
        <v/>
      </c>
      <c r="I1480" s="49">
        <f>IF(B1480="","",IFERROR(INDEX('JOBS'!$F$5:$F$1504,MATCH(B1480,'JOBS'!$A$5:$A$1504,0)),""))</f>
        <v/>
      </c>
      <c r="J1480" s="55">
        <f>IF(C1480="","",ROUND(C1480*IF(IFERROR(INDEX('SETTINGS'!$K$5:$K$24,MATCH(E1480,'SETTINGS'!$J$5:$J$24,0)),"No")="Yes",FeePct,0),2))</f>
        <v/>
      </c>
      <c r="K1480" s="51">
        <f>IF(A1480="","",DATE(YEAR(A1480),MONTH(A1480),1))</f>
        <v/>
      </c>
    </row>
    <row r="1481">
      <c r="A1481" s="47" t="n"/>
      <c r="B1481" s="38" t="n"/>
      <c r="C1481" s="48" t="n"/>
      <c r="D1481" s="48" t="n"/>
      <c r="E1481" s="38" t="n"/>
      <c r="F1481" s="38" t="n"/>
      <c r="G1481" s="38" t="n"/>
      <c r="H1481" s="49">
        <f>IF(B1481="","",IFERROR(INDEX('JOBS'!$D$5:$D$1504,MATCH(B1481,'JOBS'!$A$5:$A$1504,0)),"Job ID not found"))</f>
        <v/>
      </c>
      <c r="I1481" s="49">
        <f>IF(B1481="","",IFERROR(INDEX('JOBS'!$F$5:$F$1504,MATCH(B1481,'JOBS'!$A$5:$A$1504,0)),""))</f>
        <v/>
      </c>
      <c r="J1481" s="55">
        <f>IF(C1481="","",ROUND(C1481*IF(IFERROR(INDEX('SETTINGS'!$K$5:$K$24,MATCH(E1481,'SETTINGS'!$J$5:$J$24,0)),"No")="Yes",FeePct,0),2))</f>
        <v/>
      </c>
      <c r="K1481" s="51">
        <f>IF(A1481="","",DATE(YEAR(A1481),MONTH(A1481),1))</f>
        <v/>
      </c>
    </row>
    <row r="1482">
      <c r="A1482" s="47" t="n"/>
      <c r="B1482" s="38" t="n"/>
      <c r="C1482" s="48" t="n"/>
      <c r="D1482" s="48" t="n"/>
      <c r="E1482" s="38" t="n"/>
      <c r="F1482" s="38" t="n"/>
      <c r="G1482" s="38" t="n"/>
      <c r="H1482" s="49">
        <f>IF(B1482="","",IFERROR(INDEX('JOBS'!$D$5:$D$1504,MATCH(B1482,'JOBS'!$A$5:$A$1504,0)),"Job ID not found"))</f>
        <v/>
      </c>
      <c r="I1482" s="49">
        <f>IF(B1482="","",IFERROR(INDEX('JOBS'!$F$5:$F$1504,MATCH(B1482,'JOBS'!$A$5:$A$1504,0)),""))</f>
        <v/>
      </c>
      <c r="J1482" s="55">
        <f>IF(C1482="","",ROUND(C1482*IF(IFERROR(INDEX('SETTINGS'!$K$5:$K$24,MATCH(E1482,'SETTINGS'!$J$5:$J$24,0)),"No")="Yes",FeePct,0),2))</f>
        <v/>
      </c>
      <c r="K1482" s="51">
        <f>IF(A1482="","",DATE(YEAR(A1482),MONTH(A1482),1))</f>
        <v/>
      </c>
    </row>
    <row r="1483">
      <c r="A1483" s="47" t="n"/>
      <c r="B1483" s="38" t="n"/>
      <c r="C1483" s="48" t="n"/>
      <c r="D1483" s="48" t="n"/>
      <c r="E1483" s="38" t="n"/>
      <c r="F1483" s="38" t="n"/>
      <c r="G1483" s="38" t="n"/>
      <c r="H1483" s="49">
        <f>IF(B1483="","",IFERROR(INDEX('JOBS'!$D$5:$D$1504,MATCH(B1483,'JOBS'!$A$5:$A$1504,0)),"Job ID not found"))</f>
        <v/>
      </c>
      <c r="I1483" s="49">
        <f>IF(B1483="","",IFERROR(INDEX('JOBS'!$F$5:$F$1504,MATCH(B1483,'JOBS'!$A$5:$A$1504,0)),""))</f>
        <v/>
      </c>
      <c r="J1483" s="55">
        <f>IF(C1483="","",ROUND(C1483*IF(IFERROR(INDEX('SETTINGS'!$K$5:$K$24,MATCH(E1483,'SETTINGS'!$J$5:$J$24,0)),"No")="Yes",FeePct,0),2))</f>
        <v/>
      </c>
      <c r="K1483" s="51">
        <f>IF(A1483="","",DATE(YEAR(A1483),MONTH(A1483),1))</f>
        <v/>
      </c>
    </row>
    <row r="1484">
      <c r="A1484" s="47" t="n"/>
      <c r="B1484" s="38" t="n"/>
      <c r="C1484" s="48" t="n"/>
      <c r="D1484" s="48" t="n"/>
      <c r="E1484" s="38" t="n"/>
      <c r="F1484" s="38" t="n"/>
      <c r="G1484" s="38" t="n"/>
      <c r="H1484" s="49">
        <f>IF(B1484="","",IFERROR(INDEX('JOBS'!$D$5:$D$1504,MATCH(B1484,'JOBS'!$A$5:$A$1504,0)),"Job ID not found"))</f>
        <v/>
      </c>
      <c r="I1484" s="49">
        <f>IF(B1484="","",IFERROR(INDEX('JOBS'!$F$5:$F$1504,MATCH(B1484,'JOBS'!$A$5:$A$1504,0)),""))</f>
        <v/>
      </c>
      <c r="J1484" s="55">
        <f>IF(C1484="","",ROUND(C1484*IF(IFERROR(INDEX('SETTINGS'!$K$5:$K$24,MATCH(E1484,'SETTINGS'!$J$5:$J$24,0)),"No")="Yes",FeePct,0),2))</f>
        <v/>
      </c>
      <c r="K1484" s="51">
        <f>IF(A1484="","",DATE(YEAR(A1484),MONTH(A1484),1))</f>
        <v/>
      </c>
    </row>
    <row r="1485">
      <c r="A1485" s="47" t="n"/>
      <c r="B1485" s="38" t="n"/>
      <c r="C1485" s="48" t="n"/>
      <c r="D1485" s="48" t="n"/>
      <c r="E1485" s="38" t="n"/>
      <c r="F1485" s="38" t="n"/>
      <c r="G1485" s="38" t="n"/>
      <c r="H1485" s="49">
        <f>IF(B1485="","",IFERROR(INDEX('JOBS'!$D$5:$D$1504,MATCH(B1485,'JOBS'!$A$5:$A$1504,0)),"Job ID not found"))</f>
        <v/>
      </c>
      <c r="I1485" s="49">
        <f>IF(B1485="","",IFERROR(INDEX('JOBS'!$F$5:$F$1504,MATCH(B1485,'JOBS'!$A$5:$A$1504,0)),""))</f>
        <v/>
      </c>
      <c r="J1485" s="55">
        <f>IF(C1485="","",ROUND(C1485*IF(IFERROR(INDEX('SETTINGS'!$K$5:$K$24,MATCH(E1485,'SETTINGS'!$J$5:$J$24,0)),"No")="Yes",FeePct,0),2))</f>
        <v/>
      </c>
      <c r="K1485" s="51">
        <f>IF(A1485="","",DATE(YEAR(A1485),MONTH(A1485),1))</f>
        <v/>
      </c>
    </row>
    <row r="1486">
      <c r="A1486" s="47" t="n"/>
      <c r="B1486" s="38" t="n"/>
      <c r="C1486" s="48" t="n"/>
      <c r="D1486" s="48" t="n"/>
      <c r="E1486" s="38" t="n"/>
      <c r="F1486" s="38" t="n"/>
      <c r="G1486" s="38" t="n"/>
      <c r="H1486" s="49">
        <f>IF(B1486="","",IFERROR(INDEX('JOBS'!$D$5:$D$1504,MATCH(B1486,'JOBS'!$A$5:$A$1504,0)),"Job ID not found"))</f>
        <v/>
      </c>
      <c r="I1486" s="49">
        <f>IF(B1486="","",IFERROR(INDEX('JOBS'!$F$5:$F$1504,MATCH(B1486,'JOBS'!$A$5:$A$1504,0)),""))</f>
        <v/>
      </c>
      <c r="J1486" s="55">
        <f>IF(C1486="","",ROUND(C1486*IF(IFERROR(INDEX('SETTINGS'!$K$5:$K$24,MATCH(E1486,'SETTINGS'!$J$5:$J$24,0)),"No")="Yes",FeePct,0),2))</f>
        <v/>
      </c>
      <c r="K1486" s="51">
        <f>IF(A1486="","",DATE(YEAR(A1486),MONTH(A1486),1))</f>
        <v/>
      </c>
    </row>
    <row r="1487">
      <c r="A1487" s="47" t="n"/>
      <c r="B1487" s="38" t="n"/>
      <c r="C1487" s="48" t="n"/>
      <c r="D1487" s="48" t="n"/>
      <c r="E1487" s="38" t="n"/>
      <c r="F1487" s="38" t="n"/>
      <c r="G1487" s="38" t="n"/>
      <c r="H1487" s="49">
        <f>IF(B1487="","",IFERROR(INDEX('JOBS'!$D$5:$D$1504,MATCH(B1487,'JOBS'!$A$5:$A$1504,0)),"Job ID not found"))</f>
        <v/>
      </c>
      <c r="I1487" s="49">
        <f>IF(B1487="","",IFERROR(INDEX('JOBS'!$F$5:$F$1504,MATCH(B1487,'JOBS'!$A$5:$A$1504,0)),""))</f>
        <v/>
      </c>
      <c r="J1487" s="55">
        <f>IF(C1487="","",ROUND(C1487*IF(IFERROR(INDEX('SETTINGS'!$K$5:$K$24,MATCH(E1487,'SETTINGS'!$J$5:$J$24,0)),"No")="Yes",FeePct,0),2))</f>
        <v/>
      </c>
      <c r="K1487" s="51">
        <f>IF(A1487="","",DATE(YEAR(A1487),MONTH(A1487),1))</f>
        <v/>
      </c>
    </row>
    <row r="1488">
      <c r="A1488" s="47" t="n"/>
      <c r="B1488" s="38" t="n"/>
      <c r="C1488" s="48" t="n"/>
      <c r="D1488" s="48" t="n"/>
      <c r="E1488" s="38" t="n"/>
      <c r="F1488" s="38" t="n"/>
      <c r="G1488" s="38" t="n"/>
      <c r="H1488" s="49">
        <f>IF(B1488="","",IFERROR(INDEX('JOBS'!$D$5:$D$1504,MATCH(B1488,'JOBS'!$A$5:$A$1504,0)),"Job ID not found"))</f>
        <v/>
      </c>
      <c r="I1488" s="49">
        <f>IF(B1488="","",IFERROR(INDEX('JOBS'!$F$5:$F$1504,MATCH(B1488,'JOBS'!$A$5:$A$1504,0)),""))</f>
        <v/>
      </c>
      <c r="J1488" s="55">
        <f>IF(C1488="","",ROUND(C1488*IF(IFERROR(INDEX('SETTINGS'!$K$5:$K$24,MATCH(E1488,'SETTINGS'!$J$5:$J$24,0)),"No")="Yes",FeePct,0),2))</f>
        <v/>
      </c>
      <c r="K1488" s="51">
        <f>IF(A1488="","",DATE(YEAR(A1488),MONTH(A1488),1))</f>
        <v/>
      </c>
    </row>
    <row r="1489">
      <c r="A1489" s="47" t="n"/>
      <c r="B1489" s="38" t="n"/>
      <c r="C1489" s="48" t="n"/>
      <c r="D1489" s="48" t="n"/>
      <c r="E1489" s="38" t="n"/>
      <c r="F1489" s="38" t="n"/>
      <c r="G1489" s="38" t="n"/>
      <c r="H1489" s="49">
        <f>IF(B1489="","",IFERROR(INDEX('JOBS'!$D$5:$D$1504,MATCH(B1489,'JOBS'!$A$5:$A$1504,0)),"Job ID not found"))</f>
        <v/>
      </c>
      <c r="I1489" s="49">
        <f>IF(B1489="","",IFERROR(INDEX('JOBS'!$F$5:$F$1504,MATCH(B1489,'JOBS'!$A$5:$A$1504,0)),""))</f>
        <v/>
      </c>
      <c r="J1489" s="55">
        <f>IF(C1489="","",ROUND(C1489*IF(IFERROR(INDEX('SETTINGS'!$K$5:$K$24,MATCH(E1489,'SETTINGS'!$J$5:$J$24,0)),"No")="Yes",FeePct,0),2))</f>
        <v/>
      </c>
      <c r="K1489" s="51">
        <f>IF(A1489="","",DATE(YEAR(A1489),MONTH(A1489),1))</f>
        <v/>
      </c>
    </row>
    <row r="1490">
      <c r="A1490" s="47" t="n"/>
      <c r="B1490" s="38" t="n"/>
      <c r="C1490" s="48" t="n"/>
      <c r="D1490" s="48" t="n"/>
      <c r="E1490" s="38" t="n"/>
      <c r="F1490" s="38" t="n"/>
      <c r="G1490" s="38" t="n"/>
      <c r="H1490" s="49">
        <f>IF(B1490="","",IFERROR(INDEX('JOBS'!$D$5:$D$1504,MATCH(B1490,'JOBS'!$A$5:$A$1504,0)),"Job ID not found"))</f>
        <v/>
      </c>
      <c r="I1490" s="49">
        <f>IF(B1490="","",IFERROR(INDEX('JOBS'!$F$5:$F$1504,MATCH(B1490,'JOBS'!$A$5:$A$1504,0)),""))</f>
        <v/>
      </c>
      <c r="J1490" s="55">
        <f>IF(C1490="","",ROUND(C1490*IF(IFERROR(INDEX('SETTINGS'!$K$5:$K$24,MATCH(E1490,'SETTINGS'!$J$5:$J$24,0)),"No")="Yes",FeePct,0),2))</f>
        <v/>
      </c>
      <c r="K1490" s="51">
        <f>IF(A1490="","",DATE(YEAR(A1490),MONTH(A1490),1))</f>
        <v/>
      </c>
    </row>
    <row r="1491">
      <c r="A1491" s="47" t="n"/>
      <c r="B1491" s="38" t="n"/>
      <c r="C1491" s="48" t="n"/>
      <c r="D1491" s="48" t="n"/>
      <c r="E1491" s="38" t="n"/>
      <c r="F1491" s="38" t="n"/>
      <c r="G1491" s="38" t="n"/>
      <c r="H1491" s="49">
        <f>IF(B1491="","",IFERROR(INDEX('JOBS'!$D$5:$D$1504,MATCH(B1491,'JOBS'!$A$5:$A$1504,0)),"Job ID not found"))</f>
        <v/>
      </c>
      <c r="I1491" s="49">
        <f>IF(B1491="","",IFERROR(INDEX('JOBS'!$F$5:$F$1504,MATCH(B1491,'JOBS'!$A$5:$A$1504,0)),""))</f>
        <v/>
      </c>
      <c r="J1491" s="55">
        <f>IF(C1491="","",ROUND(C1491*IF(IFERROR(INDEX('SETTINGS'!$K$5:$K$24,MATCH(E1491,'SETTINGS'!$J$5:$J$24,0)),"No")="Yes",FeePct,0),2))</f>
        <v/>
      </c>
      <c r="K1491" s="51">
        <f>IF(A1491="","",DATE(YEAR(A1491),MONTH(A1491),1))</f>
        <v/>
      </c>
    </row>
    <row r="1492">
      <c r="A1492" s="47" t="n"/>
      <c r="B1492" s="38" t="n"/>
      <c r="C1492" s="48" t="n"/>
      <c r="D1492" s="48" t="n"/>
      <c r="E1492" s="38" t="n"/>
      <c r="F1492" s="38" t="n"/>
      <c r="G1492" s="38" t="n"/>
      <c r="H1492" s="49">
        <f>IF(B1492="","",IFERROR(INDEX('JOBS'!$D$5:$D$1504,MATCH(B1492,'JOBS'!$A$5:$A$1504,0)),"Job ID not found"))</f>
        <v/>
      </c>
      <c r="I1492" s="49">
        <f>IF(B1492="","",IFERROR(INDEX('JOBS'!$F$5:$F$1504,MATCH(B1492,'JOBS'!$A$5:$A$1504,0)),""))</f>
        <v/>
      </c>
      <c r="J1492" s="55">
        <f>IF(C1492="","",ROUND(C1492*IF(IFERROR(INDEX('SETTINGS'!$K$5:$K$24,MATCH(E1492,'SETTINGS'!$J$5:$J$24,0)),"No")="Yes",FeePct,0),2))</f>
        <v/>
      </c>
      <c r="K1492" s="51">
        <f>IF(A1492="","",DATE(YEAR(A1492),MONTH(A1492),1))</f>
        <v/>
      </c>
    </row>
    <row r="1493">
      <c r="A1493" s="47" t="n"/>
      <c r="B1493" s="38" t="n"/>
      <c r="C1493" s="48" t="n"/>
      <c r="D1493" s="48" t="n"/>
      <c r="E1493" s="38" t="n"/>
      <c r="F1493" s="38" t="n"/>
      <c r="G1493" s="38" t="n"/>
      <c r="H1493" s="49">
        <f>IF(B1493="","",IFERROR(INDEX('JOBS'!$D$5:$D$1504,MATCH(B1493,'JOBS'!$A$5:$A$1504,0)),"Job ID not found"))</f>
        <v/>
      </c>
      <c r="I1493" s="49">
        <f>IF(B1493="","",IFERROR(INDEX('JOBS'!$F$5:$F$1504,MATCH(B1493,'JOBS'!$A$5:$A$1504,0)),""))</f>
        <v/>
      </c>
      <c r="J1493" s="55">
        <f>IF(C1493="","",ROUND(C1493*IF(IFERROR(INDEX('SETTINGS'!$K$5:$K$24,MATCH(E1493,'SETTINGS'!$J$5:$J$24,0)),"No")="Yes",FeePct,0),2))</f>
        <v/>
      </c>
      <c r="K1493" s="51">
        <f>IF(A1493="","",DATE(YEAR(A1493),MONTH(A1493),1))</f>
        <v/>
      </c>
    </row>
    <row r="1494">
      <c r="A1494" s="47" t="n"/>
      <c r="B1494" s="38" t="n"/>
      <c r="C1494" s="48" t="n"/>
      <c r="D1494" s="48" t="n"/>
      <c r="E1494" s="38" t="n"/>
      <c r="F1494" s="38" t="n"/>
      <c r="G1494" s="38" t="n"/>
      <c r="H1494" s="49">
        <f>IF(B1494="","",IFERROR(INDEX('JOBS'!$D$5:$D$1504,MATCH(B1494,'JOBS'!$A$5:$A$1504,0)),"Job ID not found"))</f>
        <v/>
      </c>
      <c r="I1494" s="49">
        <f>IF(B1494="","",IFERROR(INDEX('JOBS'!$F$5:$F$1504,MATCH(B1494,'JOBS'!$A$5:$A$1504,0)),""))</f>
        <v/>
      </c>
      <c r="J1494" s="55">
        <f>IF(C1494="","",ROUND(C1494*IF(IFERROR(INDEX('SETTINGS'!$K$5:$K$24,MATCH(E1494,'SETTINGS'!$J$5:$J$24,0)),"No")="Yes",FeePct,0),2))</f>
        <v/>
      </c>
      <c r="K1494" s="51">
        <f>IF(A1494="","",DATE(YEAR(A1494),MONTH(A1494),1))</f>
        <v/>
      </c>
    </row>
    <row r="1495">
      <c r="A1495" s="47" t="n"/>
      <c r="B1495" s="38" t="n"/>
      <c r="C1495" s="48" t="n"/>
      <c r="D1495" s="48" t="n"/>
      <c r="E1495" s="38" t="n"/>
      <c r="F1495" s="38" t="n"/>
      <c r="G1495" s="38" t="n"/>
      <c r="H1495" s="49">
        <f>IF(B1495="","",IFERROR(INDEX('JOBS'!$D$5:$D$1504,MATCH(B1495,'JOBS'!$A$5:$A$1504,0)),"Job ID not found"))</f>
        <v/>
      </c>
      <c r="I1495" s="49">
        <f>IF(B1495="","",IFERROR(INDEX('JOBS'!$F$5:$F$1504,MATCH(B1495,'JOBS'!$A$5:$A$1504,0)),""))</f>
        <v/>
      </c>
      <c r="J1495" s="55">
        <f>IF(C1495="","",ROUND(C1495*IF(IFERROR(INDEX('SETTINGS'!$K$5:$K$24,MATCH(E1495,'SETTINGS'!$J$5:$J$24,0)),"No")="Yes",FeePct,0),2))</f>
        <v/>
      </c>
      <c r="K1495" s="51">
        <f>IF(A1495="","",DATE(YEAR(A1495),MONTH(A1495),1))</f>
        <v/>
      </c>
    </row>
    <row r="1496">
      <c r="A1496" s="47" t="n"/>
      <c r="B1496" s="38" t="n"/>
      <c r="C1496" s="48" t="n"/>
      <c r="D1496" s="48" t="n"/>
      <c r="E1496" s="38" t="n"/>
      <c r="F1496" s="38" t="n"/>
      <c r="G1496" s="38" t="n"/>
      <c r="H1496" s="49">
        <f>IF(B1496="","",IFERROR(INDEX('JOBS'!$D$5:$D$1504,MATCH(B1496,'JOBS'!$A$5:$A$1504,0)),"Job ID not found"))</f>
        <v/>
      </c>
      <c r="I1496" s="49">
        <f>IF(B1496="","",IFERROR(INDEX('JOBS'!$F$5:$F$1504,MATCH(B1496,'JOBS'!$A$5:$A$1504,0)),""))</f>
        <v/>
      </c>
      <c r="J1496" s="55">
        <f>IF(C1496="","",ROUND(C1496*IF(IFERROR(INDEX('SETTINGS'!$K$5:$K$24,MATCH(E1496,'SETTINGS'!$J$5:$J$24,0)),"No")="Yes",FeePct,0),2))</f>
        <v/>
      </c>
      <c r="K1496" s="51">
        <f>IF(A1496="","",DATE(YEAR(A1496),MONTH(A1496),1))</f>
        <v/>
      </c>
    </row>
    <row r="1497">
      <c r="A1497" s="47" t="n"/>
      <c r="B1497" s="38" t="n"/>
      <c r="C1497" s="48" t="n"/>
      <c r="D1497" s="48" t="n"/>
      <c r="E1497" s="38" t="n"/>
      <c r="F1497" s="38" t="n"/>
      <c r="G1497" s="38" t="n"/>
      <c r="H1497" s="49">
        <f>IF(B1497="","",IFERROR(INDEX('JOBS'!$D$5:$D$1504,MATCH(B1497,'JOBS'!$A$5:$A$1504,0)),"Job ID not found"))</f>
        <v/>
      </c>
      <c r="I1497" s="49">
        <f>IF(B1497="","",IFERROR(INDEX('JOBS'!$F$5:$F$1504,MATCH(B1497,'JOBS'!$A$5:$A$1504,0)),""))</f>
        <v/>
      </c>
      <c r="J1497" s="55">
        <f>IF(C1497="","",ROUND(C1497*IF(IFERROR(INDEX('SETTINGS'!$K$5:$K$24,MATCH(E1497,'SETTINGS'!$J$5:$J$24,0)),"No")="Yes",FeePct,0),2))</f>
        <v/>
      </c>
      <c r="K1497" s="51">
        <f>IF(A1497="","",DATE(YEAR(A1497),MONTH(A1497),1))</f>
        <v/>
      </c>
    </row>
    <row r="1498">
      <c r="A1498" s="47" t="n"/>
      <c r="B1498" s="38" t="n"/>
      <c r="C1498" s="48" t="n"/>
      <c r="D1498" s="48" t="n"/>
      <c r="E1498" s="38" t="n"/>
      <c r="F1498" s="38" t="n"/>
      <c r="G1498" s="38" t="n"/>
      <c r="H1498" s="49">
        <f>IF(B1498="","",IFERROR(INDEX('JOBS'!$D$5:$D$1504,MATCH(B1498,'JOBS'!$A$5:$A$1504,0)),"Job ID not found"))</f>
        <v/>
      </c>
      <c r="I1498" s="49">
        <f>IF(B1498="","",IFERROR(INDEX('JOBS'!$F$5:$F$1504,MATCH(B1498,'JOBS'!$A$5:$A$1504,0)),""))</f>
        <v/>
      </c>
      <c r="J1498" s="55">
        <f>IF(C1498="","",ROUND(C1498*IF(IFERROR(INDEX('SETTINGS'!$K$5:$K$24,MATCH(E1498,'SETTINGS'!$J$5:$J$24,0)),"No")="Yes",FeePct,0),2))</f>
        <v/>
      </c>
      <c r="K1498" s="51">
        <f>IF(A1498="","",DATE(YEAR(A1498),MONTH(A1498),1))</f>
        <v/>
      </c>
    </row>
    <row r="1499">
      <c r="A1499" s="47" t="n"/>
      <c r="B1499" s="38" t="n"/>
      <c r="C1499" s="48" t="n"/>
      <c r="D1499" s="48" t="n"/>
      <c r="E1499" s="38" t="n"/>
      <c r="F1499" s="38" t="n"/>
      <c r="G1499" s="38" t="n"/>
      <c r="H1499" s="49">
        <f>IF(B1499="","",IFERROR(INDEX('JOBS'!$D$5:$D$1504,MATCH(B1499,'JOBS'!$A$5:$A$1504,0)),"Job ID not found"))</f>
        <v/>
      </c>
      <c r="I1499" s="49">
        <f>IF(B1499="","",IFERROR(INDEX('JOBS'!$F$5:$F$1504,MATCH(B1499,'JOBS'!$A$5:$A$1504,0)),""))</f>
        <v/>
      </c>
      <c r="J1499" s="55">
        <f>IF(C1499="","",ROUND(C1499*IF(IFERROR(INDEX('SETTINGS'!$K$5:$K$24,MATCH(E1499,'SETTINGS'!$J$5:$J$24,0)),"No")="Yes",FeePct,0),2))</f>
        <v/>
      </c>
      <c r="K1499" s="51">
        <f>IF(A1499="","",DATE(YEAR(A1499),MONTH(A1499),1))</f>
        <v/>
      </c>
    </row>
    <row r="1500">
      <c r="A1500" s="47" t="n"/>
      <c r="B1500" s="38" t="n"/>
      <c r="C1500" s="48" t="n"/>
      <c r="D1500" s="48" t="n"/>
      <c r="E1500" s="38" t="n"/>
      <c r="F1500" s="38" t="n"/>
      <c r="G1500" s="38" t="n"/>
      <c r="H1500" s="49">
        <f>IF(B1500="","",IFERROR(INDEX('JOBS'!$D$5:$D$1504,MATCH(B1500,'JOBS'!$A$5:$A$1504,0)),"Job ID not found"))</f>
        <v/>
      </c>
      <c r="I1500" s="49">
        <f>IF(B1500="","",IFERROR(INDEX('JOBS'!$F$5:$F$1504,MATCH(B1500,'JOBS'!$A$5:$A$1504,0)),""))</f>
        <v/>
      </c>
      <c r="J1500" s="55">
        <f>IF(C1500="","",ROUND(C1500*IF(IFERROR(INDEX('SETTINGS'!$K$5:$K$24,MATCH(E1500,'SETTINGS'!$J$5:$J$24,0)),"No")="Yes",FeePct,0),2))</f>
        <v/>
      </c>
      <c r="K1500" s="51">
        <f>IF(A1500="","",DATE(YEAR(A1500),MONTH(A1500),1))</f>
        <v/>
      </c>
    </row>
    <row r="1501">
      <c r="A1501" s="47" t="n"/>
      <c r="B1501" s="38" t="n"/>
      <c r="C1501" s="48" t="n"/>
      <c r="D1501" s="48" t="n"/>
      <c r="E1501" s="38" t="n"/>
      <c r="F1501" s="38" t="n"/>
      <c r="G1501" s="38" t="n"/>
      <c r="H1501" s="49">
        <f>IF(B1501="","",IFERROR(INDEX('JOBS'!$D$5:$D$1504,MATCH(B1501,'JOBS'!$A$5:$A$1504,0)),"Job ID not found"))</f>
        <v/>
      </c>
      <c r="I1501" s="49">
        <f>IF(B1501="","",IFERROR(INDEX('JOBS'!$F$5:$F$1504,MATCH(B1501,'JOBS'!$A$5:$A$1504,0)),""))</f>
        <v/>
      </c>
      <c r="J1501" s="55">
        <f>IF(C1501="","",ROUND(C1501*IF(IFERROR(INDEX('SETTINGS'!$K$5:$K$24,MATCH(E1501,'SETTINGS'!$J$5:$J$24,0)),"No")="Yes",FeePct,0),2))</f>
        <v/>
      </c>
      <c r="K1501" s="51">
        <f>IF(A1501="","",DATE(YEAR(A1501),MONTH(A1501),1))</f>
        <v/>
      </c>
    </row>
    <row r="1502">
      <c r="A1502" s="47" t="n"/>
      <c r="B1502" s="38" t="n"/>
      <c r="C1502" s="48" t="n"/>
      <c r="D1502" s="48" t="n"/>
      <c r="E1502" s="38" t="n"/>
      <c r="F1502" s="38" t="n"/>
      <c r="G1502" s="38" t="n"/>
      <c r="H1502" s="49">
        <f>IF(B1502="","",IFERROR(INDEX('JOBS'!$D$5:$D$1504,MATCH(B1502,'JOBS'!$A$5:$A$1504,0)),"Job ID not found"))</f>
        <v/>
      </c>
      <c r="I1502" s="49">
        <f>IF(B1502="","",IFERROR(INDEX('JOBS'!$F$5:$F$1504,MATCH(B1502,'JOBS'!$A$5:$A$1504,0)),""))</f>
        <v/>
      </c>
      <c r="J1502" s="55">
        <f>IF(C1502="","",ROUND(C1502*IF(IFERROR(INDEX('SETTINGS'!$K$5:$K$24,MATCH(E1502,'SETTINGS'!$J$5:$J$24,0)),"No")="Yes",FeePct,0),2))</f>
        <v/>
      </c>
      <c r="K1502" s="51">
        <f>IF(A1502="","",DATE(YEAR(A1502),MONTH(A1502),1))</f>
        <v/>
      </c>
    </row>
    <row r="1503">
      <c r="A1503" s="47" t="n"/>
      <c r="B1503" s="38" t="n"/>
      <c r="C1503" s="48" t="n"/>
      <c r="D1503" s="48" t="n"/>
      <c r="E1503" s="38" t="n"/>
      <c r="F1503" s="38" t="n"/>
      <c r="G1503" s="38" t="n"/>
      <c r="H1503" s="49">
        <f>IF(B1503="","",IFERROR(INDEX('JOBS'!$D$5:$D$1504,MATCH(B1503,'JOBS'!$A$5:$A$1504,0)),"Job ID not found"))</f>
        <v/>
      </c>
      <c r="I1503" s="49">
        <f>IF(B1503="","",IFERROR(INDEX('JOBS'!$F$5:$F$1504,MATCH(B1503,'JOBS'!$A$5:$A$1504,0)),""))</f>
        <v/>
      </c>
      <c r="J1503" s="55">
        <f>IF(C1503="","",ROUND(C1503*IF(IFERROR(INDEX('SETTINGS'!$K$5:$K$24,MATCH(E1503,'SETTINGS'!$J$5:$J$24,0)),"No")="Yes",FeePct,0),2))</f>
        <v/>
      </c>
      <c r="K1503" s="51">
        <f>IF(A1503="","",DATE(YEAR(A1503),MONTH(A1503),1))</f>
        <v/>
      </c>
    </row>
    <row r="1504">
      <c r="A1504" s="47" t="n"/>
      <c r="B1504" s="38" t="n"/>
      <c r="C1504" s="48" t="n"/>
      <c r="D1504" s="48" t="n"/>
      <c r="E1504" s="38" t="n"/>
      <c r="F1504" s="38" t="n"/>
      <c r="G1504" s="38" t="n"/>
      <c r="H1504" s="49">
        <f>IF(B1504="","",IFERROR(INDEX('JOBS'!$D$5:$D$1504,MATCH(B1504,'JOBS'!$A$5:$A$1504,0)),"Job ID not found"))</f>
        <v/>
      </c>
      <c r="I1504" s="49">
        <f>IF(B1504="","",IFERROR(INDEX('JOBS'!$F$5:$F$1504,MATCH(B1504,'JOBS'!$A$5:$A$1504,0)),""))</f>
        <v/>
      </c>
      <c r="J1504" s="55">
        <f>IF(C1504="","",ROUND(C1504*IF(IFERROR(INDEX('SETTINGS'!$K$5:$K$24,MATCH(E1504,'SETTINGS'!$J$5:$J$24,0)),"No")="Yes",FeePct,0),2))</f>
        <v/>
      </c>
      <c r="K1504" s="51">
        <f>IF(A1504="","",DATE(YEAR(A1504),MONTH(A1504),1))</f>
        <v/>
      </c>
    </row>
  </sheetData>
  <autoFilter ref="A4:K1504"/>
  <mergeCells count="2">
    <mergeCell ref="A2:K2"/>
    <mergeCell ref="A1:K1"/>
  </mergeCells>
  <conditionalFormatting sqref="H5:H1504">
    <cfRule type="expression" priority="1" dxfId="0">
      <formula>H5="Job ID not found"</formula>
    </cfRule>
  </conditionalFormatting>
  <dataValidations count="2">
    <dataValidation sqref="B5:B1504" showDropDown="0" showInputMessage="0" showErrorMessage="0" allowBlank="1" type="list">
      <formula1>='JOBS'!$A$5:$A$1504</formula1>
    </dataValidation>
    <dataValidation sqref="E5:E1504" showDropDown="0" showInputMessage="0" showErrorMessage="0" allowBlank="1" type="list">
      <formula1>='SETTINGS'!$J$5:$J$24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3.xml><?xml version="1.0" encoding="utf-8"?>
<worksheet xmlns="http://schemas.openxmlformats.org/spreadsheetml/2006/main">
  <sheetPr>
    <tabColor rgb="001E7F4F"/>
    <outlinePr summaryBelow="1" summaryRight="1"/>
    <pageSetUpPr fitToPage="1"/>
  </sheetPr>
  <dimension ref="A1:K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18" customWidth="1" min="3" max="3"/>
    <col width="26" customWidth="1" min="4" max="4"/>
    <col width="13" customWidth="1" min="5" max="5"/>
    <col width="14" customWidth="1" min="6" max="6"/>
    <col width="13" customWidth="1" min="7" max="7"/>
    <col width="13" customWidth="1" min="8" max="8"/>
    <col width="22" customWidth="1" min="9" max="9"/>
    <col width="13" customWidth="1" min="10" max="10"/>
    <col width="13" customWidth="1" min="11" max="11"/>
  </cols>
  <sheetData>
    <row r="1" ht="34" customHeight="1">
      <c r="A1" s="42" t="inlineStr">
        <is>
          <t>EXPENSES</t>
        </is>
      </c>
      <c r="B1" s="1" t="n"/>
      <c r="C1" s="1" t="n"/>
      <c r="D1" s="1" t="n"/>
      <c r="E1" s="1" t="n"/>
      <c r="F1" s="1" t="n"/>
      <c r="G1" s="1" t="n"/>
      <c r="H1" s="1" t="n"/>
      <c r="I1" s="1" t="n"/>
      <c r="J1" s="1" t="n"/>
      <c r="K1" s="1" t="n"/>
    </row>
    <row r="2" ht="30" customHeight="1">
      <c r="A2" s="43" t="inlineStr">
        <is>
          <t>Log business spending. Categories marked 'Overhead' in SETTINGS reduce operating profit on MONTHLY. Keep receipts — ask a tax professional what you can deduct.</t>
        </is>
      </c>
    </row>
    <row r="3" ht="18" customHeight="1">
      <c r="A3" s="24" t="inlineStr">
        <is>
          <t>← Start Here</t>
        </is>
      </c>
      <c r="B3" s="24" t="inlineStr">
        <is>
          <t>Dashboard →</t>
        </is>
      </c>
    </row>
    <row r="4" ht="42" customHeight="1">
      <c r="A4" s="44" t="inlineStr">
        <is>
          <t>Date</t>
        </is>
      </c>
      <c r="B4" s="44" t="inlineStr">
        <is>
          <t>Category</t>
        </is>
      </c>
      <c r="C4" s="44" t="inlineStr">
        <is>
          <t>Vendor</t>
        </is>
      </c>
      <c r="D4" s="44" t="inlineStr">
        <is>
          <t>Description</t>
        </is>
      </c>
      <c r="E4" s="44" t="inlineStr">
        <is>
          <t>Amount ($)</t>
        </is>
      </c>
      <c r="F4" s="44" t="inlineStr">
        <is>
          <t>Paid With</t>
        </is>
      </c>
      <c r="G4" s="44" t="inlineStr">
        <is>
          <t>Job ID (optional)</t>
        </is>
      </c>
      <c r="H4" s="44" t="inlineStr">
        <is>
          <t>Receipt Saved?</t>
        </is>
      </c>
      <c r="I4" s="44" t="inlineStr">
        <is>
          <t>Notes</t>
        </is>
      </c>
      <c r="J4" s="45" t="inlineStr">
        <is>
          <t>Counted as Overhead? ⚙</t>
        </is>
      </c>
      <c r="K4" s="45" t="inlineStr">
        <is>
          <t>Month ⚙</t>
        </is>
      </c>
    </row>
    <row r="5">
      <c r="A5" s="47" t="n">
        <v>46023</v>
      </c>
      <c r="B5" s="38" t="inlineStr">
        <is>
          <t>Software &amp; Apps</t>
        </is>
      </c>
      <c r="C5" s="38" t="inlineStr">
        <is>
          <t>Scheduling app (sample)</t>
        </is>
      </c>
      <c r="D5" s="38" t="inlineStr">
        <is>
          <t>Monthly subscription</t>
        </is>
      </c>
      <c r="E5" s="48" t="n">
        <v>49</v>
      </c>
      <c r="F5" s="38" t="inlineStr">
        <is>
          <t>Card</t>
        </is>
      </c>
      <c r="G5" s="38" t="n"/>
      <c r="H5" s="38" t="inlineStr">
        <is>
          <t>Yes</t>
        </is>
      </c>
      <c r="I5" s="38" t="n"/>
      <c r="J5" s="49">
        <f>IF(B5="","",IFERROR(INDEX('SETTINGS'!$M$5:$M$24,MATCH(B5,'SETTINGS'!$L$5:$L$24,0)),"Yes"))</f>
        <v/>
      </c>
      <c r="K5" s="51">
        <f>IF(A5="","",DATE(YEAR(A5),MONTH(A5),1))</f>
        <v/>
      </c>
    </row>
    <row r="6">
      <c r="A6" s="47" t="n">
        <v>46025</v>
      </c>
      <c r="B6" s="38" t="inlineStr">
        <is>
          <t>Phone &amp; Internet</t>
        </is>
      </c>
      <c r="C6" s="38" t="inlineStr">
        <is>
          <t>Mobile carrier (sample)</t>
        </is>
      </c>
      <c r="D6" s="38" t="inlineStr">
        <is>
          <t>Business line</t>
        </is>
      </c>
      <c r="E6" s="48" t="n">
        <v>85</v>
      </c>
      <c r="F6" s="38" t="inlineStr">
        <is>
          <t>Card</t>
        </is>
      </c>
      <c r="G6" s="38" t="n"/>
      <c r="H6" s="38" t="inlineStr">
        <is>
          <t>Yes</t>
        </is>
      </c>
      <c r="I6" s="38" t="n"/>
      <c r="J6" s="49">
        <f>IF(B6="","",IFERROR(INDEX('SETTINGS'!$M$5:$M$24,MATCH(B6,'SETTINGS'!$L$5:$L$24,0)),"Yes"))</f>
        <v/>
      </c>
      <c r="K6" s="51">
        <f>IF(A6="","",DATE(YEAR(A6),MONTH(A6),1))</f>
        <v/>
      </c>
    </row>
    <row r="7">
      <c r="A7" s="47" t="n">
        <v>46027</v>
      </c>
      <c r="B7" s="38" t="inlineStr">
        <is>
          <t>Insurance</t>
        </is>
      </c>
      <c r="C7" s="38" t="inlineStr">
        <is>
          <t>Insurance agency (sample)</t>
        </is>
      </c>
      <c r="D7" s="38" t="inlineStr">
        <is>
          <t>Monthly premium</t>
        </is>
      </c>
      <c r="E7" s="48" t="n">
        <v>165</v>
      </c>
      <c r="F7" s="38" t="inlineStr">
        <is>
          <t>Card</t>
        </is>
      </c>
      <c r="G7" s="38" t="n"/>
      <c r="H7" s="38" t="inlineStr">
        <is>
          <t>Yes</t>
        </is>
      </c>
      <c r="I7" s="38" t="n"/>
      <c r="J7" s="49">
        <f>IF(B7="","",IFERROR(INDEX('SETTINGS'!$M$5:$M$24,MATCH(B7,'SETTINGS'!$L$5:$L$24,0)),"Yes"))</f>
        <v/>
      </c>
      <c r="K7" s="51">
        <f>IF(A7="","",DATE(YEAR(A7),MONTH(A7),1))</f>
        <v/>
      </c>
    </row>
    <row r="8">
      <c r="A8" s="47" t="n">
        <v>46028</v>
      </c>
      <c r="B8" s="38" t="inlineStr">
        <is>
          <t>Fuel &amp; Vehicle</t>
        </is>
      </c>
      <c r="C8" s="38" t="inlineStr">
        <is>
          <t>Fuel station</t>
        </is>
      </c>
      <c r="D8" s="38" t="inlineStr">
        <is>
          <t>Fuel</t>
        </is>
      </c>
      <c r="E8" s="48" t="n">
        <v>68</v>
      </c>
      <c r="F8" s="38" t="inlineStr">
        <is>
          <t>Card</t>
        </is>
      </c>
      <c r="G8" s="38" t="n"/>
      <c r="H8" s="38" t="inlineStr">
        <is>
          <t>Yes</t>
        </is>
      </c>
      <c r="I8" s="38" t="n"/>
      <c r="J8" s="49">
        <f>IF(B8="","",IFERROR(INDEX('SETTINGS'!$M$5:$M$24,MATCH(B8,'SETTINGS'!$L$5:$L$24,0)),"Yes"))</f>
        <v/>
      </c>
      <c r="K8" s="51">
        <f>IF(A8="","",DATE(YEAR(A8),MONTH(A8),1))</f>
        <v/>
      </c>
    </row>
    <row r="9">
      <c r="A9" s="47" t="n">
        <v>46030</v>
      </c>
      <c r="B9" s="38" t="inlineStr">
        <is>
          <t>Advertising &amp; Marketing</t>
        </is>
      </c>
      <c r="C9" s="38" t="inlineStr">
        <is>
          <t>Local print shop</t>
        </is>
      </c>
      <c r="D9" s="38" t="inlineStr">
        <is>
          <t>Local marketing</t>
        </is>
      </c>
      <c r="E9" s="48" t="n">
        <v>80</v>
      </c>
      <c r="F9" s="38" t="inlineStr">
        <is>
          <t>Card</t>
        </is>
      </c>
      <c r="G9" s="38" t="n"/>
      <c r="H9" s="38" t="inlineStr">
        <is>
          <t>Yes</t>
        </is>
      </c>
      <c r="I9" s="38" t="n"/>
      <c r="J9" s="49">
        <f>IF(B9="","",IFERROR(INDEX('SETTINGS'!$M$5:$M$24,MATCH(B9,'SETTINGS'!$L$5:$L$24,0)),"Yes"))</f>
        <v/>
      </c>
      <c r="K9" s="51">
        <f>IF(A9="","",DATE(YEAR(A9),MONTH(A9),1))</f>
        <v/>
      </c>
    </row>
    <row r="10">
      <c r="A10" s="47" t="n">
        <v>46032</v>
      </c>
      <c r="B10" s="38" t="inlineStr">
        <is>
          <t>Supplies (job use)</t>
        </is>
      </c>
      <c r="C10" s="38" t="inlineStr">
        <is>
          <t>Janitorial supplier (sample)</t>
        </is>
      </c>
      <c r="D10" s="38" t="inlineStr">
        <is>
          <t>Chemicals &amp; microfiber</t>
        </is>
      </c>
      <c r="E10" s="48" t="n">
        <v>208</v>
      </c>
      <c r="F10" s="38" t="inlineStr">
        <is>
          <t>Card</t>
        </is>
      </c>
      <c r="G10" s="38" t="n"/>
      <c r="H10" s="38" t="inlineStr">
        <is>
          <t>Yes</t>
        </is>
      </c>
      <c r="I10" s="38" t="n"/>
      <c r="J10" s="49">
        <f>IF(B10="","",IFERROR(INDEX('SETTINGS'!$M$5:$M$24,MATCH(B10,'SETTINGS'!$L$5:$L$24,0)),"Yes"))</f>
        <v/>
      </c>
      <c r="K10" s="51">
        <f>IF(A10="","",DATE(YEAR(A10),MONTH(A10),1))</f>
        <v/>
      </c>
    </row>
    <row r="11">
      <c r="A11" s="47" t="n">
        <v>46035</v>
      </c>
      <c r="B11" s="38" t="inlineStr">
        <is>
          <t>Fuel &amp; Vehicle</t>
        </is>
      </c>
      <c r="C11" s="38" t="inlineStr">
        <is>
          <t>Fuel station</t>
        </is>
      </c>
      <c r="D11" s="38" t="inlineStr">
        <is>
          <t>Fuel</t>
        </is>
      </c>
      <c r="E11" s="48" t="n">
        <v>70</v>
      </c>
      <c r="F11" s="38" t="inlineStr">
        <is>
          <t>Card</t>
        </is>
      </c>
      <c r="G11" s="38" t="n"/>
      <c r="H11" s="38" t="inlineStr">
        <is>
          <t>Yes</t>
        </is>
      </c>
      <c r="I11" s="38" t="n"/>
      <c r="J11" s="49">
        <f>IF(B11="","",IFERROR(INDEX('SETTINGS'!$M$5:$M$24,MATCH(B11,'SETTINGS'!$L$5:$L$24,0)),"Yes"))</f>
        <v/>
      </c>
      <c r="K11" s="51">
        <f>IF(A11="","",DATE(YEAR(A11),MONTH(A11),1))</f>
        <v/>
      </c>
    </row>
    <row r="12">
      <c r="A12" s="47" t="n">
        <v>46042</v>
      </c>
      <c r="B12" s="38" t="inlineStr">
        <is>
          <t>Fuel &amp; Vehicle</t>
        </is>
      </c>
      <c r="C12" s="38" t="inlineStr">
        <is>
          <t>Fuel station</t>
        </is>
      </c>
      <c r="D12" s="38" t="inlineStr">
        <is>
          <t>Fuel</t>
        </is>
      </c>
      <c r="E12" s="48" t="n">
        <v>67</v>
      </c>
      <c r="F12" s="38" t="inlineStr">
        <is>
          <t>Card</t>
        </is>
      </c>
      <c r="G12" s="38" t="n"/>
      <c r="H12" s="38" t="inlineStr">
        <is>
          <t>Yes</t>
        </is>
      </c>
      <c r="I12" s="38" t="n"/>
      <c r="J12" s="49">
        <f>IF(B12="","",IFERROR(INDEX('SETTINGS'!$M$5:$M$24,MATCH(B12,'SETTINGS'!$L$5:$L$24,0)),"Yes"))</f>
        <v/>
      </c>
      <c r="K12" s="51">
        <f>IF(A12="","",DATE(YEAR(A12),MONTH(A12),1))</f>
        <v/>
      </c>
    </row>
    <row r="13">
      <c r="A13" s="47" t="n">
        <v>46046</v>
      </c>
      <c r="B13" s="38" t="inlineStr">
        <is>
          <t>Supplies (job use)</t>
        </is>
      </c>
      <c r="C13" s="38" t="inlineStr">
        <is>
          <t>Big-box store</t>
        </is>
      </c>
      <c r="D13" s="38" t="inlineStr">
        <is>
          <t>Liners, paper goods</t>
        </is>
      </c>
      <c r="E13" s="48" t="n">
        <v>64</v>
      </c>
      <c r="F13" s="38" t="inlineStr">
        <is>
          <t>Card</t>
        </is>
      </c>
      <c r="G13" s="38" t="n"/>
      <c r="H13" s="38" t="inlineStr">
        <is>
          <t>Yes</t>
        </is>
      </c>
      <c r="I13" s="38" t="n"/>
      <c r="J13" s="49">
        <f>IF(B13="","",IFERROR(INDEX('SETTINGS'!$M$5:$M$24,MATCH(B13,'SETTINGS'!$L$5:$L$24,0)),"Yes"))</f>
        <v/>
      </c>
      <c r="K13" s="51">
        <f>IF(A13="","",DATE(YEAR(A13),MONTH(A13),1))</f>
        <v/>
      </c>
    </row>
    <row r="14">
      <c r="A14" s="47" t="n">
        <v>46049</v>
      </c>
      <c r="B14" s="38" t="inlineStr">
        <is>
          <t>Fuel &amp; Vehicle</t>
        </is>
      </c>
      <c r="C14" s="38" t="inlineStr">
        <is>
          <t>Fuel station</t>
        </is>
      </c>
      <c r="D14" s="38" t="inlineStr">
        <is>
          <t>Fuel</t>
        </is>
      </c>
      <c r="E14" s="48" t="n">
        <v>49</v>
      </c>
      <c r="F14" s="38" t="inlineStr">
        <is>
          <t>Card</t>
        </is>
      </c>
      <c r="G14" s="38" t="n"/>
      <c r="H14" s="38" t="inlineStr">
        <is>
          <t>Yes</t>
        </is>
      </c>
      <c r="I14" s="38" t="n"/>
      <c r="J14" s="49">
        <f>IF(B14="","",IFERROR(INDEX('SETTINGS'!$M$5:$M$24,MATCH(B14,'SETTINGS'!$L$5:$L$24,0)),"Yes"))</f>
        <v/>
      </c>
      <c r="K14" s="51">
        <f>IF(A14="","",DATE(YEAR(A14),MONTH(A14),1))</f>
        <v/>
      </c>
    </row>
    <row r="15">
      <c r="A15" s="47" t="n">
        <v>46050</v>
      </c>
      <c r="B15" s="38" t="inlineStr">
        <is>
          <t>Bank Fees</t>
        </is>
      </c>
      <c r="C15" s="38" t="inlineStr">
        <is>
          <t>Bank (sample)</t>
        </is>
      </c>
      <c r="D15" s="38" t="inlineStr">
        <is>
          <t>Account fee</t>
        </is>
      </c>
      <c r="E15" s="48" t="n">
        <v>12</v>
      </c>
      <c r="F15" s="38" t="inlineStr">
        <is>
          <t>Bank Transfer</t>
        </is>
      </c>
      <c r="G15" s="38" t="n"/>
      <c r="H15" s="38" t="inlineStr">
        <is>
          <t>Yes</t>
        </is>
      </c>
      <c r="I15" s="38" t="n"/>
      <c r="J15" s="49">
        <f>IF(B15="","",IFERROR(INDEX('SETTINGS'!$M$5:$M$24,MATCH(B15,'SETTINGS'!$L$5:$L$24,0)),"Yes"))</f>
        <v/>
      </c>
      <c r="K15" s="51">
        <f>IF(A15="","",DATE(YEAR(A15),MONTH(A15),1))</f>
        <v/>
      </c>
    </row>
    <row r="16">
      <c r="A16" s="47" t="n">
        <v>46054</v>
      </c>
      <c r="B16" s="38" t="inlineStr">
        <is>
          <t>Software &amp; Apps</t>
        </is>
      </c>
      <c r="C16" s="38" t="inlineStr">
        <is>
          <t>Scheduling app (sample)</t>
        </is>
      </c>
      <c r="D16" s="38" t="inlineStr">
        <is>
          <t>Monthly subscription</t>
        </is>
      </c>
      <c r="E16" s="48" t="n">
        <v>49</v>
      </c>
      <c r="F16" s="38" t="inlineStr">
        <is>
          <t>Card</t>
        </is>
      </c>
      <c r="G16" s="38" t="n"/>
      <c r="H16" s="38" t="inlineStr">
        <is>
          <t>Yes</t>
        </is>
      </c>
      <c r="I16" s="38" t="n"/>
      <c r="J16" s="49">
        <f>IF(B16="","",IFERROR(INDEX('SETTINGS'!$M$5:$M$24,MATCH(B16,'SETTINGS'!$L$5:$L$24,0)),"Yes"))</f>
        <v/>
      </c>
      <c r="K16" s="51">
        <f>IF(A16="","",DATE(YEAR(A16),MONTH(A16),1))</f>
        <v/>
      </c>
    </row>
    <row r="17">
      <c r="A17" s="47" t="n">
        <v>46056</v>
      </c>
      <c r="B17" s="38" t="inlineStr">
        <is>
          <t>Phone &amp; Internet</t>
        </is>
      </c>
      <c r="C17" s="38" t="inlineStr">
        <is>
          <t>Mobile carrier (sample)</t>
        </is>
      </c>
      <c r="D17" s="38" t="inlineStr">
        <is>
          <t>Business line</t>
        </is>
      </c>
      <c r="E17" s="48" t="n">
        <v>85</v>
      </c>
      <c r="F17" s="38" t="inlineStr">
        <is>
          <t>Card</t>
        </is>
      </c>
      <c r="G17" s="38" t="n"/>
      <c r="H17" s="38" t="inlineStr">
        <is>
          <t>Yes</t>
        </is>
      </c>
      <c r="I17" s="38" t="n"/>
      <c r="J17" s="49">
        <f>IF(B17="","",IFERROR(INDEX('SETTINGS'!$M$5:$M$24,MATCH(B17,'SETTINGS'!$L$5:$L$24,0)),"Yes"))</f>
        <v/>
      </c>
      <c r="K17" s="51">
        <f>IF(A17="","",DATE(YEAR(A17),MONTH(A17),1))</f>
        <v/>
      </c>
    </row>
    <row r="18">
      <c r="A18" s="47" t="n">
        <v>46058</v>
      </c>
      <c r="B18" s="38" t="inlineStr">
        <is>
          <t>Insurance</t>
        </is>
      </c>
      <c r="C18" s="38" t="inlineStr">
        <is>
          <t>Insurance agency (sample)</t>
        </is>
      </c>
      <c r="D18" s="38" t="inlineStr">
        <is>
          <t>Monthly premium</t>
        </is>
      </c>
      <c r="E18" s="48" t="n">
        <v>165</v>
      </c>
      <c r="F18" s="38" t="inlineStr">
        <is>
          <t>Card</t>
        </is>
      </c>
      <c r="G18" s="38" t="n"/>
      <c r="H18" s="38" t="inlineStr">
        <is>
          <t>Yes</t>
        </is>
      </c>
      <c r="I18" s="38" t="n"/>
      <c r="J18" s="49">
        <f>IF(B18="","",IFERROR(INDEX('SETTINGS'!$M$5:$M$24,MATCH(B18,'SETTINGS'!$L$5:$L$24,0)),"Yes"))</f>
        <v/>
      </c>
      <c r="K18" s="51">
        <f>IF(A18="","",DATE(YEAR(A18),MONTH(A18),1))</f>
        <v/>
      </c>
    </row>
    <row r="19">
      <c r="A19" s="47" t="n">
        <v>46059</v>
      </c>
      <c r="B19" s="38" t="inlineStr">
        <is>
          <t>Fuel &amp; Vehicle</t>
        </is>
      </c>
      <c r="C19" s="38" t="inlineStr">
        <is>
          <t>Fuel station</t>
        </is>
      </c>
      <c r="D19" s="38" t="inlineStr">
        <is>
          <t>Fuel</t>
        </is>
      </c>
      <c r="E19" s="48" t="n">
        <v>65</v>
      </c>
      <c r="F19" s="38" t="inlineStr">
        <is>
          <t>Card</t>
        </is>
      </c>
      <c r="G19" s="38" t="n"/>
      <c r="H19" s="38" t="inlineStr">
        <is>
          <t>Yes</t>
        </is>
      </c>
      <c r="I19" s="38" t="n"/>
      <c r="J19" s="49">
        <f>IF(B19="","",IFERROR(INDEX('SETTINGS'!$M$5:$M$24,MATCH(B19,'SETTINGS'!$L$5:$L$24,0)),"Yes"))</f>
        <v/>
      </c>
      <c r="K19" s="51">
        <f>IF(A19="","",DATE(YEAR(A19),MONTH(A19),1))</f>
        <v/>
      </c>
    </row>
    <row r="20">
      <c r="A20" s="47" t="n">
        <v>46061</v>
      </c>
      <c r="B20" s="38" t="inlineStr">
        <is>
          <t>Advertising &amp; Marketing</t>
        </is>
      </c>
      <c r="C20" s="38" t="inlineStr">
        <is>
          <t>Local print shop</t>
        </is>
      </c>
      <c r="D20" s="38" t="inlineStr">
        <is>
          <t>Local marketing</t>
        </is>
      </c>
      <c r="E20" s="48" t="n">
        <v>80</v>
      </c>
      <c r="F20" s="38" t="inlineStr">
        <is>
          <t>Card</t>
        </is>
      </c>
      <c r="G20" s="38" t="n"/>
      <c r="H20" s="38" t="inlineStr">
        <is>
          <t>Yes</t>
        </is>
      </c>
      <c r="I20" s="38" t="n"/>
      <c r="J20" s="49">
        <f>IF(B20="","",IFERROR(INDEX('SETTINGS'!$M$5:$M$24,MATCH(B20,'SETTINGS'!$L$5:$L$24,0)),"Yes"))</f>
        <v/>
      </c>
      <c r="K20" s="51">
        <f>IF(A20="","",DATE(YEAR(A20),MONTH(A20),1))</f>
        <v/>
      </c>
    </row>
    <row r="21">
      <c r="A21" s="47" t="n">
        <v>46063</v>
      </c>
      <c r="B21" s="38" t="inlineStr">
        <is>
          <t>Supplies (job use)</t>
        </is>
      </c>
      <c r="C21" s="38" t="inlineStr">
        <is>
          <t>Janitorial supplier (sample)</t>
        </is>
      </c>
      <c r="D21" s="38" t="inlineStr">
        <is>
          <t>Chemicals &amp; microfiber</t>
        </is>
      </c>
      <c r="E21" s="48" t="n">
        <v>161</v>
      </c>
      <c r="F21" s="38" t="inlineStr">
        <is>
          <t>Card</t>
        </is>
      </c>
      <c r="G21" s="38" t="n"/>
      <c r="H21" s="38" t="inlineStr">
        <is>
          <t>Yes</t>
        </is>
      </c>
      <c r="I21" s="38" t="n"/>
      <c r="J21" s="49">
        <f>IF(B21="","",IFERROR(INDEX('SETTINGS'!$M$5:$M$24,MATCH(B21,'SETTINGS'!$L$5:$L$24,0)),"Yes"))</f>
        <v/>
      </c>
      <c r="K21" s="51">
        <f>IF(A21="","",DATE(YEAR(A21),MONTH(A21),1))</f>
        <v/>
      </c>
    </row>
    <row r="22">
      <c r="A22" s="47" t="n">
        <v>46066</v>
      </c>
      <c r="B22" s="38" t="inlineStr">
        <is>
          <t>Fuel &amp; Vehicle</t>
        </is>
      </c>
      <c r="C22" s="38" t="inlineStr">
        <is>
          <t>Fuel station</t>
        </is>
      </c>
      <c r="D22" s="38" t="inlineStr">
        <is>
          <t>Fuel</t>
        </is>
      </c>
      <c r="E22" s="48" t="n">
        <v>55</v>
      </c>
      <c r="F22" s="38" t="inlineStr">
        <is>
          <t>Card</t>
        </is>
      </c>
      <c r="G22" s="38" t="n"/>
      <c r="H22" s="38" t="inlineStr">
        <is>
          <t>Yes</t>
        </is>
      </c>
      <c r="I22" s="38" t="n"/>
      <c r="J22" s="49">
        <f>IF(B22="","",IFERROR(INDEX('SETTINGS'!$M$5:$M$24,MATCH(B22,'SETTINGS'!$L$5:$L$24,0)),"Yes"))</f>
        <v/>
      </c>
      <c r="K22" s="51">
        <f>IF(A22="","",DATE(YEAR(A22),MONTH(A22),1))</f>
        <v/>
      </c>
    </row>
    <row r="23">
      <c r="A23" s="47" t="n">
        <v>46073</v>
      </c>
      <c r="B23" s="38" t="inlineStr">
        <is>
          <t>Fuel &amp; Vehicle</t>
        </is>
      </c>
      <c r="C23" s="38" t="inlineStr">
        <is>
          <t>Fuel station</t>
        </is>
      </c>
      <c r="D23" s="38" t="inlineStr">
        <is>
          <t>Fuel</t>
        </is>
      </c>
      <c r="E23" s="48" t="n">
        <v>70</v>
      </c>
      <c r="F23" s="38" t="inlineStr">
        <is>
          <t>Card</t>
        </is>
      </c>
      <c r="G23" s="38" t="n"/>
      <c r="H23" s="38" t="inlineStr">
        <is>
          <t>Yes</t>
        </is>
      </c>
      <c r="I23" s="38" t="n"/>
      <c r="J23" s="49">
        <f>IF(B23="","",IFERROR(INDEX('SETTINGS'!$M$5:$M$24,MATCH(B23,'SETTINGS'!$L$5:$L$24,0)),"Yes"))</f>
        <v/>
      </c>
      <c r="K23" s="51">
        <f>IF(A23="","",DATE(YEAR(A23),MONTH(A23),1))</f>
        <v/>
      </c>
    </row>
    <row r="24">
      <c r="A24" s="47" t="n">
        <v>46077</v>
      </c>
      <c r="B24" s="38" t="inlineStr">
        <is>
          <t>Supplies (job use)</t>
        </is>
      </c>
      <c r="C24" s="38" t="inlineStr">
        <is>
          <t>Big-box store</t>
        </is>
      </c>
      <c r="D24" s="38" t="inlineStr">
        <is>
          <t>Liners, paper goods</t>
        </is>
      </c>
      <c r="E24" s="48" t="n">
        <v>120</v>
      </c>
      <c r="F24" s="38" t="inlineStr">
        <is>
          <t>Card</t>
        </is>
      </c>
      <c r="G24" s="38" t="n"/>
      <c r="H24" s="38" t="inlineStr">
        <is>
          <t>Yes</t>
        </is>
      </c>
      <c r="I24" s="38" t="n"/>
      <c r="J24" s="49">
        <f>IF(B24="","",IFERROR(INDEX('SETTINGS'!$M$5:$M$24,MATCH(B24,'SETTINGS'!$L$5:$L$24,0)),"Yes"))</f>
        <v/>
      </c>
      <c r="K24" s="51">
        <f>IF(A24="","",DATE(YEAR(A24),MONTH(A24),1))</f>
        <v/>
      </c>
    </row>
    <row r="25">
      <c r="A25" s="47" t="n">
        <v>46080</v>
      </c>
      <c r="B25" s="38" t="inlineStr">
        <is>
          <t>Fuel &amp; Vehicle</t>
        </is>
      </c>
      <c r="C25" s="38" t="inlineStr">
        <is>
          <t>Fuel station</t>
        </is>
      </c>
      <c r="D25" s="38" t="inlineStr">
        <is>
          <t>Fuel</t>
        </is>
      </c>
      <c r="E25" s="48" t="n">
        <v>53</v>
      </c>
      <c r="F25" s="38" t="inlineStr">
        <is>
          <t>Card</t>
        </is>
      </c>
      <c r="G25" s="38" t="n"/>
      <c r="H25" s="38" t="inlineStr">
        <is>
          <t>Yes</t>
        </is>
      </c>
      <c r="I25" s="38" t="n"/>
      <c r="J25" s="49">
        <f>IF(B25="","",IFERROR(INDEX('SETTINGS'!$M$5:$M$24,MATCH(B25,'SETTINGS'!$L$5:$L$24,0)),"Yes"))</f>
        <v/>
      </c>
      <c r="K25" s="51">
        <f>IF(A25="","",DATE(YEAR(A25),MONTH(A25),1))</f>
        <v/>
      </c>
    </row>
    <row r="26">
      <c r="A26" s="47" t="n">
        <v>46081</v>
      </c>
      <c r="B26" s="38" t="inlineStr">
        <is>
          <t>Bank Fees</t>
        </is>
      </c>
      <c r="C26" s="38" t="inlineStr">
        <is>
          <t>Bank (sample)</t>
        </is>
      </c>
      <c r="D26" s="38" t="inlineStr">
        <is>
          <t>Account fee</t>
        </is>
      </c>
      <c r="E26" s="48" t="n">
        <v>12</v>
      </c>
      <c r="F26" s="38" t="inlineStr">
        <is>
          <t>Bank Transfer</t>
        </is>
      </c>
      <c r="G26" s="38" t="n"/>
      <c r="H26" s="38" t="inlineStr">
        <is>
          <t>Yes</t>
        </is>
      </c>
      <c r="I26" s="38" t="n"/>
      <c r="J26" s="49">
        <f>IF(B26="","",IFERROR(INDEX('SETTINGS'!$M$5:$M$24,MATCH(B26,'SETTINGS'!$L$5:$L$24,0)),"Yes"))</f>
        <v/>
      </c>
      <c r="K26" s="51">
        <f>IF(A26="","",DATE(YEAR(A26),MONTH(A26),1))</f>
        <v/>
      </c>
    </row>
    <row r="27">
      <c r="A27" s="47" t="n">
        <v>46082</v>
      </c>
      <c r="B27" s="38" t="inlineStr">
        <is>
          <t>Software &amp; Apps</t>
        </is>
      </c>
      <c r="C27" s="38" t="inlineStr">
        <is>
          <t>Scheduling app (sample)</t>
        </is>
      </c>
      <c r="D27" s="38" t="inlineStr">
        <is>
          <t>Monthly subscription</t>
        </is>
      </c>
      <c r="E27" s="48" t="n">
        <v>49</v>
      </c>
      <c r="F27" s="38" t="inlineStr">
        <is>
          <t>Card</t>
        </is>
      </c>
      <c r="G27" s="38" t="n"/>
      <c r="H27" s="38" t="inlineStr">
        <is>
          <t>Yes</t>
        </is>
      </c>
      <c r="I27" s="38" t="n"/>
      <c r="J27" s="49">
        <f>IF(B27="","",IFERROR(INDEX('SETTINGS'!$M$5:$M$24,MATCH(B27,'SETTINGS'!$L$5:$L$24,0)),"Yes"))</f>
        <v/>
      </c>
      <c r="K27" s="51">
        <f>IF(A27="","",DATE(YEAR(A27),MONTH(A27),1))</f>
        <v/>
      </c>
    </row>
    <row r="28">
      <c r="A28" s="47" t="n">
        <v>46083</v>
      </c>
      <c r="B28" s="38" t="inlineStr">
        <is>
          <t>Uniforms</t>
        </is>
      </c>
      <c r="C28" s="38" t="inlineStr">
        <is>
          <t>Uniform shop (sample)</t>
        </is>
      </c>
      <c r="D28" s="38" t="inlineStr">
        <is>
          <t>Team shirts x8</t>
        </is>
      </c>
      <c r="E28" s="48" t="n">
        <v>184</v>
      </c>
      <c r="F28" s="38" t="inlineStr">
        <is>
          <t>Card</t>
        </is>
      </c>
      <c r="G28" s="38" t="n"/>
      <c r="H28" s="38" t="inlineStr">
        <is>
          <t>Yes</t>
        </is>
      </c>
      <c r="I28" s="38" t="n"/>
      <c r="J28" s="49">
        <f>IF(B28="","",IFERROR(INDEX('SETTINGS'!$M$5:$M$24,MATCH(B28,'SETTINGS'!$L$5:$L$24,0)),"Yes"))</f>
        <v/>
      </c>
      <c r="K28" s="51">
        <f>IF(A28="","",DATE(YEAR(A28),MONTH(A28),1))</f>
        <v/>
      </c>
    </row>
    <row r="29">
      <c r="A29" s="47" t="n">
        <v>46084</v>
      </c>
      <c r="B29" s="38" t="inlineStr">
        <is>
          <t>Phone &amp; Internet</t>
        </is>
      </c>
      <c r="C29" s="38" t="inlineStr">
        <is>
          <t>Mobile carrier (sample)</t>
        </is>
      </c>
      <c r="D29" s="38" t="inlineStr">
        <is>
          <t>Business line</t>
        </is>
      </c>
      <c r="E29" s="48" t="n">
        <v>85</v>
      </c>
      <c r="F29" s="38" t="inlineStr">
        <is>
          <t>Card</t>
        </is>
      </c>
      <c r="G29" s="38" t="n"/>
      <c r="H29" s="38" t="inlineStr">
        <is>
          <t>Yes</t>
        </is>
      </c>
      <c r="I29" s="38" t="n"/>
      <c r="J29" s="49">
        <f>IF(B29="","",IFERROR(INDEX('SETTINGS'!$M$5:$M$24,MATCH(B29,'SETTINGS'!$L$5:$L$24,0)),"Yes"))</f>
        <v/>
      </c>
      <c r="K29" s="51">
        <f>IF(A29="","",DATE(YEAR(A29),MONTH(A29),1))</f>
        <v/>
      </c>
    </row>
    <row r="30">
      <c r="A30" s="47" t="n">
        <v>46086</v>
      </c>
      <c r="B30" s="38" t="inlineStr">
        <is>
          <t>Insurance</t>
        </is>
      </c>
      <c r="C30" s="38" t="inlineStr">
        <is>
          <t>Insurance agency (sample)</t>
        </is>
      </c>
      <c r="D30" s="38" t="inlineStr">
        <is>
          <t>Monthly premium</t>
        </is>
      </c>
      <c r="E30" s="48" t="n">
        <v>165</v>
      </c>
      <c r="F30" s="38" t="inlineStr">
        <is>
          <t>Card</t>
        </is>
      </c>
      <c r="G30" s="38" t="n"/>
      <c r="H30" s="38" t="inlineStr">
        <is>
          <t>Yes</t>
        </is>
      </c>
      <c r="I30" s="38" t="n"/>
      <c r="J30" s="49">
        <f>IF(B30="","",IFERROR(INDEX('SETTINGS'!$M$5:$M$24,MATCH(B30,'SETTINGS'!$L$5:$L$24,0)),"Yes"))</f>
        <v/>
      </c>
      <c r="K30" s="51">
        <f>IF(A30="","",DATE(YEAR(A30),MONTH(A30),1))</f>
        <v/>
      </c>
    </row>
    <row r="31">
      <c r="A31" s="47" t="n">
        <v>46087</v>
      </c>
      <c r="B31" s="38" t="inlineStr">
        <is>
          <t>Fuel &amp; Vehicle</t>
        </is>
      </c>
      <c r="C31" s="38" t="inlineStr">
        <is>
          <t>Fuel station</t>
        </is>
      </c>
      <c r="D31" s="38" t="inlineStr">
        <is>
          <t>Fuel</t>
        </is>
      </c>
      <c r="E31" s="48" t="n">
        <v>64</v>
      </c>
      <c r="F31" s="38" t="inlineStr">
        <is>
          <t>Card</t>
        </is>
      </c>
      <c r="G31" s="38" t="n"/>
      <c r="H31" s="38" t="inlineStr">
        <is>
          <t>Yes</t>
        </is>
      </c>
      <c r="I31" s="38" t="n"/>
      <c r="J31" s="49">
        <f>IF(B31="","",IFERROR(INDEX('SETTINGS'!$M$5:$M$24,MATCH(B31,'SETTINGS'!$L$5:$L$24,0)),"Yes"))</f>
        <v/>
      </c>
      <c r="K31" s="51">
        <f>IF(A31="","",DATE(YEAR(A31),MONTH(A31),1))</f>
        <v/>
      </c>
    </row>
    <row r="32">
      <c r="A32" s="47" t="n">
        <v>46089</v>
      </c>
      <c r="B32" s="38" t="inlineStr">
        <is>
          <t>Advertising &amp; Marketing</t>
        </is>
      </c>
      <c r="C32" s="38" t="inlineStr">
        <is>
          <t>Community newsletter</t>
        </is>
      </c>
      <c r="D32" s="38" t="inlineStr">
        <is>
          <t>Local marketing</t>
        </is>
      </c>
      <c r="E32" s="48" t="n">
        <v>120</v>
      </c>
      <c r="F32" s="38" t="inlineStr">
        <is>
          <t>Card</t>
        </is>
      </c>
      <c r="G32" s="38" t="n"/>
      <c r="H32" s="38" t="inlineStr">
        <is>
          <t>Yes</t>
        </is>
      </c>
      <c r="I32" s="38" t="n"/>
      <c r="J32" s="49">
        <f>IF(B32="","",IFERROR(INDEX('SETTINGS'!$M$5:$M$24,MATCH(B32,'SETTINGS'!$L$5:$L$24,0)),"Yes"))</f>
        <v/>
      </c>
      <c r="K32" s="51">
        <f>IF(A32="","",DATE(YEAR(A32),MONTH(A32),1))</f>
        <v/>
      </c>
    </row>
    <row r="33">
      <c r="A33" s="47" t="n">
        <v>46091</v>
      </c>
      <c r="B33" s="38" t="inlineStr">
        <is>
          <t>Supplies (job use)</t>
        </is>
      </c>
      <c r="C33" s="38" t="inlineStr">
        <is>
          <t>Janitorial supplier (sample)</t>
        </is>
      </c>
      <c r="D33" s="38" t="inlineStr">
        <is>
          <t>Chemicals &amp; microfiber</t>
        </is>
      </c>
      <c r="E33" s="48" t="n">
        <v>201</v>
      </c>
      <c r="F33" s="38" t="inlineStr">
        <is>
          <t>Card</t>
        </is>
      </c>
      <c r="G33" s="38" t="n"/>
      <c r="H33" s="38" t="inlineStr">
        <is>
          <t>Yes</t>
        </is>
      </c>
      <c r="I33" s="38" t="n"/>
      <c r="J33" s="49">
        <f>IF(B33="","",IFERROR(INDEX('SETTINGS'!$M$5:$M$24,MATCH(B33,'SETTINGS'!$L$5:$L$24,0)),"Yes"))</f>
        <v/>
      </c>
      <c r="K33" s="51">
        <f>IF(A33="","",DATE(YEAR(A33),MONTH(A33),1))</f>
        <v/>
      </c>
    </row>
    <row r="34">
      <c r="A34" s="47" t="n">
        <v>46094</v>
      </c>
      <c r="B34" s="38" t="inlineStr">
        <is>
          <t>Fuel &amp; Vehicle</t>
        </is>
      </c>
      <c r="C34" s="38" t="inlineStr">
        <is>
          <t>Fuel station</t>
        </is>
      </c>
      <c r="D34" s="38" t="inlineStr">
        <is>
          <t>Fuel</t>
        </is>
      </c>
      <c r="E34" s="48" t="n">
        <v>45</v>
      </c>
      <c r="F34" s="38" t="inlineStr">
        <is>
          <t>Card</t>
        </is>
      </c>
      <c r="G34" s="38" t="n"/>
      <c r="H34" s="38" t="inlineStr">
        <is>
          <t>Yes</t>
        </is>
      </c>
      <c r="I34" s="38" t="n"/>
      <c r="J34" s="49">
        <f>IF(B34="","",IFERROR(INDEX('SETTINGS'!$M$5:$M$24,MATCH(B34,'SETTINGS'!$L$5:$L$24,0)),"Yes"))</f>
        <v/>
      </c>
      <c r="K34" s="51">
        <f>IF(A34="","",DATE(YEAR(A34),MONTH(A34),1))</f>
        <v/>
      </c>
    </row>
    <row r="35">
      <c r="A35" s="47" t="n">
        <v>46101</v>
      </c>
      <c r="B35" s="38" t="inlineStr">
        <is>
          <t>Fuel &amp; Vehicle</t>
        </is>
      </c>
      <c r="C35" s="38" t="inlineStr">
        <is>
          <t>Fuel station</t>
        </is>
      </c>
      <c r="D35" s="38" t="inlineStr">
        <is>
          <t>Fuel</t>
        </is>
      </c>
      <c r="E35" s="48" t="n">
        <v>66</v>
      </c>
      <c r="F35" s="38" t="inlineStr">
        <is>
          <t>Card</t>
        </is>
      </c>
      <c r="G35" s="38" t="n"/>
      <c r="H35" s="38" t="inlineStr">
        <is>
          <t>Yes</t>
        </is>
      </c>
      <c r="I35" s="38" t="n"/>
      <c r="J35" s="49">
        <f>IF(B35="","",IFERROR(INDEX('SETTINGS'!$M$5:$M$24,MATCH(B35,'SETTINGS'!$L$5:$L$24,0)),"Yes"))</f>
        <v/>
      </c>
      <c r="K35" s="51">
        <f>IF(A35="","",DATE(YEAR(A35),MONTH(A35),1))</f>
        <v/>
      </c>
    </row>
    <row r="36">
      <c r="A36" s="47" t="n">
        <v>46105</v>
      </c>
      <c r="B36" s="38" t="inlineStr">
        <is>
          <t>Supplies (job use)</t>
        </is>
      </c>
      <c r="C36" s="38" t="inlineStr">
        <is>
          <t>Big-box store</t>
        </is>
      </c>
      <c r="D36" s="38" t="inlineStr">
        <is>
          <t>Liners, paper goods</t>
        </is>
      </c>
      <c r="E36" s="48" t="n">
        <v>74</v>
      </c>
      <c r="F36" s="38" t="inlineStr">
        <is>
          <t>Card</t>
        </is>
      </c>
      <c r="G36" s="38" t="n"/>
      <c r="H36" s="38" t="inlineStr">
        <is>
          <t>Yes</t>
        </is>
      </c>
      <c r="I36" s="38" t="n"/>
      <c r="J36" s="49">
        <f>IF(B36="","",IFERROR(INDEX('SETTINGS'!$M$5:$M$24,MATCH(B36,'SETTINGS'!$L$5:$L$24,0)),"Yes"))</f>
        <v/>
      </c>
      <c r="K36" s="51">
        <f>IF(A36="","",DATE(YEAR(A36),MONTH(A36),1))</f>
        <v/>
      </c>
    </row>
    <row r="37">
      <c r="A37" s="47" t="n">
        <v>46108</v>
      </c>
      <c r="B37" s="38" t="inlineStr">
        <is>
          <t>Fuel &amp; Vehicle</t>
        </is>
      </c>
      <c r="C37" s="38" t="inlineStr">
        <is>
          <t>Fuel station</t>
        </is>
      </c>
      <c r="D37" s="38" t="inlineStr">
        <is>
          <t>Fuel</t>
        </is>
      </c>
      <c r="E37" s="48" t="n">
        <v>46</v>
      </c>
      <c r="F37" s="38" t="inlineStr">
        <is>
          <t>Card</t>
        </is>
      </c>
      <c r="G37" s="38" t="n"/>
      <c r="H37" s="38" t="inlineStr">
        <is>
          <t>Yes</t>
        </is>
      </c>
      <c r="I37" s="38" t="n"/>
      <c r="J37" s="49">
        <f>IF(B37="","",IFERROR(INDEX('SETTINGS'!$M$5:$M$24,MATCH(B37,'SETTINGS'!$L$5:$L$24,0)),"Yes"))</f>
        <v/>
      </c>
      <c r="K37" s="51">
        <f>IF(A37="","",DATE(YEAR(A37),MONTH(A37),1))</f>
        <v/>
      </c>
    </row>
    <row r="38">
      <c r="A38" s="47" t="n">
        <v>46109</v>
      </c>
      <c r="B38" s="38" t="inlineStr">
        <is>
          <t>Bank Fees</t>
        </is>
      </c>
      <c r="C38" s="38" t="inlineStr">
        <is>
          <t>Bank (sample)</t>
        </is>
      </c>
      <c r="D38" s="38" t="inlineStr">
        <is>
          <t>Account fee</t>
        </is>
      </c>
      <c r="E38" s="48" t="n">
        <v>12</v>
      </c>
      <c r="F38" s="38" t="inlineStr">
        <is>
          <t>Bank Transfer</t>
        </is>
      </c>
      <c r="G38" s="38" t="n"/>
      <c r="H38" s="38" t="inlineStr">
        <is>
          <t>Yes</t>
        </is>
      </c>
      <c r="I38" s="38" t="n"/>
      <c r="J38" s="49">
        <f>IF(B38="","",IFERROR(INDEX('SETTINGS'!$M$5:$M$24,MATCH(B38,'SETTINGS'!$L$5:$L$24,0)),"Yes"))</f>
        <v/>
      </c>
      <c r="K38" s="51">
        <f>IF(A38="","",DATE(YEAR(A38),MONTH(A38),1))</f>
        <v/>
      </c>
    </row>
    <row r="39">
      <c r="A39" s="47" t="n">
        <v>46113</v>
      </c>
      <c r="B39" s="38" t="inlineStr">
        <is>
          <t>Software &amp; Apps</t>
        </is>
      </c>
      <c r="C39" s="38" t="inlineStr">
        <is>
          <t>Scheduling app (sample)</t>
        </is>
      </c>
      <c r="D39" s="38" t="inlineStr">
        <is>
          <t>Monthly subscription</t>
        </is>
      </c>
      <c r="E39" s="48" t="n">
        <v>49</v>
      </c>
      <c r="F39" s="38" t="inlineStr">
        <is>
          <t>Card</t>
        </is>
      </c>
      <c r="G39" s="38" t="n"/>
      <c r="H39" s="38" t="inlineStr">
        <is>
          <t>Yes</t>
        </is>
      </c>
      <c r="I39" s="38" t="n"/>
      <c r="J39" s="49">
        <f>IF(B39="","",IFERROR(INDEX('SETTINGS'!$M$5:$M$24,MATCH(B39,'SETTINGS'!$L$5:$L$24,0)),"Yes"))</f>
        <v/>
      </c>
      <c r="K39" s="51">
        <f>IF(A39="","",DATE(YEAR(A39),MONTH(A39),1))</f>
        <v/>
      </c>
    </row>
    <row r="40">
      <c r="A40" s="47" t="n">
        <v>46115</v>
      </c>
      <c r="B40" s="38" t="inlineStr">
        <is>
          <t>Phone &amp; Internet</t>
        </is>
      </c>
      <c r="C40" s="38" t="inlineStr">
        <is>
          <t>Mobile carrier (sample)</t>
        </is>
      </c>
      <c r="D40" s="38" t="inlineStr">
        <is>
          <t>Business line</t>
        </is>
      </c>
      <c r="E40" s="48" t="n">
        <v>85</v>
      </c>
      <c r="F40" s="38" t="inlineStr">
        <is>
          <t>Card</t>
        </is>
      </c>
      <c r="G40" s="38" t="n"/>
      <c r="H40" s="38" t="inlineStr">
        <is>
          <t>Yes</t>
        </is>
      </c>
      <c r="I40" s="38" t="n"/>
      <c r="J40" s="49">
        <f>IF(B40="","",IFERROR(INDEX('SETTINGS'!$M$5:$M$24,MATCH(B40,'SETTINGS'!$L$5:$L$24,0)),"Yes"))</f>
        <v/>
      </c>
      <c r="K40" s="51">
        <f>IF(A40="","",DATE(YEAR(A40),MONTH(A40),1))</f>
        <v/>
      </c>
    </row>
    <row r="41">
      <c r="A41" s="47" t="n">
        <v>46117</v>
      </c>
      <c r="B41" s="38" t="inlineStr">
        <is>
          <t>Insurance</t>
        </is>
      </c>
      <c r="C41" s="38" t="inlineStr">
        <is>
          <t>Insurance agency (sample)</t>
        </is>
      </c>
      <c r="D41" s="38" t="inlineStr">
        <is>
          <t>Monthly premium</t>
        </is>
      </c>
      <c r="E41" s="48" t="n">
        <v>165</v>
      </c>
      <c r="F41" s="38" t="inlineStr">
        <is>
          <t>Card</t>
        </is>
      </c>
      <c r="G41" s="38" t="n"/>
      <c r="H41" s="38" t="inlineStr">
        <is>
          <t>Yes</t>
        </is>
      </c>
      <c r="I41" s="38" t="n"/>
      <c r="J41" s="49">
        <f>IF(B41="","",IFERROR(INDEX('SETTINGS'!$M$5:$M$24,MATCH(B41,'SETTINGS'!$L$5:$L$24,0)),"Yes"))</f>
        <v/>
      </c>
      <c r="K41" s="51">
        <f>IF(A41="","",DATE(YEAR(A41),MONTH(A41),1))</f>
        <v/>
      </c>
    </row>
    <row r="42">
      <c r="A42" s="47" t="n">
        <v>46118</v>
      </c>
      <c r="B42" s="38" t="inlineStr">
        <is>
          <t>Fuel &amp; Vehicle</t>
        </is>
      </c>
      <c r="C42" s="38" t="inlineStr">
        <is>
          <t>Fuel station</t>
        </is>
      </c>
      <c r="D42" s="38" t="inlineStr">
        <is>
          <t>Fuel</t>
        </is>
      </c>
      <c r="E42" s="48" t="n">
        <v>57</v>
      </c>
      <c r="F42" s="38" t="inlineStr">
        <is>
          <t>Card</t>
        </is>
      </c>
      <c r="G42" s="38" t="n"/>
      <c r="H42" s="38" t="inlineStr">
        <is>
          <t>Yes</t>
        </is>
      </c>
      <c r="I42" s="38" t="n"/>
      <c r="J42" s="49">
        <f>IF(B42="","",IFERROR(INDEX('SETTINGS'!$M$5:$M$24,MATCH(B42,'SETTINGS'!$L$5:$L$24,0)),"Yes"))</f>
        <v/>
      </c>
      <c r="K42" s="51">
        <f>IF(A42="","",DATE(YEAR(A42),MONTH(A42),1))</f>
        <v/>
      </c>
    </row>
    <row r="43">
      <c r="A43" s="47" t="n">
        <v>46120</v>
      </c>
      <c r="B43" s="38" t="inlineStr">
        <is>
          <t>Advertising &amp; Marketing</t>
        </is>
      </c>
      <c r="C43" s="38" t="inlineStr">
        <is>
          <t>Community newsletter</t>
        </is>
      </c>
      <c r="D43" s="38" t="inlineStr">
        <is>
          <t>Local marketing</t>
        </is>
      </c>
      <c r="E43" s="48" t="n">
        <v>150</v>
      </c>
      <c r="F43" s="38" t="inlineStr">
        <is>
          <t>Card</t>
        </is>
      </c>
      <c r="G43" s="38" t="n"/>
      <c r="H43" s="38" t="inlineStr">
        <is>
          <t>Yes</t>
        </is>
      </c>
      <c r="I43" s="38" t="n"/>
      <c r="J43" s="49">
        <f>IF(B43="","",IFERROR(INDEX('SETTINGS'!$M$5:$M$24,MATCH(B43,'SETTINGS'!$L$5:$L$24,0)),"Yes"))</f>
        <v/>
      </c>
      <c r="K43" s="51">
        <f>IF(A43="","",DATE(YEAR(A43),MONTH(A43),1))</f>
        <v/>
      </c>
    </row>
    <row r="44">
      <c r="A44" s="47" t="n">
        <v>46122</v>
      </c>
      <c r="B44" s="38" t="inlineStr">
        <is>
          <t>Supplies (job use)</t>
        </is>
      </c>
      <c r="C44" s="38" t="inlineStr">
        <is>
          <t>Janitorial supplier (sample)</t>
        </is>
      </c>
      <c r="D44" s="38" t="inlineStr">
        <is>
          <t>Chemicals &amp; microfiber</t>
        </is>
      </c>
      <c r="E44" s="48" t="n">
        <v>218</v>
      </c>
      <c r="F44" s="38" t="inlineStr">
        <is>
          <t>Card</t>
        </is>
      </c>
      <c r="G44" s="38" t="n"/>
      <c r="H44" s="38" t="inlineStr">
        <is>
          <t>Yes</t>
        </is>
      </c>
      <c r="I44" s="38" t="n"/>
      <c r="J44" s="49">
        <f>IF(B44="","",IFERROR(INDEX('SETTINGS'!$M$5:$M$24,MATCH(B44,'SETTINGS'!$L$5:$L$24,0)),"Yes"))</f>
        <v/>
      </c>
      <c r="K44" s="51">
        <f>IF(A44="","",DATE(YEAR(A44),MONTH(A44),1))</f>
        <v/>
      </c>
    </row>
    <row r="45">
      <c r="A45" s="47" t="n">
        <v>46125</v>
      </c>
      <c r="B45" s="38" t="inlineStr">
        <is>
          <t>Fuel &amp; Vehicle</t>
        </is>
      </c>
      <c r="C45" s="38" t="inlineStr">
        <is>
          <t>Fuel station</t>
        </is>
      </c>
      <c r="D45" s="38" t="inlineStr">
        <is>
          <t>Fuel</t>
        </is>
      </c>
      <c r="E45" s="48" t="n">
        <v>67</v>
      </c>
      <c r="F45" s="38" t="inlineStr">
        <is>
          <t>Card</t>
        </is>
      </c>
      <c r="G45" s="38" t="n"/>
      <c r="H45" s="38" t="inlineStr">
        <is>
          <t>Yes</t>
        </is>
      </c>
      <c r="I45" s="38" t="n"/>
      <c r="J45" s="49">
        <f>IF(B45="","",IFERROR(INDEX('SETTINGS'!$M$5:$M$24,MATCH(B45,'SETTINGS'!$L$5:$L$24,0)),"Yes"))</f>
        <v/>
      </c>
      <c r="K45" s="51">
        <f>IF(A45="","",DATE(YEAR(A45),MONTH(A45),1))</f>
        <v/>
      </c>
    </row>
    <row r="46">
      <c r="A46" s="47" t="n">
        <v>46127</v>
      </c>
      <c r="B46" s="38" t="inlineStr">
        <is>
          <t>Professional Fees</t>
        </is>
      </c>
      <c r="C46" s="38" t="inlineStr">
        <is>
          <t>Bookkeeper (sample)</t>
        </is>
      </c>
      <c r="D46" s="38" t="inlineStr">
        <is>
          <t>Quarterly bookkeeping</t>
        </is>
      </c>
      <c r="E46" s="48" t="n">
        <v>250</v>
      </c>
      <c r="F46" s="38" t="inlineStr">
        <is>
          <t>Bank Transfer</t>
        </is>
      </c>
      <c r="G46" s="38" t="n"/>
      <c r="H46" s="38" t="inlineStr">
        <is>
          <t>Yes</t>
        </is>
      </c>
      <c r="I46" s="38" t="n"/>
      <c r="J46" s="49">
        <f>IF(B46="","",IFERROR(INDEX('SETTINGS'!$M$5:$M$24,MATCH(B46,'SETTINGS'!$L$5:$L$24,0)),"Yes"))</f>
        <v/>
      </c>
      <c r="K46" s="51">
        <f>IF(A46="","",DATE(YEAR(A46),MONTH(A46),1))</f>
        <v/>
      </c>
    </row>
    <row r="47">
      <c r="A47" s="47" t="n">
        <v>46132</v>
      </c>
      <c r="B47" s="38" t="inlineStr">
        <is>
          <t>Fuel &amp; Vehicle</t>
        </is>
      </c>
      <c r="C47" s="38" t="inlineStr">
        <is>
          <t>Fuel station</t>
        </is>
      </c>
      <c r="D47" s="38" t="inlineStr">
        <is>
          <t>Fuel</t>
        </is>
      </c>
      <c r="E47" s="48" t="n">
        <v>65</v>
      </c>
      <c r="F47" s="38" t="inlineStr">
        <is>
          <t>Card</t>
        </is>
      </c>
      <c r="G47" s="38" t="n"/>
      <c r="H47" s="38" t="inlineStr">
        <is>
          <t>Yes</t>
        </is>
      </c>
      <c r="I47" s="38" t="n"/>
      <c r="J47" s="49">
        <f>IF(B47="","",IFERROR(INDEX('SETTINGS'!$M$5:$M$24,MATCH(B47,'SETTINGS'!$L$5:$L$24,0)),"Yes"))</f>
        <v/>
      </c>
      <c r="K47" s="51">
        <f>IF(A47="","",DATE(YEAR(A47),MONTH(A47),1))</f>
        <v/>
      </c>
    </row>
    <row r="48">
      <c r="A48" s="47" t="n">
        <v>46136</v>
      </c>
      <c r="B48" s="38" t="inlineStr">
        <is>
          <t>Supplies (job use)</t>
        </is>
      </c>
      <c r="C48" s="38" t="inlineStr">
        <is>
          <t>Big-box store</t>
        </is>
      </c>
      <c r="D48" s="38" t="inlineStr">
        <is>
          <t>Liners, paper goods</t>
        </is>
      </c>
      <c r="E48" s="48" t="n">
        <v>92</v>
      </c>
      <c r="F48" s="38" t="inlineStr">
        <is>
          <t>Card</t>
        </is>
      </c>
      <c r="G48" s="38" t="n"/>
      <c r="H48" s="38" t="inlineStr">
        <is>
          <t>Yes</t>
        </is>
      </c>
      <c r="I48" s="38" t="n"/>
      <c r="J48" s="49">
        <f>IF(B48="","",IFERROR(INDEX('SETTINGS'!$M$5:$M$24,MATCH(B48,'SETTINGS'!$L$5:$L$24,0)),"Yes"))</f>
        <v/>
      </c>
      <c r="K48" s="51">
        <f>IF(A48="","",DATE(YEAR(A48),MONTH(A48),1))</f>
        <v/>
      </c>
    </row>
    <row r="49">
      <c r="A49" s="47" t="n">
        <v>46139</v>
      </c>
      <c r="B49" s="38" t="inlineStr">
        <is>
          <t>Fuel &amp; Vehicle</t>
        </is>
      </c>
      <c r="C49" s="38" t="inlineStr">
        <is>
          <t>Fuel station</t>
        </is>
      </c>
      <c r="D49" s="38" t="inlineStr">
        <is>
          <t>Fuel</t>
        </is>
      </c>
      <c r="E49" s="48" t="n">
        <v>50</v>
      </c>
      <c r="F49" s="38" t="inlineStr">
        <is>
          <t>Card</t>
        </is>
      </c>
      <c r="G49" s="38" t="n"/>
      <c r="H49" s="38" t="inlineStr">
        <is>
          <t>Yes</t>
        </is>
      </c>
      <c r="I49" s="38" t="n"/>
      <c r="J49" s="49">
        <f>IF(B49="","",IFERROR(INDEX('SETTINGS'!$M$5:$M$24,MATCH(B49,'SETTINGS'!$L$5:$L$24,0)),"Yes"))</f>
        <v/>
      </c>
      <c r="K49" s="51">
        <f>IF(A49="","",DATE(YEAR(A49),MONTH(A49),1))</f>
        <v/>
      </c>
    </row>
    <row r="50">
      <c r="A50" s="47" t="n">
        <v>46140</v>
      </c>
      <c r="B50" s="38" t="inlineStr">
        <is>
          <t>Bank Fees</t>
        </is>
      </c>
      <c r="C50" s="38" t="inlineStr">
        <is>
          <t>Bank (sample)</t>
        </is>
      </c>
      <c r="D50" s="38" t="inlineStr">
        <is>
          <t>Account fee</t>
        </is>
      </c>
      <c r="E50" s="48" t="n">
        <v>12</v>
      </c>
      <c r="F50" s="38" t="inlineStr">
        <is>
          <t>Bank Transfer</t>
        </is>
      </c>
      <c r="G50" s="38" t="n"/>
      <c r="H50" s="38" t="inlineStr">
        <is>
          <t>Yes</t>
        </is>
      </c>
      <c r="I50" s="38" t="n"/>
      <c r="J50" s="49">
        <f>IF(B50="","",IFERROR(INDEX('SETTINGS'!$M$5:$M$24,MATCH(B50,'SETTINGS'!$L$5:$L$24,0)),"Yes"))</f>
        <v/>
      </c>
      <c r="K50" s="51">
        <f>IF(A50="","",DATE(YEAR(A50),MONTH(A50),1))</f>
        <v/>
      </c>
    </row>
    <row r="51">
      <c r="A51" s="47" t="n">
        <v>46143</v>
      </c>
      <c r="B51" s="38" t="inlineStr">
        <is>
          <t>Software &amp; Apps</t>
        </is>
      </c>
      <c r="C51" s="38" t="inlineStr">
        <is>
          <t>Scheduling app (sample)</t>
        </is>
      </c>
      <c r="D51" s="38" t="inlineStr">
        <is>
          <t>Monthly subscription</t>
        </is>
      </c>
      <c r="E51" s="48" t="n">
        <v>49</v>
      </c>
      <c r="F51" s="38" t="inlineStr">
        <is>
          <t>Card</t>
        </is>
      </c>
      <c r="G51" s="38" t="n"/>
      <c r="H51" s="38" t="inlineStr">
        <is>
          <t>Yes</t>
        </is>
      </c>
      <c r="I51" s="38" t="n"/>
      <c r="J51" s="49">
        <f>IF(B51="","",IFERROR(INDEX('SETTINGS'!$M$5:$M$24,MATCH(B51,'SETTINGS'!$L$5:$L$24,0)),"Yes"))</f>
        <v/>
      </c>
      <c r="K51" s="51">
        <f>IF(A51="","",DATE(YEAR(A51),MONTH(A51),1))</f>
        <v/>
      </c>
    </row>
    <row r="52">
      <c r="A52" s="47" t="n">
        <v>46145</v>
      </c>
      <c r="B52" s="38" t="inlineStr">
        <is>
          <t>Phone &amp; Internet</t>
        </is>
      </c>
      <c r="C52" s="38" t="inlineStr">
        <is>
          <t>Mobile carrier (sample)</t>
        </is>
      </c>
      <c r="D52" s="38" t="inlineStr">
        <is>
          <t>Business line</t>
        </is>
      </c>
      <c r="E52" s="48" t="n">
        <v>85</v>
      </c>
      <c r="F52" s="38" t="inlineStr">
        <is>
          <t>Card</t>
        </is>
      </c>
      <c r="G52" s="38" t="n"/>
      <c r="H52" s="38" t="inlineStr">
        <is>
          <t>Yes</t>
        </is>
      </c>
      <c r="I52" s="38" t="n"/>
      <c r="J52" s="49">
        <f>IF(B52="","",IFERROR(INDEX('SETTINGS'!$M$5:$M$24,MATCH(B52,'SETTINGS'!$L$5:$L$24,0)),"Yes"))</f>
        <v/>
      </c>
      <c r="K52" s="51">
        <f>IF(A52="","",DATE(YEAR(A52),MONTH(A52),1))</f>
        <v/>
      </c>
    </row>
    <row r="53">
      <c r="A53" s="47" t="n">
        <v>46147</v>
      </c>
      <c r="B53" s="38" t="inlineStr">
        <is>
          <t>Insurance</t>
        </is>
      </c>
      <c r="C53" s="38" t="inlineStr">
        <is>
          <t>Insurance agency (sample)</t>
        </is>
      </c>
      <c r="D53" s="38" t="inlineStr">
        <is>
          <t>Monthly premium</t>
        </is>
      </c>
      <c r="E53" s="48" t="n">
        <v>165</v>
      </c>
      <c r="F53" s="38" t="inlineStr">
        <is>
          <t>Card</t>
        </is>
      </c>
      <c r="G53" s="38" t="n"/>
      <c r="H53" s="38" t="inlineStr">
        <is>
          <t>Yes</t>
        </is>
      </c>
      <c r="I53" s="38" t="n"/>
      <c r="J53" s="49">
        <f>IF(B53="","",IFERROR(INDEX('SETTINGS'!$M$5:$M$24,MATCH(B53,'SETTINGS'!$L$5:$L$24,0)),"Yes"))</f>
        <v/>
      </c>
      <c r="K53" s="51">
        <f>IF(A53="","",DATE(YEAR(A53),MONTH(A53),1))</f>
        <v/>
      </c>
    </row>
    <row r="54">
      <c r="A54" s="47" t="n">
        <v>46148</v>
      </c>
      <c r="B54" s="38" t="inlineStr">
        <is>
          <t>Fuel &amp; Vehicle</t>
        </is>
      </c>
      <c r="C54" s="38" t="inlineStr">
        <is>
          <t>Fuel station</t>
        </is>
      </c>
      <c r="D54" s="38" t="inlineStr">
        <is>
          <t>Fuel</t>
        </is>
      </c>
      <c r="E54" s="48" t="n">
        <v>63</v>
      </c>
      <c r="F54" s="38" t="inlineStr">
        <is>
          <t>Card</t>
        </is>
      </c>
      <c r="G54" s="38" t="n"/>
      <c r="H54" s="38" t="inlineStr">
        <is>
          <t>Yes</t>
        </is>
      </c>
      <c r="I54" s="38" t="n"/>
      <c r="J54" s="49">
        <f>IF(B54="","",IFERROR(INDEX('SETTINGS'!$M$5:$M$24,MATCH(B54,'SETTINGS'!$L$5:$L$24,0)),"Yes"))</f>
        <v/>
      </c>
      <c r="K54" s="51">
        <f>IF(A54="","",DATE(YEAR(A54),MONTH(A54),1))</f>
        <v/>
      </c>
    </row>
    <row r="55">
      <c r="A55" s="47" t="n">
        <v>46150</v>
      </c>
      <c r="B55" s="38" t="inlineStr">
        <is>
          <t>Advertising &amp; Marketing</t>
        </is>
      </c>
      <c r="C55" s="38" t="inlineStr">
        <is>
          <t>Social media ads</t>
        </is>
      </c>
      <c r="D55" s="38" t="inlineStr">
        <is>
          <t>Local marketing</t>
        </is>
      </c>
      <c r="E55" s="48" t="n">
        <v>220</v>
      </c>
      <c r="F55" s="38" t="inlineStr">
        <is>
          <t>Card</t>
        </is>
      </c>
      <c r="G55" s="38" t="n"/>
      <c r="H55" s="38" t="inlineStr">
        <is>
          <t>Yes</t>
        </is>
      </c>
      <c r="I55" s="38" t="n"/>
      <c r="J55" s="49">
        <f>IF(B55="","",IFERROR(INDEX('SETTINGS'!$M$5:$M$24,MATCH(B55,'SETTINGS'!$L$5:$L$24,0)),"Yes"))</f>
        <v/>
      </c>
      <c r="K55" s="51">
        <f>IF(A55="","",DATE(YEAR(A55),MONTH(A55),1))</f>
        <v/>
      </c>
    </row>
    <row r="56">
      <c r="A56" s="47" t="n">
        <v>46152</v>
      </c>
      <c r="B56" s="38" t="inlineStr">
        <is>
          <t>Supplies (job use)</t>
        </is>
      </c>
      <c r="C56" s="38" t="inlineStr">
        <is>
          <t>Janitorial supplier (sample)</t>
        </is>
      </c>
      <c r="D56" s="38" t="inlineStr">
        <is>
          <t>Chemicals &amp; microfiber</t>
        </is>
      </c>
      <c r="E56" s="48" t="n">
        <v>129</v>
      </c>
      <c r="F56" s="38" t="inlineStr">
        <is>
          <t>Card</t>
        </is>
      </c>
      <c r="G56" s="38" t="n"/>
      <c r="H56" s="38" t="inlineStr">
        <is>
          <t>Yes</t>
        </is>
      </c>
      <c r="I56" s="38" t="n"/>
      <c r="J56" s="49">
        <f>IF(B56="","",IFERROR(INDEX('SETTINGS'!$M$5:$M$24,MATCH(B56,'SETTINGS'!$L$5:$L$24,0)),"Yes"))</f>
        <v/>
      </c>
      <c r="K56" s="51">
        <f>IF(A56="","",DATE(YEAR(A56),MONTH(A56),1))</f>
        <v/>
      </c>
    </row>
    <row r="57">
      <c r="A57" s="47" t="n">
        <v>46155</v>
      </c>
      <c r="B57" s="38" t="inlineStr">
        <is>
          <t>Fuel &amp; Vehicle</t>
        </is>
      </c>
      <c r="C57" s="38" t="inlineStr">
        <is>
          <t>Fuel station</t>
        </is>
      </c>
      <c r="D57" s="38" t="inlineStr">
        <is>
          <t>Fuel</t>
        </is>
      </c>
      <c r="E57" s="48" t="n">
        <v>53</v>
      </c>
      <c r="F57" s="38" t="inlineStr">
        <is>
          <t>Card</t>
        </is>
      </c>
      <c r="G57" s="38" t="n"/>
      <c r="H57" s="38" t="inlineStr">
        <is>
          <t>Yes</t>
        </is>
      </c>
      <c r="I57" s="38" t="n"/>
      <c r="J57" s="49">
        <f>IF(B57="","",IFERROR(INDEX('SETTINGS'!$M$5:$M$24,MATCH(B57,'SETTINGS'!$L$5:$L$24,0)),"Yes"))</f>
        <v/>
      </c>
      <c r="K57" s="51">
        <f>IF(A57="","",DATE(YEAR(A57),MONTH(A57),1))</f>
        <v/>
      </c>
    </row>
    <row r="58">
      <c r="A58" s="47" t="n">
        <v>46161</v>
      </c>
      <c r="B58" s="38" t="inlineStr">
        <is>
          <t>Equipment</t>
        </is>
      </c>
      <c r="C58" s="38" t="inlineStr">
        <is>
          <t>Equipment dealer (sample)</t>
        </is>
      </c>
      <c r="D58" s="38" t="inlineStr">
        <is>
          <t>Commercial vacuum</t>
        </is>
      </c>
      <c r="E58" s="48" t="n">
        <v>389</v>
      </c>
      <c r="F58" s="38" t="inlineStr">
        <is>
          <t>Card</t>
        </is>
      </c>
      <c r="G58" s="38" t="n"/>
      <c r="H58" s="38" t="inlineStr">
        <is>
          <t>Yes</t>
        </is>
      </c>
      <c r="I58" s="38" t="n"/>
      <c r="J58" s="49">
        <f>IF(B58="","",IFERROR(INDEX('SETTINGS'!$M$5:$M$24,MATCH(B58,'SETTINGS'!$L$5:$L$24,0)),"Yes"))</f>
        <v/>
      </c>
      <c r="K58" s="51">
        <f>IF(A58="","",DATE(YEAR(A58),MONTH(A58),1))</f>
        <v/>
      </c>
    </row>
    <row r="59">
      <c r="A59" s="47" t="n">
        <v>46162</v>
      </c>
      <c r="B59" s="38" t="inlineStr">
        <is>
          <t>Fuel &amp; Vehicle</t>
        </is>
      </c>
      <c r="C59" s="38" t="inlineStr">
        <is>
          <t>Fuel station</t>
        </is>
      </c>
      <c r="D59" s="38" t="inlineStr">
        <is>
          <t>Fuel</t>
        </is>
      </c>
      <c r="E59" s="48" t="n">
        <v>53</v>
      </c>
      <c r="F59" s="38" t="inlineStr">
        <is>
          <t>Card</t>
        </is>
      </c>
      <c r="G59" s="38" t="n"/>
      <c r="H59" s="38" t="inlineStr">
        <is>
          <t>Yes</t>
        </is>
      </c>
      <c r="I59" s="38" t="n"/>
      <c r="J59" s="49">
        <f>IF(B59="","",IFERROR(INDEX('SETTINGS'!$M$5:$M$24,MATCH(B59,'SETTINGS'!$L$5:$L$24,0)),"Yes"))</f>
        <v/>
      </c>
      <c r="K59" s="51">
        <f>IF(A59="","",DATE(YEAR(A59),MONTH(A59),1))</f>
        <v/>
      </c>
    </row>
    <row r="60">
      <c r="A60" s="47" t="n">
        <v>46166</v>
      </c>
      <c r="B60" s="38" t="inlineStr">
        <is>
          <t>Supplies (job use)</t>
        </is>
      </c>
      <c r="C60" s="38" t="inlineStr">
        <is>
          <t>Big-box store</t>
        </is>
      </c>
      <c r="D60" s="38" t="inlineStr">
        <is>
          <t>Liners, paper goods</t>
        </is>
      </c>
      <c r="E60" s="48" t="n">
        <v>90</v>
      </c>
      <c r="F60" s="38" t="inlineStr">
        <is>
          <t>Card</t>
        </is>
      </c>
      <c r="G60" s="38" t="n"/>
      <c r="H60" s="38" t="inlineStr">
        <is>
          <t>Yes</t>
        </is>
      </c>
      <c r="I60" s="38" t="n"/>
      <c r="J60" s="49">
        <f>IF(B60="","",IFERROR(INDEX('SETTINGS'!$M$5:$M$24,MATCH(B60,'SETTINGS'!$L$5:$L$24,0)),"Yes"))</f>
        <v/>
      </c>
      <c r="K60" s="51">
        <f>IF(A60="","",DATE(YEAR(A60),MONTH(A60),1))</f>
        <v/>
      </c>
    </row>
    <row r="61">
      <c r="A61" s="47" t="n">
        <v>46169</v>
      </c>
      <c r="B61" s="38" t="inlineStr">
        <is>
          <t>Fuel &amp; Vehicle</t>
        </is>
      </c>
      <c r="C61" s="38" t="inlineStr">
        <is>
          <t>Fuel station</t>
        </is>
      </c>
      <c r="D61" s="38" t="inlineStr">
        <is>
          <t>Fuel</t>
        </is>
      </c>
      <c r="E61" s="48" t="n">
        <v>51</v>
      </c>
      <c r="F61" s="38" t="inlineStr">
        <is>
          <t>Card</t>
        </is>
      </c>
      <c r="G61" s="38" t="n"/>
      <c r="H61" s="38" t="inlineStr">
        <is>
          <t>Yes</t>
        </is>
      </c>
      <c r="I61" s="38" t="n"/>
      <c r="J61" s="49">
        <f>IF(B61="","",IFERROR(INDEX('SETTINGS'!$M$5:$M$24,MATCH(B61,'SETTINGS'!$L$5:$L$24,0)),"Yes"))</f>
        <v/>
      </c>
      <c r="K61" s="51">
        <f>IF(A61="","",DATE(YEAR(A61),MONTH(A61),1))</f>
        <v/>
      </c>
    </row>
    <row r="62">
      <c r="A62" s="47" t="n">
        <v>46170</v>
      </c>
      <c r="B62" s="38" t="inlineStr">
        <is>
          <t>Bank Fees</t>
        </is>
      </c>
      <c r="C62" s="38" t="inlineStr">
        <is>
          <t>Bank (sample)</t>
        </is>
      </c>
      <c r="D62" s="38" t="inlineStr">
        <is>
          <t>Account fee</t>
        </is>
      </c>
      <c r="E62" s="48" t="n">
        <v>12</v>
      </c>
      <c r="F62" s="38" t="inlineStr">
        <is>
          <t>Bank Transfer</t>
        </is>
      </c>
      <c r="G62" s="38" t="n"/>
      <c r="H62" s="38" t="inlineStr">
        <is>
          <t>Yes</t>
        </is>
      </c>
      <c r="I62" s="38" t="n"/>
      <c r="J62" s="49">
        <f>IF(B62="","",IFERROR(INDEX('SETTINGS'!$M$5:$M$24,MATCH(B62,'SETTINGS'!$L$5:$L$24,0)),"Yes"))</f>
        <v/>
      </c>
      <c r="K62" s="51">
        <f>IF(A62="","",DATE(YEAR(A62),MONTH(A62),1))</f>
        <v/>
      </c>
    </row>
    <row r="63">
      <c r="A63" s="47" t="n">
        <v>46174</v>
      </c>
      <c r="B63" s="38" t="inlineStr">
        <is>
          <t>Software &amp; Apps</t>
        </is>
      </c>
      <c r="C63" s="38" t="inlineStr">
        <is>
          <t>Scheduling app (sample)</t>
        </is>
      </c>
      <c r="D63" s="38" t="inlineStr">
        <is>
          <t>Monthly subscription</t>
        </is>
      </c>
      <c r="E63" s="48" t="n">
        <v>49</v>
      </c>
      <c r="F63" s="38" t="inlineStr">
        <is>
          <t>Card</t>
        </is>
      </c>
      <c r="G63" s="38" t="n"/>
      <c r="H63" s="38" t="inlineStr">
        <is>
          <t>Yes</t>
        </is>
      </c>
      <c r="I63" s="38" t="n"/>
      <c r="J63" s="49">
        <f>IF(B63="","",IFERROR(INDEX('SETTINGS'!$M$5:$M$24,MATCH(B63,'SETTINGS'!$L$5:$L$24,0)),"Yes"))</f>
        <v/>
      </c>
      <c r="K63" s="51">
        <f>IF(A63="","",DATE(YEAR(A63),MONTH(A63),1))</f>
        <v/>
      </c>
    </row>
    <row r="64">
      <c r="A64" s="47" t="n">
        <v>46176</v>
      </c>
      <c r="B64" s="38" t="inlineStr">
        <is>
          <t>Phone &amp; Internet</t>
        </is>
      </c>
      <c r="C64" s="38" t="inlineStr">
        <is>
          <t>Mobile carrier (sample)</t>
        </is>
      </c>
      <c r="D64" s="38" t="inlineStr">
        <is>
          <t>Business line</t>
        </is>
      </c>
      <c r="E64" s="48" t="n">
        <v>85</v>
      </c>
      <c r="F64" s="38" t="inlineStr">
        <is>
          <t>Card</t>
        </is>
      </c>
      <c r="G64" s="38" t="n"/>
      <c r="H64" s="38" t="inlineStr">
        <is>
          <t>Yes</t>
        </is>
      </c>
      <c r="I64" s="38" t="n"/>
      <c r="J64" s="49">
        <f>IF(B64="","",IFERROR(INDEX('SETTINGS'!$M$5:$M$24,MATCH(B64,'SETTINGS'!$L$5:$L$24,0)),"Yes"))</f>
        <v/>
      </c>
      <c r="K64" s="51">
        <f>IF(A64="","",DATE(YEAR(A64),MONTH(A64),1))</f>
        <v/>
      </c>
    </row>
    <row r="65">
      <c r="A65" s="47" t="n">
        <v>46178</v>
      </c>
      <c r="B65" s="38" t="inlineStr">
        <is>
          <t>Insurance</t>
        </is>
      </c>
      <c r="C65" s="38" t="inlineStr">
        <is>
          <t>Insurance agency (sample)</t>
        </is>
      </c>
      <c r="D65" s="38" t="inlineStr">
        <is>
          <t>Monthly premium</t>
        </is>
      </c>
      <c r="E65" s="48" t="n">
        <v>165</v>
      </c>
      <c r="F65" s="38" t="inlineStr">
        <is>
          <t>Card</t>
        </is>
      </c>
      <c r="G65" s="38" t="n"/>
      <c r="H65" s="38" t="inlineStr">
        <is>
          <t>Yes</t>
        </is>
      </c>
      <c r="I65" s="38" t="n"/>
      <c r="J65" s="49">
        <f>IF(B65="","",IFERROR(INDEX('SETTINGS'!$M$5:$M$24,MATCH(B65,'SETTINGS'!$L$5:$L$24,0)),"Yes"))</f>
        <v/>
      </c>
      <c r="K65" s="51">
        <f>IF(A65="","",DATE(YEAR(A65),MONTH(A65),1))</f>
        <v/>
      </c>
    </row>
    <row r="66">
      <c r="A66" s="47" t="n">
        <v>46179</v>
      </c>
      <c r="B66" s="38" t="inlineStr">
        <is>
          <t>Fuel &amp; Vehicle</t>
        </is>
      </c>
      <c r="C66" s="38" t="inlineStr">
        <is>
          <t>Fuel station</t>
        </is>
      </c>
      <c r="D66" s="38" t="inlineStr">
        <is>
          <t>Fuel</t>
        </is>
      </c>
      <c r="E66" s="48" t="n">
        <v>50</v>
      </c>
      <c r="F66" s="38" t="inlineStr">
        <is>
          <t>Card</t>
        </is>
      </c>
      <c r="G66" s="38" t="n"/>
      <c r="H66" s="38" t="inlineStr">
        <is>
          <t>Yes</t>
        </is>
      </c>
      <c r="I66" s="38" t="n"/>
      <c r="J66" s="49">
        <f>IF(B66="","",IFERROR(INDEX('SETTINGS'!$M$5:$M$24,MATCH(B66,'SETTINGS'!$L$5:$L$24,0)),"Yes"))</f>
        <v/>
      </c>
      <c r="K66" s="51">
        <f>IF(A66="","",DATE(YEAR(A66),MONTH(A66),1))</f>
        <v/>
      </c>
    </row>
    <row r="67">
      <c r="A67" s="47" t="n">
        <v>46181</v>
      </c>
      <c r="B67" s="38" t="inlineStr">
        <is>
          <t>Advertising &amp; Marketing</t>
        </is>
      </c>
      <c r="C67" s="38" t="inlineStr">
        <is>
          <t>Community newsletter</t>
        </is>
      </c>
      <c r="D67" s="38" t="inlineStr">
        <is>
          <t>Local marketing</t>
        </is>
      </c>
      <c r="E67" s="48" t="n">
        <v>80</v>
      </c>
      <c r="F67" s="38" t="inlineStr">
        <is>
          <t>Card</t>
        </is>
      </c>
      <c r="G67" s="38" t="n"/>
      <c r="H67" s="38" t="inlineStr">
        <is>
          <t>Yes</t>
        </is>
      </c>
      <c r="I67" s="38" t="n"/>
      <c r="J67" s="49">
        <f>IF(B67="","",IFERROR(INDEX('SETTINGS'!$M$5:$M$24,MATCH(B67,'SETTINGS'!$L$5:$L$24,0)),"Yes"))</f>
        <v/>
      </c>
      <c r="K67" s="51">
        <f>IF(A67="","",DATE(YEAR(A67),MONTH(A67),1))</f>
        <v/>
      </c>
    </row>
    <row r="68">
      <c r="A68" s="47" t="n">
        <v>46183</v>
      </c>
      <c r="B68" s="38" t="inlineStr">
        <is>
          <t>Supplies (job use)</t>
        </is>
      </c>
      <c r="C68" s="38" t="inlineStr">
        <is>
          <t>Janitorial supplier (sample)</t>
        </is>
      </c>
      <c r="D68" s="38" t="inlineStr">
        <is>
          <t>Chemicals &amp; microfiber</t>
        </is>
      </c>
      <c r="E68" s="48" t="n">
        <v>136</v>
      </c>
      <c r="F68" s="38" t="inlineStr">
        <is>
          <t>Card</t>
        </is>
      </c>
      <c r="G68" s="38" t="n"/>
      <c r="H68" s="38" t="inlineStr">
        <is>
          <t>Yes</t>
        </is>
      </c>
      <c r="I68" s="38" t="n"/>
      <c r="J68" s="49">
        <f>IF(B68="","",IFERROR(INDEX('SETTINGS'!$M$5:$M$24,MATCH(B68,'SETTINGS'!$L$5:$L$24,0)),"Yes"))</f>
        <v/>
      </c>
      <c r="K68" s="51">
        <f>IF(A68="","",DATE(YEAR(A68),MONTH(A68),1))</f>
        <v/>
      </c>
    </row>
    <row r="69">
      <c r="A69" s="47" t="n">
        <v>46186</v>
      </c>
      <c r="B69" s="38" t="inlineStr">
        <is>
          <t>Fuel &amp; Vehicle</t>
        </is>
      </c>
      <c r="C69" s="38" t="inlineStr">
        <is>
          <t>Fuel station</t>
        </is>
      </c>
      <c r="D69" s="38" t="inlineStr">
        <is>
          <t>Fuel</t>
        </is>
      </c>
      <c r="E69" s="48" t="n">
        <v>67</v>
      </c>
      <c r="F69" s="38" t="inlineStr">
        <is>
          <t>Card</t>
        </is>
      </c>
      <c r="G69" s="38" t="n"/>
      <c r="H69" s="38" t="inlineStr">
        <is>
          <t>Yes</t>
        </is>
      </c>
      <c r="I69" s="38" t="n"/>
      <c r="J69" s="49">
        <f>IF(B69="","",IFERROR(INDEX('SETTINGS'!$M$5:$M$24,MATCH(B69,'SETTINGS'!$L$5:$L$24,0)),"Yes"))</f>
        <v/>
      </c>
      <c r="K69" s="51">
        <f>IF(A69="","",DATE(YEAR(A69),MONTH(A69),1))</f>
        <v/>
      </c>
    </row>
    <row r="70">
      <c r="A70" s="47" t="n">
        <v>46193</v>
      </c>
      <c r="B70" s="38" t="inlineStr">
        <is>
          <t>Fuel &amp; Vehicle</t>
        </is>
      </c>
      <c r="C70" s="38" t="inlineStr">
        <is>
          <t>Fuel station</t>
        </is>
      </c>
      <c r="D70" s="38" t="inlineStr">
        <is>
          <t>Fuel</t>
        </is>
      </c>
      <c r="E70" s="48" t="n">
        <v>52</v>
      </c>
      <c r="F70" s="38" t="inlineStr">
        <is>
          <t>Card</t>
        </is>
      </c>
      <c r="G70" s="38" t="n"/>
      <c r="H70" s="38" t="inlineStr">
        <is>
          <t>Yes</t>
        </is>
      </c>
      <c r="I70" s="38" t="n"/>
      <c r="J70" s="49">
        <f>IF(B70="","",IFERROR(INDEX('SETTINGS'!$M$5:$M$24,MATCH(B70,'SETTINGS'!$L$5:$L$24,0)),"Yes"))</f>
        <v/>
      </c>
      <c r="K70" s="51">
        <f>IF(A70="","",DATE(YEAR(A70),MONTH(A70),1))</f>
        <v/>
      </c>
    </row>
    <row r="71">
      <c r="A71" s="47" t="n">
        <v>46197</v>
      </c>
      <c r="B71" s="38" t="inlineStr">
        <is>
          <t>Supplies (job use)</t>
        </is>
      </c>
      <c r="C71" s="38" t="inlineStr">
        <is>
          <t>Big-box store</t>
        </is>
      </c>
      <c r="D71" s="38" t="inlineStr">
        <is>
          <t>Liners, paper goods</t>
        </is>
      </c>
      <c r="E71" s="48" t="n">
        <v>92</v>
      </c>
      <c r="F71" s="38" t="inlineStr">
        <is>
          <t>Card</t>
        </is>
      </c>
      <c r="G71" s="38" t="n"/>
      <c r="H71" s="38" t="inlineStr">
        <is>
          <t>Yes</t>
        </is>
      </c>
      <c r="I71" s="38" t="n"/>
      <c r="J71" s="49">
        <f>IF(B71="","",IFERROR(INDEX('SETTINGS'!$M$5:$M$24,MATCH(B71,'SETTINGS'!$L$5:$L$24,0)),"Yes"))</f>
        <v/>
      </c>
      <c r="K71" s="51">
        <f>IF(A71="","",DATE(YEAR(A71),MONTH(A71),1))</f>
        <v/>
      </c>
    </row>
    <row r="72">
      <c r="A72" s="47" t="n">
        <v>46200</v>
      </c>
      <c r="B72" s="38" t="inlineStr">
        <is>
          <t>Fuel &amp; Vehicle</t>
        </is>
      </c>
      <c r="C72" s="38" t="inlineStr">
        <is>
          <t>Fuel station</t>
        </is>
      </c>
      <c r="D72" s="38" t="inlineStr">
        <is>
          <t>Fuel</t>
        </is>
      </c>
      <c r="E72" s="48" t="n">
        <v>57</v>
      </c>
      <c r="F72" s="38" t="inlineStr">
        <is>
          <t>Card</t>
        </is>
      </c>
      <c r="G72" s="38" t="n"/>
      <c r="H72" s="38" t="inlineStr">
        <is>
          <t>Yes</t>
        </is>
      </c>
      <c r="I72" s="38" t="n"/>
      <c r="J72" s="49">
        <f>IF(B72="","",IFERROR(INDEX('SETTINGS'!$M$5:$M$24,MATCH(B72,'SETTINGS'!$L$5:$L$24,0)),"Yes"))</f>
        <v/>
      </c>
      <c r="K72" s="51">
        <f>IF(A72="","",DATE(YEAR(A72),MONTH(A72),1))</f>
        <v/>
      </c>
    </row>
    <row r="73">
      <c r="A73" s="47" t="n">
        <v>46201</v>
      </c>
      <c r="B73" s="38" t="inlineStr">
        <is>
          <t>Bank Fees</t>
        </is>
      </c>
      <c r="C73" s="38" t="inlineStr">
        <is>
          <t>Bank (sample)</t>
        </is>
      </c>
      <c r="D73" s="38" t="inlineStr">
        <is>
          <t>Account fee</t>
        </is>
      </c>
      <c r="E73" s="48" t="n">
        <v>12</v>
      </c>
      <c r="F73" s="38" t="inlineStr">
        <is>
          <t>Bank Transfer</t>
        </is>
      </c>
      <c r="G73" s="38" t="n"/>
      <c r="H73" s="38" t="inlineStr">
        <is>
          <t>Yes</t>
        </is>
      </c>
      <c r="I73" s="38" t="n"/>
      <c r="J73" s="49">
        <f>IF(B73="","",IFERROR(INDEX('SETTINGS'!$M$5:$M$24,MATCH(B73,'SETTINGS'!$L$5:$L$24,0)),"Yes"))</f>
        <v/>
      </c>
      <c r="K73" s="51">
        <f>IF(A73="","",DATE(YEAR(A73),MONTH(A73),1))</f>
        <v/>
      </c>
    </row>
    <row r="74">
      <c r="A74" s="47" t="n">
        <v>46204</v>
      </c>
      <c r="B74" s="38" t="inlineStr">
        <is>
          <t>Software &amp; Apps</t>
        </is>
      </c>
      <c r="C74" s="38" t="inlineStr">
        <is>
          <t>Scheduling app (sample)</t>
        </is>
      </c>
      <c r="D74" s="38" t="inlineStr">
        <is>
          <t>Monthly subscription</t>
        </is>
      </c>
      <c r="E74" s="48" t="n">
        <v>49</v>
      </c>
      <c r="F74" s="38" t="inlineStr">
        <is>
          <t>Card</t>
        </is>
      </c>
      <c r="G74" s="38" t="n"/>
      <c r="H74" s="38" t="inlineStr">
        <is>
          <t>Yes</t>
        </is>
      </c>
      <c r="I74" s="38" t="n"/>
      <c r="J74" s="49">
        <f>IF(B74="","",IFERROR(INDEX('SETTINGS'!$M$5:$M$24,MATCH(B74,'SETTINGS'!$L$5:$L$24,0)),"Yes"))</f>
        <v/>
      </c>
      <c r="K74" s="51">
        <f>IF(A74="","",DATE(YEAR(A74),MONTH(A74),1))</f>
        <v/>
      </c>
    </row>
    <row r="75">
      <c r="A75" s="47" t="n">
        <v>46206</v>
      </c>
      <c r="B75" s="38" t="inlineStr">
        <is>
          <t>Phone &amp; Internet</t>
        </is>
      </c>
      <c r="C75" s="38" t="inlineStr">
        <is>
          <t>Mobile carrier (sample)</t>
        </is>
      </c>
      <c r="D75" s="38" t="inlineStr">
        <is>
          <t>Business line</t>
        </is>
      </c>
      <c r="E75" s="48" t="n">
        <v>85</v>
      </c>
      <c r="F75" s="38" t="inlineStr">
        <is>
          <t>Card</t>
        </is>
      </c>
      <c r="G75" s="38" t="n"/>
      <c r="H75" s="38" t="inlineStr">
        <is>
          <t>Yes</t>
        </is>
      </c>
      <c r="I75" s="38" t="n"/>
      <c r="J75" s="49">
        <f>IF(B75="","",IFERROR(INDEX('SETTINGS'!$M$5:$M$24,MATCH(B75,'SETTINGS'!$L$5:$L$24,0)),"Yes"))</f>
        <v/>
      </c>
      <c r="K75" s="51">
        <f>IF(A75="","",DATE(YEAR(A75),MONTH(A75),1))</f>
        <v/>
      </c>
    </row>
    <row r="76">
      <c r="A76" s="47" t="n">
        <v>46208</v>
      </c>
      <c r="B76" s="38" t="inlineStr">
        <is>
          <t>Insurance</t>
        </is>
      </c>
      <c r="C76" s="38" t="inlineStr">
        <is>
          <t>Insurance agency (sample)</t>
        </is>
      </c>
      <c r="D76" s="38" t="inlineStr">
        <is>
          <t>Monthly premium</t>
        </is>
      </c>
      <c r="E76" s="48" t="n">
        <v>165</v>
      </c>
      <c r="F76" s="38" t="inlineStr">
        <is>
          <t>Card</t>
        </is>
      </c>
      <c r="G76" s="38" t="n"/>
      <c r="H76" s="38" t="inlineStr">
        <is>
          <t>Yes</t>
        </is>
      </c>
      <c r="I76" s="38" t="n"/>
      <c r="J76" s="49">
        <f>IF(B76="","",IFERROR(INDEX('SETTINGS'!$M$5:$M$24,MATCH(B76,'SETTINGS'!$L$5:$L$24,0)),"Yes"))</f>
        <v/>
      </c>
      <c r="K76" s="51">
        <f>IF(A76="","",DATE(YEAR(A76),MONTH(A76),1))</f>
        <v/>
      </c>
    </row>
    <row r="77">
      <c r="A77" s="47" t="n">
        <v>46209</v>
      </c>
      <c r="B77" s="38" t="inlineStr">
        <is>
          <t>Fuel &amp; Vehicle</t>
        </is>
      </c>
      <c r="C77" s="38" t="inlineStr">
        <is>
          <t>Fuel station</t>
        </is>
      </c>
      <c r="D77" s="38" t="inlineStr">
        <is>
          <t>Fuel</t>
        </is>
      </c>
      <c r="E77" s="48" t="n">
        <v>60</v>
      </c>
      <c r="F77" s="38" t="inlineStr">
        <is>
          <t>Card</t>
        </is>
      </c>
      <c r="G77" s="38" t="n"/>
      <c r="H77" s="38" t="inlineStr">
        <is>
          <t>Yes</t>
        </is>
      </c>
      <c r="I77" s="38" t="n"/>
      <c r="J77" s="49">
        <f>IF(B77="","",IFERROR(INDEX('SETTINGS'!$M$5:$M$24,MATCH(B77,'SETTINGS'!$L$5:$L$24,0)),"Yes"))</f>
        <v/>
      </c>
      <c r="K77" s="51">
        <f>IF(A77="","",DATE(YEAR(A77),MONTH(A77),1))</f>
        <v/>
      </c>
    </row>
    <row r="78">
      <c r="A78" s="47" t="n">
        <v>46210</v>
      </c>
      <c r="B78" s="38" t="inlineStr">
        <is>
          <t>Training</t>
        </is>
      </c>
      <c r="C78" s="38" t="inlineStr">
        <is>
          <t>Online course (sample)</t>
        </is>
      </c>
      <c r="D78" s="38" t="inlineStr">
        <is>
          <t>Team training module</t>
        </is>
      </c>
      <c r="E78" s="48" t="n">
        <v>99</v>
      </c>
      <c r="F78" s="38" t="inlineStr">
        <is>
          <t>Card</t>
        </is>
      </c>
      <c r="G78" s="38" t="n"/>
      <c r="H78" s="38" t="inlineStr">
        <is>
          <t>No</t>
        </is>
      </c>
      <c r="I78" s="38" t="n"/>
      <c r="J78" s="49">
        <f>IF(B78="","",IFERROR(INDEX('SETTINGS'!$M$5:$M$24,MATCH(B78,'SETTINGS'!$L$5:$L$24,0)),"Yes"))</f>
        <v/>
      </c>
      <c r="K78" s="51">
        <f>IF(A78="","",DATE(YEAR(A78),MONTH(A78),1))</f>
        <v/>
      </c>
    </row>
    <row r="79">
      <c r="A79" s="47" t="n">
        <v>46211</v>
      </c>
      <c r="B79" s="38" t="inlineStr">
        <is>
          <t>Advertising &amp; Marketing</t>
        </is>
      </c>
      <c r="C79" s="38" t="inlineStr">
        <is>
          <t>Social media ads</t>
        </is>
      </c>
      <c r="D79" s="38" t="inlineStr">
        <is>
          <t>Local marketing</t>
        </is>
      </c>
      <c r="E79" s="48" t="n">
        <v>80</v>
      </c>
      <c r="F79" s="38" t="inlineStr">
        <is>
          <t>Card</t>
        </is>
      </c>
      <c r="G79" s="38" t="n"/>
      <c r="H79" s="38" t="inlineStr">
        <is>
          <t>Yes</t>
        </is>
      </c>
      <c r="I79" s="38" t="n"/>
      <c r="J79" s="49">
        <f>IF(B79="","",IFERROR(INDEX('SETTINGS'!$M$5:$M$24,MATCH(B79,'SETTINGS'!$L$5:$L$24,0)),"Yes"))</f>
        <v/>
      </c>
      <c r="K79" s="51">
        <f>IF(A79="","",DATE(YEAR(A79),MONTH(A79),1))</f>
        <v/>
      </c>
    </row>
    <row r="80">
      <c r="A80" s="47" t="n">
        <v>46213</v>
      </c>
      <c r="B80" s="38" t="inlineStr">
        <is>
          <t>Supplies (job use)</t>
        </is>
      </c>
      <c r="C80" s="38" t="inlineStr">
        <is>
          <t>Janitorial supplier (sample)</t>
        </is>
      </c>
      <c r="D80" s="38" t="inlineStr">
        <is>
          <t>Chemicals &amp; microfiber</t>
        </is>
      </c>
      <c r="E80" s="48" t="n">
        <v>218</v>
      </c>
      <c r="F80" s="38" t="inlineStr">
        <is>
          <t>Card</t>
        </is>
      </c>
      <c r="G80" s="38" t="n"/>
      <c r="H80" s="38" t="inlineStr">
        <is>
          <t>Yes</t>
        </is>
      </c>
      <c r="I80" s="38" t="n"/>
      <c r="J80" s="49">
        <f>IF(B80="","",IFERROR(INDEX('SETTINGS'!$M$5:$M$24,MATCH(B80,'SETTINGS'!$L$5:$L$24,0)),"Yes"))</f>
        <v/>
      </c>
      <c r="K80" s="51">
        <f>IF(A80="","",DATE(YEAR(A80),MONTH(A80),1))</f>
        <v/>
      </c>
    </row>
    <row r="81">
      <c r="A81" s="47" t="n">
        <v>46216</v>
      </c>
      <c r="B81" s="38" t="inlineStr">
        <is>
          <t>Fuel &amp; Vehicle</t>
        </is>
      </c>
      <c r="C81" s="38" t="inlineStr">
        <is>
          <t>Fuel station</t>
        </is>
      </c>
      <c r="D81" s="38" t="inlineStr">
        <is>
          <t>Fuel</t>
        </is>
      </c>
      <c r="E81" s="48" t="n">
        <v>45</v>
      </c>
      <c r="F81" s="38" t="inlineStr">
        <is>
          <t>Card</t>
        </is>
      </c>
      <c r="G81" s="38" t="n"/>
      <c r="H81" s="38" t="inlineStr">
        <is>
          <t>Yes</t>
        </is>
      </c>
      <c r="I81" s="38" t="n"/>
      <c r="J81" s="49">
        <f>IF(B81="","",IFERROR(INDEX('SETTINGS'!$M$5:$M$24,MATCH(B81,'SETTINGS'!$L$5:$L$24,0)),"Yes"))</f>
        <v/>
      </c>
      <c r="K81" s="51">
        <f>IF(A81="","",DATE(YEAR(A81),MONTH(A81),1))</f>
        <v/>
      </c>
    </row>
    <row r="82">
      <c r="A82" s="47" t="n">
        <v>46223</v>
      </c>
      <c r="B82" s="38" t="inlineStr">
        <is>
          <t>Fuel &amp; Vehicle</t>
        </is>
      </c>
      <c r="C82" s="38" t="inlineStr">
        <is>
          <t>Fuel station</t>
        </is>
      </c>
      <c r="D82" s="38" t="inlineStr">
        <is>
          <t>Fuel</t>
        </is>
      </c>
      <c r="E82" s="48" t="n">
        <v>46</v>
      </c>
      <c r="F82" s="38" t="inlineStr">
        <is>
          <t>Card</t>
        </is>
      </c>
      <c r="G82" s="38" t="n"/>
      <c r="H82" s="38" t="inlineStr">
        <is>
          <t>Yes</t>
        </is>
      </c>
      <c r="I82" s="38" t="n"/>
      <c r="J82" s="49">
        <f>IF(B82="","",IFERROR(INDEX('SETTINGS'!$M$5:$M$24,MATCH(B82,'SETTINGS'!$L$5:$L$24,0)),"Yes"))</f>
        <v/>
      </c>
      <c r="K82" s="51">
        <f>IF(A82="","",DATE(YEAR(A82),MONTH(A82),1))</f>
        <v/>
      </c>
    </row>
    <row r="83">
      <c r="A83" s="47" t="n">
        <v>46227</v>
      </c>
      <c r="B83" s="38" t="inlineStr">
        <is>
          <t>Supplies (job use)</t>
        </is>
      </c>
      <c r="C83" s="38" t="inlineStr">
        <is>
          <t>Big-box store</t>
        </is>
      </c>
      <c r="D83" s="38" t="inlineStr">
        <is>
          <t>Liners, paper goods</t>
        </is>
      </c>
      <c r="E83" s="48" t="n">
        <v>100</v>
      </c>
      <c r="F83" s="38" t="inlineStr">
        <is>
          <t>Card</t>
        </is>
      </c>
      <c r="G83" s="38" t="n"/>
      <c r="H83" s="38" t="inlineStr">
        <is>
          <t>Yes</t>
        </is>
      </c>
      <c r="I83" s="38" t="n"/>
      <c r="J83" s="49">
        <f>IF(B83="","",IFERROR(INDEX('SETTINGS'!$M$5:$M$24,MATCH(B83,'SETTINGS'!$L$5:$L$24,0)),"Yes"))</f>
        <v/>
      </c>
      <c r="K83" s="51">
        <f>IF(A83="","",DATE(YEAR(A83),MONTH(A83),1))</f>
        <v/>
      </c>
    </row>
    <row r="84">
      <c r="A84" s="47" t="n">
        <v>46230</v>
      </c>
      <c r="B84" s="38" t="inlineStr">
        <is>
          <t>Fuel &amp; Vehicle</t>
        </is>
      </c>
      <c r="C84" s="38" t="inlineStr">
        <is>
          <t>Fuel station</t>
        </is>
      </c>
      <c r="D84" s="38" t="inlineStr">
        <is>
          <t>Fuel</t>
        </is>
      </c>
      <c r="E84" s="48" t="n">
        <v>58</v>
      </c>
      <c r="F84" s="38" t="inlineStr">
        <is>
          <t>Card</t>
        </is>
      </c>
      <c r="G84" s="38" t="n"/>
      <c r="H84" s="38" t="inlineStr">
        <is>
          <t>Yes</t>
        </is>
      </c>
      <c r="I84" s="38" t="n"/>
      <c r="J84" s="49">
        <f>IF(B84="","",IFERROR(INDEX('SETTINGS'!$M$5:$M$24,MATCH(B84,'SETTINGS'!$L$5:$L$24,0)),"Yes"))</f>
        <v/>
      </c>
      <c r="K84" s="51">
        <f>IF(A84="","",DATE(YEAR(A84),MONTH(A84),1))</f>
        <v/>
      </c>
    </row>
    <row r="85">
      <c r="A85" s="47" t="n">
        <v>46231</v>
      </c>
      <c r="B85" s="38" t="inlineStr">
        <is>
          <t>Bank Fees</t>
        </is>
      </c>
      <c r="C85" s="38" t="inlineStr">
        <is>
          <t>Bank (sample)</t>
        </is>
      </c>
      <c r="D85" s="38" t="inlineStr">
        <is>
          <t>Account fee</t>
        </is>
      </c>
      <c r="E85" s="48" t="n">
        <v>12</v>
      </c>
      <c r="F85" s="38" t="inlineStr">
        <is>
          <t>Bank Transfer</t>
        </is>
      </c>
      <c r="G85" s="38" t="n"/>
      <c r="H85" s="38" t="inlineStr">
        <is>
          <t>Yes</t>
        </is>
      </c>
      <c r="I85" s="38" t="n"/>
      <c r="J85" s="49">
        <f>IF(B85="","",IFERROR(INDEX('SETTINGS'!$M$5:$M$24,MATCH(B85,'SETTINGS'!$L$5:$L$24,0)),"Yes"))</f>
        <v/>
      </c>
      <c r="K85" s="51">
        <f>IF(A85="","",DATE(YEAR(A85),MONTH(A85),1))</f>
        <v/>
      </c>
    </row>
    <row r="86">
      <c r="A86" s="47" t="n">
        <v>46235</v>
      </c>
      <c r="B86" s="38" t="inlineStr">
        <is>
          <t>Software &amp; Apps</t>
        </is>
      </c>
      <c r="C86" s="38" t="inlineStr">
        <is>
          <t>Scheduling app (sample)</t>
        </is>
      </c>
      <c r="D86" s="38" t="inlineStr">
        <is>
          <t>Monthly subscription</t>
        </is>
      </c>
      <c r="E86" s="48" t="n">
        <v>49</v>
      </c>
      <c r="F86" s="38" t="inlineStr">
        <is>
          <t>Card</t>
        </is>
      </c>
      <c r="G86" s="38" t="n"/>
      <c r="H86" s="38" t="inlineStr">
        <is>
          <t>Yes</t>
        </is>
      </c>
      <c r="I86" s="38" t="n"/>
      <c r="J86" s="49">
        <f>IF(B86="","",IFERROR(INDEX('SETTINGS'!$M$5:$M$24,MATCH(B86,'SETTINGS'!$L$5:$L$24,0)),"Yes"))</f>
        <v/>
      </c>
      <c r="K86" s="51">
        <f>IF(A86="","",DATE(YEAR(A86),MONTH(A86),1))</f>
        <v/>
      </c>
    </row>
    <row r="87">
      <c r="A87" s="47" t="n">
        <v>46237</v>
      </c>
      <c r="B87" s="38" t="inlineStr">
        <is>
          <t>Phone &amp; Internet</t>
        </is>
      </c>
      <c r="C87" s="38" t="inlineStr">
        <is>
          <t>Mobile carrier (sample)</t>
        </is>
      </c>
      <c r="D87" s="38" t="inlineStr">
        <is>
          <t>Business line</t>
        </is>
      </c>
      <c r="E87" s="48" t="n">
        <v>85</v>
      </c>
      <c r="F87" s="38" t="inlineStr">
        <is>
          <t>Card</t>
        </is>
      </c>
      <c r="G87" s="38" t="n"/>
      <c r="H87" s="38" t="inlineStr">
        <is>
          <t>Yes</t>
        </is>
      </c>
      <c r="I87" s="38" t="n"/>
      <c r="J87" s="49">
        <f>IF(B87="","",IFERROR(INDEX('SETTINGS'!$M$5:$M$24,MATCH(B87,'SETTINGS'!$L$5:$L$24,0)),"Yes"))</f>
        <v/>
      </c>
      <c r="K87" s="51">
        <f>IF(A87="","",DATE(YEAR(A87),MONTH(A87),1))</f>
        <v/>
      </c>
    </row>
    <row r="88">
      <c r="A88" s="47" t="n">
        <v>46239</v>
      </c>
      <c r="B88" s="38" t="inlineStr">
        <is>
          <t>Insurance</t>
        </is>
      </c>
      <c r="C88" s="38" t="inlineStr">
        <is>
          <t>Insurance agency (sample)</t>
        </is>
      </c>
      <c r="D88" s="38" t="inlineStr">
        <is>
          <t>Monthly premium</t>
        </is>
      </c>
      <c r="E88" s="48" t="n">
        <v>165</v>
      </c>
      <c r="F88" s="38" t="inlineStr">
        <is>
          <t>Card</t>
        </is>
      </c>
      <c r="G88" s="38" t="n"/>
      <c r="H88" s="38" t="inlineStr">
        <is>
          <t>Yes</t>
        </is>
      </c>
      <c r="I88" s="38" t="n"/>
      <c r="J88" s="49">
        <f>IF(B88="","",IFERROR(INDEX('SETTINGS'!$M$5:$M$24,MATCH(B88,'SETTINGS'!$L$5:$L$24,0)),"Yes"))</f>
        <v/>
      </c>
      <c r="K88" s="51">
        <f>IF(A88="","",DATE(YEAR(A88),MONTH(A88),1))</f>
        <v/>
      </c>
    </row>
    <row r="89">
      <c r="A89" s="47" t="n">
        <v>46240</v>
      </c>
      <c r="B89" s="38" t="inlineStr">
        <is>
          <t>Fuel &amp; Vehicle</t>
        </is>
      </c>
      <c r="C89" s="38" t="inlineStr">
        <is>
          <t>Fuel station</t>
        </is>
      </c>
      <c r="D89" s="38" t="inlineStr">
        <is>
          <t>Fuel</t>
        </is>
      </c>
      <c r="E89" s="48" t="n">
        <v>61</v>
      </c>
      <c r="F89" s="38" t="inlineStr">
        <is>
          <t>Card</t>
        </is>
      </c>
      <c r="G89" s="38" t="n"/>
      <c r="H89" s="38" t="inlineStr">
        <is>
          <t>Yes</t>
        </is>
      </c>
      <c r="I89" s="38" t="n"/>
      <c r="J89" s="49">
        <f>IF(B89="","",IFERROR(INDEX('SETTINGS'!$M$5:$M$24,MATCH(B89,'SETTINGS'!$L$5:$L$24,0)),"Yes"))</f>
        <v/>
      </c>
      <c r="K89" s="51">
        <f>IF(A89="","",DATE(YEAR(A89),MONTH(A89),1))</f>
        <v/>
      </c>
    </row>
    <row r="90">
      <c r="A90" s="47" t="n">
        <v>46242</v>
      </c>
      <c r="B90" s="38" t="inlineStr">
        <is>
          <t>Advertising &amp; Marketing</t>
        </is>
      </c>
      <c r="C90" s="38" t="inlineStr">
        <is>
          <t>Social media ads</t>
        </is>
      </c>
      <c r="D90" s="38" t="inlineStr">
        <is>
          <t>Local marketing</t>
        </is>
      </c>
      <c r="E90" s="48" t="n">
        <v>300</v>
      </c>
      <c r="F90" s="38" t="inlineStr">
        <is>
          <t>Card</t>
        </is>
      </c>
      <c r="G90" s="38" t="n"/>
      <c r="H90" s="38" t="inlineStr">
        <is>
          <t>Yes</t>
        </is>
      </c>
      <c r="I90" s="38" t="n"/>
      <c r="J90" s="49">
        <f>IF(B90="","",IFERROR(INDEX('SETTINGS'!$M$5:$M$24,MATCH(B90,'SETTINGS'!$L$5:$L$24,0)),"Yes"))</f>
        <v/>
      </c>
      <c r="K90" s="51">
        <f>IF(A90="","",DATE(YEAR(A90),MONTH(A90),1))</f>
        <v/>
      </c>
    </row>
    <row r="91">
      <c r="A91" s="47" t="n">
        <v>46244</v>
      </c>
      <c r="B91" s="38" t="inlineStr">
        <is>
          <t>Supplies (job use)</t>
        </is>
      </c>
      <c r="C91" s="38" t="inlineStr">
        <is>
          <t>Janitorial supplier (sample)</t>
        </is>
      </c>
      <c r="D91" s="38" t="inlineStr">
        <is>
          <t>Chemicals &amp; microfiber</t>
        </is>
      </c>
      <c r="E91" s="48" t="n">
        <v>218</v>
      </c>
      <c r="F91" s="38" t="inlineStr">
        <is>
          <t>Card</t>
        </is>
      </c>
      <c r="G91" s="38" t="n"/>
      <c r="H91" s="38" t="inlineStr">
        <is>
          <t>Yes</t>
        </is>
      </c>
      <c r="I91" s="38" t="n"/>
      <c r="J91" s="49">
        <f>IF(B91="","",IFERROR(INDEX('SETTINGS'!$M$5:$M$24,MATCH(B91,'SETTINGS'!$L$5:$L$24,0)),"Yes"))</f>
        <v/>
      </c>
      <c r="K91" s="51">
        <f>IF(A91="","",DATE(YEAR(A91),MONTH(A91),1))</f>
        <v/>
      </c>
    </row>
    <row r="92">
      <c r="A92" s="47" t="n">
        <v>46247</v>
      </c>
      <c r="B92" s="38" t="inlineStr">
        <is>
          <t>Fuel &amp; Vehicle</t>
        </is>
      </c>
      <c r="C92" s="38" t="inlineStr">
        <is>
          <t>Fuel station</t>
        </is>
      </c>
      <c r="D92" s="38" t="inlineStr">
        <is>
          <t>Fuel</t>
        </is>
      </c>
      <c r="E92" s="48" t="n">
        <v>53</v>
      </c>
      <c r="F92" s="38" t="inlineStr">
        <is>
          <t>Card</t>
        </is>
      </c>
      <c r="G92" s="38" t="n"/>
      <c r="H92" s="38" t="inlineStr">
        <is>
          <t>Yes</t>
        </is>
      </c>
      <c r="I92" s="38" t="n"/>
      <c r="J92" s="49">
        <f>IF(B92="","",IFERROR(INDEX('SETTINGS'!$M$5:$M$24,MATCH(B92,'SETTINGS'!$L$5:$L$24,0)),"Yes"))</f>
        <v/>
      </c>
      <c r="K92" s="51">
        <f>IF(A92="","",DATE(YEAR(A92),MONTH(A92),1))</f>
        <v/>
      </c>
    </row>
    <row r="93">
      <c r="A93" s="47" t="n">
        <v>46254</v>
      </c>
      <c r="B93" s="38" t="inlineStr">
        <is>
          <t>Fuel &amp; Vehicle</t>
        </is>
      </c>
      <c r="C93" s="38" t="inlineStr">
        <is>
          <t>Fuel station</t>
        </is>
      </c>
      <c r="D93" s="38" t="inlineStr">
        <is>
          <t>Fuel</t>
        </is>
      </c>
      <c r="E93" s="48" t="n">
        <v>46</v>
      </c>
      <c r="F93" s="38" t="inlineStr">
        <is>
          <t>Card</t>
        </is>
      </c>
      <c r="G93" s="38" t="n"/>
      <c r="H93" s="38" t="inlineStr">
        <is>
          <t>Yes</t>
        </is>
      </c>
      <c r="I93" s="38" t="n"/>
      <c r="J93" s="49">
        <f>IF(B93="","",IFERROR(INDEX('SETTINGS'!$M$5:$M$24,MATCH(B93,'SETTINGS'!$L$5:$L$24,0)),"Yes"))</f>
        <v/>
      </c>
      <c r="K93" s="51">
        <f>IF(A93="","",DATE(YEAR(A93),MONTH(A93),1))</f>
        <v/>
      </c>
    </row>
    <row r="94">
      <c r="A94" s="47" t="n">
        <v>46258</v>
      </c>
      <c r="B94" s="38" t="inlineStr">
        <is>
          <t>Supplies (job use)</t>
        </is>
      </c>
      <c r="C94" s="38" t="inlineStr">
        <is>
          <t>Big-box store</t>
        </is>
      </c>
      <c r="D94" s="38" t="inlineStr">
        <is>
          <t>Liners, paper goods</t>
        </is>
      </c>
      <c r="E94" s="48" t="n">
        <v>75</v>
      </c>
      <c r="F94" s="38" t="inlineStr">
        <is>
          <t>Card</t>
        </is>
      </c>
      <c r="G94" s="38" t="n"/>
      <c r="H94" s="38" t="inlineStr">
        <is>
          <t>Yes</t>
        </is>
      </c>
      <c r="I94" s="38" t="n"/>
      <c r="J94" s="49">
        <f>IF(B94="","",IFERROR(INDEX('SETTINGS'!$M$5:$M$24,MATCH(B94,'SETTINGS'!$L$5:$L$24,0)),"Yes"))</f>
        <v/>
      </c>
      <c r="K94" s="51">
        <f>IF(A94="","",DATE(YEAR(A94),MONTH(A94),1))</f>
        <v/>
      </c>
    </row>
    <row r="95">
      <c r="A95" s="47" t="n">
        <v>46261</v>
      </c>
      <c r="B95" s="38" t="inlineStr">
        <is>
          <t>Fuel &amp; Vehicle</t>
        </is>
      </c>
      <c r="C95" s="38" t="inlineStr">
        <is>
          <t>Fuel station</t>
        </is>
      </c>
      <c r="D95" s="38" t="inlineStr">
        <is>
          <t>Fuel</t>
        </is>
      </c>
      <c r="E95" s="48" t="n">
        <v>48</v>
      </c>
      <c r="F95" s="38" t="inlineStr">
        <is>
          <t>Card</t>
        </is>
      </c>
      <c r="G95" s="38" t="n"/>
      <c r="H95" s="38" t="inlineStr">
        <is>
          <t>Yes</t>
        </is>
      </c>
      <c r="I95" s="38" t="n"/>
      <c r="J95" s="49">
        <f>IF(B95="","",IFERROR(INDEX('SETTINGS'!$M$5:$M$24,MATCH(B95,'SETTINGS'!$L$5:$L$24,0)),"Yes"))</f>
        <v/>
      </c>
      <c r="K95" s="51">
        <f>IF(A95="","",DATE(YEAR(A95),MONTH(A95),1))</f>
        <v/>
      </c>
    </row>
    <row r="96">
      <c r="A96" s="47" t="n">
        <v>46262</v>
      </c>
      <c r="B96" s="38" t="inlineStr">
        <is>
          <t>Bank Fees</t>
        </is>
      </c>
      <c r="C96" s="38" t="inlineStr">
        <is>
          <t>Bank (sample)</t>
        </is>
      </c>
      <c r="D96" s="38" t="inlineStr">
        <is>
          <t>Account fee</t>
        </is>
      </c>
      <c r="E96" s="48" t="n">
        <v>12</v>
      </c>
      <c r="F96" s="38" t="inlineStr">
        <is>
          <t>Bank Transfer</t>
        </is>
      </c>
      <c r="G96" s="38" t="n"/>
      <c r="H96" s="38" t="inlineStr">
        <is>
          <t>Yes</t>
        </is>
      </c>
      <c r="I96" s="38" t="n"/>
      <c r="J96" s="49">
        <f>IF(B96="","",IFERROR(INDEX('SETTINGS'!$M$5:$M$24,MATCH(B96,'SETTINGS'!$L$5:$L$24,0)),"Yes"))</f>
        <v/>
      </c>
      <c r="K96" s="51">
        <f>IF(A96="","",DATE(YEAR(A96),MONTH(A96),1))</f>
        <v/>
      </c>
    </row>
    <row r="97">
      <c r="A97" s="47" t="n">
        <v>46266</v>
      </c>
      <c r="B97" s="38" t="inlineStr">
        <is>
          <t>Software &amp; Apps</t>
        </is>
      </c>
      <c r="C97" s="38" t="inlineStr">
        <is>
          <t>Scheduling app (sample)</t>
        </is>
      </c>
      <c r="D97" s="38" t="inlineStr">
        <is>
          <t>Monthly subscription</t>
        </is>
      </c>
      <c r="E97" s="48" t="n">
        <v>49</v>
      </c>
      <c r="F97" s="38" t="inlineStr">
        <is>
          <t>Card</t>
        </is>
      </c>
      <c r="G97" s="38" t="n"/>
      <c r="H97" s="38" t="inlineStr">
        <is>
          <t>Yes</t>
        </is>
      </c>
      <c r="I97" s="38" t="n"/>
      <c r="J97" s="49">
        <f>IF(B97="","",IFERROR(INDEX('SETTINGS'!$M$5:$M$24,MATCH(B97,'SETTINGS'!$L$5:$L$24,0)),"Yes"))</f>
        <v/>
      </c>
      <c r="K97" s="51">
        <f>IF(A97="","",DATE(YEAR(A97),MONTH(A97),1))</f>
        <v/>
      </c>
    </row>
    <row r="98">
      <c r="A98" s="47" t="n">
        <v>46268</v>
      </c>
      <c r="B98" s="38" t="inlineStr">
        <is>
          <t>Phone &amp; Internet</t>
        </is>
      </c>
      <c r="C98" s="38" t="inlineStr">
        <is>
          <t>Mobile carrier (sample)</t>
        </is>
      </c>
      <c r="D98" s="38" t="inlineStr">
        <is>
          <t>Business line</t>
        </is>
      </c>
      <c r="E98" s="48" t="n">
        <v>85</v>
      </c>
      <c r="F98" s="38" t="inlineStr">
        <is>
          <t>Card</t>
        </is>
      </c>
      <c r="G98" s="38" t="n"/>
      <c r="H98" s="38" t="inlineStr">
        <is>
          <t>Yes</t>
        </is>
      </c>
      <c r="I98" s="38" t="n"/>
      <c r="J98" s="49">
        <f>IF(B98="","",IFERROR(INDEX('SETTINGS'!$M$5:$M$24,MATCH(B98,'SETTINGS'!$L$5:$L$24,0)),"Yes"))</f>
        <v/>
      </c>
      <c r="K98" s="51">
        <f>IF(A98="","",DATE(YEAR(A98),MONTH(A98),1))</f>
        <v/>
      </c>
    </row>
    <row r="99">
      <c r="A99" s="47" t="n">
        <v>46270</v>
      </c>
      <c r="B99" s="38" t="inlineStr">
        <is>
          <t>Insurance</t>
        </is>
      </c>
      <c r="C99" s="38" t="inlineStr">
        <is>
          <t>Insurance agency (sample)</t>
        </is>
      </c>
      <c r="D99" s="38" t="inlineStr">
        <is>
          <t>Monthly premium</t>
        </is>
      </c>
      <c r="E99" s="48" t="n">
        <v>165</v>
      </c>
      <c r="F99" s="38" t="inlineStr">
        <is>
          <t>Card</t>
        </is>
      </c>
      <c r="G99" s="38" t="n"/>
      <c r="H99" s="38" t="inlineStr">
        <is>
          <t>Yes</t>
        </is>
      </c>
      <c r="I99" s="38" t="n"/>
      <c r="J99" s="49">
        <f>IF(B99="","",IFERROR(INDEX('SETTINGS'!$M$5:$M$24,MATCH(B99,'SETTINGS'!$L$5:$L$24,0)),"Yes"))</f>
        <v/>
      </c>
      <c r="K99" s="51">
        <f>IF(A99="","",DATE(YEAR(A99),MONTH(A99),1))</f>
        <v/>
      </c>
    </row>
    <row r="100">
      <c r="A100" s="47" t="n">
        <v>46271</v>
      </c>
      <c r="B100" s="38" t="inlineStr">
        <is>
          <t>Fuel &amp; Vehicle</t>
        </is>
      </c>
      <c r="C100" s="38" t="inlineStr">
        <is>
          <t>Fuel station</t>
        </is>
      </c>
      <c r="D100" s="38" t="inlineStr">
        <is>
          <t>Fuel</t>
        </is>
      </c>
      <c r="E100" s="48" t="n">
        <v>55</v>
      </c>
      <c r="F100" s="38" t="inlineStr">
        <is>
          <t>Card</t>
        </is>
      </c>
      <c r="G100" s="38" t="n"/>
      <c r="H100" s="38" t="inlineStr">
        <is>
          <t>Yes</t>
        </is>
      </c>
      <c r="I100" s="38" t="n"/>
      <c r="J100" s="49">
        <f>IF(B100="","",IFERROR(INDEX('SETTINGS'!$M$5:$M$24,MATCH(B100,'SETTINGS'!$L$5:$L$24,0)),"Yes"))</f>
        <v/>
      </c>
      <c r="K100" s="51">
        <f>IF(A100="","",DATE(YEAR(A100),MONTH(A100),1))</f>
        <v/>
      </c>
    </row>
    <row r="101">
      <c r="A101" s="47" t="n">
        <v>46273</v>
      </c>
      <c r="B101" s="38" t="inlineStr">
        <is>
          <t>Advertising &amp; Marketing</t>
        </is>
      </c>
      <c r="C101" s="38" t="inlineStr">
        <is>
          <t>Local print shop</t>
        </is>
      </c>
      <c r="D101" s="38" t="inlineStr">
        <is>
          <t>Local marketing</t>
        </is>
      </c>
      <c r="E101" s="48" t="n">
        <v>150</v>
      </c>
      <c r="F101" s="38" t="inlineStr">
        <is>
          <t>Card</t>
        </is>
      </c>
      <c r="G101" s="38" t="n"/>
      <c r="H101" s="38" t="inlineStr">
        <is>
          <t>Yes</t>
        </is>
      </c>
      <c r="I101" s="38" t="n"/>
      <c r="J101" s="49">
        <f>IF(B101="","",IFERROR(INDEX('SETTINGS'!$M$5:$M$24,MATCH(B101,'SETTINGS'!$L$5:$L$24,0)),"Yes"))</f>
        <v/>
      </c>
      <c r="K101" s="51">
        <f>IF(A101="","",DATE(YEAR(A101),MONTH(A101),1))</f>
        <v/>
      </c>
    </row>
    <row r="102">
      <c r="A102" s="47" t="n">
        <v>46275</v>
      </c>
      <c r="B102" s="38" t="inlineStr">
        <is>
          <t>Supplies (job use)</t>
        </is>
      </c>
      <c r="C102" s="38" t="inlineStr">
        <is>
          <t>Janitorial supplier (sample)</t>
        </is>
      </c>
      <c r="D102" s="38" t="inlineStr">
        <is>
          <t>Chemicals &amp; microfiber</t>
        </is>
      </c>
      <c r="E102" s="48" t="n">
        <v>215</v>
      </c>
      <c r="F102" s="38" t="inlineStr">
        <is>
          <t>Card</t>
        </is>
      </c>
      <c r="G102" s="38" t="n"/>
      <c r="H102" s="38" t="inlineStr">
        <is>
          <t>Yes</t>
        </is>
      </c>
      <c r="I102" s="38" t="n"/>
      <c r="J102" s="49">
        <f>IF(B102="","",IFERROR(INDEX('SETTINGS'!$M$5:$M$24,MATCH(B102,'SETTINGS'!$L$5:$L$24,0)),"Yes"))</f>
        <v/>
      </c>
      <c r="K102" s="51">
        <f>IF(A102="","",DATE(YEAR(A102),MONTH(A102),1))</f>
        <v/>
      </c>
    </row>
    <row r="103">
      <c r="A103" s="47" t="n">
        <v>46278</v>
      </c>
      <c r="B103" s="38" t="inlineStr">
        <is>
          <t>Fuel &amp; Vehicle</t>
        </is>
      </c>
      <c r="C103" s="38" t="inlineStr">
        <is>
          <t>Fuel station</t>
        </is>
      </c>
      <c r="D103" s="38" t="inlineStr">
        <is>
          <t>Fuel</t>
        </is>
      </c>
      <c r="E103" s="48" t="n">
        <v>57</v>
      </c>
      <c r="F103" s="38" t="inlineStr">
        <is>
          <t>Card</t>
        </is>
      </c>
      <c r="G103" s="38" t="n"/>
      <c r="H103" s="38" t="inlineStr">
        <is>
          <t>Yes</t>
        </is>
      </c>
      <c r="I103" s="38" t="n"/>
      <c r="J103" s="49">
        <f>IF(B103="","",IFERROR(INDEX('SETTINGS'!$M$5:$M$24,MATCH(B103,'SETTINGS'!$L$5:$L$24,0)),"Yes"))</f>
        <v/>
      </c>
      <c r="K103" s="51">
        <f>IF(A103="","",DATE(YEAR(A103),MONTH(A103),1))</f>
        <v/>
      </c>
    </row>
    <row r="104">
      <c r="A104" s="47" t="n">
        <v>46281</v>
      </c>
      <c r="B104" s="38" t="inlineStr">
        <is>
          <t>Equipment</t>
        </is>
      </c>
      <c r="C104" s="38" t="inlineStr">
        <is>
          <t>Equipment dealer (sample)</t>
        </is>
      </c>
      <c r="D104" s="38" t="inlineStr">
        <is>
          <t>Extension poles &amp; squeegees</t>
        </is>
      </c>
      <c r="E104" s="48" t="n">
        <v>142</v>
      </c>
      <c r="F104" s="38" t="inlineStr">
        <is>
          <t>Card</t>
        </is>
      </c>
      <c r="G104" s="38" t="n"/>
      <c r="H104" s="38" t="inlineStr">
        <is>
          <t>Yes</t>
        </is>
      </c>
      <c r="I104" s="38" t="n"/>
      <c r="J104" s="49">
        <f>IF(B104="","",IFERROR(INDEX('SETTINGS'!$M$5:$M$24,MATCH(B104,'SETTINGS'!$L$5:$L$24,0)),"Yes"))</f>
        <v/>
      </c>
      <c r="K104" s="51">
        <f>IF(A104="","",DATE(YEAR(A104),MONTH(A104),1))</f>
        <v/>
      </c>
    </row>
    <row r="105">
      <c r="A105" s="47" t="n">
        <v>46285</v>
      </c>
      <c r="B105" s="38" t="inlineStr">
        <is>
          <t>Fuel &amp; Vehicle</t>
        </is>
      </c>
      <c r="C105" s="38" t="inlineStr">
        <is>
          <t>Fuel station</t>
        </is>
      </c>
      <c r="D105" s="38" t="inlineStr">
        <is>
          <t>Fuel</t>
        </is>
      </c>
      <c r="E105" s="48" t="n">
        <v>49</v>
      </c>
      <c r="F105" s="38" t="inlineStr">
        <is>
          <t>Card</t>
        </is>
      </c>
      <c r="G105" s="38" t="n"/>
      <c r="H105" s="38" t="inlineStr">
        <is>
          <t>Yes</t>
        </is>
      </c>
      <c r="I105" s="38" t="n"/>
      <c r="J105" s="49">
        <f>IF(B105="","",IFERROR(INDEX('SETTINGS'!$M$5:$M$24,MATCH(B105,'SETTINGS'!$L$5:$L$24,0)),"Yes"))</f>
        <v/>
      </c>
      <c r="K105" s="51">
        <f>IF(A105="","",DATE(YEAR(A105),MONTH(A105),1))</f>
        <v/>
      </c>
    </row>
    <row r="106">
      <c r="A106" s="47" t="n">
        <v>46289</v>
      </c>
      <c r="B106" s="38" t="inlineStr">
        <is>
          <t>Supplies (job use)</t>
        </is>
      </c>
      <c r="C106" s="38" t="inlineStr">
        <is>
          <t>Big-box store</t>
        </is>
      </c>
      <c r="D106" s="38" t="inlineStr">
        <is>
          <t>Liners, paper goods</t>
        </is>
      </c>
      <c r="E106" s="48" t="n">
        <v>131</v>
      </c>
      <c r="F106" s="38" t="inlineStr">
        <is>
          <t>Card</t>
        </is>
      </c>
      <c r="G106" s="38" t="n"/>
      <c r="H106" s="38" t="inlineStr">
        <is>
          <t>Yes</t>
        </is>
      </c>
      <c r="I106" s="38" t="n"/>
      <c r="J106" s="49">
        <f>IF(B106="","",IFERROR(INDEX('SETTINGS'!$M$5:$M$24,MATCH(B106,'SETTINGS'!$L$5:$L$24,0)),"Yes"))</f>
        <v/>
      </c>
      <c r="K106" s="51">
        <f>IF(A106="","",DATE(YEAR(A106),MONTH(A106),1))</f>
        <v/>
      </c>
    </row>
    <row r="107">
      <c r="A107" s="47" t="n">
        <v>46292</v>
      </c>
      <c r="B107" s="38" t="inlineStr">
        <is>
          <t>Fuel &amp; Vehicle</t>
        </is>
      </c>
      <c r="C107" s="38" t="inlineStr">
        <is>
          <t>Fuel station</t>
        </is>
      </c>
      <c r="D107" s="38" t="inlineStr">
        <is>
          <t>Fuel</t>
        </is>
      </c>
      <c r="E107" s="48" t="n">
        <v>63</v>
      </c>
      <c r="F107" s="38" t="inlineStr">
        <is>
          <t>Card</t>
        </is>
      </c>
      <c r="G107" s="38" t="n"/>
      <c r="H107" s="38" t="inlineStr">
        <is>
          <t>Yes</t>
        </is>
      </c>
      <c r="I107" s="38" t="n"/>
      <c r="J107" s="49">
        <f>IF(B107="","",IFERROR(INDEX('SETTINGS'!$M$5:$M$24,MATCH(B107,'SETTINGS'!$L$5:$L$24,0)),"Yes"))</f>
        <v/>
      </c>
      <c r="K107" s="51">
        <f>IF(A107="","",DATE(YEAR(A107),MONTH(A107),1))</f>
        <v/>
      </c>
    </row>
    <row r="108">
      <c r="A108" s="47" t="n">
        <v>46293</v>
      </c>
      <c r="B108" s="38" t="inlineStr">
        <is>
          <t>Bank Fees</t>
        </is>
      </c>
      <c r="C108" s="38" t="inlineStr">
        <is>
          <t>Bank (sample)</t>
        </is>
      </c>
      <c r="D108" s="38" t="inlineStr">
        <is>
          <t>Account fee</t>
        </is>
      </c>
      <c r="E108" s="48" t="n">
        <v>12</v>
      </c>
      <c r="F108" s="38" t="inlineStr">
        <is>
          <t>Bank Transfer</t>
        </is>
      </c>
      <c r="G108" s="38" t="n"/>
      <c r="H108" s="38" t="inlineStr">
        <is>
          <t>Yes</t>
        </is>
      </c>
      <c r="I108" s="38" t="n"/>
      <c r="J108" s="49">
        <f>IF(B108="","",IFERROR(INDEX('SETTINGS'!$M$5:$M$24,MATCH(B108,'SETTINGS'!$L$5:$L$24,0)),"Yes"))</f>
        <v/>
      </c>
      <c r="K108" s="51">
        <f>IF(A108="","",DATE(YEAR(A108),MONTH(A108),1))</f>
        <v/>
      </c>
    </row>
    <row r="109">
      <c r="A109" s="47" t="n"/>
      <c r="B109" s="38" t="n"/>
      <c r="C109" s="38" t="n"/>
      <c r="D109" s="38" t="n"/>
      <c r="E109" s="48" t="n"/>
      <c r="F109" s="38" t="n"/>
      <c r="G109" s="38" t="n"/>
      <c r="H109" s="38" t="n"/>
      <c r="I109" s="38" t="n"/>
      <c r="J109" s="49">
        <f>IF(B109="","",IFERROR(INDEX('SETTINGS'!$M$5:$M$24,MATCH(B109,'SETTINGS'!$L$5:$L$24,0)),"Yes"))</f>
        <v/>
      </c>
      <c r="K109" s="51">
        <f>IF(A109="","",DATE(YEAR(A109),MONTH(A109),1))</f>
        <v/>
      </c>
    </row>
    <row r="110">
      <c r="A110" s="47" t="n"/>
      <c r="B110" s="38" t="n"/>
      <c r="C110" s="38" t="n"/>
      <c r="D110" s="38" t="n"/>
      <c r="E110" s="48" t="n"/>
      <c r="F110" s="38" t="n"/>
      <c r="G110" s="38" t="n"/>
      <c r="H110" s="38" t="n"/>
      <c r="I110" s="38" t="n"/>
      <c r="J110" s="49">
        <f>IF(B110="","",IFERROR(INDEX('SETTINGS'!$M$5:$M$24,MATCH(B110,'SETTINGS'!$L$5:$L$24,0)),"Yes"))</f>
        <v/>
      </c>
      <c r="K110" s="51">
        <f>IF(A110="","",DATE(YEAR(A110),MONTH(A110),1))</f>
        <v/>
      </c>
    </row>
    <row r="111">
      <c r="A111" s="47" t="n"/>
      <c r="B111" s="38" t="n"/>
      <c r="C111" s="38" t="n"/>
      <c r="D111" s="38" t="n"/>
      <c r="E111" s="48" t="n"/>
      <c r="F111" s="38" t="n"/>
      <c r="G111" s="38" t="n"/>
      <c r="H111" s="38" t="n"/>
      <c r="I111" s="38" t="n"/>
      <c r="J111" s="49">
        <f>IF(B111="","",IFERROR(INDEX('SETTINGS'!$M$5:$M$24,MATCH(B111,'SETTINGS'!$L$5:$L$24,0)),"Yes"))</f>
        <v/>
      </c>
      <c r="K111" s="51">
        <f>IF(A111="","",DATE(YEAR(A111),MONTH(A111),1))</f>
        <v/>
      </c>
    </row>
    <row r="112">
      <c r="A112" s="47" t="n"/>
      <c r="B112" s="38" t="n"/>
      <c r="C112" s="38" t="n"/>
      <c r="D112" s="38" t="n"/>
      <c r="E112" s="48" t="n"/>
      <c r="F112" s="38" t="n"/>
      <c r="G112" s="38" t="n"/>
      <c r="H112" s="38" t="n"/>
      <c r="I112" s="38" t="n"/>
      <c r="J112" s="49">
        <f>IF(B112="","",IFERROR(INDEX('SETTINGS'!$M$5:$M$24,MATCH(B112,'SETTINGS'!$L$5:$L$24,0)),"Yes"))</f>
        <v/>
      </c>
      <c r="K112" s="51">
        <f>IF(A112="","",DATE(YEAR(A112),MONTH(A112),1))</f>
        <v/>
      </c>
    </row>
    <row r="113">
      <c r="A113" s="47" t="n"/>
      <c r="B113" s="38" t="n"/>
      <c r="C113" s="38" t="n"/>
      <c r="D113" s="38" t="n"/>
      <c r="E113" s="48" t="n"/>
      <c r="F113" s="38" t="n"/>
      <c r="G113" s="38" t="n"/>
      <c r="H113" s="38" t="n"/>
      <c r="I113" s="38" t="n"/>
      <c r="J113" s="49">
        <f>IF(B113="","",IFERROR(INDEX('SETTINGS'!$M$5:$M$24,MATCH(B113,'SETTINGS'!$L$5:$L$24,0)),"Yes"))</f>
        <v/>
      </c>
      <c r="K113" s="51">
        <f>IF(A113="","",DATE(YEAR(A113),MONTH(A113),1))</f>
        <v/>
      </c>
    </row>
    <row r="114">
      <c r="A114" s="47" t="n"/>
      <c r="B114" s="38" t="n"/>
      <c r="C114" s="38" t="n"/>
      <c r="D114" s="38" t="n"/>
      <c r="E114" s="48" t="n"/>
      <c r="F114" s="38" t="n"/>
      <c r="G114" s="38" t="n"/>
      <c r="H114" s="38" t="n"/>
      <c r="I114" s="38" t="n"/>
      <c r="J114" s="49">
        <f>IF(B114="","",IFERROR(INDEX('SETTINGS'!$M$5:$M$24,MATCH(B114,'SETTINGS'!$L$5:$L$24,0)),"Yes"))</f>
        <v/>
      </c>
      <c r="K114" s="51">
        <f>IF(A114="","",DATE(YEAR(A114),MONTH(A114),1))</f>
        <v/>
      </c>
    </row>
    <row r="115">
      <c r="A115" s="47" t="n"/>
      <c r="B115" s="38" t="n"/>
      <c r="C115" s="38" t="n"/>
      <c r="D115" s="38" t="n"/>
      <c r="E115" s="48" t="n"/>
      <c r="F115" s="38" t="n"/>
      <c r="G115" s="38" t="n"/>
      <c r="H115" s="38" t="n"/>
      <c r="I115" s="38" t="n"/>
      <c r="J115" s="49">
        <f>IF(B115="","",IFERROR(INDEX('SETTINGS'!$M$5:$M$24,MATCH(B115,'SETTINGS'!$L$5:$L$24,0)),"Yes"))</f>
        <v/>
      </c>
      <c r="K115" s="51">
        <f>IF(A115="","",DATE(YEAR(A115),MONTH(A115),1))</f>
        <v/>
      </c>
    </row>
    <row r="116">
      <c r="A116" s="47" t="n"/>
      <c r="B116" s="38" t="n"/>
      <c r="C116" s="38" t="n"/>
      <c r="D116" s="38" t="n"/>
      <c r="E116" s="48" t="n"/>
      <c r="F116" s="38" t="n"/>
      <c r="G116" s="38" t="n"/>
      <c r="H116" s="38" t="n"/>
      <c r="I116" s="38" t="n"/>
      <c r="J116" s="49">
        <f>IF(B116="","",IFERROR(INDEX('SETTINGS'!$M$5:$M$24,MATCH(B116,'SETTINGS'!$L$5:$L$24,0)),"Yes"))</f>
        <v/>
      </c>
      <c r="K116" s="51">
        <f>IF(A116="","",DATE(YEAR(A116),MONTH(A116),1))</f>
        <v/>
      </c>
    </row>
    <row r="117">
      <c r="A117" s="47" t="n"/>
      <c r="B117" s="38" t="n"/>
      <c r="C117" s="38" t="n"/>
      <c r="D117" s="38" t="n"/>
      <c r="E117" s="48" t="n"/>
      <c r="F117" s="38" t="n"/>
      <c r="G117" s="38" t="n"/>
      <c r="H117" s="38" t="n"/>
      <c r="I117" s="38" t="n"/>
      <c r="J117" s="49">
        <f>IF(B117="","",IFERROR(INDEX('SETTINGS'!$M$5:$M$24,MATCH(B117,'SETTINGS'!$L$5:$L$24,0)),"Yes"))</f>
        <v/>
      </c>
      <c r="K117" s="51">
        <f>IF(A117="","",DATE(YEAR(A117),MONTH(A117),1))</f>
        <v/>
      </c>
    </row>
    <row r="118">
      <c r="A118" s="47" t="n"/>
      <c r="B118" s="38" t="n"/>
      <c r="C118" s="38" t="n"/>
      <c r="D118" s="38" t="n"/>
      <c r="E118" s="48" t="n"/>
      <c r="F118" s="38" t="n"/>
      <c r="G118" s="38" t="n"/>
      <c r="H118" s="38" t="n"/>
      <c r="I118" s="38" t="n"/>
      <c r="J118" s="49">
        <f>IF(B118="","",IFERROR(INDEX('SETTINGS'!$M$5:$M$24,MATCH(B118,'SETTINGS'!$L$5:$L$24,0)),"Yes"))</f>
        <v/>
      </c>
      <c r="K118" s="51">
        <f>IF(A118="","",DATE(YEAR(A118),MONTH(A118),1))</f>
        <v/>
      </c>
    </row>
    <row r="119">
      <c r="A119" s="47" t="n"/>
      <c r="B119" s="38" t="n"/>
      <c r="C119" s="38" t="n"/>
      <c r="D119" s="38" t="n"/>
      <c r="E119" s="48" t="n"/>
      <c r="F119" s="38" t="n"/>
      <c r="G119" s="38" t="n"/>
      <c r="H119" s="38" t="n"/>
      <c r="I119" s="38" t="n"/>
      <c r="J119" s="49">
        <f>IF(B119="","",IFERROR(INDEX('SETTINGS'!$M$5:$M$24,MATCH(B119,'SETTINGS'!$L$5:$L$24,0)),"Yes"))</f>
        <v/>
      </c>
      <c r="K119" s="51">
        <f>IF(A119="","",DATE(YEAR(A119),MONTH(A119),1))</f>
        <v/>
      </c>
    </row>
    <row r="120">
      <c r="A120" s="47" t="n"/>
      <c r="B120" s="38" t="n"/>
      <c r="C120" s="38" t="n"/>
      <c r="D120" s="38" t="n"/>
      <c r="E120" s="48" t="n"/>
      <c r="F120" s="38" t="n"/>
      <c r="G120" s="38" t="n"/>
      <c r="H120" s="38" t="n"/>
      <c r="I120" s="38" t="n"/>
      <c r="J120" s="49">
        <f>IF(B120="","",IFERROR(INDEX('SETTINGS'!$M$5:$M$24,MATCH(B120,'SETTINGS'!$L$5:$L$24,0)),"Yes"))</f>
        <v/>
      </c>
      <c r="K120" s="51">
        <f>IF(A120="","",DATE(YEAR(A120),MONTH(A120),1))</f>
        <v/>
      </c>
    </row>
    <row r="121">
      <c r="A121" s="47" t="n"/>
      <c r="B121" s="38" t="n"/>
      <c r="C121" s="38" t="n"/>
      <c r="D121" s="38" t="n"/>
      <c r="E121" s="48" t="n"/>
      <c r="F121" s="38" t="n"/>
      <c r="G121" s="38" t="n"/>
      <c r="H121" s="38" t="n"/>
      <c r="I121" s="38" t="n"/>
      <c r="J121" s="49">
        <f>IF(B121="","",IFERROR(INDEX('SETTINGS'!$M$5:$M$24,MATCH(B121,'SETTINGS'!$L$5:$L$24,0)),"Yes"))</f>
        <v/>
      </c>
      <c r="K121" s="51">
        <f>IF(A121="","",DATE(YEAR(A121),MONTH(A121),1))</f>
        <v/>
      </c>
    </row>
    <row r="122">
      <c r="A122" s="47" t="n"/>
      <c r="B122" s="38" t="n"/>
      <c r="C122" s="38" t="n"/>
      <c r="D122" s="38" t="n"/>
      <c r="E122" s="48" t="n"/>
      <c r="F122" s="38" t="n"/>
      <c r="G122" s="38" t="n"/>
      <c r="H122" s="38" t="n"/>
      <c r="I122" s="38" t="n"/>
      <c r="J122" s="49">
        <f>IF(B122="","",IFERROR(INDEX('SETTINGS'!$M$5:$M$24,MATCH(B122,'SETTINGS'!$L$5:$L$24,0)),"Yes"))</f>
        <v/>
      </c>
      <c r="K122" s="51">
        <f>IF(A122="","",DATE(YEAR(A122),MONTH(A122),1))</f>
        <v/>
      </c>
    </row>
    <row r="123">
      <c r="A123" s="47" t="n"/>
      <c r="B123" s="38" t="n"/>
      <c r="C123" s="38" t="n"/>
      <c r="D123" s="38" t="n"/>
      <c r="E123" s="48" t="n"/>
      <c r="F123" s="38" t="n"/>
      <c r="G123" s="38" t="n"/>
      <c r="H123" s="38" t="n"/>
      <c r="I123" s="38" t="n"/>
      <c r="J123" s="49">
        <f>IF(B123="","",IFERROR(INDEX('SETTINGS'!$M$5:$M$24,MATCH(B123,'SETTINGS'!$L$5:$L$24,0)),"Yes"))</f>
        <v/>
      </c>
      <c r="K123" s="51">
        <f>IF(A123="","",DATE(YEAR(A123),MONTH(A123),1))</f>
        <v/>
      </c>
    </row>
    <row r="124">
      <c r="A124" s="47" t="n"/>
      <c r="B124" s="38" t="n"/>
      <c r="C124" s="38" t="n"/>
      <c r="D124" s="38" t="n"/>
      <c r="E124" s="48" t="n"/>
      <c r="F124" s="38" t="n"/>
      <c r="G124" s="38" t="n"/>
      <c r="H124" s="38" t="n"/>
      <c r="I124" s="38" t="n"/>
      <c r="J124" s="49">
        <f>IF(B124="","",IFERROR(INDEX('SETTINGS'!$M$5:$M$24,MATCH(B124,'SETTINGS'!$L$5:$L$24,0)),"Yes"))</f>
        <v/>
      </c>
      <c r="K124" s="51">
        <f>IF(A124="","",DATE(YEAR(A124),MONTH(A124),1))</f>
        <v/>
      </c>
    </row>
    <row r="125">
      <c r="A125" s="47" t="n"/>
      <c r="B125" s="38" t="n"/>
      <c r="C125" s="38" t="n"/>
      <c r="D125" s="38" t="n"/>
      <c r="E125" s="48" t="n"/>
      <c r="F125" s="38" t="n"/>
      <c r="G125" s="38" t="n"/>
      <c r="H125" s="38" t="n"/>
      <c r="I125" s="38" t="n"/>
      <c r="J125" s="49">
        <f>IF(B125="","",IFERROR(INDEX('SETTINGS'!$M$5:$M$24,MATCH(B125,'SETTINGS'!$L$5:$L$24,0)),"Yes"))</f>
        <v/>
      </c>
      <c r="K125" s="51">
        <f>IF(A125="","",DATE(YEAR(A125),MONTH(A125),1))</f>
        <v/>
      </c>
    </row>
    <row r="126">
      <c r="A126" s="47" t="n"/>
      <c r="B126" s="38" t="n"/>
      <c r="C126" s="38" t="n"/>
      <c r="D126" s="38" t="n"/>
      <c r="E126" s="48" t="n"/>
      <c r="F126" s="38" t="n"/>
      <c r="G126" s="38" t="n"/>
      <c r="H126" s="38" t="n"/>
      <c r="I126" s="38" t="n"/>
      <c r="J126" s="49">
        <f>IF(B126="","",IFERROR(INDEX('SETTINGS'!$M$5:$M$24,MATCH(B126,'SETTINGS'!$L$5:$L$24,0)),"Yes"))</f>
        <v/>
      </c>
      <c r="K126" s="51">
        <f>IF(A126="","",DATE(YEAR(A126),MONTH(A126),1))</f>
        <v/>
      </c>
    </row>
    <row r="127">
      <c r="A127" s="47" t="n"/>
      <c r="B127" s="38" t="n"/>
      <c r="C127" s="38" t="n"/>
      <c r="D127" s="38" t="n"/>
      <c r="E127" s="48" t="n"/>
      <c r="F127" s="38" t="n"/>
      <c r="G127" s="38" t="n"/>
      <c r="H127" s="38" t="n"/>
      <c r="I127" s="38" t="n"/>
      <c r="J127" s="49">
        <f>IF(B127="","",IFERROR(INDEX('SETTINGS'!$M$5:$M$24,MATCH(B127,'SETTINGS'!$L$5:$L$24,0)),"Yes"))</f>
        <v/>
      </c>
      <c r="K127" s="51">
        <f>IF(A127="","",DATE(YEAR(A127),MONTH(A127),1))</f>
        <v/>
      </c>
    </row>
    <row r="128">
      <c r="A128" s="47" t="n"/>
      <c r="B128" s="38" t="n"/>
      <c r="C128" s="38" t="n"/>
      <c r="D128" s="38" t="n"/>
      <c r="E128" s="48" t="n"/>
      <c r="F128" s="38" t="n"/>
      <c r="G128" s="38" t="n"/>
      <c r="H128" s="38" t="n"/>
      <c r="I128" s="38" t="n"/>
      <c r="J128" s="49">
        <f>IF(B128="","",IFERROR(INDEX('SETTINGS'!$M$5:$M$24,MATCH(B128,'SETTINGS'!$L$5:$L$24,0)),"Yes"))</f>
        <v/>
      </c>
      <c r="K128" s="51">
        <f>IF(A128="","",DATE(YEAR(A128),MONTH(A128),1))</f>
        <v/>
      </c>
    </row>
    <row r="129">
      <c r="A129" s="47" t="n"/>
      <c r="B129" s="38" t="n"/>
      <c r="C129" s="38" t="n"/>
      <c r="D129" s="38" t="n"/>
      <c r="E129" s="48" t="n"/>
      <c r="F129" s="38" t="n"/>
      <c r="G129" s="38" t="n"/>
      <c r="H129" s="38" t="n"/>
      <c r="I129" s="38" t="n"/>
      <c r="J129" s="49">
        <f>IF(B129="","",IFERROR(INDEX('SETTINGS'!$M$5:$M$24,MATCH(B129,'SETTINGS'!$L$5:$L$24,0)),"Yes"))</f>
        <v/>
      </c>
      <c r="K129" s="51">
        <f>IF(A129="","",DATE(YEAR(A129),MONTH(A129),1))</f>
        <v/>
      </c>
    </row>
    <row r="130">
      <c r="A130" s="47" t="n"/>
      <c r="B130" s="38" t="n"/>
      <c r="C130" s="38" t="n"/>
      <c r="D130" s="38" t="n"/>
      <c r="E130" s="48" t="n"/>
      <c r="F130" s="38" t="n"/>
      <c r="G130" s="38" t="n"/>
      <c r="H130" s="38" t="n"/>
      <c r="I130" s="38" t="n"/>
      <c r="J130" s="49">
        <f>IF(B130="","",IFERROR(INDEX('SETTINGS'!$M$5:$M$24,MATCH(B130,'SETTINGS'!$L$5:$L$24,0)),"Yes"))</f>
        <v/>
      </c>
      <c r="K130" s="51">
        <f>IF(A130="","",DATE(YEAR(A130),MONTH(A130),1))</f>
        <v/>
      </c>
    </row>
    <row r="131">
      <c r="A131" s="47" t="n"/>
      <c r="B131" s="38" t="n"/>
      <c r="C131" s="38" t="n"/>
      <c r="D131" s="38" t="n"/>
      <c r="E131" s="48" t="n"/>
      <c r="F131" s="38" t="n"/>
      <c r="G131" s="38" t="n"/>
      <c r="H131" s="38" t="n"/>
      <c r="I131" s="38" t="n"/>
      <c r="J131" s="49">
        <f>IF(B131="","",IFERROR(INDEX('SETTINGS'!$M$5:$M$24,MATCH(B131,'SETTINGS'!$L$5:$L$24,0)),"Yes"))</f>
        <v/>
      </c>
      <c r="K131" s="51">
        <f>IF(A131="","",DATE(YEAR(A131),MONTH(A131),1))</f>
        <v/>
      </c>
    </row>
    <row r="132">
      <c r="A132" s="47" t="n"/>
      <c r="B132" s="38" t="n"/>
      <c r="C132" s="38" t="n"/>
      <c r="D132" s="38" t="n"/>
      <c r="E132" s="48" t="n"/>
      <c r="F132" s="38" t="n"/>
      <c r="G132" s="38" t="n"/>
      <c r="H132" s="38" t="n"/>
      <c r="I132" s="38" t="n"/>
      <c r="J132" s="49">
        <f>IF(B132="","",IFERROR(INDEX('SETTINGS'!$M$5:$M$24,MATCH(B132,'SETTINGS'!$L$5:$L$24,0)),"Yes"))</f>
        <v/>
      </c>
      <c r="K132" s="51">
        <f>IF(A132="","",DATE(YEAR(A132),MONTH(A132),1))</f>
        <v/>
      </c>
    </row>
    <row r="133">
      <c r="A133" s="47" t="n"/>
      <c r="B133" s="38" t="n"/>
      <c r="C133" s="38" t="n"/>
      <c r="D133" s="38" t="n"/>
      <c r="E133" s="48" t="n"/>
      <c r="F133" s="38" t="n"/>
      <c r="G133" s="38" t="n"/>
      <c r="H133" s="38" t="n"/>
      <c r="I133" s="38" t="n"/>
      <c r="J133" s="49">
        <f>IF(B133="","",IFERROR(INDEX('SETTINGS'!$M$5:$M$24,MATCH(B133,'SETTINGS'!$L$5:$L$24,0)),"Yes"))</f>
        <v/>
      </c>
      <c r="K133" s="51">
        <f>IF(A133="","",DATE(YEAR(A133),MONTH(A133),1))</f>
        <v/>
      </c>
    </row>
    <row r="134">
      <c r="A134" s="47" t="n"/>
      <c r="B134" s="38" t="n"/>
      <c r="C134" s="38" t="n"/>
      <c r="D134" s="38" t="n"/>
      <c r="E134" s="48" t="n"/>
      <c r="F134" s="38" t="n"/>
      <c r="G134" s="38" t="n"/>
      <c r="H134" s="38" t="n"/>
      <c r="I134" s="38" t="n"/>
      <c r="J134" s="49">
        <f>IF(B134="","",IFERROR(INDEX('SETTINGS'!$M$5:$M$24,MATCH(B134,'SETTINGS'!$L$5:$L$24,0)),"Yes"))</f>
        <v/>
      </c>
      <c r="K134" s="51">
        <f>IF(A134="","",DATE(YEAR(A134),MONTH(A134),1))</f>
        <v/>
      </c>
    </row>
    <row r="135">
      <c r="A135" s="47" t="n"/>
      <c r="B135" s="38" t="n"/>
      <c r="C135" s="38" t="n"/>
      <c r="D135" s="38" t="n"/>
      <c r="E135" s="48" t="n"/>
      <c r="F135" s="38" t="n"/>
      <c r="G135" s="38" t="n"/>
      <c r="H135" s="38" t="n"/>
      <c r="I135" s="38" t="n"/>
      <c r="J135" s="49">
        <f>IF(B135="","",IFERROR(INDEX('SETTINGS'!$M$5:$M$24,MATCH(B135,'SETTINGS'!$L$5:$L$24,0)),"Yes"))</f>
        <v/>
      </c>
      <c r="K135" s="51">
        <f>IF(A135="","",DATE(YEAR(A135),MONTH(A135),1))</f>
        <v/>
      </c>
    </row>
    <row r="136">
      <c r="A136" s="47" t="n"/>
      <c r="B136" s="38" t="n"/>
      <c r="C136" s="38" t="n"/>
      <c r="D136" s="38" t="n"/>
      <c r="E136" s="48" t="n"/>
      <c r="F136" s="38" t="n"/>
      <c r="G136" s="38" t="n"/>
      <c r="H136" s="38" t="n"/>
      <c r="I136" s="38" t="n"/>
      <c r="J136" s="49">
        <f>IF(B136="","",IFERROR(INDEX('SETTINGS'!$M$5:$M$24,MATCH(B136,'SETTINGS'!$L$5:$L$24,0)),"Yes"))</f>
        <v/>
      </c>
      <c r="K136" s="51">
        <f>IF(A136="","",DATE(YEAR(A136),MONTH(A136),1))</f>
        <v/>
      </c>
    </row>
    <row r="137">
      <c r="A137" s="47" t="n"/>
      <c r="B137" s="38" t="n"/>
      <c r="C137" s="38" t="n"/>
      <c r="D137" s="38" t="n"/>
      <c r="E137" s="48" t="n"/>
      <c r="F137" s="38" t="n"/>
      <c r="G137" s="38" t="n"/>
      <c r="H137" s="38" t="n"/>
      <c r="I137" s="38" t="n"/>
      <c r="J137" s="49">
        <f>IF(B137="","",IFERROR(INDEX('SETTINGS'!$M$5:$M$24,MATCH(B137,'SETTINGS'!$L$5:$L$24,0)),"Yes"))</f>
        <v/>
      </c>
      <c r="K137" s="51">
        <f>IF(A137="","",DATE(YEAR(A137),MONTH(A137),1))</f>
        <v/>
      </c>
    </row>
    <row r="138">
      <c r="A138" s="47" t="n"/>
      <c r="B138" s="38" t="n"/>
      <c r="C138" s="38" t="n"/>
      <c r="D138" s="38" t="n"/>
      <c r="E138" s="48" t="n"/>
      <c r="F138" s="38" t="n"/>
      <c r="G138" s="38" t="n"/>
      <c r="H138" s="38" t="n"/>
      <c r="I138" s="38" t="n"/>
      <c r="J138" s="49">
        <f>IF(B138="","",IFERROR(INDEX('SETTINGS'!$M$5:$M$24,MATCH(B138,'SETTINGS'!$L$5:$L$24,0)),"Yes"))</f>
        <v/>
      </c>
      <c r="K138" s="51">
        <f>IF(A138="","",DATE(YEAR(A138),MONTH(A138),1))</f>
        <v/>
      </c>
    </row>
    <row r="139">
      <c r="A139" s="47" t="n"/>
      <c r="B139" s="38" t="n"/>
      <c r="C139" s="38" t="n"/>
      <c r="D139" s="38" t="n"/>
      <c r="E139" s="48" t="n"/>
      <c r="F139" s="38" t="n"/>
      <c r="G139" s="38" t="n"/>
      <c r="H139" s="38" t="n"/>
      <c r="I139" s="38" t="n"/>
      <c r="J139" s="49">
        <f>IF(B139="","",IFERROR(INDEX('SETTINGS'!$M$5:$M$24,MATCH(B139,'SETTINGS'!$L$5:$L$24,0)),"Yes"))</f>
        <v/>
      </c>
      <c r="K139" s="51">
        <f>IF(A139="","",DATE(YEAR(A139),MONTH(A139),1))</f>
        <v/>
      </c>
    </row>
    <row r="140">
      <c r="A140" s="47" t="n"/>
      <c r="B140" s="38" t="n"/>
      <c r="C140" s="38" t="n"/>
      <c r="D140" s="38" t="n"/>
      <c r="E140" s="48" t="n"/>
      <c r="F140" s="38" t="n"/>
      <c r="G140" s="38" t="n"/>
      <c r="H140" s="38" t="n"/>
      <c r="I140" s="38" t="n"/>
      <c r="J140" s="49">
        <f>IF(B140="","",IFERROR(INDEX('SETTINGS'!$M$5:$M$24,MATCH(B140,'SETTINGS'!$L$5:$L$24,0)),"Yes"))</f>
        <v/>
      </c>
      <c r="K140" s="51">
        <f>IF(A140="","",DATE(YEAR(A140),MONTH(A140),1))</f>
        <v/>
      </c>
    </row>
    <row r="141">
      <c r="A141" s="47" t="n"/>
      <c r="B141" s="38" t="n"/>
      <c r="C141" s="38" t="n"/>
      <c r="D141" s="38" t="n"/>
      <c r="E141" s="48" t="n"/>
      <c r="F141" s="38" t="n"/>
      <c r="G141" s="38" t="n"/>
      <c r="H141" s="38" t="n"/>
      <c r="I141" s="38" t="n"/>
      <c r="J141" s="49">
        <f>IF(B141="","",IFERROR(INDEX('SETTINGS'!$M$5:$M$24,MATCH(B141,'SETTINGS'!$L$5:$L$24,0)),"Yes"))</f>
        <v/>
      </c>
      <c r="K141" s="51">
        <f>IF(A141="","",DATE(YEAR(A141),MONTH(A141),1))</f>
        <v/>
      </c>
    </row>
    <row r="142">
      <c r="A142" s="47" t="n"/>
      <c r="B142" s="38" t="n"/>
      <c r="C142" s="38" t="n"/>
      <c r="D142" s="38" t="n"/>
      <c r="E142" s="48" t="n"/>
      <c r="F142" s="38" t="n"/>
      <c r="G142" s="38" t="n"/>
      <c r="H142" s="38" t="n"/>
      <c r="I142" s="38" t="n"/>
      <c r="J142" s="49">
        <f>IF(B142="","",IFERROR(INDEX('SETTINGS'!$M$5:$M$24,MATCH(B142,'SETTINGS'!$L$5:$L$24,0)),"Yes"))</f>
        <v/>
      </c>
      <c r="K142" s="51">
        <f>IF(A142="","",DATE(YEAR(A142),MONTH(A142),1))</f>
        <v/>
      </c>
    </row>
    <row r="143">
      <c r="A143" s="47" t="n"/>
      <c r="B143" s="38" t="n"/>
      <c r="C143" s="38" t="n"/>
      <c r="D143" s="38" t="n"/>
      <c r="E143" s="48" t="n"/>
      <c r="F143" s="38" t="n"/>
      <c r="G143" s="38" t="n"/>
      <c r="H143" s="38" t="n"/>
      <c r="I143" s="38" t="n"/>
      <c r="J143" s="49">
        <f>IF(B143="","",IFERROR(INDEX('SETTINGS'!$M$5:$M$24,MATCH(B143,'SETTINGS'!$L$5:$L$24,0)),"Yes"))</f>
        <v/>
      </c>
      <c r="K143" s="51">
        <f>IF(A143="","",DATE(YEAR(A143),MONTH(A143),1))</f>
        <v/>
      </c>
    </row>
    <row r="144">
      <c r="A144" s="47" t="n"/>
      <c r="B144" s="38" t="n"/>
      <c r="C144" s="38" t="n"/>
      <c r="D144" s="38" t="n"/>
      <c r="E144" s="48" t="n"/>
      <c r="F144" s="38" t="n"/>
      <c r="G144" s="38" t="n"/>
      <c r="H144" s="38" t="n"/>
      <c r="I144" s="38" t="n"/>
      <c r="J144" s="49">
        <f>IF(B144="","",IFERROR(INDEX('SETTINGS'!$M$5:$M$24,MATCH(B144,'SETTINGS'!$L$5:$L$24,0)),"Yes"))</f>
        <v/>
      </c>
      <c r="K144" s="51">
        <f>IF(A144="","",DATE(YEAR(A144),MONTH(A144),1))</f>
        <v/>
      </c>
    </row>
    <row r="145">
      <c r="A145" s="47" t="n"/>
      <c r="B145" s="38" t="n"/>
      <c r="C145" s="38" t="n"/>
      <c r="D145" s="38" t="n"/>
      <c r="E145" s="48" t="n"/>
      <c r="F145" s="38" t="n"/>
      <c r="G145" s="38" t="n"/>
      <c r="H145" s="38" t="n"/>
      <c r="I145" s="38" t="n"/>
      <c r="J145" s="49">
        <f>IF(B145="","",IFERROR(INDEX('SETTINGS'!$M$5:$M$24,MATCH(B145,'SETTINGS'!$L$5:$L$24,0)),"Yes"))</f>
        <v/>
      </c>
      <c r="K145" s="51">
        <f>IF(A145="","",DATE(YEAR(A145),MONTH(A145),1))</f>
        <v/>
      </c>
    </row>
    <row r="146">
      <c r="A146" s="47" t="n"/>
      <c r="B146" s="38" t="n"/>
      <c r="C146" s="38" t="n"/>
      <c r="D146" s="38" t="n"/>
      <c r="E146" s="48" t="n"/>
      <c r="F146" s="38" t="n"/>
      <c r="G146" s="38" t="n"/>
      <c r="H146" s="38" t="n"/>
      <c r="I146" s="38" t="n"/>
      <c r="J146" s="49">
        <f>IF(B146="","",IFERROR(INDEX('SETTINGS'!$M$5:$M$24,MATCH(B146,'SETTINGS'!$L$5:$L$24,0)),"Yes"))</f>
        <v/>
      </c>
      <c r="K146" s="51">
        <f>IF(A146="","",DATE(YEAR(A146),MONTH(A146),1))</f>
        <v/>
      </c>
    </row>
    <row r="147">
      <c r="A147" s="47" t="n"/>
      <c r="B147" s="38" t="n"/>
      <c r="C147" s="38" t="n"/>
      <c r="D147" s="38" t="n"/>
      <c r="E147" s="48" t="n"/>
      <c r="F147" s="38" t="n"/>
      <c r="G147" s="38" t="n"/>
      <c r="H147" s="38" t="n"/>
      <c r="I147" s="38" t="n"/>
      <c r="J147" s="49">
        <f>IF(B147="","",IFERROR(INDEX('SETTINGS'!$M$5:$M$24,MATCH(B147,'SETTINGS'!$L$5:$L$24,0)),"Yes"))</f>
        <v/>
      </c>
      <c r="K147" s="51">
        <f>IF(A147="","",DATE(YEAR(A147),MONTH(A147),1))</f>
        <v/>
      </c>
    </row>
    <row r="148">
      <c r="A148" s="47" t="n"/>
      <c r="B148" s="38" t="n"/>
      <c r="C148" s="38" t="n"/>
      <c r="D148" s="38" t="n"/>
      <c r="E148" s="48" t="n"/>
      <c r="F148" s="38" t="n"/>
      <c r="G148" s="38" t="n"/>
      <c r="H148" s="38" t="n"/>
      <c r="I148" s="38" t="n"/>
      <c r="J148" s="49">
        <f>IF(B148="","",IFERROR(INDEX('SETTINGS'!$M$5:$M$24,MATCH(B148,'SETTINGS'!$L$5:$L$24,0)),"Yes"))</f>
        <v/>
      </c>
      <c r="K148" s="51">
        <f>IF(A148="","",DATE(YEAR(A148),MONTH(A148),1))</f>
        <v/>
      </c>
    </row>
    <row r="149">
      <c r="A149" s="47" t="n"/>
      <c r="B149" s="38" t="n"/>
      <c r="C149" s="38" t="n"/>
      <c r="D149" s="38" t="n"/>
      <c r="E149" s="48" t="n"/>
      <c r="F149" s="38" t="n"/>
      <c r="G149" s="38" t="n"/>
      <c r="H149" s="38" t="n"/>
      <c r="I149" s="38" t="n"/>
      <c r="J149" s="49">
        <f>IF(B149="","",IFERROR(INDEX('SETTINGS'!$M$5:$M$24,MATCH(B149,'SETTINGS'!$L$5:$L$24,0)),"Yes"))</f>
        <v/>
      </c>
      <c r="K149" s="51">
        <f>IF(A149="","",DATE(YEAR(A149),MONTH(A149),1))</f>
        <v/>
      </c>
    </row>
    <row r="150">
      <c r="A150" s="47" t="n"/>
      <c r="B150" s="38" t="n"/>
      <c r="C150" s="38" t="n"/>
      <c r="D150" s="38" t="n"/>
      <c r="E150" s="48" t="n"/>
      <c r="F150" s="38" t="n"/>
      <c r="G150" s="38" t="n"/>
      <c r="H150" s="38" t="n"/>
      <c r="I150" s="38" t="n"/>
      <c r="J150" s="49">
        <f>IF(B150="","",IFERROR(INDEX('SETTINGS'!$M$5:$M$24,MATCH(B150,'SETTINGS'!$L$5:$L$24,0)),"Yes"))</f>
        <v/>
      </c>
      <c r="K150" s="51">
        <f>IF(A150="","",DATE(YEAR(A150),MONTH(A150),1))</f>
        <v/>
      </c>
    </row>
    <row r="151">
      <c r="A151" s="47" t="n"/>
      <c r="B151" s="38" t="n"/>
      <c r="C151" s="38" t="n"/>
      <c r="D151" s="38" t="n"/>
      <c r="E151" s="48" t="n"/>
      <c r="F151" s="38" t="n"/>
      <c r="G151" s="38" t="n"/>
      <c r="H151" s="38" t="n"/>
      <c r="I151" s="38" t="n"/>
      <c r="J151" s="49">
        <f>IF(B151="","",IFERROR(INDEX('SETTINGS'!$M$5:$M$24,MATCH(B151,'SETTINGS'!$L$5:$L$24,0)),"Yes"))</f>
        <v/>
      </c>
      <c r="K151" s="51">
        <f>IF(A151="","",DATE(YEAR(A151),MONTH(A151),1))</f>
        <v/>
      </c>
    </row>
    <row r="152">
      <c r="A152" s="47" t="n"/>
      <c r="B152" s="38" t="n"/>
      <c r="C152" s="38" t="n"/>
      <c r="D152" s="38" t="n"/>
      <c r="E152" s="48" t="n"/>
      <c r="F152" s="38" t="n"/>
      <c r="G152" s="38" t="n"/>
      <c r="H152" s="38" t="n"/>
      <c r="I152" s="38" t="n"/>
      <c r="J152" s="49">
        <f>IF(B152="","",IFERROR(INDEX('SETTINGS'!$M$5:$M$24,MATCH(B152,'SETTINGS'!$L$5:$L$24,0)),"Yes"))</f>
        <v/>
      </c>
      <c r="K152" s="51">
        <f>IF(A152="","",DATE(YEAR(A152),MONTH(A152),1))</f>
        <v/>
      </c>
    </row>
    <row r="153">
      <c r="A153" s="47" t="n"/>
      <c r="B153" s="38" t="n"/>
      <c r="C153" s="38" t="n"/>
      <c r="D153" s="38" t="n"/>
      <c r="E153" s="48" t="n"/>
      <c r="F153" s="38" t="n"/>
      <c r="G153" s="38" t="n"/>
      <c r="H153" s="38" t="n"/>
      <c r="I153" s="38" t="n"/>
      <c r="J153" s="49">
        <f>IF(B153="","",IFERROR(INDEX('SETTINGS'!$M$5:$M$24,MATCH(B153,'SETTINGS'!$L$5:$L$24,0)),"Yes"))</f>
        <v/>
      </c>
      <c r="K153" s="51">
        <f>IF(A153="","",DATE(YEAR(A153),MONTH(A153),1))</f>
        <v/>
      </c>
    </row>
    <row r="154">
      <c r="A154" s="47" t="n"/>
      <c r="B154" s="38" t="n"/>
      <c r="C154" s="38" t="n"/>
      <c r="D154" s="38" t="n"/>
      <c r="E154" s="48" t="n"/>
      <c r="F154" s="38" t="n"/>
      <c r="G154" s="38" t="n"/>
      <c r="H154" s="38" t="n"/>
      <c r="I154" s="38" t="n"/>
      <c r="J154" s="49">
        <f>IF(B154="","",IFERROR(INDEX('SETTINGS'!$M$5:$M$24,MATCH(B154,'SETTINGS'!$L$5:$L$24,0)),"Yes"))</f>
        <v/>
      </c>
      <c r="K154" s="51">
        <f>IF(A154="","",DATE(YEAR(A154),MONTH(A154),1))</f>
        <v/>
      </c>
    </row>
    <row r="155">
      <c r="A155" s="47" t="n"/>
      <c r="B155" s="38" t="n"/>
      <c r="C155" s="38" t="n"/>
      <c r="D155" s="38" t="n"/>
      <c r="E155" s="48" t="n"/>
      <c r="F155" s="38" t="n"/>
      <c r="G155" s="38" t="n"/>
      <c r="H155" s="38" t="n"/>
      <c r="I155" s="38" t="n"/>
      <c r="J155" s="49">
        <f>IF(B155="","",IFERROR(INDEX('SETTINGS'!$M$5:$M$24,MATCH(B155,'SETTINGS'!$L$5:$L$24,0)),"Yes"))</f>
        <v/>
      </c>
      <c r="K155" s="51">
        <f>IF(A155="","",DATE(YEAR(A155),MONTH(A155),1))</f>
        <v/>
      </c>
    </row>
    <row r="156">
      <c r="A156" s="47" t="n"/>
      <c r="B156" s="38" t="n"/>
      <c r="C156" s="38" t="n"/>
      <c r="D156" s="38" t="n"/>
      <c r="E156" s="48" t="n"/>
      <c r="F156" s="38" t="n"/>
      <c r="G156" s="38" t="n"/>
      <c r="H156" s="38" t="n"/>
      <c r="I156" s="38" t="n"/>
      <c r="J156" s="49">
        <f>IF(B156="","",IFERROR(INDEX('SETTINGS'!$M$5:$M$24,MATCH(B156,'SETTINGS'!$L$5:$L$24,0)),"Yes"))</f>
        <v/>
      </c>
      <c r="K156" s="51">
        <f>IF(A156="","",DATE(YEAR(A156),MONTH(A156),1))</f>
        <v/>
      </c>
    </row>
    <row r="157">
      <c r="A157" s="47" t="n"/>
      <c r="B157" s="38" t="n"/>
      <c r="C157" s="38" t="n"/>
      <c r="D157" s="38" t="n"/>
      <c r="E157" s="48" t="n"/>
      <c r="F157" s="38" t="n"/>
      <c r="G157" s="38" t="n"/>
      <c r="H157" s="38" t="n"/>
      <c r="I157" s="38" t="n"/>
      <c r="J157" s="49">
        <f>IF(B157="","",IFERROR(INDEX('SETTINGS'!$M$5:$M$24,MATCH(B157,'SETTINGS'!$L$5:$L$24,0)),"Yes"))</f>
        <v/>
      </c>
      <c r="K157" s="51">
        <f>IF(A157="","",DATE(YEAR(A157),MONTH(A157),1))</f>
        <v/>
      </c>
    </row>
    <row r="158">
      <c r="A158" s="47" t="n"/>
      <c r="B158" s="38" t="n"/>
      <c r="C158" s="38" t="n"/>
      <c r="D158" s="38" t="n"/>
      <c r="E158" s="48" t="n"/>
      <c r="F158" s="38" t="n"/>
      <c r="G158" s="38" t="n"/>
      <c r="H158" s="38" t="n"/>
      <c r="I158" s="38" t="n"/>
      <c r="J158" s="49">
        <f>IF(B158="","",IFERROR(INDEX('SETTINGS'!$M$5:$M$24,MATCH(B158,'SETTINGS'!$L$5:$L$24,0)),"Yes"))</f>
        <v/>
      </c>
      <c r="K158" s="51">
        <f>IF(A158="","",DATE(YEAR(A158),MONTH(A158),1))</f>
        <v/>
      </c>
    </row>
    <row r="159">
      <c r="A159" s="47" t="n"/>
      <c r="B159" s="38" t="n"/>
      <c r="C159" s="38" t="n"/>
      <c r="D159" s="38" t="n"/>
      <c r="E159" s="48" t="n"/>
      <c r="F159" s="38" t="n"/>
      <c r="G159" s="38" t="n"/>
      <c r="H159" s="38" t="n"/>
      <c r="I159" s="38" t="n"/>
      <c r="J159" s="49">
        <f>IF(B159="","",IFERROR(INDEX('SETTINGS'!$M$5:$M$24,MATCH(B159,'SETTINGS'!$L$5:$L$24,0)),"Yes"))</f>
        <v/>
      </c>
      <c r="K159" s="51">
        <f>IF(A159="","",DATE(YEAR(A159),MONTH(A159),1))</f>
        <v/>
      </c>
    </row>
    <row r="160">
      <c r="A160" s="47" t="n"/>
      <c r="B160" s="38" t="n"/>
      <c r="C160" s="38" t="n"/>
      <c r="D160" s="38" t="n"/>
      <c r="E160" s="48" t="n"/>
      <c r="F160" s="38" t="n"/>
      <c r="G160" s="38" t="n"/>
      <c r="H160" s="38" t="n"/>
      <c r="I160" s="38" t="n"/>
      <c r="J160" s="49">
        <f>IF(B160="","",IFERROR(INDEX('SETTINGS'!$M$5:$M$24,MATCH(B160,'SETTINGS'!$L$5:$L$24,0)),"Yes"))</f>
        <v/>
      </c>
      <c r="K160" s="51">
        <f>IF(A160="","",DATE(YEAR(A160),MONTH(A160),1))</f>
        <v/>
      </c>
    </row>
    <row r="161">
      <c r="A161" s="47" t="n"/>
      <c r="B161" s="38" t="n"/>
      <c r="C161" s="38" t="n"/>
      <c r="D161" s="38" t="n"/>
      <c r="E161" s="48" t="n"/>
      <c r="F161" s="38" t="n"/>
      <c r="G161" s="38" t="n"/>
      <c r="H161" s="38" t="n"/>
      <c r="I161" s="38" t="n"/>
      <c r="J161" s="49">
        <f>IF(B161="","",IFERROR(INDEX('SETTINGS'!$M$5:$M$24,MATCH(B161,'SETTINGS'!$L$5:$L$24,0)),"Yes"))</f>
        <v/>
      </c>
      <c r="K161" s="51">
        <f>IF(A161="","",DATE(YEAR(A161),MONTH(A161),1))</f>
        <v/>
      </c>
    </row>
    <row r="162">
      <c r="A162" s="47" t="n"/>
      <c r="B162" s="38" t="n"/>
      <c r="C162" s="38" t="n"/>
      <c r="D162" s="38" t="n"/>
      <c r="E162" s="48" t="n"/>
      <c r="F162" s="38" t="n"/>
      <c r="G162" s="38" t="n"/>
      <c r="H162" s="38" t="n"/>
      <c r="I162" s="38" t="n"/>
      <c r="J162" s="49">
        <f>IF(B162="","",IFERROR(INDEX('SETTINGS'!$M$5:$M$24,MATCH(B162,'SETTINGS'!$L$5:$L$24,0)),"Yes"))</f>
        <v/>
      </c>
      <c r="K162" s="51">
        <f>IF(A162="","",DATE(YEAR(A162),MONTH(A162),1))</f>
        <v/>
      </c>
    </row>
    <row r="163">
      <c r="A163" s="47" t="n"/>
      <c r="B163" s="38" t="n"/>
      <c r="C163" s="38" t="n"/>
      <c r="D163" s="38" t="n"/>
      <c r="E163" s="48" t="n"/>
      <c r="F163" s="38" t="n"/>
      <c r="G163" s="38" t="n"/>
      <c r="H163" s="38" t="n"/>
      <c r="I163" s="38" t="n"/>
      <c r="J163" s="49">
        <f>IF(B163="","",IFERROR(INDEX('SETTINGS'!$M$5:$M$24,MATCH(B163,'SETTINGS'!$L$5:$L$24,0)),"Yes"))</f>
        <v/>
      </c>
      <c r="K163" s="51">
        <f>IF(A163="","",DATE(YEAR(A163),MONTH(A163),1))</f>
        <v/>
      </c>
    </row>
    <row r="164">
      <c r="A164" s="47" t="n"/>
      <c r="B164" s="38" t="n"/>
      <c r="C164" s="38" t="n"/>
      <c r="D164" s="38" t="n"/>
      <c r="E164" s="48" t="n"/>
      <c r="F164" s="38" t="n"/>
      <c r="G164" s="38" t="n"/>
      <c r="H164" s="38" t="n"/>
      <c r="I164" s="38" t="n"/>
      <c r="J164" s="49">
        <f>IF(B164="","",IFERROR(INDEX('SETTINGS'!$M$5:$M$24,MATCH(B164,'SETTINGS'!$L$5:$L$24,0)),"Yes"))</f>
        <v/>
      </c>
      <c r="K164" s="51">
        <f>IF(A164="","",DATE(YEAR(A164),MONTH(A164),1))</f>
        <v/>
      </c>
    </row>
    <row r="165">
      <c r="A165" s="47" t="n"/>
      <c r="B165" s="38" t="n"/>
      <c r="C165" s="38" t="n"/>
      <c r="D165" s="38" t="n"/>
      <c r="E165" s="48" t="n"/>
      <c r="F165" s="38" t="n"/>
      <c r="G165" s="38" t="n"/>
      <c r="H165" s="38" t="n"/>
      <c r="I165" s="38" t="n"/>
      <c r="J165" s="49">
        <f>IF(B165="","",IFERROR(INDEX('SETTINGS'!$M$5:$M$24,MATCH(B165,'SETTINGS'!$L$5:$L$24,0)),"Yes"))</f>
        <v/>
      </c>
      <c r="K165" s="51">
        <f>IF(A165="","",DATE(YEAR(A165),MONTH(A165),1))</f>
        <v/>
      </c>
    </row>
    <row r="166">
      <c r="A166" s="47" t="n"/>
      <c r="B166" s="38" t="n"/>
      <c r="C166" s="38" t="n"/>
      <c r="D166" s="38" t="n"/>
      <c r="E166" s="48" t="n"/>
      <c r="F166" s="38" t="n"/>
      <c r="G166" s="38" t="n"/>
      <c r="H166" s="38" t="n"/>
      <c r="I166" s="38" t="n"/>
      <c r="J166" s="49">
        <f>IF(B166="","",IFERROR(INDEX('SETTINGS'!$M$5:$M$24,MATCH(B166,'SETTINGS'!$L$5:$L$24,0)),"Yes"))</f>
        <v/>
      </c>
      <c r="K166" s="51">
        <f>IF(A166="","",DATE(YEAR(A166),MONTH(A166),1))</f>
        <v/>
      </c>
    </row>
    <row r="167">
      <c r="A167" s="47" t="n"/>
      <c r="B167" s="38" t="n"/>
      <c r="C167" s="38" t="n"/>
      <c r="D167" s="38" t="n"/>
      <c r="E167" s="48" t="n"/>
      <c r="F167" s="38" t="n"/>
      <c r="G167" s="38" t="n"/>
      <c r="H167" s="38" t="n"/>
      <c r="I167" s="38" t="n"/>
      <c r="J167" s="49">
        <f>IF(B167="","",IFERROR(INDEX('SETTINGS'!$M$5:$M$24,MATCH(B167,'SETTINGS'!$L$5:$L$24,0)),"Yes"))</f>
        <v/>
      </c>
      <c r="K167" s="51">
        <f>IF(A167="","",DATE(YEAR(A167),MONTH(A167),1))</f>
        <v/>
      </c>
    </row>
    <row r="168">
      <c r="A168" s="47" t="n"/>
      <c r="B168" s="38" t="n"/>
      <c r="C168" s="38" t="n"/>
      <c r="D168" s="38" t="n"/>
      <c r="E168" s="48" t="n"/>
      <c r="F168" s="38" t="n"/>
      <c r="G168" s="38" t="n"/>
      <c r="H168" s="38" t="n"/>
      <c r="I168" s="38" t="n"/>
      <c r="J168" s="49">
        <f>IF(B168="","",IFERROR(INDEX('SETTINGS'!$M$5:$M$24,MATCH(B168,'SETTINGS'!$L$5:$L$24,0)),"Yes"))</f>
        <v/>
      </c>
      <c r="K168" s="51">
        <f>IF(A168="","",DATE(YEAR(A168),MONTH(A168),1))</f>
        <v/>
      </c>
    </row>
    <row r="169">
      <c r="A169" s="47" t="n"/>
      <c r="B169" s="38" t="n"/>
      <c r="C169" s="38" t="n"/>
      <c r="D169" s="38" t="n"/>
      <c r="E169" s="48" t="n"/>
      <c r="F169" s="38" t="n"/>
      <c r="G169" s="38" t="n"/>
      <c r="H169" s="38" t="n"/>
      <c r="I169" s="38" t="n"/>
      <c r="J169" s="49">
        <f>IF(B169="","",IFERROR(INDEX('SETTINGS'!$M$5:$M$24,MATCH(B169,'SETTINGS'!$L$5:$L$24,0)),"Yes"))</f>
        <v/>
      </c>
      <c r="K169" s="51">
        <f>IF(A169="","",DATE(YEAR(A169),MONTH(A169),1))</f>
        <v/>
      </c>
    </row>
    <row r="170">
      <c r="A170" s="47" t="n"/>
      <c r="B170" s="38" t="n"/>
      <c r="C170" s="38" t="n"/>
      <c r="D170" s="38" t="n"/>
      <c r="E170" s="48" t="n"/>
      <c r="F170" s="38" t="n"/>
      <c r="G170" s="38" t="n"/>
      <c r="H170" s="38" t="n"/>
      <c r="I170" s="38" t="n"/>
      <c r="J170" s="49">
        <f>IF(B170="","",IFERROR(INDEX('SETTINGS'!$M$5:$M$24,MATCH(B170,'SETTINGS'!$L$5:$L$24,0)),"Yes"))</f>
        <v/>
      </c>
      <c r="K170" s="51">
        <f>IF(A170="","",DATE(YEAR(A170),MONTH(A170),1))</f>
        <v/>
      </c>
    </row>
    <row r="171">
      <c r="A171" s="47" t="n"/>
      <c r="B171" s="38" t="n"/>
      <c r="C171" s="38" t="n"/>
      <c r="D171" s="38" t="n"/>
      <c r="E171" s="48" t="n"/>
      <c r="F171" s="38" t="n"/>
      <c r="G171" s="38" t="n"/>
      <c r="H171" s="38" t="n"/>
      <c r="I171" s="38" t="n"/>
      <c r="J171" s="49">
        <f>IF(B171="","",IFERROR(INDEX('SETTINGS'!$M$5:$M$24,MATCH(B171,'SETTINGS'!$L$5:$L$24,0)),"Yes"))</f>
        <v/>
      </c>
      <c r="K171" s="51">
        <f>IF(A171="","",DATE(YEAR(A171),MONTH(A171),1))</f>
        <v/>
      </c>
    </row>
    <row r="172">
      <c r="A172" s="47" t="n"/>
      <c r="B172" s="38" t="n"/>
      <c r="C172" s="38" t="n"/>
      <c r="D172" s="38" t="n"/>
      <c r="E172" s="48" t="n"/>
      <c r="F172" s="38" t="n"/>
      <c r="G172" s="38" t="n"/>
      <c r="H172" s="38" t="n"/>
      <c r="I172" s="38" t="n"/>
      <c r="J172" s="49">
        <f>IF(B172="","",IFERROR(INDEX('SETTINGS'!$M$5:$M$24,MATCH(B172,'SETTINGS'!$L$5:$L$24,0)),"Yes"))</f>
        <v/>
      </c>
      <c r="K172" s="51">
        <f>IF(A172="","",DATE(YEAR(A172),MONTH(A172),1))</f>
        <v/>
      </c>
    </row>
    <row r="173">
      <c r="A173" s="47" t="n"/>
      <c r="B173" s="38" t="n"/>
      <c r="C173" s="38" t="n"/>
      <c r="D173" s="38" t="n"/>
      <c r="E173" s="48" t="n"/>
      <c r="F173" s="38" t="n"/>
      <c r="G173" s="38" t="n"/>
      <c r="H173" s="38" t="n"/>
      <c r="I173" s="38" t="n"/>
      <c r="J173" s="49">
        <f>IF(B173="","",IFERROR(INDEX('SETTINGS'!$M$5:$M$24,MATCH(B173,'SETTINGS'!$L$5:$L$24,0)),"Yes"))</f>
        <v/>
      </c>
      <c r="K173" s="51">
        <f>IF(A173="","",DATE(YEAR(A173),MONTH(A173),1))</f>
        <v/>
      </c>
    </row>
    <row r="174">
      <c r="A174" s="47" t="n"/>
      <c r="B174" s="38" t="n"/>
      <c r="C174" s="38" t="n"/>
      <c r="D174" s="38" t="n"/>
      <c r="E174" s="48" t="n"/>
      <c r="F174" s="38" t="n"/>
      <c r="G174" s="38" t="n"/>
      <c r="H174" s="38" t="n"/>
      <c r="I174" s="38" t="n"/>
      <c r="J174" s="49">
        <f>IF(B174="","",IFERROR(INDEX('SETTINGS'!$M$5:$M$24,MATCH(B174,'SETTINGS'!$L$5:$L$24,0)),"Yes"))</f>
        <v/>
      </c>
      <c r="K174" s="51">
        <f>IF(A174="","",DATE(YEAR(A174),MONTH(A174),1))</f>
        <v/>
      </c>
    </row>
    <row r="175">
      <c r="A175" s="47" t="n"/>
      <c r="B175" s="38" t="n"/>
      <c r="C175" s="38" t="n"/>
      <c r="D175" s="38" t="n"/>
      <c r="E175" s="48" t="n"/>
      <c r="F175" s="38" t="n"/>
      <c r="G175" s="38" t="n"/>
      <c r="H175" s="38" t="n"/>
      <c r="I175" s="38" t="n"/>
      <c r="J175" s="49">
        <f>IF(B175="","",IFERROR(INDEX('SETTINGS'!$M$5:$M$24,MATCH(B175,'SETTINGS'!$L$5:$L$24,0)),"Yes"))</f>
        <v/>
      </c>
      <c r="K175" s="51">
        <f>IF(A175="","",DATE(YEAR(A175),MONTH(A175),1))</f>
        <v/>
      </c>
    </row>
    <row r="176">
      <c r="A176" s="47" t="n"/>
      <c r="B176" s="38" t="n"/>
      <c r="C176" s="38" t="n"/>
      <c r="D176" s="38" t="n"/>
      <c r="E176" s="48" t="n"/>
      <c r="F176" s="38" t="n"/>
      <c r="G176" s="38" t="n"/>
      <c r="H176" s="38" t="n"/>
      <c r="I176" s="38" t="n"/>
      <c r="J176" s="49">
        <f>IF(B176="","",IFERROR(INDEX('SETTINGS'!$M$5:$M$24,MATCH(B176,'SETTINGS'!$L$5:$L$24,0)),"Yes"))</f>
        <v/>
      </c>
      <c r="K176" s="51">
        <f>IF(A176="","",DATE(YEAR(A176),MONTH(A176),1))</f>
        <v/>
      </c>
    </row>
    <row r="177">
      <c r="A177" s="47" t="n"/>
      <c r="B177" s="38" t="n"/>
      <c r="C177" s="38" t="n"/>
      <c r="D177" s="38" t="n"/>
      <c r="E177" s="48" t="n"/>
      <c r="F177" s="38" t="n"/>
      <c r="G177" s="38" t="n"/>
      <c r="H177" s="38" t="n"/>
      <c r="I177" s="38" t="n"/>
      <c r="J177" s="49">
        <f>IF(B177="","",IFERROR(INDEX('SETTINGS'!$M$5:$M$24,MATCH(B177,'SETTINGS'!$L$5:$L$24,0)),"Yes"))</f>
        <v/>
      </c>
      <c r="K177" s="51">
        <f>IF(A177="","",DATE(YEAR(A177),MONTH(A177),1))</f>
        <v/>
      </c>
    </row>
    <row r="178">
      <c r="A178" s="47" t="n"/>
      <c r="B178" s="38" t="n"/>
      <c r="C178" s="38" t="n"/>
      <c r="D178" s="38" t="n"/>
      <c r="E178" s="48" t="n"/>
      <c r="F178" s="38" t="n"/>
      <c r="G178" s="38" t="n"/>
      <c r="H178" s="38" t="n"/>
      <c r="I178" s="38" t="n"/>
      <c r="J178" s="49">
        <f>IF(B178="","",IFERROR(INDEX('SETTINGS'!$M$5:$M$24,MATCH(B178,'SETTINGS'!$L$5:$L$24,0)),"Yes"))</f>
        <v/>
      </c>
      <c r="K178" s="51">
        <f>IF(A178="","",DATE(YEAR(A178),MONTH(A178),1))</f>
        <v/>
      </c>
    </row>
    <row r="179">
      <c r="A179" s="47" t="n"/>
      <c r="B179" s="38" t="n"/>
      <c r="C179" s="38" t="n"/>
      <c r="D179" s="38" t="n"/>
      <c r="E179" s="48" t="n"/>
      <c r="F179" s="38" t="n"/>
      <c r="G179" s="38" t="n"/>
      <c r="H179" s="38" t="n"/>
      <c r="I179" s="38" t="n"/>
      <c r="J179" s="49">
        <f>IF(B179="","",IFERROR(INDEX('SETTINGS'!$M$5:$M$24,MATCH(B179,'SETTINGS'!$L$5:$L$24,0)),"Yes"))</f>
        <v/>
      </c>
      <c r="K179" s="51">
        <f>IF(A179="","",DATE(YEAR(A179),MONTH(A179),1))</f>
        <v/>
      </c>
    </row>
    <row r="180">
      <c r="A180" s="47" t="n"/>
      <c r="B180" s="38" t="n"/>
      <c r="C180" s="38" t="n"/>
      <c r="D180" s="38" t="n"/>
      <c r="E180" s="48" t="n"/>
      <c r="F180" s="38" t="n"/>
      <c r="G180" s="38" t="n"/>
      <c r="H180" s="38" t="n"/>
      <c r="I180" s="38" t="n"/>
      <c r="J180" s="49">
        <f>IF(B180="","",IFERROR(INDEX('SETTINGS'!$M$5:$M$24,MATCH(B180,'SETTINGS'!$L$5:$L$24,0)),"Yes"))</f>
        <v/>
      </c>
      <c r="K180" s="51">
        <f>IF(A180="","",DATE(YEAR(A180),MONTH(A180),1))</f>
        <v/>
      </c>
    </row>
    <row r="181">
      <c r="A181" s="47" t="n"/>
      <c r="B181" s="38" t="n"/>
      <c r="C181" s="38" t="n"/>
      <c r="D181" s="38" t="n"/>
      <c r="E181" s="48" t="n"/>
      <c r="F181" s="38" t="n"/>
      <c r="G181" s="38" t="n"/>
      <c r="H181" s="38" t="n"/>
      <c r="I181" s="38" t="n"/>
      <c r="J181" s="49">
        <f>IF(B181="","",IFERROR(INDEX('SETTINGS'!$M$5:$M$24,MATCH(B181,'SETTINGS'!$L$5:$L$24,0)),"Yes"))</f>
        <v/>
      </c>
      <c r="K181" s="51">
        <f>IF(A181="","",DATE(YEAR(A181),MONTH(A181),1))</f>
        <v/>
      </c>
    </row>
    <row r="182">
      <c r="A182" s="47" t="n"/>
      <c r="B182" s="38" t="n"/>
      <c r="C182" s="38" t="n"/>
      <c r="D182" s="38" t="n"/>
      <c r="E182" s="48" t="n"/>
      <c r="F182" s="38" t="n"/>
      <c r="G182" s="38" t="n"/>
      <c r="H182" s="38" t="n"/>
      <c r="I182" s="38" t="n"/>
      <c r="J182" s="49">
        <f>IF(B182="","",IFERROR(INDEX('SETTINGS'!$M$5:$M$24,MATCH(B182,'SETTINGS'!$L$5:$L$24,0)),"Yes"))</f>
        <v/>
      </c>
      <c r="K182" s="51">
        <f>IF(A182="","",DATE(YEAR(A182),MONTH(A182),1))</f>
        <v/>
      </c>
    </row>
    <row r="183">
      <c r="A183" s="47" t="n"/>
      <c r="B183" s="38" t="n"/>
      <c r="C183" s="38" t="n"/>
      <c r="D183" s="38" t="n"/>
      <c r="E183" s="48" t="n"/>
      <c r="F183" s="38" t="n"/>
      <c r="G183" s="38" t="n"/>
      <c r="H183" s="38" t="n"/>
      <c r="I183" s="38" t="n"/>
      <c r="J183" s="49">
        <f>IF(B183="","",IFERROR(INDEX('SETTINGS'!$M$5:$M$24,MATCH(B183,'SETTINGS'!$L$5:$L$24,0)),"Yes"))</f>
        <v/>
      </c>
      <c r="K183" s="51">
        <f>IF(A183="","",DATE(YEAR(A183),MONTH(A183),1))</f>
        <v/>
      </c>
    </row>
    <row r="184">
      <c r="A184" s="47" t="n"/>
      <c r="B184" s="38" t="n"/>
      <c r="C184" s="38" t="n"/>
      <c r="D184" s="38" t="n"/>
      <c r="E184" s="48" t="n"/>
      <c r="F184" s="38" t="n"/>
      <c r="G184" s="38" t="n"/>
      <c r="H184" s="38" t="n"/>
      <c r="I184" s="38" t="n"/>
      <c r="J184" s="49">
        <f>IF(B184="","",IFERROR(INDEX('SETTINGS'!$M$5:$M$24,MATCH(B184,'SETTINGS'!$L$5:$L$24,0)),"Yes"))</f>
        <v/>
      </c>
      <c r="K184" s="51">
        <f>IF(A184="","",DATE(YEAR(A184),MONTH(A184),1))</f>
        <v/>
      </c>
    </row>
    <row r="185">
      <c r="A185" s="47" t="n"/>
      <c r="B185" s="38" t="n"/>
      <c r="C185" s="38" t="n"/>
      <c r="D185" s="38" t="n"/>
      <c r="E185" s="48" t="n"/>
      <c r="F185" s="38" t="n"/>
      <c r="G185" s="38" t="n"/>
      <c r="H185" s="38" t="n"/>
      <c r="I185" s="38" t="n"/>
      <c r="J185" s="49">
        <f>IF(B185="","",IFERROR(INDEX('SETTINGS'!$M$5:$M$24,MATCH(B185,'SETTINGS'!$L$5:$L$24,0)),"Yes"))</f>
        <v/>
      </c>
      <c r="K185" s="51">
        <f>IF(A185="","",DATE(YEAR(A185),MONTH(A185),1))</f>
        <v/>
      </c>
    </row>
    <row r="186">
      <c r="A186" s="47" t="n"/>
      <c r="B186" s="38" t="n"/>
      <c r="C186" s="38" t="n"/>
      <c r="D186" s="38" t="n"/>
      <c r="E186" s="48" t="n"/>
      <c r="F186" s="38" t="n"/>
      <c r="G186" s="38" t="n"/>
      <c r="H186" s="38" t="n"/>
      <c r="I186" s="38" t="n"/>
      <c r="J186" s="49">
        <f>IF(B186="","",IFERROR(INDEX('SETTINGS'!$M$5:$M$24,MATCH(B186,'SETTINGS'!$L$5:$L$24,0)),"Yes"))</f>
        <v/>
      </c>
      <c r="K186" s="51">
        <f>IF(A186="","",DATE(YEAR(A186),MONTH(A186),1))</f>
        <v/>
      </c>
    </row>
    <row r="187">
      <c r="A187" s="47" t="n"/>
      <c r="B187" s="38" t="n"/>
      <c r="C187" s="38" t="n"/>
      <c r="D187" s="38" t="n"/>
      <c r="E187" s="48" t="n"/>
      <c r="F187" s="38" t="n"/>
      <c r="G187" s="38" t="n"/>
      <c r="H187" s="38" t="n"/>
      <c r="I187" s="38" t="n"/>
      <c r="J187" s="49">
        <f>IF(B187="","",IFERROR(INDEX('SETTINGS'!$M$5:$M$24,MATCH(B187,'SETTINGS'!$L$5:$L$24,0)),"Yes"))</f>
        <v/>
      </c>
      <c r="K187" s="51">
        <f>IF(A187="","",DATE(YEAR(A187),MONTH(A187),1))</f>
        <v/>
      </c>
    </row>
    <row r="188">
      <c r="A188" s="47" t="n"/>
      <c r="B188" s="38" t="n"/>
      <c r="C188" s="38" t="n"/>
      <c r="D188" s="38" t="n"/>
      <c r="E188" s="48" t="n"/>
      <c r="F188" s="38" t="n"/>
      <c r="G188" s="38" t="n"/>
      <c r="H188" s="38" t="n"/>
      <c r="I188" s="38" t="n"/>
      <c r="J188" s="49">
        <f>IF(B188="","",IFERROR(INDEX('SETTINGS'!$M$5:$M$24,MATCH(B188,'SETTINGS'!$L$5:$L$24,0)),"Yes"))</f>
        <v/>
      </c>
      <c r="K188" s="51">
        <f>IF(A188="","",DATE(YEAR(A188),MONTH(A188),1))</f>
        <v/>
      </c>
    </row>
    <row r="189">
      <c r="A189" s="47" t="n"/>
      <c r="B189" s="38" t="n"/>
      <c r="C189" s="38" t="n"/>
      <c r="D189" s="38" t="n"/>
      <c r="E189" s="48" t="n"/>
      <c r="F189" s="38" t="n"/>
      <c r="G189" s="38" t="n"/>
      <c r="H189" s="38" t="n"/>
      <c r="I189" s="38" t="n"/>
      <c r="J189" s="49">
        <f>IF(B189="","",IFERROR(INDEX('SETTINGS'!$M$5:$M$24,MATCH(B189,'SETTINGS'!$L$5:$L$24,0)),"Yes"))</f>
        <v/>
      </c>
      <c r="K189" s="51">
        <f>IF(A189="","",DATE(YEAR(A189),MONTH(A189),1))</f>
        <v/>
      </c>
    </row>
    <row r="190">
      <c r="A190" s="47" t="n"/>
      <c r="B190" s="38" t="n"/>
      <c r="C190" s="38" t="n"/>
      <c r="D190" s="38" t="n"/>
      <c r="E190" s="48" t="n"/>
      <c r="F190" s="38" t="n"/>
      <c r="G190" s="38" t="n"/>
      <c r="H190" s="38" t="n"/>
      <c r="I190" s="38" t="n"/>
      <c r="J190" s="49">
        <f>IF(B190="","",IFERROR(INDEX('SETTINGS'!$M$5:$M$24,MATCH(B190,'SETTINGS'!$L$5:$L$24,0)),"Yes"))</f>
        <v/>
      </c>
      <c r="K190" s="51">
        <f>IF(A190="","",DATE(YEAR(A190),MONTH(A190),1))</f>
        <v/>
      </c>
    </row>
    <row r="191">
      <c r="A191" s="47" t="n"/>
      <c r="B191" s="38" t="n"/>
      <c r="C191" s="38" t="n"/>
      <c r="D191" s="38" t="n"/>
      <c r="E191" s="48" t="n"/>
      <c r="F191" s="38" t="n"/>
      <c r="G191" s="38" t="n"/>
      <c r="H191" s="38" t="n"/>
      <c r="I191" s="38" t="n"/>
      <c r="J191" s="49">
        <f>IF(B191="","",IFERROR(INDEX('SETTINGS'!$M$5:$M$24,MATCH(B191,'SETTINGS'!$L$5:$L$24,0)),"Yes"))</f>
        <v/>
      </c>
      <c r="K191" s="51">
        <f>IF(A191="","",DATE(YEAR(A191),MONTH(A191),1))</f>
        <v/>
      </c>
    </row>
    <row r="192">
      <c r="A192" s="47" t="n"/>
      <c r="B192" s="38" t="n"/>
      <c r="C192" s="38" t="n"/>
      <c r="D192" s="38" t="n"/>
      <c r="E192" s="48" t="n"/>
      <c r="F192" s="38" t="n"/>
      <c r="G192" s="38" t="n"/>
      <c r="H192" s="38" t="n"/>
      <c r="I192" s="38" t="n"/>
      <c r="J192" s="49">
        <f>IF(B192="","",IFERROR(INDEX('SETTINGS'!$M$5:$M$24,MATCH(B192,'SETTINGS'!$L$5:$L$24,0)),"Yes"))</f>
        <v/>
      </c>
      <c r="K192" s="51">
        <f>IF(A192="","",DATE(YEAR(A192),MONTH(A192),1))</f>
        <v/>
      </c>
    </row>
    <row r="193">
      <c r="A193" s="47" t="n"/>
      <c r="B193" s="38" t="n"/>
      <c r="C193" s="38" t="n"/>
      <c r="D193" s="38" t="n"/>
      <c r="E193" s="48" t="n"/>
      <c r="F193" s="38" t="n"/>
      <c r="G193" s="38" t="n"/>
      <c r="H193" s="38" t="n"/>
      <c r="I193" s="38" t="n"/>
      <c r="J193" s="49">
        <f>IF(B193="","",IFERROR(INDEX('SETTINGS'!$M$5:$M$24,MATCH(B193,'SETTINGS'!$L$5:$L$24,0)),"Yes"))</f>
        <v/>
      </c>
      <c r="K193" s="51">
        <f>IF(A193="","",DATE(YEAR(A193),MONTH(A193),1))</f>
        <v/>
      </c>
    </row>
    <row r="194">
      <c r="A194" s="47" t="n"/>
      <c r="B194" s="38" t="n"/>
      <c r="C194" s="38" t="n"/>
      <c r="D194" s="38" t="n"/>
      <c r="E194" s="48" t="n"/>
      <c r="F194" s="38" t="n"/>
      <c r="G194" s="38" t="n"/>
      <c r="H194" s="38" t="n"/>
      <c r="I194" s="38" t="n"/>
      <c r="J194" s="49">
        <f>IF(B194="","",IFERROR(INDEX('SETTINGS'!$M$5:$M$24,MATCH(B194,'SETTINGS'!$L$5:$L$24,0)),"Yes"))</f>
        <v/>
      </c>
      <c r="K194" s="51">
        <f>IF(A194="","",DATE(YEAR(A194),MONTH(A194),1))</f>
        <v/>
      </c>
    </row>
    <row r="195">
      <c r="A195" s="47" t="n"/>
      <c r="B195" s="38" t="n"/>
      <c r="C195" s="38" t="n"/>
      <c r="D195" s="38" t="n"/>
      <c r="E195" s="48" t="n"/>
      <c r="F195" s="38" t="n"/>
      <c r="G195" s="38" t="n"/>
      <c r="H195" s="38" t="n"/>
      <c r="I195" s="38" t="n"/>
      <c r="J195" s="49">
        <f>IF(B195="","",IFERROR(INDEX('SETTINGS'!$M$5:$M$24,MATCH(B195,'SETTINGS'!$L$5:$L$24,0)),"Yes"))</f>
        <v/>
      </c>
      <c r="K195" s="51">
        <f>IF(A195="","",DATE(YEAR(A195),MONTH(A195),1))</f>
        <v/>
      </c>
    </row>
    <row r="196">
      <c r="A196" s="47" t="n"/>
      <c r="B196" s="38" t="n"/>
      <c r="C196" s="38" t="n"/>
      <c r="D196" s="38" t="n"/>
      <c r="E196" s="48" t="n"/>
      <c r="F196" s="38" t="n"/>
      <c r="G196" s="38" t="n"/>
      <c r="H196" s="38" t="n"/>
      <c r="I196" s="38" t="n"/>
      <c r="J196" s="49">
        <f>IF(B196="","",IFERROR(INDEX('SETTINGS'!$M$5:$M$24,MATCH(B196,'SETTINGS'!$L$5:$L$24,0)),"Yes"))</f>
        <v/>
      </c>
      <c r="K196" s="51">
        <f>IF(A196="","",DATE(YEAR(A196),MONTH(A196),1))</f>
        <v/>
      </c>
    </row>
    <row r="197">
      <c r="A197" s="47" t="n"/>
      <c r="B197" s="38" t="n"/>
      <c r="C197" s="38" t="n"/>
      <c r="D197" s="38" t="n"/>
      <c r="E197" s="48" t="n"/>
      <c r="F197" s="38" t="n"/>
      <c r="G197" s="38" t="n"/>
      <c r="H197" s="38" t="n"/>
      <c r="I197" s="38" t="n"/>
      <c r="J197" s="49">
        <f>IF(B197="","",IFERROR(INDEX('SETTINGS'!$M$5:$M$24,MATCH(B197,'SETTINGS'!$L$5:$L$24,0)),"Yes"))</f>
        <v/>
      </c>
      <c r="K197" s="51">
        <f>IF(A197="","",DATE(YEAR(A197),MONTH(A197),1))</f>
        <v/>
      </c>
    </row>
    <row r="198">
      <c r="A198" s="47" t="n"/>
      <c r="B198" s="38" t="n"/>
      <c r="C198" s="38" t="n"/>
      <c r="D198" s="38" t="n"/>
      <c r="E198" s="48" t="n"/>
      <c r="F198" s="38" t="n"/>
      <c r="G198" s="38" t="n"/>
      <c r="H198" s="38" t="n"/>
      <c r="I198" s="38" t="n"/>
      <c r="J198" s="49">
        <f>IF(B198="","",IFERROR(INDEX('SETTINGS'!$M$5:$M$24,MATCH(B198,'SETTINGS'!$L$5:$L$24,0)),"Yes"))</f>
        <v/>
      </c>
      <c r="K198" s="51">
        <f>IF(A198="","",DATE(YEAR(A198),MONTH(A198),1))</f>
        <v/>
      </c>
    </row>
    <row r="199">
      <c r="A199" s="47" t="n"/>
      <c r="B199" s="38" t="n"/>
      <c r="C199" s="38" t="n"/>
      <c r="D199" s="38" t="n"/>
      <c r="E199" s="48" t="n"/>
      <c r="F199" s="38" t="n"/>
      <c r="G199" s="38" t="n"/>
      <c r="H199" s="38" t="n"/>
      <c r="I199" s="38" t="n"/>
      <c r="J199" s="49">
        <f>IF(B199="","",IFERROR(INDEX('SETTINGS'!$M$5:$M$24,MATCH(B199,'SETTINGS'!$L$5:$L$24,0)),"Yes"))</f>
        <v/>
      </c>
      <c r="K199" s="51">
        <f>IF(A199="","",DATE(YEAR(A199),MONTH(A199),1))</f>
        <v/>
      </c>
    </row>
    <row r="200">
      <c r="A200" s="47" t="n"/>
      <c r="B200" s="38" t="n"/>
      <c r="C200" s="38" t="n"/>
      <c r="D200" s="38" t="n"/>
      <c r="E200" s="48" t="n"/>
      <c r="F200" s="38" t="n"/>
      <c r="G200" s="38" t="n"/>
      <c r="H200" s="38" t="n"/>
      <c r="I200" s="38" t="n"/>
      <c r="J200" s="49">
        <f>IF(B200="","",IFERROR(INDEX('SETTINGS'!$M$5:$M$24,MATCH(B200,'SETTINGS'!$L$5:$L$24,0)),"Yes"))</f>
        <v/>
      </c>
      <c r="K200" s="51">
        <f>IF(A200="","",DATE(YEAR(A200),MONTH(A200),1))</f>
        <v/>
      </c>
    </row>
    <row r="201">
      <c r="A201" s="47" t="n"/>
      <c r="B201" s="38" t="n"/>
      <c r="C201" s="38" t="n"/>
      <c r="D201" s="38" t="n"/>
      <c r="E201" s="48" t="n"/>
      <c r="F201" s="38" t="n"/>
      <c r="G201" s="38" t="n"/>
      <c r="H201" s="38" t="n"/>
      <c r="I201" s="38" t="n"/>
      <c r="J201" s="49">
        <f>IF(B201="","",IFERROR(INDEX('SETTINGS'!$M$5:$M$24,MATCH(B201,'SETTINGS'!$L$5:$L$24,0)),"Yes"))</f>
        <v/>
      </c>
      <c r="K201" s="51">
        <f>IF(A201="","",DATE(YEAR(A201),MONTH(A201),1))</f>
        <v/>
      </c>
    </row>
    <row r="202">
      <c r="A202" s="47" t="n"/>
      <c r="B202" s="38" t="n"/>
      <c r="C202" s="38" t="n"/>
      <c r="D202" s="38" t="n"/>
      <c r="E202" s="48" t="n"/>
      <c r="F202" s="38" t="n"/>
      <c r="G202" s="38" t="n"/>
      <c r="H202" s="38" t="n"/>
      <c r="I202" s="38" t="n"/>
      <c r="J202" s="49">
        <f>IF(B202="","",IFERROR(INDEX('SETTINGS'!$M$5:$M$24,MATCH(B202,'SETTINGS'!$L$5:$L$24,0)),"Yes"))</f>
        <v/>
      </c>
      <c r="K202" s="51">
        <f>IF(A202="","",DATE(YEAR(A202),MONTH(A202),1))</f>
        <v/>
      </c>
    </row>
    <row r="203">
      <c r="A203" s="47" t="n"/>
      <c r="B203" s="38" t="n"/>
      <c r="C203" s="38" t="n"/>
      <c r="D203" s="38" t="n"/>
      <c r="E203" s="48" t="n"/>
      <c r="F203" s="38" t="n"/>
      <c r="G203" s="38" t="n"/>
      <c r="H203" s="38" t="n"/>
      <c r="I203" s="38" t="n"/>
      <c r="J203" s="49">
        <f>IF(B203="","",IFERROR(INDEX('SETTINGS'!$M$5:$M$24,MATCH(B203,'SETTINGS'!$L$5:$L$24,0)),"Yes"))</f>
        <v/>
      </c>
      <c r="K203" s="51">
        <f>IF(A203="","",DATE(YEAR(A203),MONTH(A203),1))</f>
        <v/>
      </c>
    </row>
    <row r="204">
      <c r="A204" s="47" t="n"/>
      <c r="B204" s="38" t="n"/>
      <c r="C204" s="38" t="n"/>
      <c r="D204" s="38" t="n"/>
      <c r="E204" s="48" t="n"/>
      <c r="F204" s="38" t="n"/>
      <c r="G204" s="38" t="n"/>
      <c r="H204" s="38" t="n"/>
      <c r="I204" s="38" t="n"/>
      <c r="J204" s="49">
        <f>IF(B204="","",IFERROR(INDEX('SETTINGS'!$M$5:$M$24,MATCH(B204,'SETTINGS'!$L$5:$L$24,0)),"Yes"))</f>
        <v/>
      </c>
      <c r="K204" s="51">
        <f>IF(A204="","",DATE(YEAR(A204),MONTH(A204),1))</f>
        <v/>
      </c>
    </row>
    <row r="205">
      <c r="A205" s="47" t="n"/>
      <c r="B205" s="38" t="n"/>
      <c r="C205" s="38" t="n"/>
      <c r="D205" s="38" t="n"/>
      <c r="E205" s="48" t="n"/>
      <c r="F205" s="38" t="n"/>
      <c r="G205" s="38" t="n"/>
      <c r="H205" s="38" t="n"/>
      <c r="I205" s="38" t="n"/>
      <c r="J205" s="49">
        <f>IF(B205="","",IFERROR(INDEX('SETTINGS'!$M$5:$M$24,MATCH(B205,'SETTINGS'!$L$5:$L$24,0)),"Yes"))</f>
        <v/>
      </c>
      <c r="K205" s="51">
        <f>IF(A205="","",DATE(YEAR(A205),MONTH(A205),1))</f>
        <v/>
      </c>
    </row>
    <row r="206">
      <c r="A206" s="47" t="n"/>
      <c r="B206" s="38" t="n"/>
      <c r="C206" s="38" t="n"/>
      <c r="D206" s="38" t="n"/>
      <c r="E206" s="48" t="n"/>
      <c r="F206" s="38" t="n"/>
      <c r="G206" s="38" t="n"/>
      <c r="H206" s="38" t="n"/>
      <c r="I206" s="38" t="n"/>
      <c r="J206" s="49">
        <f>IF(B206="","",IFERROR(INDEX('SETTINGS'!$M$5:$M$24,MATCH(B206,'SETTINGS'!$L$5:$L$24,0)),"Yes"))</f>
        <v/>
      </c>
      <c r="K206" s="51">
        <f>IF(A206="","",DATE(YEAR(A206),MONTH(A206),1))</f>
        <v/>
      </c>
    </row>
    <row r="207">
      <c r="A207" s="47" t="n"/>
      <c r="B207" s="38" t="n"/>
      <c r="C207" s="38" t="n"/>
      <c r="D207" s="38" t="n"/>
      <c r="E207" s="48" t="n"/>
      <c r="F207" s="38" t="n"/>
      <c r="G207" s="38" t="n"/>
      <c r="H207" s="38" t="n"/>
      <c r="I207" s="38" t="n"/>
      <c r="J207" s="49">
        <f>IF(B207="","",IFERROR(INDEX('SETTINGS'!$M$5:$M$24,MATCH(B207,'SETTINGS'!$L$5:$L$24,0)),"Yes"))</f>
        <v/>
      </c>
      <c r="K207" s="51">
        <f>IF(A207="","",DATE(YEAR(A207),MONTH(A207),1))</f>
        <v/>
      </c>
    </row>
    <row r="208">
      <c r="A208" s="47" t="n"/>
      <c r="B208" s="38" t="n"/>
      <c r="C208" s="38" t="n"/>
      <c r="D208" s="38" t="n"/>
      <c r="E208" s="48" t="n"/>
      <c r="F208" s="38" t="n"/>
      <c r="G208" s="38" t="n"/>
      <c r="H208" s="38" t="n"/>
      <c r="I208" s="38" t="n"/>
      <c r="J208" s="49">
        <f>IF(B208="","",IFERROR(INDEX('SETTINGS'!$M$5:$M$24,MATCH(B208,'SETTINGS'!$L$5:$L$24,0)),"Yes"))</f>
        <v/>
      </c>
      <c r="K208" s="51">
        <f>IF(A208="","",DATE(YEAR(A208),MONTH(A208),1))</f>
        <v/>
      </c>
    </row>
    <row r="209">
      <c r="A209" s="47" t="n"/>
      <c r="B209" s="38" t="n"/>
      <c r="C209" s="38" t="n"/>
      <c r="D209" s="38" t="n"/>
      <c r="E209" s="48" t="n"/>
      <c r="F209" s="38" t="n"/>
      <c r="G209" s="38" t="n"/>
      <c r="H209" s="38" t="n"/>
      <c r="I209" s="38" t="n"/>
      <c r="J209" s="49">
        <f>IF(B209="","",IFERROR(INDEX('SETTINGS'!$M$5:$M$24,MATCH(B209,'SETTINGS'!$L$5:$L$24,0)),"Yes"))</f>
        <v/>
      </c>
      <c r="K209" s="51">
        <f>IF(A209="","",DATE(YEAR(A209),MONTH(A209),1))</f>
        <v/>
      </c>
    </row>
    <row r="210">
      <c r="A210" s="47" t="n"/>
      <c r="B210" s="38" t="n"/>
      <c r="C210" s="38" t="n"/>
      <c r="D210" s="38" t="n"/>
      <c r="E210" s="48" t="n"/>
      <c r="F210" s="38" t="n"/>
      <c r="G210" s="38" t="n"/>
      <c r="H210" s="38" t="n"/>
      <c r="I210" s="38" t="n"/>
      <c r="J210" s="49">
        <f>IF(B210="","",IFERROR(INDEX('SETTINGS'!$M$5:$M$24,MATCH(B210,'SETTINGS'!$L$5:$L$24,0)),"Yes"))</f>
        <v/>
      </c>
      <c r="K210" s="51">
        <f>IF(A210="","",DATE(YEAR(A210),MONTH(A210),1))</f>
        <v/>
      </c>
    </row>
    <row r="211">
      <c r="A211" s="47" t="n"/>
      <c r="B211" s="38" t="n"/>
      <c r="C211" s="38" t="n"/>
      <c r="D211" s="38" t="n"/>
      <c r="E211" s="48" t="n"/>
      <c r="F211" s="38" t="n"/>
      <c r="G211" s="38" t="n"/>
      <c r="H211" s="38" t="n"/>
      <c r="I211" s="38" t="n"/>
      <c r="J211" s="49">
        <f>IF(B211="","",IFERROR(INDEX('SETTINGS'!$M$5:$M$24,MATCH(B211,'SETTINGS'!$L$5:$L$24,0)),"Yes"))</f>
        <v/>
      </c>
      <c r="K211" s="51">
        <f>IF(A211="","",DATE(YEAR(A211),MONTH(A211),1))</f>
        <v/>
      </c>
    </row>
    <row r="212">
      <c r="A212" s="47" t="n"/>
      <c r="B212" s="38" t="n"/>
      <c r="C212" s="38" t="n"/>
      <c r="D212" s="38" t="n"/>
      <c r="E212" s="48" t="n"/>
      <c r="F212" s="38" t="n"/>
      <c r="G212" s="38" t="n"/>
      <c r="H212" s="38" t="n"/>
      <c r="I212" s="38" t="n"/>
      <c r="J212" s="49">
        <f>IF(B212="","",IFERROR(INDEX('SETTINGS'!$M$5:$M$24,MATCH(B212,'SETTINGS'!$L$5:$L$24,0)),"Yes"))</f>
        <v/>
      </c>
      <c r="K212" s="51">
        <f>IF(A212="","",DATE(YEAR(A212),MONTH(A212),1))</f>
        <v/>
      </c>
    </row>
    <row r="213">
      <c r="A213" s="47" t="n"/>
      <c r="B213" s="38" t="n"/>
      <c r="C213" s="38" t="n"/>
      <c r="D213" s="38" t="n"/>
      <c r="E213" s="48" t="n"/>
      <c r="F213" s="38" t="n"/>
      <c r="G213" s="38" t="n"/>
      <c r="H213" s="38" t="n"/>
      <c r="I213" s="38" t="n"/>
      <c r="J213" s="49">
        <f>IF(B213="","",IFERROR(INDEX('SETTINGS'!$M$5:$M$24,MATCH(B213,'SETTINGS'!$L$5:$L$24,0)),"Yes"))</f>
        <v/>
      </c>
      <c r="K213" s="51">
        <f>IF(A213="","",DATE(YEAR(A213),MONTH(A213),1))</f>
        <v/>
      </c>
    </row>
    <row r="214">
      <c r="A214" s="47" t="n"/>
      <c r="B214" s="38" t="n"/>
      <c r="C214" s="38" t="n"/>
      <c r="D214" s="38" t="n"/>
      <c r="E214" s="48" t="n"/>
      <c r="F214" s="38" t="n"/>
      <c r="G214" s="38" t="n"/>
      <c r="H214" s="38" t="n"/>
      <c r="I214" s="38" t="n"/>
      <c r="J214" s="49">
        <f>IF(B214="","",IFERROR(INDEX('SETTINGS'!$M$5:$M$24,MATCH(B214,'SETTINGS'!$L$5:$L$24,0)),"Yes"))</f>
        <v/>
      </c>
      <c r="K214" s="51">
        <f>IF(A214="","",DATE(YEAR(A214),MONTH(A214),1))</f>
        <v/>
      </c>
    </row>
    <row r="215">
      <c r="A215" s="47" t="n"/>
      <c r="B215" s="38" t="n"/>
      <c r="C215" s="38" t="n"/>
      <c r="D215" s="38" t="n"/>
      <c r="E215" s="48" t="n"/>
      <c r="F215" s="38" t="n"/>
      <c r="G215" s="38" t="n"/>
      <c r="H215" s="38" t="n"/>
      <c r="I215" s="38" t="n"/>
      <c r="J215" s="49">
        <f>IF(B215="","",IFERROR(INDEX('SETTINGS'!$M$5:$M$24,MATCH(B215,'SETTINGS'!$L$5:$L$24,0)),"Yes"))</f>
        <v/>
      </c>
      <c r="K215" s="51">
        <f>IF(A215="","",DATE(YEAR(A215),MONTH(A215),1))</f>
        <v/>
      </c>
    </row>
    <row r="216">
      <c r="A216" s="47" t="n"/>
      <c r="B216" s="38" t="n"/>
      <c r="C216" s="38" t="n"/>
      <c r="D216" s="38" t="n"/>
      <c r="E216" s="48" t="n"/>
      <c r="F216" s="38" t="n"/>
      <c r="G216" s="38" t="n"/>
      <c r="H216" s="38" t="n"/>
      <c r="I216" s="38" t="n"/>
      <c r="J216" s="49">
        <f>IF(B216="","",IFERROR(INDEX('SETTINGS'!$M$5:$M$24,MATCH(B216,'SETTINGS'!$L$5:$L$24,0)),"Yes"))</f>
        <v/>
      </c>
      <c r="K216" s="51">
        <f>IF(A216="","",DATE(YEAR(A216),MONTH(A216),1))</f>
        <v/>
      </c>
    </row>
    <row r="217">
      <c r="A217" s="47" t="n"/>
      <c r="B217" s="38" t="n"/>
      <c r="C217" s="38" t="n"/>
      <c r="D217" s="38" t="n"/>
      <c r="E217" s="48" t="n"/>
      <c r="F217" s="38" t="n"/>
      <c r="G217" s="38" t="n"/>
      <c r="H217" s="38" t="n"/>
      <c r="I217" s="38" t="n"/>
      <c r="J217" s="49">
        <f>IF(B217="","",IFERROR(INDEX('SETTINGS'!$M$5:$M$24,MATCH(B217,'SETTINGS'!$L$5:$L$24,0)),"Yes"))</f>
        <v/>
      </c>
      <c r="K217" s="51">
        <f>IF(A217="","",DATE(YEAR(A217),MONTH(A217),1))</f>
        <v/>
      </c>
    </row>
    <row r="218">
      <c r="A218" s="47" t="n"/>
      <c r="B218" s="38" t="n"/>
      <c r="C218" s="38" t="n"/>
      <c r="D218" s="38" t="n"/>
      <c r="E218" s="48" t="n"/>
      <c r="F218" s="38" t="n"/>
      <c r="G218" s="38" t="n"/>
      <c r="H218" s="38" t="n"/>
      <c r="I218" s="38" t="n"/>
      <c r="J218" s="49">
        <f>IF(B218="","",IFERROR(INDEX('SETTINGS'!$M$5:$M$24,MATCH(B218,'SETTINGS'!$L$5:$L$24,0)),"Yes"))</f>
        <v/>
      </c>
      <c r="K218" s="51">
        <f>IF(A218="","",DATE(YEAR(A218),MONTH(A218),1))</f>
        <v/>
      </c>
    </row>
    <row r="219">
      <c r="A219" s="47" t="n"/>
      <c r="B219" s="38" t="n"/>
      <c r="C219" s="38" t="n"/>
      <c r="D219" s="38" t="n"/>
      <c r="E219" s="48" t="n"/>
      <c r="F219" s="38" t="n"/>
      <c r="G219" s="38" t="n"/>
      <c r="H219" s="38" t="n"/>
      <c r="I219" s="38" t="n"/>
      <c r="J219" s="49">
        <f>IF(B219="","",IFERROR(INDEX('SETTINGS'!$M$5:$M$24,MATCH(B219,'SETTINGS'!$L$5:$L$24,0)),"Yes"))</f>
        <v/>
      </c>
      <c r="K219" s="51">
        <f>IF(A219="","",DATE(YEAR(A219),MONTH(A219),1))</f>
        <v/>
      </c>
    </row>
    <row r="220">
      <c r="A220" s="47" t="n"/>
      <c r="B220" s="38" t="n"/>
      <c r="C220" s="38" t="n"/>
      <c r="D220" s="38" t="n"/>
      <c r="E220" s="48" t="n"/>
      <c r="F220" s="38" t="n"/>
      <c r="G220" s="38" t="n"/>
      <c r="H220" s="38" t="n"/>
      <c r="I220" s="38" t="n"/>
      <c r="J220" s="49">
        <f>IF(B220="","",IFERROR(INDEX('SETTINGS'!$M$5:$M$24,MATCH(B220,'SETTINGS'!$L$5:$L$24,0)),"Yes"))</f>
        <v/>
      </c>
      <c r="K220" s="51">
        <f>IF(A220="","",DATE(YEAR(A220),MONTH(A220),1))</f>
        <v/>
      </c>
    </row>
    <row r="221">
      <c r="A221" s="47" t="n"/>
      <c r="B221" s="38" t="n"/>
      <c r="C221" s="38" t="n"/>
      <c r="D221" s="38" t="n"/>
      <c r="E221" s="48" t="n"/>
      <c r="F221" s="38" t="n"/>
      <c r="G221" s="38" t="n"/>
      <c r="H221" s="38" t="n"/>
      <c r="I221" s="38" t="n"/>
      <c r="J221" s="49">
        <f>IF(B221="","",IFERROR(INDEX('SETTINGS'!$M$5:$M$24,MATCH(B221,'SETTINGS'!$L$5:$L$24,0)),"Yes"))</f>
        <v/>
      </c>
      <c r="K221" s="51">
        <f>IF(A221="","",DATE(YEAR(A221),MONTH(A221),1))</f>
        <v/>
      </c>
    </row>
    <row r="222">
      <c r="A222" s="47" t="n"/>
      <c r="B222" s="38" t="n"/>
      <c r="C222" s="38" t="n"/>
      <c r="D222" s="38" t="n"/>
      <c r="E222" s="48" t="n"/>
      <c r="F222" s="38" t="n"/>
      <c r="G222" s="38" t="n"/>
      <c r="H222" s="38" t="n"/>
      <c r="I222" s="38" t="n"/>
      <c r="J222" s="49">
        <f>IF(B222="","",IFERROR(INDEX('SETTINGS'!$M$5:$M$24,MATCH(B222,'SETTINGS'!$L$5:$L$24,0)),"Yes"))</f>
        <v/>
      </c>
      <c r="K222" s="51">
        <f>IF(A222="","",DATE(YEAR(A222),MONTH(A222),1))</f>
        <v/>
      </c>
    </row>
    <row r="223">
      <c r="A223" s="47" t="n"/>
      <c r="B223" s="38" t="n"/>
      <c r="C223" s="38" t="n"/>
      <c r="D223" s="38" t="n"/>
      <c r="E223" s="48" t="n"/>
      <c r="F223" s="38" t="n"/>
      <c r="G223" s="38" t="n"/>
      <c r="H223" s="38" t="n"/>
      <c r="I223" s="38" t="n"/>
      <c r="J223" s="49">
        <f>IF(B223="","",IFERROR(INDEX('SETTINGS'!$M$5:$M$24,MATCH(B223,'SETTINGS'!$L$5:$L$24,0)),"Yes"))</f>
        <v/>
      </c>
      <c r="K223" s="51">
        <f>IF(A223="","",DATE(YEAR(A223),MONTH(A223),1))</f>
        <v/>
      </c>
    </row>
    <row r="224">
      <c r="A224" s="47" t="n"/>
      <c r="B224" s="38" t="n"/>
      <c r="C224" s="38" t="n"/>
      <c r="D224" s="38" t="n"/>
      <c r="E224" s="48" t="n"/>
      <c r="F224" s="38" t="n"/>
      <c r="G224" s="38" t="n"/>
      <c r="H224" s="38" t="n"/>
      <c r="I224" s="38" t="n"/>
      <c r="J224" s="49">
        <f>IF(B224="","",IFERROR(INDEX('SETTINGS'!$M$5:$M$24,MATCH(B224,'SETTINGS'!$L$5:$L$24,0)),"Yes"))</f>
        <v/>
      </c>
      <c r="K224" s="51">
        <f>IF(A224="","",DATE(YEAR(A224),MONTH(A224),1))</f>
        <v/>
      </c>
    </row>
    <row r="225">
      <c r="A225" s="47" t="n"/>
      <c r="B225" s="38" t="n"/>
      <c r="C225" s="38" t="n"/>
      <c r="D225" s="38" t="n"/>
      <c r="E225" s="48" t="n"/>
      <c r="F225" s="38" t="n"/>
      <c r="G225" s="38" t="n"/>
      <c r="H225" s="38" t="n"/>
      <c r="I225" s="38" t="n"/>
      <c r="J225" s="49">
        <f>IF(B225="","",IFERROR(INDEX('SETTINGS'!$M$5:$M$24,MATCH(B225,'SETTINGS'!$L$5:$L$24,0)),"Yes"))</f>
        <v/>
      </c>
      <c r="K225" s="51">
        <f>IF(A225="","",DATE(YEAR(A225),MONTH(A225),1))</f>
        <v/>
      </c>
    </row>
    <row r="226">
      <c r="A226" s="47" t="n"/>
      <c r="B226" s="38" t="n"/>
      <c r="C226" s="38" t="n"/>
      <c r="D226" s="38" t="n"/>
      <c r="E226" s="48" t="n"/>
      <c r="F226" s="38" t="n"/>
      <c r="G226" s="38" t="n"/>
      <c r="H226" s="38" t="n"/>
      <c r="I226" s="38" t="n"/>
      <c r="J226" s="49">
        <f>IF(B226="","",IFERROR(INDEX('SETTINGS'!$M$5:$M$24,MATCH(B226,'SETTINGS'!$L$5:$L$24,0)),"Yes"))</f>
        <v/>
      </c>
      <c r="K226" s="51">
        <f>IF(A226="","",DATE(YEAR(A226),MONTH(A226),1))</f>
        <v/>
      </c>
    </row>
    <row r="227">
      <c r="A227" s="47" t="n"/>
      <c r="B227" s="38" t="n"/>
      <c r="C227" s="38" t="n"/>
      <c r="D227" s="38" t="n"/>
      <c r="E227" s="48" t="n"/>
      <c r="F227" s="38" t="n"/>
      <c r="G227" s="38" t="n"/>
      <c r="H227" s="38" t="n"/>
      <c r="I227" s="38" t="n"/>
      <c r="J227" s="49">
        <f>IF(B227="","",IFERROR(INDEX('SETTINGS'!$M$5:$M$24,MATCH(B227,'SETTINGS'!$L$5:$L$24,0)),"Yes"))</f>
        <v/>
      </c>
      <c r="K227" s="51">
        <f>IF(A227="","",DATE(YEAR(A227),MONTH(A227),1))</f>
        <v/>
      </c>
    </row>
    <row r="228">
      <c r="A228" s="47" t="n"/>
      <c r="B228" s="38" t="n"/>
      <c r="C228" s="38" t="n"/>
      <c r="D228" s="38" t="n"/>
      <c r="E228" s="48" t="n"/>
      <c r="F228" s="38" t="n"/>
      <c r="G228" s="38" t="n"/>
      <c r="H228" s="38" t="n"/>
      <c r="I228" s="38" t="n"/>
      <c r="J228" s="49">
        <f>IF(B228="","",IFERROR(INDEX('SETTINGS'!$M$5:$M$24,MATCH(B228,'SETTINGS'!$L$5:$L$24,0)),"Yes"))</f>
        <v/>
      </c>
      <c r="K228" s="51">
        <f>IF(A228="","",DATE(YEAR(A228),MONTH(A228),1))</f>
        <v/>
      </c>
    </row>
    <row r="229">
      <c r="A229" s="47" t="n"/>
      <c r="B229" s="38" t="n"/>
      <c r="C229" s="38" t="n"/>
      <c r="D229" s="38" t="n"/>
      <c r="E229" s="48" t="n"/>
      <c r="F229" s="38" t="n"/>
      <c r="G229" s="38" t="n"/>
      <c r="H229" s="38" t="n"/>
      <c r="I229" s="38" t="n"/>
      <c r="J229" s="49">
        <f>IF(B229="","",IFERROR(INDEX('SETTINGS'!$M$5:$M$24,MATCH(B229,'SETTINGS'!$L$5:$L$24,0)),"Yes"))</f>
        <v/>
      </c>
      <c r="K229" s="51">
        <f>IF(A229="","",DATE(YEAR(A229),MONTH(A229),1))</f>
        <v/>
      </c>
    </row>
    <row r="230">
      <c r="A230" s="47" t="n"/>
      <c r="B230" s="38" t="n"/>
      <c r="C230" s="38" t="n"/>
      <c r="D230" s="38" t="n"/>
      <c r="E230" s="48" t="n"/>
      <c r="F230" s="38" t="n"/>
      <c r="G230" s="38" t="n"/>
      <c r="H230" s="38" t="n"/>
      <c r="I230" s="38" t="n"/>
      <c r="J230" s="49">
        <f>IF(B230="","",IFERROR(INDEX('SETTINGS'!$M$5:$M$24,MATCH(B230,'SETTINGS'!$L$5:$L$24,0)),"Yes"))</f>
        <v/>
      </c>
      <c r="K230" s="51">
        <f>IF(A230="","",DATE(YEAR(A230),MONTH(A230),1))</f>
        <v/>
      </c>
    </row>
    <row r="231">
      <c r="A231" s="47" t="n"/>
      <c r="B231" s="38" t="n"/>
      <c r="C231" s="38" t="n"/>
      <c r="D231" s="38" t="n"/>
      <c r="E231" s="48" t="n"/>
      <c r="F231" s="38" t="n"/>
      <c r="G231" s="38" t="n"/>
      <c r="H231" s="38" t="n"/>
      <c r="I231" s="38" t="n"/>
      <c r="J231" s="49">
        <f>IF(B231="","",IFERROR(INDEX('SETTINGS'!$M$5:$M$24,MATCH(B231,'SETTINGS'!$L$5:$L$24,0)),"Yes"))</f>
        <v/>
      </c>
      <c r="K231" s="51">
        <f>IF(A231="","",DATE(YEAR(A231),MONTH(A231),1))</f>
        <v/>
      </c>
    </row>
    <row r="232">
      <c r="A232" s="47" t="n"/>
      <c r="B232" s="38" t="n"/>
      <c r="C232" s="38" t="n"/>
      <c r="D232" s="38" t="n"/>
      <c r="E232" s="48" t="n"/>
      <c r="F232" s="38" t="n"/>
      <c r="G232" s="38" t="n"/>
      <c r="H232" s="38" t="n"/>
      <c r="I232" s="38" t="n"/>
      <c r="J232" s="49">
        <f>IF(B232="","",IFERROR(INDEX('SETTINGS'!$M$5:$M$24,MATCH(B232,'SETTINGS'!$L$5:$L$24,0)),"Yes"))</f>
        <v/>
      </c>
      <c r="K232" s="51">
        <f>IF(A232="","",DATE(YEAR(A232),MONTH(A232),1))</f>
        <v/>
      </c>
    </row>
    <row r="233">
      <c r="A233" s="47" t="n"/>
      <c r="B233" s="38" t="n"/>
      <c r="C233" s="38" t="n"/>
      <c r="D233" s="38" t="n"/>
      <c r="E233" s="48" t="n"/>
      <c r="F233" s="38" t="n"/>
      <c r="G233" s="38" t="n"/>
      <c r="H233" s="38" t="n"/>
      <c r="I233" s="38" t="n"/>
      <c r="J233" s="49">
        <f>IF(B233="","",IFERROR(INDEX('SETTINGS'!$M$5:$M$24,MATCH(B233,'SETTINGS'!$L$5:$L$24,0)),"Yes"))</f>
        <v/>
      </c>
      <c r="K233" s="51">
        <f>IF(A233="","",DATE(YEAR(A233),MONTH(A233),1))</f>
        <v/>
      </c>
    </row>
    <row r="234">
      <c r="A234" s="47" t="n"/>
      <c r="B234" s="38" t="n"/>
      <c r="C234" s="38" t="n"/>
      <c r="D234" s="38" t="n"/>
      <c r="E234" s="48" t="n"/>
      <c r="F234" s="38" t="n"/>
      <c r="G234" s="38" t="n"/>
      <c r="H234" s="38" t="n"/>
      <c r="I234" s="38" t="n"/>
      <c r="J234" s="49">
        <f>IF(B234="","",IFERROR(INDEX('SETTINGS'!$M$5:$M$24,MATCH(B234,'SETTINGS'!$L$5:$L$24,0)),"Yes"))</f>
        <v/>
      </c>
      <c r="K234" s="51">
        <f>IF(A234="","",DATE(YEAR(A234),MONTH(A234),1))</f>
        <v/>
      </c>
    </row>
    <row r="235">
      <c r="A235" s="47" t="n"/>
      <c r="B235" s="38" t="n"/>
      <c r="C235" s="38" t="n"/>
      <c r="D235" s="38" t="n"/>
      <c r="E235" s="48" t="n"/>
      <c r="F235" s="38" t="n"/>
      <c r="G235" s="38" t="n"/>
      <c r="H235" s="38" t="n"/>
      <c r="I235" s="38" t="n"/>
      <c r="J235" s="49">
        <f>IF(B235="","",IFERROR(INDEX('SETTINGS'!$M$5:$M$24,MATCH(B235,'SETTINGS'!$L$5:$L$24,0)),"Yes"))</f>
        <v/>
      </c>
      <c r="K235" s="51">
        <f>IF(A235="","",DATE(YEAR(A235),MONTH(A235),1))</f>
        <v/>
      </c>
    </row>
    <row r="236">
      <c r="A236" s="47" t="n"/>
      <c r="B236" s="38" t="n"/>
      <c r="C236" s="38" t="n"/>
      <c r="D236" s="38" t="n"/>
      <c r="E236" s="48" t="n"/>
      <c r="F236" s="38" t="n"/>
      <c r="G236" s="38" t="n"/>
      <c r="H236" s="38" t="n"/>
      <c r="I236" s="38" t="n"/>
      <c r="J236" s="49">
        <f>IF(B236="","",IFERROR(INDEX('SETTINGS'!$M$5:$M$24,MATCH(B236,'SETTINGS'!$L$5:$L$24,0)),"Yes"))</f>
        <v/>
      </c>
      <c r="K236" s="51">
        <f>IF(A236="","",DATE(YEAR(A236),MONTH(A236),1))</f>
        <v/>
      </c>
    </row>
    <row r="237">
      <c r="A237" s="47" t="n"/>
      <c r="B237" s="38" t="n"/>
      <c r="C237" s="38" t="n"/>
      <c r="D237" s="38" t="n"/>
      <c r="E237" s="48" t="n"/>
      <c r="F237" s="38" t="n"/>
      <c r="G237" s="38" t="n"/>
      <c r="H237" s="38" t="n"/>
      <c r="I237" s="38" t="n"/>
      <c r="J237" s="49">
        <f>IF(B237="","",IFERROR(INDEX('SETTINGS'!$M$5:$M$24,MATCH(B237,'SETTINGS'!$L$5:$L$24,0)),"Yes"))</f>
        <v/>
      </c>
      <c r="K237" s="51">
        <f>IF(A237="","",DATE(YEAR(A237),MONTH(A237),1))</f>
        <v/>
      </c>
    </row>
    <row r="238">
      <c r="A238" s="47" t="n"/>
      <c r="B238" s="38" t="n"/>
      <c r="C238" s="38" t="n"/>
      <c r="D238" s="38" t="n"/>
      <c r="E238" s="48" t="n"/>
      <c r="F238" s="38" t="n"/>
      <c r="G238" s="38" t="n"/>
      <c r="H238" s="38" t="n"/>
      <c r="I238" s="38" t="n"/>
      <c r="J238" s="49">
        <f>IF(B238="","",IFERROR(INDEX('SETTINGS'!$M$5:$M$24,MATCH(B238,'SETTINGS'!$L$5:$L$24,0)),"Yes"))</f>
        <v/>
      </c>
      <c r="K238" s="51">
        <f>IF(A238="","",DATE(YEAR(A238),MONTH(A238),1))</f>
        <v/>
      </c>
    </row>
    <row r="239">
      <c r="A239" s="47" t="n"/>
      <c r="B239" s="38" t="n"/>
      <c r="C239" s="38" t="n"/>
      <c r="D239" s="38" t="n"/>
      <c r="E239" s="48" t="n"/>
      <c r="F239" s="38" t="n"/>
      <c r="G239" s="38" t="n"/>
      <c r="H239" s="38" t="n"/>
      <c r="I239" s="38" t="n"/>
      <c r="J239" s="49">
        <f>IF(B239="","",IFERROR(INDEX('SETTINGS'!$M$5:$M$24,MATCH(B239,'SETTINGS'!$L$5:$L$24,0)),"Yes"))</f>
        <v/>
      </c>
      <c r="K239" s="51">
        <f>IF(A239="","",DATE(YEAR(A239),MONTH(A239),1))</f>
        <v/>
      </c>
    </row>
    <row r="240">
      <c r="A240" s="47" t="n"/>
      <c r="B240" s="38" t="n"/>
      <c r="C240" s="38" t="n"/>
      <c r="D240" s="38" t="n"/>
      <c r="E240" s="48" t="n"/>
      <c r="F240" s="38" t="n"/>
      <c r="G240" s="38" t="n"/>
      <c r="H240" s="38" t="n"/>
      <c r="I240" s="38" t="n"/>
      <c r="J240" s="49">
        <f>IF(B240="","",IFERROR(INDEX('SETTINGS'!$M$5:$M$24,MATCH(B240,'SETTINGS'!$L$5:$L$24,0)),"Yes"))</f>
        <v/>
      </c>
      <c r="K240" s="51">
        <f>IF(A240="","",DATE(YEAR(A240),MONTH(A240),1))</f>
        <v/>
      </c>
    </row>
    <row r="241">
      <c r="A241" s="47" t="n"/>
      <c r="B241" s="38" t="n"/>
      <c r="C241" s="38" t="n"/>
      <c r="D241" s="38" t="n"/>
      <c r="E241" s="48" t="n"/>
      <c r="F241" s="38" t="n"/>
      <c r="G241" s="38" t="n"/>
      <c r="H241" s="38" t="n"/>
      <c r="I241" s="38" t="n"/>
      <c r="J241" s="49">
        <f>IF(B241="","",IFERROR(INDEX('SETTINGS'!$M$5:$M$24,MATCH(B241,'SETTINGS'!$L$5:$L$24,0)),"Yes"))</f>
        <v/>
      </c>
      <c r="K241" s="51">
        <f>IF(A241="","",DATE(YEAR(A241),MONTH(A241),1))</f>
        <v/>
      </c>
    </row>
    <row r="242">
      <c r="A242" s="47" t="n"/>
      <c r="B242" s="38" t="n"/>
      <c r="C242" s="38" t="n"/>
      <c r="D242" s="38" t="n"/>
      <c r="E242" s="48" t="n"/>
      <c r="F242" s="38" t="n"/>
      <c r="G242" s="38" t="n"/>
      <c r="H242" s="38" t="n"/>
      <c r="I242" s="38" t="n"/>
      <c r="J242" s="49">
        <f>IF(B242="","",IFERROR(INDEX('SETTINGS'!$M$5:$M$24,MATCH(B242,'SETTINGS'!$L$5:$L$24,0)),"Yes"))</f>
        <v/>
      </c>
      <c r="K242" s="51">
        <f>IF(A242="","",DATE(YEAR(A242),MONTH(A242),1))</f>
        <v/>
      </c>
    </row>
    <row r="243">
      <c r="A243" s="47" t="n"/>
      <c r="B243" s="38" t="n"/>
      <c r="C243" s="38" t="n"/>
      <c r="D243" s="38" t="n"/>
      <c r="E243" s="48" t="n"/>
      <c r="F243" s="38" t="n"/>
      <c r="G243" s="38" t="n"/>
      <c r="H243" s="38" t="n"/>
      <c r="I243" s="38" t="n"/>
      <c r="J243" s="49">
        <f>IF(B243="","",IFERROR(INDEX('SETTINGS'!$M$5:$M$24,MATCH(B243,'SETTINGS'!$L$5:$L$24,0)),"Yes"))</f>
        <v/>
      </c>
      <c r="K243" s="51">
        <f>IF(A243="","",DATE(YEAR(A243),MONTH(A243),1))</f>
        <v/>
      </c>
    </row>
    <row r="244">
      <c r="A244" s="47" t="n"/>
      <c r="B244" s="38" t="n"/>
      <c r="C244" s="38" t="n"/>
      <c r="D244" s="38" t="n"/>
      <c r="E244" s="48" t="n"/>
      <c r="F244" s="38" t="n"/>
      <c r="G244" s="38" t="n"/>
      <c r="H244" s="38" t="n"/>
      <c r="I244" s="38" t="n"/>
      <c r="J244" s="49">
        <f>IF(B244="","",IFERROR(INDEX('SETTINGS'!$M$5:$M$24,MATCH(B244,'SETTINGS'!$L$5:$L$24,0)),"Yes"))</f>
        <v/>
      </c>
      <c r="K244" s="51">
        <f>IF(A244="","",DATE(YEAR(A244),MONTH(A244),1))</f>
        <v/>
      </c>
    </row>
    <row r="245">
      <c r="A245" s="47" t="n"/>
      <c r="B245" s="38" t="n"/>
      <c r="C245" s="38" t="n"/>
      <c r="D245" s="38" t="n"/>
      <c r="E245" s="48" t="n"/>
      <c r="F245" s="38" t="n"/>
      <c r="G245" s="38" t="n"/>
      <c r="H245" s="38" t="n"/>
      <c r="I245" s="38" t="n"/>
      <c r="J245" s="49">
        <f>IF(B245="","",IFERROR(INDEX('SETTINGS'!$M$5:$M$24,MATCH(B245,'SETTINGS'!$L$5:$L$24,0)),"Yes"))</f>
        <v/>
      </c>
      <c r="K245" s="51">
        <f>IF(A245="","",DATE(YEAR(A245),MONTH(A245),1))</f>
        <v/>
      </c>
    </row>
    <row r="246">
      <c r="A246" s="47" t="n"/>
      <c r="B246" s="38" t="n"/>
      <c r="C246" s="38" t="n"/>
      <c r="D246" s="38" t="n"/>
      <c r="E246" s="48" t="n"/>
      <c r="F246" s="38" t="n"/>
      <c r="G246" s="38" t="n"/>
      <c r="H246" s="38" t="n"/>
      <c r="I246" s="38" t="n"/>
      <c r="J246" s="49">
        <f>IF(B246="","",IFERROR(INDEX('SETTINGS'!$M$5:$M$24,MATCH(B246,'SETTINGS'!$L$5:$L$24,0)),"Yes"))</f>
        <v/>
      </c>
      <c r="K246" s="51">
        <f>IF(A246="","",DATE(YEAR(A246),MONTH(A246),1))</f>
        <v/>
      </c>
    </row>
    <row r="247">
      <c r="A247" s="47" t="n"/>
      <c r="B247" s="38" t="n"/>
      <c r="C247" s="38" t="n"/>
      <c r="D247" s="38" t="n"/>
      <c r="E247" s="48" t="n"/>
      <c r="F247" s="38" t="n"/>
      <c r="G247" s="38" t="n"/>
      <c r="H247" s="38" t="n"/>
      <c r="I247" s="38" t="n"/>
      <c r="J247" s="49">
        <f>IF(B247="","",IFERROR(INDEX('SETTINGS'!$M$5:$M$24,MATCH(B247,'SETTINGS'!$L$5:$L$24,0)),"Yes"))</f>
        <v/>
      </c>
      <c r="K247" s="51">
        <f>IF(A247="","",DATE(YEAR(A247),MONTH(A247),1))</f>
        <v/>
      </c>
    </row>
    <row r="248">
      <c r="A248" s="47" t="n"/>
      <c r="B248" s="38" t="n"/>
      <c r="C248" s="38" t="n"/>
      <c r="D248" s="38" t="n"/>
      <c r="E248" s="48" t="n"/>
      <c r="F248" s="38" t="n"/>
      <c r="G248" s="38" t="n"/>
      <c r="H248" s="38" t="n"/>
      <c r="I248" s="38" t="n"/>
      <c r="J248" s="49">
        <f>IF(B248="","",IFERROR(INDEX('SETTINGS'!$M$5:$M$24,MATCH(B248,'SETTINGS'!$L$5:$L$24,0)),"Yes"))</f>
        <v/>
      </c>
      <c r="K248" s="51">
        <f>IF(A248="","",DATE(YEAR(A248),MONTH(A248),1))</f>
        <v/>
      </c>
    </row>
    <row r="249">
      <c r="A249" s="47" t="n"/>
      <c r="B249" s="38" t="n"/>
      <c r="C249" s="38" t="n"/>
      <c r="D249" s="38" t="n"/>
      <c r="E249" s="48" t="n"/>
      <c r="F249" s="38" t="n"/>
      <c r="G249" s="38" t="n"/>
      <c r="H249" s="38" t="n"/>
      <c r="I249" s="38" t="n"/>
      <c r="J249" s="49">
        <f>IF(B249="","",IFERROR(INDEX('SETTINGS'!$M$5:$M$24,MATCH(B249,'SETTINGS'!$L$5:$L$24,0)),"Yes"))</f>
        <v/>
      </c>
      <c r="K249" s="51">
        <f>IF(A249="","",DATE(YEAR(A249),MONTH(A249),1))</f>
        <v/>
      </c>
    </row>
    <row r="250">
      <c r="A250" s="47" t="n"/>
      <c r="B250" s="38" t="n"/>
      <c r="C250" s="38" t="n"/>
      <c r="D250" s="38" t="n"/>
      <c r="E250" s="48" t="n"/>
      <c r="F250" s="38" t="n"/>
      <c r="G250" s="38" t="n"/>
      <c r="H250" s="38" t="n"/>
      <c r="I250" s="38" t="n"/>
      <c r="J250" s="49">
        <f>IF(B250="","",IFERROR(INDEX('SETTINGS'!$M$5:$M$24,MATCH(B250,'SETTINGS'!$L$5:$L$24,0)),"Yes"))</f>
        <v/>
      </c>
      <c r="K250" s="51">
        <f>IF(A250="","",DATE(YEAR(A250),MONTH(A250),1))</f>
        <v/>
      </c>
    </row>
    <row r="251">
      <c r="A251" s="47" t="n"/>
      <c r="B251" s="38" t="n"/>
      <c r="C251" s="38" t="n"/>
      <c r="D251" s="38" t="n"/>
      <c r="E251" s="48" t="n"/>
      <c r="F251" s="38" t="n"/>
      <c r="G251" s="38" t="n"/>
      <c r="H251" s="38" t="n"/>
      <c r="I251" s="38" t="n"/>
      <c r="J251" s="49">
        <f>IF(B251="","",IFERROR(INDEX('SETTINGS'!$M$5:$M$24,MATCH(B251,'SETTINGS'!$L$5:$L$24,0)),"Yes"))</f>
        <v/>
      </c>
      <c r="K251" s="51">
        <f>IF(A251="","",DATE(YEAR(A251),MONTH(A251),1))</f>
        <v/>
      </c>
    </row>
    <row r="252">
      <c r="A252" s="47" t="n"/>
      <c r="B252" s="38" t="n"/>
      <c r="C252" s="38" t="n"/>
      <c r="D252" s="38" t="n"/>
      <c r="E252" s="48" t="n"/>
      <c r="F252" s="38" t="n"/>
      <c r="G252" s="38" t="n"/>
      <c r="H252" s="38" t="n"/>
      <c r="I252" s="38" t="n"/>
      <c r="J252" s="49">
        <f>IF(B252="","",IFERROR(INDEX('SETTINGS'!$M$5:$M$24,MATCH(B252,'SETTINGS'!$L$5:$L$24,0)),"Yes"))</f>
        <v/>
      </c>
      <c r="K252" s="51">
        <f>IF(A252="","",DATE(YEAR(A252),MONTH(A252),1))</f>
        <v/>
      </c>
    </row>
    <row r="253">
      <c r="A253" s="47" t="n"/>
      <c r="B253" s="38" t="n"/>
      <c r="C253" s="38" t="n"/>
      <c r="D253" s="38" t="n"/>
      <c r="E253" s="48" t="n"/>
      <c r="F253" s="38" t="n"/>
      <c r="G253" s="38" t="n"/>
      <c r="H253" s="38" t="n"/>
      <c r="I253" s="38" t="n"/>
      <c r="J253" s="49">
        <f>IF(B253="","",IFERROR(INDEX('SETTINGS'!$M$5:$M$24,MATCH(B253,'SETTINGS'!$L$5:$L$24,0)),"Yes"))</f>
        <v/>
      </c>
      <c r="K253" s="51">
        <f>IF(A253="","",DATE(YEAR(A253),MONTH(A253),1))</f>
        <v/>
      </c>
    </row>
    <row r="254">
      <c r="A254" s="47" t="n"/>
      <c r="B254" s="38" t="n"/>
      <c r="C254" s="38" t="n"/>
      <c r="D254" s="38" t="n"/>
      <c r="E254" s="48" t="n"/>
      <c r="F254" s="38" t="n"/>
      <c r="G254" s="38" t="n"/>
      <c r="H254" s="38" t="n"/>
      <c r="I254" s="38" t="n"/>
      <c r="J254" s="49">
        <f>IF(B254="","",IFERROR(INDEX('SETTINGS'!$M$5:$M$24,MATCH(B254,'SETTINGS'!$L$5:$L$24,0)),"Yes"))</f>
        <v/>
      </c>
      <c r="K254" s="51">
        <f>IF(A254="","",DATE(YEAR(A254),MONTH(A254),1))</f>
        <v/>
      </c>
    </row>
    <row r="255">
      <c r="A255" s="47" t="n"/>
      <c r="B255" s="38" t="n"/>
      <c r="C255" s="38" t="n"/>
      <c r="D255" s="38" t="n"/>
      <c r="E255" s="48" t="n"/>
      <c r="F255" s="38" t="n"/>
      <c r="G255" s="38" t="n"/>
      <c r="H255" s="38" t="n"/>
      <c r="I255" s="38" t="n"/>
      <c r="J255" s="49">
        <f>IF(B255="","",IFERROR(INDEX('SETTINGS'!$M$5:$M$24,MATCH(B255,'SETTINGS'!$L$5:$L$24,0)),"Yes"))</f>
        <v/>
      </c>
      <c r="K255" s="51">
        <f>IF(A255="","",DATE(YEAR(A255),MONTH(A255),1))</f>
        <v/>
      </c>
    </row>
    <row r="256">
      <c r="A256" s="47" t="n"/>
      <c r="B256" s="38" t="n"/>
      <c r="C256" s="38" t="n"/>
      <c r="D256" s="38" t="n"/>
      <c r="E256" s="48" t="n"/>
      <c r="F256" s="38" t="n"/>
      <c r="G256" s="38" t="n"/>
      <c r="H256" s="38" t="n"/>
      <c r="I256" s="38" t="n"/>
      <c r="J256" s="49">
        <f>IF(B256="","",IFERROR(INDEX('SETTINGS'!$M$5:$M$24,MATCH(B256,'SETTINGS'!$L$5:$L$24,0)),"Yes"))</f>
        <v/>
      </c>
      <c r="K256" s="51">
        <f>IF(A256="","",DATE(YEAR(A256),MONTH(A256),1))</f>
        <v/>
      </c>
    </row>
    <row r="257">
      <c r="A257" s="47" t="n"/>
      <c r="B257" s="38" t="n"/>
      <c r="C257" s="38" t="n"/>
      <c r="D257" s="38" t="n"/>
      <c r="E257" s="48" t="n"/>
      <c r="F257" s="38" t="n"/>
      <c r="G257" s="38" t="n"/>
      <c r="H257" s="38" t="n"/>
      <c r="I257" s="38" t="n"/>
      <c r="J257" s="49">
        <f>IF(B257="","",IFERROR(INDEX('SETTINGS'!$M$5:$M$24,MATCH(B257,'SETTINGS'!$L$5:$L$24,0)),"Yes"))</f>
        <v/>
      </c>
      <c r="K257" s="51">
        <f>IF(A257="","",DATE(YEAR(A257),MONTH(A257),1))</f>
        <v/>
      </c>
    </row>
    <row r="258">
      <c r="A258" s="47" t="n"/>
      <c r="B258" s="38" t="n"/>
      <c r="C258" s="38" t="n"/>
      <c r="D258" s="38" t="n"/>
      <c r="E258" s="48" t="n"/>
      <c r="F258" s="38" t="n"/>
      <c r="G258" s="38" t="n"/>
      <c r="H258" s="38" t="n"/>
      <c r="I258" s="38" t="n"/>
      <c r="J258" s="49">
        <f>IF(B258="","",IFERROR(INDEX('SETTINGS'!$M$5:$M$24,MATCH(B258,'SETTINGS'!$L$5:$L$24,0)),"Yes"))</f>
        <v/>
      </c>
      <c r="K258" s="51">
        <f>IF(A258="","",DATE(YEAR(A258),MONTH(A258),1))</f>
        <v/>
      </c>
    </row>
    <row r="259">
      <c r="A259" s="47" t="n"/>
      <c r="B259" s="38" t="n"/>
      <c r="C259" s="38" t="n"/>
      <c r="D259" s="38" t="n"/>
      <c r="E259" s="48" t="n"/>
      <c r="F259" s="38" t="n"/>
      <c r="G259" s="38" t="n"/>
      <c r="H259" s="38" t="n"/>
      <c r="I259" s="38" t="n"/>
      <c r="J259" s="49">
        <f>IF(B259="","",IFERROR(INDEX('SETTINGS'!$M$5:$M$24,MATCH(B259,'SETTINGS'!$L$5:$L$24,0)),"Yes"))</f>
        <v/>
      </c>
      <c r="K259" s="51">
        <f>IF(A259="","",DATE(YEAR(A259),MONTH(A259),1))</f>
        <v/>
      </c>
    </row>
    <row r="260">
      <c r="A260" s="47" t="n"/>
      <c r="B260" s="38" t="n"/>
      <c r="C260" s="38" t="n"/>
      <c r="D260" s="38" t="n"/>
      <c r="E260" s="48" t="n"/>
      <c r="F260" s="38" t="n"/>
      <c r="G260" s="38" t="n"/>
      <c r="H260" s="38" t="n"/>
      <c r="I260" s="38" t="n"/>
      <c r="J260" s="49">
        <f>IF(B260="","",IFERROR(INDEX('SETTINGS'!$M$5:$M$24,MATCH(B260,'SETTINGS'!$L$5:$L$24,0)),"Yes"))</f>
        <v/>
      </c>
      <c r="K260" s="51">
        <f>IF(A260="","",DATE(YEAR(A260),MONTH(A260),1))</f>
        <v/>
      </c>
    </row>
    <row r="261">
      <c r="A261" s="47" t="n"/>
      <c r="B261" s="38" t="n"/>
      <c r="C261" s="38" t="n"/>
      <c r="D261" s="38" t="n"/>
      <c r="E261" s="48" t="n"/>
      <c r="F261" s="38" t="n"/>
      <c r="G261" s="38" t="n"/>
      <c r="H261" s="38" t="n"/>
      <c r="I261" s="38" t="n"/>
      <c r="J261" s="49">
        <f>IF(B261="","",IFERROR(INDEX('SETTINGS'!$M$5:$M$24,MATCH(B261,'SETTINGS'!$L$5:$L$24,0)),"Yes"))</f>
        <v/>
      </c>
      <c r="K261" s="51">
        <f>IF(A261="","",DATE(YEAR(A261),MONTH(A261),1))</f>
        <v/>
      </c>
    </row>
    <row r="262">
      <c r="A262" s="47" t="n"/>
      <c r="B262" s="38" t="n"/>
      <c r="C262" s="38" t="n"/>
      <c r="D262" s="38" t="n"/>
      <c r="E262" s="48" t="n"/>
      <c r="F262" s="38" t="n"/>
      <c r="G262" s="38" t="n"/>
      <c r="H262" s="38" t="n"/>
      <c r="I262" s="38" t="n"/>
      <c r="J262" s="49">
        <f>IF(B262="","",IFERROR(INDEX('SETTINGS'!$M$5:$M$24,MATCH(B262,'SETTINGS'!$L$5:$L$24,0)),"Yes"))</f>
        <v/>
      </c>
      <c r="K262" s="51">
        <f>IF(A262="","",DATE(YEAR(A262),MONTH(A262),1))</f>
        <v/>
      </c>
    </row>
    <row r="263">
      <c r="A263" s="47" t="n"/>
      <c r="B263" s="38" t="n"/>
      <c r="C263" s="38" t="n"/>
      <c r="D263" s="38" t="n"/>
      <c r="E263" s="48" t="n"/>
      <c r="F263" s="38" t="n"/>
      <c r="G263" s="38" t="n"/>
      <c r="H263" s="38" t="n"/>
      <c r="I263" s="38" t="n"/>
      <c r="J263" s="49">
        <f>IF(B263="","",IFERROR(INDEX('SETTINGS'!$M$5:$M$24,MATCH(B263,'SETTINGS'!$L$5:$L$24,0)),"Yes"))</f>
        <v/>
      </c>
      <c r="K263" s="51">
        <f>IF(A263="","",DATE(YEAR(A263),MONTH(A263),1))</f>
        <v/>
      </c>
    </row>
    <row r="264">
      <c r="A264" s="47" t="n"/>
      <c r="B264" s="38" t="n"/>
      <c r="C264" s="38" t="n"/>
      <c r="D264" s="38" t="n"/>
      <c r="E264" s="48" t="n"/>
      <c r="F264" s="38" t="n"/>
      <c r="G264" s="38" t="n"/>
      <c r="H264" s="38" t="n"/>
      <c r="I264" s="38" t="n"/>
      <c r="J264" s="49">
        <f>IF(B264="","",IFERROR(INDEX('SETTINGS'!$M$5:$M$24,MATCH(B264,'SETTINGS'!$L$5:$L$24,0)),"Yes"))</f>
        <v/>
      </c>
      <c r="K264" s="51">
        <f>IF(A264="","",DATE(YEAR(A264),MONTH(A264),1))</f>
        <v/>
      </c>
    </row>
    <row r="265">
      <c r="A265" s="47" t="n"/>
      <c r="B265" s="38" t="n"/>
      <c r="C265" s="38" t="n"/>
      <c r="D265" s="38" t="n"/>
      <c r="E265" s="48" t="n"/>
      <c r="F265" s="38" t="n"/>
      <c r="G265" s="38" t="n"/>
      <c r="H265" s="38" t="n"/>
      <c r="I265" s="38" t="n"/>
      <c r="J265" s="49">
        <f>IF(B265="","",IFERROR(INDEX('SETTINGS'!$M$5:$M$24,MATCH(B265,'SETTINGS'!$L$5:$L$24,0)),"Yes"))</f>
        <v/>
      </c>
      <c r="K265" s="51">
        <f>IF(A265="","",DATE(YEAR(A265),MONTH(A265),1))</f>
        <v/>
      </c>
    </row>
    <row r="266">
      <c r="A266" s="47" t="n"/>
      <c r="B266" s="38" t="n"/>
      <c r="C266" s="38" t="n"/>
      <c r="D266" s="38" t="n"/>
      <c r="E266" s="48" t="n"/>
      <c r="F266" s="38" t="n"/>
      <c r="G266" s="38" t="n"/>
      <c r="H266" s="38" t="n"/>
      <c r="I266" s="38" t="n"/>
      <c r="J266" s="49">
        <f>IF(B266="","",IFERROR(INDEX('SETTINGS'!$M$5:$M$24,MATCH(B266,'SETTINGS'!$L$5:$L$24,0)),"Yes"))</f>
        <v/>
      </c>
      <c r="K266" s="51">
        <f>IF(A266="","",DATE(YEAR(A266),MONTH(A266),1))</f>
        <v/>
      </c>
    </row>
    <row r="267">
      <c r="A267" s="47" t="n"/>
      <c r="B267" s="38" t="n"/>
      <c r="C267" s="38" t="n"/>
      <c r="D267" s="38" t="n"/>
      <c r="E267" s="48" t="n"/>
      <c r="F267" s="38" t="n"/>
      <c r="G267" s="38" t="n"/>
      <c r="H267" s="38" t="n"/>
      <c r="I267" s="38" t="n"/>
      <c r="J267" s="49">
        <f>IF(B267="","",IFERROR(INDEX('SETTINGS'!$M$5:$M$24,MATCH(B267,'SETTINGS'!$L$5:$L$24,0)),"Yes"))</f>
        <v/>
      </c>
      <c r="K267" s="51">
        <f>IF(A267="","",DATE(YEAR(A267),MONTH(A267),1))</f>
        <v/>
      </c>
    </row>
    <row r="268">
      <c r="A268" s="47" t="n"/>
      <c r="B268" s="38" t="n"/>
      <c r="C268" s="38" t="n"/>
      <c r="D268" s="38" t="n"/>
      <c r="E268" s="48" t="n"/>
      <c r="F268" s="38" t="n"/>
      <c r="G268" s="38" t="n"/>
      <c r="H268" s="38" t="n"/>
      <c r="I268" s="38" t="n"/>
      <c r="J268" s="49">
        <f>IF(B268="","",IFERROR(INDEX('SETTINGS'!$M$5:$M$24,MATCH(B268,'SETTINGS'!$L$5:$L$24,0)),"Yes"))</f>
        <v/>
      </c>
      <c r="K268" s="51">
        <f>IF(A268="","",DATE(YEAR(A268),MONTH(A268),1))</f>
        <v/>
      </c>
    </row>
    <row r="269">
      <c r="A269" s="47" t="n"/>
      <c r="B269" s="38" t="n"/>
      <c r="C269" s="38" t="n"/>
      <c r="D269" s="38" t="n"/>
      <c r="E269" s="48" t="n"/>
      <c r="F269" s="38" t="n"/>
      <c r="G269" s="38" t="n"/>
      <c r="H269" s="38" t="n"/>
      <c r="I269" s="38" t="n"/>
      <c r="J269" s="49">
        <f>IF(B269="","",IFERROR(INDEX('SETTINGS'!$M$5:$M$24,MATCH(B269,'SETTINGS'!$L$5:$L$24,0)),"Yes"))</f>
        <v/>
      </c>
      <c r="K269" s="51">
        <f>IF(A269="","",DATE(YEAR(A269),MONTH(A269),1))</f>
        <v/>
      </c>
    </row>
    <row r="270">
      <c r="A270" s="47" t="n"/>
      <c r="B270" s="38" t="n"/>
      <c r="C270" s="38" t="n"/>
      <c r="D270" s="38" t="n"/>
      <c r="E270" s="48" t="n"/>
      <c r="F270" s="38" t="n"/>
      <c r="G270" s="38" t="n"/>
      <c r="H270" s="38" t="n"/>
      <c r="I270" s="38" t="n"/>
      <c r="J270" s="49">
        <f>IF(B270="","",IFERROR(INDEX('SETTINGS'!$M$5:$M$24,MATCH(B270,'SETTINGS'!$L$5:$L$24,0)),"Yes"))</f>
        <v/>
      </c>
      <c r="K270" s="51">
        <f>IF(A270="","",DATE(YEAR(A270),MONTH(A270),1))</f>
        <v/>
      </c>
    </row>
    <row r="271">
      <c r="A271" s="47" t="n"/>
      <c r="B271" s="38" t="n"/>
      <c r="C271" s="38" t="n"/>
      <c r="D271" s="38" t="n"/>
      <c r="E271" s="48" t="n"/>
      <c r="F271" s="38" t="n"/>
      <c r="G271" s="38" t="n"/>
      <c r="H271" s="38" t="n"/>
      <c r="I271" s="38" t="n"/>
      <c r="J271" s="49">
        <f>IF(B271="","",IFERROR(INDEX('SETTINGS'!$M$5:$M$24,MATCH(B271,'SETTINGS'!$L$5:$L$24,0)),"Yes"))</f>
        <v/>
      </c>
      <c r="K271" s="51">
        <f>IF(A271="","",DATE(YEAR(A271),MONTH(A271),1))</f>
        <v/>
      </c>
    </row>
    <row r="272">
      <c r="A272" s="47" t="n"/>
      <c r="B272" s="38" t="n"/>
      <c r="C272" s="38" t="n"/>
      <c r="D272" s="38" t="n"/>
      <c r="E272" s="48" t="n"/>
      <c r="F272" s="38" t="n"/>
      <c r="G272" s="38" t="n"/>
      <c r="H272" s="38" t="n"/>
      <c r="I272" s="38" t="n"/>
      <c r="J272" s="49">
        <f>IF(B272="","",IFERROR(INDEX('SETTINGS'!$M$5:$M$24,MATCH(B272,'SETTINGS'!$L$5:$L$24,0)),"Yes"))</f>
        <v/>
      </c>
      <c r="K272" s="51">
        <f>IF(A272="","",DATE(YEAR(A272),MONTH(A272),1))</f>
        <v/>
      </c>
    </row>
    <row r="273">
      <c r="A273" s="47" t="n"/>
      <c r="B273" s="38" t="n"/>
      <c r="C273" s="38" t="n"/>
      <c r="D273" s="38" t="n"/>
      <c r="E273" s="48" t="n"/>
      <c r="F273" s="38" t="n"/>
      <c r="G273" s="38" t="n"/>
      <c r="H273" s="38" t="n"/>
      <c r="I273" s="38" t="n"/>
      <c r="J273" s="49">
        <f>IF(B273="","",IFERROR(INDEX('SETTINGS'!$M$5:$M$24,MATCH(B273,'SETTINGS'!$L$5:$L$24,0)),"Yes"))</f>
        <v/>
      </c>
      <c r="K273" s="51">
        <f>IF(A273="","",DATE(YEAR(A273),MONTH(A273),1))</f>
        <v/>
      </c>
    </row>
    <row r="274">
      <c r="A274" s="47" t="n"/>
      <c r="B274" s="38" t="n"/>
      <c r="C274" s="38" t="n"/>
      <c r="D274" s="38" t="n"/>
      <c r="E274" s="48" t="n"/>
      <c r="F274" s="38" t="n"/>
      <c r="G274" s="38" t="n"/>
      <c r="H274" s="38" t="n"/>
      <c r="I274" s="38" t="n"/>
      <c r="J274" s="49">
        <f>IF(B274="","",IFERROR(INDEX('SETTINGS'!$M$5:$M$24,MATCH(B274,'SETTINGS'!$L$5:$L$24,0)),"Yes"))</f>
        <v/>
      </c>
      <c r="K274" s="51">
        <f>IF(A274="","",DATE(YEAR(A274),MONTH(A274),1))</f>
        <v/>
      </c>
    </row>
    <row r="275">
      <c r="A275" s="47" t="n"/>
      <c r="B275" s="38" t="n"/>
      <c r="C275" s="38" t="n"/>
      <c r="D275" s="38" t="n"/>
      <c r="E275" s="48" t="n"/>
      <c r="F275" s="38" t="n"/>
      <c r="G275" s="38" t="n"/>
      <c r="H275" s="38" t="n"/>
      <c r="I275" s="38" t="n"/>
      <c r="J275" s="49">
        <f>IF(B275="","",IFERROR(INDEX('SETTINGS'!$M$5:$M$24,MATCH(B275,'SETTINGS'!$L$5:$L$24,0)),"Yes"))</f>
        <v/>
      </c>
      <c r="K275" s="51">
        <f>IF(A275="","",DATE(YEAR(A275),MONTH(A275),1))</f>
        <v/>
      </c>
    </row>
    <row r="276">
      <c r="A276" s="47" t="n"/>
      <c r="B276" s="38" t="n"/>
      <c r="C276" s="38" t="n"/>
      <c r="D276" s="38" t="n"/>
      <c r="E276" s="48" t="n"/>
      <c r="F276" s="38" t="n"/>
      <c r="G276" s="38" t="n"/>
      <c r="H276" s="38" t="n"/>
      <c r="I276" s="38" t="n"/>
      <c r="J276" s="49">
        <f>IF(B276="","",IFERROR(INDEX('SETTINGS'!$M$5:$M$24,MATCH(B276,'SETTINGS'!$L$5:$L$24,0)),"Yes"))</f>
        <v/>
      </c>
      <c r="K276" s="51">
        <f>IF(A276="","",DATE(YEAR(A276),MONTH(A276),1))</f>
        <v/>
      </c>
    </row>
    <row r="277">
      <c r="A277" s="47" t="n"/>
      <c r="B277" s="38" t="n"/>
      <c r="C277" s="38" t="n"/>
      <c r="D277" s="38" t="n"/>
      <c r="E277" s="48" t="n"/>
      <c r="F277" s="38" t="n"/>
      <c r="G277" s="38" t="n"/>
      <c r="H277" s="38" t="n"/>
      <c r="I277" s="38" t="n"/>
      <c r="J277" s="49">
        <f>IF(B277="","",IFERROR(INDEX('SETTINGS'!$M$5:$M$24,MATCH(B277,'SETTINGS'!$L$5:$L$24,0)),"Yes"))</f>
        <v/>
      </c>
      <c r="K277" s="51">
        <f>IF(A277="","",DATE(YEAR(A277),MONTH(A277),1))</f>
        <v/>
      </c>
    </row>
    <row r="278">
      <c r="A278" s="47" t="n"/>
      <c r="B278" s="38" t="n"/>
      <c r="C278" s="38" t="n"/>
      <c r="D278" s="38" t="n"/>
      <c r="E278" s="48" t="n"/>
      <c r="F278" s="38" t="n"/>
      <c r="G278" s="38" t="n"/>
      <c r="H278" s="38" t="n"/>
      <c r="I278" s="38" t="n"/>
      <c r="J278" s="49">
        <f>IF(B278="","",IFERROR(INDEX('SETTINGS'!$M$5:$M$24,MATCH(B278,'SETTINGS'!$L$5:$L$24,0)),"Yes"))</f>
        <v/>
      </c>
      <c r="K278" s="51">
        <f>IF(A278="","",DATE(YEAR(A278),MONTH(A278),1))</f>
        <v/>
      </c>
    </row>
    <row r="279">
      <c r="A279" s="47" t="n"/>
      <c r="B279" s="38" t="n"/>
      <c r="C279" s="38" t="n"/>
      <c r="D279" s="38" t="n"/>
      <c r="E279" s="48" t="n"/>
      <c r="F279" s="38" t="n"/>
      <c r="G279" s="38" t="n"/>
      <c r="H279" s="38" t="n"/>
      <c r="I279" s="38" t="n"/>
      <c r="J279" s="49">
        <f>IF(B279="","",IFERROR(INDEX('SETTINGS'!$M$5:$M$24,MATCH(B279,'SETTINGS'!$L$5:$L$24,0)),"Yes"))</f>
        <v/>
      </c>
      <c r="K279" s="51">
        <f>IF(A279="","",DATE(YEAR(A279),MONTH(A279),1))</f>
        <v/>
      </c>
    </row>
    <row r="280">
      <c r="A280" s="47" t="n"/>
      <c r="B280" s="38" t="n"/>
      <c r="C280" s="38" t="n"/>
      <c r="D280" s="38" t="n"/>
      <c r="E280" s="48" t="n"/>
      <c r="F280" s="38" t="n"/>
      <c r="G280" s="38" t="n"/>
      <c r="H280" s="38" t="n"/>
      <c r="I280" s="38" t="n"/>
      <c r="J280" s="49">
        <f>IF(B280="","",IFERROR(INDEX('SETTINGS'!$M$5:$M$24,MATCH(B280,'SETTINGS'!$L$5:$L$24,0)),"Yes"))</f>
        <v/>
      </c>
      <c r="K280" s="51">
        <f>IF(A280="","",DATE(YEAR(A280),MONTH(A280),1))</f>
        <v/>
      </c>
    </row>
    <row r="281">
      <c r="A281" s="47" t="n"/>
      <c r="B281" s="38" t="n"/>
      <c r="C281" s="38" t="n"/>
      <c r="D281" s="38" t="n"/>
      <c r="E281" s="48" t="n"/>
      <c r="F281" s="38" t="n"/>
      <c r="G281" s="38" t="n"/>
      <c r="H281" s="38" t="n"/>
      <c r="I281" s="38" t="n"/>
      <c r="J281" s="49">
        <f>IF(B281="","",IFERROR(INDEX('SETTINGS'!$M$5:$M$24,MATCH(B281,'SETTINGS'!$L$5:$L$24,0)),"Yes"))</f>
        <v/>
      </c>
      <c r="K281" s="51">
        <f>IF(A281="","",DATE(YEAR(A281),MONTH(A281),1))</f>
        <v/>
      </c>
    </row>
    <row r="282">
      <c r="A282" s="47" t="n"/>
      <c r="B282" s="38" t="n"/>
      <c r="C282" s="38" t="n"/>
      <c r="D282" s="38" t="n"/>
      <c r="E282" s="48" t="n"/>
      <c r="F282" s="38" t="n"/>
      <c r="G282" s="38" t="n"/>
      <c r="H282" s="38" t="n"/>
      <c r="I282" s="38" t="n"/>
      <c r="J282" s="49">
        <f>IF(B282="","",IFERROR(INDEX('SETTINGS'!$M$5:$M$24,MATCH(B282,'SETTINGS'!$L$5:$L$24,0)),"Yes"))</f>
        <v/>
      </c>
      <c r="K282" s="51">
        <f>IF(A282="","",DATE(YEAR(A282),MONTH(A282),1))</f>
        <v/>
      </c>
    </row>
    <row r="283">
      <c r="A283" s="47" t="n"/>
      <c r="B283" s="38" t="n"/>
      <c r="C283" s="38" t="n"/>
      <c r="D283" s="38" t="n"/>
      <c r="E283" s="48" t="n"/>
      <c r="F283" s="38" t="n"/>
      <c r="G283" s="38" t="n"/>
      <c r="H283" s="38" t="n"/>
      <c r="I283" s="38" t="n"/>
      <c r="J283" s="49">
        <f>IF(B283="","",IFERROR(INDEX('SETTINGS'!$M$5:$M$24,MATCH(B283,'SETTINGS'!$L$5:$L$24,0)),"Yes"))</f>
        <v/>
      </c>
      <c r="K283" s="51">
        <f>IF(A283="","",DATE(YEAR(A283),MONTH(A283),1))</f>
        <v/>
      </c>
    </row>
    <row r="284">
      <c r="A284" s="47" t="n"/>
      <c r="B284" s="38" t="n"/>
      <c r="C284" s="38" t="n"/>
      <c r="D284" s="38" t="n"/>
      <c r="E284" s="48" t="n"/>
      <c r="F284" s="38" t="n"/>
      <c r="G284" s="38" t="n"/>
      <c r="H284" s="38" t="n"/>
      <c r="I284" s="38" t="n"/>
      <c r="J284" s="49">
        <f>IF(B284="","",IFERROR(INDEX('SETTINGS'!$M$5:$M$24,MATCH(B284,'SETTINGS'!$L$5:$L$24,0)),"Yes"))</f>
        <v/>
      </c>
      <c r="K284" s="51">
        <f>IF(A284="","",DATE(YEAR(A284),MONTH(A284),1))</f>
        <v/>
      </c>
    </row>
    <row r="285">
      <c r="A285" s="47" t="n"/>
      <c r="B285" s="38" t="n"/>
      <c r="C285" s="38" t="n"/>
      <c r="D285" s="38" t="n"/>
      <c r="E285" s="48" t="n"/>
      <c r="F285" s="38" t="n"/>
      <c r="G285" s="38" t="n"/>
      <c r="H285" s="38" t="n"/>
      <c r="I285" s="38" t="n"/>
      <c r="J285" s="49">
        <f>IF(B285="","",IFERROR(INDEX('SETTINGS'!$M$5:$M$24,MATCH(B285,'SETTINGS'!$L$5:$L$24,0)),"Yes"))</f>
        <v/>
      </c>
      <c r="K285" s="51">
        <f>IF(A285="","",DATE(YEAR(A285),MONTH(A285),1))</f>
        <v/>
      </c>
    </row>
    <row r="286">
      <c r="A286" s="47" t="n"/>
      <c r="B286" s="38" t="n"/>
      <c r="C286" s="38" t="n"/>
      <c r="D286" s="38" t="n"/>
      <c r="E286" s="48" t="n"/>
      <c r="F286" s="38" t="n"/>
      <c r="G286" s="38" t="n"/>
      <c r="H286" s="38" t="n"/>
      <c r="I286" s="38" t="n"/>
      <c r="J286" s="49">
        <f>IF(B286="","",IFERROR(INDEX('SETTINGS'!$M$5:$M$24,MATCH(B286,'SETTINGS'!$L$5:$L$24,0)),"Yes"))</f>
        <v/>
      </c>
      <c r="K286" s="51">
        <f>IF(A286="","",DATE(YEAR(A286),MONTH(A286),1))</f>
        <v/>
      </c>
    </row>
    <row r="287">
      <c r="A287" s="47" t="n"/>
      <c r="B287" s="38" t="n"/>
      <c r="C287" s="38" t="n"/>
      <c r="D287" s="38" t="n"/>
      <c r="E287" s="48" t="n"/>
      <c r="F287" s="38" t="n"/>
      <c r="G287" s="38" t="n"/>
      <c r="H287" s="38" t="n"/>
      <c r="I287" s="38" t="n"/>
      <c r="J287" s="49">
        <f>IF(B287="","",IFERROR(INDEX('SETTINGS'!$M$5:$M$24,MATCH(B287,'SETTINGS'!$L$5:$L$24,0)),"Yes"))</f>
        <v/>
      </c>
      <c r="K287" s="51">
        <f>IF(A287="","",DATE(YEAR(A287),MONTH(A287),1))</f>
        <v/>
      </c>
    </row>
    <row r="288">
      <c r="A288" s="47" t="n"/>
      <c r="B288" s="38" t="n"/>
      <c r="C288" s="38" t="n"/>
      <c r="D288" s="38" t="n"/>
      <c r="E288" s="48" t="n"/>
      <c r="F288" s="38" t="n"/>
      <c r="G288" s="38" t="n"/>
      <c r="H288" s="38" t="n"/>
      <c r="I288" s="38" t="n"/>
      <c r="J288" s="49">
        <f>IF(B288="","",IFERROR(INDEX('SETTINGS'!$M$5:$M$24,MATCH(B288,'SETTINGS'!$L$5:$L$24,0)),"Yes"))</f>
        <v/>
      </c>
      <c r="K288" s="51">
        <f>IF(A288="","",DATE(YEAR(A288),MONTH(A288),1))</f>
        <v/>
      </c>
    </row>
    <row r="289">
      <c r="A289" s="47" t="n"/>
      <c r="B289" s="38" t="n"/>
      <c r="C289" s="38" t="n"/>
      <c r="D289" s="38" t="n"/>
      <c r="E289" s="48" t="n"/>
      <c r="F289" s="38" t="n"/>
      <c r="G289" s="38" t="n"/>
      <c r="H289" s="38" t="n"/>
      <c r="I289" s="38" t="n"/>
      <c r="J289" s="49">
        <f>IF(B289="","",IFERROR(INDEX('SETTINGS'!$M$5:$M$24,MATCH(B289,'SETTINGS'!$L$5:$L$24,0)),"Yes"))</f>
        <v/>
      </c>
      <c r="K289" s="51">
        <f>IF(A289="","",DATE(YEAR(A289),MONTH(A289),1))</f>
        <v/>
      </c>
    </row>
    <row r="290">
      <c r="A290" s="47" t="n"/>
      <c r="B290" s="38" t="n"/>
      <c r="C290" s="38" t="n"/>
      <c r="D290" s="38" t="n"/>
      <c r="E290" s="48" t="n"/>
      <c r="F290" s="38" t="n"/>
      <c r="G290" s="38" t="n"/>
      <c r="H290" s="38" t="n"/>
      <c r="I290" s="38" t="n"/>
      <c r="J290" s="49">
        <f>IF(B290="","",IFERROR(INDEX('SETTINGS'!$M$5:$M$24,MATCH(B290,'SETTINGS'!$L$5:$L$24,0)),"Yes"))</f>
        <v/>
      </c>
      <c r="K290" s="51">
        <f>IF(A290="","",DATE(YEAR(A290),MONTH(A290),1))</f>
        <v/>
      </c>
    </row>
    <row r="291">
      <c r="A291" s="47" t="n"/>
      <c r="B291" s="38" t="n"/>
      <c r="C291" s="38" t="n"/>
      <c r="D291" s="38" t="n"/>
      <c r="E291" s="48" t="n"/>
      <c r="F291" s="38" t="n"/>
      <c r="G291" s="38" t="n"/>
      <c r="H291" s="38" t="n"/>
      <c r="I291" s="38" t="n"/>
      <c r="J291" s="49">
        <f>IF(B291="","",IFERROR(INDEX('SETTINGS'!$M$5:$M$24,MATCH(B291,'SETTINGS'!$L$5:$L$24,0)),"Yes"))</f>
        <v/>
      </c>
      <c r="K291" s="51">
        <f>IF(A291="","",DATE(YEAR(A291),MONTH(A291),1))</f>
        <v/>
      </c>
    </row>
    <row r="292">
      <c r="A292" s="47" t="n"/>
      <c r="B292" s="38" t="n"/>
      <c r="C292" s="38" t="n"/>
      <c r="D292" s="38" t="n"/>
      <c r="E292" s="48" t="n"/>
      <c r="F292" s="38" t="n"/>
      <c r="G292" s="38" t="n"/>
      <c r="H292" s="38" t="n"/>
      <c r="I292" s="38" t="n"/>
      <c r="J292" s="49">
        <f>IF(B292="","",IFERROR(INDEX('SETTINGS'!$M$5:$M$24,MATCH(B292,'SETTINGS'!$L$5:$L$24,0)),"Yes"))</f>
        <v/>
      </c>
      <c r="K292" s="51">
        <f>IF(A292="","",DATE(YEAR(A292),MONTH(A292),1))</f>
        <v/>
      </c>
    </row>
    <row r="293">
      <c r="A293" s="47" t="n"/>
      <c r="B293" s="38" t="n"/>
      <c r="C293" s="38" t="n"/>
      <c r="D293" s="38" t="n"/>
      <c r="E293" s="48" t="n"/>
      <c r="F293" s="38" t="n"/>
      <c r="G293" s="38" t="n"/>
      <c r="H293" s="38" t="n"/>
      <c r="I293" s="38" t="n"/>
      <c r="J293" s="49">
        <f>IF(B293="","",IFERROR(INDEX('SETTINGS'!$M$5:$M$24,MATCH(B293,'SETTINGS'!$L$5:$L$24,0)),"Yes"))</f>
        <v/>
      </c>
      <c r="K293" s="51">
        <f>IF(A293="","",DATE(YEAR(A293),MONTH(A293),1))</f>
        <v/>
      </c>
    </row>
    <row r="294">
      <c r="A294" s="47" t="n"/>
      <c r="B294" s="38" t="n"/>
      <c r="C294" s="38" t="n"/>
      <c r="D294" s="38" t="n"/>
      <c r="E294" s="48" t="n"/>
      <c r="F294" s="38" t="n"/>
      <c r="G294" s="38" t="n"/>
      <c r="H294" s="38" t="n"/>
      <c r="I294" s="38" t="n"/>
      <c r="J294" s="49">
        <f>IF(B294="","",IFERROR(INDEX('SETTINGS'!$M$5:$M$24,MATCH(B294,'SETTINGS'!$L$5:$L$24,0)),"Yes"))</f>
        <v/>
      </c>
      <c r="K294" s="51">
        <f>IF(A294="","",DATE(YEAR(A294),MONTH(A294),1))</f>
        <v/>
      </c>
    </row>
    <row r="295">
      <c r="A295" s="47" t="n"/>
      <c r="B295" s="38" t="n"/>
      <c r="C295" s="38" t="n"/>
      <c r="D295" s="38" t="n"/>
      <c r="E295" s="48" t="n"/>
      <c r="F295" s="38" t="n"/>
      <c r="G295" s="38" t="n"/>
      <c r="H295" s="38" t="n"/>
      <c r="I295" s="38" t="n"/>
      <c r="J295" s="49">
        <f>IF(B295="","",IFERROR(INDEX('SETTINGS'!$M$5:$M$24,MATCH(B295,'SETTINGS'!$L$5:$L$24,0)),"Yes"))</f>
        <v/>
      </c>
      <c r="K295" s="51">
        <f>IF(A295="","",DATE(YEAR(A295),MONTH(A295),1))</f>
        <v/>
      </c>
    </row>
    <row r="296">
      <c r="A296" s="47" t="n"/>
      <c r="B296" s="38" t="n"/>
      <c r="C296" s="38" t="n"/>
      <c r="D296" s="38" t="n"/>
      <c r="E296" s="48" t="n"/>
      <c r="F296" s="38" t="n"/>
      <c r="G296" s="38" t="n"/>
      <c r="H296" s="38" t="n"/>
      <c r="I296" s="38" t="n"/>
      <c r="J296" s="49">
        <f>IF(B296="","",IFERROR(INDEX('SETTINGS'!$M$5:$M$24,MATCH(B296,'SETTINGS'!$L$5:$L$24,0)),"Yes"))</f>
        <v/>
      </c>
      <c r="K296" s="51">
        <f>IF(A296="","",DATE(YEAR(A296),MONTH(A296),1))</f>
        <v/>
      </c>
    </row>
    <row r="297">
      <c r="A297" s="47" t="n"/>
      <c r="B297" s="38" t="n"/>
      <c r="C297" s="38" t="n"/>
      <c r="D297" s="38" t="n"/>
      <c r="E297" s="48" t="n"/>
      <c r="F297" s="38" t="n"/>
      <c r="G297" s="38" t="n"/>
      <c r="H297" s="38" t="n"/>
      <c r="I297" s="38" t="n"/>
      <c r="J297" s="49">
        <f>IF(B297="","",IFERROR(INDEX('SETTINGS'!$M$5:$M$24,MATCH(B297,'SETTINGS'!$L$5:$L$24,0)),"Yes"))</f>
        <v/>
      </c>
      <c r="K297" s="51">
        <f>IF(A297="","",DATE(YEAR(A297),MONTH(A297),1))</f>
        <v/>
      </c>
    </row>
    <row r="298">
      <c r="A298" s="47" t="n"/>
      <c r="B298" s="38" t="n"/>
      <c r="C298" s="38" t="n"/>
      <c r="D298" s="38" t="n"/>
      <c r="E298" s="48" t="n"/>
      <c r="F298" s="38" t="n"/>
      <c r="G298" s="38" t="n"/>
      <c r="H298" s="38" t="n"/>
      <c r="I298" s="38" t="n"/>
      <c r="J298" s="49">
        <f>IF(B298="","",IFERROR(INDEX('SETTINGS'!$M$5:$M$24,MATCH(B298,'SETTINGS'!$L$5:$L$24,0)),"Yes"))</f>
        <v/>
      </c>
      <c r="K298" s="51">
        <f>IF(A298="","",DATE(YEAR(A298),MONTH(A298),1))</f>
        <v/>
      </c>
    </row>
    <row r="299">
      <c r="A299" s="47" t="n"/>
      <c r="B299" s="38" t="n"/>
      <c r="C299" s="38" t="n"/>
      <c r="D299" s="38" t="n"/>
      <c r="E299" s="48" t="n"/>
      <c r="F299" s="38" t="n"/>
      <c r="G299" s="38" t="n"/>
      <c r="H299" s="38" t="n"/>
      <c r="I299" s="38" t="n"/>
      <c r="J299" s="49">
        <f>IF(B299="","",IFERROR(INDEX('SETTINGS'!$M$5:$M$24,MATCH(B299,'SETTINGS'!$L$5:$L$24,0)),"Yes"))</f>
        <v/>
      </c>
      <c r="K299" s="51">
        <f>IF(A299="","",DATE(YEAR(A299),MONTH(A299),1))</f>
        <v/>
      </c>
    </row>
    <row r="300">
      <c r="A300" s="47" t="n"/>
      <c r="B300" s="38" t="n"/>
      <c r="C300" s="38" t="n"/>
      <c r="D300" s="38" t="n"/>
      <c r="E300" s="48" t="n"/>
      <c r="F300" s="38" t="n"/>
      <c r="G300" s="38" t="n"/>
      <c r="H300" s="38" t="n"/>
      <c r="I300" s="38" t="n"/>
      <c r="J300" s="49">
        <f>IF(B300="","",IFERROR(INDEX('SETTINGS'!$M$5:$M$24,MATCH(B300,'SETTINGS'!$L$5:$L$24,0)),"Yes"))</f>
        <v/>
      </c>
      <c r="K300" s="51">
        <f>IF(A300="","",DATE(YEAR(A300),MONTH(A300),1))</f>
        <v/>
      </c>
    </row>
    <row r="301">
      <c r="A301" s="47" t="n"/>
      <c r="B301" s="38" t="n"/>
      <c r="C301" s="38" t="n"/>
      <c r="D301" s="38" t="n"/>
      <c r="E301" s="48" t="n"/>
      <c r="F301" s="38" t="n"/>
      <c r="G301" s="38" t="n"/>
      <c r="H301" s="38" t="n"/>
      <c r="I301" s="38" t="n"/>
      <c r="J301" s="49">
        <f>IF(B301="","",IFERROR(INDEX('SETTINGS'!$M$5:$M$24,MATCH(B301,'SETTINGS'!$L$5:$L$24,0)),"Yes"))</f>
        <v/>
      </c>
      <c r="K301" s="51">
        <f>IF(A301="","",DATE(YEAR(A301),MONTH(A301),1))</f>
        <v/>
      </c>
    </row>
    <row r="302">
      <c r="A302" s="47" t="n"/>
      <c r="B302" s="38" t="n"/>
      <c r="C302" s="38" t="n"/>
      <c r="D302" s="38" t="n"/>
      <c r="E302" s="48" t="n"/>
      <c r="F302" s="38" t="n"/>
      <c r="G302" s="38" t="n"/>
      <c r="H302" s="38" t="n"/>
      <c r="I302" s="38" t="n"/>
      <c r="J302" s="49">
        <f>IF(B302="","",IFERROR(INDEX('SETTINGS'!$M$5:$M$24,MATCH(B302,'SETTINGS'!$L$5:$L$24,0)),"Yes"))</f>
        <v/>
      </c>
      <c r="K302" s="51">
        <f>IF(A302="","",DATE(YEAR(A302),MONTH(A302),1))</f>
        <v/>
      </c>
    </row>
    <row r="303">
      <c r="A303" s="47" t="n"/>
      <c r="B303" s="38" t="n"/>
      <c r="C303" s="38" t="n"/>
      <c r="D303" s="38" t="n"/>
      <c r="E303" s="48" t="n"/>
      <c r="F303" s="38" t="n"/>
      <c r="G303" s="38" t="n"/>
      <c r="H303" s="38" t="n"/>
      <c r="I303" s="38" t="n"/>
      <c r="J303" s="49">
        <f>IF(B303="","",IFERROR(INDEX('SETTINGS'!$M$5:$M$24,MATCH(B303,'SETTINGS'!$L$5:$L$24,0)),"Yes"))</f>
        <v/>
      </c>
      <c r="K303" s="51">
        <f>IF(A303="","",DATE(YEAR(A303),MONTH(A303),1))</f>
        <v/>
      </c>
    </row>
    <row r="304">
      <c r="A304" s="47" t="n"/>
      <c r="B304" s="38" t="n"/>
      <c r="C304" s="38" t="n"/>
      <c r="D304" s="38" t="n"/>
      <c r="E304" s="48" t="n"/>
      <c r="F304" s="38" t="n"/>
      <c r="G304" s="38" t="n"/>
      <c r="H304" s="38" t="n"/>
      <c r="I304" s="38" t="n"/>
      <c r="J304" s="49">
        <f>IF(B304="","",IFERROR(INDEX('SETTINGS'!$M$5:$M$24,MATCH(B304,'SETTINGS'!$L$5:$L$24,0)),"Yes"))</f>
        <v/>
      </c>
      <c r="K304" s="51">
        <f>IF(A304="","",DATE(YEAR(A304),MONTH(A304),1))</f>
        <v/>
      </c>
    </row>
    <row r="305">
      <c r="A305" s="47" t="n"/>
      <c r="B305" s="38" t="n"/>
      <c r="C305" s="38" t="n"/>
      <c r="D305" s="38" t="n"/>
      <c r="E305" s="48" t="n"/>
      <c r="F305" s="38" t="n"/>
      <c r="G305" s="38" t="n"/>
      <c r="H305" s="38" t="n"/>
      <c r="I305" s="38" t="n"/>
      <c r="J305" s="49">
        <f>IF(B305="","",IFERROR(INDEX('SETTINGS'!$M$5:$M$24,MATCH(B305,'SETTINGS'!$L$5:$L$24,0)),"Yes"))</f>
        <v/>
      </c>
      <c r="K305" s="51">
        <f>IF(A305="","",DATE(YEAR(A305),MONTH(A305),1))</f>
        <v/>
      </c>
    </row>
    <row r="306">
      <c r="A306" s="47" t="n"/>
      <c r="B306" s="38" t="n"/>
      <c r="C306" s="38" t="n"/>
      <c r="D306" s="38" t="n"/>
      <c r="E306" s="48" t="n"/>
      <c r="F306" s="38" t="n"/>
      <c r="G306" s="38" t="n"/>
      <c r="H306" s="38" t="n"/>
      <c r="I306" s="38" t="n"/>
      <c r="J306" s="49">
        <f>IF(B306="","",IFERROR(INDEX('SETTINGS'!$M$5:$M$24,MATCH(B306,'SETTINGS'!$L$5:$L$24,0)),"Yes"))</f>
        <v/>
      </c>
      <c r="K306" s="51">
        <f>IF(A306="","",DATE(YEAR(A306),MONTH(A306),1))</f>
        <v/>
      </c>
    </row>
    <row r="307">
      <c r="A307" s="47" t="n"/>
      <c r="B307" s="38" t="n"/>
      <c r="C307" s="38" t="n"/>
      <c r="D307" s="38" t="n"/>
      <c r="E307" s="48" t="n"/>
      <c r="F307" s="38" t="n"/>
      <c r="G307" s="38" t="n"/>
      <c r="H307" s="38" t="n"/>
      <c r="I307" s="38" t="n"/>
      <c r="J307" s="49">
        <f>IF(B307="","",IFERROR(INDEX('SETTINGS'!$M$5:$M$24,MATCH(B307,'SETTINGS'!$L$5:$L$24,0)),"Yes"))</f>
        <v/>
      </c>
      <c r="K307" s="51">
        <f>IF(A307="","",DATE(YEAR(A307),MONTH(A307),1))</f>
        <v/>
      </c>
    </row>
    <row r="308">
      <c r="A308" s="47" t="n"/>
      <c r="B308" s="38" t="n"/>
      <c r="C308" s="38" t="n"/>
      <c r="D308" s="38" t="n"/>
      <c r="E308" s="48" t="n"/>
      <c r="F308" s="38" t="n"/>
      <c r="G308" s="38" t="n"/>
      <c r="H308" s="38" t="n"/>
      <c r="I308" s="38" t="n"/>
      <c r="J308" s="49">
        <f>IF(B308="","",IFERROR(INDEX('SETTINGS'!$M$5:$M$24,MATCH(B308,'SETTINGS'!$L$5:$L$24,0)),"Yes"))</f>
        <v/>
      </c>
      <c r="K308" s="51">
        <f>IF(A308="","",DATE(YEAR(A308),MONTH(A308),1))</f>
        <v/>
      </c>
    </row>
    <row r="309">
      <c r="A309" s="47" t="n"/>
      <c r="B309" s="38" t="n"/>
      <c r="C309" s="38" t="n"/>
      <c r="D309" s="38" t="n"/>
      <c r="E309" s="48" t="n"/>
      <c r="F309" s="38" t="n"/>
      <c r="G309" s="38" t="n"/>
      <c r="H309" s="38" t="n"/>
      <c r="I309" s="38" t="n"/>
      <c r="J309" s="49">
        <f>IF(B309="","",IFERROR(INDEX('SETTINGS'!$M$5:$M$24,MATCH(B309,'SETTINGS'!$L$5:$L$24,0)),"Yes"))</f>
        <v/>
      </c>
      <c r="K309" s="51">
        <f>IF(A309="","",DATE(YEAR(A309),MONTH(A309),1))</f>
        <v/>
      </c>
    </row>
    <row r="310">
      <c r="A310" s="47" t="n"/>
      <c r="B310" s="38" t="n"/>
      <c r="C310" s="38" t="n"/>
      <c r="D310" s="38" t="n"/>
      <c r="E310" s="48" t="n"/>
      <c r="F310" s="38" t="n"/>
      <c r="G310" s="38" t="n"/>
      <c r="H310" s="38" t="n"/>
      <c r="I310" s="38" t="n"/>
      <c r="J310" s="49">
        <f>IF(B310="","",IFERROR(INDEX('SETTINGS'!$M$5:$M$24,MATCH(B310,'SETTINGS'!$L$5:$L$24,0)),"Yes"))</f>
        <v/>
      </c>
      <c r="K310" s="51">
        <f>IF(A310="","",DATE(YEAR(A310),MONTH(A310),1))</f>
        <v/>
      </c>
    </row>
    <row r="311">
      <c r="A311" s="47" t="n"/>
      <c r="B311" s="38" t="n"/>
      <c r="C311" s="38" t="n"/>
      <c r="D311" s="38" t="n"/>
      <c r="E311" s="48" t="n"/>
      <c r="F311" s="38" t="n"/>
      <c r="G311" s="38" t="n"/>
      <c r="H311" s="38" t="n"/>
      <c r="I311" s="38" t="n"/>
      <c r="J311" s="49">
        <f>IF(B311="","",IFERROR(INDEX('SETTINGS'!$M$5:$M$24,MATCH(B311,'SETTINGS'!$L$5:$L$24,0)),"Yes"))</f>
        <v/>
      </c>
      <c r="K311" s="51">
        <f>IF(A311="","",DATE(YEAR(A311),MONTH(A311),1))</f>
        <v/>
      </c>
    </row>
    <row r="312">
      <c r="A312" s="47" t="n"/>
      <c r="B312" s="38" t="n"/>
      <c r="C312" s="38" t="n"/>
      <c r="D312" s="38" t="n"/>
      <c r="E312" s="48" t="n"/>
      <c r="F312" s="38" t="n"/>
      <c r="G312" s="38" t="n"/>
      <c r="H312" s="38" t="n"/>
      <c r="I312" s="38" t="n"/>
      <c r="J312" s="49">
        <f>IF(B312="","",IFERROR(INDEX('SETTINGS'!$M$5:$M$24,MATCH(B312,'SETTINGS'!$L$5:$L$24,0)),"Yes"))</f>
        <v/>
      </c>
      <c r="K312" s="51">
        <f>IF(A312="","",DATE(YEAR(A312),MONTH(A312),1))</f>
        <v/>
      </c>
    </row>
    <row r="313">
      <c r="A313" s="47" t="n"/>
      <c r="B313" s="38" t="n"/>
      <c r="C313" s="38" t="n"/>
      <c r="D313" s="38" t="n"/>
      <c r="E313" s="48" t="n"/>
      <c r="F313" s="38" t="n"/>
      <c r="G313" s="38" t="n"/>
      <c r="H313" s="38" t="n"/>
      <c r="I313" s="38" t="n"/>
      <c r="J313" s="49">
        <f>IF(B313="","",IFERROR(INDEX('SETTINGS'!$M$5:$M$24,MATCH(B313,'SETTINGS'!$L$5:$L$24,0)),"Yes"))</f>
        <v/>
      </c>
      <c r="K313" s="51">
        <f>IF(A313="","",DATE(YEAR(A313),MONTH(A313),1))</f>
        <v/>
      </c>
    </row>
    <row r="314">
      <c r="A314" s="47" t="n"/>
      <c r="B314" s="38" t="n"/>
      <c r="C314" s="38" t="n"/>
      <c r="D314" s="38" t="n"/>
      <c r="E314" s="48" t="n"/>
      <c r="F314" s="38" t="n"/>
      <c r="G314" s="38" t="n"/>
      <c r="H314" s="38" t="n"/>
      <c r="I314" s="38" t="n"/>
      <c r="J314" s="49">
        <f>IF(B314="","",IFERROR(INDEX('SETTINGS'!$M$5:$M$24,MATCH(B314,'SETTINGS'!$L$5:$L$24,0)),"Yes"))</f>
        <v/>
      </c>
      <c r="K314" s="51">
        <f>IF(A314="","",DATE(YEAR(A314),MONTH(A314),1))</f>
        <v/>
      </c>
    </row>
    <row r="315">
      <c r="A315" s="47" t="n"/>
      <c r="B315" s="38" t="n"/>
      <c r="C315" s="38" t="n"/>
      <c r="D315" s="38" t="n"/>
      <c r="E315" s="48" t="n"/>
      <c r="F315" s="38" t="n"/>
      <c r="G315" s="38" t="n"/>
      <c r="H315" s="38" t="n"/>
      <c r="I315" s="38" t="n"/>
      <c r="J315" s="49">
        <f>IF(B315="","",IFERROR(INDEX('SETTINGS'!$M$5:$M$24,MATCH(B315,'SETTINGS'!$L$5:$L$24,0)),"Yes"))</f>
        <v/>
      </c>
      <c r="K315" s="51">
        <f>IF(A315="","",DATE(YEAR(A315),MONTH(A315),1))</f>
        <v/>
      </c>
    </row>
    <row r="316">
      <c r="A316" s="47" t="n"/>
      <c r="B316" s="38" t="n"/>
      <c r="C316" s="38" t="n"/>
      <c r="D316" s="38" t="n"/>
      <c r="E316" s="48" t="n"/>
      <c r="F316" s="38" t="n"/>
      <c r="G316" s="38" t="n"/>
      <c r="H316" s="38" t="n"/>
      <c r="I316" s="38" t="n"/>
      <c r="J316" s="49">
        <f>IF(B316="","",IFERROR(INDEX('SETTINGS'!$M$5:$M$24,MATCH(B316,'SETTINGS'!$L$5:$L$24,0)),"Yes"))</f>
        <v/>
      </c>
      <c r="K316" s="51">
        <f>IF(A316="","",DATE(YEAR(A316),MONTH(A316),1))</f>
        <v/>
      </c>
    </row>
    <row r="317">
      <c r="A317" s="47" t="n"/>
      <c r="B317" s="38" t="n"/>
      <c r="C317" s="38" t="n"/>
      <c r="D317" s="38" t="n"/>
      <c r="E317" s="48" t="n"/>
      <c r="F317" s="38" t="n"/>
      <c r="G317" s="38" t="n"/>
      <c r="H317" s="38" t="n"/>
      <c r="I317" s="38" t="n"/>
      <c r="J317" s="49">
        <f>IF(B317="","",IFERROR(INDEX('SETTINGS'!$M$5:$M$24,MATCH(B317,'SETTINGS'!$L$5:$L$24,0)),"Yes"))</f>
        <v/>
      </c>
      <c r="K317" s="51">
        <f>IF(A317="","",DATE(YEAR(A317),MONTH(A317),1))</f>
        <v/>
      </c>
    </row>
    <row r="318">
      <c r="A318" s="47" t="n"/>
      <c r="B318" s="38" t="n"/>
      <c r="C318" s="38" t="n"/>
      <c r="D318" s="38" t="n"/>
      <c r="E318" s="48" t="n"/>
      <c r="F318" s="38" t="n"/>
      <c r="G318" s="38" t="n"/>
      <c r="H318" s="38" t="n"/>
      <c r="I318" s="38" t="n"/>
      <c r="J318" s="49">
        <f>IF(B318="","",IFERROR(INDEX('SETTINGS'!$M$5:$M$24,MATCH(B318,'SETTINGS'!$L$5:$L$24,0)),"Yes"))</f>
        <v/>
      </c>
      <c r="K318" s="51">
        <f>IF(A318="","",DATE(YEAR(A318),MONTH(A318),1))</f>
        <v/>
      </c>
    </row>
    <row r="319">
      <c r="A319" s="47" t="n"/>
      <c r="B319" s="38" t="n"/>
      <c r="C319" s="38" t="n"/>
      <c r="D319" s="38" t="n"/>
      <c r="E319" s="48" t="n"/>
      <c r="F319" s="38" t="n"/>
      <c r="G319" s="38" t="n"/>
      <c r="H319" s="38" t="n"/>
      <c r="I319" s="38" t="n"/>
      <c r="J319" s="49">
        <f>IF(B319="","",IFERROR(INDEX('SETTINGS'!$M$5:$M$24,MATCH(B319,'SETTINGS'!$L$5:$L$24,0)),"Yes"))</f>
        <v/>
      </c>
      <c r="K319" s="51">
        <f>IF(A319="","",DATE(YEAR(A319),MONTH(A319),1))</f>
        <v/>
      </c>
    </row>
    <row r="320">
      <c r="A320" s="47" t="n"/>
      <c r="B320" s="38" t="n"/>
      <c r="C320" s="38" t="n"/>
      <c r="D320" s="38" t="n"/>
      <c r="E320" s="48" t="n"/>
      <c r="F320" s="38" t="n"/>
      <c r="G320" s="38" t="n"/>
      <c r="H320" s="38" t="n"/>
      <c r="I320" s="38" t="n"/>
      <c r="J320" s="49">
        <f>IF(B320="","",IFERROR(INDEX('SETTINGS'!$M$5:$M$24,MATCH(B320,'SETTINGS'!$L$5:$L$24,0)),"Yes"))</f>
        <v/>
      </c>
      <c r="K320" s="51">
        <f>IF(A320="","",DATE(YEAR(A320),MONTH(A320),1))</f>
        <v/>
      </c>
    </row>
    <row r="321">
      <c r="A321" s="47" t="n"/>
      <c r="B321" s="38" t="n"/>
      <c r="C321" s="38" t="n"/>
      <c r="D321" s="38" t="n"/>
      <c r="E321" s="48" t="n"/>
      <c r="F321" s="38" t="n"/>
      <c r="G321" s="38" t="n"/>
      <c r="H321" s="38" t="n"/>
      <c r="I321" s="38" t="n"/>
      <c r="J321" s="49">
        <f>IF(B321="","",IFERROR(INDEX('SETTINGS'!$M$5:$M$24,MATCH(B321,'SETTINGS'!$L$5:$L$24,0)),"Yes"))</f>
        <v/>
      </c>
      <c r="K321" s="51">
        <f>IF(A321="","",DATE(YEAR(A321),MONTH(A321),1))</f>
        <v/>
      </c>
    </row>
    <row r="322">
      <c r="A322" s="47" t="n"/>
      <c r="B322" s="38" t="n"/>
      <c r="C322" s="38" t="n"/>
      <c r="D322" s="38" t="n"/>
      <c r="E322" s="48" t="n"/>
      <c r="F322" s="38" t="n"/>
      <c r="G322" s="38" t="n"/>
      <c r="H322" s="38" t="n"/>
      <c r="I322" s="38" t="n"/>
      <c r="J322" s="49">
        <f>IF(B322="","",IFERROR(INDEX('SETTINGS'!$M$5:$M$24,MATCH(B322,'SETTINGS'!$L$5:$L$24,0)),"Yes"))</f>
        <v/>
      </c>
      <c r="K322" s="51">
        <f>IF(A322="","",DATE(YEAR(A322),MONTH(A322),1))</f>
        <v/>
      </c>
    </row>
    <row r="323">
      <c r="A323" s="47" t="n"/>
      <c r="B323" s="38" t="n"/>
      <c r="C323" s="38" t="n"/>
      <c r="D323" s="38" t="n"/>
      <c r="E323" s="48" t="n"/>
      <c r="F323" s="38" t="n"/>
      <c r="G323" s="38" t="n"/>
      <c r="H323" s="38" t="n"/>
      <c r="I323" s="38" t="n"/>
      <c r="J323" s="49">
        <f>IF(B323="","",IFERROR(INDEX('SETTINGS'!$M$5:$M$24,MATCH(B323,'SETTINGS'!$L$5:$L$24,0)),"Yes"))</f>
        <v/>
      </c>
      <c r="K323" s="51">
        <f>IF(A323="","",DATE(YEAR(A323),MONTH(A323),1))</f>
        <v/>
      </c>
    </row>
    <row r="324">
      <c r="A324" s="47" t="n"/>
      <c r="B324" s="38" t="n"/>
      <c r="C324" s="38" t="n"/>
      <c r="D324" s="38" t="n"/>
      <c r="E324" s="48" t="n"/>
      <c r="F324" s="38" t="n"/>
      <c r="G324" s="38" t="n"/>
      <c r="H324" s="38" t="n"/>
      <c r="I324" s="38" t="n"/>
      <c r="J324" s="49">
        <f>IF(B324="","",IFERROR(INDEX('SETTINGS'!$M$5:$M$24,MATCH(B324,'SETTINGS'!$L$5:$L$24,0)),"Yes"))</f>
        <v/>
      </c>
      <c r="K324" s="51">
        <f>IF(A324="","",DATE(YEAR(A324),MONTH(A324),1))</f>
        <v/>
      </c>
    </row>
    <row r="325">
      <c r="A325" s="47" t="n"/>
      <c r="B325" s="38" t="n"/>
      <c r="C325" s="38" t="n"/>
      <c r="D325" s="38" t="n"/>
      <c r="E325" s="48" t="n"/>
      <c r="F325" s="38" t="n"/>
      <c r="G325" s="38" t="n"/>
      <c r="H325" s="38" t="n"/>
      <c r="I325" s="38" t="n"/>
      <c r="J325" s="49">
        <f>IF(B325="","",IFERROR(INDEX('SETTINGS'!$M$5:$M$24,MATCH(B325,'SETTINGS'!$L$5:$L$24,0)),"Yes"))</f>
        <v/>
      </c>
      <c r="K325" s="51">
        <f>IF(A325="","",DATE(YEAR(A325),MONTH(A325),1))</f>
        <v/>
      </c>
    </row>
    <row r="326">
      <c r="A326" s="47" t="n"/>
      <c r="B326" s="38" t="n"/>
      <c r="C326" s="38" t="n"/>
      <c r="D326" s="38" t="n"/>
      <c r="E326" s="48" t="n"/>
      <c r="F326" s="38" t="n"/>
      <c r="G326" s="38" t="n"/>
      <c r="H326" s="38" t="n"/>
      <c r="I326" s="38" t="n"/>
      <c r="J326" s="49">
        <f>IF(B326="","",IFERROR(INDEX('SETTINGS'!$M$5:$M$24,MATCH(B326,'SETTINGS'!$L$5:$L$24,0)),"Yes"))</f>
        <v/>
      </c>
      <c r="K326" s="51">
        <f>IF(A326="","",DATE(YEAR(A326),MONTH(A326),1))</f>
        <v/>
      </c>
    </row>
    <row r="327">
      <c r="A327" s="47" t="n"/>
      <c r="B327" s="38" t="n"/>
      <c r="C327" s="38" t="n"/>
      <c r="D327" s="38" t="n"/>
      <c r="E327" s="48" t="n"/>
      <c r="F327" s="38" t="n"/>
      <c r="G327" s="38" t="n"/>
      <c r="H327" s="38" t="n"/>
      <c r="I327" s="38" t="n"/>
      <c r="J327" s="49">
        <f>IF(B327="","",IFERROR(INDEX('SETTINGS'!$M$5:$M$24,MATCH(B327,'SETTINGS'!$L$5:$L$24,0)),"Yes"))</f>
        <v/>
      </c>
      <c r="K327" s="51">
        <f>IF(A327="","",DATE(YEAR(A327),MONTH(A327),1))</f>
        <v/>
      </c>
    </row>
    <row r="328">
      <c r="A328" s="47" t="n"/>
      <c r="B328" s="38" t="n"/>
      <c r="C328" s="38" t="n"/>
      <c r="D328" s="38" t="n"/>
      <c r="E328" s="48" t="n"/>
      <c r="F328" s="38" t="n"/>
      <c r="G328" s="38" t="n"/>
      <c r="H328" s="38" t="n"/>
      <c r="I328" s="38" t="n"/>
      <c r="J328" s="49">
        <f>IF(B328="","",IFERROR(INDEX('SETTINGS'!$M$5:$M$24,MATCH(B328,'SETTINGS'!$L$5:$L$24,0)),"Yes"))</f>
        <v/>
      </c>
      <c r="K328" s="51">
        <f>IF(A328="","",DATE(YEAR(A328),MONTH(A328),1))</f>
        <v/>
      </c>
    </row>
    <row r="329">
      <c r="A329" s="47" t="n"/>
      <c r="B329" s="38" t="n"/>
      <c r="C329" s="38" t="n"/>
      <c r="D329" s="38" t="n"/>
      <c r="E329" s="48" t="n"/>
      <c r="F329" s="38" t="n"/>
      <c r="G329" s="38" t="n"/>
      <c r="H329" s="38" t="n"/>
      <c r="I329" s="38" t="n"/>
      <c r="J329" s="49">
        <f>IF(B329="","",IFERROR(INDEX('SETTINGS'!$M$5:$M$24,MATCH(B329,'SETTINGS'!$L$5:$L$24,0)),"Yes"))</f>
        <v/>
      </c>
      <c r="K329" s="51">
        <f>IF(A329="","",DATE(YEAR(A329),MONTH(A329),1))</f>
        <v/>
      </c>
    </row>
    <row r="330">
      <c r="A330" s="47" t="n"/>
      <c r="B330" s="38" t="n"/>
      <c r="C330" s="38" t="n"/>
      <c r="D330" s="38" t="n"/>
      <c r="E330" s="48" t="n"/>
      <c r="F330" s="38" t="n"/>
      <c r="G330" s="38" t="n"/>
      <c r="H330" s="38" t="n"/>
      <c r="I330" s="38" t="n"/>
      <c r="J330" s="49">
        <f>IF(B330="","",IFERROR(INDEX('SETTINGS'!$M$5:$M$24,MATCH(B330,'SETTINGS'!$L$5:$L$24,0)),"Yes"))</f>
        <v/>
      </c>
      <c r="K330" s="51">
        <f>IF(A330="","",DATE(YEAR(A330),MONTH(A330),1))</f>
        <v/>
      </c>
    </row>
    <row r="331">
      <c r="A331" s="47" t="n"/>
      <c r="B331" s="38" t="n"/>
      <c r="C331" s="38" t="n"/>
      <c r="D331" s="38" t="n"/>
      <c r="E331" s="48" t="n"/>
      <c r="F331" s="38" t="n"/>
      <c r="G331" s="38" t="n"/>
      <c r="H331" s="38" t="n"/>
      <c r="I331" s="38" t="n"/>
      <c r="J331" s="49">
        <f>IF(B331="","",IFERROR(INDEX('SETTINGS'!$M$5:$M$24,MATCH(B331,'SETTINGS'!$L$5:$L$24,0)),"Yes"))</f>
        <v/>
      </c>
      <c r="K331" s="51">
        <f>IF(A331="","",DATE(YEAR(A331),MONTH(A331),1))</f>
        <v/>
      </c>
    </row>
    <row r="332">
      <c r="A332" s="47" t="n"/>
      <c r="B332" s="38" t="n"/>
      <c r="C332" s="38" t="n"/>
      <c r="D332" s="38" t="n"/>
      <c r="E332" s="48" t="n"/>
      <c r="F332" s="38" t="n"/>
      <c r="G332" s="38" t="n"/>
      <c r="H332" s="38" t="n"/>
      <c r="I332" s="38" t="n"/>
      <c r="J332" s="49">
        <f>IF(B332="","",IFERROR(INDEX('SETTINGS'!$M$5:$M$24,MATCH(B332,'SETTINGS'!$L$5:$L$24,0)),"Yes"))</f>
        <v/>
      </c>
      <c r="K332" s="51">
        <f>IF(A332="","",DATE(YEAR(A332),MONTH(A332),1))</f>
        <v/>
      </c>
    </row>
    <row r="333">
      <c r="A333" s="47" t="n"/>
      <c r="B333" s="38" t="n"/>
      <c r="C333" s="38" t="n"/>
      <c r="D333" s="38" t="n"/>
      <c r="E333" s="48" t="n"/>
      <c r="F333" s="38" t="n"/>
      <c r="G333" s="38" t="n"/>
      <c r="H333" s="38" t="n"/>
      <c r="I333" s="38" t="n"/>
      <c r="J333" s="49">
        <f>IF(B333="","",IFERROR(INDEX('SETTINGS'!$M$5:$M$24,MATCH(B333,'SETTINGS'!$L$5:$L$24,0)),"Yes"))</f>
        <v/>
      </c>
      <c r="K333" s="51">
        <f>IF(A333="","",DATE(YEAR(A333),MONTH(A333),1))</f>
        <v/>
      </c>
    </row>
    <row r="334">
      <c r="A334" s="47" t="n"/>
      <c r="B334" s="38" t="n"/>
      <c r="C334" s="38" t="n"/>
      <c r="D334" s="38" t="n"/>
      <c r="E334" s="48" t="n"/>
      <c r="F334" s="38" t="n"/>
      <c r="G334" s="38" t="n"/>
      <c r="H334" s="38" t="n"/>
      <c r="I334" s="38" t="n"/>
      <c r="J334" s="49">
        <f>IF(B334="","",IFERROR(INDEX('SETTINGS'!$M$5:$M$24,MATCH(B334,'SETTINGS'!$L$5:$L$24,0)),"Yes"))</f>
        <v/>
      </c>
      <c r="K334" s="51">
        <f>IF(A334="","",DATE(YEAR(A334),MONTH(A334),1))</f>
        <v/>
      </c>
    </row>
    <row r="335">
      <c r="A335" s="47" t="n"/>
      <c r="B335" s="38" t="n"/>
      <c r="C335" s="38" t="n"/>
      <c r="D335" s="38" t="n"/>
      <c r="E335" s="48" t="n"/>
      <c r="F335" s="38" t="n"/>
      <c r="G335" s="38" t="n"/>
      <c r="H335" s="38" t="n"/>
      <c r="I335" s="38" t="n"/>
      <c r="J335" s="49">
        <f>IF(B335="","",IFERROR(INDEX('SETTINGS'!$M$5:$M$24,MATCH(B335,'SETTINGS'!$L$5:$L$24,0)),"Yes"))</f>
        <v/>
      </c>
      <c r="K335" s="51">
        <f>IF(A335="","",DATE(YEAR(A335),MONTH(A335),1))</f>
        <v/>
      </c>
    </row>
    <row r="336">
      <c r="A336" s="47" t="n"/>
      <c r="B336" s="38" t="n"/>
      <c r="C336" s="38" t="n"/>
      <c r="D336" s="38" t="n"/>
      <c r="E336" s="48" t="n"/>
      <c r="F336" s="38" t="n"/>
      <c r="G336" s="38" t="n"/>
      <c r="H336" s="38" t="n"/>
      <c r="I336" s="38" t="n"/>
      <c r="J336" s="49">
        <f>IF(B336="","",IFERROR(INDEX('SETTINGS'!$M$5:$M$24,MATCH(B336,'SETTINGS'!$L$5:$L$24,0)),"Yes"))</f>
        <v/>
      </c>
      <c r="K336" s="51">
        <f>IF(A336="","",DATE(YEAR(A336),MONTH(A336),1))</f>
        <v/>
      </c>
    </row>
    <row r="337">
      <c r="A337" s="47" t="n"/>
      <c r="B337" s="38" t="n"/>
      <c r="C337" s="38" t="n"/>
      <c r="D337" s="38" t="n"/>
      <c r="E337" s="48" t="n"/>
      <c r="F337" s="38" t="n"/>
      <c r="G337" s="38" t="n"/>
      <c r="H337" s="38" t="n"/>
      <c r="I337" s="38" t="n"/>
      <c r="J337" s="49">
        <f>IF(B337="","",IFERROR(INDEX('SETTINGS'!$M$5:$M$24,MATCH(B337,'SETTINGS'!$L$5:$L$24,0)),"Yes"))</f>
        <v/>
      </c>
      <c r="K337" s="51">
        <f>IF(A337="","",DATE(YEAR(A337),MONTH(A337),1))</f>
        <v/>
      </c>
    </row>
    <row r="338">
      <c r="A338" s="47" t="n"/>
      <c r="B338" s="38" t="n"/>
      <c r="C338" s="38" t="n"/>
      <c r="D338" s="38" t="n"/>
      <c r="E338" s="48" t="n"/>
      <c r="F338" s="38" t="n"/>
      <c r="G338" s="38" t="n"/>
      <c r="H338" s="38" t="n"/>
      <c r="I338" s="38" t="n"/>
      <c r="J338" s="49">
        <f>IF(B338="","",IFERROR(INDEX('SETTINGS'!$M$5:$M$24,MATCH(B338,'SETTINGS'!$L$5:$L$24,0)),"Yes"))</f>
        <v/>
      </c>
      <c r="K338" s="51">
        <f>IF(A338="","",DATE(YEAR(A338),MONTH(A338),1))</f>
        <v/>
      </c>
    </row>
    <row r="339">
      <c r="A339" s="47" t="n"/>
      <c r="B339" s="38" t="n"/>
      <c r="C339" s="38" t="n"/>
      <c r="D339" s="38" t="n"/>
      <c r="E339" s="48" t="n"/>
      <c r="F339" s="38" t="n"/>
      <c r="G339" s="38" t="n"/>
      <c r="H339" s="38" t="n"/>
      <c r="I339" s="38" t="n"/>
      <c r="J339" s="49">
        <f>IF(B339="","",IFERROR(INDEX('SETTINGS'!$M$5:$M$24,MATCH(B339,'SETTINGS'!$L$5:$L$24,0)),"Yes"))</f>
        <v/>
      </c>
      <c r="K339" s="51">
        <f>IF(A339="","",DATE(YEAR(A339),MONTH(A339),1))</f>
        <v/>
      </c>
    </row>
    <row r="340">
      <c r="A340" s="47" t="n"/>
      <c r="B340" s="38" t="n"/>
      <c r="C340" s="38" t="n"/>
      <c r="D340" s="38" t="n"/>
      <c r="E340" s="48" t="n"/>
      <c r="F340" s="38" t="n"/>
      <c r="G340" s="38" t="n"/>
      <c r="H340" s="38" t="n"/>
      <c r="I340" s="38" t="n"/>
      <c r="J340" s="49">
        <f>IF(B340="","",IFERROR(INDEX('SETTINGS'!$M$5:$M$24,MATCH(B340,'SETTINGS'!$L$5:$L$24,0)),"Yes"))</f>
        <v/>
      </c>
      <c r="K340" s="51">
        <f>IF(A340="","",DATE(YEAR(A340),MONTH(A340),1))</f>
        <v/>
      </c>
    </row>
    <row r="341">
      <c r="A341" s="47" t="n"/>
      <c r="B341" s="38" t="n"/>
      <c r="C341" s="38" t="n"/>
      <c r="D341" s="38" t="n"/>
      <c r="E341" s="48" t="n"/>
      <c r="F341" s="38" t="n"/>
      <c r="G341" s="38" t="n"/>
      <c r="H341" s="38" t="n"/>
      <c r="I341" s="38" t="n"/>
      <c r="J341" s="49">
        <f>IF(B341="","",IFERROR(INDEX('SETTINGS'!$M$5:$M$24,MATCH(B341,'SETTINGS'!$L$5:$L$24,0)),"Yes"))</f>
        <v/>
      </c>
      <c r="K341" s="51">
        <f>IF(A341="","",DATE(YEAR(A341),MONTH(A341),1))</f>
        <v/>
      </c>
    </row>
    <row r="342">
      <c r="A342" s="47" t="n"/>
      <c r="B342" s="38" t="n"/>
      <c r="C342" s="38" t="n"/>
      <c r="D342" s="38" t="n"/>
      <c r="E342" s="48" t="n"/>
      <c r="F342" s="38" t="n"/>
      <c r="G342" s="38" t="n"/>
      <c r="H342" s="38" t="n"/>
      <c r="I342" s="38" t="n"/>
      <c r="J342" s="49">
        <f>IF(B342="","",IFERROR(INDEX('SETTINGS'!$M$5:$M$24,MATCH(B342,'SETTINGS'!$L$5:$L$24,0)),"Yes"))</f>
        <v/>
      </c>
      <c r="K342" s="51">
        <f>IF(A342="","",DATE(YEAR(A342),MONTH(A342),1))</f>
        <v/>
      </c>
    </row>
    <row r="343">
      <c r="A343" s="47" t="n"/>
      <c r="B343" s="38" t="n"/>
      <c r="C343" s="38" t="n"/>
      <c r="D343" s="38" t="n"/>
      <c r="E343" s="48" t="n"/>
      <c r="F343" s="38" t="n"/>
      <c r="G343" s="38" t="n"/>
      <c r="H343" s="38" t="n"/>
      <c r="I343" s="38" t="n"/>
      <c r="J343" s="49">
        <f>IF(B343="","",IFERROR(INDEX('SETTINGS'!$M$5:$M$24,MATCH(B343,'SETTINGS'!$L$5:$L$24,0)),"Yes"))</f>
        <v/>
      </c>
      <c r="K343" s="51">
        <f>IF(A343="","",DATE(YEAR(A343),MONTH(A343),1))</f>
        <v/>
      </c>
    </row>
    <row r="344">
      <c r="A344" s="47" t="n"/>
      <c r="B344" s="38" t="n"/>
      <c r="C344" s="38" t="n"/>
      <c r="D344" s="38" t="n"/>
      <c r="E344" s="48" t="n"/>
      <c r="F344" s="38" t="n"/>
      <c r="G344" s="38" t="n"/>
      <c r="H344" s="38" t="n"/>
      <c r="I344" s="38" t="n"/>
      <c r="J344" s="49">
        <f>IF(B344="","",IFERROR(INDEX('SETTINGS'!$M$5:$M$24,MATCH(B344,'SETTINGS'!$L$5:$L$24,0)),"Yes"))</f>
        <v/>
      </c>
      <c r="K344" s="51">
        <f>IF(A344="","",DATE(YEAR(A344),MONTH(A344),1))</f>
        <v/>
      </c>
    </row>
    <row r="345">
      <c r="A345" s="47" t="n"/>
      <c r="B345" s="38" t="n"/>
      <c r="C345" s="38" t="n"/>
      <c r="D345" s="38" t="n"/>
      <c r="E345" s="48" t="n"/>
      <c r="F345" s="38" t="n"/>
      <c r="G345" s="38" t="n"/>
      <c r="H345" s="38" t="n"/>
      <c r="I345" s="38" t="n"/>
      <c r="J345" s="49">
        <f>IF(B345="","",IFERROR(INDEX('SETTINGS'!$M$5:$M$24,MATCH(B345,'SETTINGS'!$L$5:$L$24,0)),"Yes"))</f>
        <v/>
      </c>
      <c r="K345" s="51">
        <f>IF(A345="","",DATE(YEAR(A345),MONTH(A345),1))</f>
        <v/>
      </c>
    </row>
    <row r="346">
      <c r="A346" s="47" t="n"/>
      <c r="B346" s="38" t="n"/>
      <c r="C346" s="38" t="n"/>
      <c r="D346" s="38" t="n"/>
      <c r="E346" s="48" t="n"/>
      <c r="F346" s="38" t="n"/>
      <c r="G346" s="38" t="n"/>
      <c r="H346" s="38" t="n"/>
      <c r="I346" s="38" t="n"/>
      <c r="J346" s="49">
        <f>IF(B346="","",IFERROR(INDEX('SETTINGS'!$M$5:$M$24,MATCH(B346,'SETTINGS'!$L$5:$L$24,0)),"Yes"))</f>
        <v/>
      </c>
      <c r="K346" s="51">
        <f>IF(A346="","",DATE(YEAR(A346),MONTH(A346),1))</f>
        <v/>
      </c>
    </row>
    <row r="347">
      <c r="A347" s="47" t="n"/>
      <c r="B347" s="38" t="n"/>
      <c r="C347" s="38" t="n"/>
      <c r="D347" s="38" t="n"/>
      <c r="E347" s="48" t="n"/>
      <c r="F347" s="38" t="n"/>
      <c r="G347" s="38" t="n"/>
      <c r="H347" s="38" t="n"/>
      <c r="I347" s="38" t="n"/>
      <c r="J347" s="49">
        <f>IF(B347="","",IFERROR(INDEX('SETTINGS'!$M$5:$M$24,MATCH(B347,'SETTINGS'!$L$5:$L$24,0)),"Yes"))</f>
        <v/>
      </c>
      <c r="K347" s="51">
        <f>IF(A347="","",DATE(YEAR(A347),MONTH(A347),1))</f>
        <v/>
      </c>
    </row>
    <row r="348">
      <c r="A348" s="47" t="n"/>
      <c r="B348" s="38" t="n"/>
      <c r="C348" s="38" t="n"/>
      <c r="D348" s="38" t="n"/>
      <c r="E348" s="48" t="n"/>
      <c r="F348" s="38" t="n"/>
      <c r="G348" s="38" t="n"/>
      <c r="H348" s="38" t="n"/>
      <c r="I348" s="38" t="n"/>
      <c r="J348" s="49">
        <f>IF(B348="","",IFERROR(INDEX('SETTINGS'!$M$5:$M$24,MATCH(B348,'SETTINGS'!$L$5:$L$24,0)),"Yes"))</f>
        <v/>
      </c>
      <c r="K348" s="51">
        <f>IF(A348="","",DATE(YEAR(A348),MONTH(A348),1))</f>
        <v/>
      </c>
    </row>
    <row r="349">
      <c r="A349" s="47" t="n"/>
      <c r="B349" s="38" t="n"/>
      <c r="C349" s="38" t="n"/>
      <c r="D349" s="38" t="n"/>
      <c r="E349" s="48" t="n"/>
      <c r="F349" s="38" t="n"/>
      <c r="G349" s="38" t="n"/>
      <c r="H349" s="38" t="n"/>
      <c r="I349" s="38" t="n"/>
      <c r="J349" s="49">
        <f>IF(B349="","",IFERROR(INDEX('SETTINGS'!$M$5:$M$24,MATCH(B349,'SETTINGS'!$L$5:$L$24,0)),"Yes"))</f>
        <v/>
      </c>
      <c r="K349" s="51">
        <f>IF(A349="","",DATE(YEAR(A349),MONTH(A349),1))</f>
        <v/>
      </c>
    </row>
    <row r="350">
      <c r="A350" s="47" t="n"/>
      <c r="B350" s="38" t="n"/>
      <c r="C350" s="38" t="n"/>
      <c r="D350" s="38" t="n"/>
      <c r="E350" s="48" t="n"/>
      <c r="F350" s="38" t="n"/>
      <c r="G350" s="38" t="n"/>
      <c r="H350" s="38" t="n"/>
      <c r="I350" s="38" t="n"/>
      <c r="J350" s="49">
        <f>IF(B350="","",IFERROR(INDEX('SETTINGS'!$M$5:$M$24,MATCH(B350,'SETTINGS'!$L$5:$L$24,0)),"Yes"))</f>
        <v/>
      </c>
      <c r="K350" s="51">
        <f>IF(A350="","",DATE(YEAR(A350),MONTH(A350),1))</f>
        <v/>
      </c>
    </row>
    <row r="351">
      <c r="A351" s="47" t="n"/>
      <c r="B351" s="38" t="n"/>
      <c r="C351" s="38" t="n"/>
      <c r="D351" s="38" t="n"/>
      <c r="E351" s="48" t="n"/>
      <c r="F351" s="38" t="n"/>
      <c r="G351" s="38" t="n"/>
      <c r="H351" s="38" t="n"/>
      <c r="I351" s="38" t="n"/>
      <c r="J351" s="49">
        <f>IF(B351="","",IFERROR(INDEX('SETTINGS'!$M$5:$M$24,MATCH(B351,'SETTINGS'!$L$5:$L$24,0)),"Yes"))</f>
        <v/>
      </c>
      <c r="K351" s="51">
        <f>IF(A351="","",DATE(YEAR(A351),MONTH(A351),1))</f>
        <v/>
      </c>
    </row>
    <row r="352">
      <c r="A352" s="47" t="n"/>
      <c r="B352" s="38" t="n"/>
      <c r="C352" s="38" t="n"/>
      <c r="D352" s="38" t="n"/>
      <c r="E352" s="48" t="n"/>
      <c r="F352" s="38" t="n"/>
      <c r="G352" s="38" t="n"/>
      <c r="H352" s="38" t="n"/>
      <c r="I352" s="38" t="n"/>
      <c r="J352" s="49">
        <f>IF(B352="","",IFERROR(INDEX('SETTINGS'!$M$5:$M$24,MATCH(B352,'SETTINGS'!$L$5:$L$24,0)),"Yes"))</f>
        <v/>
      </c>
      <c r="K352" s="51">
        <f>IF(A352="","",DATE(YEAR(A352),MONTH(A352),1))</f>
        <v/>
      </c>
    </row>
    <row r="353">
      <c r="A353" s="47" t="n"/>
      <c r="B353" s="38" t="n"/>
      <c r="C353" s="38" t="n"/>
      <c r="D353" s="38" t="n"/>
      <c r="E353" s="48" t="n"/>
      <c r="F353" s="38" t="n"/>
      <c r="G353" s="38" t="n"/>
      <c r="H353" s="38" t="n"/>
      <c r="I353" s="38" t="n"/>
      <c r="J353" s="49">
        <f>IF(B353="","",IFERROR(INDEX('SETTINGS'!$M$5:$M$24,MATCH(B353,'SETTINGS'!$L$5:$L$24,0)),"Yes"))</f>
        <v/>
      </c>
      <c r="K353" s="51">
        <f>IF(A353="","",DATE(YEAR(A353),MONTH(A353),1))</f>
        <v/>
      </c>
    </row>
    <row r="354">
      <c r="A354" s="47" t="n"/>
      <c r="B354" s="38" t="n"/>
      <c r="C354" s="38" t="n"/>
      <c r="D354" s="38" t="n"/>
      <c r="E354" s="48" t="n"/>
      <c r="F354" s="38" t="n"/>
      <c r="G354" s="38" t="n"/>
      <c r="H354" s="38" t="n"/>
      <c r="I354" s="38" t="n"/>
      <c r="J354" s="49">
        <f>IF(B354="","",IFERROR(INDEX('SETTINGS'!$M$5:$M$24,MATCH(B354,'SETTINGS'!$L$5:$L$24,0)),"Yes"))</f>
        <v/>
      </c>
      <c r="K354" s="51">
        <f>IF(A354="","",DATE(YEAR(A354),MONTH(A354),1))</f>
        <v/>
      </c>
    </row>
    <row r="355">
      <c r="A355" s="47" t="n"/>
      <c r="B355" s="38" t="n"/>
      <c r="C355" s="38" t="n"/>
      <c r="D355" s="38" t="n"/>
      <c r="E355" s="48" t="n"/>
      <c r="F355" s="38" t="n"/>
      <c r="G355" s="38" t="n"/>
      <c r="H355" s="38" t="n"/>
      <c r="I355" s="38" t="n"/>
      <c r="J355" s="49">
        <f>IF(B355="","",IFERROR(INDEX('SETTINGS'!$M$5:$M$24,MATCH(B355,'SETTINGS'!$L$5:$L$24,0)),"Yes"))</f>
        <v/>
      </c>
      <c r="K355" s="51">
        <f>IF(A355="","",DATE(YEAR(A355),MONTH(A355),1))</f>
        <v/>
      </c>
    </row>
    <row r="356">
      <c r="A356" s="47" t="n"/>
      <c r="B356" s="38" t="n"/>
      <c r="C356" s="38" t="n"/>
      <c r="D356" s="38" t="n"/>
      <c r="E356" s="48" t="n"/>
      <c r="F356" s="38" t="n"/>
      <c r="G356" s="38" t="n"/>
      <c r="H356" s="38" t="n"/>
      <c r="I356" s="38" t="n"/>
      <c r="J356" s="49">
        <f>IF(B356="","",IFERROR(INDEX('SETTINGS'!$M$5:$M$24,MATCH(B356,'SETTINGS'!$L$5:$L$24,0)),"Yes"))</f>
        <v/>
      </c>
      <c r="K356" s="51">
        <f>IF(A356="","",DATE(YEAR(A356),MONTH(A356),1))</f>
        <v/>
      </c>
    </row>
    <row r="357">
      <c r="A357" s="47" t="n"/>
      <c r="B357" s="38" t="n"/>
      <c r="C357" s="38" t="n"/>
      <c r="D357" s="38" t="n"/>
      <c r="E357" s="48" t="n"/>
      <c r="F357" s="38" t="n"/>
      <c r="G357" s="38" t="n"/>
      <c r="H357" s="38" t="n"/>
      <c r="I357" s="38" t="n"/>
      <c r="J357" s="49">
        <f>IF(B357="","",IFERROR(INDEX('SETTINGS'!$M$5:$M$24,MATCH(B357,'SETTINGS'!$L$5:$L$24,0)),"Yes"))</f>
        <v/>
      </c>
      <c r="K357" s="51">
        <f>IF(A357="","",DATE(YEAR(A357),MONTH(A357),1))</f>
        <v/>
      </c>
    </row>
    <row r="358">
      <c r="A358" s="47" t="n"/>
      <c r="B358" s="38" t="n"/>
      <c r="C358" s="38" t="n"/>
      <c r="D358" s="38" t="n"/>
      <c r="E358" s="48" t="n"/>
      <c r="F358" s="38" t="n"/>
      <c r="G358" s="38" t="n"/>
      <c r="H358" s="38" t="n"/>
      <c r="I358" s="38" t="n"/>
      <c r="J358" s="49">
        <f>IF(B358="","",IFERROR(INDEX('SETTINGS'!$M$5:$M$24,MATCH(B358,'SETTINGS'!$L$5:$L$24,0)),"Yes"))</f>
        <v/>
      </c>
      <c r="K358" s="51">
        <f>IF(A358="","",DATE(YEAR(A358),MONTH(A358),1))</f>
        <v/>
      </c>
    </row>
    <row r="359">
      <c r="A359" s="47" t="n"/>
      <c r="B359" s="38" t="n"/>
      <c r="C359" s="38" t="n"/>
      <c r="D359" s="38" t="n"/>
      <c r="E359" s="48" t="n"/>
      <c r="F359" s="38" t="n"/>
      <c r="G359" s="38" t="n"/>
      <c r="H359" s="38" t="n"/>
      <c r="I359" s="38" t="n"/>
      <c r="J359" s="49">
        <f>IF(B359="","",IFERROR(INDEX('SETTINGS'!$M$5:$M$24,MATCH(B359,'SETTINGS'!$L$5:$L$24,0)),"Yes"))</f>
        <v/>
      </c>
      <c r="K359" s="51">
        <f>IF(A359="","",DATE(YEAR(A359),MONTH(A359),1))</f>
        <v/>
      </c>
    </row>
    <row r="360">
      <c r="A360" s="47" t="n"/>
      <c r="B360" s="38" t="n"/>
      <c r="C360" s="38" t="n"/>
      <c r="D360" s="38" t="n"/>
      <c r="E360" s="48" t="n"/>
      <c r="F360" s="38" t="n"/>
      <c r="G360" s="38" t="n"/>
      <c r="H360" s="38" t="n"/>
      <c r="I360" s="38" t="n"/>
      <c r="J360" s="49">
        <f>IF(B360="","",IFERROR(INDEX('SETTINGS'!$M$5:$M$24,MATCH(B360,'SETTINGS'!$L$5:$L$24,0)),"Yes"))</f>
        <v/>
      </c>
      <c r="K360" s="51">
        <f>IF(A360="","",DATE(YEAR(A360),MONTH(A360),1))</f>
        <v/>
      </c>
    </row>
    <row r="361">
      <c r="A361" s="47" t="n"/>
      <c r="B361" s="38" t="n"/>
      <c r="C361" s="38" t="n"/>
      <c r="D361" s="38" t="n"/>
      <c r="E361" s="48" t="n"/>
      <c r="F361" s="38" t="n"/>
      <c r="G361" s="38" t="n"/>
      <c r="H361" s="38" t="n"/>
      <c r="I361" s="38" t="n"/>
      <c r="J361" s="49">
        <f>IF(B361="","",IFERROR(INDEX('SETTINGS'!$M$5:$M$24,MATCH(B361,'SETTINGS'!$L$5:$L$24,0)),"Yes"))</f>
        <v/>
      </c>
      <c r="K361" s="51">
        <f>IF(A361="","",DATE(YEAR(A361),MONTH(A361),1))</f>
        <v/>
      </c>
    </row>
    <row r="362">
      <c r="A362" s="47" t="n"/>
      <c r="B362" s="38" t="n"/>
      <c r="C362" s="38" t="n"/>
      <c r="D362" s="38" t="n"/>
      <c r="E362" s="48" t="n"/>
      <c r="F362" s="38" t="n"/>
      <c r="G362" s="38" t="n"/>
      <c r="H362" s="38" t="n"/>
      <c r="I362" s="38" t="n"/>
      <c r="J362" s="49">
        <f>IF(B362="","",IFERROR(INDEX('SETTINGS'!$M$5:$M$24,MATCH(B362,'SETTINGS'!$L$5:$L$24,0)),"Yes"))</f>
        <v/>
      </c>
      <c r="K362" s="51">
        <f>IF(A362="","",DATE(YEAR(A362),MONTH(A362),1))</f>
        <v/>
      </c>
    </row>
    <row r="363">
      <c r="A363" s="47" t="n"/>
      <c r="B363" s="38" t="n"/>
      <c r="C363" s="38" t="n"/>
      <c r="D363" s="38" t="n"/>
      <c r="E363" s="48" t="n"/>
      <c r="F363" s="38" t="n"/>
      <c r="G363" s="38" t="n"/>
      <c r="H363" s="38" t="n"/>
      <c r="I363" s="38" t="n"/>
      <c r="J363" s="49">
        <f>IF(B363="","",IFERROR(INDEX('SETTINGS'!$M$5:$M$24,MATCH(B363,'SETTINGS'!$L$5:$L$24,0)),"Yes"))</f>
        <v/>
      </c>
      <c r="K363" s="51">
        <f>IF(A363="","",DATE(YEAR(A363),MONTH(A363),1))</f>
        <v/>
      </c>
    </row>
    <row r="364">
      <c r="A364" s="47" t="n"/>
      <c r="B364" s="38" t="n"/>
      <c r="C364" s="38" t="n"/>
      <c r="D364" s="38" t="n"/>
      <c r="E364" s="48" t="n"/>
      <c r="F364" s="38" t="n"/>
      <c r="G364" s="38" t="n"/>
      <c r="H364" s="38" t="n"/>
      <c r="I364" s="38" t="n"/>
      <c r="J364" s="49">
        <f>IF(B364="","",IFERROR(INDEX('SETTINGS'!$M$5:$M$24,MATCH(B364,'SETTINGS'!$L$5:$L$24,0)),"Yes"))</f>
        <v/>
      </c>
      <c r="K364" s="51">
        <f>IF(A364="","",DATE(YEAR(A364),MONTH(A364),1))</f>
        <v/>
      </c>
    </row>
    <row r="365">
      <c r="A365" s="47" t="n"/>
      <c r="B365" s="38" t="n"/>
      <c r="C365" s="38" t="n"/>
      <c r="D365" s="38" t="n"/>
      <c r="E365" s="48" t="n"/>
      <c r="F365" s="38" t="n"/>
      <c r="G365" s="38" t="n"/>
      <c r="H365" s="38" t="n"/>
      <c r="I365" s="38" t="n"/>
      <c r="J365" s="49">
        <f>IF(B365="","",IFERROR(INDEX('SETTINGS'!$M$5:$M$24,MATCH(B365,'SETTINGS'!$L$5:$L$24,0)),"Yes"))</f>
        <v/>
      </c>
      <c r="K365" s="51">
        <f>IF(A365="","",DATE(YEAR(A365),MONTH(A365),1))</f>
        <v/>
      </c>
    </row>
    <row r="366">
      <c r="A366" s="47" t="n"/>
      <c r="B366" s="38" t="n"/>
      <c r="C366" s="38" t="n"/>
      <c r="D366" s="38" t="n"/>
      <c r="E366" s="48" t="n"/>
      <c r="F366" s="38" t="n"/>
      <c r="G366" s="38" t="n"/>
      <c r="H366" s="38" t="n"/>
      <c r="I366" s="38" t="n"/>
      <c r="J366" s="49">
        <f>IF(B366="","",IFERROR(INDEX('SETTINGS'!$M$5:$M$24,MATCH(B366,'SETTINGS'!$L$5:$L$24,0)),"Yes"))</f>
        <v/>
      </c>
      <c r="K366" s="51">
        <f>IF(A366="","",DATE(YEAR(A366),MONTH(A366),1))</f>
        <v/>
      </c>
    </row>
    <row r="367">
      <c r="A367" s="47" t="n"/>
      <c r="B367" s="38" t="n"/>
      <c r="C367" s="38" t="n"/>
      <c r="D367" s="38" t="n"/>
      <c r="E367" s="48" t="n"/>
      <c r="F367" s="38" t="n"/>
      <c r="G367" s="38" t="n"/>
      <c r="H367" s="38" t="n"/>
      <c r="I367" s="38" t="n"/>
      <c r="J367" s="49">
        <f>IF(B367="","",IFERROR(INDEX('SETTINGS'!$M$5:$M$24,MATCH(B367,'SETTINGS'!$L$5:$L$24,0)),"Yes"))</f>
        <v/>
      </c>
      <c r="K367" s="51">
        <f>IF(A367="","",DATE(YEAR(A367),MONTH(A367),1))</f>
        <v/>
      </c>
    </row>
    <row r="368">
      <c r="A368" s="47" t="n"/>
      <c r="B368" s="38" t="n"/>
      <c r="C368" s="38" t="n"/>
      <c r="D368" s="38" t="n"/>
      <c r="E368" s="48" t="n"/>
      <c r="F368" s="38" t="n"/>
      <c r="G368" s="38" t="n"/>
      <c r="H368" s="38" t="n"/>
      <c r="I368" s="38" t="n"/>
      <c r="J368" s="49">
        <f>IF(B368="","",IFERROR(INDEX('SETTINGS'!$M$5:$M$24,MATCH(B368,'SETTINGS'!$L$5:$L$24,0)),"Yes"))</f>
        <v/>
      </c>
      <c r="K368" s="51">
        <f>IF(A368="","",DATE(YEAR(A368),MONTH(A368),1))</f>
        <v/>
      </c>
    </row>
    <row r="369">
      <c r="A369" s="47" t="n"/>
      <c r="B369" s="38" t="n"/>
      <c r="C369" s="38" t="n"/>
      <c r="D369" s="38" t="n"/>
      <c r="E369" s="48" t="n"/>
      <c r="F369" s="38" t="n"/>
      <c r="G369" s="38" t="n"/>
      <c r="H369" s="38" t="n"/>
      <c r="I369" s="38" t="n"/>
      <c r="J369" s="49">
        <f>IF(B369="","",IFERROR(INDEX('SETTINGS'!$M$5:$M$24,MATCH(B369,'SETTINGS'!$L$5:$L$24,0)),"Yes"))</f>
        <v/>
      </c>
      <c r="K369" s="51">
        <f>IF(A369="","",DATE(YEAR(A369),MONTH(A369),1))</f>
        <v/>
      </c>
    </row>
    <row r="370">
      <c r="A370" s="47" t="n"/>
      <c r="B370" s="38" t="n"/>
      <c r="C370" s="38" t="n"/>
      <c r="D370" s="38" t="n"/>
      <c r="E370" s="48" t="n"/>
      <c r="F370" s="38" t="n"/>
      <c r="G370" s="38" t="n"/>
      <c r="H370" s="38" t="n"/>
      <c r="I370" s="38" t="n"/>
      <c r="J370" s="49">
        <f>IF(B370="","",IFERROR(INDEX('SETTINGS'!$M$5:$M$24,MATCH(B370,'SETTINGS'!$L$5:$L$24,0)),"Yes"))</f>
        <v/>
      </c>
      <c r="K370" s="51">
        <f>IF(A370="","",DATE(YEAR(A370),MONTH(A370),1))</f>
        <v/>
      </c>
    </row>
    <row r="371">
      <c r="A371" s="47" t="n"/>
      <c r="B371" s="38" t="n"/>
      <c r="C371" s="38" t="n"/>
      <c r="D371" s="38" t="n"/>
      <c r="E371" s="48" t="n"/>
      <c r="F371" s="38" t="n"/>
      <c r="G371" s="38" t="n"/>
      <c r="H371" s="38" t="n"/>
      <c r="I371" s="38" t="n"/>
      <c r="J371" s="49">
        <f>IF(B371="","",IFERROR(INDEX('SETTINGS'!$M$5:$M$24,MATCH(B371,'SETTINGS'!$L$5:$L$24,0)),"Yes"))</f>
        <v/>
      </c>
      <c r="K371" s="51">
        <f>IF(A371="","",DATE(YEAR(A371),MONTH(A371),1))</f>
        <v/>
      </c>
    </row>
    <row r="372">
      <c r="A372" s="47" t="n"/>
      <c r="B372" s="38" t="n"/>
      <c r="C372" s="38" t="n"/>
      <c r="D372" s="38" t="n"/>
      <c r="E372" s="48" t="n"/>
      <c r="F372" s="38" t="n"/>
      <c r="G372" s="38" t="n"/>
      <c r="H372" s="38" t="n"/>
      <c r="I372" s="38" t="n"/>
      <c r="J372" s="49">
        <f>IF(B372="","",IFERROR(INDEX('SETTINGS'!$M$5:$M$24,MATCH(B372,'SETTINGS'!$L$5:$L$24,0)),"Yes"))</f>
        <v/>
      </c>
      <c r="K372" s="51">
        <f>IF(A372="","",DATE(YEAR(A372),MONTH(A372),1))</f>
        <v/>
      </c>
    </row>
    <row r="373">
      <c r="A373" s="47" t="n"/>
      <c r="B373" s="38" t="n"/>
      <c r="C373" s="38" t="n"/>
      <c r="D373" s="38" t="n"/>
      <c r="E373" s="48" t="n"/>
      <c r="F373" s="38" t="n"/>
      <c r="G373" s="38" t="n"/>
      <c r="H373" s="38" t="n"/>
      <c r="I373" s="38" t="n"/>
      <c r="J373" s="49">
        <f>IF(B373="","",IFERROR(INDEX('SETTINGS'!$M$5:$M$24,MATCH(B373,'SETTINGS'!$L$5:$L$24,0)),"Yes"))</f>
        <v/>
      </c>
      <c r="K373" s="51">
        <f>IF(A373="","",DATE(YEAR(A373),MONTH(A373),1))</f>
        <v/>
      </c>
    </row>
    <row r="374">
      <c r="A374" s="47" t="n"/>
      <c r="B374" s="38" t="n"/>
      <c r="C374" s="38" t="n"/>
      <c r="D374" s="38" t="n"/>
      <c r="E374" s="48" t="n"/>
      <c r="F374" s="38" t="n"/>
      <c r="G374" s="38" t="n"/>
      <c r="H374" s="38" t="n"/>
      <c r="I374" s="38" t="n"/>
      <c r="J374" s="49">
        <f>IF(B374="","",IFERROR(INDEX('SETTINGS'!$M$5:$M$24,MATCH(B374,'SETTINGS'!$L$5:$L$24,0)),"Yes"))</f>
        <v/>
      </c>
      <c r="K374" s="51">
        <f>IF(A374="","",DATE(YEAR(A374),MONTH(A374),1))</f>
        <v/>
      </c>
    </row>
    <row r="375">
      <c r="A375" s="47" t="n"/>
      <c r="B375" s="38" t="n"/>
      <c r="C375" s="38" t="n"/>
      <c r="D375" s="38" t="n"/>
      <c r="E375" s="48" t="n"/>
      <c r="F375" s="38" t="n"/>
      <c r="G375" s="38" t="n"/>
      <c r="H375" s="38" t="n"/>
      <c r="I375" s="38" t="n"/>
      <c r="J375" s="49">
        <f>IF(B375="","",IFERROR(INDEX('SETTINGS'!$M$5:$M$24,MATCH(B375,'SETTINGS'!$L$5:$L$24,0)),"Yes"))</f>
        <v/>
      </c>
      <c r="K375" s="51">
        <f>IF(A375="","",DATE(YEAR(A375),MONTH(A375),1))</f>
        <v/>
      </c>
    </row>
    <row r="376">
      <c r="A376" s="47" t="n"/>
      <c r="B376" s="38" t="n"/>
      <c r="C376" s="38" t="n"/>
      <c r="D376" s="38" t="n"/>
      <c r="E376" s="48" t="n"/>
      <c r="F376" s="38" t="n"/>
      <c r="G376" s="38" t="n"/>
      <c r="H376" s="38" t="n"/>
      <c r="I376" s="38" t="n"/>
      <c r="J376" s="49">
        <f>IF(B376="","",IFERROR(INDEX('SETTINGS'!$M$5:$M$24,MATCH(B376,'SETTINGS'!$L$5:$L$24,0)),"Yes"))</f>
        <v/>
      </c>
      <c r="K376" s="51">
        <f>IF(A376="","",DATE(YEAR(A376),MONTH(A376),1))</f>
        <v/>
      </c>
    </row>
    <row r="377">
      <c r="A377" s="47" t="n"/>
      <c r="B377" s="38" t="n"/>
      <c r="C377" s="38" t="n"/>
      <c r="D377" s="38" t="n"/>
      <c r="E377" s="48" t="n"/>
      <c r="F377" s="38" t="n"/>
      <c r="G377" s="38" t="n"/>
      <c r="H377" s="38" t="n"/>
      <c r="I377" s="38" t="n"/>
      <c r="J377" s="49">
        <f>IF(B377="","",IFERROR(INDEX('SETTINGS'!$M$5:$M$24,MATCH(B377,'SETTINGS'!$L$5:$L$24,0)),"Yes"))</f>
        <v/>
      </c>
      <c r="K377" s="51">
        <f>IF(A377="","",DATE(YEAR(A377),MONTH(A377),1))</f>
        <v/>
      </c>
    </row>
    <row r="378">
      <c r="A378" s="47" t="n"/>
      <c r="B378" s="38" t="n"/>
      <c r="C378" s="38" t="n"/>
      <c r="D378" s="38" t="n"/>
      <c r="E378" s="48" t="n"/>
      <c r="F378" s="38" t="n"/>
      <c r="G378" s="38" t="n"/>
      <c r="H378" s="38" t="n"/>
      <c r="I378" s="38" t="n"/>
      <c r="J378" s="49">
        <f>IF(B378="","",IFERROR(INDEX('SETTINGS'!$M$5:$M$24,MATCH(B378,'SETTINGS'!$L$5:$L$24,0)),"Yes"))</f>
        <v/>
      </c>
      <c r="K378" s="51">
        <f>IF(A378="","",DATE(YEAR(A378),MONTH(A378),1))</f>
        <v/>
      </c>
    </row>
    <row r="379">
      <c r="A379" s="47" t="n"/>
      <c r="B379" s="38" t="n"/>
      <c r="C379" s="38" t="n"/>
      <c r="D379" s="38" t="n"/>
      <c r="E379" s="48" t="n"/>
      <c r="F379" s="38" t="n"/>
      <c r="G379" s="38" t="n"/>
      <c r="H379" s="38" t="n"/>
      <c r="I379" s="38" t="n"/>
      <c r="J379" s="49">
        <f>IF(B379="","",IFERROR(INDEX('SETTINGS'!$M$5:$M$24,MATCH(B379,'SETTINGS'!$L$5:$L$24,0)),"Yes"))</f>
        <v/>
      </c>
      <c r="K379" s="51">
        <f>IF(A379="","",DATE(YEAR(A379),MONTH(A379),1))</f>
        <v/>
      </c>
    </row>
    <row r="380">
      <c r="A380" s="47" t="n"/>
      <c r="B380" s="38" t="n"/>
      <c r="C380" s="38" t="n"/>
      <c r="D380" s="38" t="n"/>
      <c r="E380" s="48" t="n"/>
      <c r="F380" s="38" t="n"/>
      <c r="G380" s="38" t="n"/>
      <c r="H380" s="38" t="n"/>
      <c r="I380" s="38" t="n"/>
      <c r="J380" s="49">
        <f>IF(B380="","",IFERROR(INDEX('SETTINGS'!$M$5:$M$24,MATCH(B380,'SETTINGS'!$L$5:$L$24,0)),"Yes"))</f>
        <v/>
      </c>
      <c r="K380" s="51">
        <f>IF(A380="","",DATE(YEAR(A380),MONTH(A380),1))</f>
        <v/>
      </c>
    </row>
    <row r="381">
      <c r="A381" s="47" t="n"/>
      <c r="B381" s="38" t="n"/>
      <c r="C381" s="38" t="n"/>
      <c r="D381" s="38" t="n"/>
      <c r="E381" s="48" t="n"/>
      <c r="F381" s="38" t="n"/>
      <c r="G381" s="38" t="n"/>
      <c r="H381" s="38" t="n"/>
      <c r="I381" s="38" t="n"/>
      <c r="J381" s="49">
        <f>IF(B381="","",IFERROR(INDEX('SETTINGS'!$M$5:$M$24,MATCH(B381,'SETTINGS'!$L$5:$L$24,0)),"Yes"))</f>
        <v/>
      </c>
      <c r="K381" s="51">
        <f>IF(A381="","",DATE(YEAR(A381),MONTH(A381),1))</f>
        <v/>
      </c>
    </row>
    <row r="382">
      <c r="A382" s="47" t="n"/>
      <c r="B382" s="38" t="n"/>
      <c r="C382" s="38" t="n"/>
      <c r="D382" s="38" t="n"/>
      <c r="E382" s="48" t="n"/>
      <c r="F382" s="38" t="n"/>
      <c r="G382" s="38" t="n"/>
      <c r="H382" s="38" t="n"/>
      <c r="I382" s="38" t="n"/>
      <c r="J382" s="49">
        <f>IF(B382="","",IFERROR(INDEX('SETTINGS'!$M$5:$M$24,MATCH(B382,'SETTINGS'!$L$5:$L$24,0)),"Yes"))</f>
        <v/>
      </c>
      <c r="K382" s="51">
        <f>IF(A382="","",DATE(YEAR(A382),MONTH(A382),1))</f>
        <v/>
      </c>
    </row>
    <row r="383">
      <c r="A383" s="47" t="n"/>
      <c r="B383" s="38" t="n"/>
      <c r="C383" s="38" t="n"/>
      <c r="D383" s="38" t="n"/>
      <c r="E383" s="48" t="n"/>
      <c r="F383" s="38" t="n"/>
      <c r="G383" s="38" t="n"/>
      <c r="H383" s="38" t="n"/>
      <c r="I383" s="38" t="n"/>
      <c r="J383" s="49">
        <f>IF(B383="","",IFERROR(INDEX('SETTINGS'!$M$5:$M$24,MATCH(B383,'SETTINGS'!$L$5:$L$24,0)),"Yes"))</f>
        <v/>
      </c>
      <c r="K383" s="51">
        <f>IF(A383="","",DATE(YEAR(A383),MONTH(A383),1))</f>
        <v/>
      </c>
    </row>
    <row r="384">
      <c r="A384" s="47" t="n"/>
      <c r="B384" s="38" t="n"/>
      <c r="C384" s="38" t="n"/>
      <c r="D384" s="38" t="n"/>
      <c r="E384" s="48" t="n"/>
      <c r="F384" s="38" t="n"/>
      <c r="G384" s="38" t="n"/>
      <c r="H384" s="38" t="n"/>
      <c r="I384" s="38" t="n"/>
      <c r="J384" s="49">
        <f>IF(B384="","",IFERROR(INDEX('SETTINGS'!$M$5:$M$24,MATCH(B384,'SETTINGS'!$L$5:$L$24,0)),"Yes"))</f>
        <v/>
      </c>
      <c r="K384" s="51">
        <f>IF(A384="","",DATE(YEAR(A384),MONTH(A384),1))</f>
        <v/>
      </c>
    </row>
    <row r="385">
      <c r="A385" s="47" t="n"/>
      <c r="B385" s="38" t="n"/>
      <c r="C385" s="38" t="n"/>
      <c r="D385" s="38" t="n"/>
      <c r="E385" s="48" t="n"/>
      <c r="F385" s="38" t="n"/>
      <c r="G385" s="38" t="n"/>
      <c r="H385" s="38" t="n"/>
      <c r="I385" s="38" t="n"/>
      <c r="J385" s="49">
        <f>IF(B385="","",IFERROR(INDEX('SETTINGS'!$M$5:$M$24,MATCH(B385,'SETTINGS'!$L$5:$L$24,0)),"Yes"))</f>
        <v/>
      </c>
      <c r="K385" s="51">
        <f>IF(A385="","",DATE(YEAR(A385),MONTH(A385),1))</f>
        <v/>
      </c>
    </row>
    <row r="386">
      <c r="A386" s="47" t="n"/>
      <c r="B386" s="38" t="n"/>
      <c r="C386" s="38" t="n"/>
      <c r="D386" s="38" t="n"/>
      <c r="E386" s="48" t="n"/>
      <c r="F386" s="38" t="n"/>
      <c r="G386" s="38" t="n"/>
      <c r="H386" s="38" t="n"/>
      <c r="I386" s="38" t="n"/>
      <c r="J386" s="49">
        <f>IF(B386="","",IFERROR(INDEX('SETTINGS'!$M$5:$M$24,MATCH(B386,'SETTINGS'!$L$5:$L$24,0)),"Yes"))</f>
        <v/>
      </c>
      <c r="K386" s="51">
        <f>IF(A386="","",DATE(YEAR(A386),MONTH(A386),1))</f>
        <v/>
      </c>
    </row>
    <row r="387">
      <c r="A387" s="47" t="n"/>
      <c r="B387" s="38" t="n"/>
      <c r="C387" s="38" t="n"/>
      <c r="D387" s="38" t="n"/>
      <c r="E387" s="48" t="n"/>
      <c r="F387" s="38" t="n"/>
      <c r="G387" s="38" t="n"/>
      <c r="H387" s="38" t="n"/>
      <c r="I387" s="38" t="n"/>
      <c r="J387" s="49">
        <f>IF(B387="","",IFERROR(INDEX('SETTINGS'!$M$5:$M$24,MATCH(B387,'SETTINGS'!$L$5:$L$24,0)),"Yes"))</f>
        <v/>
      </c>
      <c r="K387" s="51">
        <f>IF(A387="","",DATE(YEAR(A387),MONTH(A387),1))</f>
        <v/>
      </c>
    </row>
    <row r="388">
      <c r="A388" s="47" t="n"/>
      <c r="B388" s="38" t="n"/>
      <c r="C388" s="38" t="n"/>
      <c r="D388" s="38" t="n"/>
      <c r="E388" s="48" t="n"/>
      <c r="F388" s="38" t="n"/>
      <c r="G388" s="38" t="n"/>
      <c r="H388" s="38" t="n"/>
      <c r="I388" s="38" t="n"/>
      <c r="J388" s="49">
        <f>IF(B388="","",IFERROR(INDEX('SETTINGS'!$M$5:$M$24,MATCH(B388,'SETTINGS'!$L$5:$L$24,0)),"Yes"))</f>
        <v/>
      </c>
      <c r="K388" s="51">
        <f>IF(A388="","",DATE(YEAR(A388),MONTH(A388),1))</f>
        <v/>
      </c>
    </row>
    <row r="389">
      <c r="A389" s="47" t="n"/>
      <c r="B389" s="38" t="n"/>
      <c r="C389" s="38" t="n"/>
      <c r="D389" s="38" t="n"/>
      <c r="E389" s="48" t="n"/>
      <c r="F389" s="38" t="n"/>
      <c r="G389" s="38" t="n"/>
      <c r="H389" s="38" t="n"/>
      <c r="I389" s="38" t="n"/>
      <c r="J389" s="49">
        <f>IF(B389="","",IFERROR(INDEX('SETTINGS'!$M$5:$M$24,MATCH(B389,'SETTINGS'!$L$5:$L$24,0)),"Yes"))</f>
        <v/>
      </c>
      <c r="K389" s="51">
        <f>IF(A389="","",DATE(YEAR(A389),MONTH(A389),1))</f>
        <v/>
      </c>
    </row>
    <row r="390">
      <c r="A390" s="47" t="n"/>
      <c r="B390" s="38" t="n"/>
      <c r="C390" s="38" t="n"/>
      <c r="D390" s="38" t="n"/>
      <c r="E390" s="48" t="n"/>
      <c r="F390" s="38" t="n"/>
      <c r="G390" s="38" t="n"/>
      <c r="H390" s="38" t="n"/>
      <c r="I390" s="38" t="n"/>
      <c r="J390" s="49">
        <f>IF(B390="","",IFERROR(INDEX('SETTINGS'!$M$5:$M$24,MATCH(B390,'SETTINGS'!$L$5:$L$24,0)),"Yes"))</f>
        <v/>
      </c>
      <c r="K390" s="51">
        <f>IF(A390="","",DATE(YEAR(A390),MONTH(A390),1))</f>
        <v/>
      </c>
    </row>
    <row r="391">
      <c r="A391" s="47" t="n"/>
      <c r="B391" s="38" t="n"/>
      <c r="C391" s="38" t="n"/>
      <c r="D391" s="38" t="n"/>
      <c r="E391" s="48" t="n"/>
      <c r="F391" s="38" t="n"/>
      <c r="G391" s="38" t="n"/>
      <c r="H391" s="38" t="n"/>
      <c r="I391" s="38" t="n"/>
      <c r="J391" s="49">
        <f>IF(B391="","",IFERROR(INDEX('SETTINGS'!$M$5:$M$24,MATCH(B391,'SETTINGS'!$L$5:$L$24,0)),"Yes"))</f>
        <v/>
      </c>
      <c r="K391" s="51">
        <f>IF(A391="","",DATE(YEAR(A391),MONTH(A391),1))</f>
        <v/>
      </c>
    </row>
    <row r="392">
      <c r="A392" s="47" t="n"/>
      <c r="B392" s="38" t="n"/>
      <c r="C392" s="38" t="n"/>
      <c r="D392" s="38" t="n"/>
      <c r="E392" s="48" t="n"/>
      <c r="F392" s="38" t="n"/>
      <c r="G392" s="38" t="n"/>
      <c r="H392" s="38" t="n"/>
      <c r="I392" s="38" t="n"/>
      <c r="J392" s="49">
        <f>IF(B392="","",IFERROR(INDEX('SETTINGS'!$M$5:$M$24,MATCH(B392,'SETTINGS'!$L$5:$L$24,0)),"Yes"))</f>
        <v/>
      </c>
      <c r="K392" s="51">
        <f>IF(A392="","",DATE(YEAR(A392),MONTH(A392),1))</f>
        <v/>
      </c>
    </row>
    <row r="393">
      <c r="A393" s="47" t="n"/>
      <c r="B393" s="38" t="n"/>
      <c r="C393" s="38" t="n"/>
      <c r="D393" s="38" t="n"/>
      <c r="E393" s="48" t="n"/>
      <c r="F393" s="38" t="n"/>
      <c r="G393" s="38" t="n"/>
      <c r="H393" s="38" t="n"/>
      <c r="I393" s="38" t="n"/>
      <c r="J393" s="49">
        <f>IF(B393="","",IFERROR(INDEX('SETTINGS'!$M$5:$M$24,MATCH(B393,'SETTINGS'!$L$5:$L$24,0)),"Yes"))</f>
        <v/>
      </c>
      <c r="K393" s="51">
        <f>IF(A393="","",DATE(YEAR(A393),MONTH(A393),1))</f>
        <v/>
      </c>
    </row>
    <row r="394">
      <c r="A394" s="47" t="n"/>
      <c r="B394" s="38" t="n"/>
      <c r="C394" s="38" t="n"/>
      <c r="D394" s="38" t="n"/>
      <c r="E394" s="48" t="n"/>
      <c r="F394" s="38" t="n"/>
      <c r="G394" s="38" t="n"/>
      <c r="H394" s="38" t="n"/>
      <c r="I394" s="38" t="n"/>
      <c r="J394" s="49">
        <f>IF(B394="","",IFERROR(INDEX('SETTINGS'!$M$5:$M$24,MATCH(B394,'SETTINGS'!$L$5:$L$24,0)),"Yes"))</f>
        <v/>
      </c>
      <c r="K394" s="51">
        <f>IF(A394="","",DATE(YEAR(A394),MONTH(A394),1))</f>
        <v/>
      </c>
    </row>
    <row r="395">
      <c r="A395" s="47" t="n"/>
      <c r="B395" s="38" t="n"/>
      <c r="C395" s="38" t="n"/>
      <c r="D395" s="38" t="n"/>
      <c r="E395" s="48" t="n"/>
      <c r="F395" s="38" t="n"/>
      <c r="G395" s="38" t="n"/>
      <c r="H395" s="38" t="n"/>
      <c r="I395" s="38" t="n"/>
      <c r="J395" s="49">
        <f>IF(B395="","",IFERROR(INDEX('SETTINGS'!$M$5:$M$24,MATCH(B395,'SETTINGS'!$L$5:$L$24,0)),"Yes"))</f>
        <v/>
      </c>
      <c r="K395" s="51">
        <f>IF(A395="","",DATE(YEAR(A395),MONTH(A395),1))</f>
        <v/>
      </c>
    </row>
    <row r="396">
      <c r="A396" s="47" t="n"/>
      <c r="B396" s="38" t="n"/>
      <c r="C396" s="38" t="n"/>
      <c r="D396" s="38" t="n"/>
      <c r="E396" s="48" t="n"/>
      <c r="F396" s="38" t="n"/>
      <c r="G396" s="38" t="n"/>
      <c r="H396" s="38" t="n"/>
      <c r="I396" s="38" t="n"/>
      <c r="J396" s="49">
        <f>IF(B396="","",IFERROR(INDEX('SETTINGS'!$M$5:$M$24,MATCH(B396,'SETTINGS'!$L$5:$L$24,0)),"Yes"))</f>
        <v/>
      </c>
      <c r="K396" s="51">
        <f>IF(A396="","",DATE(YEAR(A396),MONTH(A396),1))</f>
        <v/>
      </c>
    </row>
    <row r="397">
      <c r="A397" s="47" t="n"/>
      <c r="B397" s="38" t="n"/>
      <c r="C397" s="38" t="n"/>
      <c r="D397" s="38" t="n"/>
      <c r="E397" s="48" t="n"/>
      <c r="F397" s="38" t="n"/>
      <c r="G397" s="38" t="n"/>
      <c r="H397" s="38" t="n"/>
      <c r="I397" s="38" t="n"/>
      <c r="J397" s="49">
        <f>IF(B397="","",IFERROR(INDEX('SETTINGS'!$M$5:$M$24,MATCH(B397,'SETTINGS'!$L$5:$L$24,0)),"Yes"))</f>
        <v/>
      </c>
      <c r="K397" s="51">
        <f>IF(A397="","",DATE(YEAR(A397),MONTH(A397),1))</f>
        <v/>
      </c>
    </row>
    <row r="398">
      <c r="A398" s="47" t="n"/>
      <c r="B398" s="38" t="n"/>
      <c r="C398" s="38" t="n"/>
      <c r="D398" s="38" t="n"/>
      <c r="E398" s="48" t="n"/>
      <c r="F398" s="38" t="n"/>
      <c r="G398" s="38" t="n"/>
      <c r="H398" s="38" t="n"/>
      <c r="I398" s="38" t="n"/>
      <c r="J398" s="49">
        <f>IF(B398="","",IFERROR(INDEX('SETTINGS'!$M$5:$M$24,MATCH(B398,'SETTINGS'!$L$5:$L$24,0)),"Yes"))</f>
        <v/>
      </c>
      <c r="K398" s="51">
        <f>IF(A398="","",DATE(YEAR(A398),MONTH(A398),1))</f>
        <v/>
      </c>
    </row>
    <row r="399">
      <c r="A399" s="47" t="n"/>
      <c r="B399" s="38" t="n"/>
      <c r="C399" s="38" t="n"/>
      <c r="D399" s="38" t="n"/>
      <c r="E399" s="48" t="n"/>
      <c r="F399" s="38" t="n"/>
      <c r="G399" s="38" t="n"/>
      <c r="H399" s="38" t="n"/>
      <c r="I399" s="38" t="n"/>
      <c r="J399" s="49">
        <f>IF(B399="","",IFERROR(INDEX('SETTINGS'!$M$5:$M$24,MATCH(B399,'SETTINGS'!$L$5:$L$24,0)),"Yes"))</f>
        <v/>
      </c>
      <c r="K399" s="51">
        <f>IF(A399="","",DATE(YEAR(A399),MONTH(A399),1))</f>
        <v/>
      </c>
    </row>
    <row r="400">
      <c r="A400" s="47" t="n"/>
      <c r="B400" s="38" t="n"/>
      <c r="C400" s="38" t="n"/>
      <c r="D400" s="38" t="n"/>
      <c r="E400" s="48" t="n"/>
      <c r="F400" s="38" t="n"/>
      <c r="G400" s="38" t="n"/>
      <c r="H400" s="38" t="n"/>
      <c r="I400" s="38" t="n"/>
      <c r="J400" s="49">
        <f>IF(B400="","",IFERROR(INDEX('SETTINGS'!$M$5:$M$24,MATCH(B400,'SETTINGS'!$L$5:$L$24,0)),"Yes"))</f>
        <v/>
      </c>
      <c r="K400" s="51">
        <f>IF(A400="","",DATE(YEAR(A400),MONTH(A400),1))</f>
        <v/>
      </c>
    </row>
    <row r="401">
      <c r="A401" s="47" t="n"/>
      <c r="B401" s="38" t="n"/>
      <c r="C401" s="38" t="n"/>
      <c r="D401" s="38" t="n"/>
      <c r="E401" s="48" t="n"/>
      <c r="F401" s="38" t="n"/>
      <c r="G401" s="38" t="n"/>
      <c r="H401" s="38" t="n"/>
      <c r="I401" s="38" t="n"/>
      <c r="J401" s="49">
        <f>IF(B401="","",IFERROR(INDEX('SETTINGS'!$M$5:$M$24,MATCH(B401,'SETTINGS'!$L$5:$L$24,0)),"Yes"))</f>
        <v/>
      </c>
      <c r="K401" s="51">
        <f>IF(A401="","",DATE(YEAR(A401),MONTH(A401),1))</f>
        <v/>
      </c>
    </row>
    <row r="402">
      <c r="A402" s="47" t="n"/>
      <c r="B402" s="38" t="n"/>
      <c r="C402" s="38" t="n"/>
      <c r="D402" s="38" t="n"/>
      <c r="E402" s="48" t="n"/>
      <c r="F402" s="38" t="n"/>
      <c r="G402" s="38" t="n"/>
      <c r="H402" s="38" t="n"/>
      <c r="I402" s="38" t="n"/>
      <c r="J402" s="49">
        <f>IF(B402="","",IFERROR(INDEX('SETTINGS'!$M$5:$M$24,MATCH(B402,'SETTINGS'!$L$5:$L$24,0)),"Yes"))</f>
        <v/>
      </c>
      <c r="K402" s="51">
        <f>IF(A402="","",DATE(YEAR(A402),MONTH(A402),1))</f>
        <v/>
      </c>
    </row>
    <row r="403">
      <c r="A403" s="47" t="n"/>
      <c r="B403" s="38" t="n"/>
      <c r="C403" s="38" t="n"/>
      <c r="D403" s="38" t="n"/>
      <c r="E403" s="48" t="n"/>
      <c r="F403" s="38" t="n"/>
      <c r="G403" s="38" t="n"/>
      <c r="H403" s="38" t="n"/>
      <c r="I403" s="38" t="n"/>
      <c r="J403" s="49">
        <f>IF(B403="","",IFERROR(INDEX('SETTINGS'!$M$5:$M$24,MATCH(B403,'SETTINGS'!$L$5:$L$24,0)),"Yes"))</f>
        <v/>
      </c>
      <c r="K403" s="51">
        <f>IF(A403="","",DATE(YEAR(A403),MONTH(A403),1))</f>
        <v/>
      </c>
    </row>
    <row r="404">
      <c r="A404" s="47" t="n"/>
      <c r="B404" s="38" t="n"/>
      <c r="C404" s="38" t="n"/>
      <c r="D404" s="38" t="n"/>
      <c r="E404" s="48" t="n"/>
      <c r="F404" s="38" t="n"/>
      <c r="G404" s="38" t="n"/>
      <c r="H404" s="38" t="n"/>
      <c r="I404" s="38" t="n"/>
      <c r="J404" s="49">
        <f>IF(B404="","",IFERROR(INDEX('SETTINGS'!$M$5:$M$24,MATCH(B404,'SETTINGS'!$L$5:$L$24,0)),"Yes"))</f>
        <v/>
      </c>
      <c r="K404" s="51">
        <f>IF(A404="","",DATE(YEAR(A404),MONTH(A404),1))</f>
        <v/>
      </c>
    </row>
    <row r="405">
      <c r="A405" s="47" t="n"/>
      <c r="B405" s="38" t="n"/>
      <c r="C405" s="38" t="n"/>
      <c r="D405" s="38" t="n"/>
      <c r="E405" s="48" t="n"/>
      <c r="F405" s="38" t="n"/>
      <c r="G405" s="38" t="n"/>
      <c r="H405" s="38" t="n"/>
      <c r="I405" s="38" t="n"/>
      <c r="J405" s="49">
        <f>IF(B405="","",IFERROR(INDEX('SETTINGS'!$M$5:$M$24,MATCH(B405,'SETTINGS'!$L$5:$L$24,0)),"Yes"))</f>
        <v/>
      </c>
      <c r="K405" s="51">
        <f>IF(A405="","",DATE(YEAR(A405),MONTH(A405),1))</f>
        <v/>
      </c>
    </row>
    <row r="406">
      <c r="A406" s="47" t="n"/>
      <c r="B406" s="38" t="n"/>
      <c r="C406" s="38" t="n"/>
      <c r="D406" s="38" t="n"/>
      <c r="E406" s="48" t="n"/>
      <c r="F406" s="38" t="n"/>
      <c r="G406" s="38" t="n"/>
      <c r="H406" s="38" t="n"/>
      <c r="I406" s="38" t="n"/>
      <c r="J406" s="49">
        <f>IF(B406="","",IFERROR(INDEX('SETTINGS'!$M$5:$M$24,MATCH(B406,'SETTINGS'!$L$5:$L$24,0)),"Yes"))</f>
        <v/>
      </c>
      <c r="K406" s="51">
        <f>IF(A406="","",DATE(YEAR(A406),MONTH(A406),1))</f>
        <v/>
      </c>
    </row>
    <row r="407">
      <c r="A407" s="47" t="n"/>
      <c r="B407" s="38" t="n"/>
      <c r="C407" s="38" t="n"/>
      <c r="D407" s="38" t="n"/>
      <c r="E407" s="48" t="n"/>
      <c r="F407" s="38" t="n"/>
      <c r="G407" s="38" t="n"/>
      <c r="H407" s="38" t="n"/>
      <c r="I407" s="38" t="n"/>
      <c r="J407" s="49">
        <f>IF(B407="","",IFERROR(INDEX('SETTINGS'!$M$5:$M$24,MATCH(B407,'SETTINGS'!$L$5:$L$24,0)),"Yes"))</f>
        <v/>
      </c>
      <c r="K407" s="51">
        <f>IF(A407="","",DATE(YEAR(A407),MONTH(A407),1))</f>
        <v/>
      </c>
    </row>
    <row r="408">
      <c r="A408" s="47" t="n"/>
      <c r="B408" s="38" t="n"/>
      <c r="C408" s="38" t="n"/>
      <c r="D408" s="38" t="n"/>
      <c r="E408" s="48" t="n"/>
      <c r="F408" s="38" t="n"/>
      <c r="G408" s="38" t="n"/>
      <c r="H408" s="38" t="n"/>
      <c r="I408" s="38" t="n"/>
      <c r="J408" s="49">
        <f>IF(B408="","",IFERROR(INDEX('SETTINGS'!$M$5:$M$24,MATCH(B408,'SETTINGS'!$L$5:$L$24,0)),"Yes"))</f>
        <v/>
      </c>
      <c r="K408" s="51">
        <f>IF(A408="","",DATE(YEAR(A408),MONTH(A408),1))</f>
        <v/>
      </c>
    </row>
    <row r="409">
      <c r="A409" s="47" t="n"/>
      <c r="B409" s="38" t="n"/>
      <c r="C409" s="38" t="n"/>
      <c r="D409" s="38" t="n"/>
      <c r="E409" s="48" t="n"/>
      <c r="F409" s="38" t="n"/>
      <c r="G409" s="38" t="n"/>
      <c r="H409" s="38" t="n"/>
      <c r="I409" s="38" t="n"/>
      <c r="J409" s="49">
        <f>IF(B409="","",IFERROR(INDEX('SETTINGS'!$M$5:$M$24,MATCH(B409,'SETTINGS'!$L$5:$L$24,0)),"Yes"))</f>
        <v/>
      </c>
      <c r="K409" s="51">
        <f>IF(A409="","",DATE(YEAR(A409),MONTH(A409),1))</f>
        <v/>
      </c>
    </row>
    <row r="410">
      <c r="A410" s="47" t="n"/>
      <c r="B410" s="38" t="n"/>
      <c r="C410" s="38" t="n"/>
      <c r="D410" s="38" t="n"/>
      <c r="E410" s="48" t="n"/>
      <c r="F410" s="38" t="n"/>
      <c r="G410" s="38" t="n"/>
      <c r="H410" s="38" t="n"/>
      <c r="I410" s="38" t="n"/>
      <c r="J410" s="49">
        <f>IF(B410="","",IFERROR(INDEX('SETTINGS'!$M$5:$M$24,MATCH(B410,'SETTINGS'!$L$5:$L$24,0)),"Yes"))</f>
        <v/>
      </c>
      <c r="K410" s="51">
        <f>IF(A410="","",DATE(YEAR(A410),MONTH(A410),1))</f>
        <v/>
      </c>
    </row>
    <row r="411">
      <c r="A411" s="47" t="n"/>
      <c r="B411" s="38" t="n"/>
      <c r="C411" s="38" t="n"/>
      <c r="D411" s="38" t="n"/>
      <c r="E411" s="48" t="n"/>
      <c r="F411" s="38" t="n"/>
      <c r="G411" s="38" t="n"/>
      <c r="H411" s="38" t="n"/>
      <c r="I411" s="38" t="n"/>
      <c r="J411" s="49">
        <f>IF(B411="","",IFERROR(INDEX('SETTINGS'!$M$5:$M$24,MATCH(B411,'SETTINGS'!$L$5:$L$24,0)),"Yes"))</f>
        <v/>
      </c>
      <c r="K411" s="51">
        <f>IF(A411="","",DATE(YEAR(A411),MONTH(A411),1))</f>
        <v/>
      </c>
    </row>
    <row r="412">
      <c r="A412" s="47" t="n"/>
      <c r="B412" s="38" t="n"/>
      <c r="C412" s="38" t="n"/>
      <c r="D412" s="38" t="n"/>
      <c r="E412" s="48" t="n"/>
      <c r="F412" s="38" t="n"/>
      <c r="G412" s="38" t="n"/>
      <c r="H412" s="38" t="n"/>
      <c r="I412" s="38" t="n"/>
      <c r="J412" s="49">
        <f>IF(B412="","",IFERROR(INDEX('SETTINGS'!$M$5:$M$24,MATCH(B412,'SETTINGS'!$L$5:$L$24,0)),"Yes"))</f>
        <v/>
      </c>
      <c r="K412" s="51">
        <f>IF(A412="","",DATE(YEAR(A412),MONTH(A412),1))</f>
        <v/>
      </c>
    </row>
    <row r="413">
      <c r="A413" s="47" t="n"/>
      <c r="B413" s="38" t="n"/>
      <c r="C413" s="38" t="n"/>
      <c r="D413" s="38" t="n"/>
      <c r="E413" s="48" t="n"/>
      <c r="F413" s="38" t="n"/>
      <c r="G413" s="38" t="n"/>
      <c r="H413" s="38" t="n"/>
      <c r="I413" s="38" t="n"/>
      <c r="J413" s="49">
        <f>IF(B413="","",IFERROR(INDEX('SETTINGS'!$M$5:$M$24,MATCH(B413,'SETTINGS'!$L$5:$L$24,0)),"Yes"))</f>
        <v/>
      </c>
      <c r="K413" s="51">
        <f>IF(A413="","",DATE(YEAR(A413),MONTH(A413),1))</f>
        <v/>
      </c>
    </row>
    <row r="414">
      <c r="A414" s="47" t="n"/>
      <c r="B414" s="38" t="n"/>
      <c r="C414" s="38" t="n"/>
      <c r="D414" s="38" t="n"/>
      <c r="E414" s="48" t="n"/>
      <c r="F414" s="38" t="n"/>
      <c r="G414" s="38" t="n"/>
      <c r="H414" s="38" t="n"/>
      <c r="I414" s="38" t="n"/>
      <c r="J414" s="49">
        <f>IF(B414="","",IFERROR(INDEX('SETTINGS'!$M$5:$M$24,MATCH(B414,'SETTINGS'!$L$5:$L$24,0)),"Yes"))</f>
        <v/>
      </c>
      <c r="K414" s="51">
        <f>IF(A414="","",DATE(YEAR(A414),MONTH(A414),1))</f>
        <v/>
      </c>
    </row>
    <row r="415">
      <c r="A415" s="47" t="n"/>
      <c r="B415" s="38" t="n"/>
      <c r="C415" s="38" t="n"/>
      <c r="D415" s="38" t="n"/>
      <c r="E415" s="48" t="n"/>
      <c r="F415" s="38" t="n"/>
      <c r="G415" s="38" t="n"/>
      <c r="H415" s="38" t="n"/>
      <c r="I415" s="38" t="n"/>
      <c r="J415" s="49">
        <f>IF(B415="","",IFERROR(INDEX('SETTINGS'!$M$5:$M$24,MATCH(B415,'SETTINGS'!$L$5:$L$24,0)),"Yes"))</f>
        <v/>
      </c>
      <c r="K415" s="51">
        <f>IF(A415="","",DATE(YEAR(A415),MONTH(A415),1))</f>
        <v/>
      </c>
    </row>
    <row r="416">
      <c r="A416" s="47" t="n"/>
      <c r="B416" s="38" t="n"/>
      <c r="C416" s="38" t="n"/>
      <c r="D416" s="38" t="n"/>
      <c r="E416" s="48" t="n"/>
      <c r="F416" s="38" t="n"/>
      <c r="G416" s="38" t="n"/>
      <c r="H416" s="38" t="n"/>
      <c r="I416" s="38" t="n"/>
      <c r="J416" s="49">
        <f>IF(B416="","",IFERROR(INDEX('SETTINGS'!$M$5:$M$24,MATCH(B416,'SETTINGS'!$L$5:$L$24,0)),"Yes"))</f>
        <v/>
      </c>
      <c r="K416" s="51">
        <f>IF(A416="","",DATE(YEAR(A416),MONTH(A416),1))</f>
        <v/>
      </c>
    </row>
    <row r="417">
      <c r="A417" s="47" t="n"/>
      <c r="B417" s="38" t="n"/>
      <c r="C417" s="38" t="n"/>
      <c r="D417" s="38" t="n"/>
      <c r="E417" s="48" t="n"/>
      <c r="F417" s="38" t="n"/>
      <c r="G417" s="38" t="n"/>
      <c r="H417" s="38" t="n"/>
      <c r="I417" s="38" t="n"/>
      <c r="J417" s="49">
        <f>IF(B417="","",IFERROR(INDEX('SETTINGS'!$M$5:$M$24,MATCH(B417,'SETTINGS'!$L$5:$L$24,0)),"Yes"))</f>
        <v/>
      </c>
      <c r="K417" s="51">
        <f>IF(A417="","",DATE(YEAR(A417),MONTH(A417),1))</f>
        <v/>
      </c>
    </row>
    <row r="418">
      <c r="A418" s="47" t="n"/>
      <c r="B418" s="38" t="n"/>
      <c r="C418" s="38" t="n"/>
      <c r="D418" s="38" t="n"/>
      <c r="E418" s="48" t="n"/>
      <c r="F418" s="38" t="n"/>
      <c r="G418" s="38" t="n"/>
      <c r="H418" s="38" t="n"/>
      <c r="I418" s="38" t="n"/>
      <c r="J418" s="49">
        <f>IF(B418="","",IFERROR(INDEX('SETTINGS'!$M$5:$M$24,MATCH(B418,'SETTINGS'!$L$5:$L$24,0)),"Yes"))</f>
        <v/>
      </c>
      <c r="K418" s="51">
        <f>IF(A418="","",DATE(YEAR(A418),MONTH(A418),1))</f>
        <v/>
      </c>
    </row>
    <row r="419">
      <c r="A419" s="47" t="n"/>
      <c r="B419" s="38" t="n"/>
      <c r="C419" s="38" t="n"/>
      <c r="D419" s="38" t="n"/>
      <c r="E419" s="48" t="n"/>
      <c r="F419" s="38" t="n"/>
      <c r="G419" s="38" t="n"/>
      <c r="H419" s="38" t="n"/>
      <c r="I419" s="38" t="n"/>
      <c r="J419" s="49">
        <f>IF(B419="","",IFERROR(INDEX('SETTINGS'!$M$5:$M$24,MATCH(B419,'SETTINGS'!$L$5:$L$24,0)),"Yes"))</f>
        <v/>
      </c>
      <c r="K419" s="51">
        <f>IF(A419="","",DATE(YEAR(A419),MONTH(A419),1))</f>
        <v/>
      </c>
    </row>
    <row r="420">
      <c r="A420" s="47" t="n"/>
      <c r="B420" s="38" t="n"/>
      <c r="C420" s="38" t="n"/>
      <c r="D420" s="38" t="n"/>
      <c r="E420" s="48" t="n"/>
      <c r="F420" s="38" t="n"/>
      <c r="G420" s="38" t="n"/>
      <c r="H420" s="38" t="n"/>
      <c r="I420" s="38" t="n"/>
      <c r="J420" s="49">
        <f>IF(B420="","",IFERROR(INDEX('SETTINGS'!$M$5:$M$24,MATCH(B420,'SETTINGS'!$L$5:$L$24,0)),"Yes"))</f>
        <v/>
      </c>
      <c r="K420" s="51">
        <f>IF(A420="","",DATE(YEAR(A420),MONTH(A420),1))</f>
        <v/>
      </c>
    </row>
    <row r="421">
      <c r="A421" s="47" t="n"/>
      <c r="B421" s="38" t="n"/>
      <c r="C421" s="38" t="n"/>
      <c r="D421" s="38" t="n"/>
      <c r="E421" s="48" t="n"/>
      <c r="F421" s="38" t="n"/>
      <c r="G421" s="38" t="n"/>
      <c r="H421" s="38" t="n"/>
      <c r="I421" s="38" t="n"/>
      <c r="J421" s="49">
        <f>IF(B421="","",IFERROR(INDEX('SETTINGS'!$M$5:$M$24,MATCH(B421,'SETTINGS'!$L$5:$L$24,0)),"Yes"))</f>
        <v/>
      </c>
      <c r="K421" s="51">
        <f>IF(A421="","",DATE(YEAR(A421),MONTH(A421),1))</f>
        <v/>
      </c>
    </row>
    <row r="422">
      <c r="A422" s="47" t="n"/>
      <c r="B422" s="38" t="n"/>
      <c r="C422" s="38" t="n"/>
      <c r="D422" s="38" t="n"/>
      <c r="E422" s="48" t="n"/>
      <c r="F422" s="38" t="n"/>
      <c r="G422" s="38" t="n"/>
      <c r="H422" s="38" t="n"/>
      <c r="I422" s="38" t="n"/>
      <c r="J422" s="49">
        <f>IF(B422="","",IFERROR(INDEX('SETTINGS'!$M$5:$M$24,MATCH(B422,'SETTINGS'!$L$5:$L$24,0)),"Yes"))</f>
        <v/>
      </c>
      <c r="K422" s="51">
        <f>IF(A422="","",DATE(YEAR(A422),MONTH(A422),1))</f>
        <v/>
      </c>
    </row>
    <row r="423">
      <c r="A423" s="47" t="n"/>
      <c r="B423" s="38" t="n"/>
      <c r="C423" s="38" t="n"/>
      <c r="D423" s="38" t="n"/>
      <c r="E423" s="48" t="n"/>
      <c r="F423" s="38" t="n"/>
      <c r="G423" s="38" t="n"/>
      <c r="H423" s="38" t="n"/>
      <c r="I423" s="38" t="n"/>
      <c r="J423" s="49">
        <f>IF(B423="","",IFERROR(INDEX('SETTINGS'!$M$5:$M$24,MATCH(B423,'SETTINGS'!$L$5:$L$24,0)),"Yes"))</f>
        <v/>
      </c>
      <c r="K423" s="51">
        <f>IF(A423="","",DATE(YEAR(A423),MONTH(A423),1))</f>
        <v/>
      </c>
    </row>
    <row r="424">
      <c r="A424" s="47" t="n"/>
      <c r="B424" s="38" t="n"/>
      <c r="C424" s="38" t="n"/>
      <c r="D424" s="38" t="n"/>
      <c r="E424" s="48" t="n"/>
      <c r="F424" s="38" t="n"/>
      <c r="G424" s="38" t="n"/>
      <c r="H424" s="38" t="n"/>
      <c r="I424" s="38" t="n"/>
      <c r="J424" s="49">
        <f>IF(B424="","",IFERROR(INDEX('SETTINGS'!$M$5:$M$24,MATCH(B424,'SETTINGS'!$L$5:$L$24,0)),"Yes"))</f>
        <v/>
      </c>
      <c r="K424" s="51">
        <f>IF(A424="","",DATE(YEAR(A424),MONTH(A424),1))</f>
        <v/>
      </c>
    </row>
    <row r="425">
      <c r="A425" s="47" t="n"/>
      <c r="B425" s="38" t="n"/>
      <c r="C425" s="38" t="n"/>
      <c r="D425" s="38" t="n"/>
      <c r="E425" s="48" t="n"/>
      <c r="F425" s="38" t="n"/>
      <c r="G425" s="38" t="n"/>
      <c r="H425" s="38" t="n"/>
      <c r="I425" s="38" t="n"/>
      <c r="J425" s="49">
        <f>IF(B425="","",IFERROR(INDEX('SETTINGS'!$M$5:$M$24,MATCH(B425,'SETTINGS'!$L$5:$L$24,0)),"Yes"))</f>
        <v/>
      </c>
      <c r="K425" s="51">
        <f>IF(A425="","",DATE(YEAR(A425),MONTH(A425),1))</f>
        <v/>
      </c>
    </row>
    <row r="426">
      <c r="A426" s="47" t="n"/>
      <c r="B426" s="38" t="n"/>
      <c r="C426" s="38" t="n"/>
      <c r="D426" s="38" t="n"/>
      <c r="E426" s="48" t="n"/>
      <c r="F426" s="38" t="n"/>
      <c r="G426" s="38" t="n"/>
      <c r="H426" s="38" t="n"/>
      <c r="I426" s="38" t="n"/>
      <c r="J426" s="49">
        <f>IF(B426="","",IFERROR(INDEX('SETTINGS'!$M$5:$M$24,MATCH(B426,'SETTINGS'!$L$5:$L$24,0)),"Yes"))</f>
        <v/>
      </c>
      <c r="K426" s="51">
        <f>IF(A426="","",DATE(YEAR(A426),MONTH(A426),1))</f>
        <v/>
      </c>
    </row>
    <row r="427">
      <c r="A427" s="47" t="n"/>
      <c r="B427" s="38" t="n"/>
      <c r="C427" s="38" t="n"/>
      <c r="D427" s="38" t="n"/>
      <c r="E427" s="48" t="n"/>
      <c r="F427" s="38" t="n"/>
      <c r="G427" s="38" t="n"/>
      <c r="H427" s="38" t="n"/>
      <c r="I427" s="38" t="n"/>
      <c r="J427" s="49">
        <f>IF(B427="","",IFERROR(INDEX('SETTINGS'!$M$5:$M$24,MATCH(B427,'SETTINGS'!$L$5:$L$24,0)),"Yes"))</f>
        <v/>
      </c>
      <c r="K427" s="51">
        <f>IF(A427="","",DATE(YEAR(A427),MONTH(A427),1))</f>
        <v/>
      </c>
    </row>
    <row r="428">
      <c r="A428" s="47" t="n"/>
      <c r="B428" s="38" t="n"/>
      <c r="C428" s="38" t="n"/>
      <c r="D428" s="38" t="n"/>
      <c r="E428" s="48" t="n"/>
      <c r="F428" s="38" t="n"/>
      <c r="G428" s="38" t="n"/>
      <c r="H428" s="38" t="n"/>
      <c r="I428" s="38" t="n"/>
      <c r="J428" s="49">
        <f>IF(B428="","",IFERROR(INDEX('SETTINGS'!$M$5:$M$24,MATCH(B428,'SETTINGS'!$L$5:$L$24,0)),"Yes"))</f>
        <v/>
      </c>
      <c r="K428" s="51">
        <f>IF(A428="","",DATE(YEAR(A428),MONTH(A428),1))</f>
        <v/>
      </c>
    </row>
    <row r="429">
      <c r="A429" s="47" t="n"/>
      <c r="B429" s="38" t="n"/>
      <c r="C429" s="38" t="n"/>
      <c r="D429" s="38" t="n"/>
      <c r="E429" s="48" t="n"/>
      <c r="F429" s="38" t="n"/>
      <c r="G429" s="38" t="n"/>
      <c r="H429" s="38" t="n"/>
      <c r="I429" s="38" t="n"/>
      <c r="J429" s="49">
        <f>IF(B429="","",IFERROR(INDEX('SETTINGS'!$M$5:$M$24,MATCH(B429,'SETTINGS'!$L$5:$L$24,0)),"Yes"))</f>
        <v/>
      </c>
      <c r="K429" s="51">
        <f>IF(A429="","",DATE(YEAR(A429),MONTH(A429),1))</f>
        <v/>
      </c>
    </row>
    <row r="430">
      <c r="A430" s="47" t="n"/>
      <c r="B430" s="38" t="n"/>
      <c r="C430" s="38" t="n"/>
      <c r="D430" s="38" t="n"/>
      <c r="E430" s="48" t="n"/>
      <c r="F430" s="38" t="n"/>
      <c r="G430" s="38" t="n"/>
      <c r="H430" s="38" t="n"/>
      <c r="I430" s="38" t="n"/>
      <c r="J430" s="49">
        <f>IF(B430="","",IFERROR(INDEX('SETTINGS'!$M$5:$M$24,MATCH(B430,'SETTINGS'!$L$5:$L$24,0)),"Yes"))</f>
        <v/>
      </c>
      <c r="K430" s="51">
        <f>IF(A430="","",DATE(YEAR(A430),MONTH(A430),1))</f>
        <v/>
      </c>
    </row>
    <row r="431">
      <c r="A431" s="47" t="n"/>
      <c r="B431" s="38" t="n"/>
      <c r="C431" s="38" t="n"/>
      <c r="D431" s="38" t="n"/>
      <c r="E431" s="48" t="n"/>
      <c r="F431" s="38" t="n"/>
      <c r="G431" s="38" t="n"/>
      <c r="H431" s="38" t="n"/>
      <c r="I431" s="38" t="n"/>
      <c r="J431" s="49">
        <f>IF(B431="","",IFERROR(INDEX('SETTINGS'!$M$5:$M$24,MATCH(B431,'SETTINGS'!$L$5:$L$24,0)),"Yes"))</f>
        <v/>
      </c>
      <c r="K431" s="51">
        <f>IF(A431="","",DATE(YEAR(A431),MONTH(A431),1))</f>
        <v/>
      </c>
    </row>
    <row r="432">
      <c r="A432" s="47" t="n"/>
      <c r="B432" s="38" t="n"/>
      <c r="C432" s="38" t="n"/>
      <c r="D432" s="38" t="n"/>
      <c r="E432" s="48" t="n"/>
      <c r="F432" s="38" t="n"/>
      <c r="G432" s="38" t="n"/>
      <c r="H432" s="38" t="n"/>
      <c r="I432" s="38" t="n"/>
      <c r="J432" s="49">
        <f>IF(B432="","",IFERROR(INDEX('SETTINGS'!$M$5:$M$24,MATCH(B432,'SETTINGS'!$L$5:$L$24,0)),"Yes"))</f>
        <v/>
      </c>
      <c r="K432" s="51">
        <f>IF(A432="","",DATE(YEAR(A432),MONTH(A432),1))</f>
        <v/>
      </c>
    </row>
    <row r="433">
      <c r="A433" s="47" t="n"/>
      <c r="B433" s="38" t="n"/>
      <c r="C433" s="38" t="n"/>
      <c r="D433" s="38" t="n"/>
      <c r="E433" s="48" t="n"/>
      <c r="F433" s="38" t="n"/>
      <c r="G433" s="38" t="n"/>
      <c r="H433" s="38" t="n"/>
      <c r="I433" s="38" t="n"/>
      <c r="J433" s="49">
        <f>IF(B433="","",IFERROR(INDEX('SETTINGS'!$M$5:$M$24,MATCH(B433,'SETTINGS'!$L$5:$L$24,0)),"Yes"))</f>
        <v/>
      </c>
      <c r="K433" s="51">
        <f>IF(A433="","",DATE(YEAR(A433),MONTH(A433),1))</f>
        <v/>
      </c>
    </row>
    <row r="434">
      <c r="A434" s="47" t="n"/>
      <c r="B434" s="38" t="n"/>
      <c r="C434" s="38" t="n"/>
      <c r="D434" s="38" t="n"/>
      <c r="E434" s="48" t="n"/>
      <c r="F434" s="38" t="n"/>
      <c r="G434" s="38" t="n"/>
      <c r="H434" s="38" t="n"/>
      <c r="I434" s="38" t="n"/>
      <c r="J434" s="49">
        <f>IF(B434="","",IFERROR(INDEX('SETTINGS'!$M$5:$M$24,MATCH(B434,'SETTINGS'!$L$5:$L$24,0)),"Yes"))</f>
        <v/>
      </c>
      <c r="K434" s="51">
        <f>IF(A434="","",DATE(YEAR(A434),MONTH(A434),1))</f>
        <v/>
      </c>
    </row>
    <row r="435">
      <c r="A435" s="47" t="n"/>
      <c r="B435" s="38" t="n"/>
      <c r="C435" s="38" t="n"/>
      <c r="D435" s="38" t="n"/>
      <c r="E435" s="48" t="n"/>
      <c r="F435" s="38" t="n"/>
      <c r="G435" s="38" t="n"/>
      <c r="H435" s="38" t="n"/>
      <c r="I435" s="38" t="n"/>
      <c r="J435" s="49">
        <f>IF(B435="","",IFERROR(INDEX('SETTINGS'!$M$5:$M$24,MATCH(B435,'SETTINGS'!$L$5:$L$24,0)),"Yes"))</f>
        <v/>
      </c>
      <c r="K435" s="51">
        <f>IF(A435="","",DATE(YEAR(A435),MONTH(A435),1))</f>
        <v/>
      </c>
    </row>
    <row r="436">
      <c r="A436" s="47" t="n"/>
      <c r="B436" s="38" t="n"/>
      <c r="C436" s="38" t="n"/>
      <c r="D436" s="38" t="n"/>
      <c r="E436" s="48" t="n"/>
      <c r="F436" s="38" t="n"/>
      <c r="G436" s="38" t="n"/>
      <c r="H436" s="38" t="n"/>
      <c r="I436" s="38" t="n"/>
      <c r="J436" s="49">
        <f>IF(B436="","",IFERROR(INDEX('SETTINGS'!$M$5:$M$24,MATCH(B436,'SETTINGS'!$L$5:$L$24,0)),"Yes"))</f>
        <v/>
      </c>
      <c r="K436" s="51">
        <f>IF(A436="","",DATE(YEAR(A436),MONTH(A436),1))</f>
        <v/>
      </c>
    </row>
    <row r="437">
      <c r="A437" s="47" t="n"/>
      <c r="B437" s="38" t="n"/>
      <c r="C437" s="38" t="n"/>
      <c r="D437" s="38" t="n"/>
      <c r="E437" s="48" t="n"/>
      <c r="F437" s="38" t="n"/>
      <c r="G437" s="38" t="n"/>
      <c r="H437" s="38" t="n"/>
      <c r="I437" s="38" t="n"/>
      <c r="J437" s="49">
        <f>IF(B437="","",IFERROR(INDEX('SETTINGS'!$M$5:$M$24,MATCH(B437,'SETTINGS'!$L$5:$L$24,0)),"Yes"))</f>
        <v/>
      </c>
      <c r="K437" s="51">
        <f>IF(A437="","",DATE(YEAR(A437),MONTH(A437),1))</f>
        <v/>
      </c>
    </row>
    <row r="438">
      <c r="A438" s="47" t="n"/>
      <c r="B438" s="38" t="n"/>
      <c r="C438" s="38" t="n"/>
      <c r="D438" s="38" t="n"/>
      <c r="E438" s="48" t="n"/>
      <c r="F438" s="38" t="n"/>
      <c r="G438" s="38" t="n"/>
      <c r="H438" s="38" t="n"/>
      <c r="I438" s="38" t="n"/>
      <c r="J438" s="49">
        <f>IF(B438="","",IFERROR(INDEX('SETTINGS'!$M$5:$M$24,MATCH(B438,'SETTINGS'!$L$5:$L$24,0)),"Yes"))</f>
        <v/>
      </c>
      <c r="K438" s="51">
        <f>IF(A438="","",DATE(YEAR(A438),MONTH(A438),1))</f>
        <v/>
      </c>
    </row>
    <row r="439">
      <c r="A439" s="47" t="n"/>
      <c r="B439" s="38" t="n"/>
      <c r="C439" s="38" t="n"/>
      <c r="D439" s="38" t="n"/>
      <c r="E439" s="48" t="n"/>
      <c r="F439" s="38" t="n"/>
      <c r="G439" s="38" t="n"/>
      <c r="H439" s="38" t="n"/>
      <c r="I439" s="38" t="n"/>
      <c r="J439" s="49">
        <f>IF(B439="","",IFERROR(INDEX('SETTINGS'!$M$5:$M$24,MATCH(B439,'SETTINGS'!$L$5:$L$24,0)),"Yes"))</f>
        <v/>
      </c>
      <c r="K439" s="51">
        <f>IF(A439="","",DATE(YEAR(A439),MONTH(A439),1))</f>
        <v/>
      </c>
    </row>
    <row r="440">
      <c r="A440" s="47" t="n"/>
      <c r="B440" s="38" t="n"/>
      <c r="C440" s="38" t="n"/>
      <c r="D440" s="38" t="n"/>
      <c r="E440" s="48" t="n"/>
      <c r="F440" s="38" t="n"/>
      <c r="G440" s="38" t="n"/>
      <c r="H440" s="38" t="n"/>
      <c r="I440" s="38" t="n"/>
      <c r="J440" s="49">
        <f>IF(B440="","",IFERROR(INDEX('SETTINGS'!$M$5:$M$24,MATCH(B440,'SETTINGS'!$L$5:$L$24,0)),"Yes"))</f>
        <v/>
      </c>
      <c r="K440" s="51">
        <f>IF(A440="","",DATE(YEAR(A440),MONTH(A440),1))</f>
        <v/>
      </c>
    </row>
    <row r="441">
      <c r="A441" s="47" t="n"/>
      <c r="B441" s="38" t="n"/>
      <c r="C441" s="38" t="n"/>
      <c r="D441" s="38" t="n"/>
      <c r="E441" s="48" t="n"/>
      <c r="F441" s="38" t="n"/>
      <c r="G441" s="38" t="n"/>
      <c r="H441" s="38" t="n"/>
      <c r="I441" s="38" t="n"/>
      <c r="J441" s="49">
        <f>IF(B441="","",IFERROR(INDEX('SETTINGS'!$M$5:$M$24,MATCH(B441,'SETTINGS'!$L$5:$L$24,0)),"Yes"))</f>
        <v/>
      </c>
      <c r="K441" s="51">
        <f>IF(A441="","",DATE(YEAR(A441),MONTH(A441),1))</f>
        <v/>
      </c>
    </row>
    <row r="442">
      <c r="A442" s="47" t="n"/>
      <c r="B442" s="38" t="n"/>
      <c r="C442" s="38" t="n"/>
      <c r="D442" s="38" t="n"/>
      <c r="E442" s="48" t="n"/>
      <c r="F442" s="38" t="n"/>
      <c r="G442" s="38" t="n"/>
      <c r="H442" s="38" t="n"/>
      <c r="I442" s="38" t="n"/>
      <c r="J442" s="49">
        <f>IF(B442="","",IFERROR(INDEX('SETTINGS'!$M$5:$M$24,MATCH(B442,'SETTINGS'!$L$5:$L$24,0)),"Yes"))</f>
        <v/>
      </c>
      <c r="K442" s="51">
        <f>IF(A442="","",DATE(YEAR(A442),MONTH(A442),1))</f>
        <v/>
      </c>
    </row>
    <row r="443">
      <c r="A443" s="47" t="n"/>
      <c r="B443" s="38" t="n"/>
      <c r="C443" s="38" t="n"/>
      <c r="D443" s="38" t="n"/>
      <c r="E443" s="48" t="n"/>
      <c r="F443" s="38" t="n"/>
      <c r="G443" s="38" t="n"/>
      <c r="H443" s="38" t="n"/>
      <c r="I443" s="38" t="n"/>
      <c r="J443" s="49">
        <f>IF(B443="","",IFERROR(INDEX('SETTINGS'!$M$5:$M$24,MATCH(B443,'SETTINGS'!$L$5:$L$24,0)),"Yes"))</f>
        <v/>
      </c>
      <c r="K443" s="51">
        <f>IF(A443="","",DATE(YEAR(A443),MONTH(A443),1))</f>
        <v/>
      </c>
    </row>
    <row r="444">
      <c r="A444" s="47" t="n"/>
      <c r="B444" s="38" t="n"/>
      <c r="C444" s="38" t="n"/>
      <c r="D444" s="38" t="n"/>
      <c r="E444" s="48" t="n"/>
      <c r="F444" s="38" t="n"/>
      <c r="G444" s="38" t="n"/>
      <c r="H444" s="38" t="n"/>
      <c r="I444" s="38" t="n"/>
      <c r="J444" s="49">
        <f>IF(B444="","",IFERROR(INDEX('SETTINGS'!$M$5:$M$24,MATCH(B444,'SETTINGS'!$L$5:$L$24,0)),"Yes"))</f>
        <v/>
      </c>
      <c r="K444" s="51">
        <f>IF(A444="","",DATE(YEAR(A444),MONTH(A444),1))</f>
        <v/>
      </c>
    </row>
    <row r="445">
      <c r="A445" s="47" t="n"/>
      <c r="B445" s="38" t="n"/>
      <c r="C445" s="38" t="n"/>
      <c r="D445" s="38" t="n"/>
      <c r="E445" s="48" t="n"/>
      <c r="F445" s="38" t="n"/>
      <c r="G445" s="38" t="n"/>
      <c r="H445" s="38" t="n"/>
      <c r="I445" s="38" t="n"/>
      <c r="J445" s="49">
        <f>IF(B445="","",IFERROR(INDEX('SETTINGS'!$M$5:$M$24,MATCH(B445,'SETTINGS'!$L$5:$L$24,0)),"Yes"))</f>
        <v/>
      </c>
      <c r="K445" s="51">
        <f>IF(A445="","",DATE(YEAR(A445),MONTH(A445),1))</f>
        <v/>
      </c>
    </row>
    <row r="446">
      <c r="A446" s="47" t="n"/>
      <c r="B446" s="38" t="n"/>
      <c r="C446" s="38" t="n"/>
      <c r="D446" s="38" t="n"/>
      <c r="E446" s="48" t="n"/>
      <c r="F446" s="38" t="n"/>
      <c r="G446" s="38" t="n"/>
      <c r="H446" s="38" t="n"/>
      <c r="I446" s="38" t="n"/>
      <c r="J446" s="49">
        <f>IF(B446="","",IFERROR(INDEX('SETTINGS'!$M$5:$M$24,MATCH(B446,'SETTINGS'!$L$5:$L$24,0)),"Yes"))</f>
        <v/>
      </c>
      <c r="K446" s="51">
        <f>IF(A446="","",DATE(YEAR(A446),MONTH(A446),1))</f>
        <v/>
      </c>
    </row>
    <row r="447">
      <c r="A447" s="47" t="n"/>
      <c r="B447" s="38" t="n"/>
      <c r="C447" s="38" t="n"/>
      <c r="D447" s="38" t="n"/>
      <c r="E447" s="48" t="n"/>
      <c r="F447" s="38" t="n"/>
      <c r="G447" s="38" t="n"/>
      <c r="H447" s="38" t="n"/>
      <c r="I447" s="38" t="n"/>
      <c r="J447" s="49">
        <f>IF(B447="","",IFERROR(INDEX('SETTINGS'!$M$5:$M$24,MATCH(B447,'SETTINGS'!$L$5:$L$24,0)),"Yes"))</f>
        <v/>
      </c>
      <c r="K447" s="51">
        <f>IF(A447="","",DATE(YEAR(A447),MONTH(A447),1))</f>
        <v/>
      </c>
    </row>
    <row r="448">
      <c r="A448" s="47" t="n"/>
      <c r="B448" s="38" t="n"/>
      <c r="C448" s="38" t="n"/>
      <c r="D448" s="38" t="n"/>
      <c r="E448" s="48" t="n"/>
      <c r="F448" s="38" t="n"/>
      <c r="G448" s="38" t="n"/>
      <c r="H448" s="38" t="n"/>
      <c r="I448" s="38" t="n"/>
      <c r="J448" s="49">
        <f>IF(B448="","",IFERROR(INDEX('SETTINGS'!$M$5:$M$24,MATCH(B448,'SETTINGS'!$L$5:$L$24,0)),"Yes"))</f>
        <v/>
      </c>
      <c r="K448" s="51">
        <f>IF(A448="","",DATE(YEAR(A448),MONTH(A448),1))</f>
        <v/>
      </c>
    </row>
    <row r="449">
      <c r="A449" s="47" t="n"/>
      <c r="B449" s="38" t="n"/>
      <c r="C449" s="38" t="n"/>
      <c r="D449" s="38" t="n"/>
      <c r="E449" s="48" t="n"/>
      <c r="F449" s="38" t="n"/>
      <c r="G449" s="38" t="n"/>
      <c r="H449" s="38" t="n"/>
      <c r="I449" s="38" t="n"/>
      <c r="J449" s="49">
        <f>IF(B449="","",IFERROR(INDEX('SETTINGS'!$M$5:$M$24,MATCH(B449,'SETTINGS'!$L$5:$L$24,0)),"Yes"))</f>
        <v/>
      </c>
      <c r="K449" s="51">
        <f>IF(A449="","",DATE(YEAR(A449),MONTH(A449),1))</f>
        <v/>
      </c>
    </row>
    <row r="450">
      <c r="A450" s="47" t="n"/>
      <c r="B450" s="38" t="n"/>
      <c r="C450" s="38" t="n"/>
      <c r="D450" s="38" t="n"/>
      <c r="E450" s="48" t="n"/>
      <c r="F450" s="38" t="n"/>
      <c r="G450" s="38" t="n"/>
      <c r="H450" s="38" t="n"/>
      <c r="I450" s="38" t="n"/>
      <c r="J450" s="49">
        <f>IF(B450="","",IFERROR(INDEX('SETTINGS'!$M$5:$M$24,MATCH(B450,'SETTINGS'!$L$5:$L$24,0)),"Yes"))</f>
        <v/>
      </c>
      <c r="K450" s="51">
        <f>IF(A450="","",DATE(YEAR(A450),MONTH(A450),1))</f>
        <v/>
      </c>
    </row>
    <row r="451">
      <c r="A451" s="47" t="n"/>
      <c r="B451" s="38" t="n"/>
      <c r="C451" s="38" t="n"/>
      <c r="D451" s="38" t="n"/>
      <c r="E451" s="48" t="n"/>
      <c r="F451" s="38" t="n"/>
      <c r="G451" s="38" t="n"/>
      <c r="H451" s="38" t="n"/>
      <c r="I451" s="38" t="n"/>
      <c r="J451" s="49">
        <f>IF(B451="","",IFERROR(INDEX('SETTINGS'!$M$5:$M$24,MATCH(B451,'SETTINGS'!$L$5:$L$24,0)),"Yes"))</f>
        <v/>
      </c>
      <c r="K451" s="51">
        <f>IF(A451="","",DATE(YEAR(A451),MONTH(A451),1))</f>
        <v/>
      </c>
    </row>
    <row r="452">
      <c r="A452" s="47" t="n"/>
      <c r="B452" s="38" t="n"/>
      <c r="C452" s="38" t="n"/>
      <c r="D452" s="38" t="n"/>
      <c r="E452" s="48" t="n"/>
      <c r="F452" s="38" t="n"/>
      <c r="G452" s="38" t="n"/>
      <c r="H452" s="38" t="n"/>
      <c r="I452" s="38" t="n"/>
      <c r="J452" s="49">
        <f>IF(B452="","",IFERROR(INDEX('SETTINGS'!$M$5:$M$24,MATCH(B452,'SETTINGS'!$L$5:$L$24,0)),"Yes"))</f>
        <v/>
      </c>
      <c r="K452" s="51">
        <f>IF(A452="","",DATE(YEAR(A452),MONTH(A452),1))</f>
        <v/>
      </c>
    </row>
    <row r="453">
      <c r="A453" s="47" t="n"/>
      <c r="B453" s="38" t="n"/>
      <c r="C453" s="38" t="n"/>
      <c r="D453" s="38" t="n"/>
      <c r="E453" s="48" t="n"/>
      <c r="F453" s="38" t="n"/>
      <c r="G453" s="38" t="n"/>
      <c r="H453" s="38" t="n"/>
      <c r="I453" s="38" t="n"/>
      <c r="J453" s="49">
        <f>IF(B453="","",IFERROR(INDEX('SETTINGS'!$M$5:$M$24,MATCH(B453,'SETTINGS'!$L$5:$L$24,0)),"Yes"))</f>
        <v/>
      </c>
      <c r="K453" s="51">
        <f>IF(A453="","",DATE(YEAR(A453),MONTH(A453),1))</f>
        <v/>
      </c>
    </row>
    <row r="454">
      <c r="A454" s="47" t="n"/>
      <c r="B454" s="38" t="n"/>
      <c r="C454" s="38" t="n"/>
      <c r="D454" s="38" t="n"/>
      <c r="E454" s="48" t="n"/>
      <c r="F454" s="38" t="n"/>
      <c r="G454" s="38" t="n"/>
      <c r="H454" s="38" t="n"/>
      <c r="I454" s="38" t="n"/>
      <c r="J454" s="49">
        <f>IF(B454="","",IFERROR(INDEX('SETTINGS'!$M$5:$M$24,MATCH(B454,'SETTINGS'!$L$5:$L$24,0)),"Yes"))</f>
        <v/>
      </c>
      <c r="K454" s="51">
        <f>IF(A454="","",DATE(YEAR(A454),MONTH(A454),1))</f>
        <v/>
      </c>
    </row>
    <row r="455">
      <c r="A455" s="47" t="n"/>
      <c r="B455" s="38" t="n"/>
      <c r="C455" s="38" t="n"/>
      <c r="D455" s="38" t="n"/>
      <c r="E455" s="48" t="n"/>
      <c r="F455" s="38" t="n"/>
      <c r="G455" s="38" t="n"/>
      <c r="H455" s="38" t="n"/>
      <c r="I455" s="38" t="n"/>
      <c r="J455" s="49">
        <f>IF(B455="","",IFERROR(INDEX('SETTINGS'!$M$5:$M$24,MATCH(B455,'SETTINGS'!$L$5:$L$24,0)),"Yes"))</f>
        <v/>
      </c>
      <c r="K455" s="51">
        <f>IF(A455="","",DATE(YEAR(A455),MONTH(A455),1))</f>
        <v/>
      </c>
    </row>
    <row r="456">
      <c r="A456" s="47" t="n"/>
      <c r="B456" s="38" t="n"/>
      <c r="C456" s="38" t="n"/>
      <c r="D456" s="38" t="n"/>
      <c r="E456" s="48" t="n"/>
      <c r="F456" s="38" t="n"/>
      <c r="G456" s="38" t="n"/>
      <c r="H456" s="38" t="n"/>
      <c r="I456" s="38" t="n"/>
      <c r="J456" s="49">
        <f>IF(B456="","",IFERROR(INDEX('SETTINGS'!$M$5:$M$24,MATCH(B456,'SETTINGS'!$L$5:$L$24,0)),"Yes"))</f>
        <v/>
      </c>
      <c r="K456" s="51">
        <f>IF(A456="","",DATE(YEAR(A456),MONTH(A456),1))</f>
        <v/>
      </c>
    </row>
    <row r="457">
      <c r="A457" s="47" t="n"/>
      <c r="B457" s="38" t="n"/>
      <c r="C457" s="38" t="n"/>
      <c r="D457" s="38" t="n"/>
      <c r="E457" s="48" t="n"/>
      <c r="F457" s="38" t="n"/>
      <c r="G457" s="38" t="n"/>
      <c r="H457" s="38" t="n"/>
      <c r="I457" s="38" t="n"/>
      <c r="J457" s="49">
        <f>IF(B457="","",IFERROR(INDEX('SETTINGS'!$M$5:$M$24,MATCH(B457,'SETTINGS'!$L$5:$L$24,0)),"Yes"))</f>
        <v/>
      </c>
      <c r="K457" s="51">
        <f>IF(A457="","",DATE(YEAR(A457),MONTH(A457),1))</f>
        <v/>
      </c>
    </row>
    <row r="458">
      <c r="A458" s="47" t="n"/>
      <c r="B458" s="38" t="n"/>
      <c r="C458" s="38" t="n"/>
      <c r="D458" s="38" t="n"/>
      <c r="E458" s="48" t="n"/>
      <c r="F458" s="38" t="n"/>
      <c r="G458" s="38" t="n"/>
      <c r="H458" s="38" t="n"/>
      <c r="I458" s="38" t="n"/>
      <c r="J458" s="49">
        <f>IF(B458="","",IFERROR(INDEX('SETTINGS'!$M$5:$M$24,MATCH(B458,'SETTINGS'!$L$5:$L$24,0)),"Yes"))</f>
        <v/>
      </c>
      <c r="K458" s="51">
        <f>IF(A458="","",DATE(YEAR(A458),MONTH(A458),1))</f>
        <v/>
      </c>
    </row>
    <row r="459">
      <c r="A459" s="47" t="n"/>
      <c r="B459" s="38" t="n"/>
      <c r="C459" s="38" t="n"/>
      <c r="D459" s="38" t="n"/>
      <c r="E459" s="48" t="n"/>
      <c r="F459" s="38" t="n"/>
      <c r="G459" s="38" t="n"/>
      <c r="H459" s="38" t="n"/>
      <c r="I459" s="38" t="n"/>
      <c r="J459" s="49">
        <f>IF(B459="","",IFERROR(INDEX('SETTINGS'!$M$5:$M$24,MATCH(B459,'SETTINGS'!$L$5:$L$24,0)),"Yes"))</f>
        <v/>
      </c>
      <c r="K459" s="51">
        <f>IF(A459="","",DATE(YEAR(A459),MONTH(A459),1))</f>
        <v/>
      </c>
    </row>
    <row r="460">
      <c r="A460" s="47" t="n"/>
      <c r="B460" s="38" t="n"/>
      <c r="C460" s="38" t="n"/>
      <c r="D460" s="38" t="n"/>
      <c r="E460" s="48" t="n"/>
      <c r="F460" s="38" t="n"/>
      <c r="G460" s="38" t="n"/>
      <c r="H460" s="38" t="n"/>
      <c r="I460" s="38" t="n"/>
      <c r="J460" s="49">
        <f>IF(B460="","",IFERROR(INDEX('SETTINGS'!$M$5:$M$24,MATCH(B460,'SETTINGS'!$L$5:$L$24,0)),"Yes"))</f>
        <v/>
      </c>
      <c r="K460" s="51">
        <f>IF(A460="","",DATE(YEAR(A460),MONTH(A460),1))</f>
        <v/>
      </c>
    </row>
    <row r="461">
      <c r="A461" s="47" t="n"/>
      <c r="B461" s="38" t="n"/>
      <c r="C461" s="38" t="n"/>
      <c r="D461" s="38" t="n"/>
      <c r="E461" s="48" t="n"/>
      <c r="F461" s="38" t="n"/>
      <c r="G461" s="38" t="n"/>
      <c r="H461" s="38" t="n"/>
      <c r="I461" s="38" t="n"/>
      <c r="J461" s="49">
        <f>IF(B461="","",IFERROR(INDEX('SETTINGS'!$M$5:$M$24,MATCH(B461,'SETTINGS'!$L$5:$L$24,0)),"Yes"))</f>
        <v/>
      </c>
      <c r="K461" s="51">
        <f>IF(A461="","",DATE(YEAR(A461),MONTH(A461),1))</f>
        <v/>
      </c>
    </row>
    <row r="462">
      <c r="A462" s="47" t="n"/>
      <c r="B462" s="38" t="n"/>
      <c r="C462" s="38" t="n"/>
      <c r="D462" s="38" t="n"/>
      <c r="E462" s="48" t="n"/>
      <c r="F462" s="38" t="n"/>
      <c r="G462" s="38" t="n"/>
      <c r="H462" s="38" t="n"/>
      <c r="I462" s="38" t="n"/>
      <c r="J462" s="49">
        <f>IF(B462="","",IFERROR(INDEX('SETTINGS'!$M$5:$M$24,MATCH(B462,'SETTINGS'!$L$5:$L$24,0)),"Yes"))</f>
        <v/>
      </c>
      <c r="K462" s="51">
        <f>IF(A462="","",DATE(YEAR(A462),MONTH(A462),1))</f>
        <v/>
      </c>
    </row>
    <row r="463">
      <c r="A463" s="47" t="n"/>
      <c r="B463" s="38" t="n"/>
      <c r="C463" s="38" t="n"/>
      <c r="D463" s="38" t="n"/>
      <c r="E463" s="48" t="n"/>
      <c r="F463" s="38" t="n"/>
      <c r="G463" s="38" t="n"/>
      <c r="H463" s="38" t="n"/>
      <c r="I463" s="38" t="n"/>
      <c r="J463" s="49">
        <f>IF(B463="","",IFERROR(INDEX('SETTINGS'!$M$5:$M$24,MATCH(B463,'SETTINGS'!$L$5:$L$24,0)),"Yes"))</f>
        <v/>
      </c>
      <c r="K463" s="51">
        <f>IF(A463="","",DATE(YEAR(A463),MONTH(A463),1))</f>
        <v/>
      </c>
    </row>
    <row r="464">
      <c r="A464" s="47" t="n"/>
      <c r="B464" s="38" t="n"/>
      <c r="C464" s="38" t="n"/>
      <c r="D464" s="38" t="n"/>
      <c r="E464" s="48" t="n"/>
      <c r="F464" s="38" t="n"/>
      <c r="G464" s="38" t="n"/>
      <c r="H464" s="38" t="n"/>
      <c r="I464" s="38" t="n"/>
      <c r="J464" s="49">
        <f>IF(B464="","",IFERROR(INDEX('SETTINGS'!$M$5:$M$24,MATCH(B464,'SETTINGS'!$L$5:$L$24,0)),"Yes"))</f>
        <v/>
      </c>
      <c r="K464" s="51">
        <f>IF(A464="","",DATE(YEAR(A464),MONTH(A464),1))</f>
        <v/>
      </c>
    </row>
    <row r="465">
      <c r="A465" s="47" t="n"/>
      <c r="B465" s="38" t="n"/>
      <c r="C465" s="38" t="n"/>
      <c r="D465" s="38" t="n"/>
      <c r="E465" s="48" t="n"/>
      <c r="F465" s="38" t="n"/>
      <c r="G465" s="38" t="n"/>
      <c r="H465" s="38" t="n"/>
      <c r="I465" s="38" t="n"/>
      <c r="J465" s="49">
        <f>IF(B465="","",IFERROR(INDEX('SETTINGS'!$M$5:$M$24,MATCH(B465,'SETTINGS'!$L$5:$L$24,0)),"Yes"))</f>
        <v/>
      </c>
      <c r="K465" s="51">
        <f>IF(A465="","",DATE(YEAR(A465),MONTH(A465),1))</f>
        <v/>
      </c>
    </row>
    <row r="466">
      <c r="A466" s="47" t="n"/>
      <c r="B466" s="38" t="n"/>
      <c r="C466" s="38" t="n"/>
      <c r="D466" s="38" t="n"/>
      <c r="E466" s="48" t="n"/>
      <c r="F466" s="38" t="n"/>
      <c r="G466" s="38" t="n"/>
      <c r="H466" s="38" t="n"/>
      <c r="I466" s="38" t="n"/>
      <c r="J466" s="49">
        <f>IF(B466="","",IFERROR(INDEX('SETTINGS'!$M$5:$M$24,MATCH(B466,'SETTINGS'!$L$5:$L$24,0)),"Yes"))</f>
        <v/>
      </c>
      <c r="K466" s="51">
        <f>IF(A466="","",DATE(YEAR(A466),MONTH(A466),1))</f>
        <v/>
      </c>
    </row>
    <row r="467">
      <c r="A467" s="47" t="n"/>
      <c r="B467" s="38" t="n"/>
      <c r="C467" s="38" t="n"/>
      <c r="D467" s="38" t="n"/>
      <c r="E467" s="48" t="n"/>
      <c r="F467" s="38" t="n"/>
      <c r="G467" s="38" t="n"/>
      <c r="H467" s="38" t="n"/>
      <c r="I467" s="38" t="n"/>
      <c r="J467" s="49">
        <f>IF(B467="","",IFERROR(INDEX('SETTINGS'!$M$5:$M$24,MATCH(B467,'SETTINGS'!$L$5:$L$24,0)),"Yes"))</f>
        <v/>
      </c>
      <c r="K467" s="51">
        <f>IF(A467="","",DATE(YEAR(A467),MONTH(A467),1))</f>
        <v/>
      </c>
    </row>
    <row r="468">
      <c r="A468" s="47" t="n"/>
      <c r="B468" s="38" t="n"/>
      <c r="C468" s="38" t="n"/>
      <c r="D468" s="38" t="n"/>
      <c r="E468" s="48" t="n"/>
      <c r="F468" s="38" t="n"/>
      <c r="G468" s="38" t="n"/>
      <c r="H468" s="38" t="n"/>
      <c r="I468" s="38" t="n"/>
      <c r="J468" s="49">
        <f>IF(B468="","",IFERROR(INDEX('SETTINGS'!$M$5:$M$24,MATCH(B468,'SETTINGS'!$L$5:$L$24,0)),"Yes"))</f>
        <v/>
      </c>
      <c r="K468" s="51">
        <f>IF(A468="","",DATE(YEAR(A468),MONTH(A468),1))</f>
        <v/>
      </c>
    </row>
    <row r="469">
      <c r="A469" s="47" t="n"/>
      <c r="B469" s="38" t="n"/>
      <c r="C469" s="38" t="n"/>
      <c r="D469" s="38" t="n"/>
      <c r="E469" s="48" t="n"/>
      <c r="F469" s="38" t="n"/>
      <c r="G469" s="38" t="n"/>
      <c r="H469" s="38" t="n"/>
      <c r="I469" s="38" t="n"/>
      <c r="J469" s="49">
        <f>IF(B469="","",IFERROR(INDEX('SETTINGS'!$M$5:$M$24,MATCH(B469,'SETTINGS'!$L$5:$L$24,0)),"Yes"))</f>
        <v/>
      </c>
      <c r="K469" s="51">
        <f>IF(A469="","",DATE(YEAR(A469),MONTH(A469),1))</f>
        <v/>
      </c>
    </row>
    <row r="470">
      <c r="A470" s="47" t="n"/>
      <c r="B470" s="38" t="n"/>
      <c r="C470" s="38" t="n"/>
      <c r="D470" s="38" t="n"/>
      <c r="E470" s="48" t="n"/>
      <c r="F470" s="38" t="n"/>
      <c r="G470" s="38" t="n"/>
      <c r="H470" s="38" t="n"/>
      <c r="I470" s="38" t="n"/>
      <c r="J470" s="49">
        <f>IF(B470="","",IFERROR(INDEX('SETTINGS'!$M$5:$M$24,MATCH(B470,'SETTINGS'!$L$5:$L$24,0)),"Yes"))</f>
        <v/>
      </c>
      <c r="K470" s="51">
        <f>IF(A470="","",DATE(YEAR(A470),MONTH(A470),1))</f>
        <v/>
      </c>
    </row>
    <row r="471">
      <c r="A471" s="47" t="n"/>
      <c r="B471" s="38" t="n"/>
      <c r="C471" s="38" t="n"/>
      <c r="D471" s="38" t="n"/>
      <c r="E471" s="48" t="n"/>
      <c r="F471" s="38" t="n"/>
      <c r="G471" s="38" t="n"/>
      <c r="H471" s="38" t="n"/>
      <c r="I471" s="38" t="n"/>
      <c r="J471" s="49">
        <f>IF(B471="","",IFERROR(INDEX('SETTINGS'!$M$5:$M$24,MATCH(B471,'SETTINGS'!$L$5:$L$24,0)),"Yes"))</f>
        <v/>
      </c>
      <c r="K471" s="51">
        <f>IF(A471="","",DATE(YEAR(A471),MONTH(A471),1))</f>
        <v/>
      </c>
    </row>
    <row r="472">
      <c r="A472" s="47" t="n"/>
      <c r="B472" s="38" t="n"/>
      <c r="C472" s="38" t="n"/>
      <c r="D472" s="38" t="n"/>
      <c r="E472" s="48" t="n"/>
      <c r="F472" s="38" t="n"/>
      <c r="G472" s="38" t="n"/>
      <c r="H472" s="38" t="n"/>
      <c r="I472" s="38" t="n"/>
      <c r="J472" s="49">
        <f>IF(B472="","",IFERROR(INDEX('SETTINGS'!$M$5:$M$24,MATCH(B472,'SETTINGS'!$L$5:$L$24,0)),"Yes"))</f>
        <v/>
      </c>
      <c r="K472" s="51">
        <f>IF(A472="","",DATE(YEAR(A472),MONTH(A472),1))</f>
        <v/>
      </c>
    </row>
    <row r="473">
      <c r="A473" s="47" t="n"/>
      <c r="B473" s="38" t="n"/>
      <c r="C473" s="38" t="n"/>
      <c r="D473" s="38" t="n"/>
      <c r="E473" s="48" t="n"/>
      <c r="F473" s="38" t="n"/>
      <c r="G473" s="38" t="n"/>
      <c r="H473" s="38" t="n"/>
      <c r="I473" s="38" t="n"/>
      <c r="J473" s="49">
        <f>IF(B473="","",IFERROR(INDEX('SETTINGS'!$M$5:$M$24,MATCH(B473,'SETTINGS'!$L$5:$L$24,0)),"Yes"))</f>
        <v/>
      </c>
      <c r="K473" s="51">
        <f>IF(A473="","",DATE(YEAR(A473),MONTH(A473),1))</f>
        <v/>
      </c>
    </row>
    <row r="474">
      <c r="A474" s="47" t="n"/>
      <c r="B474" s="38" t="n"/>
      <c r="C474" s="38" t="n"/>
      <c r="D474" s="38" t="n"/>
      <c r="E474" s="48" t="n"/>
      <c r="F474" s="38" t="n"/>
      <c r="G474" s="38" t="n"/>
      <c r="H474" s="38" t="n"/>
      <c r="I474" s="38" t="n"/>
      <c r="J474" s="49">
        <f>IF(B474="","",IFERROR(INDEX('SETTINGS'!$M$5:$M$24,MATCH(B474,'SETTINGS'!$L$5:$L$24,0)),"Yes"))</f>
        <v/>
      </c>
      <c r="K474" s="51">
        <f>IF(A474="","",DATE(YEAR(A474),MONTH(A474),1))</f>
        <v/>
      </c>
    </row>
    <row r="475">
      <c r="A475" s="47" t="n"/>
      <c r="B475" s="38" t="n"/>
      <c r="C475" s="38" t="n"/>
      <c r="D475" s="38" t="n"/>
      <c r="E475" s="48" t="n"/>
      <c r="F475" s="38" t="n"/>
      <c r="G475" s="38" t="n"/>
      <c r="H475" s="38" t="n"/>
      <c r="I475" s="38" t="n"/>
      <c r="J475" s="49">
        <f>IF(B475="","",IFERROR(INDEX('SETTINGS'!$M$5:$M$24,MATCH(B475,'SETTINGS'!$L$5:$L$24,0)),"Yes"))</f>
        <v/>
      </c>
      <c r="K475" s="51">
        <f>IF(A475="","",DATE(YEAR(A475),MONTH(A475),1))</f>
        <v/>
      </c>
    </row>
    <row r="476">
      <c r="A476" s="47" t="n"/>
      <c r="B476" s="38" t="n"/>
      <c r="C476" s="38" t="n"/>
      <c r="D476" s="38" t="n"/>
      <c r="E476" s="48" t="n"/>
      <c r="F476" s="38" t="n"/>
      <c r="G476" s="38" t="n"/>
      <c r="H476" s="38" t="n"/>
      <c r="I476" s="38" t="n"/>
      <c r="J476" s="49">
        <f>IF(B476="","",IFERROR(INDEX('SETTINGS'!$M$5:$M$24,MATCH(B476,'SETTINGS'!$L$5:$L$24,0)),"Yes"))</f>
        <v/>
      </c>
      <c r="K476" s="51">
        <f>IF(A476="","",DATE(YEAR(A476),MONTH(A476),1))</f>
        <v/>
      </c>
    </row>
    <row r="477">
      <c r="A477" s="47" t="n"/>
      <c r="B477" s="38" t="n"/>
      <c r="C477" s="38" t="n"/>
      <c r="D477" s="38" t="n"/>
      <c r="E477" s="48" t="n"/>
      <c r="F477" s="38" t="n"/>
      <c r="G477" s="38" t="n"/>
      <c r="H477" s="38" t="n"/>
      <c r="I477" s="38" t="n"/>
      <c r="J477" s="49">
        <f>IF(B477="","",IFERROR(INDEX('SETTINGS'!$M$5:$M$24,MATCH(B477,'SETTINGS'!$L$5:$L$24,0)),"Yes"))</f>
        <v/>
      </c>
      <c r="K477" s="51">
        <f>IF(A477="","",DATE(YEAR(A477),MONTH(A477),1))</f>
        <v/>
      </c>
    </row>
    <row r="478">
      <c r="A478" s="47" t="n"/>
      <c r="B478" s="38" t="n"/>
      <c r="C478" s="38" t="n"/>
      <c r="D478" s="38" t="n"/>
      <c r="E478" s="48" t="n"/>
      <c r="F478" s="38" t="n"/>
      <c r="G478" s="38" t="n"/>
      <c r="H478" s="38" t="n"/>
      <c r="I478" s="38" t="n"/>
      <c r="J478" s="49">
        <f>IF(B478="","",IFERROR(INDEX('SETTINGS'!$M$5:$M$24,MATCH(B478,'SETTINGS'!$L$5:$L$24,0)),"Yes"))</f>
        <v/>
      </c>
      <c r="K478" s="51">
        <f>IF(A478="","",DATE(YEAR(A478),MONTH(A478),1))</f>
        <v/>
      </c>
    </row>
    <row r="479">
      <c r="A479" s="47" t="n"/>
      <c r="B479" s="38" t="n"/>
      <c r="C479" s="38" t="n"/>
      <c r="D479" s="38" t="n"/>
      <c r="E479" s="48" t="n"/>
      <c r="F479" s="38" t="n"/>
      <c r="G479" s="38" t="n"/>
      <c r="H479" s="38" t="n"/>
      <c r="I479" s="38" t="n"/>
      <c r="J479" s="49">
        <f>IF(B479="","",IFERROR(INDEX('SETTINGS'!$M$5:$M$24,MATCH(B479,'SETTINGS'!$L$5:$L$24,0)),"Yes"))</f>
        <v/>
      </c>
      <c r="K479" s="51">
        <f>IF(A479="","",DATE(YEAR(A479),MONTH(A479),1))</f>
        <v/>
      </c>
    </row>
    <row r="480">
      <c r="A480" s="47" t="n"/>
      <c r="B480" s="38" t="n"/>
      <c r="C480" s="38" t="n"/>
      <c r="D480" s="38" t="n"/>
      <c r="E480" s="48" t="n"/>
      <c r="F480" s="38" t="n"/>
      <c r="G480" s="38" t="n"/>
      <c r="H480" s="38" t="n"/>
      <c r="I480" s="38" t="n"/>
      <c r="J480" s="49">
        <f>IF(B480="","",IFERROR(INDEX('SETTINGS'!$M$5:$M$24,MATCH(B480,'SETTINGS'!$L$5:$L$24,0)),"Yes"))</f>
        <v/>
      </c>
      <c r="K480" s="51">
        <f>IF(A480="","",DATE(YEAR(A480),MONTH(A480),1))</f>
        <v/>
      </c>
    </row>
    <row r="481">
      <c r="A481" s="47" t="n"/>
      <c r="B481" s="38" t="n"/>
      <c r="C481" s="38" t="n"/>
      <c r="D481" s="38" t="n"/>
      <c r="E481" s="48" t="n"/>
      <c r="F481" s="38" t="n"/>
      <c r="G481" s="38" t="n"/>
      <c r="H481" s="38" t="n"/>
      <c r="I481" s="38" t="n"/>
      <c r="J481" s="49">
        <f>IF(B481="","",IFERROR(INDEX('SETTINGS'!$M$5:$M$24,MATCH(B481,'SETTINGS'!$L$5:$L$24,0)),"Yes"))</f>
        <v/>
      </c>
      <c r="K481" s="51">
        <f>IF(A481="","",DATE(YEAR(A481),MONTH(A481),1))</f>
        <v/>
      </c>
    </row>
    <row r="482">
      <c r="A482" s="47" t="n"/>
      <c r="B482" s="38" t="n"/>
      <c r="C482" s="38" t="n"/>
      <c r="D482" s="38" t="n"/>
      <c r="E482" s="48" t="n"/>
      <c r="F482" s="38" t="n"/>
      <c r="G482" s="38" t="n"/>
      <c r="H482" s="38" t="n"/>
      <c r="I482" s="38" t="n"/>
      <c r="J482" s="49">
        <f>IF(B482="","",IFERROR(INDEX('SETTINGS'!$M$5:$M$24,MATCH(B482,'SETTINGS'!$L$5:$L$24,0)),"Yes"))</f>
        <v/>
      </c>
      <c r="K482" s="51">
        <f>IF(A482="","",DATE(YEAR(A482),MONTH(A482),1))</f>
        <v/>
      </c>
    </row>
    <row r="483">
      <c r="A483" s="47" t="n"/>
      <c r="B483" s="38" t="n"/>
      <c r="C483" s="38" t="n"/>
      <c r="D483" s="38" t="n"/>
      <c r="E483" s="48" t="n"/>
      <c r="F483" s="38" t="n"/>
      <c r="G483" s="38" t="n"/>
      <c r="H483" s="38" t="n"/>
      <c r="I483" s="38" t="n"/>
      <c r="J483" s="49">
        <f>IF(B483="","",IFERROR(INDEX('SETTINGS'!$M$5:$M$24,MATCH(B483,'SETTINGS'!$L$5:$L$24,0)),"Yes"))</f>
        <v/>
      </c>
      <c r="K483" s="51">
        <f>IF(A483="","",DATE(YEAR(A483),MONTH(A483),1))</f>
        <v/>
      </c>
    </row>
    <row r="484">
      <c r="A484" s="47" t="n"/>
      <c r="B484" s="38" t="n"/>
      <c r="C484" s="38" t="n"/>
      <c r="D484" s="38" t="n"/>
      <c r="E484" s="48" t="n"/>
      <c r="F484" s="38" t="n"/>
      <c r="G484" s="38" t="n"/>
      <c r="H484" s="38" t="n"/>
      <c r="I484" s="38" t="n"/>
      <c r="J484" s="49">
        <f>IF(B484="","",IFERROR(INDEX('SETTINGS'!$M$5:$M$24,MATCH(B484,'SETTINGS'!$L$5:$L$24,0)),"Yes"))</f>
        <v/>
      </c>
      <c r="K484" s="51">
        <f>IF(A484="","",DATE(YEAR(A484),MONTH(A484),1))</f>
        <v/>
      </c>
    </row>
    <row r="485">
      <c r="A485" s="47" t="n"/>
      <c r="B485" s="38" t="n"/>
      <c r="C485" s="38" t="n"/>
      <c r="D485" s="38" t="n"/>
      <c r="E485" s="48" t="n"/>
      <c r="F485" s="38" t="n"/>
      <c r="G485" s="38" t="n"/>
      <c r="H485" s="38" t="n"/>
      <c r="I485" s="38" t="n"/>
      <c r="J485" s="49">
        <f>IF(B485="","",IFERROR(INDEX('SETTINGS'!$M$5:$M$24,MATCH(B485,'SETTINGS'!$L$5:$L$24,0)),"Yes"))</f>
        <v/>
      </c>
      <c r="K485" s="51">
        <f>IF(A485="","",DATE(YEAR(A485),MONTH(A485),1))</f>
        <v/>
      </c>
    </row>
    <row r="486">
      <c r="A486" s="47" t="n"/>
      <c r="B486" s="38" t="n"/>
      <c r="C486" s="38" t="n"/>
      <c r="D486" s="38" t="n"/>
      <c r="E486" s="48" t="n"/>
      <c r="F486" s="38" t="n"/>
      <c r="G486" s="38" t="n"/>
      <c r="H486" s="38" t="n"/>
      <c r="I486" s="38" t="n"/>
      <c r="J486" s="49">
        <f>IF(B486="","",IFERROR(INDEX('SETTINGS'!$M$5:$M$24,MATCH(B486,'SETTINGS'!$L$5:$L$24,0)),"Yes"))</f>
        <v/>
      </c>
      <c r="K486" s="51">
        <f>IF(A486="","",DATE(YEAR(A486),MONTH(A486),1))</f>
        <v/>
      </c>
    </row>
    <row r="487">
      <c r="A487" s="47" t="n"/>
      <c r="B487" s="38" t="n"/>
      <c r="C487" s="38" t="n"/>
      <c r="D487" s="38" t="n"/>
      <c r="E487" s="48" t="n"/>
      <c r="F487" s="38" t="n"/>
      <c r="G487" s="38" t="n"/>
      <c r="H487" s="38" t="n"/>
      <c r="I487" s="38" t="n"/>
      <c r="J487" s="49">
        <f>IF(B487="","",IFERROR(INDEX('SETTINGS'!$M$5:$M$24,MATCH(B487,'SETTINGS'!$L$5:$L$24,0)),"Yes"))</f>
        <v/>
      </c>
      <c r="K487" s="51">
        <f>IF(A487="","",DATE(YEAR(A487),MONTH(A487),1))</f>
        <v/>
      </c>
    </row>
    <row r="488">
      <c r="A488" s="47" t="n"/>
      <c r="B488" s="38" t="n"/>
      <c r="C488" s="38" t="n"/>
      <c r="D488" s="38" t="n"/>
      <c r="E488" s="48" t="n"/>
      <c r="F488" s="38" t="n"/>
      <c r="G488" s="38" t="n"/>
      <c r="H488" s="38" t="n"/>
      <c r="I488" s="38" t="n"/>
      <c r="J488" s="49">
        <f>IF(B488="","",IFERROR(INDEX('SETTINGS'!$M$5:$M$24,MATCH(B488,'SETTINGS'!$L$5:$L$24,0)),"Yes"))</f>
        <v/>
      </c>
      <c r="K488" s="51">
        <f>IF(A488="","",DATE(YEAR(A488),MONTH(A488),1))</f>
        <v/>
      </c>
    </row>
    <row r="489">
      <c r="A489" s="47" t="n"/>
      <c r="B489" s="38" t="n"/>
      <c r="C489" s="38" t="n"/>
      <c r="D489" s="38" t="n"/>
      <c r="E489" s="48" t="n"/>
      <c r="F489" s="38" t="n"/>
      <c r="G489" s="38" t="n"/>
      <c r="H489" s="38" t="n"/>
      <c r="I489" s="38" t="n"/>
      <c r="J489" s="49">
        <f>IF(B489="","",IFERROR(INDEX('SETTINGS'!$M$5:$M$24,MATCH(B489,'SETTINGS'!$L$5:$L$24,0)),"Yes"))</f>
        <v/>
      </c>
      <c r="K489" s="51">
        <f>IF(A489="","",DATE(YEAR(A489),MONTH(A489),1))</f>
        <v/>
      </c>
    </row>
    <row r="490">
      <c r="A490" s="47" t="n"/>
      <c r="B490" s="38" t="n"/>
      <c r="C490" s="38" t="n"/>
      <c r="D490" s="38" t="n"/>
      <c r="E490" s="48" t="n"/>
      <c r="F490" s="38" t="n"/>
      <c r="G490" s="38" t="n"/>
      <c r="H490" s="38" t="n"/>
      <c r="I490" s="38" t="n"/>
      <c r="J490" s="49">
        <f>IF(B490="","",IFERROR(INDEX('SETTINGS'!$M$5:$M$24,MATCH(B490,'SETTINGS'!$L$5:$L$24,0)),"Yes"))</f>
        <v/>
      </c>
      <c r="K490" s="51">
        <f>IF(A490="","",DATE(YEAR(A490),MONTH(A490),1))</f>
        <v/>
      </c>
    </row>
    <row r="491">
      <c r="A491" s="47" t="n"/>
      <c r="B491" s="38" t="n"/>
      <c r="C491" s="38" t="n"/>
      <c r="D491" s="38" t="n"/>
      <c r="E491" s="48" t="n"/>
      <c r="F491" s="38" t="n"/>
      <c r="G491" s="38" t="n"/>
      <c r="H491" s="38" t="n"/>
      <c r="I491" s="38" t="n"/>
      <c r="J491" s="49">
        <f>IF(B491="","",IFERROR(INDEX('SETTINGS'!$M$5:$M$24,MATCH(B491,'SETTINGS'!$L$5:$L$24,0)),"Yes"))</f>
        <v/>
      </c>
      <c r="K491" s="51">
        <f>IF(A491="","",DATE(YEAR(A491),MONTH(A491),1))</f>
        <v/>
      </c>
    </row>
    <row r="492">
      <c r="A492" s="47" t="n"/>
      <c r="B492" s="38" t="n"/>
      <c r="C492" s="38" t="n"/>
      <c r="D492" s="38" t="n"/>
      <c r="E492" s="48" t="n"/>
      <c r="F492" s="38" t="n"/>
      <c r="G492" s="38" t="n"/>
      <c r="H492" s="38" t="n"/>
      <c r="I492" s="38" t="n"/>
      <c r="J492" s="49">
        <f>IF(B492="","",IFERROR(INDEX('SETTINGS'!$M$5:$M$24,MATCH(B492,'SETTINGS'!$L$5:$L$24,0)),"Yes"))</f>
        <v/>
      </c>
      <c r="K492" s="51">
        <f>IF(A492="","",DATE(YEAR(A492),MONTH(A492),1))</f>
        <v/>
      </c>
    </row>
    <row r="493">
      <c r="A493" s="47" t="n"/>
      <c r="B493" s="38" t="n"/>
      <c r="C493" s="38" t="n"/>
      <c r="D493" s="38" t="n"/>
      <c r="E493" s="48" t="n"/>
      <c r="F493" s="38" t="n"/>
      <c r="G493" s="38" t="n"/>
      <c r="H493" s="38" t="n"/>
      <c r="I493" s="38" t="n"/>
      <c r="J493" s="49">
        <f>IF(B493="","",IFERROR(INDEX('SETTINGS'!$M$5:$M$24,MATCH(B493,'SETTINGS'!$L$5:$L$24,0)),"Yes"))</f>
        <v/>
      </c>
      <c r="K493" s="51">
        <f>IF(A493="","",DATE(YEAR(A493),MONTH(A493),1))</f>
        <v/>
      </c>
    </row>
    <row r="494">
      <c r="A494" s="47" t="n"/>
      <c r="B494" s="38" t="n"/>
      <c r="C494" s="38" t="n"/>
      <c r="D494" s="38" t="n"/>
      <c r="E494" s="48" t="n"/>
      <c r="F494" s="38" t="n"/>
      <c r="G494" s="38" t="n"/>
      <c r="H494" s="38" t="n"/>
      <c r="I494" s="38" t="n"/>
      <c r="J494" s="49">
        <f>IF(B494="","",IFERROR(INDEX('SETTINGS'!$M$5:$M$24,MATCH(B494,'SETTINGS'!$L$5:$L$24,0)),"Yes"))</f>
        <v/>
      </c>
      <c r="K494" s="51">
        <f>IF(A494="","",DATE(YEAR(A494),MONTH(A494),1))</f>
        <v/>
      </c>
    </row>
    <row r="495">
      <c r="A495" s="47" t="n"/>
      <c r="B495" s="38" t="n"/>
      <c r="C495" s="38" t="n"/>
      <c r="D495" s="38" t="n"/>
      <c r="E495" s="48" t="n"/>
      <c r="F495" s="38" t="n"/>
      <c r="G495" s="38" t="n"/>
      <c r="H495" s="38" t="n"/>
      <c r="I495" s="38" t="n"/>
      <c r="J495" s="49">
        <f>IF(B495="","",IFERROR(INDEX('SETTINGS'!$M$5:$M$24,MATCH(B495,'SETTINGS'!$L$5:$L$24,0)),"Yes"))</f>
        <v/>
      </c>
      <c r="K495" s="51">
        <f>IF(A495="","",DATE(YEAR(A495),MONTH(A495),1))</f>
        <v/>
      </c>
    </row>
    <row r="496">
      <c r="A496" s="47" t="n"/>
      <c r="B496" s="38" t="n"/>
      <c r="C496" s="38" t="n"/>
      <c r="D496" s="38" t="n"/>
      <c r="E496" s="48" t="n"/>
      <c r="F496" s="38" t="n"/>
      <c r="G496" s="38" t="n"/>
      <c r="H496" s="38" t="n"/>
      <c r="I496" s="38" t="n"/>
      <c r="J496" s="49">
        <f>IF(B496="","",IFERROR(INDEX('SETTINGS'!$M$5:$M$24,MATCH(B496,'SETTINGS'!$L$5:$L$24,0)),"Yes"))</f>
        <v/>
      </c>
      <c r="K496" s="51">
        <f>IF(A496="","",DATE(YEAR(A496),MONTH(A496),1))</f>
        <v/>
      </c>
    </row>
    <row r="497">
      <c r="A497" s="47" t="n"/>
      <c r="B497" s="38" t="n"/>
      <c r="C497" s="38" t="n"/>
      <c r="D497" s="38" t="n"/>
      <c r="E497" s="48" t="n"/>
      <c r="F497" s="38" t="n"/>
      <c r="G497" s="38" t="n"/>
      <c r="H497" s="38" t="n"/>
      <c r="I497" s="38" t="n"/>
      <c r="J497" s="49">
        <f>IF(B497="","",IFERROR(INDEX('SETTINGS'!$M$5:$M$24,MATCH(B497,'SETTINGS'!$L$5:$L$24,0)),"Yes"))</f>
        <v/>
      </c>
      <c r="K497" s="51">
        <f>IF(A497="","",DATE(YEAR(A497),MONTH(A497),1))</f>
        <v/>
      </c>
    </row>
    <row r="498">
      <c r="A498" s="47" t="n"/>
      <c r="B498" s="38" t="n"/>
      <c r="C498" s="38" t="n"/>
      <c r="D498" s="38" t="n"/>
      <c r="E498" s="48" t="n"/>
      <c r="F498" s="38" t="n"/>
      <c r="G498" s="38" t="n"/>
      <c r="H498" s="38" t="n"/>
      <c r="I498" s="38" t="n"/>
      <c r="J498" s="49">
        <f>IF(B498="","",IFERROR(INDEX('SETTINGS'!$M$5:$M$24,MATCH(B498,'SETTINGS'!$L$5:$L$24,0)),"Yes"))</f>
        <v/>
      </c>
      <c r="K498" s="51">
        <f>IF(A498="","",DATE(YEAR(A498),MONTH(A498),1))</f>
        <v/>
      </c>
    </row>
    <row r="499">
      <c r="A499" s="47" t="n"/>
      <c r="B499" s="38" t="n"/>
      <c r="C499" s="38" t="n"/>
      <c r="D499" s="38" t="n"/>
      <c r="E499" s="48" t="n"/>
      <c r="F499" s="38" t="n"/>
      <c r="G499" s="38" t="n"/>
      <c r="H499" s="38" t="n"/>
      <c r="I499" s="38" t="n"/>
      <c r="J499" s="49">
        <f>IF(B499="","",IFERROR(INDEX('SETTINGS'!$M$5:$M$24,MATCH(B499,'SETTINGS'!$L$5:$L$24,0)),"Yes"))</f>
        <v/>
      </c>
      <c r="K499" s="51">
        <f>IF(A499="","",DATE(YEAR(A499),MONTH(A499),1))</f>
        <v/>
      </c>
    </row>
    <row r="500">
      <c r="A500" s="47" t="n"/>
      <c r="B500" s="38" t="n"/>
      <c r="C500" s="38" t="n"/>
      <c r="D500" s="38" t="n"/>
      <c r="E500" s="48" t="n"/>
      <c r="F500" s="38" t="n"/>
      <c r="G500" s="38" t="n"/>
      <c r="H500" s="38" t="n"/>
      <c r="I500" s="38" t="n"/>
      <c r="J500" s="49">
        <f>IF(B500="","",IFERROR(INDEX('SETTINGS'!$M$5:$M$24,MATCH(B500,'SETTINGS'!$L$5:$L$24,0)),"Yes"))</f>
        <v/>
      </c>
      <c r="K500" s="51">
        <f>IF(A500="","",DATE(YEAR(A500),MONTH(A500),1))</f>
        <v/>
      </c>
    </row>
    <row r="501">
      <c r="A501" s="47" t="n"/>
      <c r="B501" s="38" t="n"/>
      <c r="C501" s="38" t="n"/>
      <c r="D501" s="38" t="n"/>
      <c r="E501" s="48" t="n"/>
      <c r="F501" s="38" t="n"/>
      <c r="G501" s="38" t="n"/>
      <c r="H501" s="38" t="n"/>
      <c r="I501" s="38" t="n"/>
      <c r="J501" s="49">
        <f>IF(B501="","",IFERROR(INDEX('SETTINGS'!$M$5:$M$24,MATCH(B501,'SETTINGS'!$L$5:$L$24,0)),"Yes"))</f>
        <v/>
      </c>
      <c r="K501" s="51">
        <f>IF(A501="","",DATE(YEAR(A501),MONTH(A501),1))</f>
        <v/>
      </c>
    </row>
    <row r="502">
      <c r="A502" s="47" t="n"/>
      <c r="B502" s="38" t="n"/>
      <c r="C502" s="38" t="n"/>
      <c r="D502" s="38" t="n"/>
      <c r="E502" s="48" t="n"/>
      <c r="F502" s="38" t="n"/>
      <c r="G502" s="38" t="n"/>
      <c r="H502" s="38" t="n"/>
      <c r="I502" s="38" t="n"/>
      <c r="J502" s="49">
        <f>IF(B502="","",IFERROR(INDEX('SETTINGS'!$M$5:$M$24,MATCH(B502,'SETTINGS'!$L$5:$L$24,0)),"Yes"))</f>
        <v/>
      </c>
      <c r="K502" s="51">
        <f>IF(A502="","",DATE(YEAR(A502),MONTH(A502),1))</f>
        <v/>
      </c>
    </row>
    <row r="503">
      <c r="A503" s="47" t="n"/>
      <c r="B503" s="38" t="n"/>
      <c r="C503" s="38" t="n"/>
      <c r="D503" s="38" t="n"/>
      <c r="E503" s="48" t="n"/>
      <c r="F503" s="38" t="n"/>
      <c r="G503" s="38" t="n"/>
      <c r="H503" s="38" t="n"/>
      <c r="I503" s="38" t="n"/>
      <c r="J503" s="49">
        <f>IF(B503="","",IFERROR(INDEX('SETTINGS'!$M$5:$M$24,MATCH(B503,'SETTINGS'!$L$5:$L$24,0)),"Yes"))</f>
        <v/>
      </c>
      <c r="K503" s="51">
        <f>IF(A503="","",DATE(YEAR(A503),MONTH(A503),1))</f>
        <v/>
      </c>
    </row>
    <row r="504">
      <c r="A504" s="47" t="n"/>
      <c r="B504" s="38" t="n"/>
      <c r="C504" s="38" t="n"/>
      <c r="D504" s="38" t="n"/>
      <c r="E504" s="48" t="n"/>
      <c r="F504" s="38" t="n"/>
      <c r="G504" s="38" t="n"/>
      <c r="H504" s="38" t="n"/>
      <c r="I504" s="38" t="n"/>
      <c r="J504" s="49">
        <f>IF(B504="","",IFERROR(INDEX('SETTINGS'!$M$5:$M$24,MATCH(B504,'SETTINGS'!$L$5:$L$24,0)),"Yes"))</f>
        <v/>
      </c>
      <c r="K504" s="51">
        <f>IF(A504="","",DATE(YEAR(A504),MONTH(A504),1))</f>
        <v/>
      </c>
    </row>
    <row r="505">
      <c r="A505" s="47" t="n"/>
      <c r="B505" s="38" t="n"/>
      <c r="C505" s="38" t="n"/>
      <c r="D505" s="38" t="n"/>
      <c r="E505" s="48" t="n"/>
      <c r="F505" s="38" t="n"/>
      <c r="G505" s="38" t="n"/>
      <c r="H505" s="38" t="n"/>
      <c r="I505" s="38" t="n"/>
      <c r="J505" s="49">
        <f>IF(B505="","",IFERROR(INDEX('SETTINGS'!$M$5:$M$24,MATCH(B505,'SETTINGS'!$L$5:$L$24,0)),"Yes"))</f>
        <v/>
      </c>
      <c r="K505" s="51">
        <f>IF(A505="","",DATE(YEAR(A505),MONTH(A505),1))</f>
        <v/>
      </c>
    </row>
    <row r="506">
      <c r="A506" s="47" t="n"/>
      <c r="B506" s="38" t="n"/>
      <c r="C506" s="38" t="n"/>
      <c r="D506" s="38" t="n"/>
      <c r="E506" s="48" t="n"/>
      <c r="F506" s="38" t="n"/>
      <c r="G506" s="38" t="n"/>
      <c r="H506" s="38" t="n"/>
      <c r="I506" s="38" t="n"/>
      <c r="J506" s="49">
        <f>IF(B506="","",IFERROR(INDEX('SETTINGS'!$M$5:$M$24,MATCH(B506,'SETTINGS'!$L$5:$L$24,0)),"Yes"))</f>
        <v/>
      </c>
      <c r="K506" s="51">
        <f>IF(A506="","",DATE(YEAR(A506),MONTH(A506),1))</f>
        <v/>
      </c>
    </row>
    <row r="507">
      <c r="A507" s="47" t="n"/>
      <c r="B507" s="38" t="n"/>
      <c r="C507" s="38" t="n"/>
      <c r="D507" s="38" t="n"/>
      <c r="E507" s="48" t="n"/>
      <c r="F507" s="38" t="n"/>
      <c r="G507" s="38" t="n"/>
      <c r="H507" s="38" t="n"/>
      <c r="I507" s="38" t="n"/>
      <c r="J507" s="49">
        <f>IF(B507="","",IFERROR(INDEX('SETTINGS'!$M$5:$M$24,MATCH(B507,'SETTINGS'!$L$5:$L$24,0)),"Yes"))</f>
        <v/>
      </c>
      <c r="K507" s="51">
        <f>IF(A507="","",DATE(YEAR(A507),MONTH(A507),1))</f>
        <v/>
      </c>
    </row>
    <row r="508">
      <c r="A508" s="47" t="n"/>
      <c r="B508" s="38" t="n"/>
      <c r="C508" s="38" t="n"/>
      <c r="D508" s="38" t="n"/>
      <c r="E508" s="48" t="n"/>
      <c r="F508" s="38" t="n"/>
      <c r="G508" s="38" t="n"/>
      <c r="H508" s="38" t="n"/>
      <c r="I508" s="38" t="n"/>
      <c r="J508" s="49">
        <f>IF(B508="","",IFERROR(INDEX('SETTINGS'!$M$5:$M$24,MATCH(B508,'SETTINGS'!$L$5:$L$24,0)),"Yes"))</f>
        <v/>
      </c>
      <c r="K508" s="51">
        <f>IF(A508="","",DATE(YEAR(A508),MONTH(A508),1))</f>
        <v/>
      </c>
    </row>
    <row r="509">
      <c r="A509" s="47" t="n"/>
      <c r="B509" s="38" t="n"/>
      <c r="C509" s="38" t="n"/>
      <c r="D509" s="38" t="n"/>
      <c r="E509" s="48" t="n"/>
      <c r="F509" s="38" t="n"/>
      <c r="G509" s="38" t="n"/>
      <c r="H509" s="38" t="n"/>
      <c r="I509" s="38" t="n"/>
      <c r="J509" s="49">
        <f>IF(B509="","",IFERROR(INDEX('SETTINGS'!$M$5:$M$24,MATCH(B509,'SETTINGS'!$L$5:$L$24,0)),"Yes"))</f>
        <v/>
      </c>
      <c r="K509" s="51">
        <f>IF(A509="","",DATE(YEAR(A509),MONTH(A509),1))</f>
        <v/>
      </c>
    </row>
    <row r="510">
      <c r="A510" s="47" t="n"/>
      <c r="B510" s="38" t="n"/>
      <c r="C510" s="38" t="n"/>
      <c r="D510" s="38" t="n"/>
      <c r="E510" s="48" t="n"/>
      <c r="F510" s="38" t="n"/>
      <c r="G510" s="38" t="n"/>
      <c r="H510" s="38" t="n"/>
      <c r="I510" s="38" t="n"/>
      <c r="J510" s="49">
        <f>IF(B510="","",IFERROR(INDEX('SETTINGS'!$M$5:$M$24,MATCH(B510,'SETTINGS'!$L$5:$L$24,0)),"Yes"))</f>
        <v/>
      </c>
      <c r="K510" s="51">
        <f>IF(A510="","",DATE(YEAR(A510),MONTH(A510),1))</f>
        <v/>
      </c>
    </row>
    <row r="511">
      <c r="A511" s="47" t="n"/>
      <c r="B511" s="38" t="n"/>
      <c r="C511" s="38" t="n"/>
      <c r="D511" s="38" t="n"/>
      <c r="E511" s="48" t="n"/>
      <c r="F511" s="38" t="n"/>
      <c r="G511" s="38" t="n"/>
      <c r="H511" s="38" t="n"/>
      <c r="I511" s="38" t="n"/>
      <c r="J511" s="49">
        <f>IF(B511="","",IFERROR(INDEX('SETTINGS'!$M$5:$M$24,MATCH(B511,'SETTINGS'!$L$5:$L$24,0)),"Yes"))</f>
        <v/>
      </c>
      <c r="K511" s="51">
        <f>IF(A511="","",DATE(YEAR(A511),MONTH(A511),1))</f>
        <v/>
      </c>
    </row>
    <row r="512">
      <c r="A512" s="47" t="n"/>
      <c r="B512" s="38" t="n"/>
      <c r="C512" s="38" t="n"/>
      <c r="D512" s="38" t="n"/>
      <c r="E512" s="48" t="n"/>
      <c r="F512" s="38" t="n"/>
      <c r="G512" s="38" t="n"/>
      <c r="H512" s="38" t="n"/>
      <c r="I512" s="38" t="n"/>
      <c r="J512" s="49">
        <f>IF(B512="","",IFERROR(INDEX('SETTINGS'!$M$5:$M$24,MATCH(B512,'SETTINGS'!$L$5:$L$24,0)),"Yes"))</f>
        <v/>
      </c>
      <c r="K512" s="51">
        <f>IF(A512="","",DATE(YEAR(A512),MONTH(A512),1))</f>
        <v/>
      </c>
    </row>
    <row r="513">
      <c r="A513" s="47" t="n"/>
      <c r="B513" s="38" t="n"/>
      <c r="C513" s="38" t="n"/>
      <c r="D513" s="38" t="n"/>
      <c r="E513" s="48" t="n"/>
      <c r="F513" s="38" t="n"/>
      <c r="G513" s="38" t="n"/>
      <c r="H513" s="38" t="n"/>
      <c r="I513" s="38" t="n"/>
      <c r="J513" s="49">
        <f>IF(B513="","",IFERROR(INDEX('SETTINGS'!$M$5:$M$24,MATCH(B513,'SETTINGS'!$L$5:$L$24,0)),"Yes"))</f>
        <v/>
      </c>
      <c r="K513" s="51">
        <f>IF(A513="","",DATE(YEAR(A513),MONTH(A513),1))</f>
        <v/>
      </c>
    </row>
    <row r="514">
      <c r="A514" s="47" t="n"/>
      <c r="B514" s="38" t="n"/>
      <c r="C514" s="38" t="n"/>
      <c r="D514" s="38" t="n"/>
      <c r="E514" s="48" t="n"/>
      <c r="F514" s="38" t="n"/>
      <c r="G514" s="38" t="n"/>
      <c r="H514" s="38" t="n"/>
      <c r="I514" s="38" t="n"/>
      <c r="J514" s="49">
        <f>IF(B514="","",IFERROR(INDEX('SETTINGS'!$M$5:$M$24,MATCH(B514,'SETTINGS'!$L$5:$L$24,0)),"Yes"))</f>
        <v/>
      </c>
      <c r="K514" s="51">
        <f>IF(A514="","",DATE(YEAR(A514),MONTH(A514),1))</f>
        <v/>
      </c>
    </row>
    <row r="515">
      <c r="A515" s="47" t="n"/>
      <c r="B515" s="38" t="n"/>
      <c r="C515" s="38" t="n"/>
      <c r="D515" s="38" t="n"/>
      <c r="E515" s="48" t="n"/>
      <c r="F515" s="38" t="n"/>
      <c r="G515" s="38" t="n"/>
      <c r="H515" s="38" t="n"/>
      <c r="I515" s="38" t="n"/>
      <c r="J515" s="49">
        <f>IF(B515="","",IFERROR(INDEX('SETTINGS'!$M$5:$M$24,MATCH(B515,'SETTINGS'!$L$5:$L$24,0)),"Yes"))</f>
        <v/>
      </c>
      <c r="K515" s="51">
        <f>IF(A515="","",DATE(YEAR(A515),MONTH(A515),1))</f>
        <v/>
      </c>
    </row>
    <row r="516">
      <c r="A516" s="47" t="n"/>
      <c r="B516" s="38" t="n"/>
      <c r="C516" s="38" t="n"/>
      <c r="D516" s="38" t="n"/>
      <c r="E516" s="48" t="n"/>
      <c r="F516" s="38" t="n"/>
      <c r="G516" s="38" t="n"/>
      <c r="H516" s="38" t="n"/>
      <c r="I516" s="38" t="n"/>
      <c r="J516" s="49">
        <f>IF(B516="","",IFERROR(INDEX('SETTINGS'!$M$5:$M$24,MATCH(B516,'SETTINGS'!$L$5:$L$24,0)),"Yes"))</f>
        <v/>
      </c>
      <c r="K516" s="51">
        <f>IF(A516="","",DATE(YEAR(A516),MONTH(A516),1))</f>
        <v/>
      </c>
    </row>
    <row r="517">
      <c r="A517" s="47" t="n"/>
      <c r="B517" s="38" t="n"/>
      <c r="C517" s="38" t="n"/>
      <c r="D517" s="38" t="n"/>
      <c r="E517" s="48" t="n"/>
      <c r="F517" s="38" t="n"/>
      <c r="G517" s="38" t="n"/>
      <c r="H517" s="38" t="n"/>
      <c r="I517" s="38" t="n"/>
      <c r="J517" s="49">
        <f>IF(B517="","",IFERROR(INDEX('SETTINGS'!$M$5:$M$24,MATCH(B517,'SETTINGS'!$L$5:$L$24,0)),"Yes"))</f>
        <v/>
      </c>
      <c r="K517" s="51">
        <f>IF(A517="","",DATE(YEAR(A517),MONTH(A517),1))</f>
        <v/>
      </c>
    </row>
    <row r="518">
      <c r="A518" s="47" t="n"/>
      <c r="B518" s="38" t="n"/>
      <c r="C518" s="38" t="n"/>
      <c r="D518" s="38" t="n"/>
      <c r="E518" s="48" t="n"/>
      <c r="F518" s="38" t="n"/>
      <c r="G518" s="38" t="n"/>
      <c r="H518" s="38" t="n"/>
      <c r="I518" s="38" t="n"/>
      <c r="J518" s="49">
        <f>IF(B518="","",IFERROR(INDEX('SETTINGS'!$M$5:$M$24,MATCH(B518,'SETTINGS'!$L$5:$L$24,0)),"Yes"))</f>
        <v/>
      </c>
      <c r="K518" s="51">
        <f>IF(A518="","",DATE(YEAR(A518),MONTH(A518),1))</f>
        <v/>
      </c>
    </row>
    <row r="519">
      <c r="A519" s="47" t="n"/>
      <c r="B519" s="38" t="n"/>
      <c r="C519" s="38" t="n"/>
      <c r="D519" s="38" t="n"/>
      <c r="E519" s="48" t="n"/>
      <c r="F519" s="38" t="n"/>
      <c r="G519" s="38" t="n"/>
      <c r="H519" s="38" t="n"/>
      <c r="I519" s="38" t="n"/>
      <c r="J519" s="49">
        <f>IF(B519="","",IFERROR(INDEX('SETTINGS'!$M$5:$M$24,MATCH(B519,'SETTINGS'!$L$5:$L$24,0)),"Yes"))</f>
        <v/>
      </c>
      <c r="K519" s="51">
        <f>IF(A519="","",DATE(YEAR(A519),MONTH(A519),1))</f>
        <v/>
      </c>
    </row>
    <row r="520">
      <c r="A520" s="47" t="n"/>
      <c r="B520" s="38" t="n"/>
      <c r="C520" s="38" t="n"/>
      <c r="D520" s="38" t="n"/>
      <c r="E520" s="48" t="n"/>
      <c r="F520" s="38" t="n"/>
      <c r="G520" s="38" t="n"/>
      <c r="H520" s="38" t="n"/>
      <c r="I520" s="38" t="n"/>
      <c r="J520" s="49">
        <f>IF(B520="","",IFERROR(INDEX('SETTINGS'!$M$5:$M$24,MATCH(B520,'SETTINGS'!$L$5:$L$24,0)),"Yes"))</f>
        <v/>
      </c>
      <c r="K520" s="51">
        <f>IF(A520="","",DATE(YEAR(A520),MONTH(A520),1))</f>
        <v/>
      </c>
    </row>
    <row r="521">
      <c r="A521" s="47" t="n"/>
      <c r="B521" s="38" t="n"/>
      <c r="C521" s="38" t="n"/>
      <c r="D521" s="38" t="n"/>
      <c r="E521" s="48" t="n"/>
      <c r="F521" s="38" t="n"/>
      <c r="G521" s="38" t="n"/>
      <c r="H521" s="38" t="n"/>
      <c r="I521" s="38" t="n"/>
      <c r="J521" s="49">
        <f>IF(B521="","",IFERROR(INDEX('SETTINGS'!$M$5:$M$24,MATCH(B521,'SETTINGS'!$L$5:$L$24,0)),"Yes"))</f>
        <v/>
      </c>
      <c r="K521" s="51">
        <f>IF(A521="","",DATE(YEAR(A521),MONTH(A521),1))</f>
        <v/>
      </c>
    </row>
    <row r="522">
      <c r="A522" s="47" t="n"/>
      <c r="B522" s="38" t="n"/>
      <c r="C522" s="38" t="n"/>
      <c r="D522" s="38" t="n"/>
      <c r="E522" s="48" t="n"/>
      <c r="F522" s="38" t="n"/>
      <c r="G522" s="38" t="n"/>
      <c r="H522" s="38" t="n"/>
      <c r="I522" s="38" t="n"/>
      <c r="J522" s="49">
        <f>IF(B522="","",IFERROR(INDEX('SETTINGS'!$M$5:$M$24,MATCH(B522,'SETTINGS'!$L$5:$L$24,0)),"Yes"))</f>
        <v/>
      </c>
      <c r="K522" s="51">
        <f>IF(A522="","",DATE(YEAR(A522),MONTH(A522),1))</f>
        <v/>
      </c>
    </row>
    <row r="523">
      <c r="A523" s="47" t="n"/>
      <c r="B523" s="38" t="n"/>
      <c r="C523" s="38" t="n"/>
      <c r="D523" s="38" t="n"/>
      <c r="E523" s="48" t="n"/>
      <c r="F523" s="38" t="n"/>
      <c r="G523" s="38" t="n"/>
      <c r="H523" s="38" t="n"/>
      <c r="I523" s="38" t="n"/>
      <c r="J523" s="49">
        <f>IF(B523="","",IFERROR(INDEX('SETTINGS'!$M$5:$M$24,MATCH(B523,'SETTINGS'!$L$5:$L$24,0)),"Yes"))</f>
        <v/>
      </c>
      <c r="K523" s="51">
        <f>IF(A523="","",DATE(YEAR(A523),MONTH(A523),1))</f>
        <v/>
      </c>
    </row>
    <row r="524">
      <c r="A524" s="47" t="n"/>
      <c r="B524" s="38" t="n"/>
      <c r="C524" s="38" t="n"/>
      <c r="D524" s="38" t="n"/>
      <c r="E524" s="48" t="n"/>
      <c r="F524" s="38" t="n"/>
      <c r="G524" s="38" t="n"/>
      <c r="H524" s="38" t="n"/>
      <c r="I524" s="38" t="n"/>
      <c r="J524" s="49">
        <f>IF(B524="","",IFERROR(INDEX('SETTINGS'!$M$5:$M$24,MATCH(B524,'SETTINGS'!$L$5:$L$24,0)),"Yes"))</f>
        <v/>
      </c>
      <c r="K524" s="51">
        <f>IF(A524="","",DATE(YEAR(A524),MONTH(A524),1))</f>
        <v/>
      </c>
    </row>
    <row r="525">
      <c r="A525" s="47" t="n"/>
      <c r="B525" s="38" t="n"/>
      <c r="C525" s="38" t="n"/>
      <c r="D525" s="38" t="n"/>
      <c r="E525" s="48" t="n"/>
      <c r="F525" s="38" t="n"/>
      <c r="G525" s="38" t="n"/>
      <c r="H525" s="38" t="n"/>
      <c r="I525" s="38" t="n"/>
      <c r="J525" s="49">
        <f>IF(B525="","",IFERROR(INDEX('SETTINGS'!$M$5:$M$24,MATCH(B525,'SETTINGS'!$L$5:$L$24,0)),"Yes"))</f>
        <v/>
      </c>
      <c r="K525" s="51">
        <f>IF(A525="","",DATE(YEAR(A525),MONTH(A525),1))</f>
        <v/>
      </c>
    </row>
    <row r="526">
      <c r="A526" s="47" t="n"/>
      <c r="B526" s="38" t="n"/>
      <c r="C526" s="38" t="n"/>
      <c r="D526" s="38" t="n"/>
      <c r="E526" s="48" t="n"/>
      <c r="F526" s="38" t="n"/>
      <c r="G526" s="38" t="n"/>
      <c r="H526" s="38" t="n"/>
      <c r="I526" s="38" t="n"/>
      <c r="J526" s="49">
        <f>IF(B526="","",IFERROR(INDEX('SETTINGS'!$M$5:$M$24,MATCH(B526,'SETTINGS'!$L$5:$L$24,0)),"Yes"))</f>
        <v/>
      </c>
      <c r="K526" s="51">
        <f>IF(A526="","",DATE(YEAR(A526),MONTH(A526),1))</f>
        <v/>
      </c>
    </row>
    <row r="527">
      <c r="A527" s="47" t="n"/>
      <c r="B527" s="38" t="n"/>
      <c r="C527" s="38" t="n"/>
      <c r="D527" s="38" t="n"/>
      <c r="E527" s="48" t="n"/>
      <c r="F527" s="38" t="n"/>
      <c r="G527" s="38" t="n"/>
      <c r="H527" s="38" t="n"/>
      <c r="I527" s="38" t="n"/>
      <c r="J527" s="49">
        <f>IF(B527="","",IFERROR(INDEX('SETTINGS'!$M$5:$M$24,MATCH(B527,'SETTINGS'!$L$5:$L$24,0)),"Yes"))</f>
        <v/>
      </c>
      <c r="K527" s="51">
        <f>IF(A527="","",DATE(YEAR(A527),MONTH(A527),1))</f>
        <v/>
      </c>
    </row>
    <row r="528">
      <c r="A528" s="47" t="n"/>
      <c r="B528" s="38" t="n"/>
      <c r="C528" s="38" t="n"/>
      <c r="D528" s="38" t="n"/>
      <c r="E528" s="48" t="n"/>
      <c r="F528" s="38" t="n"/>
      <c r="G528" s="38" t="n"/>
      <c r="H528" s="38" t="n"/>
      <c r="I528" s="38" t="n"/>
      <c r="J528" s="49">
        <f>IF(B528="","",IFERROR(INDEX('SETTINGS'!$M$5:$M$24,MATCH(B528,'SETTINGS'!$L$5:$L$24,0)),"Yes"))</f>
        <v/>
      </c>
      <c r="K528" s="51">
        <f>IF(A528="","",DATE(YEAR(A528),MONTH(A528),1))</f>
        <v/>
      </c>
    </row>
    <row r="529">
      <c r="A529" s="47" t="n"/>
      <c r="B529" s="38" t="n"/>
      <c r="C529" s="38" t="n"/>
      <c r="D529" s="38" t="n"/>
      <c r="E529" s="48" t="n"/>
      <c r="F529" s="38" t="n"/>
      <c r="G529" s="38" t="n"/>
      <c r="H529" s="38" t="n"/>
      <c r="I529" s="38" t="n"/>
      <c r="J529" s="49">
        <f>IF(B529="","",IFERROR(INDEX('SETTINGS'!$M$5:$M$24,MATCH(B529,'SETTINGS'!$L$5:$L$24,0)),"Yes"))</f>
        <v/>
      </c>
      <c r="K529" s="51">
        <f>IF(A529="","",DATE(YEAR(A529),MONTH(A529),1))</f>
        <v/>
      </c>
    </row>
    <row r="530">
      <c r="A530" s="47" t="n"/>
      <c r="B530" s="38" t="n"/>
      <c r="C530" s="38" t="n"/>
      <c r="D530" s="38" t="n"/>
      <c r="E530" s="48" t="n"/>
      <c r="F530" s="38" t="n"/>
      <c r="G530" s="38" t="n"/>
      <c r="H530" s="38" t="n"/>
      <c r="I530" s="38" t="n"/>
      <c r="J530" s="49">
        <f>IF(B530="","",IFERROR(INDEX('SETTINGS'!$M$5:$M$24,MATCH(B530,'SETTINGS'!$L$5:$L$24,0)),"Yes"))</f>
        <v/>
      </c>
      <c r="K530" s="51">
        <f>IF(A530="","",DATE(YEAR(A530),MONTH(A530),1))</f>
        <v/>
      </c>
    </row>
    <row r="531">
      <c r="A531" s="47" t="n"/>
      <c r="B531" s="38" t="n"/>
      <c r="C531" s="38" t="n"/>
      <c r="D531" s="38" t="n"/>
      <c r="E531" s="48" t="n"/>
      <c r="F531" s="38" t="n"/>
      <c r="G531" s="38" t="n"/>
      <c r="H531" s="38" t="n"/>
      <c r="I531" s="38" t="n"/>
      <c r="J531" s="49">
        <f>IF(B531="","",IFERROR(INDEX('SETTINGS'!$M$5:$M$24,MATCH(B531,'SETTINGS'!$L$5:$L$24,0)),"Yes"))</f>
        <v/>
      </c>
      <c r="K531" s="51">
        <f>IF(A531="","",DATE(YEAR(A531),MONTH(A531),1))</f>
        <v/>
      </c>
    </row>
    <row r="532">
      <c r="A532" s="47" t="n"/>
      <c r="B532" s="38" t="n"/>
      <c r="C532" s="38" t="n"/>
      <c r="D532" s="38" t="n"/>
      <c r="E532" s="48" t="n"/>
      <c r="F532" s="38" t="n"/>
      <c r="G532" s="38" t="n"/>
      <c r="H532" s="38" t="n"/>
      <c r="I532" s="38" t="n"/>
      <c r="J532" s="49">
        <f>IF(B532="","",IFERROR(INDEX('SETTINGS'!$M$5:$M$24,MATCH(B532,'SETTINGS'!$L$5:$L$24,0)),"Yes"))</f>
        <v/>
      </c>
      <c r="K532" s="51">
        <f>IF(A532="","",DATE(YEAR(A532),MONTH(A532),1))</f>
        <v/>
      </c>
    </row>
    <row r="533">
      <c r="A533" s="47" t="n"/>
      <c r="B533" s="38" t="n"/>
      <c r="C533" s="38" t="n"/>
      <c r="D533" s="38" t="n"/>
      <c r="E533" s="48" t="n"/>
      <c r="F533" s="38" t="n"/>
      <c r="G533" s="38" t="n"/>
      <c r="H533" s="38" t="n"/>
      <c r="I533" s="38" t="n"/>
      <c r="J533" s="49">
        <f>IF(B533="","",IFERROR(INDEX('SETTINGS'!$M$5:$M$24,MATCH(B533,'SETTINGS'!$L$5:$L$24,0)),"Yes"))</f>
        <v/>
      </c>
      <c r="K533" s="51">
        <f>IF(A533="","",DATE(YEAR(A533),MONTH(A533),1))</f>
        <v/>
      </c>
    </row>
    <row r="534">
      <c r="A534" s="47" t="n"/>
      <c r="B534" s="38" t="n"/>
      <c r="C534" s="38" t="n"/>
      <c r="D534" s="38" t="n"/>
      <c r="E534" s="48" t="n"/>
      <c r="F534" s="38" t="n"/>
      <c r="G534" s="38" t="n"/>
      <c r="H534" s="38" t="n"/>
      <c r="I534" s="38" t="n"/>
      <c r="J534" s="49">
        <f>IF(B534="","",IFERROR(INDEX('SETTINGS'!$M$5:$M$24,MATCH(B534,'SETTINGS'!$L$5:$L$24,0)),"Yes"))</f>
        <v/>
      </c>
      <c r="K534" s="51">
        <f>IF(A534="","",DATE(YEAR(A534),MONTH(A534),1))</f>
        <v/>
      </c>
    </row>
    <row r="535">
      <c r="A535" s="47" t="n"/>
      <c r="B535" s="38" t="n"/>
      <c r="C535" s="38" t="n"/>
      <c r="D535" s="38" t="n"/>
      <c r="E535" s="48" t="n"/>
      <c r="F535" s="38" t="n"/>
      <c r="G535" s="38" t="n"/>
      <c r="H535" s="38" t="n"/>
      <c r="I535" s="38" t="n"/>
      <c r="J535" s="49">
        <f>IF(B535="","",IFERROR(INDEX('SETTINGS'!$M$5:$M$24,MATCH(B535,'SETTINGS'!$L$5:$L$24,0)),"Yes"))</f>
        <v/>
      </c>
      <c r="K535" s="51">
        <f>IF(A535="","",DATE(YEAR(A535),MONTH(A535),1))</f>
        <v/>
      </c>
    </row>
    <row r="536">
      <c r="A536" s="47" t="n"/>
      <c r="B536" s="38" t="n"/>
      <c r="C536" s="38" t="n"/>
      <c r="D536" s="38" t="n"/>
      <c r="E536" s="48" t="n"/>
      <c r="F536" s="38" t="n"/>
      <c r="G536" s="38" t="n"/>
      <c r="H536" s="38" t="n"/>
      <c r="I536" s="38" t="n"/>
      <c r="J536" s="49">
        <f>IF(B536="","",IFERROR(INDEX('SETTINGS'!$M$5:$M$24,MATCH(B536,'SETTINGS'!$L$5:$L$24,0)),"Yes"))</f>
        <v/>
      </c>
      <c r="K536" s="51">
        <f>IF(A536="","",DATE(YEAR(A536),MONTH(A536),1))</f>
        <v/>
      </c>
    </row>
    <row r="537">
      <c r="A537" s="47" t="n"/>
      <c r="B537" s="38" t="n"/>
      <c r="C537" s="38" t="n"/>
      <c r="D537" s="38" t="n"/>
      <c r="E537" s="48" t="n"/>
      <c r="F537" s="38" t="n"/>
      <c r="G537" s="38" t="n"/>
      <c r="H537" s="38" t="n"/>
      <c r="I537" s="38" t="n"/>
      <c r="J537" s="49">
        <f>IF(B537="","",IFERROR(INDEX('SETTINGS'!$M$5:$M$24,MATCH(B537,'SETTINGS'!$L$5:$L$24,0)),"Yes"))</f>
        <v/>
      </c>
      <c r="K537" s="51">
        <f>IF(A537="","",DATE(YEAR(A537),MONTH(A537),1))</f>
        <v/>
      </c>
    </row>
    <row r="538">
      <c r="A538" s="47" t="n"/>
      <c r="B538" s="38" t="n"/>
      <c r="C538" s="38" t="n"/>
      <c r="D538" s="38" t="n"/>
      <c r="E538" s="48" t="n"/>
      <c r="F538" s="38" t="n"/>
      <c r="G538" s="38" t="n"/>
      <c r="H538" s="38" t="n"/>
      <c r="I538" s="38" t="n"/>
      <c r="J538" s="49">
        <f>IF(B538="","",IFERROR(INDEX('SETTINGS'!$M$5:$M$24,MATCH(B538,'SETTINGS'!$L$5:$L$24,0)),"Yes"))</f>
        <v/>
      </c>
      <c r="K538" s="51">
        <f>IF(A538="","",DATE(YEAR(A538),MONTH(A538),1))</f>
        <v/>
      </c>
    </row>
    <row r="539">
      <c r="A539" s="47" t="n"/>
      <c r="B539" s="38" t="n"/>
      <c r="C539" s="38" t="n"/>
      <c r="D539" s="38" t="n"/>
      <c r="E539" s="48" t="n"/>
      <c r="F539" s="38" t="n"/>
      <c r="G539" s="38" t="n"/>
      <c r="H539" s="38" t="n"/>
      <c r="I539" s="38" t="n"/>
      <c r="J539" s="49">
        <f>IF(B539="","",IFERROR(INDEX('SETTINGS'!$M$5:$M$24,MATCH(B539,'SETTINGS'!$L$5:$L$24,0)),"Yes"))</f>
        <v/>
      </c>
      <c r="K539" s="51">
        <f>IF(A539="","",DATE(YEAR(A539),MONTH(A539),1))</f>
        <v/>
      </c>
    </row>
    <row r="540">
      <c r="A540" s="47" t="n"/>
      <c r="B540" s="38" t="n"/>
      <c r="C540" s="38" t="n"/>
      <c r="D540" s="38" t="n"/>
      <c r="E540" s="48" t="n"/>
      <c r="F540" s="38" t="n"/>
      <c r="G540" s="38" t="n"/>
      <c r="H540" s="38" t="n"/>
      <c r="I540" s="38" t="n"/>
      <c r="J540" s="49">
        <f>IF(B540="","",IFERROR(INDEX('SETTINGS'!$M$5:$M$24,MATCH(B540,'SETTINGS'!$L$5:$L$24,0)),"Yes"))</f>
        <v/>
      </c>
      <c r="K540" s="51">
        <f>IF(A540="","",DATE(YEAR(A540),MONTH(A540),1))</f>
        <v/>
      </c>
    </row>
    <row r="541">
      <c r="A541" s="47" t="n"/>
      <c r="B541" s="38" t="n"/>
      <c r="C541" s="38" t="n"/>
      <c r="D541" s="38" t="n"/>
      <c r="E541" s="48" t="n"/>
      <c r="F541" s="38" t="n"/>
      <c r="G541" s="38" t="n"/>
      <c r="H541" s="38" t="n"/>
      <c r="I541" s="38" t="n"/>
      <c r="J541" s="49">
        <f>IF(B541="","",IFERROR(INDEX('SETTINGS'!$M$5:$M$24,MATCH(B541,'SETTINGS'!$L$5:$L$24,0)),"Yes"))</f>
        <v/>
      </c>
      <c r="K541" s="51">
        <f>IF(A541="","",DATE(YEAR(A541),MONTH(A541),1))</f>
        <v/>
      </c>
    </row>
    <row r="542">
      <c r="A542" s="47" t="n"/>
      <c r="B542" s="38" t="n"/>
      <c r="C542" s="38" t="n"/>
      <c r="D542" s="38" t="n"/>
      <c r="E542" s="48" t="n"/>
      <c r="F542" s="38" t="n"/>
      <c r="G542" s="38" t="n"/>
      <c r="H542" s="38" t="n"/>
      <c r="I542" s="38" t="n"/>
      <c r="J542" s="49">
        <f>IF(B542="","",IFERROR(INDEX('SETTINGS'!$M$5:$M$24,MATCH(B542,'SETTINGS'!$L$5:$L$24,0)),"Yes"))</f>
        <v/>
      </c>
      <c r="K542" s="51">
        <f>IF(A542="","",DATE(YEAR(A542),MONTH(A542),1))</f>
        <v/>
      </c>
    </row>
    <row r="543">
      <c r="A543" s="47" t="n"/>
      <c r="B543" s="38" t="n"/>
      <c r="C543" s="38" t="n"/>
      <c r="D543" s="38" t="n"/>
      <c r="E543" s="48" t="n"/>
      <c r="F543" s="38" t="n"/>
      <c r="G543" s="38" t="n"/>
      <c r="H543" s="38" t="n"/>
      <c r="I543" s="38" t="n"/>
      <c r="J543" s="49">
        <f>IF(B543="","",IFERROR(INDEX('SETTINGS'!$M$5:$M$24,MATCH(B543,'SETTINGS'!$L$5:$L$24,0)),"Yes"))</f>
        <v/>
      </c>
      <c r="K543" s="51">
        <f>IF(A543="","",DATE(YEAR(A543),MONTH(A543),1))</f>
        <v/>
      </c>
    </row>
    <row r="544">
      <c r="A544" s="47" t="n"/>
      <c r="B544" s="38" t="n"/>
      <c r="C544" s="38" t="n"/>
      <c r="D544" s="38" t="n"/>
      <c r="E544" s="48" t="n"/>
      <c r="F544" s="38" t="n"/>
      <c r="G544" s="38" t="n"/>
      <c r="H544" s="38" t="n"/>
      <c r="I544" s="38" t="n"/>
      <c r="J544" s="49">
        <f>IF(B544="","",IFERROR(INDEX('SETTINGS'!$M$5:$M$24,MATCH(B544,'SETTINGS'!$L$5:$L$24,0)),"Yes"))</f>
        <v/>
      </c>
      <c r="K544" s="51">
        <f>IF(A544="","",DATE(YEAR(A544),MONTH(A544),1))</f>
        <v/>
      </c>
    </row>
    <row r="545">
      <c r="A545" s="47" t="n"/>
      <c r="B545" s="38" t="n"/>
      <c r="C545" s="38" t="n"/>
      <c r="D545" s="38" t="n"/>
      <c r="E545" s="48" t="n"/>
      <c r="F545" s="38" t="n"/>
      <c r="G545" s="38" t="n"/>
      <c r="H545" s="38" t="n"/>
      <c r="I545" s="38" t="n"/>
      <c r="J545" s="49">
        <f>IF(B545="","",IFERROR(INDEX('SETTINGS'!$M$5:$M$24,MATCH(B545,'SETTINGS'!$L$5:$L$24,0)),"Yes"))</f>
        <v/>
      </c>
      <c r="K545" s="51">
        <f>IF(A545="","",DATE(YEAR(A545),MONTH(A545),1))</f>
        <v/>
      </c>
    </row>
    <row r="546">
      <c r="A546" s="47" t="n"/>
      <c r="B546" s="38" t="n"/>
      <c r="C546" s="38" t="n"/>
      <c r="D546" s="38" t="n"/>
      <c r="E546" s="48" t="n"/>
      <c r="F546" s="38" t="n"/>
      <c r="G546" s="38" t="n"/>
      <c r="H546" s="38" t="n"/>
      <c r="I546" s="38" t="n"/>
      <c r="J546" s="49">
        <f>IF(B546="","",IFERROR(INDEX('SETTINGS'!$M$5:$M$24,MATCH(B546,'SETTINGS'!$L$5:$L$24,0)),"Yes"))</f>
        <v/>
      </c>
      <c r="K546" s="51">
        <f>IF(A546="","",DATE(YEAR(A546),MONTH(A546),1))</f>
        <v/>
      </c>
    </row>
    <row r="547">
      <c r="A547" s="47" t="n"/>
      <c r="B547" s="38" t="n"/>
      <c r="C547" s="38" t="n"/>
      <c r="D547" s="38" t="n"/>
      <c r="E547" s="48" t="n"/>
      <c r="F547" s="38" t="n"/>
      <c r="G547" s="38" t="n"/>
      <c r="H547" s="38" t="n"/>
      <c r="I547" s="38" t="n"/>
      <c r="J547" s="49">
        <f>IF(B547="","",IFERROR(INDEX('SETTINGS'!$M$5:$M$24,MATCH(B547,'SETTINGS'!$L$5:$L$24,0)),"Yes"))</f>
        <v/>
      </c>
      <c r="K547" s="51">
        <f>IF(A547="","",DATE(YEAR(A547),MONTH(A547),1))</f>
        <v/>
      </c>
    </row>
    <row r="548">
      <c r="A548" s="47" t="n"/>
      <c r="B548" s="38" t="n"/>
      <c r="C548" s="38" t="n"/>
      <c r="D548" s="38" t="n"/>
      <c r="E548" s="48" t="n"/>
      <c r="F548" s="38" t="n"/>
      <c r="G548" s="38" t="n"/>
      <c r="H548" s="38" t="n"/>
      <c r="I548" s="38" t="n"/>
      <c r="J548" s="49">
        <f>IF(B548="","",IFERROR(INDEX('SETTINGS'!$M$5:$M$24,MATCH(B548,'SETTINGS'!$L$5:$L$24,0)),"Yes"))</f>
        <v/>
      </c>
      <c r="K548" s="51">
        <f>IF(A548="","",DATE(YEAR(A548),MONTH(A548),1))</f>
        <v/>
      </c>
    </row>
    <row r="549">
      <c r="A549" s="47" t="n"/>
      <c r="B549" s="38" t="n"/>
      <c r="C549" s="38" t="n"/>
      <c r="D549" s="38" t="n"/>
      <c r="E549" s="48" t="n"/>
      <c r="F549" s="38" t="n"/>
      <c r="G549" s="38" t="n"/>
      <c r="H549" s="38" t="n"/>
      <c r="I549" s="38" t="n"/>
      <c r="J549" s="49">
        <f>IF(B549="","",IFERROR(INDEX('SETTINGS'!$M$5:$M$24,MATCH(B549,'SETTINGS'!$L$5:$L$24,0)),"Yes"))</f>
        <v/>
      </c>
      <c r="K549" s="51">
        <f>IF(A549="","",DATE(YEAR(A549),MONTH(A549),1))</f>
        <v/>
      </c>
    </row>
    <row r="550">
      <c r="A550" s="47" t="n"/>
      <c r="B550" s="38" t="n"/>
      <c r="C550" s="38" t="n"/>
      <c r="D550" s="38" t="n"/>
      <c r="E550" s="48" t="n"/>
      <c r="F550" s="38" t="n"/>
      <c r="G550" s="38" t="n"/>
      <c r="H550" s="38" t="n"/>
      <c r="I550" s="38" t="n"/>
      <c r="J550" s="49">
        <f>IF(B550="","",IFERROR(INDEX('SETTINGS'!$M$5:$M$24,MATCH(B550,'SETTINGS'!$L$5:$L$24,0)),"Yes"))</f>
        <v/>
      </c>
      <c r="K550" s="51">
        <f>IF(A550="","",DATE(YEAR(A550),MONTH(A550),1))</f>
        <v/>
      </c>
    </row>
    <row r="551">
      <c r="A551" s="47" t="n"/>
      <c r="B551" s="38" t="n"/>
      <c r="C551" s="38" t="n"/>
      <c r="D551" s="38" t="n"/>
      <c r="E551" s="48" t="n"/>
      <c r="F551" s="38" t="n"/>
      <c r="G551" s="38" t="n"/>
      <c r="H551" s="38" t="n"/>
      <c r="I551" s="38" t="n"/>
      <c r="J551" s="49">
        <f>IF(B551="","",IFERROR(INDEX('SETTINGS'!$M$5:$M$24,MATCH(B551,'SETTINGS'!$L$5:$L$24,0)),"Yes"))</f>
        <v/>
      </c>
      <c r="K551" s="51">
        <f>IF(A551="","",DATE(YEAR(A551),MONTH(A551),1))</f>
        <v/>
      </c>
    </row>
    <row r="552">
      <c r="A552" s="47" t="n"/>
      <c r="B552" s="38" t="n"/>
      <c r="C552" s="38" t="n"/>
      <c r="D552" s="38" t="n"/>
      <c r="E552" s="48" t="n"/>
      <c r="F552" s="38" t="n"/>
      <c r="G552" s="38" t="n"/>
      <c r="H552" s="38" t="n"/>
      <c r="I552" s="38" t="n"/>
      <c r="J552" s="49">
        <f>IF(B552="","",IFERROR(INDEX('SETTINGS'!$M$5:$M$24,MATCH(B552,'SETTINGS'!$L$5:$L$24,0)),"Yes"))</f>
        <v/>
      </c>
      <c r="K552" s="51">
        <f>IF(A552="","",DATE(YEAR(A552),MONTH(A552),1))</f>
        <v/>
      </c>
    </row>
    <row r="553">
      <c r="A553" s="47" t="n"/>
      <c r="B553" s="38" t="n"/>
      <c r="C553" s="38" t="n"/>
      <c r="D553" s="38" t="n"/>
      <c r="E553" s="48" t="n"/>
      <c r="F553" s="38" t="n"/>
      <c r="G553" s="38" t="n"/>
      <c r="H553" s="38" t="n"/>
      <c r="I553" s="38" t="n"/>
      <c r="J553" s="49">
        <f>IF(B553="","",IFERROR(INDEX('SETTINGS'!$M$5:$M$24,MATCH(B553,'SETTINGS'!$L$5:$L$24,0)),"Yes"))</f>
        <v/>
      </c>
      <c r="K553" s="51">
        <f>IF(A553="","",DATE(YEAR(A553),MONTH(A553),1))</f>
        <v/>
      </c>
    </row>
    <row r="554">
      <c r="A554" s="47" t="n"/>
      <c r="B554" s="38" t="n"/>
      <c r="C554" s="38" t="n"/>
      <c r="D554" s="38" t="n"/>
      <c r="E554" s="48" t="n"/>
      <c r="F554" s="38" t="n"/>
      <c r="G554" s="38" t="n"/>
      <c r="H554" s="38" t="n"/>
      <c r="I554" s="38" t="n"/>
      <c r="J554" s="49">
        <f>IF(B554="","",IFERROR(INDEX('SETTINGS'!$M$5:$M$24,MATCH(B554,'SETTINGS'!$L$5:$L$24,0)),"Yes"))</f>
        <v/>
      </c>
      <c r="K554" s="51">
        <f>IF(A554="","",DATE(YEAR(A554),MONTH(A554),1))</f>
        <v/>
      </c>
    </row>
    <row r="555">
      <c r="A555" s="47" t="n"/>
      <c r="B555" s="38" t="n"/>
      <c r="C555" s="38" t="n"/>
      <c r="D555" s="38" t="n"/>
      <c r="E555" s="48" t="n"/>
      <c r="F555" s="38" t="n"/>
      <c r="G555" s="38" t="n"/>
      <c r="H555" s="38" t="n"/>
      <c r="I555" s="38" t="n"/>
      <c r="J555" s="49">
        <f>IF(B555="","",IFERROR(INDEX('SETTINGS'!$M$5:$M$24,MATCH(B555,'SETTINGS'!$L$5:$L$24,0)),"Yes"))</f>
        <v/>
      </c>
      <c r="K555" s="51">
        <f>IF(A555="","",DATE(YEAR(A555),MONTH(A555),1))</f>
        <v/>
      </c>
    </row>
    <row r="556">
      <c r="A556" s="47" t="n"/>
      <c r="B556" s="38" t="n"/>
      <c r="C556" s="38" t="n"/>
      <c r="D556" s="38" t="n"/>
      <c r="E556" s="48" t="n"/>
      <c r="F556" s="38" t="n"/>
      <c r="G556" s="38" t="n"/>
      <c r="H556" s="38" t="n"/>
      <c r="I556" s="38" t="n"/>
      <c r="J556" s="49">
        <f>IF(B556="","",IFERROR(INDEX('SETTINGS'!$M$5:$M$24,MATCH(B556,'SETTINGS'!$L$5:$L$24,0)),"Yes"))</f>
        <v/>
      </c>
      <c r="K556" s="51">
        <f>IF(A556="","",DATE(YEAR(A556),MONTH(A556),1))</f>
        <v/>
      </c>
    </row>
    <row r="557">
      <c r="A557" s="47" t="n"/>
      <c r="B557" s="38" t="n"/>
      <c r="C557" s="38" t="n"/>
      <c r="D557" s="38" t="n"/>
      <c r="E557" s="48" t="n"/>
      <c r="F557" s="38" t="n"/>
      <c r="G557" s="38" t="n"/>
      <c r="H557" s="38" t="n"/>
      <c r="I557" s="38" t="n"/>
      <c r="J557" s="49">
        <f>IF(B557="","",IFERROR(INDEX('SETTINGS'!$M$5:$M$24,MATCH(B557,'SETTINGS'!$L$5:$L$24,0)),"Yes"))</f>
        <v/>
      </c>
      <c r="K557" s="51">
        <f>IF(A557="","",DATE(YEAR(A557),MONTH(A557),1))</f>
        <v/>
      </c>
    </row>
    <row r="558">
      <c r="A558" s="47" t="n"/>
      <c r="B558" s="38" t="n"/>
      <c r="C558" s="38" t="n"/>
      <c r="D558" s="38" t="n"/>
      <c r="E558" s="48" t="n"/>
      <c r="F558" s="38" t="n"/>
      <c r="G558" s="38" t="n"/>
      <c r="H558" s="38" t="n"/>
      <c r="I558" s="38" t="n"/>
      <c r="J558" s="49">
        <f>IF(B558="","",IFERROR(INDEX('SETTINGS'!$M$5:$M$24,MATCH(B558,'SETTINGS'!$L$5:$L$24,0)),"Yes"))</f>
        <v/>
      </c>
      <c r="K558" s="51">
        <f>IF(A558="","",DATE(YEAR(A558),MONTH(A558),1))</f>
        <v/>
      </c>
    </row>
    <row r="559">
      <c r="A559" s="47" t="n"/>
      <c r="B559" s="38" t="n"/>
      <c r="C559" s="38" t="n"/>
      <c r="D559" s="38" t="n"/>
      <c r="E559" s="48" t="n"/>
      <c r="F559" s="38" t="n"/>
      <c r="G559" s="38" t="n"/>
      <c r="H559" s="38" t="n"/>
      <c r="I559" s="38" t="n"/>
      <c r="J559" s="49">
        <f>IF(B559="","",IFERROR(INDEX('SETTINGS'!$M$5:$M$24,MATCH(B559,'SETTINGS'!$L$5:$L$24,0)),"Yes"))</f>
        <v/>
      </c>
      <c r="K559" s="51">
        <f>IF(A559="","",DATE(YEAR(A559),MONTH(A559),1))</f>
        <v/>
      </c>
    </row>
    <row r="560">
      <c r="A560" s="47" t="n"/>
      <c r="B560" s="38" t="n"/>
      <c r="C560" s="38" t="n"/>
      <c r="D560" s="38" t="n"/>
      <c r="E560" s="48" t="n"/>
      <c r="F560" s="38" t="n"/>
      <c r="G560" s="38" t="n"/>
      <c r="H560" s="38" t="n"/>
      <c r="I560" s="38" t="n"/>
      <c r="J560" s="49">
        <f>IF(B560="","",IFERROR(INDEX('SETTINGS'!$M$5:$M$24,MATCH(B560,'SETTINGS'!$L$5:$L$24,0)),"Yes"))</f>
        <v/>
      </c>
      <c r="K560" s="51">
        <f>IF(A560="","",DATE(YEAR(A560),MONTH(A560),1))</f>
        <v/>
      </c>
    </row>
    <row r="561">
      <c r="A561" s="47" t="n"/>
      <c r="B561" s="38" t="n"/>
      <c r="C561" s="38" t="n"/>
      <c r="D561" s="38" t="n"/>
      <c r="E561" s="48" t="n"/>
      <c r="F561" s="38" t="n"/>
      <c r="G561" s="38" t="n"/>
      <c r="H561" s="38" t="n"/>
      <c r="I561" s="38" t="n"/>
      <c r="J561" s="49">
        <f>IF(B561="","",IFERROR(INDEX('SETTINGS'!$M$5:$M$24,MATCH(B561,'SETTINGS'!$L$5:$L$24,0)),"Yes"))</f>
        <v/>
      </c>
      <c r="K561" s="51">
        <f>IF(A561="","",DATE(YEAR(A561),MONTH(A561),1))</f>
        <v/>
      </c>
    </row>
    <row r="562">
      <c r="A562" s="47" t="n"/>
      <c r="B562" s="38" t="n"/>
      <c r="C562" s="38" t="n"/>
      <c r="D562" s="38" t="n"/>
      <c r="E562" s="48" t="n"/>
      <c r="F562" s="38" t="n"/>
      <c r="G562" s="38" t="n"/>
      <c r="H562" s="38" t="n"/>
      <c r="I562" s="38" t="n"/>
      <c r="J562" s="49">
        <f>IF(B562="","",IFERROR(INDEX('SETTINGS'!$M$5:$M$24,MATCH(B562,'SETTINGS'!$L$5:$L$24,0)),"Yes"))</f>
        <v/>
      </c>
      <c r="K562" s="51">
        <f>IF(A562="","",DATE(YEAR(A562),MONTH(A562),1))</f>
        <v/>
      </c>
    </row>
    <row r="563">
      <c r="A563" s="47" t="n"/>
      <c r="B563" s="38" t="n"/>
      <c r="C563" s="38" t="n"/>
      <c r="D563" s="38" t="n"/>
      <c r="E563" s="48" t="n"/>
      <c r="F563" s="38" t="n"/>
      <c r="G563" s="38" t="n"/>
      <c r="H563" s="38" t="n"/>
      <c r="I563" s="38" t="n"/>
      <c r="J563" s="49">
        <f>IF(B563="","",IFERROR(INDEX('SETTINGS'!$M$5:$M$24,MATCH(B563,'SETTINGS'!$L$5:$L$24,0)),"Yes"))</f>
        <v/>
      </c>
      <c r="K563" s="51">
        <f>IF(A563="","",DATE(YEAR(A563),MONTH(A563),1))</f>
        <v/>
      </c>
    </row>
    <row r="564">
      <c r="A564" s="47" t="n"/>
      <c r="B564" s="38" t="n"/>
      <c r="C564" s="38" t="n"/>
      <c r="D564" s="38" t="n"/>
      <c r="E564" s="48" t="n"/>
      <c r="F564" s="38" t="n"/>
      <c r="G564" s="38" t="n"/>
      <c r="H564" s="38" t="n"/>
      <c r="I564" s="38" t="n"/>
      <c r="J564" s="49">
        <f>IF(B564="","",IFERROR(INDEX('SETTINGS'!$M$5:$M$24,MATCH(B564,'SETTINGS'!$L$5:$L$24,0)),"Yes"))</f>
        <v/>
      </c>
      <c r="K564" s="51">
        <f>IF(A564="","",DATE(YEAR(A564),MONTH(A564),1))</f>
        <v/>
      </c>
    </row>
    <row r="565">
      <c r="A565" s="47" t="n"/>
      <c r="B565" s="38" t="n"/>
      <c r="C565" s="38" t="n"/>
      <c r="D565" s="38" t="n"/>
      <c r="E565" s="48" t="n"/>
      <c r="F565" s="38" t="n"/>
      <c r="G565" s="38" t="n"/>
      <c r="H565" s="38" t="n"/>
      <c r="I565" s="38" t="n"/>
      <c r="J565" s="49">
        <f>IF(B565="","",IFERROR(INDEX('SETTINGS'!$M$5:$M$24,MATCH(B565,'SETTINGS'!$L$5:$L$24,0)),"Yes"))</f>
        <v/>
      </c>
      <c r="K565" s="51">
        <f>IF(A565="","",DATE(YEAR(A565),MONTH(A565),1))</f>
        <v/>
      </c>
    </row>
    <row r="566">
      <c r="A566" s="47" t="n"/>
      <c r="B566" s="38" t="n"/>
      <c r="C566" s="38" t="n"/>
      <c r="D566" s="38" t="n"/>
      <c r="E566" s="48" t="n"/>
      <c r="F566" s="38" t="n"/>
      <c r="G566" s="38" t="n"/>
      <c r="H566" s="38" t="n"/>
      <c r="I566" s="38" t="n"/>
      <c r="J566" s="49">
        <f>IF(B566="","",IFERROR(INDEX('SETTINGS'!$M$5:$M$24,MATCH(B566,'SETTINGS'!$L$5:$L$24,0)),"Yes"))</f>
        <v/>
      </c>
      <c r="K566" s="51">
        <f>IF(A566="","",DATE(YEAR(A566),MONTH(A566),1))</f>
        <v/>
      </c>
    </row>
    <row r="567">
      <c r="A567" s="47" t="n"/>
      <c r="B567" s="38" t="n"/>
      <c r="C567" s="38" t="n"/>
      <c r="D567" s="38" t="n"/>
      <c r="E567" s="48" t="n"/>
      <c r="F567" s="38" t="n"/>
      <c r="G567" s="38" t="n"/>
      <c r="H567" s="38" t="n"/>
      <c r="I567" s="38" t="n"/>
      <c r="J567" s="49">
        <f>IF(B567="","",IFERROR(INDEX('SETTINGS'!$M$5:$M$24,MATCH(B567,'SETTINGS'!$L$5:$L$24,0)),"Yes"))</f>
        <v/>
      </c>
      <c r="K567" s="51">
        <f>IF(A567="","",DATE(YEAR(A567),MONTH(A567),1))</f>
        <v/>
      </c>
    </row>
    <row r="568">
      <c r="A568" s="47" t="n"/>
      <c r="B568" s="38" t="n"/>
      <c r="C568" s="38" t="n"/>
      <c r="D568" s="38" t="n"/>
      <c r="E568" s="48" t="n"/>
      <c r="F568" s="38" t="n"/>
      <c r="G568" s="38" t="n"/>
      <c r="H568" s="38" t="n"/>
      <c r="I568" s="38" t="n"/>
      <c r="J568" s="49">
        <f>IF(B568="","",IFERROR(INDEX('SETTINGS'!$M$5:$M$24,MATCH(B568,'SETTINGS'!$L$5:$L$24,0)),"Yes"))</f>
        <v/>
      </c>
      <c r="K568" s="51">
        <f>IF(A568="","",DATE(YEAR(A568),MONTH(A568),1))</f>
        <v/>
      </c>
    </row>
    <row r="569">
      <c r="A569" s="47" t="n"/>
      <c r="B569" s="38" t="n"/>
      <c r="C569" s="38" t="n"/>
      <c r="D569" s="38" t="n"/>
      <c r="E569" s="48" t="n"/>
      <c r="F569" s="38" t="n"/>
      <c r="G569" s="38" t="n"/>
      <c r="H569" s="38" t="n"/>
      <c r="I569" s="38" t="n"/>
      <c r="J569" s="49">
        <f>IF(B569="","",IFERROR(INDEX('SETTINGS'!$M$5:$M$24,MATCH(B569,'SETTINGS'!$L$5:$L$24,0)),"Yes"))</f>
        <v/>
      </c>
      <c r="K569" s="51">
        <f>IF(A569="","",DATE(YEAR(A569),MONTH(A569),1))</f>
        <v/>
      </c>
    </row>
    <row r="570">
      <c r="A570" s="47" t="n"/>
      <c r="B570" s="38" t="n"/>
      <c r="C570" s="38" t="n"/>
      <c r="D570" s="38" t="n"/>
      <c r="E570" s="48" t="n"/>
      <c r="F570" s="38" t="n"/>
      <c r="G570" s="38" t="n"/>
      <c r="H570" s="38" t="n"/>
      <c r="I570" s="38" t="n"/>
      <c r="J570" s="49">
        <f>IF(B570="","",IFERROR(INDEX('SETTINGS'!$M$5:$M$24,MATCH(B570,'SETTINGS'!$L$5:$L$24,0)),"Yes"))</f>
        <v/>
      </c>
      <c r="K570" s="51">
        <f>IF(A570="","",DATE(YEAR(A570),MONTH(A570),1))</f>
        <v/>
      </c>
    </row>
    <row r="571">
      <c r="A571" s="47" t="n"/>
      <c r="B571" s="38" t="n"/>
      <c r="C571" s="38" t="n"/>
      <c r="D571" s="38" t="n"/>
      <c r="E571" s="48" t="n"/>
      <c r="F571" s="38" t="n"/>
      <c r="G571" s="38" t="n"/>
      <c r="H571" s="38" t="n"/>
      <c r="I571" s="38" t="n"/>
      <c r="J571" s="49">
        <f>IF(B571="","",IFERROR(INDEX('SETTINGS'!$M$5:$M$24,MATCH(B571,'SETTINGS'!$L$5:$L$24,0)),"Yes"))</f>
        <v/>
      </c>
      <c r="K571" s="51">
        <f>IF(A571="","",DATE(YEAR(A571),MONTH(A571),1))</f>
        <v/>
      </c>
    </row>
    <row r="572">
      <c r="A572" s="47" t="n"/>
      <c r="B572" s="38" t="n"/>
      <c r="C572" s="38" t="n"/>
      <c r="D572" s="38" t="n"/>
      <c r="E572" s="48" t="n"/>
      <c r="F572" s="38" t="n"/>
      <c r="G572" s="38" t="n"/>
      <c r="H572" s="38" t="n"/>
      <c r="I572" s="38" t="n"/>
      <c r="J572" s="49">
        <f>IF(B572="","",IFERROR(INDEX('SETTINGS'!$M$5:$M$24,MATCH(B572,'SETTINGS'!$L$5:$L$24,0)),"Yes"))</f>
        <v/>
      </c>
      <c r="K572" s="51">
        <f>IF(A572="","",DATE(YEAR(A572),MONTH(A572),1))</f>
        <v/>
      </c>
    </row>
    <row r="573">
      <c r="A573" s="47" t="n"/>
      <c r="B573" s="38" t="n"/>
      <c r="C573" s="38" t="n"/>
      <c r="D573" s="38" t="n"/>
      <c r="E573" s="48" t="n"/>
      <c r="F573" s="38" t="n"/>
      <c r="G573" s="38" t="n"/>
      <c r="H573" s="38" t="n"/>
      <c r="I573" s="38" t="n"/>
      <c r="J573" s="49">
        <f>IF(B573="","",IFERROR(INDEX('SETTINGS'!$M$5:$M$24,MATCH(B573,'SETTINGS'!$L$5:$L$24,0)),"Yes"))</f>
        <v/>
      </c>
      <c r="K573" s="51">
        <f>IF(A573="","",DATE(YEAR(A573),MONTH(A573),1))</f>
        <v/>
      </c>
    </row>
    <row r="574">
      <c r="A574" s="47" t="n"/>
      <c r="B574" s="38" t="n"/>
      <c r="C574" s="38" t="n"/>
      <c r="D574" s="38" t="n"/>
      <c r="E574" s="48" t="n"/>
      <c r="F574" s="38" t="n"/>
      <c r="G574" s="38" t="n"/>
      <c r="H574" s="38" t="n"/>
      <c r="I574" s="38" t="n"/>
      <c r="J574" s="49">
        <f>IF(B574="","",IFERROR(INDEX('SETTINGS'!$M$5:$M$24,MATCH(B574,'SETTINGS'!$L$5:$L$24,0)),"Yes"))</f>
        <v/>
      </c>
      <c r="K574" s="51">
        <f>IF(A574="","",DATE(YEAR(A574),MONTH(A574),1))</f>
        <v/>
      </c>
    </row>
    <row r="575">
      <c r="A575" s="47" t="n"/>
      <c r="B575" s="38" t="n"/>
      <c r="C575" s="38" t="n"/>
      <c r="D575" s="38" t="n"/>
      <c r="E575" s="48" t="n"/>
      <c r="F575" s="38" t="n"/>
      <c r="G575" s="38" t="n"/>
      <c r="H575" s="38" t="n"/>
      <c r="I575" s="38" t="n"/>
      <c r="J575" s="49">
        <f>IF(B575="","",IFERROR(INDEX('SETTINGS'!$M$5:$M$24,MATCH(B575,'SETTINGS'!$L$5:$L$24,0)),"Yes"))</f>
        <v/>
      </c>
      <c r="K575" s="51">
        <f>IF(A575="","",DATE(YEAR(A575),MONTH(A575),1))</f>
        <v/>
      </c>
    </row>
    <row r="576">
      <c r="A576" s="47" t="n"/>
      <c r="B576" s="38" t="n"/>
      <c r="C576" s="38" t="n"/>
      <c r="D576" s="38" t="n"/>
      <c r="E576" s="48" t="n"/>
      <c r="F576" s="38" t="n"/>
      <c r="G576" s="38" t="n"/>
      <c r="H576" s="38" t="n"/>
      <c r="I576" s="38" t="n"/>
      <c r="J576" s="49">
        <f>IF(B576="","",IFERROR(INDEX('SETTINGS'!$M$5:$M$24,MATCH(B576,'SETTINGS'!$L$5:$L$24,0)),"Yes"))</f>
        <v/>
      </c>
      <c r="K576" s="51">
        <f>IF(A576="","",DATE(YEAR(A576),MONTH(A576),1))</f>
        <v/>
      </c>
    </row>
    <row r="577">
      <c r="A577" s="47" t="n"/>
      <c r="B577" s="38" t="n"/>
      <c r="C577" s="38" t="n"/>
      <c r="D577" s="38" t="n"/>
      <c r="E577" s="48" t="n"/>
      <c r="F577" s="38" t="n"/>
      <c r="G577" s="38" t="n"/>
      <c r="H577" s="38" t="n"/>
      <c r="I577" s="38" t="n"/>
      <c r="J577" s="49">
        <f>IF(B577="","",IFERROR(INDEX('SETTINGS'!$M$5:$M$24,MATCH(B577,'SETTINGS'!$L$5:$L$24,0)),"Yes"))</f>
        <v/>
      </c>
      <c r="K577" s="51">
        <f>IF(A577="","",DATE(YEAR(A577),MONTH(A577),1))</f>
        <v/>
      </c>
    </row>
    <row r="578">
      <c r="A578" s="47" t="n"/>
      <c r="B578" s="38" t="n"/>
      <c r="C578" s="38" t="n"/>
      <c r="D578" s="38" t="n"/>
      <c r="E578" s="48" t="n"/>
      <c r="F578" s="38" t="n"/>
      <c r="G578" s="38" t="n"/>
      <c r="H578" s="38" t="n"/>
      <c r="I578" s="38" t="n"/>
      <c r="J578" s="49">
        <f>IF(B578="","",IFERROR(INDEX('SETTINGS'!$M$5:$M$24,MATCH(B578,'SETTINGS'!$L$5:$L$24,0)),"Yes"))</f>
        <v/>
      </c>
      <c r="K578" s="51">
        <f>IF(A578="","",DATE(YEAR(A578),MONTH(A578),1))</f>
        <v/>
      </c>
    </row>
    <row r="579">
      <c r="A579" s="47" t="n"/>
      <c r="B579" s="38" t="n"/>
      <c r="C579" s="38" t="n"/>
      <c r="D579" s="38" t="n"/>
      <c r="E579" s="48" t="n"/>
      <c r="F579" s="38" t="n"/>
      <c r="G579" s="38" t="n"/>
      <c r="H579" s="38" t="n"/>
      <c r="I579" s="38" t="n"/>
      <c r="J579" s="49">
        <f>IF(B579="","",IFERROR(INDEX('SETTINGS'!$M$5:$M$24,MATCH(B579,'SETTINGS'!$L$5:$L$24,0)),"Yes"))</f>
        <v/>
      </c>
      <c r="K579" s="51">
        <f>IF(A579="","",DATE(YEAR(A579),MONTH(A579),1))</f>
        <v/>
      </c>
    </row>
    <row r="580">
      <c r="A580" s="47" t="n"/>
      <c r="B580" s="38" t="n"/>
      <c r="C580" s="38" t="n"/>
      <c r="D580" s="38" t="n"/>
      <c r="E580" s="48" t="n"/>
      <c r="F580" s="38" t="n"/>
      <c r="G580" s="38" t="n"/>
      <c r="H580" s="38" t="n"/>
      <c r="I580" s="38" t="n"/>
      <c r="J580" s="49">
        <f>IF(B580="","",IFERROR(INDEX('SETTINGS'!$M$5:$M$24,MATCH(B580,'SETTINGS'!$L$5:$L$24,0)),"Yes"))</f>
        <v/>
      </c>
      <c r="K580" s="51">
        <f>IF(A580="","",DATE(YEAR(A580),MONTH(A580),1))</f>
        <v/>
      </c>
    </row>
    <row r="581">
      <c r="A581" s="47" t="n"/>
      <c r="B581" s="38" t="n"/>
      <c r="C581" s="38" t="n"/>
      <c r="D581" s="38" t="n"/>
      <c r="E581" s="48" t="n"/>
      <c r="F581" s="38" t="n"/>
      <c r="G581" s="38" t="n"/>
      <c r="H581" s="38" t="n"/>
      <c r="I581" s="38" t="n"/>
      <c r="J581" s="49">
        <f>IF(B581="","",IFERROR(INDEX('SETTINGS'!$M$5:$M$24,MATCH(B581,'SETTINGS'!$L$5:$L$24,0)),"Yes"))</f>
        <v/>
      </c>
      <c r="K581" s="51">
        <f>IF(A581="","",DATE(YEAR(A581),MONTH(A581),1))</f>
        <v/>
      </c>
    </row>
    <row r="582">
      <c r="A582" s="47" t="n"/>
      <c r="B582" s="38" t="n"/>
      <c r="C582" s="38" t="n"/>
      <c r="D582" s="38" t="n"/>
      <c r="E582" s="48" t="n"/>
      <c r="F582" s="38" t="n"/>
      <c r="G582" s="38" t="n"/>
      <c r="H582" s="38" t="n"/>
      <c r="I582" s="38" t="n"/>
      <c r="J582" s="49">
        <f>IF(B582="","",IFERROR(INDEX('SETTINGS'!$M$5:$M$24,MATCH(B582,'SETTINGS'!$L$5:$L$24,0)),"Yes"))</f>
        <v/>
      </c>
      <c r="K582" s="51">
        <f>IF(A582="","",DATE(YEAR(A582),MONTH(A582),1))</f>
        <v/>
      </c>
    </row>
    <row r="583">
      <c r="A583" s="47" t="n"/>
      <c r="B583" s="38" t="n"/>
      <c r="C583" s="38" t="n"/>
      <c r="D583" s="38" t="n"/>
      <c r="E583" s="48" t="n"/>
      <c r="F583" s="38" t="n"/>
      <c r="G583" s="38" t="n"/>
      <c r="H583" s="38" t="n"/>
      <c r="I583" s="38" t="n"/>
      <c r="J583" s="49">
        <f>IF(B583="","",IFERROR(INDEX('SETTINGS'!$M$5:$M$24,MATCH(B583,'SETTINGS'!$L$5:$L$24,0)),"Yes"))</f>
        <v/>
      </c>
      <c r="K583" s="51">
        <f>IF(A583="","",DATE(YEAR(A583),MONTH(A583),1))</f>
        <v/>
      </c>
    </row>
    <row r="584">
      <c r="A584" s="47" t="n"/>
      <c r="B584" s="38" t="n"/>
      <c r="C584" s="38" t="n"/>
      <c r="D584" s="38" t="n"/>
      <c r="E584" s="48" t="n"/>
      <c r="F584" s="38" t="n"/>
      <c r="G584" s="38" t="n"/>
      <c r="H584" s="38" t="n"/>
      <c r="I584" s="38" t="n"/>
      <c r="J584" s="49">
        <f>IF(B584="","",IFERROR(INDEX('SETTINGS'!$M$5:$M$24,MATCH(B584,'SETTINGS'!$L$5:$L$24,0)),"Yes"))</f>
        <v/>
      </c>
      <c r="K584" s="51">
        <f>IF(A584="","",DATE(YEAR(A584),MONTH(A584),1))</f>
        <v/>
      </c>
    </row>
    <row r="585">
      <c r="A585" s="47" t="n"/>
      <c r="B585" s="38" t="n"/>
      <c r="C585" s="38" t="n"/>
      <c r="D585" s="38" t="n"/>
      <c r="E585" s="48" t="n"/>
      <c r="F585" s="38" t="n"/>
      <c r="G585" s="38" t="n"/>
      <c r="H585" s="38" t="n"/>
      <c r="I585" s="38" t="n"/>
      <c r="J585" s="49">
        <f>IF(B585="","",IFERROR(INDEX('SETTINGS'!$M$5:$M$24,MATCH(B585,'SETTINGS'!$L$5:$L$24,0)),"Yes"))</f>
        <v/>
      </c>
      <c r="K585" s="51">
        <f>IF(A585="","",DATE(YEAR(A585),MONTH(A585),1))</f>
        <v/>
      </c>
    </row>
    <row r="586">
      <c r="A586" s="47" t="n"/>
      <c r="B586" s="38" t="n"/>
      <c r="C586" s="38" t="n"/>
      <c r="D586" s="38" t="n"/>
      <c r="E586" s="48" t="n"/>
      <c r="F586" s="38" t="n"/>
      <c r="G586" s="38" t="n"/>
      <c r="H586" s="38" t="n"/>
      <c r="I586" s="38" t="n"/>
      <c r="J586" s="49">
        <f>IF(B586="","",IFERROR(INDEX('SETTINGS'!$M$5:$M$24,MATCH(B586,'SETTINGS'!$L$5:$L$24,0)),"Yes"))</f>
        <v/>
      </c>
      <c r="K586" s="51">
        <f>IF(A586="","",DATE(YEAR(A586),MONTH(A586),1))</f>
        <v/>
      </c>
    </row>
    <row r="587">
      <c r="A587" s="47" t="n"/>
      <c r="B587" s="38" t="n"/>
      <c r="C587" s="38" t="n"/>
      <c r="D587" s="38" t="n"/>
      <c r="E587" s="48" t="n"/>
      <c r="F587" s="38" t="n"/>
      <c r="G587" s="38" t="n"/>
      <c r="H587" s="38" t="n"/>
      <c r="I587" s="38" t="n"/>
      <c r="J587" s="49">
        <f>IF(B587="","",IFERROR(INDEX('SETTINGS'!$M$5:$M$24,MATCH(B587,'SETTINGS'!$L$5:$L$24,0)),"Yes"))</f>
        <v/>
      </c>
      <c r="K587" s="51">
        <f>IF(A587="","",DATE(YEAR(A587),MONTH(A587),1))</f>
        <v/>
      </c>
    </row>
    <row r="588">
      <c r="A588" s="47" t="n"/>
      <c r="B588" s="38" t="n"/>
      <c r="C588" s="38" t="n"/>
      <c r="D588" s="38" t="n"/>
      <c r="E588" s="48" t="n"/>
      <c r="F588" s="38" t="n"/>
      <c r="G588" s="38" t="n"/>
      <c r="H588" s="38" t="n"/>
      <c r="I588" s="38" t="n"/>
      <c r="J588" s="49">
        <f>IF(B588="","",IFERROR(INDEX('SETTINGS'!$M$5:$M$24,MATCH(B588,'SETTINGS'!$L$5:$L$24,0)),"Yes"))</f>
        <v/>
      </c>
      <c r="K588" s="51">
        <f>IF(A588="","",DATE(YEAR(A588),MONTH(A588),1))</f>
        <v/>
      </c>
    </row>
    <row r="589">
      <c r="A589" s="47" t="n"/>
      <c r="B589" s="38" t="n"/>
      <c r="C589" s="38" t="n"/>
      <c r="D589" s="38" t="n"/>
      <c r="E589" s="48" t="n"/>
      <c r="F589" s="38" t="n"/>
      <c r="G589" s="38" t="n"/>
      <c r="H589" s="38" t="n"/>
      <c r="I589" s="38" t="n"/>
      <c r="J589" s="49">
        <f>IF(B589="","",IFERROR(INDEX('SETTINGS'!$M$5:$M$24,MATCH(B589,'SETTINGS'!$L$5:$L$24,0)),"Yes"))</f>
        <v/>
      </c>
      <c r="K589" s="51">
        <f>IF(A589="","",DATE(YEAR(A589),MONTH(A589),1))</f>
        <v/>
      </c>
    </row>
    <row r="590">
      <c r="A590" s="47" t="n"/>
      <c r="B590" s="38" t="n"/>
      <c r="C590" s="38" t="n"/>
      <c r="D590" s="38" t="n"/>
      <c r="E590" s="48" t="n"/>
      <c r="F590" s="38" t="n"/>
      <c r="G590" s="38" t="n"/>
      <c r="H590" s="38" t="n"/>
      <c r="I590" s="38" t="n"/>
      <c r="J590" s="49">
        <f>IF(B590="","",IFERROR(INDEX('SETTINGS'!$M$5:$M$24,MATCH(B590,'SETTINGS'!$L$5:$L$24,0)),"Yes"))</f>
        <v/>
      </c>
      <c r="K590" s="51">
        <f>IF(A590="","",DATE(YEAR(A590),MONTH(A590),1))</f>
        <v/>
      </c>
    </row>
    <row r="591">
      <c r="A591" s="47" t="n"/>
      <c r="B591" s="38" t="n"/>
      <c r="C591" s="38" t="n"/>
      <c r="D591" s="38" t="n"/>
      <c r="E591" s="48" t="n"/>
      <c r="F591" s="38" t="n"/>
      <c r="G591" s="38" t="n"/>
      <c r="H591" s="38" t="n"/>
      <c r="I591" s="38" t="n"/>
      <c r="J591" s="49">
        <f>IF(B591="","",IFERROR(INDEX('SETTINGS'!$M$5:$M$24,MATCH(B591,'SETTINGS'!$L$5:$L$24,0)),"Yes"))</f>
        <v/>
      </c>
      <c r="K591" s="51">
        <f>IF(A591="","",DATE(YEAR(A591),MONTH(A591),1))</f>
        <v/>
      </c>
    </row>
    <row r="592">
      <c r="A592" s="47" t="n"/>
      <c r="B592" s="38" t="n"/>
      <c r="C592" s="38" t="n"/>
      <c r="D592" s="38" t="n"/>
      <c r="E592" s="48" t="n"/>
      <c r="F592" s="38" t="n"/>
      <c r="G592" s="38" t="n"/>
      <c r="H592" s="38" t="n"/>
      <c r="I592" s="38" t="n"/>
      <c r="J592" s="49">
        <f>IF(B592="","",IFERROR(INDEX('SETTINGS'!$M$5:$M$24,MATCH(B592,'SETTINGS'!$L$5:$L$24,0)),"Yes"))</f>
        <v/>
      </c>
      <c r="K592" s="51">
        <f>IF(A592="","",DATE(YEAR(A592),MONTH(A592),1))</f>
        <v/>
      </c>
    </row>
    <row r="593">
      <c r="A593" s="47" t="n"/>
      <c r="B593" s="38" t="n"/>
      <c r="C593" s="38" t="n"/>
      <c r="D593" s="38" t="n"/>
      <c r="E593" s="48" t="n"/>
      <c r="F593" s="38" t="n"/>
      <c r="G593" s="38" t="n"/>
      <c r="H593" s="38" t="n"/>
      <c r="I593" s="38" t="n"/>
      <c r="J593" s="49">
        <f>IF(B593="","",IFERROR(INDEX('SETTINGS'!$M$5:$M$24,MATCH(B593,'SETTINGS'!$L$5:$L$24,0)),"Yes"))</f>
        <v/>
      </c>
      <c r="K593" s="51">
        <f>IF(A593="","",DATE(YEAR(A593),MONTH(A593),1))</f>
        <v/>
      </c>
    </row>
    <row r="594">
      <c r="A594" s="47" t="n"/>
      <c r="B594" s="38" t="n"/>
      <c r="C594" s="38" t="n"/>
      <c r="D594" s="38" t="n"/>
      <c r="E594" s="48" t="n"/>
      <c r="F594" s="38" t="n"/>
      <c r="G594" s="38" t="n"/>
      <c r="H594" s="38" t="n"/>
      <c r="I594" s="38" t="n"/>
      <c r="J594" s="49">
        <f>IF(B594="","",IFERROR(INDEX('SETTINGS'!$M$5:$M$24,MATCH(B594,'SETTINGS'!$L$5:$L$24,0)),"Yes"))</f>
        <v/>
      </c>
      <c r="K594" s="51">
        <f>IF(A594="","",DATE(YEAR(A594),MONTH(A594),1))</f>
        <v/>
      </c>
    </row>
    <row r="595">
      <c r="A595" s="47" t="n"/>
      <c r="B595" s="38" t="n"/>
      <c r="C595" s="38" t="n"/>
      <c r="D595" s="38" t="n"/>
      <c r="E595" s="48" t="n"/>
      <c r="F595" s="38" t="n"/>
      <c r="G595" s="38" t="n"/>
      <c r="H595" s="38" t="n"/>
      <c r="I595" s="38" t="n"/>
      <c r="J595" s="49">
        <f>IF(B595="","",IFERROR(INDEX('SETTINGS'!$M$5:$M$24,MATCH(B595,'SETTINGS'!$L$5:$L$24,0)),"Yes"))</f>
        <v/>
      </c>
      <c r="K595" s="51">
        <f>IF(A595="","",DATE(YEAR(A595),MONTH(A595),1))</f>
        <v/>
      </c>
    </row>
    <row r="596">
      <c r="A596" s="47" t="n"/>
      <c r="B596" s="38" t="n"/>
      <c r="C596" s="38" t="n"/>
      <c r="D596" s="38" t="n"/>
      <c r="E596" s="48" t="n"/>
      <c r="F596" s="38" t="n"/>
      <c r="G596" s="38" t="n"/>
      <c r="H596" s="38" t="n"/>
      <c r="I596" s="38" t="n"/>
      <c r="J596" s="49">
        <f>IF(B596="","",IFERROR(INDEX('SETTINGS'!$M$5:$M$24,MATCH(B596,'SETTINGS'!$L$5:$L$24,0)),"Yes"))</f>
        <v/>
      </c>
      <c r="K596" s="51">
        <f>IF(A596="","",DATE(YEAR(A596),MONTH(A596),1))</f>
        <v/>
      </c>
    </row>
    <row r="597">
      <c r="A597" s="47" t="n"/>
      <c r="B597" s="38" t="n"/>
      <c r="C597" s="38" t="n"/>
      <c r="D597" s="38" t="n"/>
      <c r="E597" s="48" t="n"/>
      <c r="F597" s="38" t="n"/>
      <c r="G597" s="38" t="n"/>
      <c r="H597" s="38" t="n"/>
      <c r="I597" s="38" t="n"/>
      <c r="J597" s="49">
        <f>IF(B597="","",IFERROR(INDEX('SETTINGS'!$M$5:$M$24,MATCH(B597,'SETTINGS'!$L$5:$L$24,0)),"Yes"))</f>
        <v/>
      </c>
      <c r="K597" s="51">
        <f>IF(A597="","",DATE(YEAR(A597),MONTH(A597),1))</f>
        <v/>
      </c>
    </row>
    <row r="598">
      <c r="A598" s="47" t="n"/>
      <c r="B598" s="38" t="n"/>
      <c r="C598" s="38" t="n"/>
      <c r="D598" s="38" t="n"/>
      <c r="E598" s="48" t="n"/>
      <c r="F598" s="38" t="n"/>
      <c r="G598" s="38" t="n"/>
      <c r="H598" s="38" t="n"/>
      <c r="I598" s="38" t="n"/>
      <c r="J598" s="49">
        <f>IF(B598="","",IFERROR(INDEX('SETTINGS'!$M$5:$M$24,MATCH(B598,'SETTINGS'!$L$5:$L$24,0)),"Yes"))</f>
        <v/>
      </c>
      <c r="K598" s="51">
        <f>IF(A598="","",DATE(YEAR(A598),MONTH(A598),1))</f>
        <v/>
      </c>
    </row>
    <row r="599">
      <c r="A599" s="47" t="n"/>
      <c r="B599" s="38" t="n"/>
      <c r="C599" s="38" t="n"/>
      <c r="D599" s="38" t="n"/>
      <c r="E599" s="48" t="n"/>
      <c r="F599" s="38" t="n"/>
      <c r="G599" s="38" t="n"/>
      <c r="H599" s="38" t="n"/>
      <c r="I599" s="38" t="n"/>
      <c r="J599" s="49">
        <f>IF(B599="","",IFERROR(INDEX('SETTINGS'!$M$5:$M$24,MATCH(B599,'SETTINGS'!$L$5:$L$24,0)),"Yes"))</f>
        <v/>
      </c>
      <c r="K599" s="51">
        <f>IF(A599="","",DATE(YEAR(A599),MONTH(A599),1))</f>
        <v/>
      </c>
    </row>
    <row r="600">
      <c r="A600" s="47" t="n"/>
      <c r="B600" s="38" t="n"/>
      <c r="C600" s="38" t="n"/>
      <c r="D600" s="38" t="n"/>
      <c r="E600" s="48" t="n"/>
      <c r="F600" s="38" t="n"/>
      <c r="G600" s="38" t="n"/>
      <c r="H600" s="38" t="n"/>
      <c r="I600" s="38" t="n"/>
      <c r="J600" s="49">
        <f>IF(B600="","",IFERROR(INDEX('SETTINGS'!$M$5:$M$24,MATCH(B600,'SETTINGS'!$L$5:$L$24,0)),"Yes"))</f>
        <v/>
      </c>
      <c r="K600" s="51">
        <f>IF(A600="","",DATE(YEAR(A600),MONTH(A600),1))</f>
        <v/>
      </c>
    </row>
    <row r="601">
      <c r="A601" s="47" t="n"/>
      <c r="B601" s="38" t="n"/>
      <c r="C601" s="38" t="n"/>
      <c r="D601" s="38" t="n"/>
      <c r="E601" s="48" t="n"/>
      <c r="F601" s="38" t="n"/>
      <c r="G601" s="38" t="n"/>
      <c r="H601" s="38" t="n"/>
      <c r="I601" s="38" t="n"/>
      <c r="J601" s="49">
        <f>IF(B601="","",IFERROR(INDEX('SETTINGS'!$M$5:$M$24,MATCH(B601,'SETTINGS'!$L$5:$L$24,0)),"Yes"))</f>
        <v/>
      </c>
      <c r="K601" s="51">
        <f>IF(A601="","",DATE(YEAR(A601),MONTH(A601),1))</f>
        <v/>
      </c>
    </row>
    <row r="602">
      <c r="A602" s="47" t="n"/>
      <c r="B602" s="38" t="n"/>
      <c r="C602" s="38" t="n"/>
      <c r="D602" s="38" t="n"/>
      <c r="E602" s="48" t="n"/>
      <c r="F602" s="38" t="n"/>
      <c r="G602" s="38" t="n"/>
      <c r="H602" s="38" t="n"/>
      <c r="I602" s="38" t="n"/>
      <c r="J602" s="49">
        <f>IF(B602="","",IFERROR(INDEX('SETTINGS'!$M$5:$M$24,MATCH(B602,'SETTINGS'!$L$5:$L$24,0)),"Yes"))</f>
        <v/>
      </c>
      <c r="K602" s="51">
        <f>IF(A602="","",DATE(YEAR(A602),MONTH(A602),1))</f>
        <v/>
      </c>
    </row>
    <row r="603">
      <c r="A603" s="47" t="n"/>
      <c r="B603" s="38" t="n"/>
      <c r="C603" s="38" t="n"/>
      <c r="D603" s="38" t="n"/>
      <c r="E603" s="48" t="n"/>
      <c r="F603" s="38" t="n"/>
      <c r="G603" s="38" t="n"/>
      <c r="H603" s="38" t="n"/>
      <c r="I603" s="38" t="n"/>
      <c r="J603" s="49">
        <f>IF(B603="","",IFERROR(INDEX('SETTINGS'!$M$5:$M$24,MATCH(B603,'SETTINGS'!$L$5:$L$24,0)),"Yes"))</f>
        <v/>
      </c>
      <c r="K603" s="51">
        <f>IF(A603="","",DATE(YEAR(A603),MONTH(A603),1))</f>
        <v/>
      </c>
    </row>
    <row r="604">
      <c r="A604" s="47" t="n"/>
      <c r="B604" s="38" t="n"/>
      <c r="C604" s="38" t="n"/>
      <c r="D604" s="38" t="n"/>
      <c r="E604" s="48" t="n"/>
      <c r="F604" s="38" t="n"/>
      <c r="G604" s="38" t="n"/>
      <c r="H604" s="38" t="n"/>
      <c r="I604" s="38" t="n"/>
      <c r="J604" s="49">
        <f>IF(B604="","",IFERROR(INDEX('SETTINGS'!$M$5:$M$24,MATCH(B604,'SETTINGS'!$L$5:$L$24,0)),"Yes"))</f>
        <v/>
      </c>
      <c r="K604" s="51">
        <f>IF(A604="","",DATE(YEAR(A604),MONTH(A604),1))</f>
        <v/>
      </c>
    </row>
    <row r="605">
      <c r="A605" s="47" t="n"/>
      <c r="B605" s="38" t="n"/>
      <c r="C605" s="38" t="n"/>
      <c r="D605" s="38" t="n"/>
      <c r="E605" s="48" t="n"/>
      <c r="F605" s="38" t="n"/>
      <c r="G605" s="38" t="n"/>
      <c r="H605" s="38" t="n"/>
      <c r="I605" s="38" t="n"/>
      <c r="J605" s="49">
        <f>IF(B605="","",IFERROR(INDEX('SETTINGS'!$M$5:$M$24,MATCH(B605,'SETTINGS'!$L$5:$L$24,0)),"Yes"))</f>
        <v/>
      </c>
      <c r="K605" s="51">
        <f>IF(A605="","",DATE(YEAR(A605),MONTH(A605),1))</f>
        <v/>
      </c>
    </row>
    <row r="606">
      <c r="A606" s="47" t="n"/>
      <c r="B606" s="38" t="n"/>
      <c r="C606" s="38" t="n"/>
      <c r="D606" s="38" t="n"/>
      <c r="E606" s="48" t="n"/>
      <c r="F606" s="38" t="n"/>
      <c r="G606" s="38" t="n"/>
      <c r="H606" s="38" t="n"/>
      <c r="I606" s="38" t="n"/>
      <c r="J606" s="49">
        <f>IF(B606="","",IFERROR(INDEX('SETTINGS'!$M$5:$M$24,MATCH(B606,'SETTINGS'!$L$5:$L$24,0)),"Yes"))</f>
        <v/>
      </c>
      <c r="K606" s="51">
        <f>IF(A606="","",DATE(YEAR(A606),MONTH(A606),1))</f>
        <v/>
      </c>
    </row>
    <row r="607">
      <c r="A607" s="47" t="n"/>
      <c r="B607" s="38" t="n"/>
      <c r="C607" s="38" t="n"/>
      <c r="D607" s="38" t="n"/>
      <c r="E607" s="48" t="n"/>
      <c r="F607" s="38" t="n"/>
      <c r="G607" s="38" t="n"/>
      <c r="H607" s="38" t="n"/>
      <c r="I607" s="38" t="n"/>
      <c r="J607" s="49">
        <f>IF(B607="","",IFERROR(INDEX('SETTINGS'!$M$5:$M$24,MATCH(B607,'SETTINGS'!$L$5:$L$24,0)),"Yes"))</f>
        <v/>
      </c>
      <c r="K607" s="51">
        <f>IF(A607="","",DATE(YEAR(A607),MONTH(A607),1))</f>
        <v/>
      </c>
    </row>
    <row r="608">
      <c r="A608" s="47" t="n"/>
      <c r="B608" s="38" t="n"/>
      <c r="C608" s="38" t="n"/>
      <c r="D608" s="38" t="n"/>
      <c r="E608" s="48" t="n"/>
      <c r="F608" s="38" t="n"/>
      <c r="G608" s="38" t="n"/>
      <c r="H608" s="38" t="n"/>
      <c r="I608" s="38" t="n"/>
      <c r="J608" s="49">
        <f>IF(B608="","",IFERROR(INDEX('SETTINGS'!$M$5:$M$24,MATCH(B608,'SETTINGS'!$L$5:$L$24,0)),"Yes"))</f>
        <v/>
      </c>
      <c r="K608" s="51">
        <f>IF(A608="","",DATE(YEAR(A608),MONTH(A608),1))</f>
        <v/>
      </c>
    </row>
    <row r="609">
      <c r="A609" s="47" t="n"/>
      <c r="B609" s="38" t="n"/>
      <c r="C609" s="38" t="n"/>
      <c r="D609" s="38" t="n"/>
      <c r="E609" s="48" t="n"/>
      <c r="F609" s="38" t="n"/>
      <c r="G609" s="38" t="n"/>
      <c r="H609" s="38" t="n"/>
      <c r="I609" s="38" t="n"/>
      <c r="J609" s="49">
        <f>IF(B609="","",IFERROR(INDEX('SETTINGS'!$M$5:$M$24,MATCH(B609,'SETTINGS'!$L$5:$L$24,0)),"Yes"))</f>
        <v/>
      </c>
      <c r="K609" s="51">
        <f>IF(A609="","",DATE(YEAR(A609),MONTH(A609),1))</f>
        <v/>
      </c>
    </row>
    <row r="610">
      <c r="A610" s="47" t="n"/>
      <c r="B610" s="38" t="n"/>
      <c r="C610" s="38" t="n"/>
      <c r="D610" s="38" t="n"/>
      <c r="E610" s="48" t="n"/>
      <c r="F610" s="38" t="n"/>
      <c r="G610" s="38" t="n"/>
      <c r="H610" s="38" t="n"/>
      <c r="I610" s="38" t="n"/>
      <c r="J610" s="49">
        <f>IF(B610="","",IFERROR(INDEX('SETTINGS'!$M$5:$M$24,MATCH(B610,'SETTINGS'!$L$5:$L$24,0)),"Yes"))</f>
        <v/>
      </c>
      <c r="K610" s="51">
        <f>IF(A610="","",DATE(YEAR(A610),MONTH(A610),1))</f>
        <v/>
      </c>
    </row>
    <row r="611">
      <c r="A611" s="47" t="n"/>
      <c r="B611" s="38" t="n"/>
      <c r="C611" s="38" t="n"/>
      <c r="D611" s="38" t="n"/>
      <c r="E611" s="48" t="n"/>
      <c r="F611" s="38" t="n"/>
      <c r="G611" s="38" t="n"/>
      <c r="H611" s="38" t="n"/>
      <c r="I611" s="38" t="n"/>
      <c r="J611" s="49">
        <f>IF(B611="","",IFERROR(INDEX('SETTINGS'!$M$5:$M$24,MATCH(B611,'SETTINGS'!$L$5:$L$24,0)),"Yes"))</f>
        <v/>
      </c>
      <c r="K611" s="51">
        <f>IF(A611="","",DATE(YEAR(A611),MONTH(A611),1))</f>
        <v/>
      </c>
    </row>
    <row r="612">
      <c r="A612" s="47" t="n"/>
      <c r="B612" s="38" t="n"/>
      <c r="C612" s="38" t="n"/>
      <c r="D612" s="38" t="n"/>
      <c r="E612" s="48" t="n"/>
      <c r="F612" s="38" t="n"/>
      <c r="G612" s="38" t="n"/>
      <c r="H612" s="38" t="n"/>
      <c r="I612" s="38" t="n"/>
      <c r="J612" s="49">
        <f>IF(B612="","",IFERROR(INDEX('SETTINGS'!$M$5:$M$24,MATCH(B612,'SETTINGS'!$L$5:$L$24,0)),"Yes"))</f>
        <v/>
      </c>
      <c r="K612" s="51">
        <f>IF(A612="","",DATE(YEAR(A612),MONTH(A612),1))</f>
        <v/>
      </c>
    </row>
    <row r="613">
      <c r="A613" s="47" t="n"/>
      <c r="B613" s="38" t="n"/>
      <c r="C613" s="38" t="n"/>
      <c r="D613" s="38" t="n"/>
      <c r="E613" s="48" t="n"/>
      <c r="F613" s="38" t="n"/>
      <c r="G613" s="38" t="n"/>
      <c r="H613" s="38" t="n"/>
      <c r="I613" s="38" t="n"/>
      <c r="J613" s="49">
        <f>IF(B613="","",IFERROR(INDEX('SETTINGS'!$M$5:$M$24,MATCH(B613,'SETTINGS'!$L$5:$L$24,0)),"Yes"))</f>
        <v/>
      </c>
      <c r="K613" s="51">
        <f>IF(A613="","",DATE(YEAR(A613),MONTH(A613),1))</f>
        <v/>
      </c>
    </row>
    <row r="614">
      <c r="A614" s="47" t="n"/>
      <c r="B614" s="38" t="n"/>
      <c r="C614" s="38" t="n"/>
      <c r="D614" s="38" t="n"/>
      <c r="E614" s="48" t="n"/>
      <c r="F614" s="38" t="n"/>
      <c r="G614" s="38" t="n"/>
      <c r="H614" s="38" t="n"/>
      <c r="I614" s="38" t="n"/>
      <c r="J614" s="49">
        <f>IF(B614="","",IFERROR(INDEX('SETTINGS'!$M$5:$M$24,MATCH(B614,'SETTINGS'!$L$5:$L$24,0)),"Yes"))</f>
        <v/>
      </c>
      <c r="K614" s="51">
        <f>IF(A614="","",DATE(YEAR(A614),MONTH(A614),1))</f>
        <v/>
      </c>
    </row>
    <row r="615">
      <c r="A615" s="47" t="n"/>
      <c r="B615" s="38" t="n"/>
      <c r="C615" s="38" t="n"/>
      <c r="D615" s="38" t="n"/>
      <c r="E615" s="48" t="n"/>
      <c r="F615" s="38" t="n"/>
      <c r="G615" s="38" t="n"/>
      <c r="H615" s="38" t="n"/>
      <c r="I615" s="38" t="n"/>
      <c r="J615" s="49">
        <f>IF(B615="","",IFERROR(INDEX('SETTINGS'!$M$5:$M$24,MATCH(B615,'SETTINGS'!$L$5:$L$24,0)),"Yes"))</f>
        <v/>
      </c>
      <c r="K615" s="51">
        <f>IF(A615="","",DATE(YEAR(A615),MONTH(A615),1))</f>
        <v/>
      </c>
    </row>
    <row r="616">
      <c r="A616" s="47" t="n"/>
      <c r="B616" s="38" t="n"/>
      <c r="C616" s="38" t="n"/>
      <c r="D616" s="38" t="n"/>
      <c r="E616" s="48" t="n"/>
      <c r="F616" s="38" t="n"/>
      <c r="G616" s="38" t="n"/>
      <c r="H616" s="38" t="n"/>
      <c r="I616" s="38" t="n"/>
      <c r="J616" s="49">
        <f>IF(B616="","",IFERROR(INDEX('SETTINGS'!$M$5:$M$24,MATCH(B616,'SETTINGS'!$L$5:$L$24,0)),"Yes"))</f>
        <v/>
      </c>
      <c r="K616" s="51">
        <f>IF(A616="","",DATE(YEAR(A616),MONTH(A616),1))</f>
        <v/>
      </c>
    </row>
    <row r="617">
      <c r="A617" s="47" t="n"/>
      <c r="B617" s="38" t="n"/>
      <c r="C617" s="38" t="n"/>
      <c r="D617" s="38" t="n"/>
      <c r="E617" s="48" t="n"/>
      <c r="F617" s="38" t="n"/>
      <c r="G617" s="38" t="n"/>
      <c r="H617" s="38" t="n"/>
      <c r="I617" s="38" t="n"/>
      <c r="J617" s="49">
        <f>IF(B617="","",IFERROR(INDEX('SETTINGS'!$M$5:$M$24,MATCH(B617,'SETTINGS'!$L$5:$L$24,0)),"Yes"))</f>
        <v/>
      </c>
      <c r="K617" s="51">
        <f>IF(A617="","",DATE(YEAR(A617),MONTH(A617),1))</f>
        <v/>
      </c>
    </row>
    <row r="618">
      <c r="A618" s="47" t="n"/>
      <c r="B618" s="38" t="n"/>
      <c r="C618" s="38" t="n"/>
      <c r="D618" s="38" t="n"/>
      <c r="E618" s="48" t="n"/>
      <c r="F618" s="38" t="n"/>
      <c r="G618" s="38" t="n"/>
      <c r="H618" s="38" t="n"/>
      <c r="I618" s="38" t="n"/>
      <c r="J618" s="49">
        <f>IF(B618="","",IFERROR(INDEX('SETTINGS'!$M$5:$M$24,MATCH(B618,'SETTINGS'!$L$5:$L$24,0)),"Yes"))</f>
        <v/>
      </c>
      <c r="K618" s="51">
        <f>IF(A618="","",DATE(YEAR(A618),MONTH(A618),1))</f>
        <v/>
      </c>
    </row>
    <row r="619">
      <c r="A619" s="47" t="n"/>
      <c r="B619" s="38" t="n"/>
      <c r="C619" s="38" t="n"/>
      <c r="D619" s="38" t="n"/>
      <c r="E619" s="48" t="n"/>
      <c r="F619" s="38" t="n"/>
      <c r="G619" s="38" t="n"/>
      <c r="H619" s="38" t="n"/>
      <c r="I619" s="38" t="n"/>
      <c r="J619" s="49">
        <f>IF(B619="","",IFERROR(INDEX('SETTINGS'!$M$5:$M$24,MATCH(B619,'SETTINGS'!$L$5:$L$24,0)),"Yes"))</f>
        <v/>
      </c>
      <c r="K619" s="51">
        <f>IF(A619="","",DATE(YEAR(A619),MONTH(A619),1))</f>
        <v/>
      </c>
    </row>
    <row r="620">
      <c r="A620" s="47" t="n"/>
      <c r="B620" s="38" t="n"/>
      <c r="C620" s="38" t="n"/>
      <c r="D620" s="38" t="n"/>
      <c r="E620" s="48" t="n"/>
      <c r="F620" s="38" t="n"/>
      <c r="G620" s="38" t="n"/>
      <c r="H620" s="38" t="n"/>
      <c r="I620" s="38" t="n"/>
      <c r="J620" s="49">
        <f>IF(B620="","",IFERROR(INDEX('SETTINGS'!$M$5:$M$24,MATCH(B620,'SETTINGS'!$L$5:$L$24,0)),"Yes"))</f>
        <v/>
      </c>
      <c r="K620" s="51">
        <f>IF(A620="","",DATE(YEAR(A620),MONTH(A620),1))</f>
        <v/>
      </c>
    </row>
    <row r="621">
      <c r="A621" s="47" t="n"/>
      <c r="B621" s="38" t="n"/>
      <c r="C621" s="38" t="n"/>
      <c r="D621" s="38" t="n"/>
      <c r="E621" s="48" t="n"/>
      <c r="F621" s="38" t="n"/>
      <c r="G621" s="38" t="n"/>
      <c r="H621" s="38" t="n"/>
      <c r="I621" s="38" t="n"/>
      <c r="J621" s="49">
        <f>IF(B621="","",IFERROR(INDEX('SETTINGS'!$M$5:$M$24,MATCH(B621,'SETTINGS'!$L$5:$L$24,0)),"Yes"))</f>
        <v/>
      </c>
      <c r="K621" s="51">
        <f>IF(A621="","",DATE(YEAR(A621),MONTH(A621),1))</f>
        <v/>
      </c>
    </row>
    <row r="622">
      <c r="A622" s="47" t="n"/>
      <c r="B622" s="38" t="n"/>
      <c r="C622" s="38" t="n"/>
      <c r="D622" s="38" t="n"/>
      <c r="E622" s="48" t="n"/>
      <c r="F622" s="38" t="n"/>
      <c r="G622" s="38" t="n"/>
      <c r="H622" s="38" t="n"/>
      <c r="I622" s="38" t="n"/>
      <c r="J622" s="49">
        <f>IF(B622="","",IFERROR(INDEX('SETTINGS'!$M$5:$M$24,MATCH(B622,'SETTINGS'!$L$5:$L$24,0)),"Yes"))</f>
        <v/>
      </c>
      <c r="K622" s="51">
        <f>IF(A622="","",DATE(YEAR(A622),MONTH(A622),1))</f>
        <v/>
      </c>
    </row>
    <row r="623">
      <c r="A623" s="47" t="n"/>
      <c r="B623" s="38" t="n"/>
      <c r="C623" s="38" t="n"/>
      <c r="D623" s="38" t="n"/>
      <c r="E623" s="48" t="n"/>
      <c r="F623" s="38" t="n"/>
      <c r="G623" s="38" t="n"/>
      <c r="H623" s="38" t="n"/>
      <c r="I623" s="38" t="n"/>
      <c r="J623" s="49">
        <f>IF(B623="","",IFERROR(INDEX('SETTINGS'!$M$5:$M$24,MATCH(B623,'SETTINGS'!$L$5:$L$24,0)),"Yes"))</f>
        <v/>
      </c>
      <c r="K623" s="51">
        <f>IF(A623="","",DATE(YEAR(A623),MONTH(A623),1))</f>
        <v/>
      </c>
    </row>
    <row r="624">
      <c r="A624" s="47" t="n"/>
      <c r="B624" s="38" t="n"/>
      <c r="C624" s="38" t="n"/>
      <c r="D624" s="38" t="n"/>
      <c r="E624" s="48" t="n"/>
      <c r="F624" s="38" t="n"/>
      <c r="G624" s="38" t="n"/>
      <c r="H624" s="38" t="n"/>
      <c r="I624" s="38" t="n"/>
      <c r="J624" s="49">
        <f>IF(B624="","",IFERROR(INDEX('SETTINGS'!$M$5:$M$24,MATCH(B624,'SETTINGS'!$L$5:$L$24,0)),"Yes"))</f>
        <v/>
      </c>
      <c r="K624" s="51">
        <f>IF(A624="","",DATE(YEAR(A624),MONTH(A624),1))</f>
        <v/>
      </c>
    </row>
    <row r="625">
      <c r="A625" s="47" t="n"/>
      <c r="B625" s="38" t="n"/>
      <c r="C625" s="38" t="n"/>
      <c r="D625" s="38" t="n"/>
      <c r="E625" s="48" t="n"/>
      <c r="F625" s="38" t="n"/>
      <c r="G625" s="38" t="n"/>
      <c r="H625" s="38" t="n"/>
      <c r="I625" s="38" t="n"/>
      <c r="J625" s="49">
        <f>IF(B625="","",IFERROR(INDEX('SETTINGS'!$M$5:$M$24,MATCH(B625,'SETTINGS'!$L$5:$L$24,0)),"Yes"))</f>
        <v/>
      </c>
      <c r="K625" s="51">
        <f>IF(A625="","",DATE(YEAR(A625),MONTH(A625),1))</f>
        <v/>
      </c>
    </row>
    <row r="626">
      <c r="A626" s="47" t="n"/>
      <c r="B626" s="38" t="n"/>
      <c r="C626" s="38" t="n"/>
      <c r="D626" s="38" t="n"/>
      <c r="E626" s="48" t="n"/>
      <c r="F626" s="38" t="n"/>
      <c r="G626" s="38" t="n"/>
      <c r="H626" s="38" t="n"/>
      <c r="I626" s="38" t="n"/>
      <c r="J626" s="49">
        <f>IF(B626="","",IFERROR(INDEX('SETTINGS'!$M$5:$M$24,MATCH(B626,'SETTINGS'!$L$5:$L$24,0)),"Yes"))</f>
        <v/>
      </c>
      <c r="K626" s="51">
        <f>IF(A626="","",DATE(YEAR(A626),MONTH(A626),1))</f>
        <v/>
      </c>
    </row>
    <row r="627">
      <c r="A627" s="47" t="n"/>
      <c r="B627" s="38" t="n"/>
      <c r="C627" s="38" t="n"/>
      <c r="D627" s="38" t="n"/>
      <c r="E627" s="48" t="n"/>
      <c r="F627" s="38" t="n"/>
      <c r="G627" s="38" t="n"/>
      <c r="H627" s="38" t="n"/>
      <c r="I627" s="38" t="n"/>
      <c r="J627" s="49">
        <f>IF(B627="","",IFERROR(INDEX('SETTINGS'!$M$5:$M$24,MATCH(B627,'SETTINGS'!$L$5:$L$24,0)),"Yes"))</f>
        <v/>
      </c>
      <c r="K627" s="51">
        <f>IF(A627="","",DATE(YEAR(A627),MONTH(A627),1))</f>
        <v/>
      </c>
    </row>
    <row r="628">
      <c r="A628" s="47" t="n"/>
      <c r="B628" s="38" t="n"/>
      <c r="C628" s="38" t="n"/>
      <c r="D628" s="38" t="n"/>
      <c r="E628" s="48" t="n"/>
      <c r="F628" s="38" t="n"/>
      <c r="G628" s="38" t="n"/>
      <c r="H628" s="38" t="n"/>
      <c r="I628" s="38" t="n"/>
      <c r="J628" s="49">
        <f>IF(B628="","",IFERROR(INDEX('SETTINGS'!$M$5:$M$24,MATCH(B628,'SETTINGS'!$L$5:$L$24,0)),"Yes"))</f>
        <v/>
      </c>
      <c r="K628" s="51">
        <f>IF(A628="","",DATE(YEAR(A628),MONTH(A628),1))</f>
        <v/>
      </c>
    </row>
    <row r="629">
      <c r="A629" s="47" t="n"/>
      <c r="B629" s="38" t="n"/>
      <c r="C629" s="38" t="n"/>
      <c r="D629" s="38" t="n"/>
      <c r="E629" s="48" t="n"/>
      <c r="F629" s="38" t="n"/>
      <c r="G629" s="38" t="n"/>
      <c r="H629" s="38" t="n"/>
      <c r="I629" s="38" t="n"/>
      <c r="J629" s="49">
        <f>IF(B629="","",IFERROR(INDEX('SETTINGS'!$M$5:$M$24,MATCH(B629,'SETTINGS'!$L$5:$L$24,0)),"Yes"))</f>
        <v/>
      </c>
      <c r="K629" s="51">
        <f>IF(A629="","",DATE(YEAR(A629),MONTH(A629),1))</f>
        <v/>
      </c>
    </row>
    <row r="630">
      <c r="A630" s="47" t="n"/>
      <c r="B630" s="38" t="n"/>
      <c r="C630" s="38" t="n"/>
      <c r="D630" s="38" t="n"/>
      <c r="E630" s="48" t="n"/>
      <c r="F630" s="38" t="n"/>
      <c r="G630" s="38" t="n"/>
      <c r="H630" s="38" t="n"/>
      <c r="I630" s="38" t="n"/>
      <c r="J630" s="49">
        <f>IF(B630="","",IFERROR(INDEX('SETTINGS'!$M$5:$M$24,MATCH(B630,'SETTINGS'!$L$5:$L$24,0)),"Yes"))</f>
        <v/>
      </c>
      <c r="K630" s="51">
        <f>IF(A630="","",DATE(YEAR(A630),MONTH(A630),1))</f>
        <v/>
      </c>
    </row>
    <row r="631">
      <c r="A631" s="47" t="n"/>
      <c r="B631" s="38" t="n"/>
      <c r="C631" s="38" t="n"/>
      <c r="D631" s="38" t="n"/>
      <c r="E631" s="48" t="n"/>
      <c r="F631" s="38" t="n"/>
      <c r="G631" s="38" t="n"/>
      <c r="H631" s="38" t="n"/>
      <c r="I631" s="38" t="n"/>
      <c r="J631" s="49">
        <f>IF(B631="","",IFERROR(INDEX('SETTINGS'!$M$5:$M$24,MATCH(B631,'SETTINGS'!$L$5:$L$24,0)),"Yes"))</f>
        <v/>
      </c>
      <c r="K631" s="51">
        <f>IF(A631="","",DATE(YEAR(A631),MONTH(A631),1))</f>
        <v/>
      </c>
    </row>
    <row r="632">
      <c r="A632" s="47" t="n"/>
      <c r="B632" s="38" t="n"/>
      <c r="C632" s="38" t="n"/>
      <c r="D632" s="38" t="n"/>
      <c r="E632" s="48" t="n"/>
      <c r="F632" s="38" t="n"/>
      <c r="G632" s="38" t="n"/>
      <c r="H632" s="38" t="n"/>
      <c r="I632" s="38" t="n"/>
      <c r="J632" s="49">
        <f>IF(B632="","",IFERROR(INDEX('SETTINGS'!$M$5:$M$24,MATCH(B632,'SETTINGS'!$L$5:$L$24,0)),"Yes"))</f>
        <v/>
      </c>
      <c r="K632" s="51">
        <f>IF(A632="","",DATE(YEAR(A632),MONTH(A632),1))</f>
        <v/>
      </c>
    </row>
    <row r="633">
      <c r="A633" s="47" t="n"/>
      <c r="B633" s="38" t="n"/>
      <c r="C633" s="38" t="n"/>
      <c r="D633" s="38" t="n"/>
      <c r="E633" s="48" t="n"/>
      <c r="F633" s="38" t="n"/>
      <c r="G633" s="38" t="n"/>
      <c r="H633" s="38" t="n"/>
      <c r="I633" s="38" t="n"/>
      <c r="J633" s="49">
        <f>IF(B633="","",IFERROR(INDEX('SETTINGS'!$M$5:$M$24,MATCH(B633,'SETTINGS'!$L$5:$L$24,0)),"Yes"))</f>
        <v/>
      </c>
      <c r="K633" s="51">
        <f>IF(A633="","",DATE(YEAR(A633),MONTH(A633),1))</f>
        <v/>
      </c>
    </row>
    <row r="634">
      <c r="A634" s="47" t="n"/>
      <c r="B634" s="38" t="n"/>
      <c r="C634" s="38" t="n"/>
      <c r="D634" s="38" t="n"/>
      <c r="E634" s="48" t="n"/>
      <c r="F634" s="38" t="n"/>
      <c r="G634" s="38" t="n"/>
      <c r="H634" s="38" t="n"/>
      <c r="I634" s="38" t="n"/>
      <c r="J634" s="49">
        <f>IF(B634="","",IFERROR(INDEX('SETTINGS'!$M$5:$M$24,MATCH(B634,'SETTINGS'!$L$5:$L$24,0)),"Yes"))</f>
        <v/>
      </c>
      <c r="K634" s="51">
        <f>IF(A634="","",DATE(YEAR(A634),MONTH(A634),1))</f>
        <v/>
      </c>
    </row>
    <row r="635">
      <c r="A635" s="47" t="n"/>
      <c r="B635" s="38" t="n"/>
      <c r="C635" s="38" t="n"/>
      <c r="D635" s="38" t="n"/>
      <c r="E635" s="48" t="n"/>
      <c r="F635" s="38" t="n"/>
      <c r="G635" s="38" t="n"/>
      <c r="H635" s="38" t="n"/>
      <c r="I635" s="38" t="n"/>
      <c r="J635" s="49">
        <f>IF(B635="","",IFERROR(INDEX('SETTINGS'!$M$5:$M$24,MATCH(B635,'SETTINGS'!$L$5:$L$24,0)),"Yes"))</f>
        <v/>
      </c>
      <c r="K635" s="51">
        <f>IF(A635="","",DATE(YEAR(A635),MONTH(A635),1))</f>
        <v/>
      </c>
    </row>
    <row r="636">
      <c r="A636" s="47" t="n"/>
      <c r="B636" s="38" t="n"/>
      <c r="C636" s="38" t="n"/>
      <c r="D636" s="38" t="n"/>
      <c r="E636" s="48" t="n"/>
      <c r="F636" s="38" t="n"/>
      <c r="G636" s="38" t="n"/>
      <c r="H636" s="38" t="n"/>
      <c r="I636" s="38" t="n"/>
      <c r="J636" s="49">
        <f>IF(B636="","",IFERROR(INDEX('SETTINGS'!$M$5:$M$24,MATCH(B636,'SETTINGS'!$L$5:$L$24,0)),"Yes"))</f>
        <v/>
      </c>
      <c r="K636" s="51">
        <f>IF(A636="","",DATE(YEAR(A636),MONTH(A636),1))</f>
        <v/>
      </c>
    </row>
    <row r="637">
      <c r="A637" s="47" t="n"/>
      <c r="B637" s="38" t="n"/>
      <c r="C637" s="38" t="n"/>
      <c r="D637" s="38" t="n"/>
      <c r="E637" s="48" t="n"/>
      <c r="F637" s="38" t="n"/>
      <c r="G637" s="38" t="n"/>
      <c r="H637" s="38" t="n"/>
      <c r="I637" s="38" t="n"/>
      <c r="J637" s="49">
        <f>IF(B637="","",IFERROR(INDEX('SETTINGS'!$M$5:$M$24,MATCH(B637,'SETTINGS'!$L$5:$L$24,0)),"Yes"))</f>
        <v/>
      </c>
      <c r="K637" s="51">
        <f>IF(A637="","",DATE(YEAR(A637),MONTH(A637),1))</f>
        <v/>
      </c>
    </row>
    <row r="638">
      <c r="A638" s="47" t="n"/>
      <c r="B638" s="38" t="n"/>
      <c r="C638" s="38" t="n"/>
      <c r="D638" s="38" t="n"/>
      <c r="E638" s="48" t="n"/>
      <c r="F638" s="38" t="n"/>
      <c r="G638" s="38" t="n"/>
      <c r="H638" s="38" t="n"/>
      <c r="I638" s="38" t="n"/>
      <c r="J638" s="49">
        <f>IF(B638="","",IFERROR(INDEX('SETTINGS'!$M$5:$M$24,MATCH(B638,'SETTINGS'!$L$5:$L$24,0)),"Yes"))</f>
        <v/>
      </c>
      <c r="K638" s="51">
        <f>IF(A638="","",DATE(YEAR(A638),MONTH(A638),1))</f>
        <v/>
      </c>
    </row>
    <row r="639">
      <c r="A639" s="47" t="n"/>
      <c r="B639" s="38" t="n"/>
      <c r="C639" s="38" t="n"/>
      <c r="D639" s="38" t="n"/>
      <c r="E639" s="48" t="n"/>
      <c r="F639" s="38" t="n"/>
      <c r="G639" s="38" t="n"/>
      <c r="H639" s="38" t="n"/>
      <c r="I639" s="38" t="n"/>
      <c r="J639" s="49">
        <f>IF(B639="","",IFERROR(INDEX('SETTINGS'!$M$5:$M$24,MATCH(B639,'SETTINGS'!$L$5:$L$24,0)),"Yes"))</f>
        <v/>
      </c>
      <c r="K639" s="51">
        <f>IF(A639="","",DATE(YEAR(A639),MONTH(A639),1))</f>
        <v/>
      </c>
    </row>
    <row r="640">
      <c r="A640" s="47" t="n"/>
      <c r="B640" s="38" t="n"/>
      <c r="C640" s="38" t="n"/>
      <c r="D640" s="38" t="n"/>
      <c r="E640" s="48" t="n"/>
      <c r="F640" s="38" t="n"/>
      <c r="G640" s="38" t="n"/>
      <c r="H640" s="38" t="n"/>
      <c r="I640" s="38" t="n"/>
      <c r="J640" s="49">
        <f>IF(B640="","",IFERROR(INDEX('SETTINGS'!$M$5:$M$24,MATCH(B640,'SETTINGS'!$L$5:$L$24,0)),"Yes"))</f>
        <v/>
      </c>
      <c r="K640" s="51">
        <f>IF(A640="","",DATE(YEAR(A640),MONTH(A640),1))</f>
        <v/>
      </c>
    </row>
    <row r="641">
      <c r="A641" s="47" t="n"/>
      <c r="B641" s="38" t="n"/>
      <c r="C641" s="38" t="n"/>
      <c r="D641" s="38" t="n"/>
      <c r="E641" s="48" t="n"/>
      <c r="F641" s="38" t="n"/>
      <c r="G641" s="38" t="n"/>
      <c r="H641" s="38" t="n"/>
      <c r="I641" s="38" t="n"/>
      <c r="J641" s="49">
        <f>IF(B641="","",IFERROR(INDEX('SETTINGS'!$M$5:$M$24,MATCH(B641,'SETTINGS'!$L$5:$L$24,0)),"Yes"))</f>
        <v/>
      </c>
      <c r="K641" s="51">
        <f>IF(A641="","",DATE(YEAR(A641),MONTH(A641),1))</f>
        <v/>
      </c>
    </row>
    <row r="642">
      <c r="A642" s="47" t="n"/>
      <c r="B642" s="38" t="n"/>
      <c r="C642" s="38" t="n"/>
      <c r="D642" s="38" t="n"/>
      <c r="E642" s="48" t="n"/>
      <c r="F642" s="38" t="n"/>
      <c r="G642" s="38" t="n"/>
      <c r="H642" s="38" t="n"/>
      <c r="I642" s="38" t="n"/>
      <c r="J642" s="49">
        <f>IF(B642="","",IFERROR(INDEX('SETTINGS'!$M$5:$M$24,MATCH(B642,'SETTINGS'!$L$5:$L$24,0)),"Yes"))</f>
        <v/>
      </c>
      <c r="K642" s="51">
        <f>IF(A642="","",DATE(YEAR(A642),MONTH(A642),1))</f>
        <v/>
      </c>
    </row>
    <row r="643">
      <c r="A643" s="47" t="n"/>
      <c r="B643" s="38" t="n"/>
      <c r="C643" s="38" t="n"/>
      <c r="D643" s="38" t="n"/>
      <c r="E643" s="48" t="n"/>
      <c r="F643" s="38" t="n"/>
      <c r="G643" s="38" t="n"/>
      <c r="H643" s="38" t="n"/>
      <c r="I643" s="38" t="n"/>
      <c r="J643" s="49">
        <f>IF(B643="","",IFERROR(INDEX('SETTINGS'!$M$5:$M$24,MATCH(B643,'SETTINGS'!$L$5:$L$24,0)),"Yes"))</f>
        <v/>
      </c>
      <c r="K643" s="51">
        <f>IF(A643="","",DATE(YEAR(A643),MONTH(A643),1))</f>
        <v/>
      </c>
    </row>
    <row r="644">
      <c r="A644" s="47" t="n"/>
      <c r="B644" s="38" t="n"/>
      <c r="C644" s="38" t="n"/>
      <c r="D644" s="38" t="n"/>
      <c r="E644" s="48" t="n"/>
      <c r="F644" s="38" t="n"/>
      <c r="G644" s="38" t="n"/>
      <c r="H644" s="38" t="n"/>
      <c r="I644" s="38" t="n"/>
      <c r="J644" s="49">
        <f>IF(B644="","",IFERROR(INDEX('SETTINGS'!$M$5:$M$24,MATCH(B644,'SETTINGS'!$L$5:$L$24,0)),"Yes"))</f>
        <v/>
      </c>
      <c r="K644" s="51">
        <f>IF(A644="","",DATE(YEAR(A644),MONTH(A644),1))</f>
        <v/>
      </c>
    </row>
    <row r="645">
      <c r="A645" s="47" t="n"/>
      <c r="B645" s="38" t="n"/>
      <c r="C645" s="38" t="n"/>
      <c r="D645" s="38" t="n"/>
      <c r="E645" s="48" t="n"/>
      <c r="F645" s="38" t="n"/>
      <c r="G645" s="38" t="n"/>
      <c r="H645" s="38" t="n"/>
      <c r="I645" s="38" t="n"/>
      <c r="J645" s="49">
        <f>IF(B645="","",IFERROR(INDEX('SETTINGS'!$M$5:$M$24,MATCH(B645,'SETTINGS'!$L$5:$L$24,0)),"Yes"))</f>
        <v/>
      </c>
      <c r="K645" s="51">
        <f>IF(A645="","",DATE(YEAR(A645),MONTH(A645),1))</f>
        <v/>
      </c>
    </row>
    <row r="646">
      <c r="A646" s="47" t="n"/>
      <c r="B646" s="38" t="n"/>
      <c r="C646" s="38" t="n"/>
      <c r="D646" s="38" t="n"/>
      <c r="E646" s="48" t="n"/>
      <c r="F646" s="38" t="n"/>
      <c r="G646" s="38" t="n"/>
      <c r="H646" s="38" t="n"/>
      <c r="I646" s="38" t="n"/>
      <c r="J646" s="49">
        <f>IF(B646="","",IFERROR(INDEX('SETTINGS'!$M$5:$M$24,MATCH(B646,'SETTINGS'!$L$5:$L$24,0)),"Yes"))</f>
        <v/>
      </c>
      <c r="K646" s="51">
        <f>IF(A646="","",DATE(YEAR(A646),MONTH(A646),1))</f>
        <v/>
      </c>
    </row>
    <row r="647">
      <c r="A647" s="47" t="n"/>
      <c r="B647" s="38" t="n"/>
      <c r="C647" s="38" t="n"/>
      <c r="D647" s="38" t="n"/>
      <c r="E647" s="48" t="n"/>
      <c r="F647" s="38" t="n"/>
      <c r="G647" s="38" t="n"/>
      <c r="H647" s="38" t="n"/>
      <c r="I647" s="38" t="n"/>
      <c r="J647" s="49">
        <f>IF(B647="","",IFERROR(INDEX('SETTINGS'!$M$5:$M$24,MATCH(B647,'SETTINGS'!$L$5:$L$24,0)),"Yes"))</f>
        <v/>
      </c>
      <c r="K647" s="51">
        <f>IF(A647="","",DATE(YEAR(A647),MONTH(A647),1))</f>
        <v/>
      </c>
    </row>
    <row r="648">
      <c r="A648" s="47" t="n"/>
      <c r="B648" s="38" t="n"/>
      <c r="C648" s="38" t="n"/>
      <c r="D648" s="38" t="n"/>
      <c r="E648" s="48" t="n"/>
      <c r="F648" s="38" t="n"/>
      <c r="G648" s="38" t="n"/>
      <c r="H648" s="38" t="n"/>
      <c r="I648" s="38" t="n"/>
      <c r="J648" s="49">
        <f>IF(B648="","",IFERROR(INDEX('SETTINGS'!$M$5:$M$24,MATCH(B648,'SETTINGS'!$L$5:$L$24,0)),"Yes"))</f>
        <v/>
      </c>
      <c r="K648" s="51">
        <f>IF(A648="","",DATE(YEAR(A648),MONTH(A648),1))</f>
        <v/>
      </c>
    </row>
    <row r="649">
      <c r="A649" s="47" t="n"/>
      <c r="B649" s="38" t="n"/>
      <c r="C649" s="38" t="n"/>
      <c r="D649" s="38" t="n"/>
      <c r="E649" s="48" t="n"/>
      <c r="F649" s="38" t="n"/>
      <c r="G649" s="38" t="n"/>
      <c r="H649" s="38" t="n"/>
      <c r="I649" s="38" t="n"/>
      <c r="J649" s="49">
        <f>IF(B649="","",IFERROR(INDEX('SETTINGS'!$M$5:$M$24,MATCH(B649,'SETTINGS'!$L$5:$L$24,0)),"Yes"))</f>
        <v/>
      </c>
      <c r="K649" s="51">
        <f>IF(A649="","",DATE(YEAR(A649),MONTH(A649),1))</f>
        <v/>
      </c>
    </row>
    <row r="650">
      <c r="A650" s="47" t="n"/>
      <c r="B650" s="38" t="n"/>
      <c r="C650" s="38" t="n"/>
      <c r="D650" s="38" t="n"/>
      <c r="E650" s="48" t="n"/>
      <c r="F650" s="38" t="n"/>
      <c r="G650" s="38" t="n"/>
      <c r="H650" s="38" t="n"/>
      <c r="I650" s="38" t="n"/>
      <c r="J650" s="49">
        <f>IF(B650="","",IFERROR(INDEX('SETTINGS'!$M$5:$M$24,MATCH(B650,'SETTINGS'!$L$5:$L$24,0)),"Yes"))</f>
        <v/>
      </c>
      <c r="K650" s="51">
        <f>IF(A650="","",DATE(YEAR(A650),MONTH(A650),1))</f>
        <v/>
      </c>
    </row>
    <row r="651">
      <c r="A651" s="47" t="n"/>
      <c r="B651" s="38" t="n"/>
      <c r="C651" s="38" t="n"/>
      <c r="D651" s="38" t="n"/>
      <c r="E651" s="48" t="n"/>
      <c r="F651" s="38" t="n"/>
      <c r="G651" s="38" t="n"/>
      <c r="H651" s="38" t="n"/>
      <c r="I651" s="38" t="n"/>
      <c r="J651" s="49">
        <f>IF(B651="","",IFERROR(INDEX('SETTINGS'!$M$5:$M$24,MATCH(B651,'SETTINGS'!$L$5:$L$24,0)),"Yes"))</f>
        <v/>
      </c>
      <c r="K651" s="51">
        <f>IF(A651="","",DATE(YEAR(A651),MONTH(A651),1))</f>
        <v/>
      </c>
    </row>
    <row r="652">
      <c r="A652" s="47" t="n"/>
      <c r="B652" s="38" t="n"/>
      <c r="C652" s="38" t="n"/>
      <c r="D652" s="38" t="n"/>
      <c r="E652" s="48" t="n"/>
      <c r="F652" s="38" t="n"/>
      <c r="G652" s="38" t="n"/>
      <c r="H652" s="38" t="n"/>
      <c r="I652" s="38" t="n"/>
      <c r="J652" s="49">
        <f>IF(B652="","",IFERROR(INDEX('SETTINGS'!$M$5:$M$24,MATCH(B652,'SETTINGS'!$L$5:$L$24,0)),"Yes"))</f>
        <v/>
      </c>
      <c r="K652" s="51">
        <f>IF(A652="","",DATE(YEAR(A652),MONTH(A652),1))</f>
        <v/>
      </c>
    </row>
    <row r="653">
      <c r="A653" s="47" t="n"/>
      <c r="B653" s="38" t="n"/>
      <c r="C653" s="38" t="n"/>
      <c r="D653" s="38" t="n"/>
      <c r="E653" s="48" t="n"/>
      <c r="F653" s="38" t="n"/>
      <c r="G653" s="38" t="n"/>
      <c r="H653" s="38" t="n"/>
      <c r="I653" s="38" t="n"/>
      <c r="J653" s="49">
        <f>IF(B653="","",IFERROR(INDEX('SETTINGS'!$M$5:$M$24,MATCH(B653,'SETTINGS'!$L$5:$L$24,0)),"Yes"))</f>
        <v/>
      </c>
      <c r="K653" s="51">
        <f>IF(A653="","",DATE(YEAR(A653),MONTH(A653),1))</f>
        <v/>
      </c>
    </row>
    <row r="654">
      <c r="A654" s="47" t="n"/>
      <c r="B654" s="38" t="n"/>
      <c r="C654" s="38" t="n"/>
      <c r="D654" s="38" t="n"/>
      <c r="E654" s="48" t="n"/>
      <c r="F654" s="38" t="n"/>
      <c r="G654" s="38" t="n"/>
      <c r="H654" s="38" t="n"/>
      <c r="I654" s="38" t="n"/>
      <c r="J654" s="49">
        <f>IF(B654="","",IFERROR(INDEX('SETTINGS'!$M$5:$M$24,MATCH(B654,'SETTINGS'!$L$5:$L$24,0)),"Yes"))</f>
        <v/>
      </c>
      <c r="K654" s="51">
        <f>IF(A654="","",DATE(YEAR(A654),MONTH(A654),1))</f>
        <v/>
      </c>
    </row>
    <row r="655">
      <c r="A655" s="47" t="n"/>
      <c r="B655" s="38" t="n"/>
      <c r="C655" s="38" t="n"/>
      <c r="D655" s="38" t="n"/>
      <c r="E655" s="48" t="n"/>
      <c r="F655" s="38" t="n"/>
      <c r="G655" s="38" t="n"/>
      <c r="H655" s="38" t="n"/>
      <c r="I655" s="38" t="n"/>
      <c r="J655" s="49">
        <f>IF(B655="","",IFERROR(INDEX('SETTINGS'!$M$5:$M$24,MATCH(B655,'SETTINGS'!$L$5:$L$24,0)),"Yes"))</f>
        <v/>
      </c>
      <c r="K655" s="51">
        <f>IF(A655="","",DATE(YEAR(A655),MONTH(A655),1))</f>
        <v/>
      </c>
    </row>
    <row r="656">
      <c r="A656" s="47" t="n"/>
      <c r="B656" s="38" t="n"/>
      <c r="C656" s="38" t="n"/>
      <c r="D656" s="38" t="n"/>
      <c r="E656" s="48" t="n"/>
      <c r="F656" s="38" t="n"/>
      <c r="G656" s="38" t="n"/>
      <c r="H656" s="38" t="n"/>
      <c r="I656" s="38" t="n"/>
      <c r="J656" s="49">
        <f>IF(B656="","",IFERROR(INDEX('SETTINGS'!$M$5:$M$24,MATCH(B656,'SETTINGS'!$L$5:$L$24,0)),"Yes"))</f>
        <v/>
      </c>
      <c r="K656" s="51">
        <f>IF(A656="","",DATE(YEAR(A656),MONTH(A656),1))</f>
        <v/>
      </c>
    </row>
    <row r="657">
      <c r="A657" s="47" t="n"/>
      <c r="B657" s="38" t="n"/>
      <c r="C657" s="38" t="n"/>
      <c r="D657" s="38" t="n"/>
      <c r="E657" s="48" t="n"/>
      <c r="F657" s="38" t="n"/>
      <c r="G657" s="38" t="n"/>
      <c r="H657" s="38" t="n"/>
      <c r="I657" s="38" t="n"/>
      <c r="J657" s="49">
        <f>IF(B657="","",IFERROR(INDEX('SETTINGS'!$M$5:$M$24,MATCH(B657,'SETTINGS'!$L$5:$L$24,0)),"Yes"))</f>
        <v/>
      </c>
      <c r="K657" s="51">
        <f>IF(A657="","",DATE(YEAR(A657),MONTH(A657),1))</f>
        <v/>
      </c>
    </row>
    <row r="658">
      <c r="A658" s="47" t="n"/>
      <c r="B658" s="38" t="n"/>
      <c r="C658" s="38" t="n"/>
      <c r="D658" s="38" t="n"/>
      <c r="E658" s="48" t="n"/>
      <c r="F658" s="38" t="n"/>
      <c r="G658" s="38" t="n"/>
      <c r="H658" s="38" t="n"/>
      <c r="I658" s="38" t="n"/>
      <c r="J658" s="49">
        <f>IF(B658="","",IFERROR(INDEX('SETTINGS'!$M$5:$M$24,MATCH(B658,'SETTINGS'!$L$5:$L$24,0)),"Yes"))</f>
        <v/>
      </c>
      <c r="K658" s="51">
        <f>IF(A658="","",DATE(YEAR(A658),MONTH(A658),1))</f>
        <v/>
      </c>
    </row>
    <row r="659">
      <c r="A659" s="47" t="n"/>
      <c r="B659" s="38" t="n"/>
      <c r="C659" s="38" t="n"/>
      <c r="D659" s="38" t="n"/>
      <c r="E659" s="48" t="n"/>
      <c r="F659" s="38" t="n"/>
      <c r="G659" s="38" t="n"/>
      <c r="H659" s="38" t="n"/>
      <c r="I659" s="38" t="n"/>
      <c r="J659" s="49">
        <f>IF(B659="","",IFERROR(INDEX('SETTINGS'!$M$5:$M$24,MATCH(B659,'SETTINGS'!$L$5:$L$24,0)),"Yes"))</f>
        <v/>
      </c>
      <c r="K659" s="51">
        <f>IF(A659="","",DATE(YEAR(A659),MONTH(A659),1))</f>
        <v/>
      </c>
    </row>
    <row r="660">
      <c r="A660" s="47" t="n"/>
      <c r="B660" s="38" t="n"/>
      <c r="C660" s="38" t="n"/>
      <c r="D660" s="38" t="n"/>
      <c r="E660" s="48" t="n"/>
      <c r="F660" s="38" t="n"/>
      <c r="G660" s="38" t="n"/>
      <c r="H660" s="38" t="n"/>
      <c r="I660" s="38" t="n"/>
      <c r="J660" s="49">
        <f>IF(B660="","",IFERROR(INDEX('SETTINGS'!$M$5:$M$24,MATCH(B660,'SETTINGS'!$L$5:$L$24,0)),"Yes"))</f>
        <v/>
      </c>
      <c r="K660" s="51">
        <f>IF(A660="","",DATE(YEAR(A660),MONTH(A660),1))</f>
        <v/>
      </c>
    </row>
    <row r="661">
      <c r="A661" s="47" t="n"/>
      <c r="B661" s="38" t="n"/>
      <c r="C661" s="38" t="n"/>
      <c r="D661" s="38" t="n"/>
      <c r="E661" s="48" t="n"/>
      <c r="F661" s="38" t="n"/>
      <c r="G661" s="38" t="n"/>
      <c r="H661" s="38" t="n"/>
      <c r="I661" s="38" t="n"/>
      <c r="J661" s="49">
        <f>IF(B661="","",IFERROR(INDEX('SETTINGS'!$M$5:$M$24,MATCH(B661,'SETTINGS'!$L$5:$L$24,0)),"Yes"))</f>
        <v/>
      </c>
      <c r="K661" s="51">
        <f>IF(A661="","",DATE(YEAR(A661),MONTH(A661),1))</f>
        <v/>
      </c>
    </row>
    <row r="662">
      <c r="A662" s="47" t="n"/>
      <c r="B662" s="38" t="n"/>
      <c r="C662" s="38" t="n"/>
      <c r="D662" s="38" t="n"/>
      <c r="E662" s="48" t="n"/>
      <c r="F662" s="38" t="n"/>
      <c r="G662" s="38" t="n"/>
      <c r="H662" s="38" t="n"/>
      <c r="I662" s="38" t="n"/>
      <c r="J662" s="49">
        <f>IF(B662="","",IFERROR(INDEX('SETTINGS'!$M$5:$M$24,MATCH(B662,'SETTINGS'!$L$5:$L$24,0)),"Yes"))</f>
        <v/>
      </c>
      <c r="K662" s="51">
        <f>IF(A662="","",DATE(YEAR(A662),MONTH(A662),1))</f>
        <v/>
      </c>
    </row>
    <row r="663">
      <c r="A663" s="47" t="n"/>
      <c r="B663" s="38" t="n"/>
      <c r="C663" s="38" t="n"/>
      <c r="D663" s="38" t="n"/>
      <c r="E663" s="48" t="n"/>
      <c r="F663" s="38" t="n"/>
      <c r="G663" s="38" t="n"/>
      <c r="H663" s="38" t="n"/>
      <c r="I663" s="38" t="n"/>
      <c r="J663" s="49">
        <f>IF(B663="","",IFERROR(INDEX('SETTINGS'!$M$5:$M$24,MATCH(B663,'SETTINGS'!$L$5:$L$24,0)),"Yes"))</f>
        <v/>
      </c>
      <c r="K663" s="51">
        <f>IF(A663="","",DATE(YEAR(A663),MONTH(A663),1))</f>
        <v/>
      </c>
    </row>
    <row r="664">
      <c r="A664" s="47" t="n"/>
      <c r="B664" s="38" t="n"/>
      <c r="C664" s="38" t="n"/>
      <c r="D664" s="38" t="n"/>
      <c r="E664" s="48" t="n"/>
      <c r="F664" s="38" t="n"/>
      <c r="G664" s="38" t="n"/>
      <c r="H664" s="38" t="n"/>
      <c r="I664" s="38" t="n"/>
      <c r="J664" s="49">
        <f>IF(B664="","",IFERROR(INDEX('SETTINGS'!$M$5:$M$24,MATCH(B664,'SETTINGS'!$L$5:$L$24,0)),"Yes"))</f>
        <v/>
      </c>
      <c r="K664" s="51">
        <f>IF(A664="","",DATE(YEAR(A664),MONTH(A664),1))</f>
        <v/>
      </c>
    </row>
    <row r="665">
      <c r="A665" s="47" t="n"/>
      <c r="B665" s="38" t="n"/>
      <c r="C665" s="38" t="n"/>
      <c r="D665" s="38" t="n"/>
      <c r="E665" s="48" t="n"/>
      <c r="F665" s="38" t="n"/>
      <c r="G665" s="38" t="n"/>
      <c r="H665" s="38" t="n"/>
      <c r="I665" s="38" t="n"/>
      <c r="J665" s="49">
        <f>IF(B665="","",IFERROR(INDEX('SETTINGS'!$M$5:$M$24,MATCH(B665,'SETTINGS'!$L$5:$L$24,0)),"Yes"))</f>
        <v/>
      </c>
      <c r="K665" s="51">
        <f>IF(A665="","",DATE(YEAR(A665),MONTH(A665),1))</f>
        <v/>
      </c>
    </row>
    <row r="666">
      <c r="A666" s="47" t="n"/>
      <c r="B666" s="38" t="n"/>
      <c r="C666" s="38" t="n"/>
      <c r="D666" s="38" t="n"/>
      <c r="E666" s="48" t="n"/>
      <c r="F666" s="38" t="n"/>
      <c r="G666" s="38" t="n"/>
      <c r="H666" s="38" t="n"/>
      <c r="I666" s="38" t="n"/>
      <c r="J666" s="49">
        <f>IF(B666="","",IFERROR(INDEX('SETTINGS'!$M$5:$M$24,MATCH(B666,'SETTINGS'!$L$5:$L$24,0)),"Yes"))</f>
        <v/>
      </c>
      <c r="K666" s="51">
        <f>IF(A666="","",DATE(YEAR(A666),MONTH(A666),1))</f>
        <v/>
      </c>
    </row>
    <row r="667">
      <c r="A667" s="47" t="n"/>
      <c r="B667" s="38" t="n"/>
      <c r="C667" s="38" t="n"/>
      <c r="D667" s="38" t="n"/>
      <c r="E667" s="48" t="n"/>
      <c r="F667" s="38" t="n"/>
      <c r="G667" s="38" t="n"/>
      <c r="H667" s="38" t="n"/>
      <c r="I667" s="38" t="n"/>
      <c r="J667" s="49">
        <f>IF(B667="","",IFERROR(INDEX('SETTINGS'!$M$5:$M$24,MATCH(B667,'SETTINGS'!$L$5:$L$24,0)),"Yes"))</f>
        <v/>
      </c>
      <c r="K667" s="51">
        <f>IF(A667="","",DATE(YEAR(A667),MONTH(A667),1))</f>
        <v/>
      </c>
    </row>
    <row r="668">
      <c r="A668" s="47" t="n"/>
      <c r="B668" s="38" t="n"/>
      <c r="C668" s="38" t="n"/>
      <c r="D668" s="38" t="n"/>
      <c r="E668" s="48" t="n"/>
      <c r="F668" s="38" t="n"/>
      <c r="G668" s="38" t="n"/>
      <c r="H668" s="38" t="n"/>
      <c r="I668" s="38" t="n"/>
      <c r="J668" s="49">
        <f>IF(B668="","",IFERROR(INDEX('SETTINGS'!$M$5:$M$24,MATCH(B668,'SETTINGS'!$L$5:$L$24,0)),"Yes"))</f>
        <v/>
      </c>
      <c r="K668" s="51">
        <f>IF(A668="","",DATE(YEAR(A668),MONTH(A668),1))</f>
        <v/>
      </c>
    </row>
    <row r="669">
      <c r="A669" s="47" t="n"/>
      <c r="B669" s="38" t="n"/>
      <c r="C669" s="38" t="n"/>
      <c r="D669" s="38" t="n"/>
      <c r="E669" s="48" t="n"/>
      <c r="F669" s="38" t="n"/>
      <c r="G669" s="38" t="n"/>
      <c r="H669" s="38" t="n"/>
      <c r="I669" s="38" t="n"/>
      <c r="J669" s="49">
        <f>IF(B669="","",IFERROR(INDEX('SETTINGS'!$M$5:$M$24,MATCH(B669,'SETTINGS'!$L$5:$L$24,0)),"Yes"))</f>
        <v/>
      </c>
      <c r="K669" s="51">
        <f>IF(A669="","",DATE(YEAR(A669),MONTH(A669),1))</f>
        <v/>
      </c>
    </row>
    <row r="670">
      <c r="A670" s="47" t="n"/>
      <c r="B670" s="38" t="n"/>
      <c r="C670" s="38" t="n"/>
      <c r="D670" s="38" t="n"/>
      <c r="E670" s="48" t="n"/>
      <c r="F670" s="38" t="n"/>
      <c r="G670" s="38" t="n"/>
      <c r="H670" s="38" t="n"/>
      <c r="I670" s="38" t="n"/>
      <c r="J670" s="49">
        <f>IF(B670="","",IFERROR(INDEX('SETTINGS'!$M$5:$M$24,MATCH(B670,'SETTINGS'!$L$5:$L$24,0)),"Yes"))</f>
        <v/>
      </c>
      <c r="K670" s="51">
        <f>IF(A670="","",DATE(YEAR(A670),MONTH(A670),1))</f>
        <v/>
      </c>
    </row>
    <row r="671">
      <c r="A671" s="47" t="n"/>
      <c r="B671" s="38" t="n"/>
      <c r="C671" s="38" t="n"/>
      <c r="D671" s="38" t="n"/>
      <c r="E671" s="48" t="n"/>
      <c r="F671" s="38" t="n"/>
      <c r="G671" s="38" t="n"/>
      <c r="H671" s="38" t="n"/>
      <c r="I671" s="38" t="n"/>
      <c r="J671" s="49">
        <f>IF(B671="","",IFERROR(INDEX('SETTINGS'!$M$5:$M$24,MATCH(B671,'SETTINGS'!$L$5:$L$24,0)),"Yes"))</f>
        <v/>
      </c>
      <c r="K671" s="51">
        <f>IF(A671="","",DATE(YEAR(A671),MONTH(A671),1))</f>
        <v/>
      </c>
    </row>
    <row r="672">
      <c r="A672" s="47" t="n"/>
      <c r="B672" s="38" t="n"/>
      <c r="C672" s="38" t="n"/>
      <c r="D672" s="38" t="n"/>
      <c r="E672" s="48" t="n"/>
      <c r="F672" s="38" t="n"/>
      <c r="G672" s="38" t="n"/>
      <c r="H672" s="38" t="n"/>
      <c r="I672" s="38" t="n"/>
      <c r="J672" s="49">
        <f>IF(B672="","",IFERROR(INDEX('SETTINGS'!$M$5:$M$24,MATCH(B672,'SETTINGS'!$L$5:$L$24,0)),"Yes"))</f>
        <v/>
      </c>
      <c r="K672" s="51">
        <f>IF(A672="","",DATE(YEAR(A672),MONTH(A672),1))</f>
        <v/>
      </c>
    </row>
    <row r="673">
      <c r="A673" s="47" t="n"/>
      <c r="B673" s="38" t="n"/>
      <c r="C673" s="38" t="n"/>
      <c r="D673" s="38" t="n"/>
      <c r="E673" s="48" t="n"/>
      <c r="F673" s="38" t="n"/>
      <c r="G673" s="38" t="n"/>
      <c r="H673" s="38" t="n"/>
      <c r="I673" s="38" t="n"/>
      <c r="J673" s="49">
        <f>IF(B673="","",IFERROR(INDEX('SETTINGS'!$M$5:$M$24,MATCH(B673,'SETTINGS'!$L$5:$L$24,0)),"Yes"))</f>
        <v/>
      </c>
      <c r="K673" s="51">
        <f>IF(A673="","",DATE(YEAR(A673),MONTH(A673),1))</f>
        <v/>
      </c>
    </row>
    <row r="674">
      <c r="A674" s="47" t="n"/>
      <c r="B674" s="38" t="n"/>
      <c r="C674" s="38" t="n"/>
      <c r="D674" s="38" t="n"/>
      <c r="E674" s="48" t="n"/>
      <c r="F674" s="38" t="n"/>
      <c r="G674" s="38" t="n"/>
      <c r="H674" s="38" t="n"/>
      <c r="I674" s="38" t="n"/>
      <c r="J674" s="49">
        <f>IF(B674="","",IFERROR(INDEX('SETTINGS'!$M$5:$M$24,MATCH(B674,'SETTINGS'!$L$5:$L$24,0)),"Yes"))</f>
        <v/>
      </c>
      <c r="K674" s="51">
        <f>IF(A674="","",DATE(YEAR(A674),MONTH(A674),1))</f>
        <v/>
      </c>
    </row>
    <row r="675">
      <c r="A675" s="47" t="n"/>
      <c r="B675" s="38" t="n"/>
      <c r="C675" s="38" t="n"/>
      <c r="D675" s="38" t="n"/>
      <c r="E675" s="48" t="n"/>
      <c r="F675" s="38" t="n"/>
      <c r="G675" s="38" t="n"/>
      <c r="H675" s="38" t="n"/>
      <c r="I675" s="38" t="n"/>
      <c r="J675" s="49">
        <f>IF(B675="","",IFERROR(INDEX('SETTINGS'!$M$5:$M$24,MATCH(B675,'SETTINGS'!$L$5:$L$24,0)),"Yes"))</f>
        <v/>
      </c>
      <c r="K675" s="51">
        <f>IF(A675="","",DATE(YEAR(A675),MONTH(A675),1))</f>
        <v/>
      </c>
    </row>
    <row r="676">
      <c r="A676" s="47" t="n"/>
      <c r="B676" s="38" t="n"/>
      <c r="C676" s="38" t="n"/>
      <c r="D676" s="38" t="n"/>
      <c r="E676" s="48" t="n"/>
      <c r="F676" s="38" t="n"/>
      <c r="G676" s="38" t="n"/>
      <c r="H676" s="38" t="n"/>
      <c r="I676" s="38" t="n"/>
      <c r="J676" s="49">
        <f>IF(B676="","",IFERROR(INDEX('SETTINGS'!$M$5:$M$24,MATCH(B676,'SETTINGS'!$L$5:$L$24,0)),"Yes"))</f>
        <v/>
      </c>
      <c r="K676" s="51">
        <f>IF(A676="","",DATE(YEAR(A676),MONTH(A676),1))</f>
        <v/>
      </c>
    </row>
    <row r="677">
      <c r="A677" s="47" t="n"/>
      <c r="B677" s="38" t="n"/>
      <c r="C677" s="38" t="n"/>
      <c r="D677" s="38" t="n"/>
      <c r="E677" s="48" t="n"/>
      <c r="F677" s="38" t="n"/>
      <c r="G677" s="38" t="n"/>
      <c r="H677" s="38" t="n"/>
      <c r="I677" s="38" t="n"/>
      <c r="J677" s="49">
        <f>IF(B677="","",IFERROR(INDEX('SETTINGS'!$M$5:$M$24,MATCH(B677,'SETTINGS'!$L$5:$L$24,0)),"Yes"))</f>
        <v/>
      </c>
      <c r="K677" s="51">
        <f>IF(A677="","",DATE(YEAR(A677),MONTH(A677),1))</f>
        <v/>
      </c>
    </row>
    <row r="678">
      <c r="A678" s="47" t="n"/>
      <c r="B678" s="38" t="n"/>
      <c r="C678" s="38" t="n"/>
      <c r="D678" s="38" t="n"/>
      <c r="E678" s="48" t="n"/>
      <c r="F678" s="38" t="n"/>
      <c r="G678" s="38" t="n"/>
      <c r="H678" s="38" t="n"/>
      <c r="I678" s="38" t="n"/>
      <c r="J678" s="49">
        <f>IF(B678="","",IFERROR(INDEX('SETTINGS'!$M$5:$M$24,MATCH(B678,'SETTINGS'!$L$5:$L$24,0)),"Yes"))</f>
        <v/>
      </c>
      <c r="K678" s="51">
        <f>IF(A678="","",DATE(YEAR(A678),MONTH(A678),1))</f>
        <v/>
      </c>
    </row>
    <row r="679">
      <c r="A679" s="47" t="n"/>
      <c r="B679" s="38" t="n"/>
      <c r="C679" s="38" t="n"/>
      <c r="D679" s="38" t="n"/>
      <c r="E679" s="48" t="n"/>
      <c r="F679" s="38" t="n"/>
      <c r="G679" s="38" t="n"/>
      <c r="H679" s="38" t="n"/>
      <c r="I679" s="38" t="n"/>
      <c r="J679" s="49">
        <f>IF(B679="","",IFERROR(INDEX('SETTINGS'!$M$5:$M$24,MATCH(B679,'SETTINGS'!$L$5:$L$24,0)),"Yes"))</f>
        <v/>
      </c>
      <c r="K679" s="51">
        <f>IF(A679="","",DATE(YEAR(A679),MONTH(A679),1))</f>
        <v/>
      </c>
    </row>
    <row r="680">
      <c r="A680" s="47" t="n"/>
      <c r="B680" s="38" t="n"/>
      <c r="C680" s="38" t="n"/>
      <c r="D680" s="38" t="n"/>
      <c r="E680" s="48" t="n"/>
      <c r="F680" s="38" t="n"/>
      <c r="G680" s="38" t="n"/>
      <c r="H680" s="38" t="n"/>
      <c r="I680" s="38" t="n"/>
      <c r="J680" s="49">
        <f>IF(B680="","",IFERROR(INDEX('SETTINGS'!$M$5:$M$24,MATCH(B680,'SETTINGS'!$L$5:$L$24,0)),"Yes"))</f>
        <v/>
      </c>
      <c r="K680" s="51">
        <f>IF(A680="","",DATE(YEAR(A680),MONTH(A680),1))</f>
        <v/>
      </c>
    </row>
    <row r="681">
      <c r="A681" s="47" t="n"/>
      <c r="B681" s="38" t="n"/>
      <c r="C681" s="38" t="n"/>
      <c r="D681" s="38" t="n"/>
      <c r="E681" s="48" t="n"/>
      <c r="F681" s="38" t="n"/>
      <c r="G681" s="38" t="n"/>
      <c r="H681" s="38" t="n"/>
      <c r="I681" s="38" t="n"/>
      <c r="J681" s="49">
        <f>IF(B681="","",IFERROR(INDEX('SETTINGS'!$M$5:$M$24,MATCH(B681,'SETTINGS'!$L$5:$L$24,0)),"Yes"))</f>
        <v/>
      </c>
      <c r="K681" s="51">
        <f>IF(A681="","",DATE(YEAR(A681),MONTH(A681),1))</f>
        <v/>
      </c>
    </row>
    <row r="682">
      <c r="A682" s="47" t="n"/>
      <c r="B682" s="38" t="n"/>
      <c r="C682" s="38" t="n"/>
      <c r="D682" s="38" t="n"/>
      <c r="E682" s="48" t="n"/>
      <c r="F682" s="38" t="n"/>
      <c r="G682" s="38" t="n"/>
      <c r="H682" s="38" t="n"/>
      <c r="I682" s="38" t="n"/>
      <c r="J682" s="49">
        <f>IF(B682="","",IFERROR(INDEX('SETTINGS'!$M$5:$M$24,MATCH(B682,'SETTINGS'!$L$5:$L$24,0)),"Yes"))</f>
        <v/>
      </c>
      <c r="K682" s="51">
        <f>IF(A682="","",DATE(YEAR(A682),MONTH(A682),1))</f>
        <v/>
      </c>
    </row>
    <row r="683">
      <c r="A683" s="47" t="n"/>
      <c r="B683" s="38" t="n"/>
      <c r="C683" s="38" t="n"/>
      <c r="D683" s="38" t="n"/>
      <c r="E683" s="48" t="n"/>
      <c r="F683" s="38" t="n"/>
      <c r="G683" s="38" t="n"/>
      <c r="H683" s="38" t="n"/>
      <c r="I683" s="38" t="n"/>
      <c r="J683" s="49">
        <f>IF(B683="","",IFERROR(INDEX('SETTINGS'!$M$5:$M$24,MATCH(B683,'SETTINGS'!$L$5:$L$24,0)),"Yes"))</f>
        <v/>
      </c>
      <c r="K683" s="51">
        <f>IF(A683="","",DATE(YEAR(A683),MONTH(A683),1))</f>
        <v/>
      </c>
    </row>
    <row r="684">
      <c r="A684" s="47" t="n"/>
      <c r="B684" s="38" t="n"/>
      <c r="C684" s="38" t="n"/>
      <c r="D684" s="38" t="n"/>
      <c r="E684" s="48" t="n"/>
      <c r="F684" s="38" t="n"/>
      <c r="G684" s="38" t="n"/>
      <c r="H684" s="38" t="n"/>
      <c r="I684" s="38" t="n"/>
      <c r="J684" s="49">
        <f>IF(B684="","",IFERROR(INDEX('SETTINGS'!$M$5:$M$24,MATCH(B684,'SETTINGS'!$L$5:$L$24,0)),"Yes"))</f>
        <v/>
      </c>
      <c r="K684" s="51">
        <f>IF(A684="","",DATE(YEAR(A684),MONTH(A684),1))</f>
        <v/>
      </c>
    </row>
    <row r="685">
      <c r="A685" s="47" t="n"/>
      <c r="B685" s="38" t="n"/>
      <c r="C685" s="38" t="n"/>
      <c r="D685" s="38" t="n"/>
      <c r="E685" s="48" t="n"/>
      <c r="F685" s="38" t="n"/>
      <c r="G685" s="38" t="n"/>
      <c r="H685" s="38" t="n"/>
      <c r="I685" s="38" t="n"/>
      <c r="J685" s="49">
        <f>IF(B685="","",IFERROR(INDEX('SETTINGS'!$M$5:$M$24,MATCH(B685,'SETTINGS'!$L$5:$L$24,0)),"Yes"))</f>
        <v/>
      </c>
      <c r="K685" s="51">
        <f>IF(A685="","",DATE(YEAR(A685),MONTH(A685),1))</f>
        <v/>
      </c>
    </row>
    <row r="686">
      <c r="A686" s="47" t="n"/>
      <c r="B686" s="38" t="n"/>
      <c r="C686" s="38" t="n"/>
      <c r="D686" s="38" t="n"/>
      <c r="E686" s="48" t="n"/>
      <c r="F686" s="38" t="n"/>
      <c r="G686" s="38" t="n"/>
      <c r="H686" s="38" t="n"/>
      <c r="I686" s="38" t="n"/>
      <c r="J686" s="49">
        <f>IF(B686="","",IFERROR(INDEX('SETTINGS'!$M$5:$M$24,MATCH(B686,'SETTINGS'!$L$5:$L$24,0)),"Yes"))</f>
        <v/>
      </c>
      <c r="K686" s="51">
        <f>IF(A686="","",DATE(YEAR(A686),MONTH(A686),1))</f>
        <v/>
      </c>
    </row>
    <row r="687">
      <c r="A687" s="47" t="n"/>
      <c r="B687" s="38" t="n"/>
      <c r="C687" s="38" t="n"/>
      <c r="D687" s="38" t="n"/>
      <c r="E687" s="48" t="n"/>
      <c r="F687" s="38" t="n"/>
      <c r="G687" s="38" t="n"/>
      <c r="H687" s="38" t="n"/>
      <c r="I687" s="38" t="n"/>
      <c r="J687" s="49">
        <f>IF(B687="","",IFERROR(INDEX('SETTINGS'!$M$5:$M$24,MATCH(B687,'SETTINGS'!$L$5:$L$24,0)),"Yes"))</f>
        <v/>
      </c>
      <c r="K687" s="51">
        <f>IF(A687="","",DATE(YEAR(A687),MONTH(A687),1))</f>
        <v/>
      </c>
    </row>
    <row r="688">
      <c r="A688" s="47" t="n"/>
      <c r="B688" s="38" t="n"/>
      <c r="C688" s="38" t="n"/>
      <c r="D688" s="38" t="n"/>
      <c r="E688" s="48" t="n"/>
      <c r="F688" s="38" t="n"/>
      <c r="G688" s="38" t="n"/>
      <c r="H688" s="38" t="n"/>
      <c r="I688" s="38" t="n"/>
      <c r="J688" s="49">
        <f>IF(B688="","",IFERROR(INDEX('SETTINGS'!$M$5:$M$24,MATCH(B688,'SETTINGS'!$L$5:$L$24,0)),"Yes"))</f>
        <v/>
      </c>
      <c r="K688" s="51">
        <f>IF(A688="","",DATE(YEAR(A688),MONTH(A688),1))</f>
        <v/>
      </c>
    </row>
    <row r="689">
      <c r="A689" s="47" t="n"/>
      <c r="B689" s="38" t="n"/>
      <c r="C689" s="38" t="n"/>
      <c r="D689" s="38" t="n"/>
      <c r="E689" s="48" t="n"/>
      <c r="F689" s="38" t="n"/>
      <c r="G689" s="38" t="n"/>
      <c r="H689" s="38" t="n"/>
      <c r="I689" s="38" t="n"/>
      <c r="J689" s="49">
        <f>IF(B689="","",IFERROR(INDEX('SETTINGS'!$M$5:$M$24,MATCH(B689,'SETTINGS'!$L$5:$L$24,0)),"Yes"))</f>
        <v/>
      </c>
      <c r="K689" s="51">
        <f>IF(A689="","",DATE(YEAR(A689),MONTH(A689),1))</f>
        <v/>
      </c>
    </row>
    <row r="690">
      <c r="A690" s="47" t="n"/>
      <c r="B690" s="38" t="n"/>
      <c r="C690" s="38" t="n"/>
      <c r="D690" s="38" t="n"/>
      <c r="E690" s="48" t="n"/>
      <c r="F690" s="38" t="n"/>
      <c r="G690" s="38" t="n"/>
      <c r="H690" s="38" t="n"/>
      <c r="I690" s="38" t="n"/>
      <c r="J690" s="49">
        <f>IF(B690="","",IFERROR(INDEX('SETTINGS'!$M$5:$M$24,MATCH(B690,'SETTINGS'!$L$5:$L$24,0)),"Yes"))</f>
        <v/>
      </c>
      <c r="K690" s="51">
        <f>IF(A690="","",DATE(YEAR(A690),MONTH(A690),1))</f>
        <v/>
      </c>
    </row>
    <row r="691">
      <c r="A691" s="47" t="n"/>
      <c r="B691" s="38" t="n"/>
      <c r="C691" s="38" t="n"/>
      <c r="D691" s="38" t="n"/>
      <c r="E691" s="48" t="n"/>
      <c r="F691" s="38" t="n"/>
      <c r="G691" s="38" t="n"/>
      <c r="H691" s="38" t="n"/>
      <c r="I691" s="38" t="n"/>
      <c r="J691" s="49">
        <f>IF(B691="","",IFERROR(INDEX('SETTINGS'!$M$5:$M$24,MATCH(B691,'SETTINGS'!$L$5:$L$24,0)),"Yes"))</f>
        <v/>
      </c>
      <c r="K691" s="51">
        <f>IF(A691="","",DATE(YEAR(A691),MONTH(A691),1))</f>
        <v/>
      </c>
    </row>
    <row r="692">
      <c r="A692" s="47" t="n"/>
      <c r="B692" s="38" t="n"/>
      <c r="C692" s="38" t="n"/>
      <c r="D692" s="38" t="n"/>
      <c r="E692" s="48" t="n"/>
      <c r="F692" s="38" t="n"/>
      <c r="G692" s="38" t="n"/>
      <c r="H692" s="38" t="n"/>
      <c r="I692" s="38" t="n"/>
      <c r="J692" s="49">
        <f>IF(B692="","",IFERROR(INDEX('SETTINGS'!$M$5:$M$24,MATCH(B692,'SETTINGS'!$L$5:$L$24,0)),"Yes"))</f>
        <v/>
      </c>
      <c r="K692" s="51">
        <f>IF(A692="","",DATE(YEAR(A692),MONTH(A692),1))</f>
        <v/>
      </c>
    </row>
    <row r="693">
      <c r="A693" s="47" t="n"/>
      <c r="B693" s="38" t="n"/>
      <c r="C693" s="38" t="n"/>
      <c r="D693" s="38" t="n"/>
      <c r="E693" s="48" t="n"/>
      <c r="F693" s="38" t="n"/>
      <c r="G693" s="38" t="n"/>
      <c r="H693" s="38" t="n"/>
      <c r="I693" s="38" t="n"/>
      <c r="J693" s="49">
        <f>IF(B693="","",IFERROR(INDEX('SETTINGS'!$M$5:$M$24,MATCH(B693,'SETTINGS'!$L$5:$L$24,0)),"Yes"))</f>
        <v/>
      </c>
      <c r="K693" s="51">
        <f>IF(A693="","",DATE(YEAR(A693),MONTH(A693),1))</f>
        <v/>
      </c>
    </row>
    <row r="694">
      <c r="A694" s="47" t="n"/>
      <c r="B694" s="38" t="n"/>
      <c r="C694" s="38" t="n"/>
      <c r="D694" s="38" t="n"/>
      <c r="E694" s="48" t="n"/>
      <c r="F694" s="38" t="n"/>
      <c r="G694" s="38" t="n"/>
      <c r="H694" s="38" t="n"/>
      <c r="I694" s="38" t="n"/>
      <c r="J694" s="49">
        <f>IF(B694="","",IFERROR(INDEX('SETTINGS'!$M$5:$M$24,MATCH(B694,'SETTINGS'!$L$5:$L$24,0)),"Yes"))</f>
        <v/>
      </c>
      <c r="K694" s="51">
        <f>IF(A694="","",DATE(YEAR(A694),MONTH(A694),1))</f>
        <v/>
      </c>
    </row>
    <row r="695">
      <c r="A695" s="47" t="n"/>
      <c r="B695" s="38" t="n"/>
      <c r="C695" s="38" t="n"/>
      <c r="D695" s="38" t="n"/>
      <c r="E695" s="48" t="n"/>
      <c r="F695" s="38" t="n"/>
      <c r="G695" s="38" t="n"/>
      <c r="H695" s="38" t="n"/>
      <c r="I695" s="38" t="n"/>
      <c r="J695" s="49">
        <f>IF(B695="","",IFERROR(INDEX('SETTINGS'!$M$5:$M$24,MATCH(B695,'SETTINGS'!$L$5:$L$24,0)),"Yes"))</f>
        <v/>
      </c>
      <c r="K695" s="51">
        <f>IF(A695="","",DATE(YEAR(A695),MONTH(A695),1))</f>
        <v/>
      </c>
    </row>
    <row r="696">
      <c r="A696" s="47" t="n"/>
      <c r="B696" s="38" t="n"/>
      <c r="C696" s="38" t="n"/>
      <c r="D696" s="38" t="n"/>
      <c r="E696" s="48" t="n"/>
      <c r="F696" s="38" t="n"/>
      <c r="G696" s="38" t="n"/>
      <c r="H696" s="38" t="n"/>
      <c r="I696" s="38" t="n"/>
      <c r="J696" s="49">
        <f>IF(B696="","",IFERROR(INDEX('SETTINGS'!$M$5:$M$24,MATCH(B696,'SETTINGS'!$L$5:$L$24,0)),"Yes"))</f>
        <v/>
      </c>
      <c r="K696" s="51">
        <f>IF(A696="","",DATE(YEAR(A696),MONTH(A696),1))</f>
        <v/>
      </c>
    </row>
    <row r="697">
      <c r="A697" s="47" t="n"/>
      <c r="B697" s="38" t="n"/>
      <c r="C697" s="38" t="n"/>
      <c r="D697" s="38" t="n"/>
      <c r="E697" s="48" t="n"/>
      <c r="F697" s="38" t="n"/>
      <c r="G697" s="38" t="n"/>
      <c r="H697" s="38" t="n"/>
      <c r="I697" s="38" t="n"/>
      <c r="J697" s="49">
        <f>IF(B697="","",IFERROR(INDEX('SETTINGS'!$M$5:$M$24,MATCH(B697,'SETTINGS'!$L$5:$L$24,0)),"Yes"))</f>
        <v/>
      </c>
      <c r="K697" s="51">
        <f>IF(A697="","",DATE(YEAR(A697),MONTH(A697),1))</f>
        <v/>
      </c>
    </row>
    <row r="698">
      <c r="A698" s="47" t="n"/>
      <c r="B698" s="38" t="n"/>
      <c r="C698" s="38" t="n"/>
      <c r="D698" s="38" t="n"/>
      <c r="E698" s="48" t="n"/>
      <c r="F698" s="38" t="n"/>
      <c r="G698" s="38" t="n"/>
      <c r="H698" s="38" t="n"/>
      <c r="I698" s="38" t="n"/>
      <c r="J698" s="49">
        <f>IF(B698="","",IFERROR(INDEX('SETTINGS'!$M$5:$M$24,MATCH(B698,'SETTINGS'!$L$5:$L$24,0)),"Yes"))</f>
        <v/>
      </c>
      <c r="K698" s="51">
        <f>IF(A698="","",DATE(YEAR(A698),MONTH(A698),1))</f>
        <v/>
      </c>
    </row>
    <row r="699">
      <c r="A699" s="47" t="n"/>
      <c r="B699" s="38" t="n"/>
      <c r="C699" s="38" t="n"/>
      <c r="D699" s="38" t="n"/>
      <c r="E699" s="48" t="n"/>
      <c r="F699" s="38" t="n"/>
      <c r="G699" s="38" t="n"/>
      <c r="H699" s="38" t="n"/>
      <c r="I699" s="38" t="n"/>
      <c r="J699" s="49">
        <f>IF(B699="","",IFERROR(INDEX('SETTINGS'!$M$5:$M$24,MATCH(B699,'SETTINGS'!$L$5:$L$24,0)),"Yes"))</f>
        <v/>
      </c>
      <c r="K699" s="51">
        <f>IF(A699="","",DATE(YEAR(A699),MONTH(A699),1))</f>
        <v/>
      </c>
    </row>
    <row r="700">
      <c r="A700" s="47" t="n"/>
      <c r="B700" s="38" t="n"/>
      <c r="C700" s="38" t="n"/>
      <c r="D700" s="38" t="n"/>
      <c r="E700" s="48" t="n"/>
      <c r="F700" s="38" t="n"/>
      <c r="G700" s="38" t="n"/>
      <c r="H700" s="38" t="n"/>
      <c r="I700" s="38" t="n"/>
      <c r="J700" s="49">
        <f>IF(B700="","",IFERROR(INDEX('SETTINGS'!$M$5:$M$24,MATCH(B700,'SETTINGS'!$L$5:$L$24,0)),"Yes"))</f>
        <v/>
      </c>
      <c r="K700" s="51">
        <f>IF(A700="","",DATE(YEAR(A700),MONTH(A700),1))</f>
        <v/>
      </c>
    </row>
    <row r="701">
      <c r="A701" s="47" t="n"/>
      <c r="B701" s="38" t="n"/>
      <c r="C701" s="38" t="n"/>
      <c r="D701" s="38" t="n"/>
      <c r="E701" s="48" t="n"/>
      <c r="F701" s="38" t="n"/>
      <c r="G701" s="38" t="n"/>
      <c r="H701" s="38" t="n"/>
      <c r="I701" s="38" t="n"/>
      <c r="J701" s="49">
        <f>IF(B701="","",IFERROR(INDEX('SETTINGS'!$M$5:$M$24,MATCH(B701,'SETTINGS'!$L$5:$L$24,0)),"Yes"))</f>
        <v/>
      </c>
      <c r="K701" s="51">
        <f>IF(A701="","",DATE(YEAR(A701),MONTH(A701),1))</f>
        <v/>
      </c>
    </row>
    <row r="702">
      <c r="A702" s="47" t="n"/>
      <c r="B702" s="38" t="n"/>
      <c r="C702" s="38" t="n"/>
      <c r="D702" s="38" t="n"/>
      <c r="E702" s="48" t="n"/>
      <c r="F702" s="38" t="n"/>
      <c r="G702" s="38" t="n"/>
      <c r="H702" s="38" t="n"/>
      <c r="I702" s="38" t="n"/>
      <c r="J702" s="49">
        <f>IF(B702="","",IFERROR(INDEX('SETTINGS'!$M$5:$M$24,MATCH(B702,'SETTINGS'!$L$5:$L$24,0)),"Yes"))</f>
        <v/>
      </c>
      <c r="K702" s="51">
        <f>IF(A702="","",DATE(YEAR(A702),MONTH(A702),1))</f>
        <v/>
      </c>
    </row>
    <row r="703">
      <c r="A703" s="47" t="n"/>
      <c r="B703" s="38" t="n"/>
      <c r="C703" s="38" t="n"/>
      <c r="D703" s="38" t="n"/>
      <c r="E703" s="48" t="n"/>
      <c r="F703" s="38" t="n"/>
      <c r="G703" s="38" t="n"/>
      <c r="H703" s="38" t="n"/>
      <c r="I703" s="38" t="n"/>
      <c r="J703" s="49">
        <f>IF(B703="","",IFERROR(INDEX('SETTINGS'!$M$5:$M$24,MATCH(B703,'SETTINGS'!$L$5:$L$24,0)),"Yes"))</f>
        <v/>
      </c>
      <c r="K703" s="51">
        <f>IF(A703="","",DATE(YEAR(A703),MONTH(A703),1))</f>
        <v/>
      </c>
    </row>
    <row r="704">
      <c r="A704" s="47" t="n"/>
      <c r="B704" s="38" t="n"/>
      <c r="C704" s="38" t="n"/>
      <c r="D704" s="38" t="n"/>
      <c r="E704" s="48" t="n"/>
      <c r="F704" s="38" t="n"/>
      <c r="G704" s="38" t="n"/>
      <c r="H704" s="38" t="n"/>
      <c r="I704" s="38" t="n"/>
      <c r="J704" s="49">
        <f>IF(B704="","",IFERROR(INDEX('SETTINGS'!$M$5:$M$24,MATCH(B704,'SETTINGS'!$L$5:$L$24,0)),"Yes"))</f>
        <v/>
      </c>
      <c r="K704" s="51">
        <f>IF(A704="","",DATE(YEAR(A704),MONTH(A704),1))</f>
        <v/>
      </c>
    </row>
    <row r="705">
      <c r="A705" s="47" t="n"/>
      <c r="B705" s="38" t="n"/>
      <c r="C705" s="38" t="n"/>
      <c r="D705" s="38" t="n"/>
      <c r="E705" s="48" t="n"/>
      <c r="F705" s="38" t="n"/>
      <c r="G705" s="38" t="n"/>
      <c r="H705" s="38" t="n"/>
      <c r="I705" s="38" t="n"/>
      <c r="J705" s="49">
        <f>IF(B705="","",IFERROR(INDEX('SETTINGS'!$M$5:$M$24,MATCH(B705,'SETTINGS'!$L$5:$L$24,0)),"Yes"))</f>
        <v/>
      </c>
      <c r="K705" s="51">
        <f>IF(A705="","",DATE(YEAR(A705),MONTH(A705),1))</f>
        <v/>
      </c>
    </row>
    <row r="706">
      <c r="A706" s="47" t="n"/>
      <c r="B706" s="38" t="n"/>
      <c r="C706" s="38" t="n"/>
      <c r="D706" s="38" t="n"/>
      <c r="E706" s="48" t="n"/>
      <c r="F706" s="38" t="n"/>
      <c r="G706" s="38" t="n"/>
      <c r="H706" s="38" t="n"/>
      <c r="I706" s="38" t="n"/>
      <c r="J706" s="49">
        <f>IF(B706="","",IFERROR(INDEX('SETTINGS'!$M$5:$M$24,MATCH(B706,'SETTINGS'!$L$5:$L$24,0)),"Yes"))</f>
        <v/>
      </c>
      <c r="K706" s="51">
        <f>IF(A706="","",DATE(YEAR(A706),MONTH(A706),1))</f>
        <v/>
      </c>
    </row>
    <row r="707">
      <c r="A707" s="47" t="n"/>
      <c r="B707" s="38" t="n"/>
      <c r="C707" s="38" t="n"/>
      <c r="D707" s="38" t="n"/>
      <c r="E707" s="48" t="n"/>
      <c r="F707" s="38" t="n"/>
      <c r="G707" s="38" t="n"/>
      <c r="H707" s="38" t="n"/>
      <c r="I707" s="38" t="n"/>
      <c r="J707" s="49">
        <f>IF(B707="","",IFERROR(INDEX('SETTINGS'!$M$5:$M$24,MATCH(B707,'SETTINGS'!$L$5:$L$24,0)),"Yes"))</f>
        <v/>
      </c>
      <c r="K707" s="51">
        <f>IF(A707="","",DATE(YEAR(A707),MONTH(A707),1))</f>
        <v/>
      </c>
    </row>
    <row r="708">
      <c r="A708" s="47" t="n"/>
      <c r="B708" s="38" t="n"/>
      <c r="C708" s="38" t="n"/>
      <c r="D708" s="38" t="n"/>
      <c r="E708" s="48" t="n"/>
      <c r="F708" s="38" t="n"/>
      <c r="G708" s="38" t="n"/>
      <c r="H708" s="38" t="n"/>
      <c r="I708" s="38" t="n"/>
      <c r="J708" s="49">
        <f>IF(B708="","",IFERROR(INDEX('SETTINGS'!$M$5:$M$24,MATCH(B708,'SETTINGS'!$L$5:$L$24,0)),"Yes"))</f>
        <v/>
      </c>
      <c r="K708" s="51">
        <f>IF(A708="","",DATE(YEAR(A708),MONTH(A708),1))</f>
        <v/>
      </c>
    </row>
    <row r="709">
      <c r="A709" s="47" t="n"/>
      <c r="B709" s="38" t="n"/>
      <c r="C709" s="38" t="n"/>
      <c r="D709" s="38" t="n"/>
      <c r="E709" s="48" t="n"/>
      <c r="F709" s="38" t="n"/>
      <c r="G709" s="38" t="n"/>
      <c r="H709" s="38" t="n"/>
      <c r="I709" s="38" t="n"/>
      <c r="J709" s="49">
        <f>IF(B709="","",IFERROR(INDEX('SETTINGS'!$M$5:$M$24,MATCH(B709,'SETTINGS'!$L$5:$L$24,0)),"Yes"))</f>
        <v/>
      </c>
      <c r="K709" s="51">
        <f>IF(A709="","",DATE(YEAR(A709),MONTH(A709),1))</f>
        <v/>
      </c>
    </row>
    <row r="710">
      <c r="A710" s="47" t="n"/>
      <c r="B710" s="38" t="n"/>
      <c r="C710" s="38" t="n"/>
      <c r="D710" s="38" t="n"/>
      <c r="E710" s="48" t="n"/>
      <c r="F710" s="38" t="n"/>
      <c r="G710" s="38" t="n"/>
      <c r="H710" s="38" t="n"/>
      <c r="I710" s="38" t="n"/>
      <c r="J710" s="49">
        <f>IF(B710="","",IFERROR(INDEX('SETTINGS'!$M$5:$M$24,MATCH(B710,'SETTINGS'!$L$5:$L$24,0)),"Yes"))</f>
        <v/>
      </c>
      <c r="K710" s="51">
        <f>IF(A710="","",DATE(YEAR(A710),MONTH(A710),1))</f>
        <v/>
      </c>
    </row>
    <row r="711">
      <c r="A711" s="47" t="n"/>
      <c r="B711" s="38" t="n"/>
      <c r="C711" s="38" t="n"/>
      <c r="D711" s="38" t="n"/>
      <c r="E711" s="48" t="n"/>
      <c r="F711" s="38" t="n"/>
      <c r="G711" s="38" t="n"/>
      <c r="H711" s="38" t="n"/>
      <c r="I711" s="38" t="n"/>
      <c r="J711" s="49">
        <f>IF(B711="","",IFERROR(INDEX('SETTINGS'!$M$5:$M$24,MATCH(B711,'SETTINGS'!$L$5:$L$24,0)),"Yes"))</f>
        <v/>
      </c>
      <c r="K711" s="51">
        <f>IF(A711="","",DATE(YEAR(A711),MONTH(A711),1))</f>
        <v/>
      </c>
    </row>
    <row r="712">
      <c r="A712" s="47" t="n"/>
      <c r="B712" s="38" t="n"/>
      <c r="C712" s="38" t="n"/>
      <c r="D712" s="38" t="n"/>
      <c r="E712" s="48" t="n"/>
      <c r="F712" s="38" t="n"/>
      <c r="G712" s="38" t="n"/>
      <c r="H712" s="38" t="n"/>
      <c r="I712" s="38" t="n"/>
      <c r="J712" s="49">
        <f>IF(B712="","",IFERROR(INDEX('SETTINGS'!$M$5:$M$24,MATCH(B712,'SETTINGS'!$L$5:$L$24,0)),"Yes"))</f>
        <v/>
      </c>
      <c r="K712" s="51">
        <f>IF(A712="","",DATE(YEAR(A712),MONTH(A712),1))</f>
        <v/>
      </c>
    </row>
    <row r="713">
      <c r="A713" s="47" t="n"/>
      <c r="B713" s="38" t="n"/>
      <c r="C713" s="38" t="n"/>
      <c r="D713" s="38" t="n"/>
      <c r="E713" s="48" t="n"/>
      <c r="F713" s="38" t="n"/>
      <c r="G713" s="38" t="n"/>
      <c r="H713" s="38" t="n"/>
      <c r="I713" s="38" t="n"/>
      <c r="J713" s="49">
        <f>IF(B713="","",IFERROR(INDEX('SETTINGS'!$M$5:$M$24,MATCH(B713,'SETTINGS'!$L$5:$L$24,0)),"Yes"))</f>
        <v/>
      </c>
      <c r="K713" s="51">
        <f>IF(A713="","",DATE(YEAR(A713),MONTH(A713),1))</f>
        <v/>
      </c>
    </row>
    <row r="714">
      <c r="A714" s="47" t="n"/>
      <c r="B714" s="38" t="n"/>
      <c r="C714" s="38" t="n"/>
      <c r="D714" s="38" t="n"/>
      <c r="E714" s="48" t="n"/>
      <c r="F714" s="38" t="n"/>
      <c r="G714" s="38" t="n"/>
      <c r="H714" s="38" t="n"/>
      <c r="I714" s="38" t="n"/>
      <c r="J714" s="49">
        <f>IF(B714="","",IFERROR(INDEX('SETTINGS'!$M$5:$M$24,MATCH(B714,'SETTINGS'!$L$5:$L$24,0)),"Yes"))</f>
        <v/>
      </c>
      <c r="K714" s="51">
        <f>IF(A714="","",DATE(YEAR(A714),MONTH(A714),1))</f>
        <v/>
      </c>
    </row>
    <row r="715">
      <c r="A715" s="47" t="n"/>
      <c r="B715" s="38" t="n"/>
      <c r="C715" s="38" t="n"/>
      <c r="D715" s="38" t="n"/>
      <c r="E715" s="48" t="n"/>
      <c r="F715" s="38" t="n"/>
      <c r="G715" s="38" t="n"/>
      <c r="H715" s="38" t="n"/>
      <c r="I715" s="38" t="n"/>
      <c r="J715" s="49">
        <f>IF(B715="","",IFERROR(INDEX('SETTINGS'!$M$5:$M$24,MATCH(B715,'SETTINGS'!$L$5:$L$24,0)),"Yes"))</f>
        <v/>
      </c>
      <c r="K715" s="51">
        <f>IF(A715="","",DATE(YEAR(A715),MONTH(A715),1))</f>
        <v/>
      </c>
    </row>
    <row r="716">
      <c r="A716" s="47" t="n"/>
      <c r="B716" s="38" t="n"/>
      <c r="C716" s="38" t="n"/>
      <c r="D716" s="38" t="n"/>
      <c r="E716" s="48" t="n"/>
      <c r="F716" s="38" t="n"/>
      <c r="G716" s="38" t="n"/>
      <c r="H716" s="38" t="n"/>
      <c r="I716" s="38" t="n"/>
      <c r="J716" s="49">
        <f>IF(B716="","",IFERROR(INDEX('SETTINGS'!$M$5:$M$24,MATCH(B716,'SETTINGS'!$L$5:$L$24,0)),"Yes"))</f>
        <v/>
      </c>
      <c r="K716" s="51">
        <f>IF(A716="","",DATE(YEAR(A716),MONTH(A716),1))</f>
        <v/>
      </c>
    </row>
    <row r="717">
      <c r="A717" s="47" t="n"/>
      <c r="B717" s="38" t="n"/>
      <c r="C717" s="38" t="n"/>
      <c r="D717" s="38" t="n"/>
      <c r="E717" s="48" t="n"/>
      <c r="F717" s="38" t="n"/>
      <c r="G717" s="38" t="n"/>
      <c r="H717" s="38" t="n"/>
      <c r="I717" s="38" t="n"/>
      <c r="J717" s="49">
        <f>IF(B717="","",IFERROR(INDEX('SETTINGS'!$M$5:$M$24,MATCH(B717,'SETTINGS'!$L$5:$L$24,0)),"Yes"))</f>
        <v/>
      </c>
      <c r="K717" s="51">
        <f>IF(A717="","",DATE(YEAR(A717),MONTH(A717),1))</f>
        <v/>
      </c>
    </row>
    <row r="718">
      <c r="A718" s="47" t="n"/>
      <c r="B718" s="38" t="n"/>
      <c r="C718" s="38" t="n"/>
      <c r="D718" s="38" t="n"/>
      <c r="E718" s="48" t="n"/>
      <c r="F718" s="38" t="n"/>
      <c r="G718" s="38" t="n"/>
      <c r="H718" s="38" t="n"/>
      <c r="I718" s="38" t="n"/>
      <c r="J718" s="49">
        <f>IF(B718="","",IFERROR(INDEX('SETTINGS'!$M$5:$M$24,MATCH(B718,'SETTINGS'!$L$5:$L$24,0)),"Yes"))</f>
        <v/>
      </c>
      <c r="K718" s="51">
        <f>IF(A718="","",DATE(YEAR(A718),MONTH(A718),1))</f>
        <v/>
      </c>
    </row>
    <row r="719">
      <c r="A719" s="47" t="n"/>
      <c r="B719" s="38" t="n"/>
      <c r="C719" s="38" t="n"/>
      <c r="D719" s="38" t="n"/>
      <c r="E719" s="48" t="n"/>
      <c r="F719" s="38" t="n"/>
      <c r="G719" s="38" t="n"/>
      <c r="H719" s="38" t="n"/>
      <c r="I719" s="38" t="n"/>
      <c r="J719" s="49">
        <f>IF(B719="","",IFERROR(INDEX('SETTINGS'!$M$5:$M$24,MATCH(B719,'SETTINGS'!$L$5:$L$24,0)),"Yes"))</f>
        <v/>
      </c>
      <c r="K719" s="51">
        <f>IF(A719="","",DATE(YEAR(A719),MONTH(A719),1))</f>
        <v/>
      </c>
    </row>
    <row r="720">
      <c r="A720" s="47" t="n"/>
      <c r="B720" s="38" t="n"/>
      <c r="C720" s="38" t="n"/>
      <c r="D720" s="38" t="n"/>
      <c r="E720" s="48" t="n"/>
      <c r="F720" s="38" t="n"/>
      <c r="G720" s="38" t="n"/>
      <c r="H720" s="38" t="n"/>
      <c r="I720" s="38" t="n"/>
      <c r="J720" s="49">
        <f>IF(B720="","",IFERROR(INDEX('SETTINGS'!$M$5:$M$24,MATCH(B720,'SETTINGS'!$L$5:$L$24,0)),"Yes"))</f>
        <v/>
      </c>
      <c r="K720" s="51">
        <f>IF(A720="","",DATE(YEAR(A720),MONTH(A720),1))</f>
        <v/>
      </c>
    </row>
    <row r="721">
      <c r="A721" s="47" t="n"/>
      <c r="B721" s="38" t="n"/>
      <c r="C721" s="38" t="n"/>
      <c r="D721" s="38" t="n"/>
      <c r="E721" s="48" t="n"/>
      <c r="F721" s="38" t="n"/>
      <c r="G721" s="38" t="n"/>
      <c r="H721" s="38" t="n"/>
      <c r="I721" s="38" t="n"/>
      <c r="J721" s="49">
        <f>IF(B721="","",IFERROR(INDEX('SETTINGS'!$M$5:$M$24,MATCH(B721,'SETTINGS'!$L$5:$L$24,0)),"Yes"))</f>
        <v/>
      </c>
      <c r="K721" s="51">
        <f>IF(A721="","",DATE(YEAR(A721),MONTH(A721),1))</f>
        <v/>
      </c>
    </row>
    <row r="722">
      <c r="A722" s="47" t="n"/>
      <c r="B722" s="38" t="n"/>
      <c r="C722" s="38" t="n"/>
      <c r="D722" s="38" t="n"/>
      <c r="E722" s="48" t="n"/>
      <c r="F722" s="38" t="n"/>
      <c r="G722" s="38" t="n"/>
      <c r="H722" s="38" t="n"/>
      <c r="I722" s="38" t="n"/>
      <c r="J722" s="49">
        <f>IF(B722="","",IFERROR(INDEX('SETTINGS'!$M$5:$M$24,MATCH(B722,'SETTINGS'!$L$5:$L$24,0)),"Yes"))</f>
        <v/>
      </c>
      <c r="K722" s="51">
        <f>IF(A722="","",DATE(YEAR(A722),MONTH(A722),1))</f>
        <v/>
      </c>
    </row>
    <row r="723">
      <c r="A723" s="47" t="n"/>
      <c r="B723" s="38" t="n"/>
      <c r="C723" s="38" t="n"/>
      <c r="D723" s="38" t="n"/>
      <c r="E723" s="48" t="n"/>
      <c r="F723" s="38" t="n"/>
      <c r="G723" s="38" t="n"/>
      <c r="H723" s="38" t="n"/>
      <c r="I723" s="38" t="n"/>
      <c r="J723" s="49">
        <f>IF(B723="","",IFERROR(INDEX('SETTINGS'!$M$5:$M$24,MATCH(B723,'SETTINGS'!$L$5:$L$24,0)),"Yes"))</f>
        <v/>
      </c>
      <c r="K723" s="51">
        <f>IF(A723="","",DATE(YEAR(A723),MONTH(A723),1))</f>
        <v/>
      </c>
    </row>
    <row r="724">
      <c r="A724" s="47" t="n"/>
      <c r="B724" s="38" t="n"/>
      <c r="C724" s="38" t="n"/>
      <c r="D724" s="38" t="n"/>
      <c r="E724" s="48" t="n"/>
      <c r="F724" s="38" t="n"/>
      <c r="G724" s="38" t="n"/>
      <c r="H724" s="38" t="n"/>
      <c r="I724" s="38" t="n"/>
      <c r="J724" s="49">
        <f>IF(B724="","",IFERROR(INDEX('SETTINGS'!$M$5:$M$24,MATCH(B724,'SETTINGS'!$L$5:$L$24,0)),"Yes"))</f>
        <v/>
      </c>
      <c r="K724" s="51">
        <f>IF(A724="","",DATE(YEAR(A724),MONTH(A724),1))</f>
        <v/>
      </c>
    </row>
    <row r="725">
      <c r="A725" s="47" t="n"/>
      <c r="B725" s="38" t="n"/>
      <c r="C725" s="38" t="n"/>
      <c r="D725" s="38" t="n"/>
      <c r="E725" s="48" t="n"/>
      <c r="F725" s="38" t="n"/>
      <c r="G725" s="38" t="n"/>
      <c r="H725" s="38" t="n"/>
      <c r="I725" s="38" t="n"/>
      <c r="J725" s="49">
        <f>IF(B725="","",IFERROR(INDEX('SETTINGS'!$M$5:$M$24,MATCH(B725,'SETTINGS'!$L$5:$L$24,0)),"Yes"))</f>
        <v/>
      </c>
      <c r="K725" s="51">
        <f>IF(A725="","",DATE(YEAR(A725),MONTH(A725),1))</f>
        <v/>
      </c>
    </row>
    <row r="726">
      <c r="A726" s="47" t="n"/>
      <c r="B726" s="38" t="n"/>
      <c r="C726" s="38" t="n"/>
      <c r="D726" s="38" t="n"/>
      <c r="E726" s="48" t="n"/>
      <c r="F726" s="38" t="n"/>
      <c r="G726" s="38" t="n"/>
      <c r="H726" s="38" t="n"/>
      <c r="I726" s="38" t="n"/>
      <c r="J726" s="49">
        <f>IF(B726="","",IFERROR(INDEX('SETTINGS'!$M$5:$M$24,MATCH(B726,'SETTINGS'!$L$5:$L$24,0)),"Yes"))</f>
        <v/>
      </c>
      <c r="K726" s="51">
        <f>IF(A726="","",DATE(YEAR(A726),MONTH(A726),1))</f>
        <v/>
      </c>
    </row>
    <row r="727">
      <c r="A727" s="47" t="n"/>
      <c r="B727" s="38" t="n"/>
      <c r="C727" s="38" t="n"/>
      <c r="D727" s="38" t="n"/>
      <c r="E727" s="48" t="n"/>
      <c r="F727" s="38" t="n"/>
      <c r="G727" s="38" t="n"/>
      <c r="H727" s="38" t="n"/>
      <c r="I727" s="38" t="n"/>
      <c r="J727" s="49">
        <f>IF(B727="","",IFERROR(INDEX('SETTINGS'!$M$5:$M$24,MATCH(B727,'SETTINGS'!$L$5:$L$24,0)),"Yes"))</f>
        <v/>
      </c>
      <c r="K727" s="51">
        <f>IF(A727="","",DATE(YEAR(A727),MONTH(A727),1))</f>
        <v/>
      </c>
    </row>
    <row r="728">
      <c r="A728" s="47" t="n"/>
      <c r="B728" s="38" t="n"/>
      <c r="C728" s="38" t="n"/>
      <c r="D728" s="38" t="n"/>
      <c r="E728" s="48" t="n"/>
      <c r="F728" s="38" t="n"/>
      <c r="G728" s="38" t="n"/>
      <c r="H728" s="38" t="n"/>
      <c r="I728" s="38" t="n"/>
      <c r="J728" s="49">
        <f>IF(B728="","",IFERROR(INDEX('SETTINGS'!$M$5:$M$24,MATCH(B728,'SETTINGS'!$L$5:$L$24,0)),"Yes"))</f>
        <v/>
      </c>
      <c r="K728" s="51">
        <f>IF(A728="","",DATE(YEAR(A728),MONTH(A728),1))</f>
        <v/>
      </c>
    </row>
    <row r="729">
      <c r="A729" s="47" t="n"/>
      <c r="B729" s="38" t="n"/>
      <c r="C729" s="38" t="n"/>
      <c r="D729" s="38" t="n"/>
      <c r="E729" s="48" t="n"/>
      <c r="F729" s="38" t="n"/>
      <c r="G729" s="38" t="n"/>
      <c r="H729" s="38" t="n"/>
      <c r="I729" s="38" t="n"/>
      <c r="J729" s="49">
        <f>IF(B729="","",IFERROR(INDEX('SETTINGS'!$M$5:$M$24,MATCH(B729,'SETTINGS'!$L$5:$L$24,0)),"Yes"))</f>
        <v/>
      </c>
      <c r="K729" s="51">
        <f>IF(A729="","",DATE(YEAR(A729),MONTH(A729),1))</f>
        <v/>
      </c>
    </row>
    <row r="730">
      <c r="A730" s="47" t="n"/>
      <c r="B730" s="38" t="n"/>
      <c r="C730" s="38" t="n"/>
      <c r="D730" s="38" t="n"/>
      <c r="E730" s="48" t="n"/>
      <c r="F730" s="38" t="n"/>
      <c r="G730" s="38" t="n"/>
      <c r="H730" s="38" t="n"/>
      <c r="I730" s="38" t="n"/>
      <c r="J730" s="49">
        <f>IF(B730="","",IFERROR(INDEX('SETTINGS'!$M$5:$M$24,MATCH(B730,'SETTINGS'!$L$5:$L$24,0)),"Yes"))</f>
        <v/>
      </c>
      <c r="K730" s="51">
        <f>IF(A730="","",DATE(YEAR(A730),MONTH(A730),1))</f>
        <v/>
      </c>
    </row>
    <row r="731">
      <c r="A731" s="47" t="n"/>
      <c r="B731" s="38" t="n"/>
      <c r="C731" s="38" t="n"/>
      <c r="D731" s="38" t="n"/>
      <c r="E731" s="48" t="n"/>
      <c r="F731" s="38" t="n"/>
      <c r="G731" s="38" t="n"/>
      <c r="H731" s="38" t="n"/>
      <c r="I731" s="38" t="n"/>
      <c r="J731" s="49">
        <f>IF(B731="","",IFERROR(INDEX('SETTINGS'!$M$5:$M$24,MATCH(B731,'SETTINGS'!$L$5:$L$24,0)),"Yes"))</f>
        <v/>
      </c>
      <c r="K731" s="51">
        <f>IF(A731="","",DATE(YEAR(A731),MONTH(A731),1))</f>
        <v/>
      </c>
    </row>
    <row r="732">
      <c r="A732" s="47" t="n"/>
      <c r="B732" s="38" t="n"/>
      <c r="C732" s="38" t="n"/>
      <c r="D732" s="38" t="n"/>
      <c r="E732" s="48" t="n"/>
      <c r="F732" s="38" t="n"/>
      <c r="G732" s="38" t="n"/>
      <c r="H732" s="38" t="n"/>
      <c r="I732" s="38" t="n"/>
      <c r="J732" s="49">
        <f>IF(B732="","",IFERROR(INDEX('SETTINGS'!$M$5:$M$24,MATCH(B732,'SETTINGS'!$L$5:$L$24,0)),"Yes"))</f>
        <v/>
      </c>
      <c r="K732" s="51">
        <f>IF(A732="","",DATE(YEAR(A732),MONTH(A732),1))</f>
        <v/>
      </c>
    </row>
    <row r="733">
      <c r="A733" s="47" t="n"/>
      <c r="B733" s="38" t="n"/>
      <c r="C733" s="38" t="n"/>
      <c r="D733" s="38" t="n"/>
      <c r="E733" s="48" t="n"/>
      <c r="F733" s="38" t="n"/>
      <c r="G733" s="38" t="n"/>
      <c r="H733" s="38" t="n"/>
      <c r="I733" s="38" t="n"/>
      <c r="J733" s="49">
        <f>IF(B733="","",IFERROR(INDEX('SETTINGS'!$M$5:$M$24,MATCH(B733,'SETTINGS'!$L$5:$L$24,0)),"Yes"))</f>
        <v/>
      </c>
      <c r="K733" s="51">
        <f>IF(A733="","",DATE(YEAR(A733),MONTH(A733),1))</f>
        <v/>
      </c>
    </row>
    <row r="734">
      <c r="A734" s="47" t="n"/>
      <c r="B734" s="38" t="n"/>
      <c r="C734" s="38" t="n"/>
      <c r="D734" s="38" t="n"/>
      <c r="E734" s="48" t="n"/>
      <c r="F734" s="38" t="n"/>
      <c r="G734" s="38" t="n"/>
      <c r="H734" s="38" t="n"/>
      <c r="I734" s="38" t="n"/>
      <c r="J734" s="49">
        <f>IF(B734="","",IFERROR(INDEX('SETTINGS'!$M$5:$M$24,MATCH(B734,'SETTINGS'!$L$5:$L$24,0)),"Yes"))</f>
        <v/>
      </c>
      <c r="K734" s="51">
        <f>IF(A734="","",DATE(YEAR(A734),MONTH(A734),1))</f>
        <v/>
      </c>
    </row>
    <row r="735">
      <c r="A735" s="47" t="n"/>
      <c r="B735" s="38" t="n"/>
      <c r="C735" s="38" t="n"/>
      <c r="D735" s="38" t="n"/>
      <c r="E735" s="48" t="n"/>
      <c r="F735" s="38" t="n"/>
      <c r="G735" s="38" t="n"/>
      <c r="H735" s="38" t="n"/>
      <c r="I735" s="38" t="n"/>
      <c r="J735" s="49">
        <f>IF(B735="","",IFERROR(INDEX('SETTINGS'!$M$5:$M$24,MATCH(B735,'SETTINGS'!$L$5:$L$24,0)),"Yes"))</f>
        <v/>
      </c>
      <c r="K735" s="51">
        <f>IF(A735="","",DATE(YEAR(A735),MONTH(A735),1))</f>
        <v/>
      </c>
    </row>
    <row r="736">
      <c r="A736" s="47" t="n"/>
      <c r="B736" s="38" t="n"/>
      <c r="C736" s="38" t="n"/>
      <c r="D736" s="38" t="n"/>
      <c r="E736" s="48" t="n"/>
      <c r="F736" s="38" t="n"/>
      <c r="G736" s="38" t="n"/>
      <c r="H736" s="38" t="n"/>
      <c r="I736" s="38" t="n"/>
      <c r="J736" s="49">
        <f>IF(B736="","",IFERROR(INDEX('SETTINGS'!$M$5:$M$24,MATCH(B736,'SETTINGS'!$L$5:$L$24,0)),"Yes"))</f>
        <v/>
      </c>
      <c r="K736" s="51">
        <f>IF(A736="","",DATE(YEAR(A736),MONTH(A736),1))</f>
        <v/>
      </c>
    </row>
    <row r="737">
      <c r="A737" s="47" t="n"/>
      <c r="B737" s="38" t="n"/>
      <c r="C737" s="38" t="n"/>
      <c r="D737" s="38" t="n"/>
      <c r="E737" s="48" t="n"/>
      <c r="F737" s="38" t="n"/>
      <c r="G737" s="38" t="n"/>
      <c r="H737" s="38" t="n"/>
      <c r="I737" s="38" t="n"/>
      <c r="J737" s="49">
        <f>IF(B737="","",IFERROR(INDEX('SETTINGS'!$M$5:$M$24,MATCH(B737,'SETTINGS'!$L$5:$L$24,0)),"Yes"))</f>
        <v/>
      </c>
      <c r="K737" s="51">
        <f>IF(A737="","",DATE(YEAR(A737),MONTH(A737),1))</f>
        <v/>
      </c>
    </row>
    <row r="738">
      <c r="A738" s="47" t="n"/>
      <c r="B738" s="38" t="n"/>
      <c r="C738" s="38" t="n"/>
      <c r="D738" s="38" t="n"/>
      <c r="E738" s="48" t="n"/>
      <c r="F738" s="38" t="n"/>
      <c r="G738" s="38" t="n"/>
      <c r="H738" s="38" t="n"/>
      <c r="I738" s="38" t="n"/>
      <c r="J738" s="49">
        <f>IF(B738="","",IFERROR(INDEX('SETTINGS'!$M$5:$M$24,MATCH(B738,'SETTINGS'!$L$5:$L$24,0)),"Yes"))</f>
        <v/>
      </c>
      <c r="K738" s="51">
        <f>IF(A738="","",DATE(YEAR(A738),MONTH(A738),1))</f>
        <v/>
      </c>
    </row>
    <row r="739">
      <c r="A739" s="47" t="n"/>
      <c r="B739" s="38" t="n"/>
      <c r="C739" s="38" t="n"/>
      <c r="D739" s="38" t="n"/>
      <c r="E739" s="48" t="n"/>
      <c r="F739" s="38" t="n"/>
      <c r="G739" s="38" t="n"/>
      <c r="H739" s="38" t="n"/>
      <c r="I739" s="38" t="n"/>
      <c r="J739" s="49">
        <f>IF(B739="","",IFERROR(INDEX('SETTINGS'!$M$5:$M$24,MATCH(B739,'SETTINGS'!$L$5:$L$24,0)),"Yes"))</f>
        <v/>
      </c>
      <c r="K739" s="51">
        <f>IF(A739="","",DATE(YEAR(A739),MONTH(A739),1))</f>
        <v/>
      </c>
    </row>
    <row r="740">
      <c r="A740" s="47" t="n"/>
      <c r="B740" s="38" t="n"/>
      <c r="C740" s="38" t="n"/>
      <c r="D740" s="38" t="n"/>
      <c r="E740" s="48" t="n"/>
      <c r="F740" s="38" t="n"/>
      <c r="G740" s="38" t="n"/>
      <c r="H740" s="38" t="n"/>
      <c r="I740" s="38" t="n"/>
      <c r="J740" s="49">
        <f>IF(B740="","",IFERROR(INDEX('SETTINGS'!$M$5:$M$24,MATCH(B740,'SETTINGS'!$L$5:$L$24,0)),"Yes"))</f>
        <v/>
      </c>
      <c r="K740" s="51">
        <f>IF(A740="","",DATE(YEAR(A740),MONTH(A740),1))</f>
        <v/>
      </c>
    </row>
    <row r="741">
      <c r="A741" s="47" t="n"/>
      <c r="B741" s="38" t="n"/>
      <c r="C741" s="38" t="n"/>
      <c r="D741" s="38" t="n"/>
      <c r="E741" s="48" t="n"/>
      <c r="F741" s="38" t="n"/>
      <c r="G741" s="38" t="n"/>
      <c r="H741" s="38" t="n"/>
      <c r="I741" s="38" t="n"/>
      <c r="J741" s="49">
        <f>IF(B741="","",IFERROR(INDEX('SETTINGS'!$M$5:$M$24,MATCH(B741,'SETTINGS'!$L$5:$L$24,0)),"Yes"))</f>
        <v/>
      </c>
      <c r="K741" s="51">
        <f>IF(A741="","",DATE(YEAR(A741),MONTH(A741),1))</f>
        <v/>
      </c>
    </row>
    <row r="742">
      <c r="A742" s="47" t="n"/>
      <c r="B742" s="38" t="n"/>
      <c r="C742" s="38" t="n"/>
      <c r="D742" s="38" t="n"/>
      <c r="E742" s="48" t="n"/>
      <c r="F742" s="38" t="n"/>
      <c r="G742" s="38" t="n"/>
      <c r="H742" s="38" t="n"/>
      <c r="I742" s="38" t="n"/>
      <c r="J742" s="49">
        <f>IF(B742="","",IFERROR(INDEX('SETTINGS'!$M$5:$M$24,MATCH(B742,'SETTINGS'!$L$5:$L$24,0)),"Yes"))</f>
        <v/>
      </c>
      <c r="K742" s="51">
        <f>IF(A742="","",DATE(YEAR(A742),MONTH(A742),1))</f>
        <v/>
      </c>
    </row>
    <row r="743">
      <c r="A743" s="47" t="n"/>
      <c r="B743" s="38" t="n"/>
      <c r="C743" s="38" t="n"/>
      <c r="D743" s="38" t="n"/>
      <c r="E743" s="48" t="n"/>
      <c r="F743" s="38" t="n"/>
      <c r="G743" s="38" t="n"/>
      <c r="H743" s="38" t="n"/>
      <c r="I743" s="38" t="n"/>
      <c r="J743" s="49">
        <f>IF(B743="","",IFERROR(INDEX('SETTINGS'!$M$5:$M$24,MATCH(B743,'SETTINGS'!$L$5:$L$24,0)),"Yes"))</f>
        <v/>
      </c>
      <c r="K743" s="51">
        <f>IF(A743="","",DATE(YEAR(A743),MONTH(A743),1))</f>
        <v/>
      </c>
    </row>
    <row r="744">
      <c r="A744" s="47" t="n"/>
      <c r="B744" s="38" t="n"/>
      <c r="C744" s="38" t="n"/>
      <c r="D744" s="38" t="n"/>
      <c r="E744" s="48" t="n"/>
      <c r="F744" s="38" t="n"/>
      <c r="G744" s="38" t="n"/>
      <c r="H744" s="38" t="n"/>
      <c r="I744" s="38" t="n"/>
      <c r="J744" s="49">
        <f>IF(B744="","",IFERROR(INDEX('SETTINGS'!$M$5:$M$24,MATCH(B744,'SETTINGS'!$L$5:$L$24,0)),"Yes"))</f>
        <v/>
      </c>
      <c r="K744" s="51">
        <f>IF(A744="","",DATE(YEAR(A744),MONTH(A744),1))</f>
        <v/>
      </c>
    </row>
    <row r="745">
      <c r="A745" s="47" t="n"/>
      <c r="B745" s="38" t="n"/>
      <c r="C745" s="38" t="n"/>
      <c r="D745" s="38" t="n"/>
      <c r="E745" s="48" t="n"/>
      <c r="F745" s="38" t="n"/>
      <c r="G745" s="38" t="n"/>
      <c r="H745" s="38" t="n"/>
      <c r="I745" s="38" t="n"/>
      <c r="J745" s="49">
        <f>IF(B745="","",IFERROR(INDEX('SETTINGS'!$M$5:$M$24,MATCH(B745,'SETTINGS'!$L$5:$L$24,0)),"Yes"))</f>
        <v/>
      </c>
      <c r="K745" s="51">
        <f>IF(A745="","",DATE(YEAR(A745),MONTH(A745),1))</f>
        <v/>
      </c>
    </row>
    <row r="746">
      <c r="A746" s="47" t="n"/>
      <c r="B746" s="38" t="n"/>
      <c r="C746" s="38" t="n"/>
      <c r="D746" s="38" t="n"/>
      <c r="E746" s="48" t="n"/>
      <c r="F746" s="38" t="n"/>
      <c r="G746" s="38" t="n"/>
      <c r="H746" s="38" t="n"/>
      <c r="I746" s="38" t="n"/>
      <c r="J746" s="49">
        <f>IF(B746="","",IFERROR(INDEX('SETTINGS'!$M$5:$M$24,MATCH(B746,'SETTINGS'!$L$5:$L$24,0)),"Yes"))</f>
        <v/>
      </c>
      <c r="K746" s="51">
        <f>IF(A746="","",DATE(YEAR(A746),MONTH(A746),1))</f>
        <v/>
      </c>
    </row>
    <row r="747">
      <c r="A747" s="47" t="n"/>
      <c r="B747" s="38" t="n"/>
      <c r="C747" s="38" t="n"/>
      <c r="D747" s="38" t="n"/>
      <c r="E747" s="48" t="n"/>
      <c r="F747" s="38" t="n"/>
      <c r="G747" s="38" t="n"/>
      <c r="H747" s="38" t="n"/>
      <c r="I747" s="38" t="n"/>
      <c r="J747" s="49">
        <f>IF(B747="","",IFERROR(INDEX('SETTINGS'!$M$5:$M$24,MATCH(B747,'SETTINGS'!$L$5:$L$24,0)),"Yes"))</f>
        <v/>
      </c>
      <c r="K747" s="51">
        <f>IF(A747="","",DATE(YEAR(A747),MONTH(A747),1))</f>
        <v/>
      </c>
    </row>
    <row r="748">
      <c r="A748" s="47" t="n"/>
      <c r="B748" s="38" t="n"/>
      <c r="C748" s="38" t="n"/>
      <c r="D748" s="38" t="n"/>
      <c r="E748" s="48" t="n"/>
      <c r="F748" s="38" t="n"/>
      <c r="G748" s="38" t="n"/>
      <c r="H748" s="38" t="n"/>
      <c r="I748" s="38" t="n"/>
      <c r="J748" s="49">
        <f>IF(B748="","",IFERROR(INDEX('SETTINGS'!$M$5:$M$24,MATCH(B748,'SETTINGS'!$L$5:$L$24,0)),"Yes"))</f>
        <v/>
      </c>
      <c r="K748" s="51">
        <f>IF(A748="","",DATE(YEAR(A748),MONTH(A748),1))</f>
        <v/>
      </c>
    </row>
    <row r="749">
      <c r="A749" s="47" t="n"/>
      <c r="B749" s="38" t="n"/>
      <c r="C749" s="38" t="n"/>
      <c r="D749" s="38" t="n"/>
      <c r="E749" s="48" t="n"/>
      <c r="F749" s="38" t="n"/>
      <c r="G749" s="38" t="n"/>
      <c r="H749" s="38" t="n"/>
      <c r="I749" s="38" t="n"/>
      <c r="J749" s="49">
        <f>IF(B749="","",IFERROR(INDEX('SETTINGS'!$M$5:$M$24,MATCH(B749,'SETTINGS'!$L$5:$L$24,0)),"Yes"))</f>
        <v/>
      </c>
      <c r="K749" s="51">
        <f>IF(A749="","",DATE(YEAR(A749),MONTH(A749),1))</f>
        <v/>
      </c>
    </row>
    <row r="750">
      <c r="A750" s="47" t="n"/>
      <c r="B750" s="38" t="n"/>
      <c r="C750" s="38" t="n"/>
      <c r="D750" s="38" t="n"/>
      <c r="E750" s="48" t="n"/>
      <c r="F750" s="38" t="n"/>
      <c r="G750" s="38" t="n"/>
      <c r="H750" s="38" t="n"/>
      <c r="I750" s="38" t="n"/>
      <c r="J750" s="49">
        <f>IF(B750="","",IFERROR(INDEX('SETTINGS'!$M$5:$M$24,MATCH(B750,'SETTINGS'!$L$5:$L$24,0)),"Yes"))</f>
        <v/>
      </c>
      <c r="K750" s="51">
        <f>IF(A750="","",DATE(YEAR(A750),MONTH(A750),1))</f>
        <v/>
      </c>
    </row>
    <row r="751">
      <c r="A751" s="47" t="n"/>
      <c r="B751" s="38" t="n"/>
      <c r="C751" s="38" t="n"/>
      <c r="D751" s="38" t="n"/>
      <c r="E751" s="48" t="n"/>
      <c r="F751" s="38" t="n"/>
      <c r="G751" s="38" t="n"/>
      <c r="H751" s="38" t="n"/>
      <c r="I751" s="38" t="n"/>
      <c r="J751" s="49">
        <f>IF(B751="","",IFERROR(INDEX('SETTINGS'!$M$5:$M$24,MATCH(B751,'SETTINGS'!$L$5:$L$24,0)),"Yes"))</f>
        <v/>
      </c>
      <c r="K751" s="51">
        <f>IF(A751="","",DATE(YEAR(A751),MONTH(A751),1))</f>
        <v/>
      </c>
    </row>
    <row r="752">
      <c r="A752" s="47" t="n"/>
      <c r="B752" s="38" t="n"/>
      <c r="C752" s="38" t="n"/>
      <c r="D752" s="38" t="n"/>
      <c r="E752" s="48" t="n"/>
      <c r="F752" s="38" t="n"/>
      <c r="G752" s="38" t="n"/>
      <c r="H752" s="38" t="n"/>
      <c r="I752" s="38" t="n"/>
      <c r="J752" s="49">
        <f>IF(B752="","",IFERROR(INDEX('SETTINGS'!$M$5:$M$24,MATCH(B752,'SETTINGS'!$L$5:$L$24,0)),"Yes"))</f>
        <v/>
      </c>
      <c r="K752" s="51">
        <f>IF(A752="","",DATE(YEAR(A752),MONTH(A752),1))</f>
        <v/>
      </c>
    </row>
    <row r="753">
      <c r="A753" s="47" t="n"/>
      <c r="B753" s="38" t="n"/>
      <c r="C753" s="38" t="n"/>
      <c r="D753" s="38" t="n"/>
      <c r="E753" s="48" t="n"/>
      <c r="F753" s="38" t="n"/>
      <c r="G753" s="38" t="n"/>
      <c r="H753" s="38" t="n"/>
      <c r="I753" s="38" t="n"/>
      <c r="J753" s="49">
        <f>IF(B753="","",IFERROR(INDEX('SETTINGS'!$M$5:$M$24,MATCH(B753,'SETTINGS'!$L$5:$L$24,0)),"Yes"))</f>
        <v/>
      </c>
      <c r="K753" s="51">
        <f>IF(A753="","",DATE(YEAR(A753),MONTH(A753),1))</f>
        <v/>
      </c>
    </row>
    <row r="754">
      <c r="A754" s="47" t="n"/>
      <c r="B754" s="38" t="n"/>
      <c r="C754" s="38" t="n"/>
      <c r="D754" s="38" t="n"/>
      <c r="E754" s="48" t="n"/>
      <c r="F754" s="38" t="n"/>
      <c r="G754" s="38" t="n"/>
      <c r="H754" s="38" t="n"/>
      <c r="I754" s="38" t="n"/>
      <c r="J754" s="49">
        <f>IF(B754="","",IFERROR(INDEX('SETTINGS'!$M$5:$M$24,MATCH(B754,'SETTINGS'!$L$5:$L$24,0)),"Yes"))</f>
        <v/>
      </c>
      <c r="K754" s="51">
        <f>IF(A754="","",DATE(YEAR(A754),MONTH(A754),1))</f>
        <v/>
      </c>
    </row>
    <row r="755">
      <c r="A755" s="47" t="n"/>
      <c r="B755" s="38" t="n"/>
      <c r="C755" s="38" t="n"/>
      <c r="D755" s="38" t="n"/>
      <c r="E755" s="48" t="n"/>
      <c r="F755" s="38" t="n"/>
      <c r="G755" s="38" t="n"/>
      <c r="H755" s="38" t="n"/>
      <c r="I755" s="38" t="n"/>
      <c r="J755" s="49">
        <f>IF(B755="","",IFERROR(INDEX('SETTINGS'!$M$5:$M$24,MATCH(B755,'SETTINGS'!$L$5:$L$24,0)),"Yes"))</f>
        <v/>
      </c>
      <c r="K755" s="51">
        <f>IF(A755="","",DATE(YEAR(A755),MONTH(A755),1))</f>
        <v/>
      </c>
    </row>
    <row r="756">
      <c r="A756" s="47" t="n"/>
      <c r="B756" s="38" t="n"/>
      <c r="C756" s="38" t="n"/>
      <c r="D756" s="38" t="n"/>
      <c r="E756" s="48" t="n"/>
      <c r="F756" s="38" t="n"/>
      <c r="G756" s="38" t="n"/>
      <c r="H756" s="38" t="n"/>
      <c r="I756" s="38" t="n"/>
      <c r="J756" s="49">
        <f>IF(B756="","",IFERROR(INDEX('SETTINGS'!$M$5:$M$24,MATCH(B756,'SETTINGS'!$L$5:$L$24,0)),"Yes"))</f>
        <v/>
      </c>
      <c r="K756" s="51">
        <f>IF(A756="","",DATE(YEAR(A756),MONTH(A756),1))</f>
        <v/>
      </c>
    </row>
    <row r="757">
      <c r="A757" s="47" t="n"/>
      <c r="B757" s="38" t="n"/>
      <c r="C757" s="38" t="n"/>
      <c r="D757" s="38" t="n"/>
      <c r="E757" s="48" t="n"/>
      <c r="F757" s="38" t="n"/>
      <c r="G757" s="38" t="n"/>
      <c r="H757" s="38" t="n"/>
      <c r="I757" s="38" t="n"/>
      <c r="J757" s="49">
        <f>IF(B757="","",IFERROR(INDEX('SETTINGS'!$M$5:$M$24,MATCH(B757,'SETTINGS'!$L$5:$L$24,0)),"Yes"))</f>
        <v/>
      </c>
      <c r="K757" s="51">
        <f>IF(A757="","",DATE(YEAR(A757),MONTH(A757),1))</f>
        <v/>
      </c>
    </row>
    <row r="758">
      <c r="A758" s="47" t="n"/>
      <c r="B758" s="38" t="n"/>
      <c r="C758" s="38" t="n"/>
      <c r="D758" s="38" t="n"/>
      <c r="E758" s="48" t="n"/>
      <c r="F758" s="38" t="n"/>
      <c r="G758" s="38" t="n"/>
      <c r="H758" s="38" t="n"/>
      <c r="I758" s="38" t="n"/>
      <c r="J758" s="49">
        <f>IF(B758="","",IFERROR(INDEX('SETTINGS'!$M$5:$M$24,MATCH(B758,'SETTINGS'!$L$5:$L$24,0)),"Yes"))</f>
        <v/>
      </c>
      <c r="K758" s="51">
        <f>IF(A758="","",DATE(YEAR(A758),MONTH(A758),1))</f>
        <v/>
      </c>
    </row>
    <row r="759">
      <c r="A759" s="47" t="n"/>
      <c r="B759" s="38" t="n"/>
      <c r="C759" s="38" t="n"/>
      <c r="D759" s="38" t="n"/>
      <c r="E759" s="48" t="n"/>
      <c r="F759" s="38" t="n"/>
      <c r="G759" s="38" t="n"/>
      <c r="H759" s="38" t="n"/>
      <c r="I759" s="38" t="n"/>
      <c r="J759" s="49">
        <f>IF(B759="","",IFERROR(INDEX('SETTINGS'!$M$5:$M$24,MATCH(B759,'SETTINGS'!$L$5:$L$24,0)),"Yes"))</f>
        <v/>
      </c>
      <c r="K759" s="51">
        <f>IF(A759="","",DATE(YEAR(A759),MONTH(A759),1))</f>
        <v/>
      </c>
    </row>
    <row r="760">
      <c r="A760" s="47" t="n"/>
      <c r="B760" s="38" t="n"/>
      <c r="C760" s="38" t="n"/>
      <c r="D760" s="38" t="n"/>
      <c r="E760" s="48" t="n"/>
      <c r="F760" s="38" t="n"/>
      <c r="G760" s="38" t="n"/>
      <c r="H760" s="38" t="n"/>
      <c r="I760" s="38" t="n"/>
      <c r="J760" s="49">
        <f>IF(B760="","",IFERROR(INDEX('SETTINGS'!$M$5:$M$24,MATCH(B760,'SETTINGS'!$L$5:$L$24,0)),"Yes"))</f>
        <v/>
      </c>
      <c r="K760" s="51">
        <f>IF(A760="","",DATE(YEAR(A760),MONTH(A760),1))</f>
        <v/>
      </c>
    </row>
    <row r="761">
      <c r="A761" s="47" t="n"/>
      <c r="B761" s="38" t="n"/>
      <c r="C761" s="38" t="n"/>
      <c r="D761" s="38" t="n"/>
      <c r="E761" s="48" t="n"/>
      <c r="F761" s="38" t="n"/>
      <c r="G761" s="38" t="n"/>
      <c r="H761" s="38" t="n"/>
      <c r="I761" s="38" t="n"/>
      <c r="J761" s="49">
        <f>IF(B761="","",IFERROR(INDEX('SETTINGS'!$M$5:$M$24,MATCH(B761,'SETTINGS'!$L$5:$L$24,0)),"Yes"))</f>
        <v/>
      </c>
      <c r="K761" s="51">
        <f>IF(A761="","",DATE(YEAR(A761),MONTH(A761),1))</f>
        <v/>
      </c>
    </row>
    <row r="762">
      <c r="A762" s="47" t="n"/>
      <c r="B762" s="38" t="n"/>
      <c r="C762" s="38" t="n"/>
      <c r="D762" s="38" t="n"/>
      <c r="E762" s="48" t="n"/>
      <c r="F762" s="38" t="n"/>
      <c r="G762" s="38" t="n"/>
      <c r="H762" s="38" t="n"/>
      <c r="I762" s="38" t="n"/>
      <c r="J762" s="49">
        <f>IF(B762="","",IFERROR(INDEX('SETTINGS'!$M$5:$M$24,MATCH(B762,'SETTINGS'!$L$5:$L$24,0)),"Yes"))</f>
        <v/>
      </c>
      <c r="K762" s="51">
        <f>IF(A762="","",DATE(YEAR(A762),MONTH(A762),1))</f>
        <v/>
      </c>
    </row>
    <row r="763">
      <c r="A763" s="47" t="n"/>
      <c r="B763" s="38" t="n"/>
      <c r="C763" s="38" t="n"/>
      <c r="D763" s="38" t="n"/>
      <c r="E763" s="48" t="n"/>
      <c r="F763" s="38" t="n"/>
      <c r="G763" s="38" t="n"/>
      <c r="H763" s="38" t="n"/>
      <c r="I763" s="38" t="n"/>
      <c r="J763" s="49">
        <f>IF(B763="","",IFERROR(INDEX('SETTINGS'!$M$5:$M$24,MATCH(B763,'SETTINGS'!$L$5:$L$24,0)),"Yes"))</f>
        <v/>
      </c>
      <c r="K763" s="51">
        <f>IF(A763="","",DATE(YEAR(A763),MONTH(A763),1))</f>
        <v/>
      </c>
    </row>
    <row r="764">
      <c r="A764" s="47" t="n"/>
      <c r="B764" s="38" t="n"/>
      <c r="C764" s="38" t="n"/>
      <c r="D764" s="38" t="n"/>
      <c r="E764" s="48" t="n"/>
      <c r="F764" s="38" t="n"/>
      <c r="G764" s="38" t="n"/>
      <c r="H764" s="38" t="n"/>
      <c r="I764" s="38" t="n"/>
      <c r="J764" s="49">
        <f>IF(B764="","",IFERROR(INDEX('SETTINGS'!$M$5:$M$24,MATCH(B764,'SETTINGS'!$L$5:$L$24,0)),"Yes"))</f>
        <v/>
      </c>
      <c r="K764" s="51">
        <f>IF(A764="","",DATE(YEAR(A764),MONTH(A764),1))</f>
        <v/>
      </c>
    </row>
    <row r="765">
      <c r="A765" s="47" t="n"/>
      <c r="B765" s="38" t="n"/>
      <c r="C765" s="38" t="n"/>
      <c r="D765" s="38" t="n"/>
      <c r="E765" s="48" t="n"/>
      <c r="F765" s="38" t="n"/>
      <c r="G765" s="38" t="n"/>
      <c r="H765" s="38" t="n"/>
      <c r="I765" s="38" t="n"/>
      <c r="J765" s="49">
        <f>IF(B765="","",IFERROR(INDEX('SETTINGS'!$M$5:$M$24,MATCH(B765,'SETTINGS'!$L$5:$L$24,0)),"Yes"))</f>
        <v/>
      </c>
      <c r="K765" s="51">
        <f>IF(A765="","",DATE(YEAR(A765),MONTH(A765),1))</f>
        <v/>
      </c>
    </row>
    <row r="766">
      <c r="A766" s="47" t="n"/>
      <c r="B766" s="38" t="n"/>
      <c r="C766" s="38" t="n"/>
      <c r="D766" s="38" t="n"/>
      <c r="E766" s="48" t="n"/>
      <c r="F766" s="38" t="n"/>
      <c r="G766" s="38" t="n"/>
      <c r="H766" s="38" t="n"/>
      <c r="I766" s="38" t="n"/>
      <c r="J766" s="49">
        <f>IF(B766="","",IFERROR(INDEX('SETTINGS'!$M$5:$M$24,MATCH(B766,'SETTINGS'!$L$5:$L$24,0)),"Yes"))</f>
        <v/>
      </c>
      <c r="K766" s="51">
        <f>IF(A766="","",DATE(YEAR(A766),MONTH(A766),1))</f>
        <v/>
      </c>
    </row>
    <row r="767">
      <c r="A767" s="47" t="n"/>
      <c r="B767" s="38" t="n"/>
      <c r="C767" s="38" t="n"/>
      <c r="D767" s="38" t="n"/>
      <c r="E767" s="48" t="n"/>
      <c r="F767" s="38" t="n"/>
      <c r="G767" s="38" t="n"/>
      <c r="H767" s="38" t="n"/>
      <c r="I767" s="38" t="n"/>
      <c r="J767" s="49">
        <f>IF(B767="","",IFERROR(INDEX('SETTINGS'!$M$5:$M$24,MATCH(B767,'SETTINGS'!$L$5:$L$24,0)),"Yes"))</f>
        <v/>
      </c>
      <c r="K767" s="51">
        <f>IF(A767="","",DATE(YEAR(A767),MONTH(A767),1))</f>
        <v/>
      </c>
    </row>
    <row r="768">
      <c r="A768" s="47" t="n"/>
      <c r="B768" s="38" t="n"/>
      <c r="C768" s="38" t="n"/>
      <c r="D768" s="38" t="n"/>
      <c r="E768" s="48" t="n"/>
      <c r="F768" s="38" t="n"/>
      <c r="G768" s="38" t="n"/>
      <c r="H768" s="38" t="n"/>
      <c r="I768" s="38" t="n"/>
      <c r="J768" s="49">
        <f>IF(B768="","",IFERROR(INDEX('SETTINGS'!$M$5:$M$24,MATCH(B768,'SETTINGS'!$L$5:$L$24,0)),"Yes"))</f>
        <v/>
      </c>
      <c r="K768" s="51">
        <f>IF(A768="","",DATE(YEAR(A768),MONTH(A768),1))</f>
        <v/>
      </c>
    </row>
    <row r="769">
      <c r="A769" s="47" t="n"/>
      <c r="B769" s="38" t="n"/>
      <c r="C769" s="38" t="n"/>
      <c r="D769" s="38" t="n"/>
      <c r="E769" s="48" t="n"/>
      <c r="F769" s="38" t="n"/>
      <c r="G769" s="38" t="n"/>
      <c r="H769" s="38" t="n"/>
      <c r="I769" s="38" t="n"/>
      <c r="J769" s="49">
        <f>IF(B769="","",IFERROR(INDEX('SETTINGS'!$M$5:$M$24,MATCH(B769,'SETTINGS'!$L$5:$L$24,0)),"Yes"))</f>
        <v/>
      </c>
      <c r="K769" s="51">
        <f>IF(A769="","",DATE(YEAR(A769),MONTH(A769),1))</f>
        <v/>
      </c>
    </row>
    <row r="770">
      <c r="A770" s="47" t="n"/>
      <c r="B770" s="38" t="n"/>
      <c r="C770" s="38" t="n"/>
      <c r="D770" s="38" t="n"/>
      <c r="E770" s="48" t="n"/>
      <c r="F770" s="38" t="n"/>
      <c r="G770" s="38" t="n"/>
      <c r="H770" s="38" t="n"/>
      <c r="I770" s="38" t="n"/>
      <c r="J770" s="49">
        <f>IF(B770="","",IFERROR(INDEX('SETTINGS'!$M$5:$M$24,MATCH(B770,'SETTINGS'!$L$5:$L$24,0)),"Yes"))</f>
        <v/>
      </c>
      <c r="K770" s="51">
        <f>IF(A770="","",DATE(YEAR(A770),MONTH(A770),1))</f>
        <v/>
      </c>
    </row>
    <row r="771">
      <c r="A771" s="47" t="n"/>
      <c r="B771" s="38" t="n"/>
      <c r="C771" s="38" t="n"/>
      <c r="D771" s="38" t="n"/>
      <c r="E771" s="48" t="n"/>
      <c r="F771" s="38" t="n"/>
      <c r="G771" s="38" t="n"/>
      <c r="H771" s="38" t="n"/>
      <c r="I771" s="38" t="n"/>
      <c r="J771" s="49">
        <f>IF(B771="","",IFERROR(INDEX('SETTINGS'!$M$5:$M$24,MATCH(B771,'SETTINGS'!$L$5:$L$24,0)),"Yes"))</f>
        <v/>
      </c>
      <c r="K771" s="51">
        <f>IF(A771="","",DATE(YEAR(A771),MONTH(A771),1))</f>
        <v/>
      </c>
    </row>
    <row r="772">
      <c r="A772" s="47" t="n"/>
      <c r="B772" s="38" t="n"/>
      <c r="C772" s="38" t="n"/>
      <c r="D772" s="38" t="n"/>
      <c r="E772" s="48" t="n"/>
      <c r="F772" s="38" t="n"/>
      <c r="G772" s="38" t="n"/>
      <c r="H772" s="38" t="n"/>
      <c r="I772" s="38" t="n"/>
      <c r="J772" s="49">
        <f>IF(B772="","",IFERROR(INDEX('SETTINGS'!$M$5:$M$24,MATCH(B772,'SETTINGS'!$L$5:$L$24,0)),"Yes"))</f>
        <v/>
      </c>
      <c r="K772" s="51">
        <f>IF(A772="","",DATE(YEAR(A772),MONTH(A772),1))</f>
        <v/>
      </c>
    </row>
    <row r="773">
      <c r="A773" s="47" t="n"/>
      <c r="B773" s="38" t="n"/>
      <c r="C773" s="38" t="n"/>
      <c r="D773" s="38" t="n"/>
      <c r="E773" s="48" t="n"/>
      <c r="F773" s="38" t="n"/>
      <c r="G773" s="38" t="n"/>
      <c r="H773" s="38" t="n"/>
      <c r="I773" s="38" t="n"/>
      <c r="J773" s="49">
        <f>IF(B773="","",IFERROR(INDEX('SETTINGS'!$M$5:$M$24,MATCH(B773,'SETTINGS'!$L$5:$L$24,0)),"Yes"))</f>
        <v/>
      </c>
      <c r="K773" s="51">
        <f>IF(A773="","",DATE(YEAR(A773),MONTH(A773),1))</f>
        <v/>
      </c>
    </row>
    <row r="774">
      <c r="A774" s="47" t="n"/>
      <c r="B774" s="38" t="n"/>
      <c r="C774" s="38" t="n"/>
      <c r="D774" s="38" t="n"/>
      <c r="E774" s="48" t="n"/>
      <c r="F774" s="38" t="n"/>
      <c r="G774" s="38" t="n"/>
      <c r="H774" s="38" t="n"/>
      <c r="I774" s="38" t="n"/>
      <c r="J774" s="49">
        <f>IF(B774="","",IFERROR(INDEX('SETTINGS'!$M$5:$M$24,MATCH(B774,'SETTINGS'!$L$5:$L$24,0)),"Yes"))</f>
        <v/>
      </c>
      <c r="K774" s="51">
        <f>IF(A774="","",DATE(YEAR(A774),MONTH(A774),1))</f>
        <v/>
      </c>
    </row>
    <row r="775">
      <c r="A775" s="47" t="n"/>
      <c r="B775" s="38" t="n"/>
      <c r="C775" s="38" t="n"/>
      <c r="D775" s="38" t="n"/>
      <c r="E775" s="48" t="n"/>
      <c r="F775" s="38" t="n"/>
      <c r="G775" s="38" t="n"/>
      <c r="H775" s="38" t="n"/>
      <c r="I775" s="38" t="n"/>
      <c r="J775" s="49">
        <f>IF(B775="","",IFERROR(INDEX('SETTINGS'!$M$5:$M$24,MATCH(B775,'SETTINGS'!$L$5:$L$24,0)),"Yes"))</f>
        <v/>
      </c>
      <c r="K775" s="51">
        <f>IF(A775="","",DATE(YEAR(A775),MONTH(A775),1))</f>
        <v/>
      </c>
    </row>
    <row r="776">
      <c r="A776" s="47" t="n"/>
      <c r="B776" s="38" t="n"/>
      <c r="C776" s="38" t="n"/>
      <c r="D776" s="38" t="n"/>
      <c r="E776" s="48" t="n"/>
      <c r="F776" s="38" t="n"/>
      <c r="G776" s="38" t="n"/>
      <c r="H776" s="38" t="n"/>
      <c r="I776" s="38" t="n"/>
      <c r="J776" s="49">
        <f>IF(B776="","",IFERROR(INDEX('SETTINGS'!$M$5:$M$24,MATCH(B776,'SETTINGS'!$L$5:$L$24,0)),"Yes"))</f>
        <v/>
      </c>
      <c r="K776" s="51">
        <f>IF(A776="","",DATE(YEAR(A776),MONTH(A776),1))</f>
        <v/>
      </c>
    </row>
    <row r="777">
      <c r="A777" s="47" t="n"/>
      <c r="B777" s="38" t="n"/>
      <c r="C777" s="38" t="n"/>
      <c r="D777" s="38" t="n"/>
      <c r="E777" s="48" t="n"/>
      <c r="F777" s="38" t="n"/>
      <c r="G777" s="38" t="n"/>
      <c r="H777" s="38" t="n"/>
      <c r="I777" s="38" t="n"/>
      <c r="J777" s="49">
        <f>IF(B777="","",IFERROR(INDEX('SETTINGS'!$M$5:$M$24,MATCH(B777,'SETTINGS'!$L$5:$L$24,0)),"Yes"))</f>
        <v/>
      </c>
      <c r="K777" s="51">
        <f>IF(A777="","",DATE(YEAR(A777),MONTH(A777),1))</f>
        <v/>
      </c>
    </row>
    <row r="778">
      <c r="A778" s="47" t="n"/>
      <c r="B778" s="38" t="n"/>
      <c r="C778" s="38" t="n"/>
      <c r="D778" s="38" t="n"/>
      <c r="E778" s="48" t="n"/>
      <c r="F778" s="38" t="n"/>
      <c r="G778" s="38" t="n"/>
      <c r="H778" s="38" t="n"/>
      <c r="I778" s="38" t="n"/>
      <c r="J778" s="49">
        <f>IF(B778="","",IFERROR(INDEX('SETTINGS'!$M$5:$M$24,MATCH(B778,'SETTINGS'!$L$5:$L$24,0)),"Yes"))</f>
        <v/>
      </c>
      <c r="K778" s="51">
        <f>IF(A778="","",DATE(YEAR(A778),MONTH(A778),1))</f>
        <v/>
      </c>
    </row>
    <row r="779">
      <c r="A779" s="47" t="n"/>
      <c r="B779" s="38" t="n"/>
      <c r="C779" s="38" t="n"/>
      <c r="D779" s="38" t="n"/>
      <c r="E779" s="48" t="n"/>
      <c r="F779" s="38" t="n"/>
      <c r="G779" s="38" t="n"/>
      <c r="H779" s="38" t="n"/>
      <c r="I779" s="38" t="n"/>
      <c r="J779" s="49">
        <f>IF(B779="","",IFERROR(INDEX('SETTINGS'!$M$5:$M$24,MATCH(B779,'SETTINGS'!$L$5:$L$24,0)),"Yes"))</f>
        <v/>
      </c>
      <c r="K779" s="51">
        <f>IF(A779="","",DATE(YEAR(A779),MONTH(A779),1))</f>
        <v/>
      </c>
    </row>
    <row r="780">
      <c r="A780" s="47" t="n"/>
      <c r="B780" s="38" t="n"/>
      <c r="C780" s="38" t="n"/>
      <c r="D780" s="38" t="n"/>
      <c r="E780" s="48" t="n"/>
      <c r="F780" s="38" t="n"/>
      <c r="G780" s="38" t="n"/>
      <c r="H780" s="38" t="n"/>
      <c r="I780" s="38" t="n"/>
      <c r="J780" s="49">
        <f>IF(B780="","",IFERROR(INDEX('SETTINGS'!$M$5:$M$24,MATCH(B780,'SETTINGS'!$L$5:$L$24,0)),"Yes"))</f>
        <v/>
      </c>
      <c r="K780" s="51">
        <f>IF(A780="","",DATE(YEAR(A780),MONTH(A780),1))</f>
        <v/>
      </c>
    </row>
    <row r="781">
      <c r="A781" s="47" t="n"/>
      <c r="B781" s="38" t="n"/>
      <c r="C781" s="38" t="n"/>
      <c r="D781" s="38" t="n"/>
      <c r="E781" s="48" t="n"/>
      <c r="F781" s="38" t="n"/>
      <c r="G781" s="38" t="n"/>
      <c r="H781" s="38" t="n"/>
      <c r="I781" s="38" t="n"/>
      <c r="J781" s="49">
        <f>IF(B781="","",IFERROR(INDEX('SETTINGS'!$M$5:$M$24,MATCH(B781,'SETTINGS'!$L$5:$L$24,0)),"Yes"))</f>
        <v/>
      </c>
      <c r="K781" s="51">
        <f>IF(A781="","",DATE(YEAR(A781),MONTH(A781),1))</f>
        <v/>
      </c>
    </row>
    <row r="782">
      <c r="A782" s="47" t="n"/>
      <c r="B782" s="38" t="n"/>
      <c r="C782" s="38" t="n"/>
      <c r="D782" s="38" t="n"/>
      <c r="E782" s="48" t="n"/>
      <c r="F782" s="38" t="n"/>
      <c r="G782" s="38" t="n"/>
      <c r="H782" s="38" t="n"/>
      <c r="I782" s="38" t="n"/>
      <c r="J782" s="49">
        <f>IF(B782="","",IFERROR(INDEX('SETTINGS'!$M$5:$M$24,MATCH(B782,'SETTINGS'!$L$5:$L$24,0)),"Yes"))</f>
        <v/>
      </c>
      <c r="K782" s="51">
        <f>IF(A782="","",DATE(YEAR(A782),MONTH(A782),1))</f>
        <v/>
      </c>
    </row>
    <row r="783">
      <c r="A783" s="47" t="n"/>
      <c r="B783" s="38" t="n"/>
      <c r="C783" s="38" t="n"/>
      <c r="D783" s="38" t="n"/>
      <c r="E783" s="48" t="n"/>
      <c r="F783" s="38" t="n"/>
      <c r="G783" s="38" t="n"/>
      <c r="H783" s="38" t="n"/>
      <c r="I783" s="38" t="n"/>
      <c r="J783" s="49">
        <f>IF(B783="","",IFERROR(INDEX('SETTINGS'!$M$5:$M$24,MATCH(B783,'SETTINGS'!$L$5:$L$24,0)),"Yes"))</f>
        <v/>
      </c>
      <c r="K783" s="51">
        <f>IF(A783="","",DATE(YEAR(A783),MONTH(A783),1))</f>
        <v/>
      </c>
    </row>
    <row r="784">
      <c r="A784" s="47" t="n"/>
      <c r="B784" s="38" t="n"/>
      <c r="C784" s="38" t="n"/>
      <c r="D784" s="38" t="n"/>
      <c r="E784" s="48" t="n"/>
      <c r="F784" s="38" t="n"/>
      <c r="G784" s="38" t="n"/>
      <c r="H784" s="38" t="n"/>
      <c r="I784" s="38" t="n"/>
      <c r="J784" s="49">
        <f>IF(B784="","",IFERROR(INDEX('SETTINGS'!$M$5:$M$24,MATCH(B784,'SETTINGS'!$L$5:$L$24,0)),"Yes"))</f>
        <v/>
      </c>
      <c r="K784" s="51">
        <f>IF(A784="","",DATE(YEAR(A784),MONTH(A784),1))</f>
        <v/>
      </c>
    </row>
    <row r="785">
      <c r="A785" s="47" t="n"/>
      <c r="B785" s="38" t="n"/>
      <c r="C785" s="38" t="n"/>
      <c r="D785" s="38" t="n"/>
      <c r="E785" s="48" t="n"/>
      <c r="F785" s="38" t="n"/>
      <c r="G785" s="38" t="n"/>
      <c r="H785" s="38" t="n"/>
      <c r="I785" s="38" t="n"/>
      <c r="J785" s="49">
        <f>IF(B785="","",IFERROR(INDEX('SETTINGS'!$M$5:$M$24,MATCH(B785,'SETTINGS'!$L$5:$L$24,0)),"Yes"))</f>
        <v/>
      </c>
      <c r="K785" s="51">
        <f>IF(A785="","",DATE(YEAR(A785),MONTH(A785),1))</f>
        <v/>
      </c>
    </row>
    <row r="786">
      <c r="A786" s="47" t="n"/>
      <c r="B786" s="38" t="n"/>
      <c r="C786" s="38" t="n"/>
      <c r="D786" s="38" t="n"/>
      <c r="E786" s="48" t="n"/>
      <c r="F786" s="38" t="n"/>
      <c r="G786" s="38" t="n"/>
      <c r="H786" s="38" t="n"/>
      <c r="I786" s="38" t="n"/>
      <c r="J786" s="49">
        <f>IF(B786="","",IFERROR(INDEX('SETTINGS'!$M$5:$M$24,MATCH(B786,'SETTINGS'!$L$5:$L$24,0)),"Yes"))</f>
        <v/>
      </c>
      <c r="K786" s="51">
        <f>IF(A786="","",DATE(YEAR(A786),MONTH(A786),1))</f>
        <v/>
      </c>
    </row>
    <row r="787">
      <c r="A787" s="47" t="n"/>
      <c r="B787" s="38" t="n"/>
      <c r="C787" s="38" t="n"/>
      <c r="D787" s="38" t="n"/>
      <c r="E787" s="48" t="n"/>
      <c r="F787" s="38" t="n"/>
      <c r="G787" s="38" t="n"/>
      <c r="H787" s="38" t="n"/>
      <c r="I787" s="38" t="n"/>
      <c r="J787" s="49">
        <f>IF(B787="","",IFERROR(INDEX('SETTINGS'!$M$5:$M$24,MATCH(B787,'SETTINGS'!$L$5:$L$24,0)),"Yes"))</f>
        <v/>
      </c>
      <c r="K787" s="51">
        <f>IF(A787="","",DATE(YEAR(A787),MONTH(A787),1))</f>
        <v/>
      </c>
    </row>
    <row r="788">
      <c r="A788" s="47" t="n"/>
      <c r="B788" s="38" t="n"/>
      <c r="C788" s="38" t="n"/>
      <c r="D788" s="38" t="n"/>
      <c r="E788" s="48" t="n"/>
      <c r="F788" s="38" t="n"/>
      <c r="G788" s="38" t="n"/>
      <c r="H788" s="38" t="n"/>
      <c r="I788" s="38" t="n"/>
      <c r="J788" s="49">
        <f>IF(B788="","",IFERROR(INDEX('SETTINGS'!$M$5:$M$24,MATCH(B788,'SETTINGS'!$L$5:$L$24,0)),"Yes"))</f>
        <v/>
      </c>
      <c r="K788" s="51">
        <f>IF(A788="","",DATE(YEAR(A788),MONTH(A788),1))</f>
        <v/>
      </c>
    </row>
    <row r="789">
      <c r="A789" s="47" t="n"/>
      <c r="B789" s="38" t="n"/>
      <c r="C789" s="38" t="n"/>
      <c r="D789" s="38" t="n"/>
      <c r="E789" s="48" t="n"/>
      <c r="F789" s="38" t="n"/>
      <c r="G789" s="38" t="n"/>
      <c r="H789" s="38" t="n"/>
      <c r="I789" s="38" t="n"/>
      <c r="J789" s="49">
        <f>IF(B789="","",IFERROR(INDEX('SETTINGS'!$M$5:$M$24,MATCH(B789,'SETTINGS'!$L$5:$L$24,0)),"Yes"))</f>
        <v/>
      </c>
      <c r="K789" s="51">
        <f>IF(A789="","",DATE(YEAR(A789),MONTH(A789),1))</f>
        <v/>
      </c>
    </row>
    <row r="790">
      <c r="A790" s="47" t="n"/>
      <c r="B790" s="38" t="n"/>
      <c r="C790" s="38" t="n"/>
      <c r="D790" s="38" t="n"/>
      <c r="E790" s="48" t="n"/>
      <c r="F790" s="38" t="n"/>
      <c r="G790" s="38" t="n"/>
      <c r="H790" s="38" t="n"/>
      <c r="I790" s="38" t="n"/>
      <c r="J790" s="49">
        <f>IF(B790="","",IFERROR(INDEX('SETTINGS'!$M$5:$M$24,MATCH(B790,'SETTINGS'!$L$5:$L$24,0)),"Yes"))</f>
        <v/>
      </c>
      <c r="K790" s="51">
        <f>IF(A790="","",DATE(YEAR(A790),MONTH(A790),1))</f>
        <v/>
      </c>
    </row>
    <row r="791">
      <c r="A791" s="47" t="n"/>
      <c r="B791" s="38" t="n"/>
      <c r="C791" s="38" t="n"/>
      <c r="D791" s="38" t="n"/>
      <c r="E791" s="48" t="n"/>
      <c r="F791" s="38" t="n"/>
      <c r="G791" s="38" t="n"/>
      <c r="H791" s="38" t="n"/>
      <c r="I791" s="38" t="n"/>
      <c r="J791" s="49">
        <f>IF(B791="","",IFERROR(INDEX('SETTINGS'!$M$5:$M$24,MATCH(B791,'SETTINGS'!$L$5:$L$24,0)),"Yes"))</f>
        <v/>
      </c>
      <c r="K791" s="51">
        <f>IF(A791="","",DATE(YEAR(A791),MONTH(A791),1))</f>
        <v/>
      </c>
    </row>
    <row r="792">
      <c r="A792" s="47" t="n"/>
      <c r="B792" s="38" t="n"/>
      <c r="C792" s="38" t="n"/>
      <c r="D792" s="38" t="n"/>
      <c r="E792" s="48" t="n"/>
      <c r="F792" s="38" t="n"/>
      <c r="G792" s="38" t="n"/>
      <c r="H792" s="38" t="n"/>
      <c r="I792" s="38" t="n"/>
      <c r="J792" s="49">
        <f>IF(B792="","",IFERROR(INDEX('SETTINGS'!$M$5:$M$24,MATCH(B792,'SETTINGS'!$L$5:$L$24,0)),"Yes"))</f>
        <v/>
      </c>
      <c r="K792" s="51">
        <f>IF(A792="","",DATE(YEAR(A792),MONTH(A792),1))</f>
        <v/>
      </c>
    </row>
    <row r="793">
      <c r="A793" s="47" t="n"/>
      <c r="B793" s="38" t="n"/>
      <c r="C793" s="38" t="n"/>
      <c r="D793" s="38" t="n"/>
      <c r="E793" s="48" t="n"/>
      <c r="F793" s="38" t="n"/>
      <c r="G793" s="38" t="n"/>
      <c r="H793" s="38" t="n"/>
      <c r="I793" s="38" t="n"/>
      <c r="J793" s="49">
        <f>IF(B793="","",IFERROR(INDEX('SETTINGS'!$M$5:$M$24,MATCH(B793,'SETTINGS'!$L$5:$L$24,0)),"Yes"))</f>
        <v/>
      </c>
      <c r="K793" s="51">
        <f>IF(A793="","",DATE(YEAR(A793),MONTH(A793),1))</f>
        <v/>
      </c>
    </row>
    <row r="794">
      <c r="A794" s="47" t="n"/>
      <c r="B794" s="38" t="n"/>
      <c r="C794" s="38" t="n"/>
      <c r="D794" s="38" t="n"/>
      <c r="E794" s="48" t="n"/>
      <c r="F794" s="38" t="n"/>
      <c r="G794" s="38" t="n"/>
      <c r="H794" s="38" t="n"/>
      <c r="I794" s="38" t="n"/>
      <c r="J794" s="49">
        <f>IF(B794="","",IFERROR(INDEX('SETTINGS'!$M$5:$M$24,MATCH(B794,'SETTINGS'!$L$5:$L$24,0)),"Yes"))</f>
        <v/>
      </c>
      <c r="K794" s="51">
        <f>IF(A794="","",DATE(YEAR(A794),MONTH(A794),1))</f>
        <v/>
      </c>
    </row>
    <row r="795">
      <c r="A795" s="47" t="n"/>
      <c r="B795" s="38" t="n"/>
      <c r="C795" s="38" t="n"/>
      <c r="D795" s="38" t="n"/>
      <c r="E795" s="48" t="n"/>
      <c r="F795" s="38" t="n"/>
      <c r="G795" s="38" t="n"/>
      <c r="H795" s="38" t="n"/>
      <c r="I795" s="38" t="n"/>
      <c r="J795" s="49">
        <f>IF(B795="","",IFERROR(INDEX('SETTINGS'!$M$5:$M$24,MATCH(B795,'SETTINGS'!$L$5:$L$24,0)),"Yes"))</f>
        <v/>
      </c>
      <c r="K795" s="51">
        <f>IF(A795="","",DATE(YEAR(A795),MONTH(A795),1))</f>
        <v/>
      </c>
    </row>
    <row r="796">
      <c r="A796" s="47" t="n"/>
      <c r="B796" s="38" t="n"/>
      <c r="C796" s="38" t="n"/>
      <c r="D796" s="38" t="n"/>
      <c r="E796" s="48" t="n"/>
      <c r="F796" s="38" t="n"/>
      <c r="G796" s="38" t="n"/>
      <c r="H796" s="38" t="n"/>
      <c r="I796" s="38" t="n"/>
      <c r="J796" s="49">
        <f>IF(B796="","",IFERROR(INDEX('SETTINGS'!$M$5:$M$24,MATCH(B796,'SETTINGS'!$L$5:$L$24,0)),"Yes"))</f>
        <v/>
      </c>
      <c r="K796" s="51">
        <f>IF(A796="","",DATE(YEAR(A796),MONTH(A796),1))</f>
        <v/>
      </c>
    </row>
    <row r="797">
      <c r="A797" s="47" t="n"/>
      <c r="B797" s="38" t="n"/>
      <c r="C797" s="38" t="n"/>
      <c r="D797" s="38" t="n"/>
      <c r="E797" s="48" t="n"/>
      <c r="F797" s="38" t="n"/>
      <c r="G797" s="38" t="n"/>
      <c r="H797" s="38" t="n"/>
      <c r="I797" s="38" t="n"/>
      <c r="J797" s="49">
        <f>IF(B797="","",IFERROR(INDEX('SETTINGS'!$M$5:$M$24,MATCH(B797,'SETTINGS'!$L$5:$L$24,0)),"Yes"))</f>
        <v/>
      </c>
      <c r="K797" s="51">
        <f>IF(A797="","",DATE(YEAR(A797),MONTH(A797),1))</f>
        <v/>
      </c>
    </row>
    <row r="798">
      <c r="A798" s="47" t="n"/>
      <c r="B798" s="38" t="n"/>
      <c r="C798" s="38" t="n"/>
      <c r="D798" s="38" t="n"/>
      <c r="E798" s="48" t="n"/>
      <c r="F798" s="38" t="n"/>
      <c r="G798" s="38" t="n"/>
      <c r="H798" s="38" t="n"/>
      <c r="I798" s="38" t="n"/>
      <c r="J798" s="49">
        <f>IF(B798="","",IFERROR(INDEX('SETTINGS'!$M$5:$M$24,MATCH(B798,'SETTINGS'!$L$5:$L$24,0)),"Yes"))</f>
        <v/>
      </c>
      <c r="K798" s="51">
        <f>IF(A798="","",DATE(YEAR(A798),MONTH(A798),1))</f>
        <v/>
      </c>
    </row>
    <row r="799">
      <c r="A799" s="47" t="n"/>
      <c r="B799" s="38" t="n"/>
      <c r="C799" s="38" t="n"/>
      <c r="D799" s="38" t="n"/>
      <c r="E799" s="48" t="n"/>
      <c r="F799" s="38" t="n"/>
      <c r="G799" s="38" t="n"/>
      <c r="H799" s="38" t="n"/>
      <c r="I799" s="38" t="n"/>
      <c r="J799" s="49">
        <f>IF(B799="","",IFERROR(INDEX('SETTINGS'!$M$5:$M$24,MATCH(B799,'SETTINGS'!$L$5:$L$24,0)),"Yes"))</f>
        <v/>
      </c>
      <c r="K799" s="51">
        <f>IF(A799="","",DATE(YEAR(A799),MONTH(A799),1))</f>
        <v/>
      </c>
    </row>
    <row r="800">
      <c r="A800" s="47" t="n"/>
      <c r="B800" s="38" t="n"/>
      <c r="C800" s="38" t="n"/>
      <c r="D800" s="38" t="n"/>
      <c r="E800" s="48" t="n"/>
      <c r="F800" s="38" t="n"/>
      <c r="G800" s="38" t="n"/>
      <c r="H800" s="38" t="n"/>
      <c r="I800" s="38" t="n"/>
      <c r="J800" s="49">
        <f>IF(B800="","",IFERROR(INDEX('SETTINGS'!$M$5:$M$24,MATCH(B800,'SETTINGS'!$L$5:$L$24,0)),"Yes"))</f>
        <v/>
      </c>
      <c r="K800" s="51">
        <f>IF(A800="","",DATE(YEAR(A800),MONTH(A800),1))</f>
        <v/>
      </c>
    </row>
    <row r="801">
      <c r="A801" s="47" t="n"/>
      <c r="B801" s="38" t="n"/>
      <c r="C801" s="38" t="n"/>
      <c r="D801" s="38" t="n"/>
      <c r="E801" s="48" t="n"/>
      <c r="F801" s="38" t="n"/>
      <c r="G801" s="38" t="n"/>
      <c r="H801" s="38" t="n"/>
      <c r="I801" s="38" t="n"/>
      <c r="J801" s="49">
        <f>IF(B801="","",IFERROR(INDEX('SETTINGS'!$M$5:$M$24,MATCH(B801,'SETTINGS'!$L$5:$L$24,0)),"Yes"))</f>
        <v/>
      </c>
      <c r="K801" s="51">
        <f>IF(A801="","",DATE(YEAR(A801),MONTH(A801),1))</f>
        <v/>
      </c>
    </row>
    <row r="802">
      <c r="A802" s="47" t="n"/>
      <c r="B802" s="38" t="n"/>
      <c r="C802" s="38" t="n"/>
      <c r="D802" s="38" t="n"/>
      <c r="E802" s="48" t="n"/>
      <c r="F802" s="38" t="n"/>
      <c r="G802" s="38" t="n"/>
      <c r="H802" s="38" t="n"/>
      <c r="I802" s="38" t="n"/>
      <c r="J802" s="49">
        <f>IF(B802="","",IFERROR(INDEX('SETTINGS'!$M$5:$M$24,MATCH(B802,'SETTINGS'!$L$5:$L$24,0)),"Yes"))</f>
        <v/>
      </c>
      <c r="K802" s="51">
        <f>IF(A802="","",DATE(YEAR(A802),MONTH(A802),1))</f>
        <v/>
      </c>
    </row>
    <row r="803">
      <c r="A803" s="47" t="n"/>
      <c r="B803" s="38" t="n"/>
      <c r="C803" s="38" t="n"/>
      <c r="D803" s="38" t="n"/>
      <c r="E803" s="48" t="n"/>
      <c r="F803" s="38" t="n"/>
      <c r="G803" s="38" t="n"/>
      <c r="H803" s="38" t="n"/>
      <c r="I803" s="38" t="n"/>
      <c r="J803" s="49">
        <f>IF(B803="","",IFERROR(INDEX('SETTINGS'!$M$5:$M$24,MATCH(B803,'SETTINGS'!$L$5:$L$24,0)),"Yes"))</f>
        <v/>
      </c>
      <c r="K803" s="51">
        <f>IF(A803="","",DATE(YEAR(A803),MONTH(A803),1))</f>
        <v/>
      </c>
    </row>
    <row r="804">
      <c r="A804" s="47" t="n"/>
      <c r="B804" s="38" t="n"/>
      <c r="C804" s="38" t="n"/>
      <c r="D804" s="38" t="n"/>
      <c r="E804" s="48" t="n"/>
      <c r="F804" s="38" t="n"/>
      <c r="G804" s="38" t="n"/>
      <c r="H804" s="38" t="n"/>
      <c r="I804" s="38" t="n"/>
      <c r="J804" s="49">
        <f>IF(B804="","",IFERROR(INDEX('SETTINGS'!$M$5:$M$24,MATCH(B804,'SETTINGS'!$L$5:$L$24,0)),"Yes"))</f>
        <v/>
      </c>
      <c r="K804" s="51">
        <f>IF(A804="","",DATE(YEAR(A804),MONTH(A804),1))</f>
        <v/>
      </c>
    </row>
    <row r="805">
      <c r="A805" s="47" t="n"/>
      <c r="B805" s="38" t="n"/>
      <c r="C805" s="38" t="n"/>
      <c r="D805" s="38" t="n"/>
      <c r="E805" s="48" t="n"/>
      <c r="F805" s="38" t="n"/>
      <c r="G805" s="38" t="n"/>
      <c r="H805" s="38" t="n"/>
      <c r="I805" s="38" t="n"/>
      <c r="J805" s="49">
        <f>IF(B805="","",IFERROR(INDEX('SETTINGS'!$M$5:$M$24,MATCH(B805,'SETTINGS'!$L$5:$L$24,0)),"Yes"))</f>
        <v/>
      </c>
      <c r="K805" s="51">
        <f>IF(A805="","",DATE(YEAR(A805),MONTH(A805),1))</f>
        <v/>
      </c>
    </row>
    <row r="806">
      <c r="A806" s="47" t="n"/>
      <c r="B806" s="38" t="n"/>
      <c r="C806" s="38" t="n"/>
      <c r="D806" s="38" t="n"/>
      <c r="E806" s="48" t="n"/>
      <c r="F806" s="38" t="n"/>
      <c r="G806" s="38" t="n"/>
      <c r="H806" s="38" t="n"/>
      <c r="I806" s="38" t="n"/>
      <c r="J806" s="49">
        <f>IF(B806="","",IFERROR(INDEX('SETTINGS'!$M$5:$M$24,MATCH(B806,'SETTINGS'!$L$5:$L$24,0)),"Yes"))</f>
        <v/>
      </c>
      <c r="K806" s="51">
        <f>IF(A806="","",DATE(YEAR(A806),MONTH(A806),1))</f>
        <v/>
      </c>
    </row>
    <row r="807">
      <c r="A807" s="47" t="n"/>
      <c r="B807" s="38" t="n"/>
      <c r="C807" s="38" t="n"/>
      <c r="D807" s="38" t="n"/>
      <c r="E807" s="48" t="n"/>
      <c r="F807" s="38" t="n"/>
      <c r="G807" s="38" t="n"/>
      <c r="H807" s="38" t="n"/>
      <c r="I807" s="38" t="n"/>
      <c r="J807" s="49">
        <f>IF(B807="","",IFERROR(INDEX('SETTINGS'!$M$5:$M$24,MATCH(B807,'SETTINGS'!$L$5:$L$24,0)),"Yes"))</f>
        <v/>
      </c>
      <c r="K807" s="51">
        <f>IF(A807="","",DATE(YEAR(A807),MONTH(A807),1))</f>
        <v/>
      </c>
    </row>
    <row r="808">
      <c r="A808" s="47" t="n"/>
      <c r="B808" s="38" t="n"/>
      <c r="C808" s="38" t="n"/>
      <c r="D808" s="38" t="n"/>
      <c r="E808" s="48" t="n"/>
      <c r="F808" s="38" t="n"/>
      <c r="G808" s="38" t="n"/>
      <c r="H808" s="38" t="n"/>
      <c r="I808" s="38" t="n"/>
      <c r="J808" s="49">
        <f>IF(B808="","",IFERROR(INDEX('SETTINGS'!$M$5:$M$24,MATCH(B808,'SETTINGS'!$L$5:$L$24,0)),"Yes"))</f>
        <v/>
      </c>
      <c r="K808" s="51">
        <f>IF(A808="","",DATE(YEAR(A808),MONTH(A808),1))</f>
        <v/>
      </c>
    </row>
    <row r="809">
      <c r="A809" s="47" t="n"/>
      <c r="B809" s="38" t="n"/>
      <c r="C809" s="38" t="n"/>
      <c r="D809" s="38" t="n"/>
      <c r="E809" s="48" t="n"/>
      <c r="F809" s="38" t="n"/>
      <c r="G809" s="38" t="n"/>
      <c r="H809" s="38" t="n"/>
      <c r="I809" s="38" t="n"/>
      <c r="J809" s="49">
        <f>IF(B809="","",IFERROR(INDEX('SETTINGS'!$M$5:$M$24,MATCH(B809,'SETTINGS'!$L$5:$L$24,0)),"Yes"))</f>
        <v/>
      </c>
      <c r="K809" s="51">
        <f>IF(A809="","",DATE(YEAR(A809),MONTH(A809),1))</f>
        <v/>
      </c>
    </row>
    <row r="810">
      <c r="A810" s="47" t="n"/>
      <c r="B810" s="38" t="n"/>
      <c r="C810" s="38" t="n"/>
      <c r="D810" s="38" t="n"/>
      <c r="E810" s="48" t="n"/>
      <c r="F810" s="38" t="n"/>
      <c r="G810" s="38" t="n"/>
      <c r="H810" s="38" t="n"/>
      <c r="I810" s="38" t="n"/>
      <c r="J810" s="49">
        <f>IF(B810="","",IFERROR(INDEX('SETTINGS'!$M$5:$M$24,MATCH(B810,'SETTINGS'!$L$5:$L$24,0)),"Yes"))</f>
        <v/>
      </c>
      <c r="K810" s="51">
        <f>IF(A810="","",DATE(YEAR(A810),MONTH(A810),1))</f>
        <v/>
      </c>
    </row>
    <row r="811">
      <c r="A811" s="47" t="n"/>
      <c r="B811" s="38" t="n"/>
      <c r="C811" s="38" t="n"/>
      <c r="D811" s="38" t="n"/>
      <c r="E811" s="48" t="n"/>
      <c r="F811" s="38" t="n"/>
      <c r="G811" s="38" t="n"/>
      <c r="H811" s="38" t="n"/>
      <c r="I811" s="38" t="n"/>
      <c r="J811" s="49">
        <f>IF(B811="","",IFERROR(INDEX('SETTINGS'!$M$5:$M$24,MATCH(B811,'SETTINGS'!$L$5:$L$24,0)),"Yes"))</f>
        <v/>
      </c>
      <c r="K811" s="51">
        <f>IF(A811="","",DATE(YEAR(A811),MONTH(A811),1))</f>
        <v/>
      </c>
    </row>
    <row r="812">
      <c r="A812" s="47" t="n"/>
      <c r="B812" s="38" t="n"/>
      <c r="C812" s="38" t="n"/>
      <c r="D812" s="38" t="n"/>
      <c r="E812" s="48" t="n"/>
      <c r="F812" s="38" t="n"/>
      <c r="G812" s="38" t="n"/>
      <c r="H812" s="38" t="n"/>
      <c r="I812" s="38" t="n"/>
      <c r="J812" s="49">
        <f>IF(B812="","",IFERROR(INDEX('SETTINGS'!$M$5:$M$24,MATCH(B812,'SETTINGS'!$L$5:$L$24,0)),"Yes"))</f>
        <v/>
      </c>
      <c r="K812" s="51">
        <f>IF(A812="","",DATE(YEAR(A812),MONTH(A812),1))</f>
        <v/>
      </c>
    </row>
    <row r="813">
      <c r="A813" s="47" t="n"/>
      <c r="B813" s="38" t="n"/>
      <c r="C813" s="38" t="n"/>
      <c r="D813" s="38" t="n"/>
      <c r="E813" s="48" t="n"/>
      <c r="F813" s="38" t="n"/>
      <c r="G813" s="38" t="n"/>
      <c r="H813" s="38" t="n"/>
      <c r="I813" s="38" t="n"/>
      <c r="J813" s="49">
        <f>IF(B813="","",IFERROR(INDEX('SETTINGS'!$M$5:$M$24,MATCH(B813,'SETTINGS'!$L$5:$L$24,0)),"Yes"))</f>
        <v/>
      </c>
      <c r="K813" s="51">
        <f>IF(A813="","",DATE(YEAR(A813),MONTH(A813),1))</f>
        <v/>
      </c>
    </row>
    <row r="814">
      <c r="A814" s="47" t="n"/>
      <c r="B814" s="38" t="n"/>
      <c r="C814" s="38" t="n"/>
      <c r="D814" s="38" t="n"/>
      <c r="E814" s="48" t="n"/>
      <c r="F814" s="38" t="n"/>
      <c r="G814" s="38" t="n"/>
      <c r="H814" s="38" t="n"/>
      <c r="I814" s="38" t="n"/>
      <c r="J814" s="49">
        <f>IF(B814="","",IFERROR(INDEX('SETTINGS'!$M$5:$M$24,MATCH(B814,'SETTINGS'!$L$5:$L$24,0)),"Yes"))</f>
        <v/>
      </c>
      <c r="K814" s="51">
        <f>IF(A814="","",DATE(YEAR(A814),MONTH(A814),1))</f>
        <v/>
      </c>
    </row>
    <row r="815">
      <c r="A815" s="47" t="n"/>
      <c r="B815" s="38" t="n"/>
      <c r="C815" s="38" t="n"/>
      <c r="D815" s="38" t="n"/>
      <c r="E815" s="48" t="n"/>
      <c r="F815" s="38" t="n"/>
      <c r="G815" s="38" t="n"/>
      <c r="H815" s="38" t="n"/>
      <c r="I815" s="38" t="n"/>
      <c r="J815" s="49">
        <f>IF(B815="","",IFERROR(INDEX('SETTINGS'!$M$5:$M$24,MATCH(B815,'SETTINGS'!$L$5:$L$24,0)),"Yes"))</f>
        <v/>
      </c>
      <c r="K815" s="51">
        <f>IF(A815="","",DATE(YEAR(A815),MONTH(A815),1))</f>
        <v/>
      </c>
    </row>
    <row r="816">
      <c r="A816" s="47" t="n"/>
      <c r="B816" s="38" t="n"/>
      <c r="C816" s="38" t="n"/>
      <c r="D816" s="38" t="n"/>
      <c r="E816" s="48" t="n"/>
      <c r="F816" s="38" t="n"/>
      <c r="G816" s="38" t="n"/>
      <c r="H816" s="38" t="n"/>
      <c r="I816" s="38" t="n"/>
      <c r="J816" s="49">
        <f>IF(B816="","",IFERROR(INDEX('SETTINGS'!$M$5:$M$24,MATCH(B816,'SETTINGS'!$L$5:$L$24,0)),"Yes"))</f>
        <v/>
      </c>
      <c r="K816" s="51">
        <f>IF(A816="","",DATE(YEAR(A816),MONTH(A816),1))</f>
        <v/>
      </c>
    </row>
    <row r="817">
      <c r="A817" s="47" t="n"/>
      <c r="B817" s="38" t="n"/>
      <c r="C817" s="38" t="n"/>
      <c r="D817" s="38" t="n"/>
      <c r="E817" s="48" t="n"/>
      <c r="F817" s="38" t="n"/>
      <c r="G817" s="38" t="n"/>
      <c r="H817" s="38" t="n"/>
      <c r="I817" s="38" t="n"/>
      <c r="J817" s="49">
        <f>IF(B817="","",IFERROR(INDEX('SETTINGS'!$M$5:$M$24,MATCH(B817,'SETTINGS'!$L$5:$L$24,0)),"Yes"))</f>
        <v/>
      </c>
      <c r="K817" s="51">
        <f>IF(A817="","",DATE(YEAR(A817),MONTH(A817),1))</f>
        <v/>
      </c>
    </row>
    <row r="818">
      <c r="A818" s="47" t="n"/>
      <c r="B818" s="38" t="n"/>
      <c r="C818" s="38" t="n"/>
      <c r="D818" s="38" t="n"/>
      <c r="E818" s="48" t="n"/>
      <c r="F818" s="38" t="n"/>
      <c r="G818" s="38" t="n"/>
      <c r="H818" s="38" t="n"/>
      <c r="I818" s="38" t="n"/>
      <c r="J818" s="49">
        <f>IF(B818="","",IFERROR(INDEX('SETTINGS'!$M$5:$M$24,MATCH(B818,'SETTINGS'!$L$5:$L$24,0)),"Yes"))</f>
        <v/>
      </c>
      <c r="K818" s="51">
        <f>IF(A818="","",DATE(YEAR(A818),MONTH(A818),1))</f>
        <v/>
      </c>
    </row>
    <row r="819">
      <c r="A819" s="47" t="n"/>
      <c r="B819" s="38" t="n"/>
      <c r="C819" s="38" t="n"/>
      <c r="D819" s="38" t="n"/>
      <c r="E819" s="48" t="n"/>
      <c r="F819" s="38" t="n"/>
      <c r="G819" s="38" t="n"/>
      <c r="H819" s="38" t="n"/>
      <c r="I819" s="38" t="n"/>
      <c r="J819" s="49">
        <f>IF(B819="","",IFERROR(INDEX('SETTINGS'!$M$5:$M$24,MATCH(B819,'SETTINGS'!$L$5:$L$24,0)),"Yes"))</f>
        <v/>
      </c>
      <c r="K819" s="51">
        <f>IF(A819="","",DATE(YEAR(A819),MONTH(A819),1))</f>
        <v/>
      </c>
    </row>
    <row r="820">
      <c r="A820" s="47" t="n"/>
      <c r="B820" s="38" t="n"/>
      <c r="C820" s="38" t="n"/>
      <c r="D820" s="38" t="n"/>
      <c r="E820" s="48" t="n"/>
      <c r="F820" s="38" t="n"/>
      <c r="G820" s="38" t="n"/>
      <c r="H820" s="38" t="n"/>
      <c r="I820" s="38" t="n"/>
      <c r="J820" s="49">
        <f>IF(B820="","",IFERROR(INDEX('SETTINGS'!$M$5:$M$24,MATCH(B820,'SETTINGS'!$L$5:$L$24,0)),"Yes"))</f>
        <v/>
      </c>
      <c r="K820" s="51">
        <f>IF(A820="","",DATE(YEAR(A820),MONTH(A820),1))</f>
        <v/>
      </c>
    </row>
    <row r="821">
      <c r="A821" s="47" t="n"/>
      <c r="B821" s="38" t="n"/>
      <c r="C821" s="38" t="n"/>
      <c r="D821" s="38" t="n"/>
      <c r="E821" s="48" t="n"/>
      <c r="F821" s="38" t="n"/>
      <c r="G821" s="38" t="n"/>
      <c r="H821" s="38" t="n"/>
      <c r="I821" s="38" t="n"/>
      <c r="J821" s="49">
        <f>IF(B821="","",IFERROR(INDEX('SETTINGS'!$M$5:$M$24,MATCH(B821,'SETTINGS'!$L$5:$L$24,0)),"Yes"))</f>
        <v/>
      </c>
      <c r="K821" s="51">
        <f>IF(A821="","",DATE(YEAR(A821),MONTH(A821),1))</f>
        <v/>
      </c>
    </row>
    <row r="822">
      <c r="A822" s="47" t="n"/>
      <c r="B822" s="38" t="n"/>
      <c r="C822" s="38" t="n"/>
      <c r="D822" s="38" t="n"/>
      <c r="E822" s="48" t="n"/>
      <c r="F822" s="38" t="n"/>
      <c r="G822" s="38" t="n"/>
      <c r="H822" s="38" t="n"/>
      <c r="I822" s="38" t="n"/>
      <c r="J822" s="49">
        <f>IF(B822="","",IFERROR(INDEX('SETTINGS'!$M$5:$M$24,MATCH(B822,'SETTINGS'!$L$5:$L$24,0)),"Yes"))</f>
        <v/>
      </c>
      <c r="K822" s="51">
        <f>IF(A822="","",DATE(YEAR(A822),MONTH(A822),1))</f>
        <v/>
      </c>
    </row>
    <row r="823">
      <c r="A823" s="47" t="n"/>
      <c r="B823" s="38" t="n"/>
      <c r="C823" s="38" t="n"/>
      <c r="D823" s="38" t="n"/>
      <c r="E823" s="48" t="n"/>
      <c r="F823" s="38" t="n"/>
      <c r="G823" s="38" t="n"/>
      <c r="H823" s="38" t="n"/>
      <c r="I823" s="38" t="n"/>
      <c r="J823" s="49">
        <f>IF(B823="","",IFERROR(INDEX('SETTINGS'!$M$5:$M$24,MATCH(B823,'SETTINGS'!$L$5:$L$24,0)),"Yes"))</f>
        <v/>
      </c>
      <c r="K823" s="51">
        <f>IF(A823="","",DATE(YEAR(A823),MONTH(A823),1))</f>
        <v/>
      </c>
    </row>
    <row r="824">
      <c r="A824" s="47" t="n"/>
      <c r="B824" s="38" t="n"/>
      <c r="C824" s="38" t="n"/>
      <c r="D824" s="38" t="n"/>
      <c r="E824" s="48" t="n"/>
      <c r="F824" s="38" t="n"/>
      <c r="G824" s="38" t="n"/>
      <c r="H824" s="38" t="n"/>
      <c r="I824" s="38" t="n"/>
      <c r="J824" s="49">
        <f>IF(B824="","",IFERROR(INDEX('SETTINGS'!$M$5:$M$24,MATCH(B824,'SETTINGS'!$L$5:$L$24,0)),"Yes"))</f>
        <v/>
      </c>
      <c r="K824" s="51">
        <f>IF(A824="","",DATE(YEAR(A824),MONTH(A824),1))</f>
        <v/>
      </c>
    </row>
    <row r="825">
      <c r="A825" s="47" t="n"/>
      <c r="B825" s="38" t="n"/>
      <c r="C825" s="38" t="n"/>
      <c r="D825" s="38" t="n"/>
      <c r="E825" s="48" t="n"/>
      <c r="F825" s="38" t="n"/>
      <c r="G825" s="38" t="n"/>
      <c r="H825" s="38" t="n"/>
      <c r="I825" s="38" t="n"/>
      <c r="J825" s="49">
        <f>IF(B825="","",IFERROR(INDEX('SETTINGS'!$M$5:$M$24,MATCH(B825,'SETTINGS'!$L$5:$L$24,0)),"Yes"))</f>
        <v/>
      </c>
      <c r="K825" s="51">
        <f>IF(A825="","",DATE(YEAR(A825),MONTH(A825),1))</f>
        <v/>
      </c>
    </row>
    <row r="826">
      <c r="A826" s="47" t="n"/>
      <c r="B826" s="38" t="n"/>
      <c r="C826" s="38" t="n"/>
      <c r="D826" s="38" t="n"/>
      <c r="E826" s="48" t="n"/>
      <c r="F826" s="38" t="n"/>
      <c r="G826" s="38" t="n"/>
      <c r="H826" s="38" t="n"/>
      <c r="I826" s="38" t="n"/>
      <c r="J826" s="49">
        <f>IF(B826="","",IFERROR(INDEX('SETTINGS'!$M$5:$M$24,MATCH(B826,'SETTINGS'!$L$5:$L$24,0)),"Yes"))</f>
        <v/>
      </c>
      <c r="K826" s="51">
        <f>IF(A826="","",DATE(YEAR(A826),MONTH(A826),1))</f>
        <v/>
      </c>
    </row>
    <row r="827">
      <c r="A827" s="47" t="n"/>
      <c r="B827" s="38" t="n"/>
      <c r="C827" s="38" t="n"/>
      <c r="D827" s="38" t="n"/>
      <c r="E827" s="48" t="n"/>
      <c r="F827" s="38" t="n"/>
      <c r="G827" s="38" t="n"/>
      <c r="H827" s="38" t="n"/>
      <c r="I827" s="38" t="n"/>
      <c r="J827" s="49">
        <f>IF(B827="","",IFERROR(INDEX('SETTINGS'!$M$5:$M$24,MATCH(B827,'SETTINGS'!$L$5:$L$24,0)),"Yes"))</f>
        <v/>
      </c>
      <c r="K827" s="51">
        <f>IF(A827="","",DATE(YEAR(A827),MONTH(A827),1))</f>
        <v/>
      </c>
    </row>
    <row r="828">
      <c r="A828" s="47" t="n"/>
      <c r="B828" s="38" t="n"/>
      <c r="C828" s="38" t="n"/>
      <c r="D828" s="38" t="n"/>
      <c r="E828" s="48" t="n"/>
      <c r="F828" s="38" t="n"/>
      <c r="G828" s="38" t="n"/>
      <c r="H828" s="38" t="n"/>
      <c r="I828" s="38" t="n"/>
      <c r="J828" s="49">
        <f>IF(B828="","",IFERROR(INDEX('SETTINGS'!$M$5:$M$24,MATCH(B828,'SETTINGS'!$L$5:$L$24,0)),"Yes"))</f>
        <v/>
      </c>
      <c r="K828" s="51">
        <f>IF(A828="","",DATE(YEAR(A828),MONTH(A828),1))</f>
        <v/>
      </c>
    </row>
    <row r="829">
      <c r="A829" s="47" t="n"/>
      <c r="B829" s="38" t="n"/>
      <c r="C829" s="38" t="n"/>
      <c r="D829" s="38" t="n"/>
      <c r="E829" s="48" t="n"/>
      <c r="F829" s="38" t="n"/>
      <c r="G829" s="38" t="n"/>
      <c r="H829" s="38" t="n"/>
      <c r="I829" s="38" t="n"/>
      <c r="J829" s="49">
        <f>IF(B829="","",IFERROR(INDEX('SETTINGS'!$M$5:$M$24,MATCH(B829,'SETTINGS'!$L$5:$L$24,0)),"Yes"))</f>
        <v/>
      </c>
      <c r="K829" s="51">
        <f>IF(A829="","",DATE(YEAR(A829),MONTH(A829),1))</f>
        <v/>
      </c>
    </row>
    <row r="830">
      <c r="A830" s="47" t="n"/>
      <c r="B830" s="38" t="n"/>
      <c r="C830" s="38" t="n"/>
      <c r="D830" s="38" t="n"/>
      <c r="E830" s="48" t="n"/>
      <c r="F830" s="38" t="n"/>
      <c r="G830" s="38" t="n"/>
      <c r="H830" s="38" t="n"/>
      <c r="I830" s="38" t="n"/>
      <c r="J830" s="49">
        <f>IF(B830="","",IFERROR(INDEX('SETTINGS'!$M$5:$M$24,MATCH(B830,'SETTINGS'!$L$5:$L$24,0)),"Yes"))</f>
        <v/>
      </c>
      <c r="K830" s="51">
        <f>IF(A830="","",DATE(YEAR(A830),MONTH(A830),1))</f>
        <v/>
      </c>
    </row>
    <row r="831">
      <c r="A831" s="47" t="n"/>
      <c r="B831" s="38" t="n"/>
      <c r="C831" s="38" t="n"/>
      <c r="D831" s="38" t="n"/>
      <c r="E831" s="48" t="n"/>
      <c r="F831" s="38" t="n"/>
      <c r="G831" s="38" t="n"/>
      <c r="H831" s="38" t="n"/>
      <c r="I831" s="38" t="n"/>
      <c r="J831" s="49">
        <f>IF(B831="","",IFERROR(INDEX('SETTINGS'!$M$5:$M$24,MATCH(B831,'SETTINGS'!$L$5:$L$24,0)),"Yes"))</f>
        <v/>
      </c>
      <c r="K831" s="51">
        <f>IF(A831="","",DATE(YEAR(A831),MONTH(A831),1))</f>
        <v/>
      </c>
    </row>
    <row r="832">
      <c r="A832" s="47" t="n"/>
      <c r="B832" s="38" t="n"/>
      <c r="C832" s="38" t="n"/>
      <c r="D832" s="38" t="n"/>
      <c r="E832" s="48" t="n"/>
      <c r="F832" s="38" t="n"/>
      <c r="G832" s="38" t="n"/>
      <c r="H832" s="38" t="n"/>
      <c r="I832" s="38" t="n"/>
      <c r="J832" s="49">
        <f>IF(B832="","",IFERROR(INDEX('SETTINGS'!$M$5:$M$24,MATCH(B832,'SETTINGS'!$L$5:$L$24,0)),"Yes"))</f>
        <v/>
      </c>
      <c r="K832" s="51">
        <f>IF(A832="","",DATE(YEAR(A832),MONTH(A832),1))</f>
        <v/>
      </c>
    </row>
    <row r="833">
      <c r="A833" s="47" t="n"/>
      <c r="B833" s="38" t="n"/>
      <c r="C833" s="38" t="n"/>
      <c r="D833" s="38" t="n"/>
      <c r="E833" s="48" t="n"/>
      <c r="F833" s="38" t="n"/>
      <c r="G833" s="38" t="n"/>
      <c r="H833" s="38" t="n"/>
      <c r="I833" s="38" t="n"/>
      <c r="J833" s="49">
        <f>IF(B833="","",IFERROR(INDEX('SETTINGS'!$M$5:$M$24,MATCH(B833,'SETTINGS'!$L$5:$L$24,0)),"Yes"))</f>
        <v/>
      </c>
      <c r="K833" s="51">
        <f>IF(A833="","",DATE(YEAR(A833),MONTH(A833),1))</f>
        <v/>
      </c>
    </row>
    <row r="834">
      <c r="A834" s="47" t="n"/>
      <c r="B834" s="38" t="n"/>
      <c r="C834" s="38" t="n"/>
      <c r="D834" s="38" t="n"/>
      <c r="E834" s="48" t="n"/>
      <c r="F834" s="38" t="n"/>
      <c r="G834" s="38" t="n"/>
      <c r="H834" s="38" t="n"/>
      <c r="I834" s="38" t="n"/>
      <c r="J834" s="49">
        <f>IF(B834="","",IFERROR(INDEX('SETTINGS'!$M$5:$M$24,MATCH(B834,'SETTINGS'!$L$5:$L$24,0)),"Yes"))</f>
        <v/>
      </c>
      <c r="K834" s="51">
        <f>IF(A834="","",DATE(YEAR(A834),MONTH(A834),1))</f>
        <v/>
      </c>
    </row>
    <row r="835">
      <c r="A835" s="47" t="n"/>
      <c r="B835" s="38" t="n"/>
      <c r="C835" s="38" t="n"/>
      <c r="D835" s="38" t="n"/>
      <c r="E835" s="48" t="n"/>
      <c r="F835" s="38" t="n"/>
      <c r="G835" s="38" t="n"/>
      <c r="H835" s="38" t="n"/>
      <c r="I835" s="38" t="n"/>
      <c r="J835" s="49">
        <f>IF(B835="","",IFERROR(INDEX('SETTINGS'!$M$5:$M$24,MATCH(B835,'SETTINGS'!$L$5:$L$24,0)),"Yes"))</f>
        <v/>
      </c>
      <c r="K835" s="51">
        <f>IF(A835="","",DATE(YEAR(A835),MONTH(A835),1))</f>
        <v/>
      </c>
    </row>
    <row r="836">
      <c r="A836" s="47" t="n"/>
      <c r="B836" s="38" t="n"/>
      <c r="C836" s="38" t="n"/>
      <c r="D836" s="38" t="n"/>
      <c r="E836" s="48" t="n"/>
      <c r="F836" s="38" t="n"/>
      <c r="G836" s="38" t="n"/>
      <c r="H836" s="38" t="n"/>
      <c r="I836" s="38" t="n"/>
      <c r="J836" s="49">
        <f>IF(B836="","",IFERROR(INDEX('SETTINGS'!$M$5:$M$24,MATCH(B836,'SETTINGS'!$L$5:$L$24,0)),"Yes"))</f>
        <v/>
      </c>
      <c r="K836" s="51">
        <f>IF(A836="","",DATE(YEAR(A836),MONTH(A836),1))</f>
        <v/>
      </c>
    </row>
    <row r="837">
      <c r="A837" s="47" t="n"/>
      <c r="B837" s="38" t="n"/>
      <c r="C837" s="38" t="n"/>
      <c r="D837" s="38" t="n"/>
      <c r="E837" s="48" t="n"/>
      <c r="F837" s="38" t="n"/>
      <c r="G837" s="38" t="n"/>
      <c r="H837" s="38" t="n"/>
      <c r="I837" s="38" t="n"/>
      <c r="J837" s="49">
        <f>IF(B837="","",IFERROR(INDEX('SETTINGS'!$M$5:$M$24,MATCH(B837,'SETTINGS'!$L$5:$L$24,0)),"Yes"))</f>
        <v/>
      </c>
      <c r="K837" s="51">
        <f>IF(A837="","",DATE(YEAR(A837),MONTH(A837),1))</f>
        <v/>
      </c>
    </row>
    <row r="838">
      <c r="A838" s="47" t="n"/>
      <c r="B838" s="38" t="n"/>
      <c r="C838" s="38" t="n"/>
      <c r="D838" s="38" t="n"/>
      <c r="E838" s="48" t="n"/>
      <c r="F838" s="38" t="n"/>
      <c r="G838" s="38" t="n"/>
      <c r="H838" s="38" t="n"/>
      <c r="I838" s="38" t="n"/>
      <c r="J838" s="49">
        <f>IF(B838="","",IFERROR(INDEX('SETTINGS'!$M$5:$M$24,MATCH(B838,'SETTINGS'!$L$5:$L$24,0)),"Yes"))</f>
        <v/>
      </c>
      <c r="K838" s="51">
        <f>IF(A838="","",DATE(YEAR(A838),MONTH(A838),1))</f>
        <v/>
      </c>
    </row>
    <row r="839">
      <c r="A839" s="47" t="n"/>
      <c r="B839" s="38" t="n"/>
      <c r="C839" s="38" t="n"/>
      <c r="D839" s="38" t="n"/>
      <c r="E839" s="48" t="n"/>
      <c r="F839" s="38" t="n"/>
      <c r="G839" s="38" t="n"/>
      <c r="H839" s="38" t="n"/>
      <c r="I839" s="38" t="n"/>
      <c r="J839" s="49">
        <f>IF(B839="","",IFERROR(INDEX('SETTINGS'!$M$5:$M$24,MATCH(B839,'SETTINGS'!$L$5:$L$24,0)),"Yes"))</f>
        <v/>
      </c>
      <c r="K839" s="51">
        <f>IF(A839="","",DATE(YEAR(A839),MONTH(A839),1))</f>
        <v/>
      </c>
    </row>
    <row r="840">
      <c r="A840" s="47" t="n"/>
      <c r="B840" s="38" t="n"/>
      <c r="C840" s="38" t="n"/>
      <c r="D840" s="38" t="n"/>
      <c r="E840" s="48" t="n"/>
      <c r="F840" s="38" t="n"/>
      <c r="G840" s="38" t="n"/>
      <c r="H840" s="38" t="n"/>
      <c r="I840" s="38" t="n"/>
      <c r="J840" s="49">
        <f>IF(B840="","",IFERROR(INDEX('SETTINGS'!$M$5:$M$24,MATCH(B840,'SETTINGS'!$L$5:$L$24,0)),"Yes"))</f>
        <v/>
      </c>
      <c r="K840" s="51">
        <f>IF(A840="","",DATE(YEAR(A840),MONTH(A840),1))</f>
        <v/>
      </c>
    </row>
    <row r="841">
      <c r="A841" s="47" t="n"/>
      <c r="B841" s="38" t="n"/>
      <c r="C841" s="38" t="n"/>
      <c r="D841" s="38" t="n"/>
      <c r="E841" s="48" t="n"/>
      <c r="F841" s="38" t="n"/>
      <c r="G841" s="38" t="n"/>
      <c r="H841" s="38" t="n"/>
      <c r="I841" s="38" t="n"/>
      <c r="J841" s="49">
        <f>IF(B841="","",IFERROR(INDEX('SETTINGS'!$M$5:$M$24,MATCH(B841,'SETTINGS'!$L$5:$L$24,0)),"Yes"))</f>
        <v/>
      </c>
      <c r="K841" s="51">
        <f>IF(A841="","",DATE(YEAR(A841),MONTH(A841),1))</f>
        <v/>
      </c>
    </row>
    <row r="842">
      <c r="A842" s="47" t="n"/>
      <c r="B842" s="38" t="n"/>
      <c r="C842" s="38" t="n"/>
      <c r="D842" s="38" t="n"/>
      <c r="E842" s="48" t="n"/>
      <c r="F842" s="38" t="n"/>
      <c r="G842" s="38" t="n"/>
      <c r="H842" s="38" t="n"/>
      <c r="I842" s="38" t="n"/>
      <c r="J842" s="49">
        <f>IF(B842="","",IFERROR(INDEX('SETTINGS'!$M$5:$M$24,MATCH(B842,'SETTINGS'!$L$5:$L$24,0)),"Yes"))</f>
        <v/>
      </c>
      <c r="K842" s="51">
        <f>IF(A842="","",DATE(YEAR(A842),MONTH(A842),1))</f>
        <v/>
      </c>
    </row>
    <row r="843">
      <c r="A843" s="47" t="n"/>
      <c r="B843" s="38" t="n"/>
      <c r="C843" s="38" t="n"/>
      <c r="D843" s="38" t="n"/>
      <c r="E843" s="48" t="n"/>
      <c r="F843" s="38" t="n"/>
      <c r="G843" s="38" t="n"/>
      <c r="H843" s="38" t="n"/>
      <c r="I843" s="38" t="n"/>
      <c r="J843" s="49">
        <f>IF(B843="","",IFERROR(INDEX('SETTINGS'!$M$5:$M$24,MATCH(B843,'SETTINGS'!$L$5:$L$24,0)),"Yes"))</f>
        <v/>
      </c>
      <c r="K843" s="51">
        <f>IF(A843="","",DATE(YEAR(A843),MONTH(A843),1))</f>
        <v/>
      </c>
    </row>
    <row r="844">
      <c r="A844" s="47" t="n"/>
      <c r="B844" s="38" t="n"/>
      <c r="C844" s="38" t="n"/>
      <c r="D844" s="38" t="n"/>
      <c r="E844" s="48" t="n"/>
      <c r="F844" s="38" t="n"/>
      <c r="G844" s="38" t="n"/>
      <c r="H844" s="38" t="n"/>
      <c r="I844" s="38" t="n"/>
      <c r="J844" s="49">
        <f>IF(B844="","",IFERROR(INDEX('SETTINGS'!$M$5:$M$24,MATCH(B844,'SETTINGS'!$L$5:$L$24,0)),"Yes"))</f>
        <v/>
      </c>
      <c r="K844" s="51">
        <f>IF(A844="","",DATE(YEAR(A844),MONTH(A844),1))</f>
        <v/>
      </c>
    </row>
    <row r="845">
      <c r="A845" s="47" t="n"/>
      <c r="B845" s="38" t="n"/>
      <c r="C845" s="38" t="n"/>
      <c r="D845" s="38" t="n"/>
      <c r="E845" s="48" t="n"/>
      <c r="F845" s="38" t="n"/>
      <c r="G845" s="38" t="n"/>
      <c r="H845" s="38" t="n"/>
      <c r="I845" s="38" t="n"/>
      <c r="J845" s="49">
        <f>IF(B845="","",IFERROR(INDEX('SETTINGS'!$M$5:$M$24,MATCH(B845,'SETTINGS'!$L$5:$L$24,0)),"Yes"))</f>
        <v/>
      </c>
      <c r="K845" s="51">
        <f>IF(A845="","",DATE(YEAR(A845),MONTH(A845),1))</f>
        <v/>
      </c>
    </row>
    <row r="846">
      <c r="A846" s="47" t="n"/>
      <c r="B846" s="38" t="n"/>
      <c r="C846" s="38" t="n"/>
      <c r="D846" s="38" t="n"/>
      <c r="E846" s="48" t="n"/>
      <c r="F846" s="38" t="n"/>
      <c r="G846" s="38" t="n"/>
      <c r="H846" s="38" t="n"/>
      <c r="I846" s="38" t="n"/>
      <c r="J846" s="49">
        <f>IF(B846="","",IFERROR(INDEX('SETTINGS'!$M$5:$M$24,MATCH(B846,'SETTINGS'!$L$5:$L$24,0)),"Yes"))</f>
        <v/>
      </c>
      <c r="K846" s="51">
        <f>IF(A846="","",DATE(YEAR(A846),MONTH(A846),1))</f>
        <v/>
      </c>
    </row>
    <row r="847">
      <c r="A847" s="47" t="n"/>
      <c r="B847" s="38" t="n"/>
      <c r="C847" s="38" t="n"/>
      <c r="D847" s="38" t="n"/>
      <c r="E847" s="48" t="n"/>
      <c r="F847" s="38" t="n"/>
      <c r="G847" s="38" t="n"/>
      <c r="H847" s="38" t="n"/>
      <c r="I847" s="38" t="n"/>
      <c r="J847" s="49">
        <f>IF(B847="","",IFERROR(INDEX('SETTINGS'!$M$5:$M$24,MATCH(B847,'SETTINGS'!$L$5:$L$24,0)),"Yes"))</f>
        <v/>
      </c>
      <c r="K847" s="51">
        <f>IF(A847="","",DATE(YEAR(A847),MONTH(A847),1))</f>
        <v/>
      </c>
    </row>
    <row r="848">
      <c r="A848" s="47" t="n"/>
      <c r="B848" s="38" t="n"/>
      <c r="C848" s="38" t="n"/>
      <c r="D848" s="38" t="n"/>
      <c r="E848" s="48" t="n"/>
      <c r="F848" s="38" t="n"/>
      <c r="G848" s="38" t="n"/>
      <c r="H848" s="38" t="n"/>
      <c r="I848" s="38" t="n"/>
      <c r="J848" s="49">
        <f>IF(B848="","",IFERROR(INDEX('SETTINGS'!$M$5:$M$24,MATCH(B848,'SETTINGS'!$L$5:$L$24,0)),"Yes"))</f>
        <v/>
      </c>
      <c r="K848" s="51">
        <f>IF(A848="","",DATE(YEAR(A848),MONTH(A848),1))</f>
        <v/>
      </c>
    </row>
    <row r="849">
      <c r="A849" s="47" t="n"/>
      <c r="B849" s="38" t="n"/>
      <c r="C849" s="38" t="n"/>
      <c r="D849" s="38" t="n"/>
      <c r="E849" s="48" t="n"/>
      <c r="F849" s="38" t="n"/>
      <c r="G849" s="38" t="n"/>
      <c r="H849" s="38" t="n"/>
      <c r="I849" s="38" t="n"/>
      <c r="J849" s="49">
        <f>IF(B849="","",IFERROR(INDEX('SETTINGS'!$M$5:$M$24,MATCH(B849,'SETTINGS'!$L$5:$L$24,0)),"Yes"))</f>
        <v/>
      </c>
      <c r="K849" s="51">
        <f>IF(A849="","",DATE(YEAR(A849),MONTH(A849),1))</f>
        <v/>
      </c>
    </row>
    <row r="850">
      <c r="A850" s="47" t="n"/>
      <c r="B850" s="38" t="n"/>
      <c r="C850" s="38" t="n"/>
      <c r="D850" s="38" t="n"/>
      <c r="E850" s="48" t="n"/>
      <c r="F850" s="38" t="n"/>
      <c r="G850" s="38" t="n"/>
      <c r="H850" s="38" t="n"/>
      <c r="I850" s="38" t="n"/>
      <c r="J850" s="49">
        <f>IF(B850="","",IFERROR(INDEX('SETTINGS'!$M$5:$M$24,MATCH(B850,'SETTINGS'!$L$5:$L$24,0)),"Yes"))</f>
        <v/>
      </c>
      <c r="K850" s="51">
        <f>IF(A850="","",DATE(YEAR(A850),MONTH(A850),1))</f>
        <v/>
      </c>
    </row>
    <row r="851">
      <c r="A851" s="47" t="n"/>
      <c r="B851" s="38" t="n"/>
      <c r="C851" s="38" t="n"/>
      <c r="D851" s="38" t="n"/>
      <c r="E851" s="48" t="n"/>
      <c r="F851" s="38" t="n"/>
      <c r="G851" s="38" t="n"/>
      <c r="H851" s="38" t="n"/>
      <c r="I851" s="38" t="n"/>
      <c r="J851" s="49">
        <f>IF(B851="","",IFERROR(INDEX('SETTINGS'!$M$5:$M$24,MATCH(B851,'SETTINGS'!$L$5:$L$24,0)),"Yes"))</f>
        <v/>
      </c>
      <c r="K851" s="51">
        <f>IF(A851="","",DATE(YEAR(A851),MONTH(A851),1))</f>
        <v/>
      </c>
    </row>
    <row r="852">
      <c r="A852" s="47" t="n"/>
      <c r="B852" s="38" t="n"/>
      <c r="C852" s="38" t="n"/>
      <c r="D852" s="38" t="n"/>
      <c r="E852" s="48" t="n"/>
      <c r="F852" s="38" t="n"/>
      <c r="G852" s="38" t="n"/>
      <c r="H852" s="38" t="n"/>
      <c r="I852" s="38" t="n"/>
      <c r="J852" s="49">
        <f>IF(B852="","",IFERROR(INDEX('SETTINGS'!$M$5:$M$24,MATCH(B852,'SETTINGS'!$L$5:$L$24,0)),"Yes"))</f>
        <v/>
      </c>
      <c r="K852" s="51">
        <f>IF(A852="","",DATE(YEAR(A852),MONTH(A852),1))</f>
        <v/>
      </c>
    </row>
    <row r="853">
      <c r="A853" s="47" t="n"/>
      <c r="B853" s="38" t="n"/>
      <c r="C853" s="38" t="n"/>
      <c r="D853" s="38" t="n"/>
      <c r="E853" s="48" t="n"/>
      <c r="F853" s="38" t="n"/>
      <c r="G853" s="38" t="n"/>
      <c r="H853" s="38" t="n"/>
      <c r="I853" s="38" t="n"/>
      <c r="J853" s="49">
        <f>IF(B853="","",IFERROR(INDEX('SETTINGS'!$M$5:$M$24,MATCH(B853,'SETTINGS'!$L$5:$L$24,0)),"Yes"))</f>
        <v/>
      </c>
      <c r="K853" s="51">
        <f>IF(A853="","",DATE(YEAR(A853),MONTH(A853),1))</f>
        <v/>
      </c>
    </row>
    <row r="854">
      <c r="A854" s="47" t="n"/>
      <c r="B854" s="38" t="n"/>
      <c r="C854" s="38" t="n"/>
      <c r="D854" s="38" t="n"/>
      <c r="E854" s="48" t="n"/>
      <c r="F854" s="38" t="n"/>
      <c r="G854" s="38" t="n"/>
      <c r="H854" s="38" t="n"/>
      <c r="I854" s="38" t="n"/>
      <c r="J854" s="49">
        <f>IF(B854="","",IFERROR(INDEX('SETTINGS'!$M$5:$M$24,MATCH(B854,'SETTINGS'!$L$5:$L$24,0)),"Yes"))</f>
        <v/>
      </c>
      <c r="K854" s="51">
        <f>IF(A854="","",DATE(YEAR(A854),MONTH(A854),1))</f>
        <v/>
      </c>
    </row>
    <row r="855">
      <c r="A855" s="47" t="n"/>
      <c r="B855" s="38" t="n"/>
      <c r="C855" s="38" t="n"/>
      <c r="D855" s="38" t="n"/>
      <c r="E855" s="48" t="n"/>
      <c r="F855" s="38" t="n"/>
      <c r="G855" s="38" t="n"/>
      <c r="H855" s="38" t="n"/>
      <c r="I855" s="38" t="n"/>
      <c r="J855" s="49">
        <f>IF(B855="","",IFERROR(INDEX('SETTINGS'!$M$5:$M$24,MATCH(B855,'SETTINGS'!$L$5:$L$24,0)),"Yes"))</f>
        <v/>
      </c>
      <c r="K855" s="51">
        <f>IF(A855="","",DATE(YEAR(A855),MONTH(A855),1))</f>
        <v/>
      </c>
    </row>
    <row r="856">
      <c r="A856" s="47" t="n"/>
      <c r="B856" s="38" t="n"/>
      <c r="C856" s="38" t="n"/>
      <c r="D856" s="38" t="n"/>
      <c r="E856" s="48" t="n"/>
      <c r="F856" s="38" t="n"/>
      <c r="G856" s="38" t="n"/>
      <c r="H856" s="38" t="n"/>
      <c r="I856" s="38" t="n"/>
      <c r="J856" s="49">
        <f>IF(B856="","",IFERROR(INDEX('SETTINGS'!$M$5:$M$24,MATCH(B856,'SETTINGS'!$L$5:$L$24,0)),"Yes"))</f>
        <v/>
      </c>
      <c r="K856" s="51">
        <f>IF(A856="","",DATE(YEAR(A856),MONTH(A856),1))</f>
        <v/>
      </c>
    </row>
    <row r="857">
      <c r="A857" s="47" t="n"/>
      <c r="B857" s="38" t="n"/>
      <c r="C857" s="38" t="n"/>
      <c r="D857" s="38" t="n"/>
      <c r="E857" s="48" t="n"/>
      <c r="F857" s="38" t="n"/>
      <c r="G857" s="38" t="n"/>
      <c r="H857" s="38" t="n"/>
      <c r="I857" s="38" t="n"/>
      <c r="J857" s="49">
        <f>IF(B857="","",IFERROR(INDEX('SETTINGS'!$M$5:$M$24,MATCH(B857,'SETTINGS'!$L$5:$L$24,0)),"Yes"))</f>
        <v/>
      </c>
      <c r="K857" s="51">
        <f>IF(A857="","",DATE(YEAR(A857),MONTH(A857),1))</f>
        <v/>
      </c>
    </row>
    <row r="858">
      <c r="A858" s="47" t="n"/>
      <c r="B858" s="38" t="n"/>
      <c r="C858" s="38" t="n"/>
      <c r="D858" s="38" t="n"/>
      <c r="E858" s="48" t="n"/>
      <c r="F858" s="38" t="n"/>
      <c r="G858" s="38" t="n"/>
      <c r="H858" s="38" t="n"/>
      <c r="I858" s="38" t="n"/>
      <c r="J858" s="49">
        <f>IF(B858="","",IFERROR(INDEX('SETTINGS'!$M$5:$M$24,MATCH(B858,'SETTINGS'!$L$5:$L$24,0)),"Yes"))</f>
        <v/>
      </c>
      <c r="K858" s="51">
        <f>IF(A858="","",DATE(YEAR(A858),MONTH(A858),1))</f>
        <v/>
      </c>
    </row>
    <row r="859">
      <c r="A859" s="47" t="n"/>
      <c r="B859" s="38" t="n"/>
      <c r="C859" s="38" t="n"/>
      <c r="D859" s="38" t="n"/>
      <c r="E859" s="48" t="n"/>
      <c r="F859" s="38" t="n"/>
      <c r="G859" s="38" t="n"/>
      <c r="H859" s="38" t="n"/>
      <c r="I859" s="38" t="n"/>
      <c r="J859" s="49">
        <f>IF(B859="","",IFERROR(INDEX('SETTINGS'!$M$5:$M$24,MATCH(B859,'SETTINGS'!$L$5:$L$24,0)),"Yes"))</f>
        <v/>
      </c>
      <c r="K859" s="51">
        <f>IF(A859="","",DATE(YEAR(A859),MONTH(A859),1))</f>
        <v/>
      </c>
    </row>
    <row r="860">
      <c r="A860" s="47" t="n"/>
      <c r="B860" s="38" t="n"/>
      <c r="C860" s="38" t="n"/>
      <c r="D860" s="38" t="n"/>
      <c r="E860" s="48" t="n"/>
      <c r="F860" s="38" t="n"/>
      <c r="G860" s="38" t="n"/>
      <c r="H860" s="38" t="n"/>
      <c r="I860" s="38" t="n"/>
      <c r="J860" s="49">
        <f>IF(B860="","",IFERROR(INDEX('SETTINGS'!$M$5:$M$24,MATCH(B860,'SETTINGS'!$L$5:$L$24,0)),"Yes"))</f>
        <v/>
      </c>
      <c r="K860" s="51">
        <f>IF(A860="","",DATE(YEAR(A860),MONTH(A860),1))</f>
        <v/>
      </c>
    </row>
    <row r="861">
      <c r="A861" s="47" t="n"/>
      <c r="B861" s="38" t="n"/>
      <c r="C861" s="38" t="n"/>
      <c r="D861" s="38" t="n"/>
      <c r="E861" s="48" t="n"/>
      <c r="F861" s="38" t="n"/>
      <c r="G861" s="38" t="n"/>
      <c r="H861" s="38" t="n"/>
      <c r="I861" s="38" t="n"/>
      <c r="J861" s="49">
        <f>IF(B861="","",IFERROR(INDEX('SETTINGS'!$M$5:$M$24,MATCH(B861,'SETTINGS'!$L$5:$L$24,0)),"Yes"))</f>
        <v/>
      </c>
      <c r="K861" s="51">
        <f>IF(A861="","",DATE(YEAR(A861),MONTH(A861),1))</f>
        <v/>
      </c>
    </row>
    <row r="862">
      <c r="A862" s="47" t="n"/>
      <c r="B862" s="38" t="n"/>
      <c r="C862" s="38" t="n"/>
      <c r="D862" s="38" t="n"/>
      <c r="E862" s="48" t="n"/>
      <c r="F862" s="38" t="n"/>
      <c r="G862" s="38" t="n"/>
      <c r="H862" s="38" t="n"/>
      <c r="I862" s="38" t="n"/>
      <c r="J862" s="49">
        <f>IF(B862="","",IFERROR(INDEX('SETTINGS'!$M$5:$M$24,MATCH(B862,'SETTINGS'!$L$5:$L$24,0)),"Yes"))</f>
        <v/>
      </c>
      <c r="K862" s="51">
        <f>IF(A862="","",DATE(YEAR(A862),MONTH(A862),1))</f>
        <v/>
      </c>
    </row>
    <row r="863">
      <c r="A863" s="47" t="n"/>
      <c r="B863" s="38" t="n"/>
      <c r="C863" s="38" t="n"/>
      <c r="D863" s="38" t="n"/>
      <c r="E863" s="48" t="n"/>
      <c r="F863" s="38" t="n"/>
      <c r="G863" s="38" t="n"/>
      <c r="H863" s="38" t="n"/>
      <c r="I863" s="38" t="n"/>
      <c r="J863" s="49">
        <f>IF(B863="","",IFERROR(INDEX('SETTINGS'!$M$5:$M$24,MATCH(B863,'SETTINGS'!$L$5:$L$24,0)),"Yes"))</f>
        <v/>
      </c>
      <c r="K863" s="51">
        <f>IF(A863="","",DATE(YEAR(A863),MONTH(A863),1))</f>
        <v/>
      </c>
    </row>
    <row r="864">
      <c r="A864" s="47" t="n"/>
      <c r="B864" s="38" t="n"/>
      <c r="C864" s="38" t="n"/>
      <c r="D864" s="38" t="n"/>
      <c r="E864" s="48" t="n"/>
      <c r="F864" s="38" t="n"/>
      <c r="G864" s="38" t="n"/>
      <c r="H864" s="38" t="n"/>
      <c r="I864" s="38" t="n"/>
      <c r="J864" s="49">
        <f>IF(B864="","",IFERROR(INDEX('SETTINGS'!$M$5:$M$24,MATCH(B864,'SETTINGS'!$L$5:$L$24,0)),"Yes"))</f>
        <v/>
      </c>
      <c r="K864" s="51">
        <f>IF(A864="","",DATE(YEAR(A864),MONTH(A864),1))</f>
        <v/>
      </c>
    </row>
    <row r="865">
      <c r="A865" s="47" t="n"/>
      <c r="B865" s="38" t="n"/>
      <c r="C865" s="38" t="n"/>
      <c r="D865" s="38" t="n"/>
      <c r="E865" s="48" t="n"/>
      <c r="F865" s="38" t="n"/>
      <c r="G865" s="38" t="n"/>
      <c r="H865" s="38" t="n"/>
      <c r="I865" s="38" t="n"/>
      <c r="J865" s="49">
        <f>IF(B865="","",IFERROR(INDEX('SETTINGS'!$M$5:$M$24,MATCH(B865,'SETTINGS'!$L$5:$L$24,0)),"Yes"))</f>
        <v/>
      </c>
      <c r="K865" s="51">
        <f>IF(A865="","",DATE(YEAR(A865),MONTH(A865),1))</f>
        <v/>
      </c>
    </row>
    <row r="866">
      <c r="A866" s="47" t="n"/>
      <c r="B866" s="38" t="n"/>
      <c r="C866" s="38" t="n"/>
      <c r="D866" s="38" t="n"/>
      <c r="E866" s="48" t="n"/>
      <c r="F866" s="38" t="n"/>
      <c r="G866" s="38" t="n"/>
      <c r="H866" s="38" t="n"/>
      <c r="I866" s="38" t="n"/>
      <c r="J866" s="49">
        <f>IF(B866="","",IFERROR(INDEX('SETTINGS'!$M$5:$M$24,MATCH(B866,'SETTINGS'!$L$5:$L$24,0)),"Yes"))</f>
        <v/>
      </c>
      <c r="K866" s="51">
        <f>IF(A866="","",DATE(YEAR(A866),MONTH(A866),1))</f>
        <v/>
      </c>
    </row>
    <row r="867">
      <c r="A867" s="47" t="n"/>
      <c r="B867" s="38" t="n"/>
      <c r="C867" s="38" t="n"/>
      <c r="D867" s="38" t="n"/>
      <c r="E867" s="48" t="n"/>
      <c r="F867" s="38" t="n"/>
      <c r="G867" s="38" t="n"/>
      <c r="H867" s="38" t="n"/>
      <c r="I867" s="38" t="n"/>
      <c r="J867" s="49">
        <f>IF(B867="","",IFERROR(INDEX('SETTINGS'!$M$5:$M$24,MATCH(B867,'SETTINGS'!$L$5:$L$24,0)),"Yes"))</f>
        <v/>
      </c>
      <c r="K867" s="51">
        <f>IF(A867="","",DATE(YEAR(A867),MONTH(A867),1))</f>
        <v/>
      </c>
    </row>
    <row r="868">
      <c r="A868" s="47" t="n"/>
      <c r="B868" s="38" t="n"/>
      <c r="C868" s="38" t="n"/>
      <c r="D868" s="38" t="n"/>
      <c r="E868" s="48" t="n"/>
      <c r="F868" s="38" t="n"/>
      <c r="G868" s="38" t="n"/>
      <c r="H868" s="38" t="n"/>
      <c r="I868" s="38" t="n"/>
      <c r="J868" s="49">
        <f>IF(B868="","",IFERROR(INDEX('SETTINGS'!$M$5:$M$24,MATCH(B868,'SETTINGS'!$L$5:$L$24,0)),"Yes"))</f>
        <v/>
      </c>
      <c r="K868" s="51">
        <f>IF(A868="","",DATE(YEAR(A868),MONTH(A868),1))</f>
        <v/>
      </c>
    </row>
    <row r="869">
      <c r="A869" s="47" t="n"/>
      <c r="B869" s="38" t="n"/>
      <c r="C869" s="38" t="n"/>
      <c r="D869" s="38" t="n"/>
      <c r="E869" s="48" t="n"/>
      <c r="F869" s="38" t="n"/>
      <c r="G869" s="38" t="n"/>
      <c r="H869" s="38" t="n"/>
      <c r="I869" s="38" t="n"/>
      <c r="J869" s="49">
        <f>IF(B869="","",IFERROR(INDEX('SETTINGS'!$M$5:$M$24,MATCH(B869,'SETTINGS'!$L$5:$L$24,0)),"Yes"))</f>
        <v/>
      </c>
      <c r="K869" s="51">
        <f>IF(A869="","",DATE(YEAR(A869),MONTH(A869),1))</f>
        <v/>
      </c>
    </row>
    <row r="870">
      <c r="A870" s="47" t="n"/>
      <c r="B870" s="38" t="n"/>
      <c r="C870" s="38" t="n"/>
      <c r="D870" s="38" t="n"/>
      <c r="E870" s="48" t="n"/>
      <c r="F870" s="38" t="n"/>
      <c r="G870" s="38" t="n"/>
      <c r="H870" s="38" t="n"/>
      <c r="I870" s="38" t="n"/>
      <c r="J870" s="49">
        <f>IF(B870="","",IFERROR(INDEX('SETTINGS'!$M$5:$M$24,MATCH(B870,'SETTINGS'!$L$5:$L$24,0)),"Yes"))</f>
        <v/>
      </c>
      <c r="K870" s="51">
        <f>IF(A870="","",DATE(YEAR(A870),MONTH(A870),1))</f>
        <v/>
      </c>
    </row>
    <row r="871">
      <c r="A871" s="47" t="n"/>
      <c r="B871" s="38" t="n"/>
      <c r="C871" s="38" t="n"/>
      <c r="D871" s="38" t="n"/>
      <c r="E871" s="48" t="n"/>
      <c r="F871" s="38" t="n"/>
      <c r="G871" s="38" t="n"/>
      <c r="H871" s="38" t="n"/>
      <c r="I871" s="38" t="n"/>
      <c r="J871" s="49">
        <f>IF(B871="","",IFERROR(INDEX('SETTINGS'!$M$5:$M$24,MATCH(B871,'SETTINGS'!$L$5:$L$24,0)),"Yes"))</f>
        <v/>
      </c>
      <c r="K871" s="51">
        <f>IF(A871="","",DATE(YEAR(A871),MONTH(A871),1))</f>
        <v/>
      </c>
    </row>
    <row r="872">
      <c r="A872" s="47" t="n"/>
      <c r="B872" s="38" t="n"/>
      <c r="C872" s="38" t="n"/>
      <c r="D872" s="38" t="n"/>
      <c r="E872" s="48" t="n"/>
      <c r="F872" s="38" t="n"/>
      <c r="G872" s="38" t="n"/>
      <c r="H872" s="38" t="n"/>
      <c r="I872" s="38" t="n"/>
      <c r="J872" s="49">
        <f>IF(B872="","",IFERROR(INDEX('SETTINGS'!$M$5:$M$24,MATCH(B872,'SETTINGS'!$L$5:$L$24,0)),"Yes"))</f>
        <v/>
      </c>
      <c r="K872" s="51">
        <f>IF(A872="","",DATE(YEAR(A872),MONTH(A872),1))</f>
        <v/>
      </c>
    </row>
    <row r="873">
      <c r="A873" s="47" t="n"/>
      <c r="B873" s="38" t="n"/>
      <c r="C873" s="38" t="n"/>
      <c r="D873" s="38" t="n"/>
      <c r="E873" s="48" t="n"/>
      <c r="F873" s="38" t="n"/>
      <c r="G873" s="38" t="n"/>
      <c r="H873" s="38" t="n"/>
      <c r="I873" s="38" t="n"/>
      <c r="J873" s="49">
        <f>IF(B873="","",IFERROR(INDEX('SETTINGS'!$M$5:$M$24,MATCH(B873,'SETTINGS'!$L$5:$L$24,0)),"Yes"))</f>
        <v/>
      </c>
      <c r="K873" s="51">
        <f>IF(A873="","",DATE(YEAR(A873),MONTH(A873),1))</f>
        <v/>
      </c>
    </row>
    <row r="874">
      <c r="A874" s="47" t="n"/>
      <c r="B874" s="38" t="n"/>
      <c r="C874" s="38" t="n"/>
      <c r="D874" s="38" t="n"/>
      <c r="E874" s="48" t="n"/>
      <c r="F874" s="38" t="n"/>
      <c r="G874" s="38" t="n"/>
      <c r="H874" s="38" t="n"/>
      <c r="I874" s="38" t="n"/>
      <c r="J874" s="49">
        <f>IF(B874="","",IFERROR(INDEX('SETTINGS'!$M$5:$M$24,MATCH(B874,'SETTINGS'!$L$5:$L$24,0)),"Yes"))</f>
        <v/>
      </c>
      <c r="K874" s="51">
        <f>IF(A874="","",DATE(YEAR(A874),MONTH(A874),1))</f>
        <v/>
      </c>
    </row>
    <row r="875">
      <c r="A875" s="47" t="n"/>
      <c r="B875" s="38" t="n"/>
      <c r="C875" s="38" t="n"/>
      <c r="D875" s="38" t="n"/>
      <c r="E875" s="48" t="n"/>
      <c r="F875" s="38" t="n"/>
      <c r="G875" s="38" t="n"/>
      <c r="H875" s="38" t="n"/>
      <c r="I875" s="38" t="n"/>
      <c r="J875" s="49">
        <f>IF(B875="","",IFERROR(INDEX('SETTINGS'!$M$5:$M$24,MATCH(B875,'SETTINGS'!$L$5:$L$24,0)),"Yes"))</f>
        <v/>
      </c>
      <c r="K875" s="51">
        <f>IF(A875="","",DATE(YEAR(A875),MONTH(A875),1))</f>
        <v/>
      </c>
    </row>
    <row r="876">
      <c r="A876" s="47" t="n"/>
      <c r="B876" s="38" t="n"/>
      <c r="C876" s="38" t="n"/>
      <c r="D876" s="38" t="n"/>
      <c r="E876" s="48" t="n"/>
      <c r="F876" s="38" t="n"/>
      <c r="G876" s="38" t="n"/>
      <c r="H876" s="38" t="n"/>
      <c r="I876" s="38" t="n"/>
      <c r="J876" s="49">
        <f>IF(B876="","",IFERROR(INDEX('SETTINGS'!$M$5:$M$24,MATCH(B876,'SETTINGS'!$L$5:$L$24,0)),"Yes"))</f>
        <v/>
      </c>
      <c r="K876" s="51">
        <f>IF(A876="","",DATE(YEAR(A876),MONTH(A876),1))</f>
        <v/>
      </c>
    </row>
    <row r="877">
      <c r="A877" s="47" t="n"/>
      <c r="B877" s="38" t="n"/>
      <c r="C877" s="38" t="n"/>
      <c r="D877" s="38" t="n"/>
      <c r="E877" s="48" t="n"/>
      <c r="F877" s="38" t="n"/>
      <c r="G877" s="38" t="n"/>
      <c r="H877" s="38" t="n"/>
      <c r="I877" s="38" t="n"/>
      <c r="J877" s="49">
        <f>IF(B877="","",IFERROR(INDEX('SETTINGS'!$M$5:$M$24,MATCH(B877,'SETTINGS'!$L$5:$L$24,0)),"Yes"))</f>
        <v/>
      </c>
      <c r="K877" s="51">
        <f>IF(A877="","",DATE(YEAR(A877),MONTH(A877),1))</f>
        <v/>
      </c>
    </row>
    <row r="878">
      <c r="A878" s="47" t="n"/>
      <c r="B878" s="38" t="n"/>
      <c r="C878" s="38" t="n"/>
      <c r="D878" s="38" t="n"/>
      <c r="E878" s="48" t="n"/>
      <c r="F878" s="38" t="n"/>
      <c r="G878" s="38" t="n"/>
      <c r="H878" s="38" t="n"/>
      <c r="I878" s="38" t="n"/>
      <c r="J878" s="49">
        <f>IF(B878="","",IFERROR(INDEX('SETTINGS'!$M$5:$M$24,MATCH(B878,'SETTINGS'!$L$5:$L$24,0)),"Yes"))</f>
        <v/>
      </c>
      <c r="K878" s="51">
        <f>IF(A878="","",DATE(YEAR(A878),MONTH(A878),1))</f>
        <v/>
      </c>
    </row>
    <row r="879">
      <c r="A879" s="47" t="n"/>
      <c r="B879" s="38" t="n"/>
      <c r="C879" s="38" t="n"/>
      <c r="D879" s="38" t="n"/>
      <c r="E879" s="48" t="n"/>
      <c r="F879" s="38" t="n"/>
      <c r="G879" s="38" t="n"/>
      <c r="H879" s="38" t="n"/>
      <c r="I879" s="38" t="n"/>
      <c r="J879" s="49">
        <f>IF(B879="","",IFERROR(INDEX('SETTINGS'!$M$5:$M$24,MATCH(B879,'SETTINGS'!$L$5:$L$24,0)),"Yes"))</f>
        <v/>
      </c>
      <c r="K879" s="51">
        <f>IF(A879="","",DATE(YEAR(A879),MONTH(A879),1))</f>
        <v/>
      </c>
    </row>
    <row r="880">
      <c r="A880" s="47" t="n"/>
      <c r="B880" s="38" t="n"/>
      <c r="C880" s="38" t="n"/>
      <c r="D880" s="38" t="n"/>
      <c r="E880" s="48" t="n"/>
      <c r="F880" s="38" t="n"/>
      <c r="G880" s="38" t="n"/>
      <c r="H880" s="38" t="n"/>
      <c r="I880" s="38" t="n"/>
      <c r="J880" s="49">
        <f>IF(B880="","",IFERROR(INDEX('SETTINGS'!$M$5:$M$24,MATCH(B880,'SETTINGS'!$L$5:$L$24,0)),"Yes"))</f>
        <v/>
      </c>
      <c r="K880" s="51">
        <f>IF(A880="","",DATE(YEAR(A880),MONTH(A880),1))</f>
        <v/>
      </c>
    </row>
    <row r="881">
      <c r="A881" s="47" t="n"/>
      <c r="B881" s="38" t="n"/>
      <c r="C881" s="38" t="n"/>
      <c r="D881" s="38" t="n"/>
      <c r="E881" s="48" t="n"/>
      <c r="F881" s="38" t="n"/>
      <c r="G881" s="38" t="n"/>
      <c r="H881" s="38" t="n"/>
      <c r="I881" s="38" t="n"/>
      <c r="J881" s="49">
        <f>IF(B881="","",IFERROR(INDEX('SETTINGS'!$M$5:$M$24,MATCH(B881,'SETTINGS'!$L$5:$L$24,0)),"Yes"))</f>
        <v/>
      </c>
      <c r="K881" s="51">
        <f>IF(A881="","",DATE(YEAR(A881),MONTH(A881),1))</f>
        <v/>
      </c>
    </row>
    <row r="882">
      <c r="A882" s="47" t="n"/>
      <c r="B882" s="38" t="n"/>
      <c r="C882" s="38" t="n"/>
      <c r="D882" s="38" t="n"/>
      <c r="E882" s="48" t="n"/>
      <c r="F882" s="38" t="n"/>
      <c r="G882" s="38" t="n"/>
      <c r="H882" s="38" t="n"/>
      <c r="I882" s="38" t="n"/>
      <c r="J882" s="49">
        <f>IF(B882="","",IFERROR(INDEX('SETTINGS'!$M$5:$M$24,MATCH(B882,'SETTINGS'!$L$5:$L$24,0)),"Yes"))</f>
        <v/>
      </c>
      <c r="K882" s="51">
        <f>IF(A882="","",DATE(YEAR(A882),MONTH(A882),1))</f>
        <v/>
      </c>
    </row>
    <row r="883">
      <c r="A883" s="47" t="n"/>
      <c r="B883" s="38" t="n"/>
      <c r="C883" s="38" t="n"/>
      <c r="D883" s="38" t="n"/>
      <c r="E883" s="48" t="n"/>
      <c r="F883" s="38" t="n"/>
      <c r="G883" s="38" t="n"/>
      <c r="H883" s="38" t="n"/>
      <c r="I883" s="38" t="n"/>
      <c r="J883" s="49">
        <f>IF(B883="","",IFERROR(INDEX('SETTINGS'!$M$5:$M$24,MATCH(B883,'SETTINGS'!$L$5:$L$24,0)),"Yes"))</f>
        <v/>
      </c>
      <c r="K883" s="51">
        <f>IF(A883="","",DATE(YEAR(A883),MONTH(A883),1))</f>
        <v/>
      </c>
    </row>
    <row r="884">
      <c r="A884" s="47" t="n"/>
      <c r="B884" s="38" t="n"/>
      <c r="C884" s="38" t="n"/>
      <c r="D884" s="38" t="n"/>
      <c r="E884" s="48" t="n"/>
      <c r="F884" s="38" t="n"/>
      <c r="G884" s="38" t="n"/>
      <c r="H884" s="38" t="n"/>
      <c r="I884" s="38" t="n"/>
      <c r="J884" s="49">
        <f>IF(B884="","",IFERROR(INDEX('SETTINGS'!$M$5:$M$24,MATCH(B884,'SETTINGS'!$L$5:$L$24,0)),"Yes"))</f>
        <v/>
      </c>
      <c r="K884" s="51">
        <f>IF(A884="","",DATE(YEAR(A884),MONTH(A884),1))</f>
        <v/>
      </c>
    </row>
    <row r="885">
      <c r="A885" s="47" t="n"/>
      <c r="B885" s="38" t="n"/>
      <c r="C885" s="38" t="n"/>
      <c r="D885" s="38" t="n"/>
      <c r="E885" s="48" t="n"/>
      <c r="F885" s="38" t="n"/>
      <c r="G885" s="38" t="n"/>
      <c r="H885" s="38" t="n"/>
      <c r="I885" s="38" t="n"/>
      <c r="J885" s="49">
        <f>IF(B885="","",IFERROR(INDEX('SETTINGS'!$M$5:$M$24,MATCH(B885,'SETTINGS'!$L$5:$L$24,0)),"Yes"))</f>
        <v/>
      </c>
      <c r="K885" s="51">
        <f>IF(A885="","",DATE(YEAR(A885),MONTH(A885),1))</f>
        <v/>
      </c>
    </row>
    <row r="886">
      <c r="A886" s="47" t="n"/>
      <c r="B886" s="38" t="n"/>
      <c r="C886" s="38" t="n"/>
      <c r="D886" s="38" t="n"/>
      <c r="E886" s="48" t="n"/>
      <c r="F886" s="38" t="n"/>
      <c r="G886" s="38" t="n"/>
      <c r="H886" s="38" t="n"/>
      <c r="I886" s="38" t="n"/>
      <c r="J886" s="49">
        <f>IF(B886="","",IFERROR(INDEX('SETTINGS'!$M$5:$M$24,MATCH(B886,'SETTINGS'!$L$5:$L$24,0)),"Yes"))</f>
        <v/>
      </c>
      <c r="K886" s="51">
        <f>IF(A886="","",DATE(YEAR(A886),MONTH(A886),1))</f>
        <v/>
      </c>
    </row>
    <row r="887">
      <c r="A887" s="47" t="n"/>
      <c r="B887" s="38" t="n"/>
      <c r="C887" s="38" t="n"/>
      <c r="D887" s="38" t="n"/>
      <c r="E887" s="48" t="n"/>
      <c r="F887" s="38" t="n"/>
      <c r="G887" s="38" t="n"/>
      <c r="H887" s="38" t="n"/>
      <c r="I887" s="38" t="n"/>
      <c r="J887" s="49">
        <f>IF(B887="","",IFERROR(INDEX('SETTINGS'!$M$5:$M$24,MATCH(B887,'SETTINGS'!$L$5:$L$24,0)),"Yes"))</f>
        <v/>
      </c>
      <c r="K887" s="51">
        <f>IF(A887="","",DATE(YEAR(A887),MONTH(A887),1))</f>
        <v/>
      </c>
    </row>
    <row r="888">
      <c r="A888" s="47" t="n"/>
      <c r="B888" s="38" t="n"/>
      <c r="C888" s="38" t="n"/>
      <c r="D888" s="38" t="n"/>
      <c r="E888" s="48" t="n"/>
      <c r="F888" s="38" t="n"/>
      <c r="G888" s="38" t="n"/>
      <c r="H888" s="38" t="n"/>
      <c r="I888" s="38" t="n"/>
      <c r="J888" s="49">
        <f>IF(B888="","",IFERROR(INDEX('SETTINGS'!$M$5:$M$24,MATCH(B888,'SETTINGS'!$L$5:$L$24,0)),"Yes"))</f>
        <v/>
      </c>
      <c r="K888" s="51">
        <f>IF(A888="","",DATE(YEAR(A888),MONTH(A888),1))</f>
        <v/>
      </c>
    </row>
    <row r="889">
      <c r="A889" s="47" t="n"/>
      <c r="B889" s="38" t="n"/>
      <c r="C889" s="38" t="n"/>
      <c r="D889" s="38" t="n"/>
      <c r="E889" s="48" t="n"/>
      <c r="F889" s="38" t="n"/>
      <c r="G889" s="38" t="n"/>
      <c r="H889" s="38" t="n"/>
      <c r="I889" s="38" t="n"/>
      <c r="J889" s="49">
        <f>IF(B889="","",IFERROR(INDEX('SETTINGS'!$M$5:$M$24,MATCH(B889,'SETTINGS'!$L$5:$L$24,0)),"Yes"))</f>
        <v/>
      </c>
      <c r="K889" s="51">
        <f>IF(A889="","",DATE(YEAR(A889),MONTH(A889),1))</f>
        <v/>
      </c>
    </row>
    <row r="890">
      <c r="A890" s="47" t="n"/>
      <c r="B890" s="38" t="n"/>
      <c r="C890" s="38" t="n"/>
      <c r="D890" s="38" t="n"/>
      <c r="E890" s="48" t="n"/>
      <c r="F890" s="38" t="n"/>
      <c r="G890" s="38" t="n"/>
      <c r="H890" s="38" t="n"/>
      <c r="I890" s="38" t="n"/>
      <c r="J890" s="49">
        <f>IF(B890="","",IFERROR(INDEX('SETTINGS'!$M$5:$M$24,MATCH(B890,'SETTINGS'!$L$5:$L$24,0)),"Yes"))</f>
        <v/>
      </c>
      <c r="K890" s="51">
        <f>IF(A890="","",DATE(YEAR(A890),MONTH(A890),1))</f>
        <v/>
      </c>
    </row>
    <row r="891">
      <c r="A891" s="47" t="n"/>
      <c r="B891" s="38" t="n"/>
      <c r="C891" s="38" t="n"/>
      <c r="D891" s="38" t="n"/>
      <c r="E891" s="48" t="n"/>
      <c r="F891" s="38" t="n"/>
      <c r="G891" s="38" t="n"/>
      <c r="H891" s="38" t="n"/>
      <c r="I891" s="38" t="n"/>
      <c r="J891" s="49">
        <f>IF(B891="","",IFERROR(INDEX('SETTINGS'!$M$5:$M$24,MATCH(B891,'SETTINGS'!$L$5:$L$24,0)),"Yes"))</f>
        <v/>
      </c>
      <c r="K891" s="51">
        <f>IF(A891="","",DATE(YEAR(A891),MONTH(A891),1))</f>
        <v/>
      </c>
    </row>
    <row r="892">
      <c r="A892" s="47" t="n"/>
      <c r="B892" s="38" t="n"/>
      <c r="C892" s="38" t="n"/>
      <c r="D892" s="38" t="n"/>
      <c r="E892" s="48" t="n"/>
      <c r="F892" s="38" t="n"/>
      <c r="G892" s="38" t="n"/>
      <c r="H892" s="38" t="n"/>
      <c r="I892" s="38" t="n"/>
      <c r="J892" s="49">
        <f>IF(B892="","",IFERROR(INDEX('SETTINGS'!$M$5:$M$24,MATCH(B892,'SETTINGS'!$L$5:$L$24,0)),"Yes"))</f>
        <v/>
      </c>
      <c r="K892" s="51">
        <f>IF(A892="","",DATE(YEAR(A892),MONTH(A892),1))</f>
        <v/>
      </c>
    </row>
    <row r="893">
      <c r="A893" s="47" t="n"/>
      <c r="B893" s="38" t="n"/>
      <c r="C893" s="38" t="n"/>
      <c r="D893" s="38" t="n"/>
      <c r="E893" s="48" t="n"/>
      <c r="F893" s="38" t="n"/>
      <c r="G893" s="38" t="n"/>
      <c r="H893" s="38" t="n"/>
      <c r="I893" s="38" t="n"/>
      <c r="J893" s="49">
        <f>IF(B893="","",IFERROR(INDEX('SETTINGS'!$M$5:$M$24,MATCH(B893,'SETTINGS'!$L$5:$L$24,0)),"Yes"))</f>
        <v/>
      </c>
      <c r="K893" s="51">
        <f>IF(A893="","",DATE(YEAR(A893),MONTH(A893),1))</f>
        <v/>
      </c>
    </row>
    <row r="894">
      <c r="A894" s="47" t="n"/>
      <c r="B894" s="38" t="n"/>
      <c r="C894" s="38" t="n"/>
      <c r="D894" s="38" t="n"/>
      <c r="E894" s="48" t="n"/>
      <c r="F894" s="38" t="n"/>
      <c r="G894" s="38" t="n"/>
      <c r="H894" s="38" t="n"/>
      <c r="I894" s="38" t="n"/>
      <c r="J894" s="49">
        <f>IF(B894="","",IFERROR(INDEX('SETTINGS'!$M$5:$M$24,MATCH(B894,'SETTINGS'!$L$5:$L$24,0)),"Yes"))</f>
        <v/>
      </c>
      <c r="K894" s="51">
        <f>IF(A894="","",DATE(YEAR(A894),MONTH(A894),1))</f>
        <v/>
      </c>
    </row>
    <row r="895">
      <c r="A895" s="47" t="n"/>
      <c r="B895" s="38" t="n"/>
      <c r="C895" s="38" t="n"/>
      <c r="D895" s="38" t="n"/>
      <c r="E895" s="48" t="n"/>
      <c r="F895" s="38" t="n"/>
      <c r="G895" s="38" t="n"/>
      <c r="H895" s="38" t="n"/>
      <c r="I895" s="38" t="n"/>
      <c r="J895" s="49">
        <f>IF(B895="","",IFERROR(INDEX('SETTINGS'!$M$5:$M$24,MATCH(B895,'SETTINGS'!$L$5:$L$24,0)),"Yes"))</f>
        <v/>
      </c>
      <c r="K895" s="51">
        <f>IF(A895="","",DATE(YEAR(A895),MONTH(A895),1))</f>
        <v/>
      </c>
    </row>
    <row r="896">
      <c r="A896" s="47" t="n"/>
      <c r="B896" s="38" t="n"/>
      <c r="C896" s="38" t="n"/>
      <c r="D896" s="38" t="n"/>
      <c r="E896" s="48" t="n"/>
      <c r="F896" s="38" t="n"/>
      <c r="G896" s="38" t="n"/>
      <c r="H896" s="38" t="n"/>
      <c r="I896" s="38" t="n"/>
      <c r="J896" s="49">
        <f>IF(B896="","",IFERROR(INDEX('SETTINGS'!$M$5:$M$24,MATCH(B896,'SETTINGS'!$L$5:$L$24,0)),"Yes"))</f>
        <v/>
      </c>
      <c r="K896" s="51">
        <f>IF(A896="","",DATE(YEAR(A896),MONTH(A896),1))</f>
        <v/>
      </c>
    </row>
    <row r="897">
      <c r="A897" s="47" t="n"/>
      <c r="B897" s="38" t="n"/>
      <c r="C897" s="38" t="n"/>
      <c r="D897" s="38" t="n"/>
      <c r="E897" s="48" t="n"/>
      <c r="F897" s="38" t="n"/>
      <c r="G897" s="38" t="n"/>
      <c r="H897" s="38" t="n"/>
      <c r="I897" s="38" t="n"/>
      <c r="J897" s="49">
        <f>IF(B897="","",IFERROR(INDEX('SETTINGS'!$M$5:$M$24,MATCH(B897,'SETTINGS'!$L$5:$L$24,0)),"Yes"))</f>
        <v/>
      </c>
      <c r="K897" s="51">
        <f>IF(A897="","",DATE(YEAR(A897),MONTH(A897),1))</f>
        <v/>
      </c>
    </row>
    <row r="898">
      <c r="A898" s="47" t="n"/>
      <c r="B898" s="38" t="n"/>
      <c r="C898" s="38" t="n"/>
      <c r="D898" s="38" t="n"/>
      <c r="E898" s="48" t="n"/>
      <c r="F898" s="38" t="n"/>
      <c r="G898" s="38" t="n"/>
      <c r="H898" s="38" t="n"/>
      <c r="I898" s="38" t="n"/>
      <c r="J898" s="49">
        <f>IF(B898="","",IFERROR(INDEX('SETTINGS'!$M$5:$M$24,MATCH(B898,'SETTINGS'!$L$5:$L$24,0)),"Yes"))</f>
        <v/>
      </c>
      <c r="K898" s="51">
        <f>IF(A898="","",DATE(YEAR(A898),MONTH(A898),1))</f>
        <v/>
      </c>
    </row>
    <row r="899">
      <c r="A899" s="47" t="n"/>
      <c r="B899" s="38" t="n"/>
      <c r="C899" s="38" t="n"/>
      <c r="D899" s="38" t="n"/>
      <c r="E899" s="48" t="n"/>
      <c r="F899" s="38" t="n"/>
      <c r="G899" s="38" t="n"/>
      <c r="H899" s="38" t="n"/>
      <c r="I899" s="38" t="n"/>
      <c r="J899" s="49">
        <f>IF(B899="","",IFERROR(INDEX('SETTINGS'!$M$5:$M$24,MATCH(B899,'SETTINGS'!$L$5:$L$24,0)),"Yes"))</f>
        <v/>
      </c>
      <c r="K899" s="51">
        <f>IF(A899="","",DATE(YEAR(A899),MONTH(A899),1))</f>
        <v/>
      </c>
    </row>
    <row r="900">
      <c r="A900" s="47" t="n"/>
      <c r="B900" s="38" t="n"/>
      <c r="C900" s="38" t="n"/>
      <c r="D900" s="38" t="n"/>
      <c r="E900" s="48" t="n"/>
      <c r="F900" s="38" t="n"/>
      <c r="G900" s="38" t="n"/>
      <c r="H900" s="38" t="n"/>
      <c r="I900" s="38" t="n"/>
      <c r="J900" s="49">
        <f>IF(B900="","",IFERROR(INDEX('SETTINGS'!$M$5:$M$24,MATCH(B900,'SETTINGS'!$L$5:$L$24,0)),"Yes"))</f>
        <v/>
      </c>
      <c r="K900" s="51">
        <f>IF(A900="","",DATE(YEAR(A900),MONTH(A900),1))</f>
        <v/>
      </c>
    </row>
    <row r="901">
      <c r="A901" s="47" t="n"/>
      <c r="B901" s="38" t="n"/>
      <c r="C901" s="38" t="n"/>
      <c r="D901" s="38" t="n"/>
      <c r="E901" s="48" t="n"/>
      <c r="F901" s="38" t="n"/>
      <c r="G901" s="38" t="n"/>
      <c r="H901" s="38" t="n"/>
      <c r="I901" s="38" t="n"/>
      <c r="J901" s="49">
        <f>IF(B901="","",IFERROR(INDEX('SETTINGS'!$M$5:$M$24,MATCH(B901,'SETTINGS'!$L$5:$L$24,0)),"Yes"))</f>
        <v/>
      </c>
      <c r="K901" s="51">
        <f>IF(A901="","",DATE(YEAR(A901),MONTH(A901),1))</f>
        <v/>
      </c>
    </row>
    <row r="902">
      <c r="A902" s="47" t="n"/>
      <c r="B902" s="38" t="n"/>
      <c r="C902" s="38" t="n"/>
      <c r="D902" s="38" t="n"/>
      <c r="E902" s="48" t="n"/>
      <c r="F902" s="38" t="n"/>
      <c r="G902" s="38" t="n"/>
      <c r="H902" s="38" t="n"/>
      <c r="I902" s="38" t="n"/>
      <c r="J902" s="49">
        <f>IF(B902="","",IFERROR(INDEX('SETTINGS'!$M$5:$M$24,MATCH(B902,'SETTINGS'!$L$5:$L$24,0)),"Yes"))</f>
        <v/>
      </c>
      <c r="K902" s="51">
        <f>IF(A902="","",DATE(YEAR(A902),MONTH(A902),1))</f>
        <v/>
      </c>
    </row>
    <row r="903">
      <c r="A903" s="47" t="n"/>
      <c r="B903" s="38" t="n"/>
      <c r="C903" s="38" t="n"/>
      <c r="D903" s="38" t="n"/>
      <c r="E903" s="48" t="n"/>
      <c r="F903" s="38" t="n"/>
      <c r="G903" s="38" t="n"/>
      <c r="H903" s="38" t="n"/>
      <c r="I903" s="38" t="n"/>
      <c r="J903" s="49">
        <f>IF(B903="","",IFERROR(INDEX('SETTINGS'!$M$5:$M$24,MATCH(B903,'SETTINGS'!$L$5:$L$24,0)),"Yes"))</f>
        <v/>
      </c>
      <c r="K903" s="51">
        <f>IF(A903="","",DATE(YEAR(A903),MONTH(A903),1))</f>
        <v/>
      </c>
    </row>
    <row r="904">
      <c r="A904" s="47" t="n"/>
      <c r="B904" s="38" t="n"/>
      <c r="C904" s="38" t="n"/>
      <c r="D904" s="38" t="n"/>
      <c r="E904" s="48" t="n"/>
      <c r="F904" s="38" t="n"/>
      <c r="G904" s="38" t="n"/>
      <c r="H904" s="38" t="n"/>
      <c r="I904" s="38" t="n"/>
      <c r="J904" s="49">
        <f>IF(B904="","",IFERROR(INDEX('SETTINGS'!$M$5:$M$24,MATCH(B904,'SETTINGS'!$L$5:$L$24,0)),"Yes"))</f>
        <v/>
      </c>
      <c r="K904" s="51">
        <f>IF(A904="","",DATE(YEAR(A904),MONTH(A904),1))</f>
        <v/>
      </c>
    </row>
    <row r="905">
      <c r="A905" s="47" t="n"/>
      <c r="B905" s="38" t="n"/>
      <c r="C905" s="38" t="n"/>
      <c r="D905" s="38" t="n"/>
      <c r="E905" s="48" t="n"/>
      <c r="F905" s="38" t="n"/>
      <c r="G905" s="38" t="n"/>
      <c r="H905" s="38" t="n"/>
      <c r="I905" s="38" t="n"/>
      <c r="J905" s="49">
        <f>IF(B905="","",IFERROR(INDEX('SETTINGS'!$M$5:$M$24,MATCH(B905,'SETTINGS'!$L$5:$L$24,0)),"Yes"))</f>
        <v/>
      </c>
      <c r="K905" s="51">
        <f>IF(A905="","",DATE(YEAR(A905),MONTH(A905),1))</f>
        <v/>
      </c>
    </row>
    <row r="906">
      <c r="A906" s="47" t="n"/>
      <c r="B906" s="38" t="n"/>
      <c r="C906" s="38" t="n"/>
      <c r="D906" s="38" t="n"/>
      <c r="E906" s="48" t="n"/>
      <c r="F906" s="38" t="n"/>
      <c r="G906" s="38" t="n"/>
      <c r="H906" s="38" t="n"/>
      <c r="I906" s="38" t="n"/>
      <c r="J906" s="49">
        <f>IF(B906="","",IFERROR(INDEX('SETTINGS'!$M$5:$M$24,MATCH(B906,'SETTINGS'!$L$5:$L$24,0)),"Yes"))</f>
        <v/>
      </c>
      <c r="K906" s="51">
        <f>IF(A906="","",DATE(YEAR(A906),MONTH(A906),1))</f>
        <v/>
      </c>
    </row>
    <row r="907">
      <c r="A907" s="47" t="n"/>
      <c r="B907" s="38" t="n"/>
      <c r="C907" s="38" t="n"/>
      <c r="D907" s="38" t="n"/>
      <c r="E907" s="48" t="n"/>
      <c r="F907" s="38" t="n"/>
      <c r="G907" s="38" t="n"/>
      <c r="H907" s="38" t="n"/>
      <c r="I907" s="38" t="n"/>
      <c r="J907" s="49">
        <f>IF(B907="","",IFERROR(INDEX('SETTINGS'!$M$5:$M$24,MATCH(B907,'SETTINGS'!$L$5:$L$24,0)),"Yes"))</f>
        <v/>
      </c>
      <c r="K907" s="51">
        <f>IF(A907="","",DATE(YEAR(A907),MONTH(A907),1))</f>
        <v/>
      </c>
    </row>
    <row r="908">
      <c r="A908" s="47" t="n"/>
      <c r="B908" s="38" t="n"/>
      <c r="C908" s="38" t="n"/>
      <c r="D908" s="38" t="n"/>
      <c r="E908" s="48" t="n"/>
      <c r="F908" s="38" t="n"/>
      <c r="G908" s="38" t="n"/>
      <c r="H908" s="38" t="n"/>
      <c r="I908" s="38" t="n"/>
      <c r="J908" s="49">
        <f>IF(B908="","",IFERROR(INDEX('SETTINGS'!$M$5:$M$24,MATCH(B908,'SETTINGS'!$L$5:$L$24,0)),"Yes"))</f>
        <v/>
      </c>
      <c r="K908" s="51">
        <f>IF(A908="","",DATE(YEAR(A908),MONTH(A908),1))</f>
        <v/>
      </c>
    </row>
    <row r="909">
      <c r="A909" s="47" t="n"/>
      <c r="B909" s="38" t="n"/>
      <c r="C909" s="38" t="n"/>
      <c r="D909" s="38" t="n"/>
      <c r="E909" s="48" t="n"/>
      <c r="F909" s="38" t="n"/>
      <c r="G909" s="38" t="n"/>
      <c r="H909" s="38" t="n"/>
      <c r="I909" s="38" t="n"/>
      <c r="J909" s="49">
        <f>IF(B909="","",IFERROR(INDEX('SETTINGS'!$M$5:$M$24,MATCH(B909,'SETTINGS'!$L$5:$L$24,0)),"Yes"))</f>
        <v/>
      </c>
      <c r="K909" s="51">
        <f>IF(A909="","",DATE(YEAR(A909),MONTH(A909),1))</f>
        <v/>
      </c>
    </row>
    <row r="910">
      <c r="A910" s="47" t="n"/>
      <c r="B910" s="38" t="n"/>
      <c r="C910" s="38" t="n"/>
      <c r="D910" s="38" t="n"/>
      <c r="E910" s="48" t="n"/>
      <c r="F910" s="38" t="n"/>
      <c r="G910" s="38" t="n"/>
      <c r="H910" s="38" t="n"/>
      <c r="I910" s="38" t="n"/>
      <c r="J910" s="49">
        <f>IF(B910="","",IFERROR(INDEX('SETTINGS'!$M$5:$M$24,MATCH(B910,'SETTINGS'!$L$5:$L$24,0)),"Yes"))</f>
        <v/>
      </c>
      <c r="K910" s="51">
        <f>IF(A910="","",DATE(YEAR(A910),MONTH(A910),1))</f>
        <v/>
      </c>
    </row>
    <row r="911">
      <c r="A911" s="47" t="n"/>
      <c r="B911" s="38" t="n"/>
      <c r="C911" s="38" t="n"/>
      <c r="D911" s="38" t="n"/>
      <c r="E911" s="48" t="n"/>
      <c r="F911" s="38" t="n"/>
      <c r="G911" s="38" t="n"/>
      <c r="H911" s="38" t="n"/>
      <c r="I911" s="38" t="n"/>
      <c r="J911" s="49">
        <f>IF(B911="","",IFERROR(INDEX('SETTINGS'!$M$5:$M$24,MATCH(B911,'SETTINGS'!$L$5:$L$24,0)),"Yes"))</f>
        <v/>
      </c>
      <c r="K911" s="51">
        <f>IF(A911="","",DATE(YEAR(A911),MONTH(A911),1))</f>
        <v/>
      </c>
    </row>
    <row r="912">
      <c r="A912" s="47" t="n"/>
      <c r="B912" s="38" t="n"/>
      <c r="C912" s="38" t="n"/>
      <c r="D912" s="38" t="n"/>
      <c r="E912" s="48" t="n"/>
      <c r="F912" s="38" t="n"/>
      <c r="G912" s="38" t="n"/>
      <c r="H912" s="38" t="n"/>
      <c r="I912" s="38" t="n"/>
      <c r="J912" s="49">
        <f>IF(B912="","",IFERROR(INDEX('SETTINGS'!$M$5:$M$24,MATCH(B912,'SETTINGS'!$L$5:$L$24,0)),"Yes"))</f>
        <v/>
      </c>
      <c r="K912" s="51">
        <f>IF(A912="","",DATE(YEAR(A912),MONTH(A912),1))</f>
        <v/>
      </c>
    </row>
    <row r="913">
      <c r="A913" s="47" t="n"/>
      <c r="B913" s="38" t="n"/>
      <c r="C913" s="38" t="n"/>
      <c r="D913" s="38" t="n"/>
      <c r="E913" s="48" t="n"/>
      <c r="F913" s="38" t="n"/>
      <c r="G913" s="38" t="n"/>
      <c r="H913" s="38" t="n"/>
      <c r="I913" s="38" t="n"/>
      <c r="J913" s="49">
        <f>IF(B913="","",IFERROR(INDEX('SETTINGS'!$M$5:$M$24,MATCH(B913,'SETTINGS'!$L$5:$L$24,0)),"Yes"))</f>
        <v/>
      </c>
      <c r="K913" s="51">
        <f>IF(A913="","",DATE(YEAR(A913),MONTH(A913),1))</f>
        <v/>
      </c>
    </row>
    <row r="914">
      <c r="A914" s="47" t="n"/>
      <c r="B914" s="38" t="n"/>
      <c r="C914" s="38" t="n"/>
      <c r="D914" s="38" t="n"/>
      <c r="E914" s="48" t="n"/>
      <c r="F914" s="38" t="n"/>
      <c r="G914" s="38" t="n"/>
      <c r="H914" s="38" t="n"/>
      <c r="I914" s="38" t="n"/>
      <c r="J914" s="49">
        <f>IF(B914="","",IFERROR(INDEX('SETTINGS'!$M$5:$M$24,MATCH(B914,'SETTINGS'!$L$5:$L$24,0)),"Yes"))</f>
        <v/>
      </c>
      <c r="K914" s="51">
        <f>IF(A914="","",DATE(YEAR(A914),MONTH(A914),1))</f>
        <v/>
      </c>
    </row>
    <row r="915">
      <c r="A915" s="47" t="n"/>
      <c r="B915" s="38" t="n"/>
      <c r="C915" s="38" t="n"/>
      <c r="D915" s="38" t="n"/>
      <c r="E915" s="48" t="n"/>
      <c r="F915" s="38" t="n"/>
      <c r="G915" s="38" t="n"/>
      <c r="H915" s="38" t="n"/>
      <c r="I915" s="38" t="n"/>
      <c r="J915" s="49">
        <f>IF(B915="","",IFERROR(INDEX('SETTINGS'!$M$5:$M$24,MATCH(B915,'SETTINGS'!$L$5:$L$24,0)),"Yes"))</f>
        <v/>
      </c>
      <c r="K915" s="51">
        <f>IF(A915="","",DATE(YEAR(A915),MONTH(A915),1))</f>
        <v/>
      </c>
    </row>
    <row r="916">
      <c r="A916" s="47" t="n"/>
      <c r="B916" s="38" t="n"/>
      <c r="C916" s="38" t="n"/>
      <c r="D916" s="38" t="n"/>
      <c r="E916" s="48" t="n"/>
      <c r="F916" s="38" t="n"/>
      <c r="G916" s="38" t="n"/>
      <c r="H916" s="38" t="n"/>
      <c r="I916" s="38" t="n"/>
      <c r="J916" s="49">
        <f>IF(B916="","",IFERROR(INDEX('SETTINGS'!$M$5:$M$24,MATCH(B916,'SETTINGS'!$L$5:$L$24,0)),"Yes"))</f>
        <v/>
      </c>
      <c r="K916" s="51">
        <f>IF(A916="","",DATE(YEAR(A916),MONTH(A916),1))</f>
        <v/>
      </c>
    </row>
    <row r="917">
      <c r="A917" s="47" t="n"/>
      <c r="B917" s="38" t="n"/>
      <c r="C917" s="38" t="n"/>
      <c r="D917" s="38" t="n"/>
      <c r="E917" s="48" t="n"/>
      <c r="F917" s="38" t="n"/>
      <c r="G917" s="38" t="n"/>
      <c r="H917" s="38" t="n"/>
      <c r="I917" s="38" t="n"/>
      <c r="J917" s="49">
        <f>IF(B917="","",IFERROR(INDEX('SETTINGS'!$M$5:$M$24,MATCH(B917,'SETTINGS'!$L$5:$L$24,0)),"Yes"))</f>
        <v/>
      </c>
      <c r="K917" s="51">
        <f>IF(A917="","",DATE(YEAR(A917),MONTH(A917),1))</f>
        <v/>
      </c>
    </row>
    <row r="918">
      <c r="A918" s="47" t="n"/>
      <c r="B918" s="38" t="n"/>
      <c r="C918" s="38" t="n"/>
      <c r="D918" s="38" t="n"/>
      <c r="E918" s="48" t="n"/>
      <c r="F918" s="38" t="n"/>
      <c r="G918" s="38" t="n"/>
      <c r="H918" s="38" t="n"/>
      <c r="I918" s="38" t="n"/>
      <c r="J918" s="49">
        <f>IF(B918="","",IFERROR(INDEX('SETTINGS'!$M$5:$M$24,MATCH(B918,'SETTINGS'!$L$5:$L$24,0)),"Yes"))</f>
        <v/>
      </c>
      <c r="K918" s="51">
        <f>IF(A918="","",DATE(YEAR(A918),MONTH(A918),1))</f>
        <v/>
      </c>
    </row>
    <row r="919">
      <c r="A919" s="47" t="n"/>
      <c r="B919" s="38" t="n"/>
      <c r="C919" s="38" t="n"/>
      <c r="D919" s="38" t="n"/>
      <c r="E919" s="48" t="n"/>
      <c r="F919" s="38" t="n"/>
      <c r="G919" s="38" t="n"/>
      <c r="H919" s="38" t="n"/>
      <c r="I919" s="38" t="n"/>
      <c r="J919" s="49">
        <f>IF(B919="","",IFERROR(INDEX('SETTINGS'!$M$5:$M$24,MATCH(B919,'SETTINGS'!$L$5:$L$24,0)),"Yes"))</f>
        <v/>
      </c>
      <c r="K919" s="51">
        <f>IF(A919="","",DATE(YEAR(A919),MONTH(A919),1))</f>
        <v/>
      </c>
    </row>
    <row r="920">
      <c r="A920" s="47" t="n"/>
      <c r="B920" s="38" t="n"/>
      <c r="C920" s="38" t="n"/>
      <c r="D920" s="38" t="n"/>
      <c r="E920" s="48" t="n"/>
      <c r="F920" s="38" t="n"/>
      <c r="G920" s="38" t="n"/>
      <c r="H920" s="38" t="n"/>
      <c r="I920" s="38" t="n"/>
      <c r="J920" s="49">
        <f>IF(B920="","",IFERROR(INDEX('SETTINGS'!$M$5:$M$24,MATCH(B920,'SETTINGS'!$L$5:$L$24,0)),"Yes"))</f>
        <v/>
      </c>
      <c r="K920" s="51">
        <f>IF(A920="","",DATE(YEAR(A920),MONTH(A920),1))</f>
        <v/>
      </c>
    </row>
    <row r="921">
      <c r="A921" s="47" t="n"/>
      <c r="B921" s="38" t="n"/>
      <c r="C921" s="38" t="n"/>
      <c r="D921" s="38" t="n"/>
      <c r="E921" s="48" t="n"/>
      <c r="F921" s="38" t="n"/>
      <c r="G921" s="38" t="n"/>
      <c r="H921" s="38" t="n"/>
      <c r="I921" s="38" t="n"/>
      <c r="J921" s="49">
        <f>IF(B921="","",IFERROR(INDEX('SETTINGS'!$M$5:$M$24,MATCH(B921,'SETTINGS'!$L$5:$L$24,0)),"Yes"))</f>
        <v/>
      </c>
      <c r="K921" s="51">
        <f>IF(A921="","",DATE(YEAR(A921),MONTH(A921),1))</f>
        <v/>
      </c>
    </row>
    <row r="922">
      <c r="A922" s="47" t="n"/>
      <c r="B922" s="38" t="n"/>
      <c r="C922" s="38" t="n"/>
      <c r="D922" s="38" t="n"/>
      <c r="E922" s="48" t="n"/>
      <c r="F922" s="38" t="n"/>
      <c r="G922" s="38" t="n"/>
      <c r="H922" s="38" t="n"/>
      <c r="I922" s="38" t="n"/>
      <c r="J922" s="49">
        <f>IF(B922="","",IFERROR(INDEX('SETTINGS'!$M$5:$M$24,MATCH(B922,'SETTINGS'!$L$5:$L$24,0)),"Yes"))</f>
        <v/>
      </c>
      <c r="K922" s="51">
        <f>IF(A922="","",DATE(YEAR(A922),MONTH(A922),1))</f>
        <v/>
      </c>
    </row>
    <row r="923">
      <c r="A923" s="47" t="n"/>
      <c r="B923" s="38" t="n"/>
      <c r="C923" s="38" t="n"/>
      <c r="D923" s="38" t="n"/>
      <c r="E923" s="48" t="n"/>
      <c r="F923" s="38" t="n"/>
      <c r="G923" s="38" t="n"/>
      <c r="H923" s="38" t="n"/>
      <c r="I923" s="38" t="n"/>
      <c r="J923" s="49">
        <f>IF(B923="","",IFERROR(INDEX('SETTINGS'!$M$5:$M$24,MATCH(B923,'SETTINGS'!$L$5:$L$24,0)),"Yes"))</f>
        <v/>
      </c>
      <c r="K923" s="51">
        <f>IF(A923="","",DATE(YEAR(A923),MONTH(A923),1))</f>
        <v/>
      </c>
    </row>
    <row r="924">
      <c r="A924" s="47" t="n"/>
      <c r="B924" s="38" t="n"/>
      <c r="C924" s="38" t="n"/>
      <c r="D924" s="38" t="n"/>
      <c r="E924" s="48" t="n"/>
      <c r="F924" s="38" t="n"/>
      <c r="G924" s="38" t="n"/>
      <c r="H924" s="38" t="n"/>
      <c r="I924" s="38" t="n"/>
      <c r="J924" s="49">
        <f>IF(B924="","",IFERROR(INDEX('SETTINGS'!$M$5:$M$24,MATCH(B924,'SETTINGS'!$L$5:$L$24,0)),"Yes"))</f>
        <v/>
      </c>
      <c r="K924" s="51">
        <f>IF(A924="","",DATE(YEAR(A924),MONTH(A924),1))</f>
        <v/>
      </c>
    </row>
    <row r="925">
      <c r="A925" s="47" t="n"/>
      <c r="B925" s="38" t="n"/>
      <c r="C925" s="38" t="n"/>
      <c r="D925" s="38" t="n"/>
      <c r="E925" s="48" t="n"/>
      <c r="F925" s="38" t="n"/>
      <c r="G925" s="38" t="n"/>
      <c r="H925" s="38" t="n"/>
      <c r="I925" s="38" t="n"/>
      <c r="J925" s="49">
        <f>IF(B925="","",IFERROR(INDEX('SETTINGS'!$M$5:$M$24,MATCH(B925,'SETTINGS'!$L$5:$L$24,0)),"Yes"))</f>
        <v/>
      </c>
      <c r="K925" s="51">
        <f>IF(A925="","",DATE(YEAR(A925),MONTH(A925),1))</f>
        <v/>
      </c>
    </row>
    <row r="926">
      <c r="A926" s="47" t="n"/>
      <c r="B926" s="38" t="n"/>
      <c r="C926" s="38" t="n"/>
      <c r="D926" s="38" t="n"/>
      <c r="E926" s="48" t="n"/>
      <c r="F926" s="38" t="n"/>
      <c r="G926" s="38" t="n"/>
      <c r="H926" s="38" t="n"/>
      <c r="I926" s="38" t="n"/>
      <c r="J926" s="49">
        <f>IF(B926="","",IFERROR(INDEX('SETTINGS'!$M$5:$M$24,MATCH(B926,'SETTINGS'!$L$5:$L$24,0)),"Yes"))</f>
        <v/>
      </c>
      <c r="K926" s="51">
        <f>IF(A926="","",DATE(YEAR(A926),MONTH(A926),1))</f>
        <v/>
      </c>
    </row>
    <row r="927">
      <c r="A927" s="47" t="n"/>
      <c r="B927" s="38" t="n"/>
      <c r="C927" s="38" t="n"/>
      <c r="D927" s="38" t="n"/>
      <c r="E927" s="48" t="n"/>
      <c r="F927" s="38" t="n"/>
      <c r="G927" s="38" t="n"/>
      <c r="H927" s="38" t="n"/>
      <c r="I927" s="38" t="n"/>
      <c r="J927" s="49">
        <f>IF(B927="","",IFERROR(INDEX('SETTINGS'!$M$5:$M$24,MATCH(B927,'SETTINGS'!$L$5:$L$24,0)),"Yes"))</f>
        <v/>
      </c>
      <c r="K927" s="51">
        <f>IF(A927="","",DATE(YEAR(A927),MONTH(A927),1))</f>
        <v/>
      </c>
    </row>
    <row r="928">
      <c r="A928" s="47" t="n"/>
      <c r="B928" s="38" t="n"/>
      <c r="C928" s="38" t="n"/>
      <c r="D928" s="38" t="n"/>
      <c r="E928" s="48" t="n"/>
      <c r="F928" s="38" t="n"/>
      <c r="G928" s="38" t="n"/>
      <c r="H928" s="38" t="n"/>
      <c r="I928" s="38" t="n"/>
      <c r="J928" s="49">
        <f>IF(B928="","",IFERROR(INDEX('SETTINGS'!$M$5:$M$24,MATCH(B928,'SETTINGS'!$L$5:$L$24,0)),"Yes"))</f>
        <v/>
      </c>
      <c r="K928" s="51">
        <f>IF(A928="","",DATE(YEAR(A928),MONTH(A928),1))</f>
        <v/>
      </c>
    </row>
    <row r="929">
      <c r="A929" s="47" t="n"/>
      <c r="B929" s="38" t="n"/>
      <c r="C929" s="38" t="n"/>
      <c r="D929" s="38" t="n"/>
      <c r="E929" s="48" t="n"/>
      <c r="F929" s="38" t="n"/>
      <c r="G929" s="38" t="n"/>
      <c r="H929" s="38" t="n"/>
      <c r="I929" s="38" t="n"/>
      <c r="J929" s="49">
        <f>IF(B929="","",IFERROR(INDEX('SETTINGS'!$M$5:$M$24,MATCH(B929,'SETTINGS'!$L$5:$L$24,0)),"Yes"))</f>
        <v/>
      </c>
      <c r="K929" s="51">
        <f>IF(A929="","",DATE(YEAR(A929),MONTH(A929),1))</f>
        <v/>
      </c>
    </row>
    <row r="930">
      <c r="A930" s="47" t="n"/>
      <c r="B930" s="38" t="n"/>
      <c r="C930" s="38" t="n"/>
      <c r="D930" s="38" t="n"/>
      <c r="E930" s="48" t="n"/>
      <c r="F930" s="38" t="n"/>
      <c r="G930" s="38" t="n"/>
      <c r="H930" s="38" t="n"/>
      <c r="I930" s="38" t="n"/>
      <c r="J930" s="49">
        <f>IF(B930="","",IFERROR(INDEX('SETTINGS'!$M$5:$M$24,MATCH(B930,'SETTINGS'!$L$5:$L$24,0)),"Yes"))</f>
        <v/>
      </c>
      <c r="K930" s="51">
        <f>IF(A930="","",DATE(YEAR(A930),MONTH(A930),1))</f>
        <v/>
      </c>
    </row>
    <row r="931">
      <c r="A931" s="47" t="n"/>
      <c r="B931" s="38" t="n"/>
      <c r="C931" s="38" t="n"/>
      <c r="D931" s="38" t="n"/>
      <c r="E931" s="48" t="n"/>
      <c r="F931" s="38" t="n"/>
      <c r="G931" s="38" t="n"/>
      <c r="H931" s="38" t="n"/>
      <c r="I931" s="38" t="n"/>
      <c r="J931" s="49">
        <f>IF(B931="","",IFERROR(INDEX('SETTINGS'!$M$5:$M$24,MATCH(B931,'SETTINGS'!$L$5:$L$24,0)),"Yes"))</f>
        <v/>
      </c>
      <c r="K931" s="51">
        <f>IF(A931="","",DATE(YEAR(A931),MONTH(A931),1))</f>
        <v/>
      </c>
    </row>
    <row r="932">
      <c r="A932" s="47" t="n"/>
      <c r="B932" s="38" t="n"/>
      <c r="C932" s="38" t="n"/>
      <c r="D932" s="38" t="n"/>
      <c r="E932" s="48" t="n"/>
      <c r="F932" s="38" t="n"/>
      <c r="G932" s="38" t="n"/>
      <c r="H932" s="38" t="n"/>
      <c r="I932" s="38" t="n"/>
      <c r="J932" s="49">
        <f>IF(B932="","",IFERROR(INDEX('SETTINGS'!$M$5:$M$24,MATCH(B932,'SETTINGS'!$L$5:$L$24,0)),"Yes"))</f>
        <v/>
      </c>
      <c r="K932" s="51">
        <f>IF(A932="","",DATE(YEAR(A932),MONTH(A932),1))</f>
        <v/>
      </c>
    </row>
    <row r="933">
      <c r="A933" s="47" t="n"/>
      <c r="B933" s="38" t="n"/>
      <c r="C933" s="38" t="n"/>
      <c r="D933" s="38" t="n"/>
      <c r="E933" s="48" t="n"/>
      <c r="F933" s="38" t="n"/>
      <c r="G933" s="38" t="n"/>
      <c r="H933" s="38" t="n"/>
      <c r="I933" s="38" t="n"/>
      <c r="J933" s="49">
        <f>IF(B933="","",IFERROR(INDEX('SETTINGS'!$M$5:$M$24,MATCH(B933,'SETTINGS'!$L$5:$L$24,0)),"Yes"))</f>
        <v/>
      </c>
      <c r="K933" s="51">
        <f>IF(A933="","",DATE(YEAR(A933),MONTH(A933),1))</f>
        <v/>
      </c>
    </row>
    <row r="934">
      <c r="A934" s="47" t="n"/>
      <c r="B934" s="38" t="n"/>
      <c r="C934" s="38" t="n"/>
      <c r="D934" s="38" t="n"/>
      <c r="E934" s="48" t="n"/>
      <c r="F934" s="38" t="n"/>
      <c r="G934" s="38" t="n"/>
      <c r="H934" s="38" t="n"/>
      <c r="I934" s="38" t="n"/>
      <c r="J934" s="49">
        <f>IF(B934="","",IFERROR(INDEX('SETTINGS'!$M$5:$M$24,MATCH(B934,'SETTINGS'!$L$5:$L$24,0)),"Yes"))</f>
        <v/>
      </c>
      <c r="K934" s="51">
        <f>IF(A934="","",DATE(YEAR(A934),MONTH(A934),1))</f>
        <v/>
      </c>
    </row>
    <row r="935">
      <c r="A935" s="47" t="n"/>
      <c r="B935" s="38" t="n"/>
      <c r="C935" s="38" t="n"/>
      <c r="D935" s="38" t="n"/>
      <c r="E935" s="48" t="n"/>
      <c r="F935" s="38" t="n"/>
      <c r="G935" s="38" t="n"/>
      <c r="H935" s="38" t="n"/>
      <c r="I935" s="38" t="n"/>
      <c r="J935" s="49">
        <f>IF(B935="","",IFERROR(INDEX('SETTINGS'!$M$5:$M$24,MATCH(B935,'SETTINGS'!$L$5:$L$24,0)),"Yes"))</f>
        <v/>
      </c>
      <c r="K935" s="51">
        <f>IF(A935="","",DATE(YEAR(A935),MONTH(A935),1))</f>
        <v/>
      </c>
    </row>
    <row r="936">
      <c r="A936" s="47" t="n"/>
      <c r="B936" s="38" t="n"/>
      <c r="C936" s="38" t="n"/>
      <c r="D936" s="38" t="n"/>
      <c r="E936" s="48" t="n"/>
      <c r="F936" s="38" t="n"/>
      <c r="G936" s="38" t="n"/>
      <c r="H936" s="38" t="n"/>
      <c r="I936" s="38" t="n"/>
      <c r="J936" s="49">
        <f>IF(B936="","",IFERROR(INDEX('SETTINGS'!$M$5:$M$24,MATCH(B936,'SETTINGS'!$L$5:$L$24,0)),"Yes"))</f>
        <v/>
      </c>
      <c r="K936" s="51">
        <f>IF(A936="","",DATE(YEAR(A936),MONTH(A936),1))</f>
        <v/>
      </c>
    </row>
    <row r="937">
      <c r="A937" s="47" t="n"/>
      <c r="B937" s="38" t="n"/>
      <c r="C937" s="38" t="n"/>
      <c r="D937" s="38" t="n"/>
      <c r="E937" s="48" t="n"/>
      <c r="F937" s="38" t="n"/>
      <c r="G937" s="38" t="n"/>
      <c r="H937" s="38" t="n"/>
      <c r="I937" s="38" t="n"/>
      <c r="J937" s="49">
        <f>IF(B937="","",IFERROR(INDEX('SETTINGS'!$M$5:$M$24,MATCH(B937,'SETTINGS'!$L$5:$L$24,0)),"Yes"))</f>
        <v/>
      </c>
      <c r="K937" s="51">
        <f>IF(A937="","",DATE(YEAR(A937),MONTH(A937),1))</f>
        <v/>
      </c>
    </row>
    <row r="938">
      <c r="A938" s="47" t="n"/>
      <c r="B938" s="38" t="n"/>
      <c r="C938" s="38" t="n"/>
      <c r="D938" s="38" t="n"/>
      <c r="E938" s="48" t="n"/>
      <c r="F938" s="38" t="n"/>
      <c r="G938" s="38" t="n"/>
      <c r="H938" s="38" t="n"/>
      <c r="I938" s="38" t="n"/>
      <c r="J938" s="49">
        <f>IF(B938="","",IFERROR(INDEX('SETTINGS'!$M$5:$M$24,MATCH(B938,'SETTINGS'!$L$5:$L$24,0)),"Yes"))</f>
        <v/>
      </c>
      <c r="K938" s="51">
        <f>IF(A938="","",DATE(YEAR(A938),MONTH(A938),1))</f>
        <v/>
      </c>
    </row>
    <row r="939">
      <c r="A939" s="47" t="n"/>
      <c r="B939" s="38" t="n"/>
      <c r="C939" s="38" t="n"/>
      <c r="D939" s="38" t="n"/>
      <c r="E939" s="48" t="n"/>
      <c r="F939" s="38" t="n"/>
      <c r="G939" s="38" t="n"/>
      <c r="H939" s="38" t="n"/>
      <c r="I939" s="38" t="n"/>
      <c r="J939" s="49">
        <f>IF(B939="","",IFERROR(INDEX('SETTINGS'!$M$5:$M$24,MATCH(B939,'SETTINGS'!$L$5:$L$24,0)),"Yes"))</f>
        <v/>
      </c>
      <c r="K939" s="51">
        <f>IF(A939="","",DATE(YEAR(A939),MONTH(A939),1))</f>
        <v/>
      </c>
    </row>
    <row r="940">
      <c r="A940" s="47" t="n"/>
      <c r="B940" s="38" t="n"/>
      <c r="C940" s="38" t="n"/>
      <c r="D940" s="38" t="n"/>
      <c r="E940" s="48" t="n"/>
      <c r="F940" s="38" t="n"/>
      <c r="G940" s="38" t="n"/>
      <c r="H940" s="38" t="n"/>
      <c r="I940" s="38" t="n"/>
      <c r="J940" s="49">
        <f>IF(B940="","",IFERROR(INDEX('SETTINGS'!$M$5:$M$24,MATCH(B940,'SETTINGS'!$L$5:$L$24,0)),"Yes"))</f>
        <v/>
      </c>
      <c r="K940" s="51">
        <f>IF(A940="","",DATE(YEAR(A940),MONTH(A940),1))</f>
        <v/>
      </c>
    </row>
    <row r="941">
      <c r="A941" s="47" t="n"/>
      <c r="B941" s="38" t="n"/>
      <c r="C941" s="38" t="n"/>
      <c r="D941" s="38" t="n"/>
      <c r="E941" s="48" t="n"/>
      <c r="F941" s="38" t="n"/>
      <c r="G941" s="38" t="n"/>
      <c r="H941" s="38" t="n"/>
      <c r="I941" s="38" t="n"/>
      <c r="J941" s="49">
        <f>IF(B941="","",IFERROR(INDEX('SETTINGS'!$M$5:$M$24,MATCH(B941,'SETTINGS'!$L$5:$L$24,0)),"Yes"))</f>
        <v/>
      </c>
      <c r="K941" s="51">
        <f>IF(A941="","",DATE(YEAR(A941),MONTH(A941),1))</f>
        <v/>
      </c>
    </row>
    <row r="942">
      <c r="A942" s="47" t="n"/>
      <c r="B942" s="38" t="n"/>
      <c r="C942" s="38" t="n"/>
      <c r="D942" s="38" t="n"/>
      <c r="E942" s="48" t="n"/>
      <c r="F942" s="38" t="n"/>
      <c r="G942" s="38" t="n"/>
      <c r="H942" s="38" t="n"/>
      <c r="I942" s="38" t="n"/>
      <c r="J942" s="49">
        <f>IF(B942="","",IFERROR(INDEX('SETTINGS'!$M$5:$M$24,MATCH(B942,'SETTINGS'!$L$5:$L$24,0)),"Yes"))</f>
        <v/>
      </c>
      <c r="K942" s="51">
        <f>IF(A942="","",DATE(YEAR(A942),MONTH(A942),1))</f>
        <v/>
      </c>
    </row>
    <row r="943">
      <c r="A943" s="47" t="n"/>
      <c r="B943" s="38" t="n"/>
      <c r="C943" s="38" t="n"/>
      <c r="D943" s="38" t="n"/>
      <c r="E943" s="48" t="n"/>
      <c r="F943" s="38" t="n"/>
      <c r="G943" s="38" t="n"/>
      <c r="H943" s="38" t="n"/>
      <c r="I943" s="38" t="n"/>
      <c r="J943" s="49">
        <f>IF(B943="","",IFERROR(INDEX('SETTINGS'!$M$5:$M$24,MATCH(B943,'SETTINGS'!$L$5:$L$24,0)),"Yes"))</f>
        <v/>
      </c>
      <c r="K943" s="51">
        <f>IF(A943="","",DATE(YEAR(A943),MONTH(A943),1))</f>
        <v/>
      </c>
    </row>
    <row r="944">
      <c r="A944" s="47" t="n"/>
      <c r="B944" s="38" t="n"/>
      <c r="C944" s="38" t="n"/>
      <c r="D944" s="38" t="n"/>
      <c r="E944" s="48" t="n"/>
      <c r="F944" s="38" t="n"/>
      <c r="G944" s="38" t="n"/>
      <c r="H944" s="38" t="n"/>
      <c r="I944" s="38" t="n"/>
      <c r="J944" s="49">
        <f>IF(B944="","",IFERROR(INDEX('SETTINGS'!$M$5:$M$24,MATCH(B944,'SETTINGS'!$L$5:$L$24,0)),"Yes"))</f>
        <v/>
      </c>
      <c r="K944" s="51">
        <f>IF(A944="","",DATE(YEAR(A944),MONTH(A944),1))</f>
        <v/>
      </c>
    </row>
    <row r="945">
      <c r="A945" s="47" t="n"/>
      <c r="B945" s="38" t="n"/>
      <c r="C945" s="38" t="n"/>
      <c r="D945" s="38" t="n"/>
      <c r="E945" s="48" t="n"/>
      <c r="F945" s="38" t="n"/>
      <c r="G945" s="38" t="n"/>
      <c r="H945" s="38" t="n"/>
      <c r="I945" s="38" t="n"/>
      <c r="J945" s="49">
        <f>IF(B945="","",IFERROR(INDEX('SETTINGS'!$M$5:$M$24,MATCH(B945,'SETTINGS'!$L$5:$L$24,0)),"Yes"))</f>
        <v/>
      </c>
      <c r="K945" s="51">
        <f>IF(A945="","",DATE(YEAR(A945),MONTH(A945),1))</f>
        <v/>
      </c>
    </row>
    <row r="946">
      <c r="A946" s="47" t="n"/>
      <c r="B946" s="38" t="n"/>
      <c r="C946" s="38" t="n"/>
      <c r="D946" s="38" t="n"/>
      <c r="E946" s="48" t="n"/>
      <c r="F946" s="38" t="n"/>
      <c r="G946" s="38" t="n"/>
      <c r="H946" s="38" t="n"/>
      <c r="I946" s="38" t="n"/>
      <c r="J946" s="49">
        <f>IF(B946="","",IFERROR(INDEX('SETTINGS'!$M$5:$M$24,MATCH(B946,'SETTINGS'!$L$5:$L$24,0)),"Yes"))</f>
        <v/>
      </c>
      <c r="K946" s="51">
        <f>IF(A946="","",DATE(YEAR(A946),MONTH(A946),1))</f>
        <v/>
      </c>
    </row>
    <row r="947">
      <c r="A947" s="47" t="n"/>
      <c r="B947" s="38" t="n"/>
      <c r="C947" s="38" t="n"/>
      <c r="D947" s="38" t="n"/>
      <c r="E947" s="48" t="n"/>
      <c r="F947" s="38" t="n"/>
      <c r="G947" s="38" t="n"/>
      <c r="H947" s="38" t="n"/>
      <c r="I947" s="38" t="n"/>
      <c r="J947" s="49">
        <f>IF(B947="","",IFERROR(INDEX('SETTINGS'!$M$5:$M$24,MATCH(B947,'SETTINGS'!$L$5:$L$24,0)),"Yes"))</f>
        <v/>
      </c>
      <c r="K947" s="51">
        <f>IF(A947="","",DATE(YEAR(A947),MONTH(A947),1))</f>
        <v/>
      </c>
    </row>
    <row r="948">
      <c r="A948" s="47" t="n"/>
      <c r="B948" s="38" t="n"/>
      <c r="C948" s="38" t="n"/>
      <c r="D948" s="38" t="n"/>
      <c r="E948" s="48" t="n"/>
      <c r="F948" s="38" t="n"/>
      <c r="G948" s="38" t="n"/>
      <c r="H948" s="38" t="n"/>
      <c r="I948" s="38" t="n"/>
      <c r="J948" s="49">
        <f>IF(B948="","",IFERROR(INDEX('SETTINGS'!$M$5:$M$24,MATCH(B948,'SETTINGS'!$L$5:$L$24,0)),"Yes"))</f>
        <v/>
      </c>
      <c r="K948" s="51">
        <f>IF(A948="","",DATE(YEAR(A948),MONTH(A948),1))</f>
        <v/>
      </c>
    </row>
    <row r="949">
      <c r="A949" s="47" t="n"/>
      <c r="B949" s="38" t="n"/>
      <c r="C949" s="38" t="n"/>
      <c r="D949" s="38" t="n"/>
      <c r="E949" s="48" t="n"/>
      <c r="F949" s="38" t="n"/>
      <c r="G949" s="38" t="n"/>
      <c r="H949" s="38" t="n"/>
      <c r="I949" s="38" t="n"/>
      <c r="J949" s="49">
        <f>IF(B949="","",IFERROR(INDEX('SETTINGS'!$M$5:$M$24,MATCH(B949,'SETTINGS'!$L$5:$L$24,0)),"Yes"))</f>
        <v/>
      </c>
      <c r="K949" s="51">
        <f>IF(A949="","",DATE(YEAR(A949),MONTH(A949),1))</f>
        <v/>
      </c>
    </row>
    <row r="950">
      <c r="A950" s="47" t="n"/>
      <c r="B950" s="38" t="n"/>
      <c r="C950" s="38" t="n"/>
      <c r="D950" s="38" t="n"/>
      <c r="E950" s="48" t="n"/>
      <c r="F950" s="38" t="n"/>
      <c r="G950" s="38" t="n"/>
      <c r="H950" s="38" t="n"/>
      <c r="I950" s="38" t="n"/>
      <c r="J950" s="49">
        <f>IF(B950="","",IFERROR(INDEX('SETTINGS'!$M$5:$M$24,MATCH(B950,'SETTINGS'!$L$5:$L$24,0)),"Yes"))</f>
        <v/>
      </c>
      <c r="K950" s="51">
        <f>IF(A950="","",DATE(YEAR(A950),MONTH(A950),1))</f>
        <v/>
      </c>
    </row>
    <row r="951">
      <c r="A951" s="47" t="n"/>
      <c r="B951" s="38" t="n"/>
      <c r="C951" s="38" t="n"/>
      <c r="D951" s="38" t="n"/>
      <c r="E951" s="48" t="n"/>
      <c r="F951" s="38" t="n"/>
      <c r="G951" s="38" t="n"/>
      <c r="H951" s="38" t="n"/>
      <c r="I951" s="38" t="n"/>
      <c r="J951" s="49">
        <f>IF(B951="","",IFERROR(INDEX('SETTINGS'!$M$5:$M$24,MATCH(B951,'SETTINGS'!$L$5:$L$24,0)),"Yes"))</f>
        <v/>
      </c>
      <c r="K951" s="51">
        <f>IF(A951="","",DATE(YEAR(A951),MONTH(A951),1))</f>
        <v/>
      </c>
    </row>
    <row r="952">
      <c r="A952" s="47" t="n"/>
      <c r="B952" s="38" t="n"/>
      <c r="C952" s="38" t="n"/>
      <c r="D952" s="38" t="n"/>
      <c r="E952" s="48" t="n"/>
      <c r="F952" s="38" t="n"/>
      <c r="G952" s="38" t="n"/>
      <c r="H952" s="38" t="n"/>
      <c r="I952" s="38" t="n"/>
      <c r="J952" s="49">
        <f>IF(B952="","",IFERROR(INDEX('SETTINGS'!$M$5:$M$24,MATCH(B952,'SETTINGS'!$L$5:$L$24,0)),"Yes"))</f>
        <v/>
      </c>
      <c r="K952" s="51">
        <f>IF(A952="","",DATE(YEAR(A952),MONTH(A952),1))</f>
        <v/>
      </c>
    </row>
    <row r="953">
      <c r="A953" s="47" t="n"/>
      <c r="B953" s="38" t="n"/>
      <c r="C953" s="38" t="n"/>
      <c r="D953" s="38" t="n"/>
      <c r="E953" s="48" t="n"/>
      <c r="F953" s="38" t="n"/>
      <c r="G953" s="38" t="n"/>
      <c r="H953" s="38" t="n"/>
      <c r="I953" s="38" t="n"/>
      <c r="J953" s="49">
        <f>IF(B953="","",IFERROR(INDEX('SETTINGS'!$M$5:$M$24,MATCH(B953,'SETTINGS'!$L$5:$L$24,0)),"Yes"))</f>
        <v/>
      </c>
      <c r="K953" s="51">
        <f>IF(A953="","",DATE(YEAR(A953),MONTH(A953),1))</f>
        <v/>
      </c>
    </row>
    <row r="954">
      <c r="A954" s="47" t="n"/>
      <c r="B954" s="38" t="n"/>
      <c r="C954" s="38" t="n"/>
      <c r="D954" s="38" t="n"/>
      <c r="E954" s="48" t="n"/>
      <c r="F954" s="38" t="n"/>
      <c r="G954" s="38" t="n"/>
      <c r="H954" s="38" t="n"/>
      <c r="I954" s="38" t="n"/>
      <c r="J954" s="49">
        <f>IF(B954="","",IFERROR(INDEX('SETTINGS'!$M$5:$M$24,MATCH(B954,'SETTINGS'!$L$5:$L$24,0)),"Yes"))</f>
        <v/>
      </c>
      <c r="K954" s="51">
        <f>IF(A954="","",DATE(YEAR(A954),MONTH(A954),1))</f>
        <v/>
      </c>
    </row>
    <row r="955">
      <c r="A955" s="47" t="n"/>
      <c r="B955" s="38" t="n"/>
      <c r="C955" s="38" t="n"/>
      <c r="D955" s="38" t="n"/>
      <c r="E955" s="48" t="n"/>
      <c r="F955" s="38" t="n"/>
      <c r="G955" s="38" t="n"/>
      <c r="H955" s="38" t="n"/>
      <c r="I955" s="38" t="n"/>
      <c r="J955" s="49">
        <f>IF(B955="","",IFERROR(INDEX('SETTINGS'!$M$5:$M$24,MATCH(B955,'SETTINGS'!$L$5:$L$24,0)),"Yes"))</f>
        <v/>
      </c>
      <c r="K955" s="51">
        <f>IF(A955="","",DATE(YEAR(A955),MONTH(A955),1))</f>
        <v/>
      </c>
    </row>
    <row r="956">
      <c r="A956" s="47" t="n"/>
      <c r="B956" s="38" t="n"/>
      <c r="C956" s="38" t="n"/>
      <c r="D956" s="38" t="n"/>
      <c r="E956" s="48" t="n"/>
      <c r="F956" s="38" t="n"/>
      <c r="G956" s="38" t="n"/>
      <c r="H956" s="38" t="n"/>
      <c r="I956" s="38" t="n"/>
      <c r="J956" s="49">
        <f>IF(B956="","",IFERROR(INDEX('SETTINGS'!$M$5:$M$24,MATCH(B956,'SETTINGS'!$L$5:$L$24,0)),"Yes"))</f>
        <v/>
      </c>
      <c r="K956" s="51">
        <f>IF(A956="","",DATE(YEAR(A956),MONTH(A956),1))</f>
        <v/>
      </c>
    </row>
    <row r="957">
      <c r="A957" s="47" t="n"/>
      <c r="B957" s="38" t="n"/>
      <c r="C957" s="38" t="n"/>
      <c r="D957" s="38" t="n"/>
      <c r="E957" s="48" t="n"/>
      <c r="F957" s="38" t="n"/>
      <c r="G957" s="38" t="n"/>
      <c r="H957" s="38" t="n"/>
      <c r="I957" s="38" t="n"/>
      <c r="J957" s="49">
        <f>IF(B957="","",IFERROR(INDEX('SETTINGS'!$M$5:$M$24,MATCH(B957,'SETTINGS'!$L$5:$L$24,0)),"Yes"))</f>
        <v/>
      </c>
      <c r="K957" s="51">
        <f>IF(A957="","",DATE(YEAR(A957),MONTH(A957),1))</f>
        <v/>
      </c>
    </row>
    <row r="958">
      <c r="A958" s="47" t="n"/>
      <c r="B958" s="38" t="n"/>
      <c r="C958" s="38" t="n"/>
      <c r="D958" s="38" t="n"/>
      <c r="E958" s="48" t="n"/>
      <c r="F958" s="38" t="n"/>
      <c r="G958" s="38" t="n"/>
      <c r="H958" s="38" t="n"/>
      <c r="I958" s="38" t="n"/>
      <c r="J958" s="49">
        <f>IF(B958="","",IFERROR(INDEX('SETTINGS'!$M$5:$M$24,MATCH(B958,'SETTINGS'!$L$5:$L$24,0)),"Yes"))</f>
        <v/>
      </c>
      <c r="K958" s="51">
        <f>IF(A958="","",DATE(YEAR(A958),MONTH(A958),1))</f>
        <v/>
      </c>
    </row>
    <row r="959">
      <c r="A959" s="47" t="n"/>
      <c r="B959" s="38" t="n"/>
      <c r="C959" s="38" t="n"/>
      <c r="D959" s="38" t="n"/>
      <c r="E959" s="48" t="n"/>
      <c r="F959" s="38" t="n"/>
      <c r="G959" s="38" t="n"/>
      <c r="H959" s="38" t="n"/>
      <c r="I959" s="38" t="n"/>
      <c r="J959" s="49">
        <f>IF(B959="","",IFERROR(INDEX('SETTINGS'!$M$5:$M$24,MATCH(B959,'SETTINGS'!$L$5:$L$24,0)),"Yes"))</f>
        <v/>
      </c>
      <c r="K959" s="51">
        <f>IF(A959="","",DATE(YEAR(A959),MONTH(A959),1))</f>
        <v/>
      </c>
    </row>
    <row r="960">
      <c r="A960" s="47" t="n"/>
      <c r="B960" s="38" t="n"/>
      <c r="C960" s="38" t="n"/>
      <c r="D960" s="38" t="n"/>
      <c r="E960" s="48" t="n"/>
      <c r="F960" s="38" t="n"/>
      <c r="G960" s="38" t="n"/>
      <c r="H960" s="38" t="n"/>
      <c r="I960" s="38" t="n"/>
      <c r="J960" s="49">
        <f>IF(B960="","",IFERROR(INDEX('SETTINGS'!$M$5:$M$24,MATCH(B960,'SETTINGS'!$L$5:$L$24,0)),"Yes"))</f>
        <v/>
      </c>
      <c r="K960" s="51">
        <f>IF(A960="","",DATE(YEAR(A960),MONTH(A960),1))</f>
        <v/>
      </c>
    </row>
    <row r="961">
      <c r="A961" s="47" t="n"/>
      <c r="B961" s="38" t="n"/>
      <c r="C961" s="38" t="n"/>
      <c r="D961" s="38" t="n"/>
      <c r="E961" s="48" t="n"/>
      <c r="F961" s="38" t="n"/>
      <c r="G961" s="38" t="n"/>
      <c r="H961" s="38" t="n"/>
      <c r="I961" s="38" t="n"/>
      <c r="J961" s="49">
        <f>IF(B961="","",IFERROR(INDEX('SETTINGS'!$M$5:$M$24,MATCH(B961,'SETTINGS'!$L$5:$L$24,0)),"Yes"))</f>
        <v/>
      </c>
      <c r="K961" s="51">
        <f>IF(A961="","",DATE(YEAR(A961),MONTH(A961),1))</f>
        <v/>
      </c>
    </row>
    <row r="962">
      <c r="A962" s="47" t="n"/>
      <c r="B962" s="38" t="n"/>
      <c r="C962" s="38" t="n"/>
      <c r="D962" s="38" t="n"/>
      <c r="E962" s="48" t="n"/>
      <c r="F962" s="38" t="n"/>
      <c r="G962" s="38" t="n"/>
      <c r="H962" s="38" t="n"/>
      <c r="I962" s="38" t="n"/>
      <c r="J962" s="49">
        <f>IF(B962="","",IFERROR(INDEX('SETTINGS'!$M$5:$M$24,MATCH(B962,'SETTINGS'!$L$5:$L$24,0)),"Yes"))</f>
        <v/>
      </c>
      <c r="K962" s="51">
        <f>IF(A962="","",DATE(YEAR(A962),MONTH(A962),1))</f>
        <v/>
      </c>
    </row>
    <row r="963">
      <c r="A963" s="47" t="n"/>
      <c r="B963" s="38" t="n"/>
      <c r="C963" s="38" t="n"/>
      <c r="D963" s="38" t="n"/>
      <c r="E963" s="48" t="n"/>
      <c r="F963" s="38" t="n"/>
      <c r="G963" s="38" t="n"/>
      <c r="H963" s="38" t="n"/>
      <c r="I963" s="38" t="n"/>
      <c r="J963" s="49">
        <f>IF(B963="","",IFERROR(INDEX('SETTINGS'!$M$5:$M$24,MATCH(B963,'SETTINGS'!$L$5:$L$24,0)),"Yes"))</f>
        <v/>
      </c>
      <c r="K963" s="51">
        <f>IF(A963="","",DATE(YEAR(A963),MONTH(A963),1))</f>
        <v/>
      </c>
    </row>
    <row r="964">
      <c r="A964" s="47" t="n"/>
      <c r="B964" s="38" t="n"/>
      <c r="C964" s="38" t="n"/>
      <c r="D964" s="38" t="n"/>
      <c r="E964" s="48" t="n"/>
      <c r="F964" s="38" t="n"/>
      <c r="G964" s="38" t="n"/>
      <c r="H964" s="38" t="n"/>
      <c r="I964" s="38" t="n"/>
      <c r="J964" s="49">
        <f>IF(B964="","",IFERROR(INDEX('SETTINGS'!$M$5:$M$24,MATCH(B964,'SETTINGS'!$L$5:$L$24,0)),"Yes"))</f>
        <v/>
      </c>
      <c r="K964" s="51">
        <f>IF(A964="","",DATE(YEAR(A964),MONTH(A964),1))</f>
        <v/>
      </c>
    </row>
    <row r="965">
      <c r="A965" s="47" t="n"/>
      <c r="B965" s="38" t="n"/>
      <c r="C965" s="38" t="n"/>
      <c r="D965" s="38" t="n"/>
      <c r="E965" s="48" t="n"/>
      <c r="F965" s="38" t="n"/>
      <c r="G965" s="38" t="n"/>
      <c r="H965" s="38" t="n"/>
      <c r="I965" s="38" t="n"/>
      <c r="J965" s="49">
        <f>IF(B965="","",IFERROR(INDEX('SETTINGS'!$M$5:$M$24,MATCH(B965,'SETTINGS'!$L$5:$L$24,0)),"Yes"))</f>
        <v/>
      </c>
      <c r="K965" s="51">
        <f>IF(A965="","",DATE(YEAR(A965),MONTH(A965),1))</f>
        <v/>
      </c>
    </row>
    <row r="966">
      <c r="A966" s="47" t="n"/>
      <c r="B966" s="38" t="n"/>
      <c r="C966" s="38" t="n"/>
      <c r="D966" s="38" t="n"/>
      <c r="E966" s="48" t="n"/>
      <c r="F966" s="38" t="n"/>
      <c r="G966" s="38" t="n"/>
      <c r="H966" s="38" t="n"/>
      <c r="I966" s="38" t="n"/>
      <c r="J966" s="49">
        <f>IF(B966="","",IFERROR(INDEX('SETTINGS'!$M$5:$M$24,MATCH(B966,'SETTINGS'!$L$5:$L$24,0)),"Yes"))</f>
        <v/>
      </c>
      <c r="K966" s="51">
        <f>IF(A966="","",DATE(YEAR(A966),MONTH(A966),1))</f>
        <v/>
      </c>
    </row>
    <row r="967">
      <c r="A967" s="47" t="n"/>
      <c r="B967" s="38" t="n"/>
      <c r="C967" s="38" t="n"/>
      <c r="D967" s="38" t="n"/>
      <c r="E967" s="48" t="n"/>
      <c r="F967" s="38" t="n"/>
      <c r="G967" s="38" t="n"/>
      <c r="H967" s="38" t="n"/>
      <c r="I967" s="38" t="n"/>
      <c r="J967" s="49">
        <f>IF(B967="","",IFERROR(INDEX('SETTINGS'!$M$5:$M$24,MATCH(B967,'SETTINGS'!$L$5:$L$24,0)),"Yes"))</f>
        <v/>
      </c>
      <c r="K967" s="51">
        <f>IF(A967="","",DATE(YEAR(A967),MONTH(A967),1))</f>
        <v/>
      </c>
    </row>
    <row r="968">
      <c r="A968" s="47" t="n"/>
      <c r="B968" s="38" t="n"/>
      <c r="C968" s="38" t="n"/>
      <c r="D968" s="38" t="n"/>
      <c r="E968" s="48" t="n"/>
      <c r="F968" s="38" t="n"/>
      <c r="G968" s="38" t="n"/>
      <c r="H968" s="38" t="n"/>
      <c r="I968" s="38" t="n"/>
      <c r="J968" s="49">
        <f>IF(B968="","",IFERROR(INDEX('SETTINGS'!$M$5:$M$24,MATCH(B968,'SETTINGS'!$L$5:$L$24,0)),"Yes"))</f>
        <v/>
      </c>
      <c r="K968" s="51">
        <f>IF(A968="","",DATE(YEAR(A968),MONTH(A968),1))</f>
        <v/>
      </c>
    </row>
    <row r="969">
      <c r="A969" s="47" t="n"/>
      <c r="B969" s="38" t="n"/>
      <c r="C969" s="38" t="n"/>
      <c r="D969" s="38" t="n"/>
      <c r="E969" s="48" t="n"/>
      <c r="F969" s="38" t="n"/>
      <c r="G969" s="38" t="n"/>
      <c r="H969" s="38" t="n"/>
      <c r="I969" s="38" t="n"/>
      <c r="J969" s="49">
        <f>IF(B969="","",IFERROR(INDEX('SETTINGS'!$M$5:$M$24,MATCH(B969,'SETTINGS'!$L$5:$L$24,0)),"Yes"))</f>
        <v/>
      </c>
      <c r="K969" s="51">
        <f>IF(A969="","",DATE(YEAR(A969),MONTH(A969),1))</f>
        <v/>
      </c>
    </row>
    <row r="970">
      <c r="A970" s="47" t="n"/>
      <c r="B970" s="38" t="n"/>
      <c r="C970" s="38" t="n"/>
      <c r="D970" s="38" t="n"/>
      <c r="E970" s="48" t="n"/>
      <c r="F970" s="38" t="n"/>
      <c r="G970" s="38" t="n"/>
      <c r="H970" s="38" t="n"/>
      <c r="I970" s="38" t="n"/>
      <c r="J970" s="49">
        <f>IF(B970="","",IFERROR(INDEX('SETTINGS'!$M$5:$M$24,MATCH(B970,'SETTINGS'!$L$5:$L$24,0)),"Yes"))</f>
        <v/>
      </c>
      <c r="K970" s="51">
        <f>IF(A970="","",DATE(YEAR(A970),MONTH(A970),1))</f>
        <v/>
      </c>
    </row>
    <row r="971">
      <c r="A971" s="47" t="n"/>
      <c r="B971" s="38" t="n"/>
      <c r="C971" s="38" t="n"/>
      <c r="D971" s="38" t="n"/>
      <c r="E971" s="48" t="n"/>
      <c r="F971" s="38" t="n"/>
      <c r="G971" s="38" t="n"/>
      <c r="H971" s="38" t="n"/>
      <c r="I971" s="38" t="n"/>
      <c r="J971" s="49">
        <f>IF(B971="","",IFERROR(INDEX('SETTINGS'!$M$5:$M$24,MATCH(B971,'SETTINGS'!$L$5:$L$24,0)),"Yes"))</f>
        <v/>
      </c>
      <c r="K971" s="51">
        <f>IF(A971="","",DATE(YEAR(A971),MONTH(A971),1))</f>
        <v/>
      </c>
    </row>
    <row r="972">
      <c r="A972" s="47" t="n"/>
      <c r="B972" s="38" t="n"/>
      <c r="C972" s="38" t="n"/>
      <c r="D972" s="38" t="n"/>
      <c r="E972" s="48" t="n"/>
      <c r="F972" s="38" t="n"/>
      <c r="G972" s="38" t="n"/>
      <c r="H972" s="38" t="n"/>
      <c r="I972" s="38" t="n"/>
      <c r="J972" s="49">
        <f>IF(B972="","",IFERROR(INDEX('SETTINGS'!$M$5:$M$24,MATCH(B972,'SETTINGS'!$L$5:$L$24,0)),"Yes"))</f>
        <v/>
      </c>
      <c r="K972" s="51">
        <f>IF(A972="","",DATE(YEAR(A972),MONTH(A972),1))</f>
        <v/>
      </c>
    </row>
    <row r="973">
      <c r="A973" s="47" t="n"/>
      <c r="B973" s="38" t="n"/>
      <c r="C973" s="38" t="n"/>
      <c r="D973" s="38" t="n"/>
      <c r="E973" s="48" t="n"/>
      <c r="F973" s="38" t="n"/>
      <c r="G973" s="38" t="n"/>
      <c r="H973" s="38" t="n"/>
      <c r="I973" s="38" t="n"/>
      <c r="J973" s="49">
        <f>IF(B973="","",IFERROR(INDEX('SETTINGS'!$M$5:$M$24,MATCH(B973,'SETTINGS'!$L$5:$L$24,0)),"Yes"))</f>
        <v/>
      </c>
      <c r="K973" s="51">
        <f>IF(A973="","",DATE(YEAR(A973),MONTH(A973),1))</f>
        <v/>
      </c>
    </row>
    <row r="974">
      <c r="A974" s="47" t="n"/>
      <c r="B974" s="38" t="n"/>
      <c r="C974" s="38" t="n"/>
      <c r="D974" s="38" t="n"/>
      <c r="E974" s="48" t="n"/>
      <c r="F974" s="38" t="n"/>
      <c r="G974" s="38" t="n"/>
      <c r="H974" s="38" t="n"/>
      <c r="I974" s="38" t="n"/>
      <c r="J974" s="49">
        <f>IF(B974="","",IFERROR(INDEX('SETTINGS'!$M$5:$M$24,MATCH(B974,'SETTINGS'!$L$5:$L$24,0)),"Yes"))</f>
        <v/>
      </c>
      <c r="K974" s="51">
        <f>IF(A974="","",DATE(YEAR(A974),MONTH(A974),1))</f>
        <v/>
      </c>
    </row>
    <row r="975">
      <c r="A975" s="47" t="n"/>
      <c r="B975" s="38" t="n"/>
      <c r="C975" s="38" t="n"/>
      <c r="D975" s="38" t="n"/>
      <c r="E975" s="48" t="n"/>
      <c r="F975" s="38" t="n"/>
      <c r="G975" s="38" t="n"/>
      <c r="H975" s="38" t="n"/>
      <c r="I975" s="38" t="n"/>
      <c r="J975" s="49">
        <f>IF(B975="","",IFERROR(INDEX('SETTINGS'!$M$5:$M$24,MATCH(B975,'SETTINGS'!$L$5:$L$24,0)),"Yes"))</f>
        <v/>
      </c>
      <c r="K975" s="51">
        <f>IF(A975="","",DATE(YEAR(A975),MONTH(A975),1))</f>
        <v/>
      </c>
    </row>
    <row r="976">
      <c r="A976" s="47" t="n"/>
      <c r="B976" s="38" t="n"/>
      <c r="C976" s="38" t="n"/>
      <c r="D976" s="38" t="n"/>
      <c r="E976" s="48" t="n"/>
      <c r="F976" s="38" t="n"/>
      <c r="G976" s="38" t="n"/>
      <c r="H976" s="38" t="n"/>
      <c r="I976" s="38" t="n"/>
      <c r="J976" s="49">
        <f>IF(B976="","",IFERROR(INDEX('SETTINGS'!$M$5:$M$24,MATCH(B976,'SETTINGS'!$L$5:$L$24,0)),"Yes"))</f>
        <v/>
      </c>
      <c r="K976" s="51">
        <f>IF(A976="","",DATE(YEAR(A976),MONTH(A976),1))</f>
        <v/>
      </c>
    </row>
    <row r="977">
      <c r="A977" s="47" t="n"/>
      <c r="B977" s="38" t="n"/>
      <c r="C977" s="38" t="n"/>
      <c r="D977" s="38" t="n"/>
      <c r="E977" s="48" t="n"/>
      <c r="F977" s="38" t="n"/>
      <c r="G977" s="38" t="n"/>
      <c r="H977" s="38" t="n"/>
      <c r="I977" s="38" t="n"/>
      <c r="J977" s="49">
        <f>IF(B977="","",IFERROR(INDEX('SETTINGS'!$M$5:$M$24,MATCH(B977,'SETTINGS'!$L$5:$L$24,0)),"Yes"))</f>
        <v/>
      </c>
      <c r="K977" s="51">
        <f>IF(A977="","",DATE(YEAR(A977),MONTH(A977),1))</f>
        <v/>
      </c>
    </row>
    <row r="978">
      <c r="A978" s="47" t="n"/>
      <c r="B978" s="38" t="n"/>
      <c r="C978" s="38" t="n"/>
      <c r="D978" s="38" t="n"/>
      <c r="E978" s="48" t="n"/>
      <c r="F978" s="38" t="n"/>
      <c r="G978" s="38" t="n"/>
      <c r="H978" s="38" t="n"/>
      <c r="I978" s="38" t="n"/>
      <c r="J978" s="49">
        <f>IF(B978="","",IFERROR(INDEX('SETTINGS'!$M$5:$M$24,MATCH(B978,'SETTINGS'!$L$5:$L$24,0)),"Yes"))</f>
        <v/>
      </c>
      <c r="K978" s="51">
        <f>IF(A978="","",DATE(YEAR(A978),MONTH(A978),1))</f>
        <v/>
      </c>
    </row>
    <row r="979">
      <c r="A979" s="47" t="n"/>
      <c r="B979" s="38" t="n"/>
      <c r="C979" s="38" t="n"/>
      <c r="D979" s="38" t="n"/>
      <c r="E979" s="48" t="n"/>
      <c r="F979" s="38" t="n"/>
      <c r="G979" s="38" t="n"/>
      <c r="H979" s="38" t="n"/>
      <c r="I979" s="38" t="n"/>
      <c r="J979" s="49">
        <f>IF(B979="","",IFERROR(INDEX('SETTINGS'!$M$5:$M$24,MATCH(B979,'SETTINGS'!$L$5:$L$24,0)),"Yes"))</f>
        <v/>
      </c>
      <c r="K979" s="51">
        <f>IF(A979="","",DATE(YEAR(A979),MONTH(A979),1))</f>
        <v/>
      </c>
    </row>
    <row r="980">
      <c r="A980" s="47" t="n"/>
      <c r="B980" s="38" t="n"/>
      <c r="C980" s="38" t="n"/>
      <c r="D980" s="38" t="n"/>
      <c r="E980" s="48" t="n"/>
      <c r="F980" s="38" t="n"/>
      <c r="G980" s="38" t="n"/>
      <c r="H980" s="38" t="n"/>
      <c r="I980" s="38" t="n"/>
      <c r="J980" s="49">
        <f>IF(B980="","",IFERROR(INDEX('SETTINGS'!$M$5:$M$24,MATCH(B980,'SETTINGS'!$L$5:$L$24,0)),"Yes"))</f>
        <v/>
      </c>
      <c r="K980" s="51">
        <f>IF(A980="","",DATE(YEAR(A980),MONTH(A980),1))</f>
        <v/>
      </c>
    </row>
    <row r="981">
      <c r="A981" s="47" t="n"/>
      <c r="B981" s="38" t="n"/>
      <c r="C981" s="38" t="n"/>
      <c r="D981" s="38" t="n"/>
      <c r="E981" s="48" t="n"/>
      <c r="F981" s="38" t="n"/>
      <c r="G981" s="38" t="n"/>
      <c r="H981" s="38" t="n"/>
      <c r="I981" s="38" t="n"/>
      <c r="J981" s="49">
        <f>IF(B981="","",IFERROR(INDEX('SETTINGS'!$M$5:$M$24,MATCH(B981,'SETTINGS'!$L$5:$L$24,0)),"Yes"))</f>
        <v/>
      </c>
      <c r="K981" s="51">
        <f>IF(A981="","",DATE(YEAR(A981),MONTH(A981),1))</f>
        <v/>
      </c>
    </row>
    <row r="982">
      <c r="A982" s="47" t="n"/>
      <c r="B982" s="38" t="n"/>
      <c r="C982" s="38" t="n"/>
      <c r="D982" s="38" t="n"/>
      <c r="E982" s="48" t="n"/>
      <c r="F982" s="38" t="n"/>
      <c r="G982" s="38" t="n"/>
      <c r="H982" s="38" t="n"/>
      <c r="I982" s="38" t="n"/>
      <c r="J982" s="49">
        <f>IF(B982="","",IFERROR(INDEX('SETTINGS'!$M$5:$M$24,MATCH(B982,'SETTINGS'!$L$5:$L$24,0)),"Yes"))</f>
        <v/>
      </c>
      <c r="K982" s="51">
        <f>IF(A982="","",DATE(YEAR(A982),MONTH(A982),1))</f>
        <v/>
      </c>
    </row>
    <row r="983">
      <c r="A983" s="47" t="n"/>
      <c r="B983" s="38" t="n"/>
      <c r="C983" s="38" t="n"/>
      <c r="D983" s="38" t="n"/>
      <c r="E983" s="48" t="n"/>
      <c r="F983" s="38" t="n"/>
      <c r="G983" s="38" t="n"/>
      <c r="H983" s="38" t="n"/>
      <c r="I983" s="38" t="n"/>
      <c r="J983" s="49">
        <f>IF(B983="","",IFERROR(INDEX('SETTINGS'!$M$5:$M$24,MATCH(B983,'SETTINGS'!$L$5:$L$24,0)),"Yes"))</f>
        <v/>
      </c>
      <c r="K983" s="51">
        <f>IF(A983="","",DATE(YEAR(A983),MONTH(A983),1))</f>
        <v/>
      </c>
    </row>
    <row r="984">
      <c r="A984" s="47" t="n"/>
      <c r="B984" s="38" t="n"/>
      <c r="C984" s="38" t="n"/>
      <c r="D984" s="38" t="n"/>
      <c r="E984" s="48" t="n"/>
      <c r="F984" s="38" t="n"/>
      <c r="G984" s="38" t="n"/>
      <c r="H984" s="38" t="n"/>
      <c r="I984" s="38" t="n"/>
      <c r="J984" s="49">
        <f>IF(B984="","",IFERROR(INDEX('SETTINGS'!$M$5:$M$24,MATCH(B984,'SETTINGS'!$L$5:$L$24,0)),"Yes"))</f>
        <v/>
      </c>
      <c r="K984" s="51">
        <f>IF(A984="","",DATE(YEAR(A984),MONTH(A984),1))</f>
        <v/>
      </c>
    </row>
    <row r="985">
      <c r="A985" s="47" t="n"/>
      <c r="B985" s="38" t="n"/>
      <c r="C985" s="38" t="n"/>
      <c r="D985" s="38" t="n"/>
      <c r="E985" s="48" t="n"/>
      <c r="F985" s="38" t="n"/>
      <c r="G985" s="38" t="n"/>
      <c r="H985" s="38" t="n"/>
      <c r="I985" s="38" t="n"/>
      <c r="J985" s="49">
        <f>IF(B985="","",IFERROR(INDEX('SETTINGS'!$M$5:$M$24,MATCH(B985,'SETTINGS'!$L$5:$L$24,0)),"Yes"))</f>
        <v/>
      </c>
      <c r="K985" s="51">
        <f>IF(A985="","",DATE(YEAR(A985),MONTH(A985),1))</f>
        <v/>
      </c>
    </row>
    <row r="986">
      <c r="A986" s="47" t="n"/>
      <c r="B986" s="38" t="n"/>
      <c r="C986" s="38" t="n"/>
      <c r="D986" s="38" t="n"/>
      <c r="E986" s="48" t="n"/>
      <c r="F986" s="38" t="n"/>
      <c r="G986" s="38" t="n"/>
      <c r="H986" s="38" t="n"/>
      <c r="I986" s="38" t="n"/>
      <c r="J986" s="49">
        <f>IF(B986="","",IFERROR(INDEX('SETTINGS'!$M$5:$M$24,MATCH(B986,'SETTINGS'!$L$5:$L$24,0)),"Yes"))</f>
        <v/>
      </c>
      <c r="K986" s="51">
        <f>IF(A986="","",DATE(YEAR(A986),MONTH(A986),1))</f>
        <v/>
      </c>
    </row>
    <row r="987">
      <c r="A987" s="47" t="n"/>
      <c r="B987" s="38" t="n"/>
      <c r="C987" s="38" t="n"/>
      <c r="D987" s="38" t="n"/>
      <c r="E987" s="48" t="n"/>
      <c r="F987" s="38" t="n"/>
      <c r="G987" s="38" t="n"/>
      <c r="H987" s="38" t="n"/>
      <c r="I987" s="38" t="n"/>
      <c r="J987" s="49">
        <f>IF(B987="","",IFERROR(INDEX('SETTINGS'!$M$5:$M$24,MATCH(B987,'SETTINGS'!$L$5:$L$24,0)),"Yes"))</f>
        <v/>
      </c>
      <c r="K987" s="51">
        <f>IF(A987="","",DATE(YEAR(A987),MONTH(A987),1))</f>
        <v/>
      </c>
    </row>
    <row r="988">
      <c r="A988" s="47" t="n"/>
      <c r="B988" s="38" t="n"/>
      <c r="C988" s="38" t="n"/>
      <c r="D988" s="38" t="n"/>
      <c r="E988" s="48" t="n"/>
      <c r="F988" s="38" t="n"/>
      <c r="G988" s="38" t="n"/>
      <c r="H988" s="38" t="n"/>
      <c r="I988" s="38" t="n"/>
      <c r="J988" s="49">
        <f>IF(B988="","",IFERROR(INDEX('SETTINGS'!$M$5:$M$24,MATCH(B988,'SETTINGS'!$L$5:$L$24,0)),"Yes"))</f>
        <v/>
      </c>
      <c r="K988" s="51">
        <f>IF(A988="","",DATE(YEAR(A988),MONTH(A988),1))</f>
        <v/>
      </c>
    </row>
    <row r="989">
      <c r="A989" s="47" t="n"/>
      <c r="B989" s="38" t="n"/>
      <c r="C989" s="38" t="n"/>
      <c r="D989" s="38" t="n"/>
      <c r="E989" s="48" t="n"/>
      <c r="F989" s="38" t="n"/>
      <c r="G989" s="38" t="n"/>
      <c r="H989" s="38" t="n"/>
      <c r="I989" s="38" t="n"/>
      <c r="J989" s="49">
        <f>IF(B989="","",IFERROR(INDEX('SETTINGS'!$M$5:$M$24,MATCH(B989,'SETTINGS'!$L$5:$L$24,0)),"Yes"))</f>
        <v/>
      </c>
      <c r="K989" s="51">
        <f>IF(A989="","",DATE(YEAR(A989),MONTH(A989),1))</f>
        <v/>
      </c>
    </row>
    <row r="990">
      <c r="A990" s="47" t="n"/>
      <c r="B990" s="38" t="n"/>
      <c r="C990" s="38" t="n"/>
      <c r="D990" s="38" t="n"/>
      <c r="E990" s="48" t="n"/>
      <c r="F990" s="38" t="n"/>
      <c r="G990" s="38" t="n"/>
      <c r="H990" s="38" t="n"/>
      <c r="I990" s="38" t="n"/>
      <c r="J990" s="49">
        <f>IF(B990="","",IFERROR(INDEX('SETTINGS'!$M$5:$M$24,MATCH(B990,'SETTINGS'!$L$5:$L$24,0)),"Yes"))</f>
        <v/>
      </c>
      <c r="K990" s="51">
        <f>IF(A990="","",DATE(YEAR(A990),MONTH(A990),1))</f>
        <v/>
      </c>
    </row>
    <row r="991">
      <c r="A991" s="47" t="n"/>
      <c r="B991" s="38" t="n"/>
      <c r="C991" s="38" t="n"/>
      <c r="D991" s="38" t="n"/>
      <c r="E991" s="48" t="n"/>
      <c r="F991" s="38" t="n"/>
      <c r="G991" s="38" t="n"/>
      <c r="H991" s="38" t="n"/>
      <c r="I991" s="38" t="n"/>
      <c r="J991" s="49">
        <f>IF(B991="","",IFERROR(INDEX('SETTINGS'!$M$5:$M$24,MATCH(B991,'SETTINGS'!$L$5:$L$24,0)),"Yes"))</f>
        <v/>
      </c>
      <c r="K991" s="51">
        <f>IF(A991="","",DATE(YEAR(A991),MONTH(A991),1))</f>
        <v/>
      </c>
    </row>
    <row r="992">
      <c r="A992" s="47" t="n"/>
      <c r="B992" s="38" t="n"/>
      <c r="C992" s="38" t="n"/>
      <c r="D992" s="38" t="n"/>
      <c r="E992" s="48" t="n"/>
      <c r="F992" s="38" t="n"/>
      <c r="G992" s="38" t="n"/>
      <c r="H992" s="38" t="n"/>
      <c r="I992" s="38" t="n"/>
      <c r="J992" s="49">
        <f>IF(B992="","",IFERROR(INDEX('SETTINGS'!$M$5:$M$24,MATCH(B992,'SETTINGS'!$L$5:$L$24,0)),"Yes"))</f>
        <v/>
      </c>
      <c r="K992" s="51">
        <f>IF(A992="","",DATE(YEAR(A992),MONTH(A992),1))</f>
        <v/>
      </c>
    </row>
    <row r="993">
      <c r="A993" s="47" t="n"/>
      <c r="B993" s="38" t="n"/>
      <c r="C993" s="38" t="n"/>
      <c r="D993" s="38" t="n"/>
      <c r="E993" s="48" t="n"/>
      <c r="F993" s="38" t="n"/>
      <c r="G993" s="38" t="n"/>
      <c r="H993" s="38" t="n"/>
      <c r="I993" s="38" t="n"/>
      <c r="J993" s="49">
        <f>IF(B993="","",IFERROR(INDEX('SETTINGS'!$M$5:$M$24,MATCH(B993,'SETTINGS'!$L$5:$L$24,0)),"Yes"))</f>
        <v/>
      </c>
      <c r="K993" s="51">
        <f>IF(A993="","",DATE(YEAR(A993),MONTH(A993),1))</f>
        <v/>
      </c>
    </row>
    <row r="994">
      <c r="A994" s="47" t="n"/>
      <c r="B994" s="38" t="n"/>
      <c r="C994" s="38" t="n"/>
      <c r="D994" s="38" t="n"/>
      <c r="E994" s="48" t="n"/>
      <c r="F994" s="38" t="n"/>
      <c r="G994" s="38" t="n"/>
      <c r="H994" s="38" t="n"/>
      <c r="I994" s="38" t="n"/>
      <c r="J994" s="49">
        <f>IF(B994="","",IFERROR(INDEX('SETTINGS'!$M$5:$M$24,MATCH(B994,'SETTINGS'!$L$5:$L$24,0)),"Yes"))</f>
        <v/>
      </c>
      <c r="K994" s="51">
        <f>IF(A994="","",DATE(YEAR(A994),MONTH(A994),1))</f>
        <v/>
      </c>
    </row>
    <row r="995">
      <c r="A995" s="47" t="n"/>
      <c r="B995" s="38" t="n"/>
      <c r="C995" s="38" t="n"/>
      <c r="D995" s="38" t="n"/>
      <c r="E995" s="48" t="n"/>
      <c r="F995" s="38" t="n"/>
      <c r="G995" s="38" t="n"/>
      <c r="H995" s="38" t="n"/>
      <c r="I995" s="38" t="n"/>
      <c r="J995" s="49">
        <f>IF(B995="","",IFERROR(INDEX('SETTINGS'!$M$5:$M$24,MATCH(B995,'SETTINGS'!$L$5:$L$24,0)),"Yes"))</f>
        <v/>
      </c>
      <c r="K995" s="51">
        <f>IF(A995="","",DATE(YEAR(A995),MONTH(A995),1))</f>
        <v/>
      </c>
    </row>
    <row r="996">
      <c r="A996" s="47" t="n"/>
      <c r="B996" s="38" t="n"/>
      <c r="C996" s="38" t="n"/>
      <c r="D996" s="38" t="n"/>
      <c r="E996" s="48" t="n"/>
      <c r="F996" s="38" t="n"/>
      <c r="G996" s="38" t="n"/>
      <c r="H996" s="38" t="n"/>
      <c r="I996" s="38" t="n"/>
      <c r="J996" s="49">
        <f>IF(B996="","",IFERROR(INDEX('SETTINGS'!$M$5:$M$24,MATCH(B996,'SETTINGS'!$L$5:$L$24,0)),"Yes"))</f>
        <v/>
      </c>
      <c r="K996" s="51">
        <f>IF(A996="","",DATE(YEAR(A996),MONTH(A996),1))</f>
        <v/>
      </c>
    </row>
    <row r="997">
      <c r="A997" s="47" t="n"/>
      <c r="B997" s="38" t="n"/>
      <c r="C997" s="38" t="n"/>
      <c r="D997" s="38" t="n"/>
      <c r="E997" s="48" t="n"/>
      <c r="F997" s="38" t="n"/>
      <c r="G997" s="38" t="n"/>
      <c r="H997" s="38" t="n"/>
      <c r="I997" s="38" t="n"/>
      <c r="J997" s="49">
        <f>IF(B997="","",IFERROR(INDEX('SETTINGS'!$M$5:$M$24,MATCH(B997,'SETTINGS'!$L$5:$L$24,0)),"Yes"))</f>
        <v/>
      </c>
      <c r="K997" s="51">
        <f>IF(A997="","",DATE(YEAR(A997),MONTH(A997),1))</f>
        <v/>
      </c>
    </row>
    <row r="998">
      <c r="A998" s="47" t="n"/>
      <c r="B998" s="38" t="n"/>
      <c r="C998" s="38" t="n"/>
      <c r="D998" s="38" t="n"/>
      <c r="E998" s="48" t="n"/>
      <c r="F998" s="38" t="n"/>
      <c r="G998" s="38" t="n"/>
      <c r="H998" s="38" t="n"/>
      <c r="I998" s="38" t="n"/>
      <c r="J998" s="49">
        <f>IF(B998="","",IFERROR(INDEX('SETTINGS'!$M$5:$M$24,MATCH(B998,'SETTINGS'!$L$5:$L$24,0)),"Yes"))</f>
        <v/>
      </c>
      <c r="K998" s="51">
        <f>IF(A998="","",DATE(YEAR(A998),MONTH(A998),1))</f>
        <v/>
      </c>
    </row>
    <row r="999">
      <c r="A999" s="47" t="n"/>
      <c r="B999" s="38" t="n"/>
      <c r="C999" s="38" t="n"/>
      <c r="D999" s="38" t="n"/>
      <c r="E999" s="48" t="n"/>
      <c r="F999" s="38" t="n"/>
      <c r="G999" s="38" t="n"/>
      <c r="H999" s="38" t="n"/>
      <c r="I999" s="38" t="n"/>
      <c r="J999" s="49">
        <f>IF(B999="","",IFERROR(INDEX('SETTINGS'!$M$5:$M$24,MATCH(B999,'SETTINGS'!$L$5:$L$24,0)),"Yes"))</f>
        <v/>
      </c>
      <c r="K999" s="51">
        <f>IF(A999="","",DATE(YEAR(A999),MONTH(A999),1))</f>
        <v/>
      </c>
    </row>
    <row r="1000">
      <c r="A1000" s="47" t="n"/>
      <c r="B1000" s="38" t="n"/>
      <c r="C1000" s="38" t="n"/>
      <c r="D1000" s="38" t="n"/>
      <c r="E1000" s="48" t="n"/>
      <c r="F1000" s="38" t="n"/>
      <c r="G1000" s="38" t="n"/>
      <c r="H1000" s="38" t="n"/>
      <c r="I1000" s="38" t="n"/>
      <c r="J1000" s="49">
        <f>IF(B1000="","",IFERROR(INDEX('SETTINGS'!$M$5:$M$24,MATCH(B1000,'SETTINGS'!$L$5:$L$24,0)),"Yes"))</f>
        <v/>
      </c>
      <c r="K1000" s="51">
        <f>IF(A1000="","",DATE(YEAR(A1000),MONTH(A1000),1))</f>
        <v/>
      </c>
    </row>
    <row r="1001">
      <c r="A1001" s="47" t="n"/>
      <c r="B1001" s="38" t="n"/>
      <c r="C1001" s="38" t="n"/>
      <c r="D1001" s="38" t="n"/>
      <c r="E1001" s="48" t="n"/>
      <c r="F1001" s="38" t="n"/>
      <c r="G1001" s="38" t="n"/>
      <c r="H1001" s="38" t="n"/>
      <c r="I1001" s="38" t="n"/>
      <c r="J1001" s="49">
        <f>IF(B1001="","",IFERROR(INDEX('SETTINGS'!$M$5:$M$24,MATCH(B1001,'SETTINGS'!$L$5:$L$24,0)),"Yes"))</f>
        <v/>
      </c>
      <c r="K1001" s="51">
        <f>IF(A1001="","",DATE(YEAR(A1001),MONTH(A1001),1))</f>
        <v/>
      </c>
    </row>
    <row r="1002">
      <c r="A1002" s="47" t="n"/>
      <c r="B1002" s="38" t="n"/>
      <c r="C1002" s="38" t="n"/>
      <c r="D1002" s="38" t="n"/>
      <c r="E1002" s="48" t="n"/>
      <c r="F1002" s="38" t="n"/>
      <c r="G1002" s="38" t="n"/>
      <c r="H1002" s="38" t="n"/>
      <c r="I1002" s="38" t="n"/>
      <c r="J1002" s="49">
        <f>IF(B1002="","",IFERROR(INDEX('SETTINGS'!$M$5:$M$24,MATCH(B1002,'SETTINGS'!$L$5:$L$24,0)),"Yes"))</f>
        <v/>
      </c>
      <c r="K1002" s="51">
        <f>IF(A1002="","",DATE(YEAR(A1002),MONTH(A1002),1))</f>
        <v/>
      </c>
    </row>
    <row r="1003">
      <c r="A1003" s="47" t="n"/>
      <c r="B1003" s="38" t="n"/>
      <c r="C1003" s="38" t="n"/>
      <c r="D1003" s="38" t="n"/>
      <c r="E1003" s="48" t="n"/>
      <c r="F1003" s="38" t="n"/>
      <c r="G1003" s="38" t="n"/>
      <c r="H1003" s="38" t="n"/>
      <c r="I1003" s="38" t="n"/>
      <c r="J1003" s="49">
        <f>IF(B1003="","",IFERROR(INDEX('SETTINGS'!$M$5:$M$24,MATCH(B1003,'SETTINGS'!$L$5:$L$24,0)),"Yes"))</f>
        <v/>
      </c>
      <c r="K1003" s="51">
        <f>IF(A1003="","",DATE(YEAR(A1003),MONTH(A1003),1))</f>
        <v/>
      </c>
    </row>
    <row r="1004">
      <c r="A1004" s="47" t="n"/>
      <c r="B1004" s="38" t="n"/>
      <c r="C1004" s="38" t="n"/>
      <c r="D1004" s="38" t="n"/>
      <c r="E1004" s="48" t="n"/>
      <c r="F1004" s="38" t="n"/>
      <c r="G1004" s="38" t="n"/>
      <c r="H1004" s="38" t="n"/>
      <c r="I1004" s="38" t="n"/>
      <c r="J1004" s="49">
        <f>IF(B1004="","",IFERROR(INDEX('SETTINGS'!$M$5:$M$24,MATCH(B1004,'SETTINGS'!$L$5:$L$24,0)),"Yes"))</f>
        <v/>
      </c>
      <c r="K1004" s="51">
        <f>IF(A1004="","",DATE(YEAR(A1004),MONTH(A1004),1))</f>
        <v/>
      </c>
    </row>
  </sheetData>
  <autoFilter ref="A4:K1004"/>
  <mergeCells count="2">
    <mergeCell ref="A2:K2"/>
    <mergeCell ref="A1:K1"/>
  </mergeCells>
  <dataValidations count="4">
    <dataValidation sqref="B5:B1004" showDropDown="0" showInputMessage="0" showErrorMessage="0" allowBlank="1" type="list">
      <formula1>='SETTINGS'!$L$5:$L$24</formula1>
    </dataValidation>
    <dataValidation sqref="F5:F1004" showDropDown="0" showInputMessage="0" showErrorMessage="0" allowBlank="1" type="list">
      <formula1>='SETTINGS'!$J$5:$J$24</formula1>
    </dataValidation>
    <dataValidation sqref="G5:G1004" showDropDown="0" showInputMessage="0" showErrorMessage="0" allowBlank="1" type="list">
      <formula1>='JOBS'!$A$5:$A$1504</formula1>
    </dataValidation>
    <dataValidation sqref="H5:H1004" showDropDown="0" showInputMessage="0" showErrorMessage="0" allowBlank="1" type="list">
      <formula1>='SETTINGS'!$AI$5:$AI$6</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4.xml><?xml version="1.0" encoding="utf-8"?>
<worksheet xmlns="http://schemas.openxmlformats.org/spreadsheetml/2006/main">
  <sheetPr>
    <tabColor rgb="001E7F4F"/>
    <outlinePr summaryBelow="1" summaryRight="1"/>
    <pageSetUpPr fitToPage="1"/>
  </sheetPr>
  <dimension ref="A1:P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34" customHeight="1">
      <c r="A1" s="42" t="inlineStr">
        <is>
          <t>JOB PROFITABILITY</t>
        </is>
      </c>
      <c r="B1" s="1" t="n"/>
      <c r="C1" s="1" t="n"/>
      <c r="D1" s="1" t="n"/>
      <c r="E1" s="1" t="n"/>
      <c r="F1" s="1" t="n"/>
      <c r="G1" s="1" t="n"/>
      <c r="H1" s="1" t="n"/>
      <c r="I1" s="1" t="n"/>
      <c r="J1" s="1" t="n"/>
      <c r="K1" s="1" t="n"/>
      <c r="L1" s="1" t="n"/>
      <c r="M1" s="1" t="n"/>
      <c r="N1" s="1" t="n"/>
      <c r="O1" s="1" t="n"/>
      <c r="P1" s="1" t="n"/>
    </row>
    <row r="2" ht="30" customHeight="1">
      <c r="A2" s="43" t="inlineStr">
        <is>
          <t>Where you make (and lose) money: by service, by worker and by customer type. Completed jobs only. Profit figures are estimates based on your cost assumptions.</t>
        </is>
      </c>
    </row>
    <row r="3" ht="18" customHeight="1">
      <c r="A3" s="24" t="inlineStr">
        <is>
          <t>← Start Here</t>
        </is>
      </c>
      <c r="B3" s="24" t="inlineStr">
        <is>
          <t>Dashboard →</t>
        </is>
      </c>
    </row>
    <row r="4">
      <c r="A4" s="70" t="inlineStr">
        <is>
          <t>Period:</t>
        </is>
      </c>
      <c r="B4" s="10" t="inlineStr">
        <is>
          <t>Reporting month</t>
        </is>
      </c>
      <c r="C4" s="116" t="inlineStr">
        <is>
          <t>From</t>
        </is>
      </c>
      <c r="D4" s="117">
        <f>IF(B4="All time",DATE(1900,1,1),IF(B4="Year to date",DATE(ReportYear,1,1),ReportMonth))</f>
        <v/>
      </c>
      <c r="E4" s="116" t="inlineStr">
        <is>
          <t>To</t>
        </is>
      </c>
      <c r="F4" s="117">
        <f>IF(B4="All time",DATE(2999,12,31),IF(B4="Year to date",MAX(AsOf,EOMONTH(ReportMonth,0)),EOMONTH(ReportMonth,0)))</f>
        <v/>
      </c>
    </row>
    <row r="6">
      <c r="A6" s="5" t="inlineStr">
        <is>
          <t>BY SERVICE TYPE</t>
        </is>
      </c>
      <c r="B6" s="6" t="n"/>
      <c r="C6" s="6" t="n"/>
      <c r="D6" s="6" t="n"/>
      <c r="E6" s="6" t="n"/>
      <c r="F6" s="6" t="n"/>
      <c r="G6" s="6" t="n"/>
      <c r="H6" s="6" t="n"/>
      <c r="I6" s="6" t="n"/>
      <c r="J6" s="6" t="n"/>
      <c r="K6" s="6" t="n"/>
      <c r="L6" s="6" t="n"/>
      <c r="M6" s="6" t="n"/>
      <c r="N6" s="6" t="n"/>
      <c r="O6" s="6" t="n"/>
      <c r="P6" s="6" t="n"/>
    </row>
    <row r="7" ht="30" customHeight="1">
      <c r="A7" s="106" t="inlineStr"/>
      <c r="B7" s="44" t="inlineStr">
        <is>
          <t>Jobs</t>
        </is>
      </c>
      <c r="C7" s="44" t="inlineStr">
        <is>
          <t>Revenue</t>
        </is>
      </c>
      <c r="D7" s="44" t="inlineStr">
        <is>
          <t>Labor Cost</t>
        </is>
      </c>
      <c r="E7" s="44" t="inlineStr">
        <is>
          <t>Supplies</t>
        </is>
      </c>
      <c r="F7" s="44" t="inlineStr">
        <is>
          <t>Vehicle</t>
        </is>
      </c>
      <c r="G7" s="44" t="inlineStr">
        <is>
          <t>Fees</t>
        </is>
      </c>
      <c r="H7" s="44" t="inlineStr">
        <is>
          <t>Gross Profit</t>
        </is>
      </c>
      <c r="I7" s="44" t="inlineStr">
        <is>
          <t>Margin</t>
        </is>
      </c>
      <c r="J7" s="44" t="inlineStr">
        <is>
          <t>Avg Price</t>
        </is>
      </c>
      <c r="K7" s="44" t="inlineStr">
        <is>
          <t>Labor Hrs</t>
        </is>
      </c>
      <c r="L7" s="44" t="inlineStr">
        <is>
          <t>Revenue / Labor Hr</t>
        </is>
      </c>
      <c r="M7" s="44" t="inlineStr">
        <is>
          <t>Profit / Labor Hr</t>
        </is>
      </c>
      <c r="N7" s="44" t="inlineStr">
        <is>
          <t>Jobs Below Target</t>
        </is>
      </c>
      <c r="O7" s="44" t="inlineStr">
        <is>
          <t>Jobs Losing Money</t>
        </is>
      </c>
      <c r="P7" s="44" t="inlineStr">
        <is>
          <t>Avg Hours Over/Under</t>
        </is>
      </c>
    </row>
    <row r="8">
      <c r="A8" s="70">
        <f>'PRICING'!A7&amp;""</f>
        <v/>
      </c>
      <c r="B8" s="118">
        <f>IF($A8="","",COUNTIFS('JOBS'!$O$5:$O$1504,"Completed",'JOBS'!$B$5:$B$1504,"&gt;="&amp;$D$4,'JOBS'!$B$5:$B$1504,"&lt;="&amp;$F$4,'JOBS'!$F$5:$F$1504,$A8))</f>
        <v/>
      </c>
      <c r="C8" s="93">
        <f>IF($A8="","",SUMIFS('JOBS'!$L$5:$L$1504,'JOBS'!$O$5:$O$1504,"Completed",'JOBS'!$B$5:$B$1504,"&gt;="&amp;$D$4,'JOBS'!$B$5:$B$1504,"&lt;="&amp;$F$4,'JOBS'!$F$5:$F$1504,$A8))</f>
        <v/>
      </c>
      <c r="D8" s="93">
        <f>IF($A8="","",SUMIFS('JOBS'!$X$5:$X$1504,'JOBS'!$O$5:$O$1504,"Completed",'JOBS'!$B$5:$B$1504,"&gt;="&amp;$D$4,'JOBS'!$B$5:$B$1504,"&lt;="&amp;$F$4,'JOBS'!$F$5:$F$1504,$A8))</f>
        <v/>
      </c>
      <c r="E8" s="93">
        <f>IF($A8="","",SUMIFS('JOBS'!$Y$5:$Y$1504,'JOBS'!$O$5:$O$1504,"Completed",'JOBS'!$B$5:$B$1504,"&gt;="&amp;$D$4,'JOBS'!$B$5:$B$1504,"&lt;="&amp;$F$4,'JOBS'!$F$5:$F$1504,$A8))</f>
        <v/>
      </c>
      <c r="F8" s="93">
        <f>IF($A8="","",SUMIFS('JOBS'!$AA$5:$AA$1504,'JOBS'!$O$5:$O$1504,"Completed",'JOBS'!$B$5:$B$1504,"&gt;="&amp;$D$4,'JOBS'!$B$5:$B$1504,"&lt;="&amp;$F$4,'JOBS'!$F$5:$F$1504,$A8))</f>
        <v/>
      </c>
      <c r="G8" s="93">
        <f>IF($A8="","",SUMIFS('JOBS'!$AB$5:$AB$1504,'JOBS'!$O$5:$O$1504,"Completed",'JOBS'!$B$5:$B$1504,"&gt;="&amp;$D$4,'JOBS'!$B$5:$B$1504,"&lt;="&amp;$F$4,'JOBS'!$F$5:$F$1504,$A8))</f>
        <v/>
      </c>
      <c r="H8" s="93">
        <f>IF($A8="","",SUMIFS('JOBS'!$AC$5:$AC$1504,'JOBS'!$O$5:$O$1504,"Completed",'JOBS'!$B$5:$B$1504,"&gt;="&amp;$D$4,'JOBS'!$B$5:$B$1504,"&lt;="&amp;$F$4,'JOBS'!$F$5:$F$1504,$A8))</f>
        <v/>
      </c>
      <c r="I8" s="119">
        <f>IF(N(C8)=0,"",H8/C8)</f>
        <v/>
      </c>
      <c r="J8" s="93">
        <f>IF(N(B8)=0,"",C8/B8)</f>
        <v/>
      </c>
      <c r="K8" s="120">
        <f>IF($A8="","",SUMIFS('JOBS'!$R$5:$R$1504,'JOBS'!$O$5:$O$1504,"Completed",'JOBS'!$B$5:$B$1504,"&gt;="&amp;$D$4,'JOBS'!$B$5:$B$1504,"&lt;="&amp;$F$4,'JOBS'!$F$5:$F$1504,$A8))</f>
        <v/>
      </c>
      <c r="L8" s="78">
        <f>IF(N(K8)=0,"",C8/K8)</f>
        <v/>
      </c>
      <c r="M8" s="78">
        <f>IF(N(K8)=0,"",H8/K8)</f>
        <v/>
      </c>
      <c r="N8" s="118">
        <f>IF($A8="","",COUNTIFS('JOBS'!$O$5:$O$1504,"Completed",'JOBS'!$B$5:$B$1504,"&gt;="&amp;$D$4,'JOBS'!$B$5:$B$1504,"&lt;="&amp;$F$4,'JOBS'!$F$5:$F$1504,$A8,'JOBS'!$AD$5:$AD$1504,"&lt;"&amp;TargetMargin))</f>
        <v/>
      </c>
      <c r="O8" s="118">
        <f>IF($A8="","",COUNTIFS('JOBS'!$O$5:$O$1504,"Completed",'JOBS'!$B$5:$B$1504,"&gt;="&amp;$D$4,'JOBS'!$B$5:$B$1504,"&lt;="&amp;$F$4,'JOBS'!$F$5:$F$1504,$A8,'JOBS'!$AC$5:$AC$1504,"&lt;0"))</f>
        <v/>
      </c>
      <c r="P8" s="121">
        <f>IF($A8="","",IFERROR(AVERAGEIFS('JOBS'!$AF$5:$AF$1504,'JOBS'!$O$5:$O$1504,"Completed",'JOBS'!$B$5:$B$1504,"&gt;="&amp;$D$4,'JOBS'!$B$5:$B$1504,"&lt;="&amp;$F$4,'JOBS'!$F$5:$F$1504,$A8),""))</f>
        <v/>
      </c>
    </row>
    <row r="9">
      <c r="A9" s="70">
        <f>'PRICING'!A8&amp;""</f>
        <v/>
      </c>
      <c r="B9" s="118">
        <f>IF($A9="","",COUNTIFS('JOBS'!$O$5:$O$1504,"Completed",'JOBS'!$B$5:$B$1504,"&gt;="&amp;$D$4,'JOBS'!$B$5:$B$1504,"&lt;="&amp;$F$4,'JOBS'!$F$5:$F$1504,$A9))</f>
        <v/>
      </c>
      <c r="C9" s="93">
        <f>IF($A9="","",SUMIFS('JOBS'!$L$5:$L$1504,'JOBS'!$O$5:$O$1504,"Completed",'JOBS'!$B$5:$B$1504,"&gt;="&amp;$D$4,'JOBS'!$B$5:$B$1504,"&lt;="&amp;$F$4,'JOBS'!$F$5:$F$1504,$A9))</f>
        <v/>
      </c>
      <c r="D9" s="93">
        <f>IF($A9="","",SUMIFS('JOBS'!$X$5:$X$1504,'JOBS'!$O$5:$O$1504,"Completed",'JOBS'!$B$5:$B$1504,"&gt;="&amp;$D$4,'JOBS'!$B$5:$B$1504,"&lt;="&amp;$F$4,'JOBS'!$F$5:$F$1504,$A9))</f>
        <v/>
      </c>
      <c r="E9" s="93">
        <f>IF($A9="","",SUMIFS('JOBS'!$Y$5:$Y$1504,'JOBS'!$O$5:$O$1504,"Completed",'JOBS'!$B$5:$B$1504,"&gt;="&amp;$D$4,'JOBS'!$B$5:$B$1504,"&lt;="&amp;$F$4,'JOBS'!$F$5:$F$1504,$A9))</f>
        <v/>
      </c>
      <c r="F9" s="93">
        <f>IF($A9="","",SUMIFS('JOBS'!$AA$5:$AA$1504,'JOBS'!$O$5:$O$1504,"Completed",'JOBS'!$B$5:$B$1504,"&gt;="&amp;$D$4,'JOBS'!$B$5:$B$1504,"&lt;="&amp;$F$4,'JOBS'!$F$5:$F$1504,$A9))</f>
        <v/>
      </c>
      <c r="G9" s="93">
        <f>IF($A9="","",SUMIFS('JOBS'!$AB$5:$AB$1504,'JOBS'!$O$5:$O$1504,"Completed",'JOBS'!$B$5:$B$1504,"&gt;="&amp;$D$4,'JOBS'!$B$5:$B$1504,"&lt;="&amp;$F$4,'JOBS'!$F$5:$F$1504,$A9))</f>
        <v/>
      </c>
      <c r="H9" s="93">
        <f>IF($A9="","",SUMIFS('JOBS'!$AC$5:$AC$1504,'JOBS'!$O$5:$O$1504,"Completed",'JOBS'!$B$5:$B$1504,"&gt;="&amp;$D$4,'JOBS'!$B$5:$B$1504,"&lt;="&amp;$F$4,'JOBS'!$F$5:$F$1504,$A9))</f>
        <v/>
      </c>
      <c r="I9" s="119">
        <f>IF(N(C9)=0,"",H9/C9)</f>
        <v/>
      </c>
      <c r="J9" s="93">
        <f>IF(N(B9)=0,"",C9/B9)</f>
        <v/>
      </c>
      <c r="K9" s="120">
        <f>IF($A9="","",SUMIFS('JOBS'!$R$5:$R$1504,'JOBS'!$O$5:$O$1504,"Completed",'JOBS'!$B$5:$B$1504,"&gt;="&amp;$D$4,'JOBS'!$B$5:$B$1504,"&lt;="&amp;$F$4,'JOBS'!$F$5:$F$1504,$A9))</f>
        <v/>
      </c>
      <c r="L9" s="78">
        <f>IF(N(K9)=0,"",C9/K9)</f>
        <v/>
      </c>
      <c r="M9" s="78">
        <f>IF(N(K9)=0,"",H9/K9)</f>
        <v/>
      </c>
      <c r="N9" s="118">
        <f>IF($A9="","",COUNTIFS('JOBS'!$O$5:$O$1504,"Completed",'JOBS'!$B$5:$B$1504,"&gt;="&amp;$D$4,'JOBS'!$B$5:$B$1504,"&lt;="&amp;$F$4,'JOBS'!$F$5:$F$1504,$A9,'JOBS'!$AD$5:$AD$1504,"&lt;"&amp;TargetMargin))</f>
        <v/>
      </c>
      <c r="O9" s="118">
        <f>IF($A9="","",COUNTIFS('JOBS'!$O$5:$O$1504,"Completed",'JOBS'!$B$5:$B$1504,"&gt;="&amp;$D$4,'JOBS'!$B$5:$B$1504,"&lt;="&amp;$F$4,'JOBS'!$F$5:$F$1504,$A9,'JOBS'!$AC$5:$AC$1504,"&lt;0"))</f>
        <v/>
      </c>
      <c r="P9" s="121">
        <f>IF($A9="","",IFERROR(AVERAGEIFS('JOBS'!$AF$5:$AF$1504,'JOBS'!$O$5:$O$1504,"Completed",'JOBS'!$B$5:$B$1504,"&gt;="&amp;$D$4,'JOBS'!$B$5:$B$1504,"&lt;="&amp;$F$4,'JOBS'!$F$5:$F$1504,$A9),""))</f>
        <v/>
      </c>
    </row>
    <row r="10">
      <c r="A10" s="70">
        <f>'PRICING'!A9&amp;""</f>
        <v/>
      </c>
      <c r="B10" s="118">
        <f>IF($A10="","",COUNTIFS('JOBS'!$O$5:$O$1504,"Completed",'JOBS'!$B$5:$B$1504,"&gt;="&amp;$D$4,'JOBS'!$B$5:$B$1504,"&lt;="&amp;$F$4,'JOBS'!$F$5:$F$1504,$A10))</f>
        <v/>
      </c>
      <c r="C10" s="93">
        <f>IF($A10="","",SUMIFS('JOBS'!$L$5:$L$1504,'JOBS'!$O$5:$O$1504,"Completed",'JOBS'!$B$5:$B$1504,"&gt;="&amp;$D$4,'JOBS'!$B$5:$B$1504,"&lt;="&amp;$F$4,'JOBS'!$F$5:$F$1504,$A10))</f>
        <v/>
      </c>
      <c r="D10" s="93">
        <f>IF($A10="","",SUMIFS('JOBS'!$X$5:$X$1504,'JOBS'!$O$5:$O$1504,"Completed",'JOBS'!$B$5:$B$1504,"&gt;="&amp;$D$4,'JOBS'!$B$5:$B$1504,"&lt;="&amp;$F$4,'JOBS'!$F$5:$F$1504,$A10))</f>
        <v/>
      </c>
      <c r="E10" s="93">
        <f>IF($A10="","",SUMIFS('JOBS'!$Y$5:$Y$1504,'JOBS'!$O$5:$O$1504,"Completed",'JOBS'!$B$5:$B$1504,"&gt;="&amp;$D$4,'JOBS'!$B$5:$B$1504,"&lt;="&amp;$F$4,'JOBS'!$F$5:$F$1504,$A10))</f>
        <v/>
      </c>
      <c r="F10" s="93">
        <f>IF($A10="","",SUMIFS('JOBS'!$AA$5:$AA$1504,'JOBS'!$O$5:$O$1504,"Completed",'JOBS'!$B$5:$B$1504,"&gt;="&amp;$D$4,'JOBS'!$B$5:$B$1504,"&lt;="&amp;$F$4,'JOBS'!$F$5:$F$1504,$A10))</f>
        <v/>
      </c>
      <c r="G10" s="93">
        <f>IF($A10="","",SUMIFS('JOBS'!$AB$5:$AB$1504,'JOBS'!$O$5:$O$1504,"Completed",'JOBS'!$B$5:$B$1504,"&gt;="&amp;$D$4,'JOBS'!$B$5:$B$1504,"&lt;="&amp;$F$4,'JOBS'!$F$5:$F$1504,$A10))</f>
        <v/>
      </c>
      <c r="H10" s="93">
        <f>IF($A10="","",SUMIFS('JOBS'!$AC$5:$AC$1504,'JOBS'!$O$5:$O$1504,"Completed",'JOBS'!$B$5:$B$1504,"&gt;="&amp;$D$4,'JOBS'!$B$5:$B$1504,"&lt;="&amp;$F$4,'JOBS'!$F$5:$F$1504,$A10))</f>
        <v/>
      </c>
      <c r="I10" s="119">
        <f>IF(N(C10)=0,"",H10/C10)</f>
        <v/>
      </c>
      <c r="J10" s="93">
        <f>IF(N(B10)=0,"",C10/B10)</f>
        <v/>
      </c>
      <c r="K10" s="120">
        <f>IF($A10="","",SUMIFS('JOBS'!$R$5:$R$1504,'JOBS'!$O$5:$O$1504,"Completed",'JOBS'!$B$5:$B$1504,"&gt;="&amp;$D$4,'JOBS'!$B$5:$B$1504,"&lt;="&amp;$F$4,'JOBS'!$F$5:$F$1504,$A10))</f>
        <v/>
      </c>
      <c r="L10" s="78">
        <f>IF(N(K10)=0,"",C10/K10)</f>
        <v/>
      </c>
      <c r="M10" s="78">
        <f>IF(N(K10)=0,"",H10/K10)</f>
        <v/>
      </c>
      <c r="N10" s="118">
        <f>IF($A10="","",COUNTIFS('JOBS'!$O$5:$O$1504,"Completed",'JOBS'!$B$5:$B$1504,"&gt;="&amp;$D$4,'JOBS'!$B$5:$B$1504,"&lt;="&amp;$F$4,'JOBS'!$F$5:$F$1504,$A10,'JOBS'!$AD$5:$AD$1504,"&lt;"&amp;TargetMargin))</f>
        <v/>
      </c>
      <c r="O10" s="118">
        <f>IF($A10="","",COUNTIFS('JOBS'!$O$5:$O$1504,"Completed",'JOBS'!$B$5:$B$1504,"&gt;="&amp;$D$4,'JOBS'!$B$5:$B$1504,"&lt;="&amp;$F$4,'JOBS'!$F$5:$F$1504,$A10,'JOBS'!$AC$5:$AC$1504,"&lt;0"))</f>
        <v/>
      </c>
      <c r="P10" s="121">
        <f>IF($A10="","",IFERROR(AVERAGEIFS('JOBS'!$AF$5:$AF$1504,'JOBS'!$O$5:$O$1504,"Completed",'JOBS'!$B$5:$B$1504,"&gt;="&amp;$D$4,'JOBS'!$B$5:$B$1504,"&lt;="&amp;$F$4,'JOBS'!$F$5:$F$1504,$A10),""))</f>
        <v/>
      </c>
    </row>
    <row r="11">
      <c r="A11" s="70">
        <f>'PRICING'!A10&amp;""</f>
        <v/>
      </c>
      <c r="B11" s="118">
        <f>IF($A11="","",COUNTIFS('JOBS'!$O$5:$O$1504,"Completed",'JOBS'!$B$5:$B$1504,"&gt;="&amp;$D$4,'JOBS'!$B$5:$B$1504,"&lt;="&amp;$F$4,'JOBS'!$F$5:$F$1504,$A11))</f>
        <v/>
      </c>
      <c r="C11" s="93">
        <f>IF($A11="","",SUMIFS('JOBS'!$L$5:$L$1504,'JOBS'!$O$5:$O$1504,"Completed",'JOBS'!$B$5:$B$1504,"&gt;="&amp;$D$4,'JOBS'!$B$5:$B$1504,"&lt;="&amp;$F$4,'JOBS'!$F$5:$F$1504,$A11))</f>
        <v/>
      </c>
      <c r="D11" s="93">
        <f>IF($A11="","",SUMIFS('JOBS'!$X$5:$X$1504,'JOBS'!$O$5:$O$1504,"Completed",'JOBS'!$B$5:$B$1504,"&gt;="&amp;$D$4,'JOBS'!$B$5:$B$1504,"&lt;="&amp;$F$4,'JOBS'!$F$5:$F$1504,$A11))</f>
        <v/>
      </c>
      <c r="E11" s="93">
        <f>IF($A11="","",SUMIFS('JOBS'!$Y$5:$Y$1504,'JOBS'!$O$5:$O$1504,"Completed",'JOBS'!$B$5:$B$1504,"&gt;="&amp;$D$4,'JOBS'!$B$5:$B$1504,"&lt;="&amp;$F$4,'JOBS'!$F$5:$F$1504,$A11))</f>
        <v/>
      </c>
      <c r="F11" s="93">
        <f>IF($A11="","",SUMIFS('JOBS'!$AA$5:$AA$1504,'JOBS'!$O$5:$O$1504,"Completed",'JOBS'!$B$5:$B$1504,"&gt;="&amp;$D$4,'JOBS'!$B$5:$B$1504,"&lt;="&amp;$F$4,'JOBS'!$F$5:$F$1504,$A11))</f>
        <v/>
      </c>
      <c r="G11" s="93">
        <f>IF($A11="","",SUMIFS('JOBS'!$AB$5:$AB$1504,'JOBS'!$O$5:$O$1504,"Completed",'JOBS'!$B$5:$B$1504,"&gt;="&amp;$D$4,'JOBS'!$B$5:$B$1504,"&lt;="&amp;$F$4,'JOBS'!$F$5:$F$1504,$A11))</f>
        <v/>
      </c>
      <c r="H11" s="93">
        <f>IF($A11="","",SUMIFS('JOBS'!$AC$5:$AC$1504,'JOBS'!$O$5:$O$1504,"Completed",'JOBS'!$B$5:$B$1504,"&gt;="&amp;$D$4,'JOBS'!$B$5:$B$1504,"&lt;="&amp;$F$4,'JOBS'!$F$5:$F$1504,$A11))</f>
        <v/>
      </c>
      <c r="I11" s="119">
        <f>IF(N(C11)=0,"",H11/C11)</f>
        <v/>
      </c>
      <c r="J11" s="93">
        <f>IF(N(B11)=0,"",C11/B11)</f>
        <v/>
      </c>
      <c r="K11" s="120">
        <f>IF($A11="","",SUMIFS('JOBS'!$R$5:$R$1504,'JOBS'!$O$5:$O$1504,"Completed",'JOBS'!$B$5:$B$1504,"&gt;="&amp;$D$4,'JOBS'!$B$5:$B$1504,"&lt;="&amp;$F$4,'JOBS'!$F$5:$F$1504,$A11))</f>
        <v/>
      </c>
      <c r="L11" s="78">
        <f>IF(N(K11)=0,"",C11/K11)</f>
        <v/>
      </c>
      <c r="M11" s="78">
        <f>IF(N(K11)=0,"",H11/K11)</f>
        <v/>
      </c>
      <c r="N11" s="118">
        <f>IF($A11="","",COUNTIFS('JOBS'!$O$5:$O$1504,"Completed",'JOBS'!$B$5:$B$1504,"&gt;="&amp;$D$4,'JOBS'!$B$5:$B$1504,"&lt;="&amp;$F$4,'JOBS'!$F$5:$F$1504,$A11,'JOBS'!$AD$5:$AD$1504,"&lt;"&amp;TargetMargin))</f>
        <v/>
      </c>
      <c r="O11" s="118">
        <f>IF($A11="","",COUNTIFS('JOBS'!$O$5:$O$1504,"Completed",'JOBS'!$B$5:$B$1504,"&gt;="&amp;$D$4,'JOBS'!$B$5:$B$1504,"&lt;="&amp;$F$4,'JOBS'!$F$5:$F$1504,$A11,'JOBS'!$AC$5:$AC$1504,"&lt;0"))</f>
        <v/>
      </c>
      <c r="P11" s="121">
        <f>IF($A11="","",IFERROR(AVERAGEIFS('JOBS'!$AF$5:$AF$1504,'JOBS'!$O$5:$O$1504,"Completed",'JOBS'!$B$5:$B$1504,"&gt;="&amp;$D$4,'JOBS'!$B$5:$B$1504,"&lt;="&amp;$F$4,'JOBS'!$F$5:$F$1504,$A11),""))</f>
        <v/>
      </c>
    </row>
    <row r="12">
      <c r="A12" s="70">
        <f>'PRICING'!A11&amp;""</f>
        <v/>
      </c>
      <c r="B12" s="118">
        <f>IF($A12="","",COUNTIFS('JOBS'!$O$5:$O$1504,"Completed",'JOBS'!$B$5:$B$1504,"&gt;="&amp;$D$4,'JOBS'!$B$5:$B$1504,"&lt;="&amp;$F$4,'JOBS'!$F$5:$F$1504,$A12))</f>
        <v/>
      </c>
      <c r="C12" s="93">
        <f>IF($A12="","",SUMIFS('JOBS'!$L$5:$L$1504,'JOBS'!$O$5:$O$1504,"Completed",'JOBS'!$B$5:$B$1504,"&gt;="&amp;$D$4,'JOBS'!$B$5:$B$1504,"&lt;="&amp;$F$4,'JOBS'!$F$5:$F$1504,$A12))</f>
        <v/>
      </c>
      <c r="D12" s="93">
        <f>IF($A12="","",SUMIFS('JOBS'!$X$5:$X$1504,'JOBS'!$O$5:$O$1504,"Completed",'JOBS'!$B$5:$B$1504,"&gt;="&amp;$D$4,'JOBS'!$B$5:$B$1504,"&lt;="&amp;$F$4,'JOBS'!$F$5:$F$1504,$A12))</f>
        <v/>
      </c>
      <c r="E12" s="93">
        <f>IF($A12="","",SUMIFS('JOBS'!$Y$5:$Y$1504,'JOBS'!$O$5:$O$1504,"Completed",'JOBS'!$B$5:$B$1504,"&gt;="&amp;$D$4,'JOBS'!$B$5:$B$1504,"&lt;="&amp;$F$4,'JOBS'!$F$5:$F$1504,$A12))</f>
        <v/>
      </c>
      <c r="F12" s="93">
        <f>IF($A12="","",SUMIFS('JOBS'!$AA$5:$AA$1504,'JOBS'!$O$5:$O$1504,"Completed",'JOBS'!$B$5:$B$1504,"&gt;="&amp;$D$4,'JOBS'!$B$5:$B$1504,"&lt;="&amp;$F$4,'JOBS'!$F$5:$F$1504,$A12))</f>
        <v/>
      </c>
      <c r="G12" s="93">
        <f>IF($A12="","",SUMIFS('JOBS'!$AB$5:$AB$1504,'JOBS'!$O$5:$O$1504,"Completed",'JOBS'!$B$5:$B$1504,"&gt;="&amp;$D$4,'JOBS'!$B$5:$B$1504,"&lt;="&amp;$F$4,'JOBS'!$F$5:$F$1504,$A12))</f>
        <v/>
      </c>
      <c r="H12" s="93">
        <f>IF($A12="","",SUMIFS('JOBS'!$AC$5:$AC$1504,'JOBS'!$O$5:$O$1504,"Completed",'JOBS'!$B$5:$B$1504,"&gt;="&amp;$D$4,'JOBS'!$B$5:$B$1504,"&lt;="&amp;$F$4,'JOBS'!$F$5:$F$1504,$A12))</f>
        <v/>
      </c>
      <c r="I12" s="119">
        <f>IF(N(C12)=0,"",H12/C12)</f>
        <v/>
      </c>
      <c r="J12" s="93">
        <f>IF(N(B12)=0,"",C12/B12)</f>
        <v/>
      </c>
      <c r="K12" s="120">
        <f>IF($A12="","",SUMIFS('JOBS'!$R$5:$R$1504,'JOBS'!$O$5:$O$1504,"Completed",'JOBS'!$B$5:$B$1504,"&gt;="&amp;$D$4,'JOBS'!$B$5:$B$1504,"&lt;="&amp;$F$4,'JOBS'!$F$5:$F$1504,$A12))</f>
        <v/>
      </c>
      <c r="L12" s="78">
        <f>IF(N(K12)=0,"",C12/K12)</f>
        <v/>
      </c>
      <c r="M12" s="78">
        <f>IF(N(K12)=0,"",H12/K12)</f>
        <v/>
      </c>
      <c r="N12" s="118">
        <f>IF($A12="","",COUNTIFS('JOBS'!$O$5:$O$1504,"Completed",'JOBS'!$B$5:$B$1504,"&gt;="&amp;$D$4,'JOBS'!$B$5:$B$1504,"&lt;="&amp;$F$4,'JOBS'!$F$5:$F$1504,$A12,'JOBS'!$AD$5:$AD$1504,"&lt;"&amp;TargetMargin))</f>
        <v/>
      </c>
      <c r="O12" s="118">
        <f>IF($A12="","",COUNTIFS('JOBS'!$O$5:$O$1504,"Completed",'JOBS'!$B$5:$B$1504,"&gt;="&amp;$D$4,'JOBS'!$B$5:$B$1504,"&lt;="&amp;$F$4,'JOBS'!$F$5:$F$1504,$A12,'JOBS'!$AC$5:$AC$1504,"&lt;0"))</f>
        <v/>
      </c>
      <c r="P12" s="121">
        <f>IF($A12="","",IFERROR(AVERAGEIFS('JOBS'!$AF$5:$AF$1504,'JOBS'!$O$5:$O$1504,"Completed",'JOBS'!$B$5:$B$1504,"&gt;="&amp;$D$4,'JOBS'!$B$5:$B$1504,"&lt;="&amp;$F$4,'JOBS'!$F$5:$F$1504,$A12),""))</f>
        <v/>
      </c>
    </row>
    <row r="13">
      <c r="A13" s="70">
        <f>'PRICING'!A12&amp;""</f>
        <v/>
      </c>
      <c r="B13" s="118">
        <f>IF($A13="","",COUNTIFS('JOBS'!$O$5:$O$1504,"Completed",'JOBS'!$B$5:$B$1504,"&gt;="&amp;$D$4,'JOBS'!$B$5:$B$1504,"&lt;="&amp;$F$4,'JOBS'!$F$5:$F$1504,$A13))</f>
        <v/>
      </c>
      <c r="C13" s="93">
        <f>IF($A13="","",SUMIFS('JOBS'!$L$5:$L$1504,'JOBS'!$O$5:$O$1504,"Completed",'JOBS'!$B$5:$B$1504,"&gt;="&amp;$D$4,'JOBS'!$B$5:$B$1504,"&lt;="&amp;$F$4,'JOBS'!$F$5:$F$1504,$A13))</f>
        <v/>
      </c>
      <c r="D13" s="93">
        <f>IF($A13="","",SUMIFS('JOBS'!$X$5:$X$1504,'JOBS'!$O$5:$O$1504,"Completed",'JOBS'!$B$5:$B$1504,"&gt;="&amp;$D$4,'JOBS'!$B$5:$B$1504,"&lt;="&amp;$F$4,'JOBS'!$F$5:$F$1504,$A13))</f>
        <v/>
      </c>
      <c r="E13" s="93">
        <f>IF($A13="","",SUMIFS('JOBS'!$Y$5:$Y$1504,'JOBS'!$O$5:$O$1504,"Completed",'JOBS'!$B$5:$B$1504,"&gt;="&amp;$D$4,'JOBS'!$B$5:$B$1504,"&lt;="&amp;$F$4,'JOBS'!$F$5:$F$1504,$A13))</f>
        <v/>
      </c>
      <c r="F13" s="93">
        <f>IF($A13="","",SUMIFS('JOBS'!$AA$5:$AA$1504,'JOBS'!$O$5:$O$1504,"Completed",'JOBS'!$B$5:$B$1504,"&gt;="&amp;$D$4,'JOBS'!$B$5:$B$1504,"&lt;="&amp;$F$4,'JOBS'!$F$5:$F$1504,$A13))</f>
        <v/>
      </c>
      <c r="G13" s="93">
        <f>IF($A13="","",SUMIFS('JOBS'!$AB$5:$AB$1504,'JOBS'!$O$5:$O$1504,"Completed",'JOBS'!$B$5:$B$1504,"&gt;="&amp;$D$4,'JOBS'!$B$5:$B$1504,"&lt;="&amp;$F$4,'JOBS'!$F$5:$F$1504,$A13))</f>
        <v/>
      </c>
      <c r="H13" s="93">
        <f>IF($A13="","",SUMIFS('JOBS'!$AC$5:$AC$1504,'JOBS'!$O$5:$O$1504,"Completed",'JOBS'!$B$5:$B$1504,"&gt;="&amp;$D$4,'JOBS'!$B$5:$B$1504,"&lt;="&amp;$F$4,'JOBS'!$F$5:$F$1504,$A13))</f>
        <v/>
      </c>
      <c r="I13" s="119">
        <f>IF(N(C13)=0,"",H13/C13)</f>
        <v/>
      </c>
      <c r="J13" s="93">
        <f>IF(N(B13)=0,"",C13/B13)</f>
        <v/>
      </c>
      <c r="K13" s="120">
        <f>IF($A13="","",SUMIFS('JOBS'!$R$5:$R$1504,'JOBS'!$O$5:$O$1504,"Completed",'JOBS'!$B$5:$B$1504,"&gt;="&amp;$D$4,'JOBS'!$B$5:$B$1504,"&lt;="&amp;$F$4,'JOBS'!$F$5:$F$1504,$A13))</f>
        <v/>
      </c>
      <c r="L13" s="78">
        <f>IF(N(K13)=0,"",C13/K13)</f>
        <v/>
      </c>
      <c r="M13" s="78">
        <f>IF(N(K13)=0,"",H13/K13)</f>
        <v/>
      </c>
      <c r="N13" s="118">
        <f>IF($A13="","",COUNTIFS('JOBS'!$O$5:$O$1504,"Completed",'JOBS'!$B$5:$B$1504,"&gt;="&amp;$D$4,'JOBS'!$B$5:$B$1504,"&lt;="&amp;$F$4,'JOBS'!$F$5:$F$1504,$A13,'JOBS'!$AD$5:$AD$1504,"&lt;"&amp;TargetMargin))</f>
        <v/>
      </c>
      <c r="O13" s="118">
        <f>IF($A13="","",COUNTIFS('JOBS'!$O$5:$O$1504,"Completed",'JOBS'!$B$5:$B$1504,"&gt;="&amp;$D$4,'JOBS'!$B$5:$B$1504,"&lt;="&amp;$F$4,'JOBS'!$F$5:$F$1504,$A13,'JOBS'!$AC$5:$AC$1504,"&lt;0"))</f>
        <v/>
      </c>
      <c r="P13" s="121">
        <f>IF($A13="","",IFERROR(AVERAGEIFS('JOBS'!$AF$5:$AF$1504,'JOBS'!$O$5:$O$1504,"Completed",'JOBS'!$B$5:$B$1504,"&gt;="&amp;$D$4,'JOBS'!$B$5:$B$1504,"&lt;="&amp;$F$4,'JOBS'!$F$5:$F$1504,$A13),""))</f>
        <v/>
      </c>
    </row>
    <row r="14">
      <c r="A14" s="70">
        <f>'PRICING'!A13&amp;""</f>
        <v/>
      </c>
      <c r="B14" s="118">
        <f>IF($A14="","",COUNTIFS('JOBS'!$O$5:$O$1504,"Completed",'JOBS'!$B$5:$B$1504,"&gt;="&amp;$D$4,'JOBS'!$B$5:$B$1504,"&lt;="&amp;$F$4,'JOBS'!$F$5:$F$1504,$A14))</f>
        <v/>
      </c>
      <c r="C14" s="93">
        <f>IF($A14="","",SUMIFS('JOBS'!$L$5:$L$1504,'JOBS'!$O$5:$O$1504,"Completed",'JOBS'!$B$5:$B$1504,"&gt;="&amp;$D$4,'JOBS'!$B$5:$B$1504,"&lt;="&amp;$F$4,'JOBS'!$F$5:$F$1504,$A14))</f>
        <v/>
      </c>
      <c r="D14" s="93">
        <f>IF($A14="","",SUMIFS('JOBS'!$X$5:$X$1504,'JOBS'!$O$5:$O$1504,"Completed",'JOBS'!$B$5:$B$1504,"&gt;="&amp;$D$4,'JOBS'!$B$5:$B$1504,"&lt;="&amp;$F$4,'JOBS'!$F$5:$F$1504,$A14))</f>
        <v/>
      </c>
      <c r="E14" s="93">
        <f>IF($A14="","",SUMIFS('JOBS'!$Y$5:$Y$1504,'JOBS'!$O$5:$O$1504,"Completed",'JOBS'!$B$5:$B$1504,"&gt;="&amp;$D$4,'JOBS'!$B$5:$B$1504,"&lt;="&amp;$F$4,'JOBS'!$F$5:$F$1504,$A14))</f>
        <v/>
      </c>
      <c r="F14" s="93">
        <f>IF($A14="","",SUMIFS('JOBS'!$AA$5:$AA$1504,'JOBS'!$O$5:$O$1504,"Completed",'JOBS'!$B$5:$B$1504,"&gt;="&amp;$D$4,'JOBS'!$B$5:$B$1504,"&lt;="&amp;$F$4,'JOBS'!$F$5:$F$1504,$A14))</f>
        <v/>
      </c>
      <c r="G14" s="93">
        <f>IF($A14="","",SUMIFS('JOBS'!$AB$5:$AB$1504,'JOBS'!$O$5:$O$1504,"Completed",'JOBS'!$B$5:$B$1504,"&gt;="&amp;$D$4,'JOBS'!$B$5:$B$1504,"&lt;="&amp;$F$4,'JOBS'!$F$5:$F$1504,$A14))</f>
        <v/>
      </c>
      <c r="H14" s="93">
        <f>IF($A14="","",SUMIFS('JOBS'!$AC$5:$AC$1504,'JOBS'!$O$5:$O$1504,"Completed",'JOBS'!$B$5:$B$1504,"&gt;="&amp;$D$4,'JOBS'!$B$5:$B$1504,"&lt;="&amp;$F$4,'JOBS'!$F$5:$F$1504,$A14))</f>
        <v/>
      </c>
      <c r="I14" s="119">
        <f>IF(N(C14)=0,"",H14/C14)</f>
        <v/>
      </c>
      <c r="J14" s="93">
        <f>IF(N(B14)=0,"",C14/B14)</f>
        <v/>
      </c>
      <c r="K14" s="120">
        <f>IF($A14="","",SUMIFS('JOBS'!$R$5:$R$1504,'JOBS'!$O$5:$O$1504,"Completed",'JOBS'!$B$5:$B$1504,"&gt;="&amp;$D$4,'JOBS'!$B$5:$B$1504,"&lt;="&amp;$F$4,'JOBS'!$F$5:$F$1504,$A14))</f>
        <v/>
      </c>
      <c r="L14" s="78">
        <f>IF(N(K14)=0,"",C14/K14)</f>
        <v/>
      </c>
      <c r="M14" s="78">
        <f>IF(N(K14)=0,"",H14/K14)</f>
        <v/>
      </c>
      <c r="N14" s="118">
        <f>IF($A14="","",COUNTIFS('JOBS'!$O$5:$O$1504,"Completed",'JOBS'!$B$5:$B$1504,"&gt;="&amp;$D$4,'JOBS'!$B$5:$B$1504,"&lt;="&amp;$F$4,'JOBS'!$F$5:$F$1504,$A14,'JOBS'!$AD$5:$AD$1504,"&lt;"&amp;TargetMargin))</f>
        <v/>
      </c>
      <c r="O14" s="118">
        <f>IF($A14="","",COUNTIFS('JOBS'!$O$5:$O$1504,"Completed",'JOBS'!$B$5:$B$1504,"&gt;="&amp;$D$4,'JOBS'!$B$5:$B$1504,"&lt;="&amp;$F$4,'JOBS'!$F$5:$F$1504,$A14,'JOBS'!$AC$5:$AC$1504,"&lt;0"))</f>
        <v/>
      </c>
      <c r="P14" s="121">
        <f>IF($A14="","",IFERROR(AVERAGEIFS('JOBS'!$AF$5:$AF$1504,'JOBS'!$O$5:$O$1504,"Completed",'JOBS'!$B$5:$B$1504,"&gt;="&amp;$D$4,'JOBS'!$B$5:$B$1504,"&lt;="&amp;$F$4,'JOBS'!$F$5:$F$1504,$A14),""))</f>
        <v/>
      </c>
    </row>
    <row r="15">
      <c r="A15" s="70">
        <f>'PRICING'!A14&amp;""</f>
        <v/>
      </c>
      <c r="B15" s="118">
        <f>IF($A15="","",COUNTIFS('JOBS'!$O$5:$O$1504,"Completed",'JOBS'!$B$5:$B$1504,"&gt;="&amp;$D$4,'JOBS'!$B$5:$B$1504,"&lt;="&amp;$F$4,'JOBS'!$F$5:$F$1504,$A15))</f>
        <v/>
      </c>
      <c r="C15" s="93">
        <f>IF($A15="","",SUMIFS('JOBS'!$L$5:$L$1504,'JOBS'!$O$5:$O$1504,"Completed",'JOBS'!$B$5:$B$1504,"&gt;="&amp;$D$4,'JOBS'!$B$5:$B$1504,"&lt;="&amp;$F$4,'JOBS'!$F$5:$F$1504,$A15))</f>
        <v/>
      </c>
      <c r="D15" s="93">
        <f>IF($A15="","",SUMIFS('JOBS'!$X$5:$X$1504,'JOBS'!$O$5:$O$1504,"Completed",'JOBS'!$B$5:$B$1504,"&gt;="&amp;$D$4,'JOBS'!$B$5:$B$1504,"&lt;="&amp;$F$4,'JOBS'!$F$5:$F$1504,$A15))</f>
        <v/>
      </c>
      <c r="E15" s="93">
        <f>IF($A15="","",SUMIFS('JOBS'!$Y$5:$Y$1504,'JOBS'!$O$5:$O$1504,"Completed",'JOBS'!$B$5:$B$1504,"&gt;="&amp;$D$4,'JOBS'!$B$5:$B$1504,"&lt;="&amp;$F$4,'JOBS'!$F$5:$F$1504,$A15))</f>
        <v/>
      </c>
      <c r="F15" s="93">
        <f>IF($A15="","",SUMIFS('JOBS'!$AA$5:$AA$1504,'JOBS'!$O$5:$O$1504,"Completed",'JOBS'!$B$5:$B$1504,"&gt;="&amp;$D$4,'JOBS'!$B$5:$B$1504,"&lt;="&amp;$F$4,'JOBS'!$F$5:$F$1504,$A15))</f>
        <v/>
      </c>
      <c r="G15" s="93">
        <f>IF($A15="","",SUMIFS('JOBS'!$AB$5:$AB$1504,'JOBS'!$O$5:$O$1504,"Completed",'JOBS'!$B$5:$B$1504,"&gt;="&amp;$D$4,'JOBS'!$B$5:$B$1504,"&lt;="&amp;$F$4,'JOBS'!$F$5:$F$1504,$A15))</f>
        <v/>
      </c>
      <c r="H15" s="93">
        <f>IF($A15="","",SUMIFS('JOBS'!$AC$5:$AC$1504,'JOBS'!$O$5:$O$1504,"Completed",'JOBS'!$B$5:$B$1504,"&gt;="&amp;$D$4,'JOBS'!$B$5:$B$1504,"&lt;="&amp;$F$4,'JOBS'!$F$5:$F$1504,$A15))</f>
        <v/>
      </c>
      <c r="I15" s="119">
        <f>IF(N(C15)=0,"",H15/C15)</f>
        <v/>
      </c>
      <c r="J15" s="93">
        <f>IF(N(B15)=0,"",C15/B15)</f>
        <v/>
      </c>
      <c r="K15" s="120">
        <f>IF($A15="","",SUMIFS('JOBS'!$R$5:$R$1504,'JOBS'!$O$5:$O$1504,"Completed",'JOBS'!$B$5:$B$1504,"&gt;="&amp;$D$4,'JOBS'!$B$5:$B$1504,"&lt;="&amp;$F$4,'JOBS'!$F$5:$F$1504,$A15))</f>
        <v/>
      </c>
      <c r="L15" s="78">
        <f>IF(N(K15)=0,"",C15/K15)</f>
        <v/>
      </c>
      <c r="M15" s="78">
        <f>IF(N(K15)=0,"",H15/K15)</f>
        <v/>
      </c>
      <c r="N15" s="118">
        <f>IF($A15="","",COUNTIFS('JOBS'!$O$5:$O$1504,"Completed",'JOBS'!$B$5:$B$1504,"&gt;="&amp;$D$4,'JOBS'!$B$5:$B$1504,"&lt;="&amp;$F$4,'JOBS'!$F$5:$F$1504,$A15,'JOBS'!$AD$5:$AD$1504,"&lt;"&amp;TargetMargin))</f>
        <v/>
      </c>
      <c r="O15" s="118">
        <f>IF($A15="","",COUNTIFS('JOBS'!$O$5:$O$1504,"Completed",'JOBS'!$B$5:$B$1504,"&gt;="&amp;$D$4,'JOBS'!$B$5:$B$1504,"&lt;="&amp;$F$4,'JOBS'!$F$5:$F$1504,$A15,'JOBS'!$AC$5:$AC$1504,"&lt;0"))</f>
        <v/>
      </c>
      <c r="P15" s="121">
        <f>IF($A15="","",IFERROR(AVERAGEIFS('JOBS'!$AF$5:$AF$1504,'JOBS'!$O$5:$O$1504,"Completed",'JOBS'!$B$5:$B$1504,"&gt;="&amp;$D$4,'JOBS'!$B$5:$B$1504,"&lt;="&amp;$F$4,'JOBS'!$F$5:$F$1504,$A15),""))</f>
        <v/>
      </c>
    </row>
    <row r="16">
      <c r="A16" s="70">
        <f>'PRICING'!A15&amp;""</f>
        <v/>
      </c>
      <c r="B16" s="118">
        <f>IF($A16="","",COUNTIFS('JOBS'!$O$5:$O$1504,"Completed",'JOBS'!$B$5:$B$1504,"&gt;="&amp;$D$4,'JOBS'!$B$5:$B$1504,"&lt;="&amp;$F$4,'JOBS'!$F$5:$F$1504,$A16))</f>
        <v/>
      </c>
      <c r="C16" s="93">
        <f>IF($A16="","",SUMIFS('JOBS'!$L$5:$L$1504,'JOBS'!$O$5:$O$1504,"Completed",'JOBS'!$B$5:$B$1504,"&gt;="&amp;$D$4,'JOBS'!$B$5:$B$1504,"&lt;="&amp;$F$4,'JOBS'!$F$5:$F$1504,$A16))</f>
        <v/>
      </c>
      <c r="D16" s="93">
        <f>IF($A16="","",SUMIFS('JOBS'!$X$5:$X$1504,'JOBS'!$O$5:$O$1504,"Completed",'JOBS'!$B$5:$B$1504,"&gt;="&amp;$D$4,'JOBS'!$B$5:$B$1504,"&lt;="&amp;$F$4,'JOBS'!$F$5:$F$1504,$A16))</f>
        <v/>
      </c>
      <c r="E16" s="93">
        <f>IF($A16="","",SUMIFS('JOBS'!$Y$5:$Y$1504,'JOBS'!$O$5:$O$1504,"Completed",'JOBS'!$B$5:$B$1504,"&gt;="&amp;$D$4,'JOBS'!$B$5:$B$1504,"&lt;="&amp;$F$4,'JOBS'!$F$5:$F$1504,$A16))</f>
        <v/>
      </c>
      <c r="F16" s="93">
        <f>IF($A16="","",SUMIFS('JOBS'!$AA$5:$AA$1504,'JOBS'!$O$5:$O$1504,"Completed",'JOBS'!$B$5:$B$1504,"&gt;="&amp;$D$4,'JOBS'!$B$5:$B$1504,"&lt;="&amp;$F$4,'JOBS'!$F$5:$F$1504,$A16))</f>
        <v/>
      </c>
      <c r="G16" s="93">
        <f>IF($A16="","",SUMIFS('JOBS'!$AB$5:$AB$1504,'JOBS'!$O$5:$O$1504,"Completed",'JOBS'!$B$5:$B$1504,"&gt;="&amp;$D$4,'JOBS'!$B$5:$B$1504,"&lt;="&amp;$F$4,'JOBS'!$F$5:$F$1504,$A16))</f>
        <v/>
      </c>
      <c r="H16" s="93">
        <f>IF($A16="","",SUMIFS('JOBS'!$AC$5:$AC$1504,'JOBS'!$O$5:$O$1504,"Completed",'JOBS'!$B$5:$B$1504,"&gt;="&amp;$D$4,'JOBS'!$B$5:$B$1504,"&lt;="&amp;$F$4,'JOBS'!$F$5:$F$1504,$A16))</f>
        <v/>
      </c>
      <c r="I16" s="119">
        <f>IF(N(C16)=0,"",H16/C16)</f>
        <v/>
      </c>
      <c r="J16" s="93">
        <f>IF(N(B16)=0,"",C16/B16)</f>
        <v/>
      </c>
      <c r="K16" s="120">
        <f>IF($A16="","",SUMIFS('JOBS'!$R$5:$R$1504,'JOBS'!$O$5:$O$1504,"Completed",'JOBS'!$B$5:$B$1504,"&gt;="&amp;$D$4,'JOBS'!$B$5:$B$1504,"&lt;="&amp;$F$4,'JOBS'!$F$5:$F$1504,$A16))</f>
        <v/>
      </c>
      <c r="L16" s="78">
        <f>IF(N(K16)=0,"",C16/K16)</f>
        <v/>
      </c>
      <c r="M16" s="78">
        <f>IF(N(K16)=0,"",H16/K16)</f>
        <v/>
      </c>
      <c r="N16" s="118">
        <f>IF($A16="","",COUNTIFS('JOBS'!$O$5:$O$1504,"Completed",'JOBS'!$B$5:$B$1504,"&gt;="&amp;$D$4,'JOBS'!$B$5:$B$1504,"&lt;="&amp;$F$4,'JOBS'!$F$5:$F$1504,$A16,'JOBS'!$AD$5:$AD$1504,"&lt;"&amp;TargetMargin))</f>
        <v/>
      </c>
      <c r="O16" s="118">
        <f>IF($A16="","",COUNTIFS('JOBS'!$O$5:$O$1504,"Completed",'JOBS'!$B$5:$B$1504,"&gt;="&amp;$D$4,'JOBS'!$B$5:$B$1504,"&lt;="&amp;$F$4,'JOBS'!$F$5:$F$1504,$A16,'JOBS'!$AC$5:$AC$1504,"&lt;0"))</f>
        <v/>
      </c>
      <c r="P16" s="121">
        <f>IF($A16="","",IFERROR(AVERAGEIFS('JOBS'!$AF$5:$AF$1504,'JOBS'!$O$5:$O$1504,"Completed",'JOBS'!$B$5:$B$1504,"&gt;="&amp;$D$4,'JOBS'!$B$5:$B$1504,"&lt;="&amp;$F$4,'JOBS'!$F$5:$F$1504,$A16),""))</f>
        <v/>
      </c>
    </row>
    <row r="17">
      <c r="A17" s="70">
        <f>'PRICING'!A16&amp;""</f>
        <v/>
      </c>
      <c r="B17" s="118">
        <f>IF($A17="","",COUNTIFS('JOBS'!$O$5:$O$1504,"Completed",'JOBS'!$B$5:$B$1504,"&gt;="&amp;$D$4,'JOBS'!$B$5:$B$1504,"&lt;="&amp;$F$4,'JOBS'!$F$5:$F$1504,$A17))</f>
        <v/>
      </c>
      <c r="C17" s="93">
        <f>IF($A17="","",SUMIFS('JOBS'!$L$5:$L$1504,'JOBS'!$O$5:$O$1504,"Completed",'JOBS'!$B$5:$B$1504,"&gt;="&amp;$D$4,'JOBS'!$B$5:$B$1504,"&lt;="&amp;$F$4,'JOBS'!$F$5:$F$1504,$A17))</f>
        <v/>
      </c>
      <c r="D17" s="93">
        <f>IF($A17="","",SUMIFS('JOBS'!$X$5:$X$1504,'JOBS'!$O$5:$O$1504,"Completed",'JOBS'!$B$5:$B$1504,"&gt;="&amp;$D$4,'JOBS'!$B$5:$B$1504,"&lt;="&amp;$F$4,'JOBS'!$F$5:$F$1504,$A17))</f>
        <v/>
      </c>
      <c r="E17" s="93">
        <f>IF($A17="","",SUMIFS('JOBS'!$Y$5:$Y$1504,'JOBS'!$O$5:$O$1504,"Completed",'JOBS'!$B$5:$B$1504,"&gt;="&amp;$D$4,'JOBS'!$B$5:$B$1504,"&lt;="&amp;$F$4,'JOBS'!$F$5:$F$1504,$A17))</f>
        <v/>
      </c>
      <c r="F17" s="93">
        <f>IF($A17="","",SUMIFS('JOBS'!$AA$5:$AA$1504,'JOBS'!$O$5:$O$1504,"Completed",'JOBS'!$B$5:$B$1504,"&gt;="&amp;$D$4,'JOBS'!$B$5:$B$1504,"&lt;="&amp;$F$4,'JOBS'!$F$5:$F$1504,$A17))</f>
        <v/>
      </c>
      <c r="G17" s="93">
        <f>IF($A17="","",SUMIFS('JOBS'!$AB$5:$AB$1504,'JOBS'!$O$5:$O$1504,"Completed",'JOBS'!$B$5:$B$1504,"&gt;="&amp;$D$4,'JOBS'!$B$5:$B$1504,"&lt;="&amp;$F$4,'JOBS'!$F$5:$F$1504,$A17))</f>
        <v/>
      </c>
      <c r="H17" s="93">
        <f>IF($A17="","",SUMIFS('JOBS'!$AC$5:$AC$1504,'JOBS'!$O$5:$O$1504,"Completed",'JOBS'!$B$5:$B$1504,"&gt;="&amp;$D$4,'JOBS'!$B$5:$B$1504,"&lt;="&amp;$F$4,'JOBS'!$F$5:$F$1504,$A17))</f>
        <v/>
      </c>
      <c r="I17" s="119">
        <f>IF(N(C17)=0,"",H17/C17)</f>
        <v/>
      </c>
      <c r="J17" s="93">
        <f>IF(N(B17)=0,"",C17/B17)</f>
        <v/>
      </c>
      <c r="K17" s="120">
        <f>IF($A17="","",SUMIFS('JOBS'!$R$5:$R$1504,'JOBS'!$O$5:$O$1504,"Completed",'JOBS'!$B$5:$B$1504,"&gt;="&amp;$D$4,'JOBS'!$B$5:$B$1504,"&lt;="&amp;$F$4,'JOBS'!$F$5:$F$1504,$A17))</f>
        <v/>
      </c>
      <c r="L17" s="78">
        <f>IF(N(K17)=0,"",C17/K17)</f>
        <v/>
      </c>
      <c r="M17" s="78">
        <f>IF(N(K17)=0,"",H17/K17)</f>
        <v/>
      </c>
      <c r="N17" s="118">
        <f>IF($A17="","",COUNTIFS('JOBS'!$O$5:$O$1504,"Completed",'JOBS'!$B$5:$B$1504,"&gt;="&amp;$D$4,'JOBS'!$B$5:$B$1504,"&lt;="&amp;$F$4,'JOBS'!$F$5:$F$1504,$A17,'JOBS'!$AD$5:$AD$1504,"&lt;"&amp;TargetMargin))</f>
        <v/>
      </c>
      <c r="O17" s="118">
        <f>IF($A17="","",COUNTIFS('JOBS'!$O$5:$O$1504,"Completed",'JOBS'!$B$5:$B$1504,"&gt;="&amp;$D$4,'JOBS'!$B$5:$B$1504,"&lt;="&amp;$F$4,'JOBS'!$F$5:$F$1504,$A17,'JOBS'!$AC$5:$AC$1504,"&lt;0"))</f>
        <v/>
      </c>
      <c r="P17" s="121">
        <f>IF($A17="","",IFERROR(AVERAGEIFS('JOBS'!$AF$5:$AF$1504,'JOBS'!$O$5:$O$1504,"Completed",'JOBS'!$B$5:$B$1504,"&gt;="&amp;$D$4,'JOBS'!$B$5:$B$1504,"&lt;="&amp;$F$4,'JOBS'!$F$5:$F$1504,$A17),""))</f>
        <v/>
      </c>
    </row>
    <row r="18">
      <c r="A18" s="110" t="inlineStr">
        <is>
          <t>TOTAL</t>
        </is>
      </c>
      <c r="B18" s="122">
        <f>SUM(B8:B17)</f>
        <v/>
      </c>
      <c r="C18" s="123">
        <f>SUM(C8:C17)</f>
        <v/>
      </c>
      <c r="D18" s="123">
        <f>SUM(D8:D17)</f>
        <v/>
      </c>
      <c r="E18" s="123">
        <f>SUM(E8:E17)</f>
        <v/>
      </c>
      <c r="F18" s="123">
        <f>SUM(F8:F17)</f>
        <v/>
      </c>
      <c r="G18" s="123">
        <f>SUM(G8:G17)</f>
        <v/>
      </c>
      <c r="H18" s="123">
        <f>SUM(H8:H17)</f>
        <v/>
      </c>
      <c r="I18" s="124">
        <f>IF(N(C18)=0,"",H18/C18)</f>
        <v/>
      </c>
      <c r="J18" s="123">
        <f>IF(N(B18)=0,"",C18/B18)</f>
        <v/>
      </c>
      <c r="K18" s="125">
        <f>SUM(K8:K17)</f>
        <v/>
      </c>
      <c r="L18" s="126">
        <f>IF(N(K18)=0,"",C18/K18)</f>
        <v/>
      </c>
      <c r="M18" s="126">
        <f>IF(N(K18)=0,"",H18/K18)</f>
        <v/>
      </c>
      <c r="N18" s="122">
        <f>SUM(N8:N17)</f>
        <v/>
      </c>
      <c r="O18" s="122">
        <f>SUM(O8:O17)</f>
        <v/>
      </c>
      <c r="P18" s="127">
        <f>IFERROR(AVERAGEIFS('JOBS'!$AF$5:$AF$1504,'JOBS'!$O$5:$O$1504,"Completed",'JOBS'!$B$5:$B$1504,"&gt;="&amp;$D$4,'JOBS'!$B$5:$B$1504,"&lt;="&amp;$F$4),"")</f>
        <v/>
      </c>
    </row>
    <row r="21">
      <c r="A21" s="5" t="inlineStr">
        <is>
          <t>BY WORKER (lead worker on the job)</t>
        </is>
      </c>
      <c r="B21" s="6" t="n"/>
      <c r="C21" s="6" t="n"/>
      <c r="D21" s="6" t="n"/>
      <c r="E21" s="6" t="n"/>
      <c r="F21" s="6" t="n"/>
      <c r="G21" s="6" t="n"/>
      <c r="H21" s="6" t="n"/>
      <c r="I21" s="6" t="n"/>
      <c r="J21" s="6" t="n"/>
      <c r="K21" s="6" t="n"/>
      <c r="L21" s="6" t="n"/>
      <c r="M21" s="6" t="n"/>
      <c r="N21" s="6" t="n"/>
      <c r="O21" s="6" t="n"/>
      <c r="P21" s="6" t="n"/>
    </row>
    <row r="22" ht="30" customHeight="1">
      <c r="A22" s="106" t="inlineStr"/>
      <c r="B22" s="44" t="inlineStr">
        <is>
          <t>Jobs</t>
        </is>
      </c>
      <c r="C22" s="44" t="inlineStr">
        <is>
          <t>Revenue</t>
        </is>
      </c>
      <c r="D22" s="44" t="inlineStr">
        <is>
          <t>Labor Cost</t>
        </is>
      </c>
      <c r="E22" s="44" t="inlineStr">
        <is>
          <t>Supplies</t>
        </is>
      </c>
      <c r="F22" s="44" t="inlineStr">
        <is>
          <t>Vehicle</t>
        </is>
      </c>
      <c r="G22" s="44" t="inlineStr">
        <is>
          <t>Fees</t>
        </is>
      </c>
      <c r="H22" s="44" t="inlineStr">
        <is>
          <t>Gross Profit</t>
        </is>
      </c>
      <c r="I22" s="44" t="inlineStr">
        <is>
          <t>Margin</t>
        </is>
      </c>
      <c r="J22" s="44" t="inlineStr">
        <is>
          <t>Avg Price</t>
        </is>
      </c>
      <c r="K22" s="44" t="inlineStr">
        <is>
          <t>Labor Hrs</t>
        </is>
      </c>
      <c r="L22" s="44" t="inlineStr">
        <is>
          <t>Revenue / Labor Hr</t>
        </is>
      </c>
      <c r="M22" s="44" t="inlineStr">
        <is>
          <t>Profit / Labor Hr</t>
        </is>
      </c>
      <c r="N22" s="44" t="inlineStr">
        <is>
          <t>Jobs Below Target</t>
        </is>
      </c>
      <c r="O22" s="44" t="inlineStr">
        <is>
          <t>Jobs Losing Money</t>
        </is>
      </c>
      <c r="P22" s="44" t="inlineStr">
        <is>
          <t>Avg Hours Over/Under</t>
        </is>
      </c>
    </row>
    <row r="23">
      <c r="A23" s="70">
        <f>'STAFF &amp; TASKS'!A5&amp;""</f>
        <v/>
      </c>
      <c r="B23" s="118">
        <f>IF($A23="","",COUNTIFS('JOBS'!$O$5:$O$1504,"Completed",'JOBS'!$B$5:$B$1504,"&gt;="&amp;$D$4,'JOBS'!$B$5:$B$1504,"&lt;="&amp;$F$4,'JOBS'!$H$5:$H$1504,$A23))</f>
        <v/>
      </c>
      <c r="C23" s="93">
        <f>IF($A23="","",SUMIFS('JOBS'!$L$5:$L$1504,'JOBS'!$O$5:$O$1504,"Completed",'JOBS'!$B$5:$B$1504,"&gt;="&amp;$D$4,'JOBS'!$B$5:$B$1504,"&lt;="&amp;$F$4,'JOBS'!$H$5:$H$1504,$A23))</f>
        <v/>
      </c>
      <c r="D23" s="93">
        <f>IF($A23="","",SUMIFS('JOBS'!$X$5:$X$1504,'JOBS'!$O$5:$O$1504,"Completed",'JOBS'!$B$5:$B$1504,"&gt;="&amp;$D$4,'JOBS'!$B$5:$B$1504,"&lt;="&amp;$F$4,'JOBS'!$H$5:$H$1504,$A23))</f>
        <v/>
      </c>
      <c r="E23" s="93">
        <f>IF($A23="","",SUMIFS('JOBS'!$Y$5:$Y$1504,'JOBS'!$O$5:$O$1504,"Completed",'JOBS'!$B$5:$B$1504,"&gt;="&amp;$D$4,'JOBS'!$B$5:$B$1504,"&lt;="&amp;$F$4,'JOBS'!$H$5:$H$1504,$A23))</f>
        <v/>
      </c>
      <c r="F23" s="93">
        <f>IF($A23="","",SUMIFS('JOBS'!$AA$5:$AA$1504,'JOBS'!$O$5:$O$1504,"Completed",'JOBS'!$B$5:$B$1504,"&gt;="&amp;$D$4,'JOBS'!$B$5:$B$1504,"&lt;="&amp;$F$4,'JOBS'!$H$5:$H$1504,$A23))</f>
        <v/>
      </c>
      <c r="G23" s="93">
        <f>IF($A23="","",SUMIFS('JOBS'!$AB$5:$AB$1504,'JOBS'!$O$5:$O$1504,"Completed",'JOBS'!$B$5:$B$1504,"&gt;="&amp;$D$4,'JOBS'!$B$5:$B$1504,"&lt;="&amp;$F$4,'JOBS'!$H$5:$H$1504,$A23))</f>
        <v/>
      </c>
      <c r="H23" s="93">
        <f>IF($A23="","",SUMIFS('JOBS'!$AC$5:$AC$1504,'JOBS'!$O$5:$O$1504,"Completed",'JOBS'!$B$5:$B$1504,"&gt;="&amp;$D$4,'JOBS'!$B$5:$B$1504,"&lt;="&amp;$F$4,'JOBS'!$H$5:$H$1504,$A23))</f>
        <v/>
      </c>
      <c r="I23" s="119">
        <f>IF(N(C23)=0,"",H23/C23)</f>
        <v/>
      </c>
      <c r="J23" s="93">
        <f>IF(N(B23)=0,"",C23/B23)</f>
        <v/>
      </c>
      <c r="K23" s="120">
        <f>IF($A23="","",SUMIFS('JOBS'!$R$5:$R$1504,'JOBS'!$O$5:$O$1504,"Completed",'JOBS'!$B$5:$B$1504,"&gt;="&amp;$D$4,'JOBS'!$B$5:$B$1504,"&lt;="&amp;$F$4,'JOBS'!$H$5:$H$1504,$A23))</f>
        <v/>
      </c>
      <c r="L23" s="78">
        <f>IF(N(K23)=0,"",C23/K23)</f>
        <v/>
      </c>
      <c r="M23" s="78">
        <f>IF(N(K23)=0,"",H23/K23)</f>
        <v/>
      </c>
      <c r="N23" s="118">
        <f>IF($A23="","",COUNTIFS('JOBS'!$O$5:$O$1504,"Completed",'JOBS'!$B$5:$B$1504,"&gt;="&amp;$D$4,'JOBS'!$B$5:$B$1504,"&lt;="&amp;$F$4,'JOBS'!$H$5:$H$1504,$A23,'JOBS'!$AD$5:$AD$1504,"&lt;"&amp;TargetMargin))</f>
        <v/>
      </c>
      <c r="O23" s="118">
        <f>IF($A23="","",COUNTIFS('JOBS'!$O$5:$O$1504,"Completed",'JOBS'!$B$5:$B$1504,"&gt;="&amp;$D$4,'JOBS'!$B$5:$B$1504,"&lt;="&amp;$F$4,'JOBS'!$H$5:$H$1504,$A23,'JOBS'!$AC$5:$AC$1504,"&lt;0"))</f>
        <v/>
      </c>
      <c r="P23" s="121">
        <f>IF($A23="","",IFERROR(AVERAGEIFS('JOBS'!$AF$5:$AF$1504,'JOBS'!$O$5:$O$1504,"Completed",'JOBS'!$B$5:$B$1504,"&gt;="&amp;$D$4,'JOBS'!$B$5:$B$1504,"&lt;="&amp;$F$4,'JOBS'!$H$5:$H$1504,$A23),""))</f>
        <v/>
      </c>
    </row>
    <row r="24">
      <c r="A24" s="70">
        <f>'STAFF &amp; TASKS'!A6&amp;""</f>
        <v/>
      </c>
      <c r="B24" s="118">
        <f>IF($A24="","",COUNTIFS('JOBS'!$O$5:$O$1504,"Completed",'JOBS'!$B$5:$B$1504,"&gt;="&amp;$D$4,'JOBS'!$B$5:$B$1504,"&lt;="&amp;$F$4,'JOBS'!$H$5:$H$1504,$A24))</f>
        <v/>
      </c>
      <c r="C24" s="93">
        <f>IF($A24="","",SUMIFS('JOBS'!$L$5:$L$1504,'JOBS'!$O$5:$O$1504,"Completed",'JOBS'!$B$5:$B$1504,"&gt;="&amp;$D$4,'JOBS'!$B$5:$B$1504,"&lt;="&amp;$F$4,'JOBS'!$H$5:$H$1504,$A24))</f>
        <v/>
      </c>
      <c r="D24" s="93">
        <f>IF($A24="","",SUMIFS('JOBS'!$X$5:$X$1504,'JOBS'!$O$5:$O$1504,"Completed",'JOBS'!$B$5:$B$1504,"&gt;="&amp;$D$4,'JOBS'!$B$5:$B$1504,"&lt;="&amp;$F$4,'JOBS'!$H$5:$H$1504,$A24))</f>
        <v/>
      </c>
      <c r="E24" s="93">
        <f>IF($A24="","",SUMIFS('JOBS'!$Y$5:$Y$1504,'JOBS'!$O$5:$O$1504,"Completed",'JOBS'!$B$5:$B$1504,"&gt;="&amp;$D$4,'JOBS'!$B$5:$B$1504,"&lt;="&amp;$F$4,'JOBS'!$H$5:$H$1504,$A24))</f>
        <v/>
      </c>
      <c r="F24" s="93">
        <f>IF($A24="","",SUMIFS('JOBS'!$AA$5:$AA$1504,'JOBS'!$O$5:$O$1504,"Completed",'JOBS'!$B$5:$B$1504,"&gt;="&amp;$D$4,'JOBS'!$B$5:$B$1504,"&lt;="&amp;$F$4,'JOBS'!$H$5:$H$1504,$A24))</f>
        <v/>
      </c>
      <c r="G24" s="93">
        <f>IF($A24="","",SUMIFS('JOBS'!$AB$5:$AB$1504,'JOBS'!$O$5:$O$1504,"Completed",'JOBS'!$B$5:$B$1504,"&gt;="&amp;$D$4,'JOBS'!$B$5:$B$1504,"&lt;="&amp;$F$4,'JOBS'!$H$5:$H$1504,$A24))</f>
        <v/>
      </c>
      <c r="H24" s="93">
        <f>IF($A24="","",SUMIFS('JOBS'!$AC$5:$AC$1504,'JOBS'!$O$5:$O$1504,"Completed",'JOBS'!$B$5:$B$1504,"&gt;="&amp;$D$4,'JOBS'!$B$5:$B$1504,"&lt;="&amp;$F$4,'JOBS'!$H$5:$H$1504,$A24))</f>
        <v/>
      </c>
      <c r="I24" s="119">
        <f>IF(N(C24)=0,"",H24/C24)</f>
        <v/>
      </c>
      <c r="J24" s="93">
        <f>IF(N(B24)=0,"",C24/B24)</f>
        <v/>
      </c>
      <c r="K24" s="120">
        <f>IF($A24="","",SUMIFS('JOBS'!$R$5:$R$1504,'JOBS'!$O$5:$O$1504,"Completed",'JOBS'!$B$5:$B$1504,"&gt;="&amp;$D$4,'JOBS'!$B$5:$B$1504,"&lt;="&amp;$F$4,'JOBS'!$H$5:$H$1504,$A24))</f>
        <v/>
      </c>
      <c r="L24" s="78">
        <f>IF(N(K24)=0,"",C24/K24)</f>
        <v/>
      </c>
      <c r="M24" s="78">
        <f>IF(N(K24)=0,"",H24/K24)</f>
        <v/>
      </c>
      <c r="N24" s="118">
        <f>IF($A24="","",COUNTIFS('JOBS'!$O$5:$O$1504,"Completed",'JOBS'!$B$5:$B$1504,"&gt;="&amp;$D$4,'JOBS'!$B$5:$B$1504,"&lt;="&amp;$F$4,'JOBS'!$H$5:$H$1504,$A24,'JOBS'!$AD$5:$AD$1504,"&lt;"&amp;TargetMargin))</f>
        <v/>
      </c>
      <c r="O24" s="118">
        <f>IF($A24="","",COUNTIFS('JOBS'!$O$5:$O$1504,"Completed",'JOBS'!$B$5:$B$1504,"&gt;="&amp;$D$4,'JOBS'!$B$5:$B$1504,"&lt;="&amp;$F$4,'JOBS'!$H$5:$H$1504,$A24,'JOBS'!$AC$5:$AC$1504,"&lt;0"))</f>
        <v/>
      </c>
      <c r="P24" s="121">
        <f>IF($A24="","",IFERROR(AVERAGEIFS('JOBS'!$AF$5:$AF$1504,'JOBS'!$O$5:$O$1504,"Completed",'JOBS'!$B$5:$B$1504,"&gt;="&amp;$D$4,'JOBS'!$B$5:$B$1504,"&lt;="&amp;$F$4,'JOBS'!$H$5:$H$1504,$A24),""))</f>
        <v/>
      </c>
    </row>
    <row r="25">
      <c r="A25" s="70">
        <f>'STAFF &amp; TASKS'!A7&amp;""</f>
        <v/>
      </c>
      <c r="B25" s="118">
        <f>IF($A25="","",COUNTIFS('JOBS'!$O$5:$O$1504,"Completed",'JOBS'!$B$5:$B$1504,"&gt;="&amp;$D$4,'JOBS'!$B$5:$B$1504,"&lt;="&amp;$F$4,'JOBS'!$H$5:$H$1504,$A25))</f>
        <v/>
      </c>
      <c r="C25" s="93">
        <f>IF($A25="","",SUMIFS('JOBS'!$L$5:$L$1504,'JOBS'!$O$5:$O$1504,"Completed",'JOBS'!$B$5:$B$1504,"&gt;="&amp;$D$4,'JOBS'!$B$5:$B$1504,"&lt;="&amp;$F$4,'JOBS'!$H$5:$H$1504,$A25))</f>
        <v/>
      </c>
      <c r="D25" s="93">
        <f>IF($A25="","",SUMIFS('JOBS'!$X$5:$X$1504,'JOBS'!$O$5:$O$1504,"Completed",'JOBS'!$B$5:$B$1504,"&gt;="&amp;$D$4,'JOBS'!$B$5:$B$1504,"&lt;="&amp;$F$4,'JOBS'!$H$5:$H$1504,$A25))</f>
        <v/>
      </c>
      <c r="E25" s="93">
        <f>IF($A25="","",SUMIFS('JOBS'!$Y$5:$Y$1504,'JOBS'!$O$5:$O$1504,"Completed",'JOBS'!$B$5:$B$1504,"&gt;="&amp;$D$4,'JOBS'!$B$5:$B$1504,"&lt;="&amp;$F$4,'JOBS'!$H$5:$H$1504,$A25))</f>
        <v/>
      </c>
      <c r="F25" s="93">
        <f>IF($A25="","",SUMIFS('JOBS'!$AA$5:$AA$1504,'JOBS'!$O$5:$O$1504,"Completed",'JOBS'!$B$5:$B$1504,"&gt;="&amp;$D$4,'JOBS'!$B$5:$B$1504,"&lt;="&amp;$F$4,'JOBS'!$H$5:$H$1504,$A25))</f>
        <v/>
      </c>
      <c r="G25" s="93">
        <f>IF($A25="","",SUMIFS('JOBS'!$AB$5:$AB$1504,'JOBS'!$O$5:$O$1504,"Completed",'JOBS'!$B$5:$B$1504,"&gt;="&amp;$D$4,'JOBS'!$B$5:$B$1504,"&lt;="&amp;$F$4,'JOBS'!$H$5:$H$1504,$A25))</f>
        <v/>
      </c>
      <c r="H25" s="93">
        <f>IF($A25="","",SUMIFS('JOBS'!$AC$5:$AC$1504,'JOBS'!$O$5:$O$1504,"Completed",'JOBS'!$B$5:$B$1504,"&gt;="&amp;$D$4,'JOBS'!$B$5:$B$1504,"&lt;="&amp;$F$4,'JOBS'!$H$5:$H$1504,$A25))</f>
        <v/>
      </c>
      <c r="I25" s="119">
        <f>IF(N(C25)=0,"",H25/C25)</f>
        <v/>
      </c>
      <c r="J25" s="93">
        <f>IF(N(B25)=0,"",C25/B25)</f>
        <v/>
      </c>
      <c r="K25" s="120">
        <f>IF($A25="","",SUMIFS('JOBS'!$R$5:$R$1504,'JOBS'!$O$5:$O$1504,"Completed",'JOBS'!$B$5:$B$1504,"&gt;="&amp;$D$4,'JOBS'!$B$5:$B$1504,"&lt;="&amp;$F$4,'JOBS'!$H$5:$H$1504,$A25))</f>
        <v/>
      </c>
      <c r="L25" s="78">
        <f>IF(N(K25)=0,"",C25/K25)</f>
        <v/>
      </c>
      <c r="M25" s="78">
        <f>IF(N(K25)=0,"",H25/K25)</f>
        <v/>
      </c>
      <c r="N25" s="118">
        <f>IF($A25="","",COUNTIFS('JOBS'!$O$5:$O$1504,"Completed",'JOBS'!$B$5:$B$1504,"&gt;="&amp;$D$4,'JOBS'!$B$5:$B$1504,"&lt;="&amp;$F$4,'JOBS'!$H$5:$H$1504,$A25,'JOBS'!$AD$5:$AD$1504,"&lt;"&amp;TargetMargin))</f>
        <v/>
      </c>
      <c r="O25" s="118">
        <f>IF($A25="","",COUNTIFS('JOBS'!$O$5:$O$1504,"Completed",'JOBS'!$B$5:$B$1504,"&gt;="&amp;$D$4,'JOBS'!$B$5:$B$1504,"&lt;="&amp;$F$4,'JOBS'!$H$5:$H$1504,$A25,'JOBS'!$AC$5:$AC$1504,"&lt;0"))</f>
        <v/>
      </c>
      <c r="P25" s="121">
        <f>IF($A25="","",IFERROR(AVERAGEIFS('JOBS'!$AF$5:$AF$1504,'JOBS'!$O$5:$O$1504,"Completed",'JOBS'!$B$5:$B$1504,"&gt;="&amp;$D$4,'JOBS'!$B$5:$B$1504,"&lt;="&amp;$F$4,'JOBS'!$H$5:$H$1504,$A25),""))</f>
        <v/>
      </c>
    </row>
    <row r="26">
      <c r="A26" s="70">
        <f>'STAFF &amp; TASKS'!A8&amp;""</f>
        <v/>
      </c>
      <c r="B26" s="118">
        <f>IF($A26="","",COUNTIFS('JOBS'!$O$5:$O$1504,"Completed",'JOBS'!$B$5:$B$1504,"&gt;="&amp;$D$4,'JOBS'!$B$5:$B$1504,"&lt;="&amp;$F$4,'JOBS'!$H$5:$H$1504,$A26))</f>
        <v/>
      </c>
      <c r="C26" s="93">
        <f>IF($A26="","",SUMIFS('JOBS'!$L$5:$L$1504,'JOBS'!$O$5:$O$1504,"Completed",'JOBS'!$B$5:$B$1504,"&gt;="&amp;$D$4,'JOBS'!$B$5:$B$1504,"&lt;="&amp;$F$4,'JOBS'!$H$5:$H$1504,$A26))</f>
        <v/>
      </c>
      <c r="D26" s="93">
        <f>IF($A26="","",SUMIFS('JOBS'!$X$5:$X$1504,'JOBS'!$O$5:$O$1504,"Completed",'JOBS'!$B$5:$B$1504,"&gt;="&amp;$D$4,'JOBS'!$B$5:$B$1504,"&lt;="&amp;$F$4,'JOBS'!$H$5:$H$1504,$A26))</f>
        <v/>
      </c>
      <c r="E26" s="93">
        <f>IF($A26="","",SUMIFS('JOBS'!$Y$5:$Y$1504,'JOBS'!$O$5:$O$1504,"Completed",'JOBS'!$B$5:$B$1504,"&gt;="&amp;$D$4,'JOBS'!$B$5:$B$1504,"&lt;="&amp;$F$4,'JOBS'!$H$5:$H$1504,$A26))</f>
        <v/>
      </c>
      <c r="F26" s="93">
        <f>IF($A26="","",SUMIFS('JOBS'!$AA$5:$AA$1504,'JOBS'!$O$5:$O$1504,"Completed",'JOBS'!$B$5:$B$1504,"&gt;="&amp;$D$4,'JOBS'!$B$5:$B$1504,"&lt;="&amp;$F$4,'JOBS'!$H$5:$H$1504,$A26))</f>
        <v/>
      </c>
      <c r="G26" s="93">
        <f>IF($A26="","",SUMIFS('JOBS'!$AB$5:$AB$1504,'JOBS'!$O$5:$O$1504,"Completed",'JOBS'!$B$5:$B$1504,"&gt;="&amp;$D$4,'JOBS'!$B$5:$B$1504,"&lt;="&amp;$F$4,'JOBS'!$H$5:$H$1504,$A26))</f>
        <v/>
      </c>
      <c r="H26" s="93">
        <f>IF($A26="","",SUMIFS('JOBS'!$AC$5:$AC$1504,'JOBS'!$O$5:$O$1504,"Completed",'JOBS'!$B$5:$B$1504,"&gt;="&amp;$D$4,'JOBS'!$B$5:$B$1504,"&lt;="&amp;$F$4,'JOBS'!$H$5:$H$1504,$A26))</f>
        <v/>
      </c>
      <c r="I26" s="119">
        <f>IF(N(C26)=0,"",H26/C26)</f>
        <v/>
      </c>
      <c r="J26" s="93">
        <f>IF(N(B26)=0,"",C26/B26)</f>
        <v/>
      </c>
      <c r="K26" s="120">
        <f>IF($A26="","",SUMIFS('JOBS'!$R$5:$R$1504,'JOBS'!$O$5:$O$1504,"Completed",'JOBS'!$B$5:$B$1504,"&gt;="&amp;$D$4,'JOBS'!$B$5:$B$1504,"&lt;="&amp;$F$4,'JOBS'!$H$5:$H$1504,$A26))</f>
        <v/>
      </c>
      <c r="L26" s="78">
        <f>IF(N(K26)=0,"",C26/K26)</f>
        <v/>
      </c>
      <c r="M26" s="78">
        <f>IF(N(K26)=0,"",H26/K26)</f>
        <v/>
      </c>
      <c r="N26" s="118">
        <f>IF($A26="","",COUNTIFS('JOBS'!$O$5:$O$1504,"Completed",'JOBS'!$B$5:$B$1504,"&gt;="&amp;$D$4,'JOBS'!$B$5:$B$1504,"&lt;="&amp;$F$4,'JOBS'!$H$5:$H$1504,$A26,'JOBS'!$AD$5:$AD$1504,"&lt;"&amp;TargetMargin))</f>
        <v/>
      </c>
      <c r="O26" s="118">
        <f>IF($A26="","",COUNTIFS('JOBS'!$O$5:$O$1504,"Completed",'JOBS'!$B$5:$B$1504,"&gt;="&amp;$D$4,'JOBS'!$B$5:$B$1504,"&lt;="&amp;$F$4,'JOBS'!$H$5:$H$1504,$A26,'JOBS'!$AC$5:$AC$1504,"&lt;0"))</f>
        <v/>
      </c>
      <c r="P26" s="121">
        <f>IF($A26="","",IFERROR(AVERAGEIFS('JOBS'!$AF$5:$AF$1504,'JOBS'!$O$5:$O$1504,"Completed",'JOBS'!$B$5:$B$1504,"&gt;="&amp;$D$4,'JOBS'!$B$5:$B$1504,"&lt;="&amp;$F$4,'JOBS'!$H$5:$H$1504,$A26),""))</f>
        <v/>
      </c>
    </row>
    <row r="27">
      <c r="A27" s="70">
        <f>'STAFF &amp; TASKS'!A9&amp;""</f>
        <v/>
      </c>
      <c r="B27" s="118">
        <f>IF($A27="","",COUNTIFS('JOBS'!$O$5:$O$1504,"Completed",'JOBS'!$B$5:$B$1504,"&gt;="&amp;$D$4,'JOBS'!$B$5:$B$1504,"&lt;="&amp;$F$4,'JOBS'!$H$5:$H$1504,$A27))</f>
        <v/>
      </c>
      <c r="C27" s="93">
        <f>IF($A27="","",SUMIFS('JOBS'!$L$5:$L$1504,'JOBS'!$O$5:$O$1504,"Completed",'JOBS'!$B$5:$B$1504,"&gt;="&amp;$D$4,'JOBS'!$B$5:$B$1504,"&lt;="&amp;$F$4,'JOBS'!$H$5:$H$1504,$A27))</f>
        <v/>
      </c>
      <c r="D27" s="93">
        <f>IF($A27="","",SUMIFS('JOBS'!$X$5:$X$1504,'JOBS'!$O$5:$O$1504,"Completed",'JOBS'!$B$5:$B$1504,"&gt;="&amp;$D$4,'JOBS'!$B$5:$B$1504,"&lt;="&amp;$F$4,'JOBS'!$H$5:$H$1504,$A27))</f>
        <v/>
      </c>
      <c r="E27" s="93">
        <f>IF($A27="","",SUMIFS('JOBS'!$Y$5:$Y$1504,'JOBS'!$O$5:$O$1504,"Completed",'JOBS'!$B$5:$B$1504,"&gt;="&amp;$D$4,'JOBS'!$B$5:$B$1504,"&lt;="&amp;$F$4,'JOBS'!$H$5:$H$1504,$A27))</f>
        <v/>
      </c>
      <c r="F27" s="93">
        <f>IF($A27="","",SUMIFS('JOBS'!$AA$5:$AA$1504,'JOBS'!$O$5:$O$1504,"Completed",'JOBS'!$B$5:$B$1504,"&gt;="&amp;$D$4,'JOBS'!$B$5:$B$1504,"&lt;="&amp;$F$4,'JOBS'!$H$5:$H$1504,$A27))</f>
        <v/>
      </c>
      <c r="G27" s="93">
        <f>IF($A27="","",SUMIFS('JOBS'!$AB$5:$AB$1504,'JOBS'!$O$5:$O$1504,"Completed",'JOBS'!$B$5:$B$1504,"&gt;="&amp;$D$4,'JOBS'!$B$5:$B$1504,"&lt;="&amp;$F$4,'JOBS'!$H$5:$H$1504,$A27))</f>
        <v/>
      </c>
      <c r="H27" s="93">
        <f>IF($A27="","",SUMIFS('JOBS'!$AC$5:$AC$1504,'JOBS'!$O$5:$O$1504,"Completed",'JOBS'!$B$5:$B$1504,"&gt;="&amp;$D$4,'JOBS'!$B$5:$B$1504,"&lt;="&amp;$F$4,'JOBS'!$H$5:$H$1504,$A27))</f>
        <v/>
      </c>
      <c r="I27" s="119">
        <f>IF(N(C27)=0,"",H27/C27)</f>
        <v/>
      </c>
      <c r="J27" s="93">
        <f>IF(N(B27)=0,"",C27/B27)</f>
        <v/>
      </c>
      <c r="K27" s="120">
        <f>IF($A27="","",SUMIFS('JOBS'!$R$5:$R$1504,'JOBS'!$O$5:$O$1504,"Completed",'JOBS'!$B$5:$B$1504,"&gt;="&amp;$D$4,'JOBS'!$B$5:$B$1504,"&lt;="&amp;$F$4,'JOBS'!$H$5:$H$1504,$A27))</f>
        <v/>
      </c>
      <c r="L27" s="78">
        <f>IF(N(K27)=0,"",C27/K27)</f>
        <v/>
      </c>
      <c r="M27" s="78">
        <f>IF(N(K27)=0,"",H27/K27)</f>
        <v/>
      </c>
      <c r="N27" s="118">
        <f>IF($A27="","",COUNTIFS('JOBS'!$O$5:$O$1504,"Completed",'JOBS'!$B$5:$B$1504,"&gt;="&amp;$D$4,'JOBS'!$B$5:$B$1504,"&lt;="&amp;$F$4,'JOBS'!$H$5:$H$1504,$A27,'JOBS'!$AD$5:$AD$1504,"&lt;"&amp;TargetMargin))</f>
        <v/>
      </c>
      <c r="O27" s="118">
        <f>IF($A27="","",COUNTIFS('JOBS'!$O$5:$O$1504,"Completed",'JOBS'!$B$5:$B$1504,"&gt;="&amp;$D$4,'JOBS'!$B$5:$B$1504,"&lt;="&amp;$F$4,'JOBS'!$H$5:$H$1504,$A27,'JOBS'!$AC$5:$AC$1504,"&lt;0"))</f>
        <v/>
      </c>
      <c r="P27" s="121">
        <f>IF($A27="","",IFERROR(AVERAGEIFS('JOBS'!$AF$5:$AF$1504,'JOBS'!$O$5:$O$1504,"Completed",'JOBS'!$B$5:$B$1504,"&gt;="&amp;$D$4,'JOBS'!$B$5:$B$1504,"&lt;="&amp;$F$4,'JOBS'!$H$5:$H$1504,$A27),""))</f>
        <v/>
      </c>
    </row>
    <row r="28">
      <c r="A28" s="70">
        <f>'STAFF &amp; TASKS'!A10&amp;""</f>
        <v/>
      </c>
      <c r="B28" s="118">
        <f>IF($A28="","",COUNTIFS('JOBS'!$O$5:$O$1504,"Completed",'JOBS'!$B$5:$B$1504,"&gt;="&amp;$D$4,'JOBS'!$B$5:$B$1504,"&lt;="&amp;$F$4,'JOBS'!$H$5:$H$1504,$A28))</f>
        <v/>
      </c>
      <c r="C28" s="93">
        <f>IF($A28="","",SUMIFS('JOBS'!$L$5:$L$1504,'JOBS'!$O$5:$O$1504,"Completed",'JOBS'!$B$5:$B$1504,"&gt;="&amp;$D$4,'JOBS'!$B$5:$B$1504,"&lt;="&amp;$F$4,'JOBS'!$H$5:$H$1504,$A28))</f>
        <v/>
      </c>
      <c r="D28" s="93">
        <f>IF($A28="","",SUMIFS('JOBS'!$X$5:$X$1504,'JOBS'!$O$5:$O$1504,"Completed",'JOBS'!$B$5:$B$1504,"&gt;="&amp;$D$4,'JOBS'!$B$5:$B$1504,"&lt;="&amp;$F$4,'JOBS'!$H$5:$H$1504,$A28))</f>
        <v/>
      </c>
      <c r="E28" s="93">
        <f>IF($A28="","",SUMIFS('JOBS'!$Y$5:$Y$1504,'JOBS'!$O$5:$O$1504,"Completed",'JOBS'!$B$5:$B$1504,"&gt;="&amp;$D$4,'JOBS'!$B$5:$B$1504,"&lt;="&amp;$F$4,'JOBS'!$H$5:$H$1504,$A28))</f>
        <v/>
      </c>
      <c r="F28" s="93">
        <f>IF($A28="","",SUMIFS('JOBS'!$AA$5:$AA$1504,'JOBS'!$O$5:$O$1504,"Completed",'JOBS'!$B$5:$B$1504,"&gt;="&amp;$D$4,'JOBS'!$B$5:$B$1504,"&lt;="&amp;$F$4,'JOBS'!$H$5:$H$1504,$A28))</f>
        <v/>
      </c>
      <c r="G28" s="93">
        <f>IF($A28="","",SUMIFS('JOBS'!$AB$5:$AB$1504,'JOBS'!$O$5:$O$1504,"Completed",'JOBS'!$B$5:$B$1504,"&gt;="&amp;$D$4,'JOBS'!$B$5:$B$1504,"&lt;="&amp;$F$4,'JOBS'!$H$5:$H$1504,$A28))</f>
        <v/>
      </c>
      <c r="H28" s="93">
        <f>IF($A28="","",SUMIFS('JOBS'!$AC$5:$AC$1504,'JOBS'!$O$5:$O$1504,"Completed",'JOBS'!$B$5:$B$1504,"&gt;="&amp;$D$4,'JOBS'!$B$5:$B$1504,"&lt;="&amp;$F$4,'JOBS'!$H$5:$H$1504,$A28))</f>
        <v/>
      </c>
      <c r="I28" s="119">
        <f>IF(N(C28)=0,"",H28/C28)</f>
        <v/>
      </c>
      <c r="J28" s="93">
        <f>IF(N(B28)=0,"",C28/B28)</f>
        <v/>
      </c>
      <c r="K28" s="120">
        <f>IF($A28="","",SUMIFS('JOBS'!$R$5:$R$1504,'JOBS'!$O$5:$O$1504,"Completed",'JOBS'!$B$5:$B$1504,"&gt;="&amp;$D$4,'JOBS'!$B$5:$B$1504,"&lt;="&amp;$F$4,'JOBS'!$H$5:$H$1504,$A28))</f>
        <v/>
      </c>
      <c r="L28" s="78">
        <f>IF(N(K28)=0,"",C28/K28)</f>
        <v/>
      </c>
      <c r="M28" s="78">
        <f>IF(N(K28)=0,"",H28/K28)</f>
        <v/>
      </c>
      <c r="N28" s="118">
        <f>IF($A28="","",COUNTIFS('JOBS'!$O$5:$O$1504,"Completed",'JOBS'!$B$5:$B$1504,"&gt;="&amp;$D$4,'JOBS'!$B$5:$B$1504,"&lt;="&amp;$F$4,'JOBS'!$H$5:$H$1504,$A28,'JOBS'!$AD$5:$AD$1504,"&lt;"&amp;TargetMargin))</f>
        <v/>
      </c>
      <c r="O28" s="118">
        <f>IF($A28="","",COUNTIFS('JOBS'!$O$5:$O$1504,"Completed",'JOBS'!$B$5:$B$1504,"&gt;="&amp;$D$4,'JOBS'!$B$5:$B$1504,"&lt;="&amp;$F$4,'JOBS'!$H$5:$H$1504,$A28,'JOBS'!$AC$5:$AC$1504,"&lt;0"))</f>
        <v/>
      </c>
      <c r="P28" s="121">
        <f>IF($A28="","",IFERROR(AVERAGEIFS('JOBS'!$AF$5:$AF$1504,'JOBS'!$O$5:$O$1504,"Completed",'JOBS'!$B$5:$B$1504,"&gt;="&amp;$D$4,'JOBS'!$B$5:$B$1504,"&lt;="&amp;$F$4,'JOBS'!$H$5:$H$1504,$A28),""))</f>
        <v/>
      </c>
    </row>
    <row r="29">
      <c r="A29" s="70">
        <f>'STAFF &amp; TASKS'!A11&amp;""</f>
        <v/>
      </c>
      <c r="B29" s="118">
        <f>IF($A29="","",COUNTIFS('JOBS'!$O$5:$O$1504,"Completed",'JOBS'!$B$5:$B$1504,"&gt;="&amp;$D$4,'JOBS'!$B$5:$B$1504,"&lt;="&amp;$F$4,'JOBS'!$H$5:$H$1504,$A29))</f>
        <v/>
      </c>
      <c r="C29" s="93">
        <f>IF($A29="","",SUMIFS('JOBS'!$L$5:$L$1504,'JOBS'!$O$5:$O$1504,"Completed",'JOBS'!$B$5:$B$1504,"&gt;="&amp;$D$4,'JOBS'!$B$5:$B$1504,"&lt;="&amp;$F$4,'JOBS'!$H$5:$H$1504,$A29))</f>
        <v/>
      </c>
      <c r="D29" s="93">
        <f>IF($A29="","",SUMIFS('JOBS'!$X$5:$X$1504,'JOBS'!$O$5:$O$1504,"Completed",'JOBS'!$B$5:$B$1504,"&gt;="&amp;$D$4,'JOBS'!$B$5:$B$1504,"&lt;="&amp;$F$4,'JOBS'!$H$5:$H$1504,$A29))</f>
        <v/>
      </c>
      <c r="E29" s="93">
        <f>IF($A29="","",SUMIFS('JOBS'!$Y$5:$Y$1504,'JOBS'!$O$5:$O$1504,"Completed",'JOBS'!$B$5:$B$1504,"&gt;="&amp;$D$4,'JOBS'!$B$5:$B$1504,"&lt;="&amp;$F$4,'JOBS'!$H$5:$H$1504,$A29))</f>
        <v/>
      </c>
      <c r="F29" s="93">
        <f>IF($A29="","",SUMIFS('JOBS'!$AA$5:$AA$1504,'JOBS'!$O$5:$O$1504,"Completed",'JOBS'!$B$5:$B$1504,"&gt;="&amp;$D$4,'JOBS'!$B$5:$B$1504,"&lt;="&amp;$F$4,'JOBS'!$H$5:$H$1504,$A29))</f>
        <v/>
      </c>
      <c r="G29" s="93">
        <f>IF($A29="","",SUMIFS('JOBS'!$AB$5:$AB$1504,'JOBS'!$O$5:$O$1504,"Completed",'JOBS'!$B$5:$B$1504,"&gt;="&amp;$D$4,'JOBS'!$B$5:$B$1504,"&lt;="&amp;$F$4,'JOBS'!$H$5:$H$1504,$A29))</f>
        <v/>
      </c>
      <c r="H29" s="93">
        <f>IF($A29="","",SUMIFS('JOBS'!$AC$5:$AC$1504,'JOBS'!$O$5:$O$1504,"Completed",'JOBS'!$B$5:$B$1504,"&gt;="&amp;$D$4,'JOBS'!$B$5:$B$1504,"&lt;="&amp;$F$4,'JOBS'!$H$5:$H$1504,$A29))</f>
        <v/>
      </c>
      <c r="I29" s="119">
        <f>IF(N(C29)=0,"",H29/C29)</f>
        <v/>
      </c>
      <c r="J29" s="93">
        <f>IF(N(B29)=0,"",C29/B29)</f>
        <v/>
      </c>
      <c r="K29" s="120">
        <f>IF($A29="","",SUMIFS('JOBS'!$R$5:$R$1504,'JOBS'!$O$5:$O$1504,"Completed",'JOBS'!$B$5:$B$1504,"&gt;="&amp;$D$4,'JOBS'!$B$5:$B$1504,"&lt;="&amp;$F$4,'JOBS'!$H$5:$H$1504,$A29))</f>
        <v/>
      </c>
      <c r="L29" s="78">
        <f>IF(N(K29)=0,"",C29/K29)</f>
        <v/>
      </c>
      <c r="M29" s="78">
        <f>IF(N(K29)=0,"",H29/K29)</f>
        <v/>
      </c>
      <c r="N29" s="118">
        <f>IF($A29="","",COUNTIFS('JOBS'!$O$5:$O$1504,"Completed",'JOBS'!$B$5:$B$1504,"&gt;="&amp;$D$4,'JOBS'!$B$5:$B$1504,"&lt;="&amp;$F$4,'JOBS'!$H$5:$H$1504,$A29,'JOBS'!$AD$5:$AD$1504,"&lt;"&amp;TargetMargin))</f>
        <v/>
      </c>
      <c r="O29" s="118">
        <f>IF($A29="","",COUNTIFS('JOBS'!$O$5:$O$1504,"Completed",'JOBS'!$B$5:$B$1504,"&gt;="&amp;$D$4,'JOBS'!$B$5:$B$1504,"&lt;="&amp;$F$4,'JOBS'!$H$5:$H$1504,$A29,'JOBS'!$AC$5:$AC$1504,"&lt;0"))</f>
        <v/>
      </c>
      <c r="P29" s="121">
        <f>IF($A29="","",IFERROR(AVERAGEIFS('JOBS'!$AF$5:$AF$1504,'JOBS'!$O$5:$O$1504,"Completed",'JOBS'!$B$5:$B$1504,"&gt;="&amp;$D$4,'JOBS'!$B$5:$B$1504,"&lt;="&amp;$F$4,'JOBS'!$H$5:$H$1504,$A29),""))</f>
        <v/>
      </c>
    </row>
    <row r="30">
      <c r="A30" s="70">
        <f>'STAFF &amp; TASKS'!A12&amp;""</f>
        <v/>
      </c>
      <c r="B30" s="118">
        <f>IF($A30="","",COUNTIFS('JOBS'!$O$5:$O$1504,"Completed",'JOBS'!$B$5:$B$1504,"&gt;="&amp;$D$4,'JOBS'!$B$5:$B$1504,"&lt;="&amp;$F$4,'JOBS'!$H$5:$H$1504,$A30))</f>
        <v/>
      </c>
      <c r="C30" s="93">
        <f>IF($A30="","",SUMIFS('JOBS'!$L$5:$L$1504,'JOBS'!$O$5:$O$1504,"Completed",'JOBS'!$B$5:$B$1504,"&gt;="&amp;$D$4,'JOBS'!$B$5:$B$1504,"&lt;="&amp;$F$4,'JOBS'!$H$5:$H$1504,$A30))</f>
        <v/>
      </c>
      <c r="D30" s="93">
        <f>IF($A30="","",SUMIFS('JOBS'!$X$5:$X$1504,'JOBS'!$O$5:$O$1504,"Completed",'JOBS'!$B$5:$B$1504,"&gt;="&amp;$D$4,'JOBS'!$B$5:$B$1504,"&lt;="&amp;$F$4,'JOBS'!$H$5:$H$1504,$A30))</f>
        <v/>
      </c>
      <c r="E30" s="93">
        <f>IF($A30="","",SUMIFS('JOBS'!$Y$5:$Y$1504,'JOBS'!$O$5:$O$1504,"Completed",'JOBS'!$B$5:$B$1504,"&gt;="&amp;$D$4,'JOBS'!$B$5:$B$1504,"&lt;="&amp;$F$4,'JOBS'!$H$5:$H$1504,$A30))</f>
        <v/>
      </c>
      <c r="F30" s="93">
        <f>IF($A30="","",SUMIFS('JOBS'!$AA$5:$AA$1504,'JOBS'!$O$5:$O$1504,"Completed",'JOBS'!$B$5:$B$1504,"&gt;="&amp;$D$4,'JOBS'!$B$5:$B$1504,"&lt;="&amp;$F$4,'JOBS'!$H$5:$H$1504,$A30))</f>
        <v/>
      </c>
      <c r="G30" s="93">
        <f>IF($A30="","",SUMIFS('JOBS'!$AB$5:$AB$1504,'JOBS'!$O$5:$O$1504,"Completed",'JOBS'!$B$5:$B$1504,"&gt;="&amp;$D$4,'JOBS'!$B$5:$B$1504,"&lt;="&amp;$F$4,'JOBS'!$H$5:$H$1504,$A30))</f>
        <v/>
      </c>
      <c r="H30" s="93">
        <f>IF($A30="","",SUMIFS('JOBS'!$AC$5:$AC$1504,'JOBS'!$O$5:$O$1504,"Completed",'JOBS'!$B$5:$B$1504,"&gt;="&amp;$D$4,'JOBS'!$B$5:$B$1504,"&lt;="&amp;$F$4,'JOBS'!$H$5:$H$1504,$A30))</f>
        <v/>
      </c>
      <c r="I30" s="119">
        <f>IF(N(C30)=0,"",H30/C30)</f>
        <v/>
      </c>
      <c r="J30" s="93">
        <f>IF(N(B30)=0,"",C30/B30)</f>
        <v/>
      </c>
      <c r="K30" s="120">
        <f>IF($A30="","",SUMIFS('JOBS'!$R$5:$R$1504,'JOBS'!$O$5:$O$1504,"Completed",'JOBS'!$B$5:$B$1504,"&gt;="&amp;$D$4,'JOBS'!$B$5:$B$1504,"&lt;="&amp;$F$4,'JOBS'!$H$5:$H$1504,$A30))</f>
        <v/>
      </c>
      <c r="L30" s="78">
        <f>IF(N(K30)=0,"",C30/K30)</f>
        <v/>
      </c>
      <c r="M30" s="78">
        <f>IF(N(K30)=0,"",H30/K30)</f>
        <v/>
      </c>
      <c r="N30" s="118">
        <f>IF($A30="","",COUNTIFS('JOBS'!$O$5:$O$1504,"Completed",'JOBS'!$B$5:$B$1504,"&gt;="&amp;$D$4,'JOBS'!$B$5:$B$1504,"&lt;="&amp;$F$4,'JOBS'!$H$5:$H$1504,$A30,'JOBS'!$AD$5:$AD$1504,"&lt;"&amp;TargetMargin))</f>
        <v/>
      </c>
      <c r="O30" s="118">
        <f>IF($A30="","",COUNTIFS('JOBS'!$O$5:$O$1504,"Completed",'JOBS'!$B$5:$B$1504,"&gt;="&amp;$D$4,'JOBS'!$B$5:$B$1504,"&lt;="&amp;$F$4,'JOBS'!$H$5:$H$1504,$A30,'JOBS'!$AC$5:$AC$1504,"&lt;0"))</f>
        <v/>
      </c>
      <c r="P30" s="121">
        <f>IF($A30="","",IFERROR(AVERAGEIFS('JOBS'!$AF$5:$AF$1504,'JOBS'!$O$5:$O$1504,"Completed",'JOBS'!$B$5:$B$1504,"&gt;="&amp;$D$4,'JOBS'!$B$5:$B$1504,"&lt;="&amp;$F$4,'JOBS'!$H$5:$H$1504,$A30),""))</f>
        <v/>
      </c>
    </row>
    <row r="31">
      <c r="A31" s="70">
        <f>'STAFF &amp; TASKS'!A13&amp;""</f>
        <v/>
      </c>
      <c r="B31" s="118">
        <f>IF($A31="","",COUNTIFS('JOBS'!$O$5:$O$1504,"Completed",'JOBS'!$B$5:$B$1504,"&gt;="&amp;$D$4,'JOBS'!$B$5:$B$1504,"&lt;="&amp;$F$4,'JOBS'!$H$5:$H$1504,$A31))</f>
        <v/>
      </c>
      <c r="C31" s="93">
        <f>IF($A31="","",SUMIFS('JOBS'!$L$5:$L$1504,'JOBS'!$O$5:$O$1504,"Completed",'JOBS'!$B$5:$B$1504,"&gt;="&amp;$D$4,'JOBS'!$B$5:$B$1504,"&lt;="&amp;$F$4,'JOBS'!$H$5:$H$1504,$A31))</f>
        <v/>
      </c>
      <c r="D31" s="93">
        <f>IF($A31="","",SUMIFS('JOBS'!$X$5:$X$1504,'JOBS'!$O$5:$O$1504,"Completed",'JOBS'!$B$5:$B$1504,"&gt;="&amp;$D$4,'JOBS'!$B$5:$B$1504,"&lt;="&amp;$F$4,'JOBS'!$H$5:$H$1504,$A31))</f>
        <v/>
      </c>
      <c r="E31" s="93">
        <f>IF($A31="","",SUMIFS('JOBS'!$Y$5:$Y$1504,'JOBS'!$O$5:$O$1504,"Completed",'JOBS'!$B$5:$B$1504,"&gt;="&amp;$D$4,'JOBS'!$B$5:$B$1504,"&lt;="&amp;$F$4,'JOBS'!$H$5:$H$1504,$A31))</f>
        <v/>
      </c>
      <c r="F31" s="93">
        <f>IF($A31="","",SUMIFS('JOBS'!$AA$5:$AA$1504,'JOBS'!$O$5:$O$1504,"Completed",'JOBS'!$B$5:$B$1504,"&gt;="&amp;$D$4,'JOBS'!$B$5:$B$1504,"&lt;="&amp;$F$4,'JOBS'!$H$5:$H$1504,$A31))</f>
        <v/>
      </c>
      <c r="G31" s="93">
        <f>IF($A31="","",SUMIFS('JOBS'!$AB$5:$AB$1504,'JOBS'!$O$5:$O$1504,"Completed",'JOBS'!$B$5:$B$1504,"&gt;="&amp;$D$4,'JOBS'!$B$5:$B$1504,"&lt;="&amp;$F$4,'JOBS'!$H$5:$H$1504,$A31))</f>
        <v/>
      </c>
      <c r="H31" s="93">
        <f>IF($A31="","",SUMIFS('JOBS'!$AC$5:$AC$1504,'JOBS'!$O$5:$O$1504,"Completed",'JOBS'!$B$5:$B$1504,"&gt;="&amp;$D$4,'JOBS'!$B$5:$B$1504,"&lt;="&amp;$F$4,'JOBS'!$H$5:$H$1504,$A31))</f>
        <v/>
      </c>
      <c r="I31" s="119">
        <f>IF(N(C31)=0,"",H31/C31)</f>
        <v/>
      </c>
      <c r="J31" s="93">
        <f>IF(N(B31)=0,"",C31/B31)</f>
        <v/>
      </c>
      <c r="K31" s="120">
        <f>IF($A31="","",SUMIFS('JOBS'!$R$5:$R$1504,'JOBS'!$O$5:$O$1504,"Completed",'JOBS'!$B$5:$B$1504,"&gt;="&amp;$D$4,'JOBS'!$B$5:$B$1504,"&lt;="&amp;$F$4,'JOBS'!$H$5:$H$1504,$A31))</f>
        <v/>
      </c>
      <c r="L31" s="78">
        <f>IF(N(K31)=0,"",C31/K31)</f>
        <v/>
      </c>
      <c r="M31" s="78">
        <f>IF(N(K31)=0,"",H31/K31)</f>
        <v/>
      </c>
      <c r="N31" s="118">
        <f>IF($A31="","",COUNTIFS('JOBS'!$O$5:$O$1504,"Completed",'JOBS'!$B$5:$B$1504,"&gt;="&amp;$D$4,'JOBS'!$B$5:$B$1504,"&lt;="&amp;$F$4,'JOBS'!$H$5:$H$1504,$A31,'JOBS'!$AD$5:$AD$1504,"&lt;"&amp;TargetMargin))</f>
        <v/>
      </c>
      <c r="O31" s="118">
        <f>IF($A31="","",COUNTIFS('JOBS'!$O$5:$O$1504,"Completed",'JOBS'!$B$5:$B$1504,"&gt;="&amp;$D$4,'JOBS'!$B$5:$B$1504,"&lt;="&amp;$F$4,'JOBS'!$H$5:$H$1504,$A31,'JOBS'!$AC$5:$AC$1504,"&lt;0"))</f>
        <v/>
      </c>
      <c r="P31" s="121">
        <f>IF($A31="","",IFERROR(AVERAGEIFS('JOBS'!$AF$5:$AF$1504,'JOBS'!$O$5:$O$1504,"Completed",'JOBS'!$B$5:$B$1504,"&gt;="&amp;$D$4,'JOBS'!$B$5:$B$1504,"&lt;="&amp;$F$4,'JOBS'!$H$5:$H$1504,$A31),""))</f>
        <v/>
      </c>
    </row>
    <row r="32">
      <c r="A32" s="70">
        <f>'STAFF &amp; TASKS'!A14&amp;""</f>
        <v/>
      </c>
      <c r="B32" s="118">
        <f>IF($A32="","",COUNTIFS('JOBS'!$O$5:$O$1504,"Completed",'JOBS'!$B$5:$B$1504,"&gt;="&amp;$D$4,'JOBS'!$B$5:$B$1504,"&lt;="&amp;$F$4,'JOBS'!$H$5:$H$1504,$A32))</f>
        <v/>
      </c>
      <c r="C32" s="93">
        <f>IF($A32="","",SUMIFS('JOBS'!$L$5:$L$1504,'JOBS'!$O$5:$O$1504,"Completed",'JOBS'!$B$5:$B$1504,"&gt;="&amp;$D$4,'JOBS'!$B$5:$B$1504,"&lt;="&amp;$F$4,'JOBS'!$H$5:$H$1504,$A32))</f>
        <v/>
      </c>
      <c r="D32" s="93">
        <f>IF($A32="","",SUMIFS('JOBS'!$X$5:$X$1504,'JOBS'!$O$5:$O$1504,"Completed",'JOBS'!$B$5:$B$1504,"&gt;="&amp;$D$4,'JOBS'!$B$5:$B$1504,"&lt;="&amp;$F$4,'JOBS'!$H$5:$H$1504,$A32))</f>
        <v/>
      </c>
      <c r="E32" s="93">
        <f>IF($A32="","",SUMIFS('JOBS'!$Y$5:$Y$1504,'JOBS'!$O$5:$O$1504,"Completed",'JOBS'!$B$5:$B$1504,"&gt;="&amp;$D$4,'JOBS'!$B$5:$B$1504,"&lt;="&amp;$F$4,'JOBS'!$H$5:$H$1504,$A32))</f>
        <v/>
      </c>
      <c r="F32" s="93">
        <f>IF($A32="","",SUMIFS('JOBS'!$AA$5:$AA$1504,'JOBS'!$O$5:$O$1504,"Completed",'JOBS'!$B$5:$B$1504,"&gt;="&amp;$D$4,'JOBS'!$B$5:$B$1504,"&lt;="&amp;$F$4,'JOBS'!$H$5:$H$1504,$A32))</f>
        <v/>
      </c>
      <c r="G32" s="93">
        <f>IF($A32="","",SUMIFS('JOBS'!$AB$5:$AB$1504,'JOBS'!$O$5:$O$1504,"Completed",'JOBS'!$B$5:$B$1504,"&gt;="&amp;$D$4,'JOBS'!$B$5:$B$1504,"&lt;="&amp;$F$4,'JOBS'!$H$5:$H$1504,$A32))</f>
        <v/>
      </c>
      <c r="H32" s="93">
        <f>IF($A32="","",SUMIFS('JOBS'!$AC$5:$AC$1504,'JOBS'!$O$5:$O$1504,"Completed",'JOBS'!$B$5:$B$1504,"&gt;="&amp;$D$4,'JOBS'!$B$5:$B$1504,"&lt;="&amp;$F$4,'JOBS'!$H$5:$H$1504,$A32))</f>
        <v/>
      </c>
      <c r="I32" s="119">
        <f>IF(N(C32)=0,"",H32/C32)</f>
        <v/>
      </c>
      <c r="J32" s="93">
        <f>IF(N(B32)=0,"",C32/B32)</f>
        <v/>
      </c>
      <c r="K32" s="120">
        <f>IF($A32="","",SUMIFS('JOBS'!$R$5:$R$1504,'JOBS'!$O$5:$O$1504,"Completed",'JOBS'!$B$5:$B$1504,"&gt;="&amp;$D$4,'JOBS'!$B$5:$B$1504,"&lt;="&amp;$F$4,'JOBS'!$H$5:$H$1504,$A32))</f>
        <v/>
      </c>
      <c r="L32" s="78">
        <f>IF(N(K32)=0,"",C32/K32)</f>
        <v/>
      </c>
      <c r="M32" s="78">
        <f>IF(N(K32)=0,"",H32/K32)</f>
        <v/>
      </c>
      <c r="N32" s="118">
        <f>IF($A32="","",COUNTIFS('JOBS'!$O$5:$O$1504,"Completed",'JOBS'!$B$5:$B$1504,"&gt;="&amp;$D$4,'JOBS'!$B$5:$B$1504,"&lt;="&amp;$F$4,'JOBS'!$H$5:$H$1504,$A32,'JOBS'!$AD$5:$AD$1504,"&lt;"&amp;TargetMargin))</f>
        <v/>
      </c>
      <c r="O32" s="118">
        <f>IF($A32="","",COUNTIFS('JOBS'!$O$5:$O$1504,"Completed",'JOBS'!$B$5:$B$1504,"&gt;="&amp;$D$4,'JOBS'!$B$5:$B$1504,"&lt;="&amp;$F$4,'JOBS'!$H$5:$H$1504,$A32,'JOBS'!$AC$5:$AC$1504,"&lt;0"))</f>
        <v/>
      </c>
      <c r="P32" s="121">
        <f>IF($A32="","",IFERROR(AVERAGEIFS('JOBS'!$AF$5:$AF$1504,'JOBS'!$O$5:$O$1504,"Completed",'JOBS'!$B$5:$B$1504,"&gt;="&amp;$D$4,'JOBS'!$B$5:$B$1504,"&lt;="&amp;$F$4,'JOBS'!$H$5:$H$1504,$A32),""))</f>
        <v/>
      </c>
    </row>
    <row r="35">
      <c r="A35" s="5" t="inlineStr">
        <is>
          <t>BY CUSTOMER TYPE</t>
        </is>
      </c>
      <c r="B35" s="6" t="n"/>
      <c r="C35" s="6" t="n"/>
      <c r="D35" s="6" t="n"/>
      <c r="E35" s="6" t="n"/>
      <c r="F35" s="6" t="n"/>
      <c r="G35" s="6" t="n"/>
      <c r="H35" s="6" t="n"/>
      <c r="I35" s="6" t="n"/>
      <c r="J35" s="6" t="n"/>
      <c r="K35" s="6" t="n"/>
      <c r="L35" s="6" t="n"/>
      <c r="M35" s="6" t="n"/>
      <c r="N35" s="6" t="n"/>
      <c r="O35" s="6" t="n"/>
      <c r="P35" s="6" t="n"/>
    </row>
    <row r="36" ht="30" customHeight="1">
      <c r="A36" s="106" t="inlineStr"/>
      <c r="B36" s="44" t="inlineStr">
        <is>
          <t>Jobs</t>
        </is>
      </c>
      <c r="C36" s="44" t="inlineStr">
        <is>
          <t>Revenue</t>
        </is>
      </c>
      <c r="D36" s="44" t="inlineStr">
        <is>
          <t>Labor Cost</t>
        </is>
      </c>
      <c r="E36" s="44" t="inlineStr">
        <is>
          <t>Supplies</t>
        </is>
      </c>
      <c r="F36" s="44" t="inlineStr">
        <is>
          <t>Vehicle</t>
        </is>
      </c>
      <c r="G36" s="44" t="inlineStr">
        <is>
          <t>Fees</t>
        </is>
      </c>
      <c r="H36" s="44" t="inlineStr">
        <is>
          <t>Gross Profit</t>
        </is>
      </c>
      <c r="I36" s="44" t="inlineStr">
        <is>
          <t>Margin</t>
        </is>
      </c>
      <c r="J36" s="44" t="inlineStr">
        <is>
          <t>Avg Price</t>
        </is>
      </c>
      <c r="K36" s="44" t="inlineStr">
        <is>
          <t>Labor Hrs</t>
        </is>
      </c>
      <c r="L36" s="44" t="inlineStr">
        <is>
          <t>Revenue / Labor Hr</t>
        </is>
      </c>
      <c r="M36" s="44" t="inlineStr">
        <is>
          <t>Profit / Labor Hr</t>
        </is>
      </c>
      <c r="N36" s="44" t="inlineStr">
        <is>
          <t>Jobs Below Target</t>
        </is>
      </c>
      <c r="O36" s="44" t="inlineStr">
        <is>
          <t>Jobs Losing Money</t>
        </is>
      </c>
      <c r="P36" s="44" t="inlineStr">
        <is>
          <t>Avg Hours Over/Under</t>
        </is>
      </c>
    </row>
    <row r="37">
      <c r="A37" s="70">
        <f>SETTINGS!N5&amp;""</f>
        <v/>
      </c>
      <c r="B37" s="118">
        <f>IF($A37="","",COUNTIFS('JOBS'!$O$5:$O$1504,"Completed",'JOBS'!$B$5:$B$1504,"&gt;="&amp;$D$4,'JOBS'!$B$5:$B$1504,"&lt;="&amp;$F$4,'JOBS'!$AI$5:$AI$1504,$A37))</f>
        <v/>
      </c>
      <c r="C37" s="93">
        <f>IF($A37="","",SUMIFS('JOBS'!$L$5:$L$1504,'JOBS'!$O$5:$O$1504,"Completed",'JOBS'!$B$5:$B$1504,"&gt;="&amp;$D$4,'JOBS'!$B$5:$B$1504,"&lt;="&amp;$F$4,'JOBS'!$AI$5:$AI$1504,$A37))</f>
        <v/>
      </c>
      <c r="D37" s="93">
        <f>IF($A37="","",SUMIFS('JOBS'!$X$5:$X$1504,'JOBS'!$O$5:$O$1504,"Completed",'JOBS'!$B$5:$B$1504,"&gt;="&amp;$D$4,'JOBS'!$B$5:$B$1504,"&lt;="&amp;$F$4,'JOBS'!$AI$5:$AI$1504,$A37))</f>
        <v/>
      </c>
      <c r="E37" s="93">
        <f>IF($A37="","",SUMIFS('JOBS'!$Y$5:$Y$1504,'JOBS'!$O$5:$O$1504,"Completed",'JOBS'!$B$5:$B$1504,"&gt;="&amp;$D$4,'JOBS'!$B$5:$B$1504,"&lt;="&amp;$F$4,'JOBS'!$AI$5:$AI$1504,$A37))</f>
        <v/>
      </c>
      <c r="F37" s="93">
        <f>IF($A37="","",SUMIFS('JOBS'!$AA$5:$AA$1504,'JOBS'!$O$5:$O$1504,"Completed",'JOBS'!$B$5:$B$1504,"&gt;="&amp;$D$4,'JOBS'!$B$5:$B$1504,"&lt;="&amp;$F$4,'JOBS'!$AI$5:$AI$1504,$A37))</f>
        <v/>
      </c>
      <c r="G37" s="93">
        <f>IF($A37="","",SUMIFS('JOBS'!$AB$5:$AB$1504,'JOBS'!$O$5:$O$1504,"Completed",'JOBS'!$B$5:$B$1504,"&gt;="&amp;$D$4,'JOBS'!$B$5:$B$1504,"&lt;="&amp;$F$4,'JOBS'!$AI$5:$AI$1504,$A37))</f>
        <v/>
      </c>
      <c r="H37" s="93">
        <f>IF($A37="","",SUMIFS('JOBS'!$AC$5:$AC$1504,'JOBS'!$O$5:$O$1504,"Completed",'JOBS'!$B$5:$B$1504,"&gt;="&amp;$D$4,'JOBS'!$B$5:$B$1504,"&lt;="&amp;$F$4,'JOBS'!$AI$5:$AI$1504,$A37))</f>
        <v/>
      </c>
      <c r="I37" s="119">
        <f>IF(N(C37)=0,"",H37/C37)</f>
        <v/>
      </c>
      <c r="J37" s="93">
        <f>IF(N(B37)=0,"",C37/B37)</f>
        <v/>
      </c>
      <c r="K37" s="120">
        <f>IF($A37="","",SUMIFS('JOBS'!$R$5:$R$1504,'JOBS'!$O$5:$O$1504,"Completed",'JOBS'!$B$5:$B$1504,"&gt;="&amp;$D$4,'JOBS'!$B$5:$B$1504,"&lt;="&amp;$F$4,'JOBS'!$AI$5:$AI$1504,$A37))</f>
        <v/>
      </c>
      <c r="L37" s="78">
        <f>IF(N(K37)=0,"",C37/K37)</f>
        <v/>
      </c>
      <c r="M37" s="78">
        <f>IF(N(K37)=0,"",H37/K37)</f>
        <v/>
      </c>
      <c r="N37" s="118">
        <f>IF($A37="","",COUNTIFS('JOBS'!$O$5:$O$1504,"Completed",'JOBS'!$B$5:$B$1504,"&gt;="&amp;$D$4,'JOBS'!$B$5:$B$1504,"&lt;="&amp;$F$4,'JOBS'!$AI$5:$AI$1504,$A37,'JOBS'!$AD$5:$AD$1504,"&lt;"&amp;TargetMargin))</f>
        <v/>
      </c>
      <c r="O37" s="118">
        <f>IF($A37="","",COUNTIFS('JOBS'!$O$5:$O$1504,"Completed",'JOBS'!$B$5:$B$1504,"&gt;="&amp;$D$4,'JOBS'!$B$5:$B$1504,"&lt;="&amp;$F$4,'JOBS'!$AI$5:$AI$1504,$A37,'JOBS'!$AC$5:$AC$1504,"&lt;0"))</f>
        <v/>
      </c>
      <c r="P37" s="121">
        <f>IF($A37="","",IFERROR(AVERAGEIFS('JOBS'!$AF$5:$AF$1504,'JOBS'!$O$5:$O$1504,"Completed",'JOBS'!$B$5:$B$1504,"&gt;="&amp;$D$4,'JOBS'!$B$5:$B$1504,"&lt;="&amp;$F$4,'JOBS'!$AI$5:$AI$1504,$A37),""))</f>
        <v/>
      </c>
    </row>
    <row r="38">
      <c r="A38" s="70">
        <f>SETTINGS!N6&amp;""</f>
        <v/>
      </c>
      <c r="B38" s="118">
        <f>IF($A38="","",COUNTIFS('JOBS'!$O$5:$O$1504,"Completed",'JOBS'!$B$5:$B$1504,"&gt;="&amp;$D$4,'JOBS'!$B$5:$B$1504,"&lt;="&amp;$F$4,'JOBS'!$AI$5:$AI$1504,$A38))</f>
        <v/>
      </c>
      <c r="C38" s="93">
        <f>IF($A38="","",SUMIFS('JOBS'!$L$5:$L$1504,'JOBS'!$O$5:$O$1504,"Completed",'JOBS'!$B$5:$B$1504,"&gt;="&amp;$D$4,'JOBS'!$B$5:$B$1504,"&lt;="&amp;$F$4,'JOBS'!$AI$5:$AI$1504,$A38))</f>
        <v/>
      </c>
      <c r="D38" s="93">
        <f>IF($A38="","",SUMIFS('JOBS'!$X$5:$X$1504,'JOBS'!$O$5:$O$1504,"Completed",'JOBS'!$B$5:$B$1504,"&gt;="&amp;$D$4,'JOBS'!$B$5:$B$1504,"&lt;="&amp;$F$4,'JOBS'!$AI$5:$AI$1504,$A38))</f>
        <v/>
      </c>
      <c r="E38" s="93">
        <f>IF($A38="","",SUMIFS('JOBS'!$Y$5:$Y$1504,'JOBS'!$O$5:$O$1504,"Completed",'JOBS'!$B$5:$B$1504,"&gt;="&amp;$D$4,'JOBS'!$B$5:$B$1504,"&lt;="&amp;$F$4,'JOBS'!$AI$5:$AI$1504,$A38))</f>
        <v/>
      </c>
      <c r="F38" s="93">
        <f>IF($A38="","",SUMIFS('JOBS'!$AA$5:$AA$1504,'JOBS'!$O$5:$O$1504,"Completed",'JOBS'!$B$5:$B$1504,"&gt;="&amp;$D$4,'JOBS'!$B$5:$B$1504,"&lt;="&amp;$F$4,'JOBS'!$AI$5:$AI$1504,$A38))</f>
        <v/>
      </c>
      <c r="G38" s="93">
        <f>IF($A38="","",SUMIFS('JOBS'!$AB$5:$AB$1504,'JOBS'!$O$5:$O$1504,"Completed",'JOBS'!$B$5:$B$1504,"&gt;="&amp;$D$4,'JOBS'!$B$5:$B$1504,"&lt;="&amp;$F$4,'JOBS'!$AI$5:$AI$1504,$A38))</f>
        <v/>
      </c>
      <c r="H38" s="93">
        <f>IF($A38="","",SUMIFS('JOBS'!$AC$5:$AC$1504,'JOBS'!$O$5:$O$1504,"Completed",'JOBS'!$B$5:$B$1504,"&gt;="&amp;$D$4,'JOBS'!$B$5:$B$1504,"&lt;="&amp;$F$4,'JOBS'!$AI$5:$AI$1504,$A38))</f>
        <v/>
      </c>
      <c r="I38" s="119">
        <f>IF(N(C38)=0,"",H38/C38)</f>
        <v/>
      </c>
      <c r="J38" s="93">
        <f>IF(N(B38)=0,"",C38/B38)</f>
        <v/>
      </c>
      <c r="K38" s="120">
        <f>IF($A38="","",SUMIFS('JOBS'!$R$5:$R$1504,'JOBS'!$O$5:$O$1504,"Completed",'JOBS'!$B$5:$B$1504,"&gt;="&amp;$D$4,'JOBS'!$B$5:$B$1504,"&lt;="&amp;$F$4,'JOBS'!$AI$5:$AI$1504,$A38))</f>
        <v/>
      </c>
      <c r="L38" s="78">
        <f>IF(N(K38)=0,"",C38/K38)</f>
        <v/>
      </c>
      <c r="M38" s="78">
        <f>IF(N(K38)=0,"",H38/K38)</f>
        <v/>
      </c>
      <c r="N38" s="118">
        <f>IF($A38="","",COUNTIFS('JOBS'!$O$5:$O$1504,"Completed",'JOBS'!$B$5:$B$1504,"&gt;="&amp;$D$4,'JOBS'!$B$5:$B$1504,"&lt;="&amp;$F$4,'JOBS'!$AI$5:$AI$1504,$A38,'JOBS'!$AD$5:$AD$1504,"&lt;"&amp;TargetMargin))</f>
        <v/>
      </c>
      <c r="O38" s="118">
        <f>IF($A38="","",COUNTIFS('JOBS'!$O$5:$O$1504,"Completed",'JOBS'!$B$5:$B$1504,"&gt;="&amp;$D$4,'JOBS'!$B$5:$B$1504,"&lt;="&amp;$F$4,'JOBS'!$AI$5:$AI$1504,$A38,'JOBS'!$AC$5:$AC$1504,"&lt;0"))</f>
        <v/>
      </c>
      <c r="P38" s="121">
        <f>IF($A38="","",IFERROR(AVERAGEIFS('JOBS'!$AF$5:$AF$1504,'JOBS'!$O$5:$O$1504,"Completed",'JOBS'!$B$5:$B$1504,"&gt;="&amp;$D$4,'JOBS'!$B$5:$B$1504,"&lt;="&amp;$F$4,'JOBS'!$AI$5:$AI$1504,$A38),""))</f>
        <v/>
      </c>
    </row>
    <row r="39">
      <c r="A39" s="70">
        <f>SETTINGS!N7&amp;""</f>
        <v/>
      </c>
      <c r="B39" s="118">
        <f>IF($A39="","",COUNTIFS('JOBS'!$O$5:$O$1504,"Completed",'JOBS'!$B$5:$B$1504,"&gt;="&amp;$D$4,'JOBS'!$B$5:$B$1504,"&lt;="&amp;$F$4,'JOBS'!$AI$5:$AI$1504,$A39))</f>
        <v/>
      </c>
      <c r="C39" s="93">
        <f>IF($A39="","",SUMIFS('JOBS'!$L$5:$L$1504,'JOBS'!$O$5:$O$1504,"Completed",'JOBS'!$B$5:$B$1504,"&gt;="&amp;$D$4,'JOBS'!$B$5:$B$1504,"&lt;="&amp;$F$4,'JOBS'!$AI$5:$AI$1504,$A39))</f>
        <v/>
      </c>
      <c r="D39" s="93">
        <f>IF($A39="","",SUMIFS('JOBS'!$X$5:$X$1504,'JOBS'!$O$5:$O$1504,"Completed",'JOBS'!$B$5:$B$1504,"&gt;="&amp;$D$4,'JOBS'!$B$5:$B$1504,"&lt;="&amp;$F$4,'JOBS'!$AI$5:$AI$1504,$A39))</f>
        <v/>
      </c>
      <c r="E39" s="93">
        <f>IF($A39="","",SUMIFS('JOBS'!$Y$5:$Y$1504,'JOBS'!$O$5:$O$1504,"Completed",'JOBS'!$B$5:$B$1504,"&gt;="&amp;$D$4,'JOBS'!$B$5:$B$1504,"&lt;="&amp;$F$4,'JOBS'!$AI$5:$AI$1504,$A39))</f>
        <v/>
      </c>
      <c r="F39" s="93">
        <f>IF($A39="","",SUMIFS('JOBS'!$AA$5:$AA$1504,'JOBS'!$O$5:$O$1504,"Completed",'JOBS'!$B$5:$B$1504,"&gt;="&amp;$D$4,'JOBS'!$B$5:$B$1504,"&lt;="&amp;$F$4,'JOBS'!$AI$5:$AI$1504,$A39))</f>
        <v/>
      </c>
      <c r="G39" s="93">
        <f>IF($A39="","",SUMIFS('JOBS'!$AB$5:$AB$1504,'JOBS'!$O$5:$O$1504,"Completed",'JOBS'!$B$5:$B$1504,"&gt;="&amp;$D$4,'JOBS'!$B$5:$B$1504,"&lt;="&amp;$F$4,'JOBS'!$AI$5:$AI$1504,$A39))</f>
        <v/>
      </c>
      <c r="H39" s="93">
        <f>IF($A39="","",SUMIFS('JOBS'!$AC$5:$AC$1504,'JOBS'!$O$5:$O$1504,"Completed",'JOBS'!$B$5:$B$1504,"&gt;="&amp;$D$4,'JOBS'!$B$5:$B$1504,"&lt;="&amp;$F$4,'JOBS'!$AI$5:$AI$1504,$A39))</f>
        <v/>
      </c>
      <c r="I39" s="119">
        <f>IF(N(C39)=0,"",H39/C39)</f>
        <v/>
      </c>
      <c r="J39" s="93">
        <f>IF(N(B39)=0,"",C39/B39)</f>
        <v/>
      </c>
      <c r="K39" s="120">
        <f>IF($A39="","",SUMIFS('JOBS'!$R$5:$R$1504,'JOBS'!$O$5:$O$1504,"Completed",'JOBS'!$B$5:$B$1504,"&gt;="&amp;$D$4,'JOBS'!$B$5:$B$1504,"&lt;="&amp;$F$4,'JOBS'!$AI$5:$AI$1504,$A39))</f>
        <v/>
      </c>
      <c r="L39" s="78">
        <f>IF(N(K39)=0,"",C39/K39)</f>
        <v/>
      </c>
      <c r="M39" s="78">
        <f>IF(N(K39)=0,"",H39/K39)</f>
        <v/>
      </c>
      <c r="N39" s="118">
        <f>IF($A39="","",COUNTIFS('JOBS'!$O$5:$O$1504,"Completed",'JOBS'!$B$5:$B$1504,"&gt;="&amp;$D$4,'JOBS'!$B$5:$B$1504,"&lt;="&amp;$F$4,'JOBS'!$AI$5:$AI$1504,$A39,'JOBS'!$AD$5:$AD$1504,"&lt;"&amp;TargetMargin))</f>
        <v/>
      </c>
      <c r="O39" s="118">
        <f>IF($A39="","",COUNTIFS('JOBS'!$O$5:$O$1504,"Completed",'JOBS'!$B$5:$B$1504,"&gt;="&amp;$D$4,'JOBS'!$B$5:$B$1504,"&lt;="&amp;$F$4,'JOBS'!$AI$5:$AI$1504,$A39,'JOBS'!$AC$5:$AC$1504,"&lt;0"))</f>
        <v/>
      </c>
      <c r="P39" s="121">
        <f>IF($A39="","",IFERROR(AVERAGEIFS('JOBS'!$AF$5:$AF$1504,'JOBS'!$O$5:$O$1504,"Completed",'JOBS'!$B$5:$B$1504,"&gt;="&amp;$D$4,'JOBS'!$B$5:$B$1504,"&lt;="&amp;$F$4,'JOBS'!$AI$5:$AI$1504,$A39),""))</f>
        <v/>
      </c>
    </row>
    <row r="40">
      <c r="A40" s="70">
        <f>SETTINGS!N8&amp;""</f>
        <v/>
      </c>
      <c r="B40" s="118">
        <f>IF($A40="","",COUNTIFS('JOBS'!$O$5:$O$1504,"Completed",'JOBS'!$B$5:$B$1504,"&gt;="&amp;$D$4,'JOBS'!$B$5:$B$1504,"&lt;="&amp;$F$4,'JOBS'!$AI$5:$AI$1504,$A40))</f>
        <v/>
      </c>
      <c r="C40" s="93">
        <f>IF($A40="","",SUMIFS('JOBS'!$L$5:$L$1504,'JOBS'!$O$5:$O$1504,"Completed",'JOBS'!$B$5:$B$1504,"&gt;="&amp;$D$4,'JOBS'!$B$5:$B$1504,"&lt;="&amp;$F$4,'JOBS'!$AI$5:$AI$1504,$A40))</f>
        <v/>
      </c>
      <c r="D40" s="93">
        <f>IF($A40="","",SUMIFS('JOBS'!$X$5:$X$1504,'JOBS'!$O$5:$O$1504,"Completed",'JOBS'!$B$5:$B$1504,"&gt;="&amp;$D$4,'JOBS'!$B$5:$B$1504,"&lt;="&amp;$F$4,'JOBS'!$AI$5:$AI$1504,$A40))</f>
        <v/>
      </c>
      <c r="E40" s="93">
        <f>IF($A40="","",SUMIFS('JOBS'!$Y$5:$Y$1504,'JOBS'!$O$5:$O$1504,"Completed",'JOBS'!$B$5:$B$1504,"&gt;="&amp;$D$4,'JOBS'!$B$5:$B$1504,"&lt;="&amp;$F$4,'JOBS'!$AI$5:$AI$1504,$A40))</f>
        <v/>
      </c>
      <c r="F40" s="93">
        <f>IF($A40="","",SUMIFS('JOBS'!$AA$5:$AA$1504,'JOBS'!$O$5:$O$1504,"Completed",'JOBS'!$B$5:$B$1504,"&gt;="&amp;$D$4,'JOBS'!$B$5:$B$1504,"&lt;="&amp;$F$4,'JOBS'!$AI$5:$AI$1504,$A40))</f>
        <v/>
      </c>
      <c r="G40" s="93">
        <f>IF($A40="","",SUMIFS('JOBS'!$AB$5:$AB$1504,'JOBS'!$O$5:$O$1504,"Completed",'JOBS'!$B$5:$B$1504,"&gt;="&amp;$D$4,'JOBS'!$B$5:$B$1504,"&lt;="&amp;$F$4,'JOBS'!$AI$5:$AI$1504,$A40))</f>
        <v/>
      </c>
      <c r="H40" s="93">
        <f>IF($A40="","",SUMIFS('JOBS'!$AC$5:$AC$1504,'JOBS'!$O$5:$O$1504,"Completed",'JOBS'!$B$5:$B$1504,"&gt;="&amp;$D$4,'JOBS'!$B$5:$B$1504,"&lt;="&amp;$F$4,'JOBS'!$AI$5:$AI$1504,$A40))</f>
        <v/>
      </c>
      <c r="I40" s="119">
        <f>IF(N(C40)=0,"",H40/C40)</f>
        <v/>
      </c>
      <c r="J40" s="93">
        <f>IF(N(B40)=0,"",C40/B40)</f>
        <v/>
      </c>
      <c r="K40" s="120">
        <f>IF($A40="","",SUMIFS('JOBS'!$R$5:$R$1504,'JOBS'!$O$5:$O$1504,"Completed",'JOBS'!$B$5:$B$1504,"&gt;="&amp;$D$4,'JOBS'!$B$5:$B$1504,"&lt;="&amp;$F$4,'JOBS'!$AI$5:$AI$1504,$A40))</f>
        <v/>
      </c>
      <c r="L40" s="78">
        <f>IF(N(K40)=0,"",C40/K40)</f>
        <v/>
      </c>
      <c r="M40" s="78">
        <f>IF(N(K40)=0,"",H40/K40)</f>
        <v/>
      </c>
      <c r="N40" s="118">
        <f>IF($A40="","",COUNTIFS('JOBS'!$O$5:$O$1504,"Completed",'JOBS'!$B$5:$B$1504,"&gt;="&amp;$D$4,'JOBS'!$B$5:$B$1504,"&lt;="&amp;$F$4,'JOBS'!$AI$5:$AI$1504,$A40,'JOBS'!$AD$5:$AD$1504,"&lt;"&amp;TargetMargin))</f>
        <v/>
      </c>
      <c r="O40" s="118">
        <f>IF($A40="","",COUNTIFS('JOBS'!$O$5:$O$1504,"Completed",'JOBS'!$B$5:$B$1504,"&gt;="&amp;$D$4,'JOBS'!$B$5:$B$1504,"&lt;="&amp;$F$4,'JOBS'!$AI$5:$AI$1504,$A40,'JOBS'!$AC$5:$AC$1504,"&lt;0"))</f>
        <v/>
      </c>
      <c r="P40" s="121">
        <f>IF($A40="","",IFERROR(AVERAGEIFS('JOBS'!$AF$5:$AF$1504,'JOBS'!$O$5:$O$1504,"Completed",'JOBS'!$B$5:$B$1504,"&gt;="&amp;$D$4,'JOBS'!$B$5:$B$1504,"&lt;="&amp;$F$4,'JOBS'!$AI$5:$AI$1504,$A40),""))</f>
        <v/>
      </c>
    </row>
    <row r="41">
      <c r="A41" s="70">
        <f>SETTINGS!N9&amp;""</f>
        <v/>
      </c>
      <c r="B41" s="118">
        <f>IF($A41="","",COUNTIFS('JOBS'!$O$5:$O$1504,"Completed",'JOBS'!$B$5:$B$1504,"&gt;="&amp;$D$4,'JOBS'!$B$5:$B$1504,"&lt;="&amp;$F$4,'JOBS'!$AI$5:$AI$1504,$A41))</f>
        <v/>
      </c>
      <c r="C41" s="93">
        <f>IF($A41="","",SUMIFS('JOBS'!$L$5:$L$1504,'JOBS'!$O$5:$O$1504,"Completed",'JOBS'!$B$5:$B$1504,"&gt;="&amp;$D$4,'JOBS'!$B$5:$B$1504,"&lt;="&amp;$F$4,'JOBS'!$AI$5:$AI$1504,$A41))</f>
        <v/>
      </c>
      <c r="D41" s="93">
        <f>IF($A41="","",SUMIFS('JOBS'!$X$5:$X$1504,'JOBS'!$O$5:$O$1504,"Completed",'JOBS'!$B$5:$B$1504,"&gt;="&amp;$D$4,'JOBS'!$B$5:$B$1504,"&lt;="&amp;$F$4,'JOBS'!$AI$5:$AI$1504,$A41))</f>
        <v/>
      </c>
      <c r="E41" s="93">
        <f>IF($A41="","",SUMIFS('JOBS'!$Y$5:$Y$1504,'JOBS'!$O$5:$O$1504,"Completed",'JOBS'!$B$5:$B$1504,"&gt;="&amp;$D$4,'JOBS'!$B$5:$B$1504,"&lt;="&amp;$F$4,'JOBS'!$AI$5:$AI$1504,$A41))</f>
        <v/>
      </c>
      <c r="F41" s="93">
        <f>IF($A41="","",SUMIFS('JOBS'!$AA$5:$AA$1504,'JOBS'!$O$5:$O$1504,"Completed",'JOBS'!$B$5:$B$1504,"&gt;="&amp;$D$4,'JOBS'!$B$5:$B$1504,"&lt;="&amp;$F$4,'JOBS'!$AI$5:$AI$1504,$A41))</f>
        <v/>
      </c>
      <c r="G41" s="93">
        <f>IF($A41="","",SUMIFS('JOBS'!$AB$5:$AB$1504,'JOBS'!$O$5:$O$1504,"Completed",'JOBS'!$B$5:$B$1504,"&gt;="&amp;$D$4,'JOBS'!$B$5:$B$1504,"&lt;="&amp;$F$4,'JOBS'!$AI$5:$AI$1504,$A41))</f>
        <v/>
      </c>
      <c r="H41" s="93">
        <f>IF($A41="","",SUMIFS('JOBS'!$AC$5:$AC$1504,'JOBS'!$O$5:$O$1504,"Completed",'JOBS'!$B$5:$B$1504,"&gt;="&amp;$D$4,'JOBS'!$B$5:$B$1504,"&lt;="&amp;$F$4,'JOBS'!$AI$5:$AI$1504,$A41))</f>
        <v/>
      </c>
      <c r="I41" s="119">
        <f>IF(N(C41)=0,"",H41/C41)</f>
        <v/>
      </c>
      <c r="J41" s="93">
        <f>IF(N(B41)=0,"",C41/B41)</f>
        <v/>
      </c>
      <c r="K41" s="120">
        <f>IF($A41="","",SUMIFS('JOBS'!$R$5:$R$1504,'JOBS'!$O$5:$O$1504,"Completed",'JOBS'!$B$5:$B$1504,"&gt;="&amp;$D$4,'JOBS'!$B$5:$B$1504,"&lt;="&amp;$F$4,'JOBS'!$AI$5:$AI$1504,$A41))</f>
        <v/>
      </c>
      <c r="L41" s="78">
        <f>IF(N(K41)=0,"",C41/K41)</f>
        <v/>
      </c>
      <c r="M41" s="78">
        <f>IF(N(K41)=0,"",H41/K41)</f>
        <v/>
      </c>
      <c r="N41" s="118">
        <f>IF($A41="","",COUNTIFS('JOBS'!$O$5:$O$1504,"Completed",'JOBS'!$B$5:$B$1504,"&gt;="&amp;$D$4,'JOBS'!$B$5:$B$1504,"&lt;="&amp;$F$4,'JOBS'!$AI$5:$AI$1504,$A41,'JOBS'!$AD$5:$AD$1504,"&lt;"&amp;TargetMargin))</f>
        <v/>
      </c>
      <c r="O41" s="118">
        <f>IF($A41="","",COUNTIFS('JOBS'!$O$5:$O$1504,"Completed",'JOBS'!$B$5:$B$1504,"&gt;="&amp;$D$4,'JOBS'!$B$5:$B$1504,"&lt;="&amp;$F$4,'JOBS'!$AI$5:$AI$1504,$A41,'JOBS'!$AC$5:$AC$1504,"&lt;0"))</f>
        <v/>
      </c>
      <c r="P41" s="121">
        <f>IF($A41="","",IFERROR(AVERAGEIFS('JOBS'!$AF$5:$AF$1504,'JOBS'!$O$5:$O$1504,"Completed",'JOBS'!$B$5:$B$1504,"&gt;="&amp;$D$4,'JOBS'!$B$5:$B$1504,"&lt;="&amp;$F$4,'JOBS'!$AI$5:$AI$1504,$A41),""))</f>
        <v/>
      </c>
    </row>
    <row r="42">
      <c r="A42" s="70">
        <f>SETTINGS!N10&amp;""</f>
        <v/>
      </c>
      <c r="B42" s="118">
        <f>IF($A42="","",COUNTIFS('JOBS'!$O$5:$O$1504,"Completed",'JOBS'!$B$5:$B$1504,"&gt;="&amp;$D$4,'JOBS'!$B$5:$B$1504,"&lt;="&amp;$F$4,'JOBS'!$AI$5:$AI$1504,$A42))</f>
        <v/>
      </c>
      <c r="C42" s="93">
        <f>IF($A42="","",SUMIFS('JOBS'!$L$5:$L$1504,'JOBS'!$O$5:$O$1504,"Completed",'JOBS'!$B$5:$B$1504,"&gt;="&amp;$D$4,'JOBS'!$B$5:$B$1504,"&lt;="&amp;$F$4,'JOBS'!$AI$5:$AI$1504,$A42))</f>
        <v/>
      </c>
      <c r="D42" s="93">
        <f>IF($A42="","",SUMIFS('JOBS'!$X$5:$X$1504,'JOBS'!$O$5:$O$1504,"Completed",'JOBS'!$B$5:$B$1504,"&gt;="&amp;$D$4,'JOBS'!$B$5:$B$1504,"&lt;="&amp;$F$4,'JOBS'!$AI$5:$AI$1504,$A42))</f>
        <v/>
      </c>
      <c r="E42" s="93">
        <f>IF($A42="","",SUMIFS('JOBS'!$Y$5:$Y$1504,'JOBS'!$O$5:$O$1504,"Completed",'JOBS'!$B$5:$B$1504,"&gt;="&amp;$D$4,'JOBS'!$B$5:$B$1504,"&lt;="&amp;$F$4,'JOBS'!$AI$5:$AI$1504,$A42))</f>
        <v/>
      </c>
      <c r="F42" s="93">
        <f>IF($A42="","",SUMIFS('JOBS'!$AA$5:$AA$1504,'JOBS'!$O$5:$O$1504,"Completed",'JOBS'!$B$5:$B$1504,"&gt;="&amp;$D$4,'JOBS'!$B$5:$B$1504,"&lt;="&amp;$F$4,'JOBS'!$AI$5:$AI$1504,$A42))</f>
        <v/>
      </c>
      <c r="G42" s="93">
        <f>IF($A42="","",SUMIFS('JOBS'!$AB$5:$AB$1504,'JOBS'!$O$5:$O$1504,"Completed",'JOBS'!$B$5:$B$1504,"&gt;="&amp;$D$4,'JOBS'!$B$5:$B$1504,"&lt;="&amp;$F$4,'JOBS'!$AI$5:$AI$1504,$A42))</f>
        <v/>
      </c>
      <c r="H42" s="93">
        <f>IF($A42="","",SUMIFS('JOBS'!$AC$5:$AC$1504,'JOBS'!$O$5:$O$1504,"Completed",'JOBS'!$B$5:$B$1504,"&gt;="&amp;$D$4,'JOBS'!$B$5:$B$1504,"&lt;="&amp;$F$4,'JOBS'!$AI$5:$AI$1504,$A42))</f>
        <v/>
      </c>
      <c r="I42" s="119">
        <f>IF(N(C42)=0,"",H42/C42)</f>
        <v/>
      </c>
      <c r="J42" s="93">
        <f>IF(N(B42)=0,"",C42/B42)</f>
        <v/>
      </c>
      <c r="K42" s="120">
        <f>IF($A42="","",SUMIFS('JOBS'!$R$5:$R$1504,'JOBS'!$O$5:$O$1504,"Completed",'JOBS'!$B$5:$B$1504,"&gt;="&amp;$D$4,'JOBS'!$B$5:$B$1504,"&lt;="&amp;$F$4,'JOBS'!$AI$5:$AI$1504,$A42))</f>
        <v/>
      </c>
      <c r="L42" s="78">
        <f>IF(N(K42)=0,"",C42/K42)</f>
        <v/>
      </c>
      <c r="M42" s="78">
        <f>IF(N(K42)=0,"",H42/K42)</f>
        <v/>
      </c>
      <c r="N42" s="118">
        <f>IF($A42="","",COUNTIFS('JOBS'!$O$5:$O$1504,"Completed",'JOBS'!$B$5:$B$1504,"&gt;="&amp;$D$4,'JOBS'!$B$5:$B$1504,"&lt;="&amp;$F$4,'JOBS'!$AI$5:$AI$1504,$A42,'JOBS'!$AD$5:$AD$1504,"&lt;"&amp;TargetMargin))</f>
        <v/>
      </c>
      <c r="O42" s="118">
        <f>IF($A42="","",COUNTIFS('JOBS'!$O$5:$O$1504,"Completed",'JOBS'!$B$5:$B$1504,"&gt;="&amp;$D$4,'JOBS'!$B$5:$B$1504,"&lt;="&amp;$F$4,'JOBS'!$AI$5:$AI$1504,$A42,'JOBS'!$AC$5:$AC$1504,"&lt;0"))</f>
        <v/>
      </c>
      <c r="P42" s="121">
        <f>IF($A42="","",IFERROR(AVERAGEIFS('JOBS'!$AF$5:$AF$1504,'JOBS'!$O$5:$O$1504,"Completed",'JOBS'!$B$5:$B$1504,"&gt;="&amp;$D$4,'JOBS'!$B$5:$B$1504,"&lt;="&amp;$F$4,'JOBS'!$AI$5:$AI$1504,$A42),""))</f>
        <v/>
      </c>
    </row>
    <row r="44">
      <c r="A44" s="41" t="inlineStr">
        <is>
          <t>Notes: Gross profit = price − labor (with your extra labor %) − supplies − vehicle − payment fees. It does not include overhead such as insurance, software or marketing — see MONTHLY for operating profit. Amber margin = below your target in SETTINGS.</t>
        </is>
      </c>
    </row>
  </sheetData>
  <mergeCells count="2">
    <mergeCell ref="A1:P1"/>
    <mergeCell ref="A2:P2"/>
  </mergeCells>
  <conditionalFormatting sqref="I8:I17">
    <cfRule type="expression" priority="1" dxfId="2">
      <formula>AND(I8&lt;&gt;"",I8&lt;TargetMargin)</formula>
    </cfRule>
  </conditionalFormatting>
  <conditionalFormatting sqref="I23:I32">
    <cfRule type="expression" priority="2" dxfId="2">
      <formula>AND(I23&lt;&gt;"",I23&lt;TargetMargin)</formula>
    </cfRule>
  </conditionalFormatting>
  <conditionalFormatting sqref="I37:I42">
    <cfRule type="expression" priority="3" dxfId="2">
      <formula>AND(I37&lt;&gt;"",I37&lt;TargetMargin)</formula>
    </cfRule>
  </conditionalFormatting>
  <dataValidations count="1">
    <dataValidation sqref="B4" showDropDown="0" showInputMessage="0" showErrorMessage="0" allowBlank="0" type="list">
      <formula1>='SETTINGS'!$AJ$5:$AJ$7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drawing xmlns:r="http://schemas.openxmlformats.org/officeDocument/2006/relationships" r:id="rId1"/>
</worksheet>
</file>

<file path=xl/worksheets/sheet15.xml><?xml version="1.0" encoding="utf-8"?>
<worksheet xmlns="http://schemas.openxmlformats.org/spreadsheetml/2006/main">
  <sheetPr>
    <tabColor rgb="001E7F4F"/>
    <outlinePr summaryBelow="1" summaryRight="1"/>
    <pageSetUpPr fitToPage="1"/>
  </sheetPr>
  <dimension ref="A1: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2" customWidth="1" min="3" max="3"/>
    <col width="16" customWidth="1" min="4" max="4"/>
    <col width="16" customWidth="1" min="5" max="5"/>
    <col width="13" customWidth="1" min="6" max="6"/>
    <col width="13" customWidth="1" min="7" max="7"/>
    <col width="13" customWidth="1" min="8" max="8"/>
    <col width="14" customWidth="1" min="9" max="9"/>
    <col width="13" customWidth="1" min="10" max="10"/>
    <col width="13" customWidth="1" min="11" max="11"/>
    <col width="13" customWidth="1" min="12" max="12"/>
  </cols>
  <sheetData>
    <row r="1" ht="34" customHeight="1">
      <c r="A1" s="42" t="inlineStr">
        <is>
          <t>MILEAGE LOG</t>
        </is>
      </c>
      <c r="B1" s="1" t="n"/>
      <c r="C1" s="1" t="n"/>
      <c r="D1" s="1" t="n"/>
      <c r="E1" s="1" t="n"/>
      <c r="F1" s="1" t="n"/>
      <c r="G1" s="1" t="n"/>
      <c r="H1" s="1" t="n"/>
      <c r="I1" s="1" t="n"/>
      <c r="J1" s="1" t="n"/>
      <c r="K1" s="1" t="n"/>
      <c r="L1" s="1" t="n"/>
    </row>
    <row r="2" ht="30" customHeight="1">
      <c r="A2" s="43" t="inlineStr">
        <is>
          <t>Log business trips. Use odometer readings or type miles directly. Trips linked to a Job ID add vehicle cost to that job's profit. Ask a tax professional about mileage record requirements where you live.</t>
        </is>
      </c>
    </row>
    <row r="3" ht="18" customHeight="1">
      <c r="A3" s="24" t="inlineStr">
        <is>
          <t>← Start Here</t>
        </is>
      </c>
      <c r="B3" s="24" t="inlineStr">
        <is>
          <t>Dashboard →</t>
        </is>
      </c>
    </row>
    <row r="4" ht="42" customHeight="1">
      <c r="A4" s="44" t="inlineStr">
        <is>
          <t>Date</t>
        </is>
      </c>
      <c r="B4" s="44" t="inlineStr">
        <is>
          <t>Job ID (optional)</t>
        </is>
      </c>
      <c r="C4" s="44" t="inlineStr">
        <is>
          <t>Purpose</t>
        </is>
      </c>
      <c r="D4" s="44" t="inlineStr">
        <is>
          <t>From</t>
        </is>
      </c>
      <c r="E4" s="44" t="inlineStr">
        <is>
          <t>To</t>
        </is>
      </c>
      <c r="F4" s="44" t="inlineStr">
        <is>
          <t>Odometer Start</t>
        </is>
      </c>
      <c r="G4" s="44" t="inlineStr">
        <is>
          <t>Odometer End</t>
        </is>
      </c>
      <c r="H4" s="44" t="inlineStr">
        <is>
          <t>Miles (if no odometer)</t>
        </is>
      </c>
      <c r="I4" s="44" t="inlineStr">
        <is>
          <t>Driver / Vehicle</t>
        </is>
      </c>
      <c r="J4" s="45" t="inlineStr">
        <is>
          <t>Miles Used ⚙</t>
        </is>
      </c>
      <c r="K4" s="45" t="inlineStr">
        <is>
          <t>Cost at Your Rate ⚙</t>
        </is>
      </c>
      <c r="L4" s="45" t="inlineStr">
        <is>
          <t>Month ⚙</t>
        </is>
      </c>
    </row>
    <row r="5">
      <c r="A5" s="47" t="n">
        <v>46031</v>
      </c>
      <c r="B5" s="38" t="inlineStr">
        <is>
          <t>J-0001</t>
        </is>
      </c>
      <c r="C5" s="38" t="inlineStr">
        <is>
          <t>Job: Deep Clean</t>
        </is>
      </c>
      <c r="D5" s="38" t="inlineStr">
        <is>
          <t>Home base</t>
        </is>
      </c>
      <c r="E5" s="38" t="inlineStr">
        <is>
          <t>84 Hawthorn Road</t>
        </is>
      </c>
      <c r="F5" s="128" t="n"/>
      <c r="G5" s="128" t="n"/>
      <c r="H5" s="129" t="n">
        <v>9.300000000000001</v>
      </c>
      <c r="I5" s="38" t="inlineStr">
        <is>
          <t>Maria Lopez</t>
        </is>
      </c>
      <c r="J5" s="98">
        <f>IF(A5="","",IF(AND(F5&lt;&gt;"",G5&lt;&gt;""),MAX(0,G5-F5),N(H5)))</f>
        <v/>
      </c>
      <c r="K5" s="55">
        <f>IF(A5="","",ROUND(J5*MileRate,2))</f>
        <v/>
      </c>
      <c r="L5" s="51">
        <f>IF(A5="","",DATE(YEAR(A5),MONTH(A5),1))</f>
        <v/>
      </c>
    </row>
    <row r="6">
      <c r="A6" s="47" t="n">
        <v>46036</v>
      </c>
      <c r="B6" s="38" t="inlineStr">
        <is>
          <t>J-0002</t>
        </is>
      </c>
      <c r="C6" s="38" t="inlineStr">
        <is>
          <t>Job: Deep Clean</t>
        </is>
      </c>
      <c r="D6" s="38" t="inlineStr">
        <is>
          <t>Home base</t>
        </is>
      </c>
      <c r="E6" s="38" t="inlineStr">
        <is>
          <t>102 Hawthorn Road</t>
        </is>
      </c>
      <c r="F6" s="128" t="n"/>
      <c r="G6" s="128" t="n"/>
      <c r="H6" s="129" t="n">
        <v>17</v>
      </c>
      <c r="I6" s="38" t="inlineStr">
        <is>
          <t>Maria Lopez</t>
        </is>
      </c>
      <c r="J6" s="98">
        <f>IF(A6="","",IF(AND(F6&lt;&gt;"",G6&lt;&gt;""),MAX(0,G6-F6),N(H6)))</f>
        <v/>
      </c>
      <c r="K6" s="55">
        <f>IF(A6="","",ROUND(J6*MileRate,2))</f>
        <v/>
      </c>
      <c r="L6" s="51">
        <f>IF(A6="","",DATE(YEAR(A6),MONTH(A6),1))</f>
        <v/>
      </c>
    </row>
    <row r="7">
      <c r="A7" s="47" t="n">
        <v>46038</v>
      </c>
      <c r="B7" s="38" t="inlineStr">
        <is>
          <t>J-0003</t>
        </is>
      </c>
      <c r="C7" s="38" t="inlineStr">
        <is>
          <t>Job: Standard Clean</t>
        </is>
      </c>
      <c r="D7" s="38" t="inlineStr">
        <is>
          <t>Home base</t>
        </is>
      </c>
      <c r="E7" s="38" t="inlineStr">
        <is>
          <t>84 Hawthorn Road</t>
        </is>
      </c>
      <c r="F7" s="128" t="n"/>
      <c r="G7" s="128" t="n"/>
      <c r="H7" s="129" t="n">
        <v>16.3</v>
      </c>
      <c r="I7" s="38" t="inlineStr">
        <is>
          <t>Dana Whitfield</t>
        </is>
      </c>
      <c r="J7" s="98">
        <f>IF(A7="","",IF(AND(F7&lt;&gt;"",G7&lt;&gt;""),MAX(0,G7-F7),N(H7)))</f>
        <v/>
      </c>
      <c r="K7" s="55">
        <f>IF(A7="","",ROUND(J7*MileRate,2))</f>
        <v/>
      </c>
      <c r="L7" s="51">
        <f>IF(A7="","",DATE(YEAR(A7),MONTH(A7),1))</f>
        <v/>
      </c>
    </row>
    <row r="8">
      <c r="A8" s="47" t="n">
        <v>46042</v>
      </c>
      <c r="B8" s="38" t="n"/>
      <c r="C8" s="38" t="inlineStr">
        <is>
          <t>Supply run</t>
        </is>
      </c>
      <c r="D8" s="38" t="inlineStr">
        <is>
          <t>Home base</t>
        </is>
      </c>
      <c r="E8" s="38" t="inlineStr">
        <is>
          <t>Supply store</t>
        </is>
      </c>
      <c r="F8" s="128" t="n"/>
      <c r="G8" s="128" t="n"/>
      <c r="H8" s="129" t="n">
        <v>11.5</v>
      </c>
      <c r="I8" s="38" t="inlineStr">
        <is>
          <t>Jordan Rivera</t>
        </is>
      </c>
      <c r="J8" s="98">
        <f>IF(A8="","",IF(AND(F8&lt;&gt;"",G8&lt;&gt;""),MAX(0,G8-F8),N(H8)))</f>
        <v/>
      </c>
      <c r="K8" s="55">
        <f>IF(A8="","",ROUND(J8*MileRate,2))</f>
        <v/>
      </c>
      <c r="L8" s="51">
        <f>IF(A8="","",DATE(YEAR(A8),MONTH(A8),1))</f>
        <v/>
      </c>
    </row>
    <row r="9">
      <c r="A9" s="47" t="n">
        <v>46043</v>
      </c>
      <c r="B9" s="38" t="inlineStr">
        <is>
          <t>J-0004</t>
        </is>
      </c>
      <c r="C9" s="38" t="inlineStr">
        <is>
          <t>Job: Airbnb Turnover</t>
        </is>
      </c>
      <c r="D9" s="38" t="inlineStr">
        <is>
          <t>Home base</t>
        </is>
      </c>
      <c r="E9" s="38" t="inlineStr">
        <is>
          <t>666 Juniper Street</t>
        </is>
      </c>
      <c r="F9" s="128" t="n"/>
      <c r="G9" s="128" t="n"/>
      <c r="H9" s="129" t="n">
        <v>6.4</v>
      </c>
      <c r="I9" s="38" t="inlineStr">
        <is>
          <t>Kevin Osei</t>
        </is>
      </c>
      <c r="J9" s="98">
        <f>IF(A9="","",IF(AND(F9&lt;&gt;"",G9&lt;&gt;""),MAX(0,G9-F9),N(H9)))</f>
        <v/>
      </c>
      <c r="K9" s="55">
        <f>IF(A9="","",ROUND(J9*MileRate,2))</f>
        <v/>
      </c>
      <c r="L9" s="51">
        <f>IF(A9="","",DATE(YEAR(A9),MONTH(A9),1))</f>
        <v/>
      </c>
    </row>
    <row r="10">
      <c r="A10" s="47" t="n">
        <v>46043</v>
      </c>
      <c r="B10" s="38" t="inlineStr">
        <is>
          <t>J-0005</t>
        </is>
      </c>
      <c r="C10" s="38" t="inlineStr">
        <is>
          <t>Job: Standard Clean</t>
        </is>
      </c>
      <c r="D10" s="38" t="inlineStr">
        <is>
          <t>Home base</t>
        </is>
      </c>
      <c r="E10" s="38" t="inlineStr">
        <is>
          <t>102 Hawthorn Road</t>
        </is>
      </c>
      <c r="F10" s="128" t="n"/>
      <c r="G10" s="128" t="n"/>
      <c r="H10" s="129" t="n">
        <v>7.2</v>
      </c>
      <c r="I10" s="38" t="inlineStr">
        <is>
          <t>Dana Whitfield</t>
        </is>
      </c>
      <c r="J10" s="98">
        <f>IF(A10="","",IF(AND(F10&lt;&gt;"",G10&lt;&gt;""),MAX(0,G10-F10),N(H10)))</f>
        <v/>
      </c>
      <c r="K10" s="55">
        <f>IF(A10="","",ROUND(J10*MileRate,2))</f>
        <v/>
      </c>
      <c r="L10" s="51">
        <f>IF(A10="","",DATE(YEAR(A10),MONTH(A10),1))</f>
        <v/>
      </c>
    </row>
    <row r="11">
      <c r="A11" s="47" t="n">
        <v>46047</v>
      </c>
      <c r="B11" s="38" t="inlineStr">
        <is>
          <t>J-0007</t>
        </is>
      </c>
      <c r="C11" s="38" t="inlineStr">
        <is>
          <t>Job: Airbnb Turnover</t>
        </is>
      </c>
      <c r="D11" s="38" t="inlineStr">
        <is>
          <t>Home base</t>
        </is>
      </c>
      <c r="E11" s="38" t="inlineStr">
        <is>
          <t>192 Birch Lane</t>
        </is>
      </c>
      <c r="F11" s="128" t="n"/>
      <c r="G11" s="128" t="n"/>
      <c r="H11" s="129" t="n">
        <v>19.3</v>
      </c>
      <c r="I11" s="38" t="inlineStr">
        <is>
          <t>Kevin Osei</t>
        </is>
      </c>
      <c r="J11" s="98">
        <f>IF(A11="","",IF(AND(F11&lt;&gt;"",G11&lt;&gt;""),MAX(0,G11-F11),N(H11)))</f>
        <v/>
      </c>
      <c r="K11" s="55">
        <f>IF(A11="","",ROUND(J11*MileRate,2))</f>
        <v/>
      </c>
      <c r="L11" s="51">
        <f>IF(A11="","",DATE(YEAR(A11),MONTH(A11),1))</f>
        <v/>
      </c>
    </row>
    <row r="12">
      <c r="A12" s="47" t="n">
        <v>46048</v>
      </c>
      <c r="B12" s="38" t="inlineStr">
        <is>
          <t>J-0008</t>
        </is>
      </c>
      <c r="C12" s="38" t="inlineStr">
        <is>
          <t>Job: Deep Clean</t>
        </is>
      </c>
      <c r="D12" s="38" t="inlineStr">
        <is>
          <t>Home base</t>
        </is>
      </c>
      <c r="E12" s="38" t="inlineStr">
        <is>
          <t>667 Willow Way</t>
        </is>
      </c>
      <c r="F12" s="128" t="n"/>
      <c r="G12" s="128" t="n"/>
      <c r="H12" s="129" t="n">
        <v>6.6</v>
      </c>
      <c r="I12" s="38" t="inlineStr">
        <is>
          <t>Maria Lopez</t>
        </is>
      </c>
      <c r="J12" s="98">
        <f>IF(A12="","",IF(AND(F12&lt;&gt;"",G12&lt;&gt;""),MAX(0,G12-F12),N(H12)))</f>
        <v/>
      </c>
      <c r="K12" s="55">
        <f>IF(A12="","",ROUND(J12*MileRate,2))</f>
        <v/>
      </c>
      <c r="L12" s="51">
        <f>IF(A12="","",DATE(YEAR(A12),MONTH(A12),1))</f>
        <v/>
      </c>
    </row>
    <row r="13">
      <c r="A13" s="47" t="n">
        <v>46049</v>
      </c>
      <c r="B13" s="38" t="inlineStr">
        <is>
          <t>J-0009</t>
        </is>
      </c>
      <c r="C13" s="38" t="inlineStr">
        <is>
          <t>Job: Airbnb Turnover</t>
        </is>
      </c>
      <c r="D13" s="38" t="inlineStr">
        <is>
          <t>Home base</t>
        </is>
      </c>
      <c r="E13" s="38" t="inlineStr">
        <is>
          <t>412 Linden Place</t>
        </is>
      </c>
      <c r="F13" s="128" t="n"/>
      <c r="G13" s="128" t="n"/>
      <c r="H13" s="129" t="n">
        <v>7.7</v>
      </c>
      <c r="I13" s="38" t="inlineStr">
        <is>
          <t>Kevin Osei</t>
        </is>
      </c>
      <c r="J13" s="98">
        <f>IF(A13="","",IF(AND(F13&lt;&gt;"",G13&lt;&gt;""),MAX(0,G13-F13),N(H13)))</f>
        <v/>
      </c>
      <c r="K13" s="55">
        <f>IF(A13="","",ROUND(J13*MileRate,2))</f>
        <v/>
      </c>
      <c r="L13" s="51">
        <f>IF(A13="","",DATE(YEAR(A13),MONTH(A13),1))</f>
        <v/>
      </c>
    </row>
    <row r="14">
      <c r="A14" s="47" t="n">
        <v>46049</v>
      </c>
      <c r="B14" s="38" t="inlineStr">
        <is>
          <t>J-0010</t>
        </is>
      </c>
      <c r="C14" s="38" t="inlineStr">
        <is>
          <t>Job: Deep Clean</t>
        </is>
      </c>
      <c r="D14" s="38" t="inlineStr">
        <is>
          <t>Home base</t>
        </is>
      </c>
      <c r="E14" s="38" t="inlineStr">
        <is>
          <t>497 Aspen Drive</t>
        </is>
      </c>
      <c r="F14" s="128" t="n"/>
      <c r="G14" s="128" t="n"/>
      <c r="H14" s="129" t="n">
        <v>15.1</v>
      </c>
      <c r="I14" s="38" t="inlineStr">
        <is>
          <t>Maria Lopez</t>
        </is>
      </c>
      <c r="J14" s="98">
        <f>IF(A14="","",IF(AND(F14&lt;&gt;"",G14&lt;&gt;""),MAX(0,G14-F14),N(H14)))</f>
        <v/>
      </c>
      <c r="K14" s="55">
        <f>IF(A14="","",ROUND(J14*MileRate,2))</f>
        <v/>
      </c>
      <c r="L14" s="51">
        <f>IF(A14="","",DATE(YEAR(A14),MONTH(A14),1))</f>
        <v/>
      </c>
    </row>
    <row r="15">
      <c r="A15" s="47" t="n">
        <v>46053</v>
      </c>
      <c r="B15" s="38" t="inlineStr">
        <is>
          <t>J-0011</t>
        </is>
      </c>
      <c r="C15" s="38" t="inlineStr">
        <is>
          <t>Job: Deep Clean</t>
        </is>
      </c>
      <c r="D15" s="38" t="inlineStr">
        <is>
          <t>Home base</t>
        </is>
      </c>
      <c r="E15" s="38" t="inlineStr">
        <is>
          <t>685 Alder Lane</t>
        </is>
      </c>
      <c r="F15" s="128" t="n"/>
      <c r="G15" s="128" t="n"/>
      <c r="H15" s="129" t="n">
        <v>6.8</v>
      </c>
      <c r="I15" s="38" t="inlineStr">
        <is>
          <t>Maria Lopez</t>
        </is>
      </c>
      <c r="J15" s="98">
        <f>IF(A15="","",IF(AND(F15&lt;&gt;"",G15&lt;&gt;""),MAX(0,G15-F15),N(H15)))</f>
        <v/>
      </c>
      <c r="K15" s="55">
        <f>IF(A15="","",ROUND(J15*MileRate,2))</f>
        <v/>
      </c>
      <c r="L15" s="51">
        <f>IF(A15="","",DATE(YEAR(A15),MONTH(A15),1))</f>
        <v/>
      </c>
    </row>
    <row r="16">
      <c r="A16" s="47" t="n">
        <v>46054</v>
      </c>
      <c r="B16" s="38" t="inlineStr">
        <is>
          <t>J-0012</t>
        </is>
      </c>
      <c r="C16" s="38" t="inlineStr">
        <is>
          <t>Job: Airbnb Turnover</t>
        </is>
      </c>
      <c r="D16" s="38" t="inlineStr">
        <is>
          <t>Home base</t>
        </is>
      </c>
      <c r="E16" s="38" t="inlineStr">
        <is>
          <t>654 Willow Way</t>
        </is>
      </c>
      <c r="F16" s="128" t="n"/>
      <c r="G16" s="128" t="n"/>
      <c r="H16" s="129" t="n">
        <v>8.5</v>
      </c>
      <c r="I16" s="38" t="inlineStr">
        <is>
          <t>Kevin Osei</t>
        </is>
      </c>
      <c r="J16" s="98">
        <f>IF(A16="","",IF(AND(F16&lt;&gt;"",G16&lt;&gt;""),MAX(0,G16-F16),N(H16)))</f>
        <v/>
      </c>
      <c r="K16" s="55">
        <f>IF(A16="","",ROUND(J16*MileRate,2))</f>
        <v/>
      </c>
      <c r="L16" s="51">
        <f>IF(A16="","",DATE(YEAR(A16),MONTH(A16),1))</f>
        <v/>
      </c>
    </row>
    <row r="17">
      <c r="A17" s="47" t="n">
        <v>46055</v>
      </c>
      <c r="B17" s="38" t="inlineStr">
        <is>
          <t>J-0013</t>
        </is>
      </c>
      <c r="C17" s="38" t="inlineStr">
        <is>
          <t>Job: Standard Clean</t>
        </is>
      </c>
      <c r="D17" s="38" t="inlineStr">
        <is>
          <t>Home base</t>
        </is>
      </c>
      <c r="E17" s="38" t="inlineStr">
        <is>
          <t>667 Willow Way</t>
        </is>
      </c>
      <c r="F17" s="128" t="n">
        <v>52686</v>
      </c>
      <c r="G17" s="128" t="n">
        <v>52693</v>
      </c>
      <c r="H17" s="129" t="n"/>
      <c r="I17" s="38" t="inlineStr">
        <is>
          <t>Maria Lopez</t>
        </is>
      </c>
      <c r="J17" s="98">
        <f>IF(A17="","",IF(AND(F17&lt;&gt;"",G17&lt;&gt;""),MAX(0,G17-F17),N(H17)))</f>
        <v/>
      </c>
      <c r="K17" s="55">
        <f>IF(A17="","",ROUND(J17*MileRate,2))</f>
        <v/>
      </c>
      <c r="L17" s="51">
        <f>IF(A17="","",DATE(YEAR(A17),MONTH(A17),1))</f>
        <v/>
      </c>
    </row>
    <row r="18">
      <c r="A18" s="47" t="n">
        <v>46056</v>
      </c>
      <c r="B18" s="38" t="inlineStr">
        <is>
          <t>J-0014</t>
        </is>
      </c>
      <c r="C18" s="38" t="inlineStr">
        <is>
          <t>Job: Standard Clean</t>
        </is>
      </c>
      <c r="D18" s="38" t="inlineStr">
        <is>
          <t>Home base</t>
        </is>
      </c>
      <c r="E18" s="38" t="inlineStr">
        <is>
          <t>497 Aspen Drive</t>
        </is>
      </c>
      <c r="F18" s="128" t="n"/>
      <c r="G18" s="128" t="n"/>
      <c r="H18" s="129" t="n">
        <v>24</v>
      </c>
      <c r="I18" s="38" t="inlineStr">
        <is>
          <t>Maria Lopez</t>
        </is>
      </c>
      <c r="J18" s="98">
        <f>IF(A18="","",IF(AND(F18&lt;&gt;"",G18&lt;&gt;""),MAX(0,G18-F18),N(H18)))</f>
        <v/>
      </c>
      <c r="K18" s="55">
        <f>IF(A18="","",ROUND(J18*MileRate,2))</f>
        <v/>
      </c>
      <c r="L18" s="51">
        <f>IF(A18="","",DATE(YEAR(A18),MONTH(A18),1))</f>
        <v/>
      </c>
    </row>
    <row r="19">
      <c r="A19" s="47" t="n">
        <v>46059</v>
      </c>
      <c r="B19" s="38" t="inlineStr">
        <is>
          <t>J-0015</t>
        </is>
      </c>
      <c r="C19" s="38" t="inlineStr">
        <is>
          <t>Job: Commercial Clean</t>
        </is>
      </c>
      <c r="D19" s="38" t="inlineStr">
        <is>
          <t>Home base</t>
        </is>
      </c>
      <c r="E19" s="38" t="inlineStr">
        <is>
          <t>738 Cedar Court</t>
        </is>
      </c>
      <c r="F19" s="128" t="n"/>
      <c r="G19" s="128" t="n"/>
      <c r="H19" s="129" t="n">
        <v>18.1</v>
      </c>
      <c r="I19" s="38" t="inlineStr">
        <is>
          <t>Kevin Osei</t>
        </is>
      </c>
      <c r="J19" s="98">
        <f>IF(A19="","",IF(AND(F19&lt;&gt;"",G19&lt;&gt;""),MAX(0,G19-F19),N(H19)))</f>
        <v/>
      </c>
      <c r="K19" s="55">
        <f>IF(A19="","",ROUND(J19*MileRate,2))</f>
        <v/>
      </c>
      <c r="L19" s="51">
        <f>IF(A19="","",DATE(YEAR(A19),MONTH(A19),1))</f>
        <v/>
      </c>
    </row>
    <row r="20">
      <c r="A20" s="47" t="n">
        <v>46060</v>
      </c>
      <c r="B20" s="38" t="inlineStr">
        <is>
          <t>J-0016</t>
        </is>
      </c>
      <c r="C20" s="38" t="inlineStr">
        <is>
          <t>Job: Airbnb Turnover</t>
        </is>
      </c>
      <c r="D20" s="38" t="inlineStr">
        <is>
          <t>Home base</t>
        </is>
      </c>
      <c r="E20" s="38" t="inlineStr">
        <is>
          <t>666 Juniper Street</t>
        </is>
      </c>
      <c r="F20" s="128" t="n"/>
      <c r="G20" s="128" t="n"/>
      <c r="H20" s="129" t="n">
        <v>23.9</v>
      </c>
      <c r="I20" s="38" t="inlineStr">
        <is>
          <t>Kevin Osei</t>
        </is>
      </c>
      <c r="J20" s="98">
        <f>IF(A20="","",IF(AND(F20&lt;&gt;"",G20&lt;&gt;""),MAX(0,G20-F20),N(H20)))</f>
        <v/>
      </c>
      <c r="K20" s="55">
        <f>IF(A20="","",ROUND(J20*MileRate,2))</f>
        <v/>
      </c>
      <c r="L20" s="51">
        <f>IF(A20="","",DATE(YEAR(A20),MONTH(A20),1))</f>
        <v/>
      </c>
    </row>
    <row r="21">
      <c r="A21" s="47" t="n">
        <v>46063</v>
      </c>
      <c r="B21" s="38" t="inlineStr">
        <is>
          <t>J-0017</t>
        </is>
      </c>
      <c r="C21" s="38" t="inlineStr">
        <is>
          <t>Job: Standard Clean</t>
        </is>
      </c>
      <c r="D21" s="38" t="inlineStr">
        <is>
          <t>Home base</t>
        </is>
      </c>
      <c r="E21" s="38" t="inlineStr">
        <is>
          <t>497 Aspen Drive</t>
        </is>
      </c>
      <c r="F21" s="128" t="n"/>
      <c r="G21" s="128" t="n"/>
      <c r="H21" s="129" t="n">
        <v>22.3</v>
      </c>
      <c r="I21" s="38" t="inlineStr">
        <is>
          <t>Maria Lopez</t>
        </is>
      </c>
      <c r="J21" s="98">
        <f>IF(A21="","",IF(AND(F21&lt;&gt;"",G21&lt;&gt;""),MAX(0,G21-F21),N(H21)))</f>
        <v/>
      </c>
      <c r="K21" s="55">
        <f>IF(A21="","",ROUND(J21*MileRate,2))</f>
        <v/>
      </c>
      <c r="L21" s="51">
        <f>IF(A21="","",DATE(YEAR(A21),MONTH(A21),1))</f>
        <v/>
      </c>
    </row>
    <row r="22">
      <c r="A22" s="47" t="n">
        <v>46065</v>
      </c>
      <c r="B22" s="38" t="inlineStr">
        <is>
          <t>J-0018</t>
        </is>
      </c>
      <c r="C22" s="38" t="inlineStr">
        <is>
          <t>Job: Airbnb Turnover</t>
        </is>
      </c>
      <c r="D22" s="38" t="inlineStr">
        <is>
          <t>Home base</t>
        </is>
      </c>
      <c r="E22" s="38" t="inlineStr">
        <is>
          <t>192 Birch Lane</t>
        </is>
      </c>
      <c r="F22" s="128" t="n">
        <v>40453</v>
      </c>
      <c r="G22" s="128" t="n">
        <v>40476</v>
      </c>
      <c r="H22" s="129" t="n"/>
      <c r="I22" s="38" t="inlineStr">
        <is>
          <t>Kevin Osei</t>
        </is>
      </c>
      <c r="J22" s="98">
        <f>IF(A22="","",IF(AND(F22&lt;&gt;"",G22&lt;&gt;""),MAX(0,G22-F22),N(H22)))</f>
        <v/>
      </c>
      <c r="K22" s="55">
        <f>IF(A22="","",ROUND(J22*MileRate,2))</f>
        <v/>
      </c>
      <c r="L22" s="51">
        <f>IF(A22="","",DATE(YEAR(A22),MONTH(A22),1))</f>
        <v/>
      </c>
    </row>
    <row r="23">
      <c r="A23" s="47" t="n">
        <v>46066</v>
      </c>
      <c r="B23" s="38" t="inlineStr">
        <is>
          <t>J-0019</t>
        </is>
      </c>
      <c r="C23" s="38" t="inlineStr">
        <is>
          <t>Job: Standard Clean</t>
        </is>
      </c>
      <c r="D23" s="38" t="inlineStr">
        <is>
          <t>Home base</t>
        </is>
      </c>
      <c r="E23" s="38" t="inlineStr">
        <is>
          <t>84 Hawthorn Road</t>
        </is>
      </c>
      <c r="F23" s="128" t="n">
        <v>42133</v>
      </c>
      <c r="G23" s="128" t="n">
        <v>42139</v>
      </c>
      <c r="H23" s="129" t="n"/>
      <c r="I23" s="38" t="inlineStr">
        <is>
          <t>Dana Whitfield</t>
        </is>
      </c>
      <c r="J23" s="98">
        <f>IF(A23="","",IF(AND(F23&lt;&gt;"",G23&lt;&gt;""),MAX(0,G23-F23),N(H23)))</f>
        <v/>
      </c>
      <c r="K23" s="55">
        <f>IF(A23="","",ROUND(J23*MileRate,2))</f>
        <v/>
      </c>
      <c r="L23" s="51">
        <f>IF(A23="","",DATE(YEAR(A23),MONTH(A23),1))</f>
        <v/>
      </c>
    </row>
    <row r="24">
      <c r="A24" s="47" t="n">
        <v>46066</v>
      </c>
      <c r="B24" s="38" t="inlineStr">
        <is>
          <t>J-0020</t>
        </is>
      </c>
      <c r="C24" s="38" t="inlineStr">
        <is>
          <t>Job: Commercial Clean</t>
        </is>
      </c>
      <c r="D24" s="38" t="inlineStr">
        <is>
          <t>Home base</t>
        </is>
      </c>
      <c r="E24" s="38" t="inlineStr">
        <is>
          <t>738 Cedar Court</t>
        </is>
      </c>
      <c r="F24" s="128" t="n"/>
      <c r="G24" s="128" t="n"/>
      <c r="H24" s="129" t="n">
        <v>13.6</v>
      </c>
      <c r="I24" s="38" t="inlineStr">
        <is>
          <t>Kevin Osei</t>
        </is>
      </c>
      <c r="J24" s="98">
        <f>IF(A24="","",IF(AND(F24&lt;&gt;"",G24&lt;&gt;""),MAX(0,G24-F24),N(H24)))</f>
        <v/>
      </c>
      <c r="K24" s="55">
        <f>IF(A24="","",ROUND(J24*MileRate,2))</f>
        <v/>
      </c>
      <c r="L24" s="51">
        <f>IF(A24="","",DATE(YEAR(A24),MONTH(A24),1))</f>
        <v/>
      </c>
    </row>
    <row r="25">
      <c r="A25" s="47" t="n">
        <v>46067</v>
      </c>
      <c r="B25" s="38" t="inlineStr">
        <is>
          <t>J-0021</t>
        </is>
      </c>
      <c r="C25" s="38" t="inlineStr">
        <is>
          <t>Job: Airbnb Turnover</t>
        </is>
      </c>
      <c r="D25" s="38" t="inlineStr">
        <is>
          <t>Home base</t>
        </is>
      </c>
      <c r="E25" s="38" t="inlineStr">
        <is>
          <t>412 Linden Place</t>
        </is>
      </c>
      <c r="F25" s="128" t="n"/>
      <c r="G25" s="128" t="n"/>
      <c r="H25" s="129" t="n">
        <v>7.2</v>
      </c>
      <c r="I25" s="38" t="inlineStr">
        <is>
          <t>Kevin Osei</t>
        </is>
      </c>
      <c r="J25" s="98">
        <f>IF(A25="","",IF(AND(F25&lt;&gt;"",G25&lt;&gt;""),MAX(0,G25-F25),N(H25)))</f>
        <v/>
      </c>
      <c r="K25" s="55">
        <f>IF(A25="","",ROUND(J25*MileRate,2))</f>
        <v/>
      </c>
      <c r="L25" s="51">
        <f>IF(A25="","",DATE(YEAR(A25),MONTH(A25),1))</f>
        <v/>
      </c>
    </row>
    <row r="26">
      <c r="A26" s="47" t="n">
        <v>46069</v>
      </c>
      <c r="B26" s="38" t="inlineStr">
        <is>
          <t>J-0022</t>
        </is>
      </c>
      <c r="C26" s="38" t="inlineStr">
        <is>
          <t>Job: Airbnb Turnover</t>
        </is>
      </c>
      <c r="D26" s="38" t="inlineStr">
        <is>
          <t>Home base</t>
        </is>
      </c>
      <c r="E26" s="38" t="inlineStr">
        <is>
          <t>666 Juniper Street</t>
        </is>
      </c>
      <c r="F26" s="128" t="n"/>
      <c r="G26" s="128" t="n"/>
      <c r="H26" s="129" t="n">
        <v>14.9</v>
      </c>
      <c r="I26" s="38" t="inlineStr">
        <is>
          <t>Kevin Osei</t>
        </is>
      </c>
      <c r="J26" s="98">
        <f>IF(A26="","",IF(AND(F26&lt;&gt;"",G26&lt;&gt;""),MAX(0,G26-F26),N(H26)))</f>
        <v/>
      </c>
      <c r="K26" s="55">
        <f>IF(A26="","",ROUND(J26*MileRate,2))</f>
        <v/>
      </c>
      <c r="L26" s="51">
        <f>IF(A26="","",DATE(YEAR(A26),MONTH(A26),1))</f>
        <v/>
      </c>
    </row>
    <row r="27">
      <c r="A27" s="47" t="n">
        <v>46070</v>
      </c>
      <c r="B27" s="38" t="inlineStr">
        <is>
          <t>J-0023</t>
        </is>
      </c>
      <c r="C27" s="38" t="inlineStr">
        <is>
          <t>Job: Standard Clean</t>
        </is>
      </c>
      <c r="D27" s="38" t="inlineStr">
        <is>
          <t>Home base</t>
        </is>
      </c>
      <c r="E27" s="38" t="inlineStr">
        <is>
          <t>497 Aspen Drive</t>
        </is>
      </c>
      <c r="F27" s="128" t="n">
        <v>44465</v>
      </c>
      <c r="G27" s="128" t="n">
        <v>44476</v>
      </c>
      <c r="H27" s="129" t="n"/>
      <c r="I27" s="38" t="inlineStr">
        <is>
          <t>Maria Lopez</t>
        </is>
      </c>
      <c r="J27" s="98">
        <f>IF(A27="","",IF(AND(F27&lt;&gt;"",G27&lt;&gt;""),MAX(0,G27-F27),N(H27)))</f>
        <v/>
      </c>
      <c r="K27" s="55">
        <f>IF(A27="","",ROUND(J27*MileRate,2))</f>
        <v/>
      </c>
      <c r="L27" s="51">
        <f>IF(A27="","",DATE(YEAR(A27),MONTH(A27),1))</f>
        <v/>
      </c>
    </row>
    <row r="28">
      <c r="A28" s="47" t="n">
        <v>46071</v>
      </c>
      <c r="B28" s="38" t="inlineStr">
        <is>
          <t>J-0024</t>
        </is>
      </c>
      <c r="C28" s="38" t="inlineStr">
        <is>
          <t>Job: Airbnb Turnover</t>
        </is>
      </c>
      <c r="D28" s="38" t="inlineStr">
        <is>
          <t>Home base</t>
        </is>
      </c>
      <c r="E28" s="38" t="inlineStr">
        <is>
          <t>654 Willow Way</t>
        </is>
      </c>
      <c r="F28" s="128" t="n"/>
      <c r="G28" s="128" t="n"/>
      <c r="H28" s="129" t="n">
        <v>8.6</v>
      </c>
      <c r="I28" s="38" t="inlineStr">
        <is>
          <t>Kevin Osei</t>
        </is>
      </c>
      <c r="J28" s="98">
        <f>IF(A28="","",IF(AND(F28&lt;&gt;"",G28&lt;&gt;""),MAX(0,G28-F28),N(H28)))</f>
        <v/>
      </c>
      <c r="K28" s="55">
        <f>IF(A28="","",ROUND(J28*MileRate,2))</f>
        <v/>
      </c>
      <c r="L28" s="51">
        <f>IF(A28="","",DATE(YEAR(A28),MONTH(A28),1))</f>
        <v/>
      </c>
    </row>
    <row r="29">
      <c r="A29" s="47" t="n">
        <v>46073</v>
      </c>
      <c r="B29" s="38" t="inlineStr">
        <is>
          <t>J-0025</t>
        </is>
      </c>
      <c r="C29" s="38" t="inlineStr">
        <is>
          <t>Job: Commercial Clean</t>
        </is>
      </c>
      <c r="D29" s="38" t="inlineStr">
        <is>
          <t>Home base</t>
        </is>
      </c>
      <c r="E29" s="38" t="inlineStr">
        <is>
          <t>738 Cedar Court</t>
        </is>
      </c>
      <c r="F29" s="128" t="n"/>
      <c r="G29" s="128" t="n"/>
      <c r="H29" s="129" t="n">
        <v>23</v>
      </c>
      <c r="I29" s="38" t="inlineStr">
        <is>
          <t>Kevin Osei</t>
        </is>
      </c>
      <c r="J29" s="98">
        <f>IF(A29="","",IF(AND(F29&lt;&gt;"",G29&lt;&gt;""),MAX(0,G29-F29),N(H29)))</f>
        <v/>
      </c>
      <c r="K29" s="55">
        <f>IF(A29="","",ROUND(J29*MileRate,2))</f>
        <v/>
      </c>
      <c r="L29" s="51">
        <f>IF(A29="","",DATE(YEAR(A29),MONTH(A29),1))</f>
        <v/>
      </c>
    </row>
    <row r="30">
      <c r="A30" s="47" t="n">
        <v>46073</v>
      </c>
      <c r="B30" s="38" t="n"/>
      <c r="C30" s="38" t="inlineStr">
        <is>
          <t>Supply run</t>
        </is>
      </c>
      <c r="D30" s="38" t="inlineStr">
        <is>
          <t>Home base</t>
        </is>
      </c>
      <c r="E30" s="38" t="inlineStr">
        <is>
          <t>Supply store</t>
        </is>
      </c>
      <c r="F30" s="128" t="n"/>
      <c r="G30" s="128" t="n"/>
      <c r="H30" s="129" t="n">
        <v>11.5</v>
      </c>
      <c r="I30" s="38" t="inlineStr">
        <is>
          <t>Jordan Rivera</t>
        </is>
      </c>
      <c r="J30" s="98">
        <f>IF(A30="","",IF(AND(F30&lt;&gt;"",G30&lt;&gt;""),MAX(0,G30-F30),N(H30)))</f>
        <v/>
      </c>
      <c r="K30" s="55">
        <f>IF(A30="","",ROUND(J30*MileRate,2))</f>
        <v/>
      </c>
      <c r="L30" s="51">
        <f>IF(A30="","",DATE(YEAR(A30),MONTH(A30),1))</f>
        <v/>
      </c>
    </row>
    <row r="31">
      <c r="A31" s="47" t="n">
        <v>46074</v>
      </c>
      <c r="B31" s="38" t="inlineStr">
        <is>
          <t>J-0026</t>
        </is>
      </c>
      <c r="C31" s="38" t="inlineStr">
        <is>
          <t>Job: Standard Clean</t>
        </is>
      </c>
      <c r="D31" s="38" t="inlineStr">
        <is>
          <t>Home base</t>
        </is>
      </c>
      <c r="E31" s="38" t="inlineStr">
        <is>
          <t>102 Hawthorn Road</t>
        </is>
      </c>
      <c r="F31" s="128" t="n"/>
      <c r="G31" s="128" t="n"/>
      <c r="H31" s="129" t="n">
        <v>8.4</v>
      </c>
      <c r="I31" s="38" t="inlineStr">
        <is>
          <t>Dana Whitfield</t>
        </is>
      </c>
      <c r="J31" s="98">
        <f>IF(A31="","",IF(AND(F31&lt;&gt;"",G31&lt;&gt;""),MAX(0,G31-F31),N(H31)))</f>
        <v/>
      </c>
      <c r="K31" s="55">
        <f>IF(A31="","",ROUND(J31*MileRate,2))</f>
        <v/>
      </c>
      <c r="L31" s="51">
        <f>IF(A31="","",DATE(YEAR(A31),MONTH(A31),1))</f>
        <v/>
      </c>
    </row>
    <row r="32">
      <c r="A32" s="47" t="n">
        <v>46077</v>
      </c>
      <c r="B32" s="38" t="inlineStr">
        <is>
          <t>J-0027</t>
        </is>
      </c>
      <c r="C32" s="38" t="inlineStr">
        <is>
          <t>Job: Standard Clean</t>
        </is>
      </c>
      <c r="D32" s="38" t="inlineStr">
        <is>
          <t>Home base</t>
        </is>
      </c>
      <c r="E32" s="38" t="inlineStr">
        <is>
          <t>497 Aspen Drive</t>
        </is>
      </c>
      <c r="F32" s="128" t="n"/>
      <c r="G32" s="128" t="n"/>
      <c r="H32" s="129" t="n">
        <v>21.9</v>
      </c>
      <c r="I32" s="38" t="inlineStr">
        <is>
          <t>Maria Lopez</t>
        </is>
      </c>
      <c r="J32" s="98">
        <f>IF(A32="","",IF(AND(F32&lt;&gt;"",G32&lt;&gt;""),MAX(0,G32-F32),N(H32)))</f>
        <v/>
      </c>
      <c r="K32" s="55">
        <f>IF(A32="","",ROUND(J32*MileRate,2))</f>
        <v/>
      </c>
      <c r="L32" s="51">
        <f>IF(A32="","",DATE(YEAR(A32),MONTH(A32),1))</f>
        <v/>
      </c>
    </row>
    <row r="33">
      <c r="A33" s="47" t="n">
        <v>46080</v>
      </c>
      <c r="B33" s="38" t="inlineStr">
        <is>
          <t>J-0028</t>
        </is>
      </c>
      <c r="C33" s="38" t="inlineStr">
        <is>
          <t>Job: Commercial Clean</t>
        </is>
      </c>
      <c r="D33" s="38" t="inlineStr">
        <is>
          <t>Home base</t>
        </is>
      </c>
      <c r="E33" s="38" t="inlineStr">
        <is>
          <t>738 Cedar Court</t>
        </is>
      </c>
      <c r="F33" s="128" t="n"/>
      <c r="G33" s="128" t="n"/>
      <c r="H33" s="129" t="n">
        <v>23.1</v>
      </c>
      <c r="I33" s="38" t="inlineStr">
        <is>
          <t>Kevin Osei</t>
        </is>
      </c>
      <c r="J33" s="98">
        <f>IF(A33="","",IF(AND(F33&lt;&gt;"",G33&lt;&gt;""),MAX(0,G33-F33),N(H33)))</f>
        <v/>
      </c>
      <c r="K33" s="55">
        <f>IF(A33="","",ROUND(J33*MileRate,2))</f>
        <v/>
      </c>
      <c r="L33" s="51">
        <f>IF(A33="","",DATE(YEAR(A33),MONTH(A33),1))</f>
        <v/>
      </c>
    </row>
    <row r="34">
      <c r="A34" s="47" t="n">
        <v>46080</v>
      </c>
      <c r="B34" s="38" t="inlineStr">
        <is>
          <t>J-0029</t>
        </is>
      </c>
      <c r="C34" s="38" t="inlineStr">
        <is>
          <t>Job: Airbnb Turnover</t>
        </is>
      </c>
      <c r="D34" s="38" t="inlineStr">
        <is>
          <t>Home base</t>
        </is>
      </c>
      <c r="E34" s="38" t="inlineStr">
        <is>
          <t>654 Willow Way</t>
        </is>
      </c>
      <c r="F34" s="128" t="n">
        <v>48945</v>
      </c>
      <c r="G34" s="128" t="n">
        <v>48957</v>
      </c>
      <c r="H34" s="129" t="n"/>
      <c r="I34" s="38" t="inlineStr">
        <is>
          <t>Kevin Osei</t>
        </is>
      </c>
      <c r="J34" s="98">
        <f>IF(A34="","",IF(AND(F34&lt;&gt;"",G34&lt;&gt;""),MAX(0,G34-F34),N(H34)))</f>
        <v/>
      </c>
      <c r="K34" s="55">
        <f>IF(A34="","",ROUND(J34*MileRate,2))</f>
        <v/>
      </c>
      <c r="L34" s="51">
        <f>IF(A34="","",DATE(YEAR(A34),MONTH(A34),1))</f>
        <v/>
      </c>
    </row>
    <row r="35">
      <c r="A35" s="47" t="n">
        <v>46080</v>
      </c>
      <c r="B35" s="38" t="inlineStr">
        <is>
          <t>J-0030</t>
        </is>
      </c>
      <c r="C35" s="38" t="inlineStr">
        <is>
          <t>Job: Move-In/Move-Out</t>
        </is>
      </c>
      <c r="D35" s="38" t="inlineStr">
        <is>
          <t>Home base</t>
        </is>
      </c>
      <c r="E35" s="38" t="inlineStr">
        <is>
          <t>211 Birch Lane</t>
        </is>
      </c>
      <c r="F35" s="128" t="n"/>
      <c r="G35" s="128" t="n"/>
      <c r="H35" s="129" t="n">
        <v>8.6</v>
      </c>
      <c r="I35" s="38" t="inlineStr">
        <is>
          <t>Maria Lopez</t>
        </is>
      </c>
      <c r="J35" s="98">
        <f>IF(A35="","",IF(AND(F35&lt;&gt;"",G35&lt;&gt;""),MAX(0,G35-F35),N(H35)))</f>
        <v/>
      </c>
      <c r="K35" s="55">
        <f>IF(A35="","",ROUND(J35*MileRate,2))</f>
        <v/>
      </c>
      <c r="L35" s="51">
        <f>IF(A35="","",DATE(YEAR(A35),MONTH(A35),1))</f>
        <v/>
      </c>
    </row>
    <row r="36">
      <c r="A36" s="47" t="n">
        <v>46083</v>
      </c>
      <c r="B36" s="38" t="inlineStr">
        <is>
          <t>J-0031</t>
        </is>
      </c>
      <c r="C36" s="38" t="inlineStr">
        <is>
          <t>Job: Standard Clean</t>
        </is>
      </c>
      <c r="D36" s="38" t="inlineStr">
        <is>
          <t>Home base</t>
        </is>
      </c>
      <c r="E36" s="38" t="inlineStr">
        <is>
          <t>667 Willow Way</t>
        </is>
      </c>
      <c r="F36" s="128" t="n"/>
      <c r="G36" s="128" t="n"/>
      <c r="H36" s="129" t="n">
        <v>23.7</v>
      </c>
      <c r="I36" s="38" t="inlineStr">
        <is>
          <t>Maria Lopez</t>
        </is>
      </c>
      <c r="J36" s="98">
        <f>IF(A36="","",IF(AND(F36&lt;&gt;"",G36&lt;&gt;""),MAX(0,G36-F36),N(H36)))</f>
        <v/>
      </c>
      <c r="K36" s="55">
        <f>IF(A36="","",ROUND(J36*MileRate,2))</f>
        <v/>
      </c>
      <c r="L36" s="51">
        <f>IF(A36="","",DATE(YEAR(A36),MONTH(A36),1))</f>
        <v/>
      </c>
    </row>
    <row r="37">
      <c r="A37" s="47" t="n">
        <v>46083</v>
      </c>
      <c r="B37" s="38" t="inlineStr">
        <is>
          <t>J-0032</t>
        </is>
      </c>
      <c r="C37" s="38" t="inlineStr">
        <is>
          <t>Job: Airbnb Turnover</t>
        </is>
      </c>
      <c r="D37" s="38" t="inlineStr">
        <is>
          <t>Home base</t>
        </is>
      </c>
      <c r="E37" s="38" t="inlineStr">
        <is>
          <t>192 Birch Lane</t>
        </is>
      </c>
      <c r="F37" s="128" t="n">
        <v>50527</v>
      </c>
      <c r="G37" s="128" t="n">
        <v>50545</v>
      </c>
      <c r="H37" s="129" t="n"/>
      <c r="I37" s="38" t="inlineStr">
        <is>
          <t>Kevin Osei</t>
        </is>
      </c>
      <c r="J37" s="98">
        <f>IF(A37="","",IF(AND(F37&lt;&gt;"",G37&lt;&gt;""),MAX(0,G37-F37),N(H37)))</f>
        <v/>
      </c>
      <c r="K37" s="55">
        <f>IF(A37="","",ROUND(J37*MileRate,2))</f>
        <v/>
      </c>
      <c r="L37" s="51">
        <f>IF(A37="","",DATE(YEAR(A37),MONTH(A37),1))</f>
        <v/>
      </c>
    </row>
    <row r="38">
      <c r="A38" s="47" t="n">
        <v>46084</v>
      </c>
      <c r="B38" s="38" t="inlineStr">
        <is>
          <t>J-0033</t>
        </is>
      </c>
      <c r="C38" s="38" t="inlineStr">
        <is>
          <t>Job: Standard Clean</t>
        </is>
      </c>
      <c r="D38" s="38" t="inlineStr">
        <is>
          <t>Home base</t>
        </is>
      </c>
      <c r="E38" s="38" t="inlineStr">
        <is>
          <t>497 Aspen Drive</t>
        </is>
      </c>
      <c r="F38" s="128" t="n">
        <v>57265</v>
      </c>
      <c r="G38" s="128" t="n">
        <v>57274</v>
      </c>
      <c r="H38" s="129" t="n"/>
      <c r="I38" s="38" t="inlineStr">
        <is>
          <t>Maria Lopez</t>
        </is>
      </c>
      <c r="J38" s="98">
        <f>IF(A38="","",IF(AND(F38&lt;&gt;"",G38&lt;&gt;""),MAX(0,G38-F38),N(H38)))</f>
        <v/>
      </c>
      <c r="K38" s="55">
        <f>IF(A38="","",ROUND(J38*MileRate,2))</f>
        <v/>
      </c>
      <c r="L38" s="51">
        <f>IF(A38="","",DATE(YEAR(A38),MONTH(A38),1))</f>
        <v/>
      </c>
    </row>
    <row r="39">
      <c r="A39" s="47" t="n">
        <v>46084</v>
      </c>
      <c r="B39" s="38" t="inlineStr">
        <is>
          <t>J-0034</t>
        </is>
      </c>
      <c r="C39" s="38" t="inlineStr">
        <is>
          <t>Job: Airbnb Turnover</t>
        </is>
      </c>
      <c r="D39" s="38" t="inlineStr">
        <is>
          <t>Home base</t>
        </is>
      </c>
      <c r="E39" s="38" t="inlineStr">
        <is>
          <t>666 Juniper Street</t>
        </is>
      </c>
      <c r="F39" s="128" t="n"/>
      <c r="G39" s="128" t="n"/>
      <c r="H39" s="129" t="n">
        <v>15.4</v>
      </c>
      <c r="I39" s="38" t="inlineStr">
        <is>
          <t>Kevin Osei</t>
        </is>
      </c>
      <c r="J39" s="98">
        <f>IF(A39="","",IF(AND(F39&lt;&gt;"",G39&lt;&gt;""),MAX(0,G39-F39),N(H39)))</f>
        <v/>
      </c>
      <c r="K39" s="55">
        <f>IF(A39="","",ROUND(J39*MileRate,2))</f>
        <v/>
      </c>
      <c r="L39" s="51">
        <f>IF(A39="","",DATE(YEAR(A39),MONTH(A39),1))</f>
        <v/>
      </c>
    </row>
    <row r="40">
      <c r="A40" s="47" t="n">
        <v>46086</v>
      </c>
      <c r="B40" s="38" t="inlineStr">
        <is>
          <t>J-0035</t>
        </is>
      </c>
      <c r="C40" s="38" t="inlineStr">
        <is>
          <t>Job: Deep Clean</t>
        </is>
      </c>
      <c r="D40" s="38" t="inlineStr">
        <is>
          <t>Home base</t>
        </is>
      </c>
      <c r="E40" s="38" t="inlineStr">
        <is>
          <t>897 Elm Terrace</t>
        </is>
      </c>
      <c r="F40" s="128" t="n"/>
      <c r="G40" s="128" t="n"/>
      <c r="H40" s="129" t="n">
        <v>14</v>
      </c>
      <c r="I40" s="38" t="inlineStr">
        <is>
          <t>Maria Lopez</t>
        </is>
      </c>
      <c r="J40" s="98">
        <f>IF(A40="","",IF(AND(F40&lt;&gt;"",G40&lt;&gt;""),MAX(0,G40-F40),N(H40)))</f>
        <v/>
      </c>
      <c r="K40" s="55">
        <f>IF(A40="","",ROUND(J40*MileRate,2))</f>
        <v/>
      </c>
      <c r="L40" s="51">
        <f>IF(A40="","",DATE(YEAR(A40),MONTH(A40),1))</f>
        <v/>
      </c>
    </row>
    <row r="41">
      <c r="A41" s="47" t="n">
        <v>46087</v>
      </c>
      <c r="B41" s="38" t="inlineStr">
        <is>
          <t>J-0036</t>
        </is>
      </c>
      <c r="C41" s="38" t="inlineStr">
        <is>
          <t>Job: Commercial Clean</t>
        </is>
      </c>
      <c r="D41" s="38" t="inlineStr">
        <is>
          <t>Home base</t>
        </is>
      </c>
      <c r="E41" s="38" t="inlineStr">
        <is>
          <t>738 Cedar Court</t>
        </is>
      </c>
      <c r="F41" s="128" t="n">
        <v>47305</v>
      </c>
      <c r="G41" s="128" t="n">
        <v>47315</v>
      </c>
      <c r="H41" s="129" t="n"/>
      <c r="I41" s="38" t="inlineStr">
        <is>
          <t>Kevin Osei</t>
        </is>
      </c>
      <c r="J41" s="98">
        <f>IF(A41="","",IF(AND(F41&lt;&gt;"",G41&lt;&gt;""),MAX(0,G41-F41),N(H41)))</f>
        <v/>
      </c>
      <c r="K41" s="55">
        <f>IF(A41="","",ROUND(J41*MileRate,2))</f>
        <v/>
      </c>
      <c r="L41" s="51">
        <f>IF(A41="","",DATE(YEAR(A41),MONTH(A41),1))</f>
        <v/>
      </c>
    </row>
    <row r="42">
      <c r="A42" s="47" t="n">
        <v>46087</v>
      </c>
      <c r="B42" s="38" t="inlineStr">
        <is>
          <t>J-0037</t>
        </is>
      </c>
      <c r="C42" s="38" t="inlineStr">
        <is>
          <t>Job: Airbnb Turnover</t>
        </is>
      </c>
      <c r="D42" s="38" t="inlineStr">
        <is>
          <t>Home base</t>
        </is>
      </c>
      <c r="E42" s="38" t="inlineStr">
        <is>
          <t>412 Linden Place</t>
        </is>
      </c>
      <c r="F42" s="128" t="n"/>
      <c r="G42" s="128" t="n"/>
      <c r="H42" s="129" t="n">
        <v>6.3</v>
      </c>
      <c r="I42" s="38" t="inlineStr">
        <is>
          <t>Kevin Osei</t>
        </is>
      </c>
      <c r="J42" s="98">
        <f>IF(A42="","",IF(AND(F42&lt;&gt;"",G42&lt;&gt;""),MAX(0,G42-F42),N(H42)))</f>
        <v/>
      </c>
      <c r="K42" s="55">
        <f>IF(A42="","",ROUND(J42*MileRate,2))</f>
        <v/>
      </c>
      <c r="L42" s="51">
        <f>IF(A42="","",DATE(YEAR(A42),MONTH(A42),1))</f>
        <v/>
      </c>
    </row>
    <row r="43">
      <c r="A43" s="47" t="n">
        <v>46091</v>
      </c>
      <c r="B43" s="38" t="inlineStr">
        <is>
          <t>J-0038</t>
        </is>
      </c>
      <c r="C43" s="38" t="inlineStr">
        <is>
          <t>Job: Standard Clean</t>
        </is>
      </c>
      <c r="D43" s="38" t="inlineStr">
        <is>
          <t>Home base</t>
        </is>
      </c>
      <c r="E43" s="38" t="inlineStr">
        <is>
          <t>497 Aspen Drive</t>
        </is>
      </c>
      <c r="F43" s="128" t="n"/>
      <c r="G43" s="128" t="n"/>
      <c r="H43" s="129" t="n">
        <v>23.6</v>
      </c>
      <c r="I43" s="38" t="inlineStr">
        <is>
          <t>Maria Lopez</t>
        </is>
      </c>
      <c r="J43" s="98">
        <f>IF(A43="","",IF(AND(F43&lt;&gt;"",G43&lt;&gt;""),MAX(0,G43-F43),N(H43)))</f>
        <v/>
      </c>
      <c r="K43" s="55">
        <f>IF(A43="","",ROUND(J43*MileRate,2))</f>
        <v/>
      </c>
      <c r="L43" s="51">
        <f>IF(A43="","",DATE(YEAR(A43),MONTH(A43),1))</f>
        <v/>
      </c>
    </row>
    <row r="44">
      <c r="A44" s="47" t="n">
        <v>46093</v>
      </c>
      <c r="B44" s="38" t="inlineStr">
        <is>
          <t>J-0039</t>
        </is>
      </c>
      <c r="C44" s="38" t="inlineStr">
        <is>
          <t>Job: Airbnb Turnover</t>
        </is>
      </c>
      <c r="D44" s="38" t="inlineStr">
        <is>
          <t>Home base</t>
        </is>
      </c>
      <c r="E44" s="38" t="inlineStr">
        <is>
          <t>654 Willow Way</t>
        </is>
      </c>
      <c r="F44" s="128" t="n"/>
      <c r="G44" s="128" t="n"/>
      <c r="H44" s="129" t="n">
        <v>18.2</v>
      </c>
      <c r="I44" s="38" t="inlineStr">
        <is>
          <t>Kevin Osei</t>
        </is>
      </c>
      <c r="J44" s="98">
        <f>IF(A44="","",IF(AND(F44&lt;&gt;"",G44&lt;&gt;""),MAX(0,G44-F44),N(H44)))</f>
        <v/>
      </c>
      <c r="K44" s="55">
        <f>IF(A44="","",ROUND(J44*MileRate,2))</f>
        <v/>
      </c>
      <c r="L44" s="51">
        <f>IF(A44="","",DATE(YEAR(A44),MONTH(A44),1))</f>
        <v/>
      </c>
    </row>
    <row r="45">
      <c r="A45" s="47" t="n">
        <v>46094</v>
      </c>
      <c r="B45" s="38" t="inlineStr">
        <is>
          <t>J-0040</t>
        </is>
      </c>
      <c r="C45" s="38" t="inlineStr">
        <is>
          <t>Job: Commercial Clean</t>
        </is>
      </c>
      <c r="D45" s="38" t="inlineStr">
        <is>
          <t>Home base</t>
        </is>
      </c>
      <c r="E45" s="38" t="inlineStr">
        <is>
          <t>738 Cedar Court</t>
        </is>
      </c>
      <c r="F45" s="128" t="n"/>
      <c r="G45" s="128" t="n"/>
      <c r="H45" s="129" t="n">
        <v>23.4</v>
      </c>
      <c r="I45" s="38" t="inlineStr">
        <is>
          <t>Kevin Osei</t>
        </is>
      </c>
      <c r="J45" s="98">
        <f>IF(A45="","",IF(AND(F45&lt;&gt;"",G45&lt;&gt;""),MAX(0,G45-F45),N(H45)))</f>
        <v/>
      </c>
      <c r="K45" s="55">
        <f>IF(A45="","",ROUND(J45*MileRate,2))</f>
        <v/>
      </c>
      <c r="L45" s="51">
        <f>IF(A45="","",DATE(YEAR(A45),MONTH(A45),1))</f>
        <v/>
      </c>
    </row>
    <row r="46">
      <c r="A46" s="47" t="n">
        <v>46094</v>
      </c>
      <c r="B46" s="38" t="inlineStr">
        <is>
          <t>J-0041</t>
        </is>
      </c>
      <c r="C46" s="38" t="inlineStr">
        <is>
          <t>Job: Standard Clean</t>
        </is>
      </c>
      <c r="D46" s="38" t="inlineStr">
        <is>
          <t>Home base</t>
        </is>
      </c>
      <c r="E46" s="38" t="inlineStr">
        <is>
          <t>84 Hawthorn Road</t>
        </is>
      </c>
      <c r="F46" s="128" t="n"/>
      <c r="G46" s="128" t="n"/>
      <c r="H46" s="129" t="n">
        <v>7.9</v>
      </c>
      <c r="I46" s="38" t="inlineStr">
        <is>
          <t>Dana Whitfield</t>
        </is>
      </c>
      <c r="J46" s="98">
        <f>IF(A46="","",IF(AND(F46&lt;&gt;"",G46&lt;&gt;""),MAX(0,G46-F46),N(H46)))</f>
        <v/>
      </c>
      <c r="K46" s="55">
        <f>IF(A46="","",ROUND(J46*MileRate,2))</f>
        <v/>
      </c>
      <c r="L46" s="51">
        <f>IF(A46="","",DATE(YEAR(A46),MONTH(A46),1))</f>
        <v/>
      </c>
    </row>
    <row r="47">
      <c r="A47" s="47" t="n">
        <v>46094</v>
      </c>
      <c r="B47" s="38" t="inlineStr">
        <is>
          <t>J-0042</t>
        </is>
      </c>
      <c r="C47" s="38" t="inlineStr">
        <is>
          <t>Job: Deep Clean</t>
        </is>
      </c>
      <c r="D47" s="38" t="inlineStr">
        <is>
          <t>Home base</t>
        </is>
      </c>
      <c r="E47" s="38" t="inlineStr">
        <is>
          <t>876 Magnolia Circle</t>
        </is>
      </c>
      <c r="F47" s="128" t="n"/>
      <c r="G47" s="128" t="n"/>
      <c r="H47" s="129" t="n">
        <v>22.1</v>
      </c>
      <c r="I47" s="38" t="inlineStr">
        <is>
          <t>Maria Lopez</t>
        </is>
      </c>
      <c r="J47" s="98">
        <f>IF(A47="","",IF(AND(F47&lt;&gt;"",G47&lt;&gt;""),MAX(0,G47-F47),N(H47)))</f>
        <v/>
      </c>
      <c r="K47" s="55">
        <f>IF(A47="","",ROUND(J47*MileRate,2))</f>
        <v/>
      </c>
      <c r="L47" s="51">
        <f>IF(A47="","",DATE(YEAR(A47),MONTH(A47),1))</f>
        <v/>
      </c>
    </row>
    <row r="48">
      <c r="A48" s="47" t="n">
        <v>46095</v>
      </c>
      <c r="B48" s="38" t="inlineStr">
        <is>
          <t>J-0043</t>
        </is>
      </c>
      <c r="C48" s="38" t="inlineStr">
        <is>
          <t>Job: Airbnb Turnover</t>
        </is>
      </c>
      <c r="D48" s="38" t="inlineStr">
        <is>
          <t>Home base</t>
        </is>
      </c>
      <c r="E48" s="38" t="inlineStr">
        <is>
          <t>192 Birch Lane</t>
        </is>
      </c>
      <c r="F48" s="128" t="n"/>
      <c r="G48" s="128" t="n"/>
      <c r="H48" s="129" t="n">
        <v>12.3</v>
      </c>
      <c r="I48" s="38" t="inlineStr">
        <is>
          <t>Kevin Osei</t>
        </is>
      </c>
      <c r="J48" s="98">
        <f>IF(A48="","",IF(AND(F48&lt;&gt;"",G48&lt;&gt;""),MAX(0,G48-F48),N(H48)))</f>
        <v/>
      </c>
      <c r="K48" s="55">
        <f>IF(A48="","",ROUND(J48*MileRate,2))</f>
        <v/>
      </c>
      <c r="L48" s="51">
        <f>IF(A48="","",DATE(YEAR(A48),MONTH(A48),1))</f>
        <v/>
      </c>
    </row>
    <row r="49">
      <c r="A49" s="47" t="n">
        <v>46095</v>
      </c>
      <c r="B49" s="38" t="inlineStr">
        <is>
          <t>J-0044</t>
        </is>
      </c>
      <c r="C49" s="38" t="inlineStr">
        <is>
          <t>Job: Deep Clean</t>
        </is>
      </c>
      <c r="D49" s="38" t="inlineStr">
        <is>
          <t>Home base</t>
        </is>
      </c>
      <c r="E49" s="38" t="inlineStr">
        <is>
          <t>628 Cedar Court</t>
        </is>
      </c>
      <c r="F49" s="128" t="n">
        <v>44829</v>
      </c>
      <c r="G49" s="128" t="n">
        <v>44843</v>
      </c>
      <c r="H49" s="129" t="n"/>
      <c r="I49" s="38" t="inlineStr">
        <is>
          <t>Maria Lopez</t>
        </is>
      </c>
      <c r="J49" s="98">
        <f>IF(A49="","",IF(AND(F49&lt;&gt;"",G49&lt;&gt;""),MAX(0,G49-F49),N(H49)))</f>
        <v/>
      </c>
      <c r="K49" s="55">
        <f>IF(A49="","",ROUND(J49*MileRate,2))</f>
        <v/>
      </c>
      <c r="L49" s="51">
        <f>IF(A49="","",DATE(YEAR(A49),MONTH(A49),1))</f>
        <v/>
      </c>
    </row>
    <row r="50">
      <c r="A50" s="47" t="n">
        <v>46095</v>
      </c>
      <c r="B50" s="38" t="inlineStr">
        <is>
          <t>J-0045</t>
        </is>
      </c>
      <c r="C50" s="38" t="inlineStr">
        <is>
          <t>Job: Commercial Clean</t>
        </is>
      </c>
      <c r="D50" s="38" t="inlineStr">
        <is>
          <t>Home base</t>
        </is>
      </c>
      <c r="E50" s="38" t="inlineStr">
        <is>
          <t>338 Cedar Court</t>
        </is>
      </c>
      <c r="F50" s="128" t="n"/>
      <c r="G50" s="128" t="n"/>
      <c r="H50" s="129" t="n">
        <v>23</v>
      </c>
      <c r="I50" s="38" t="inlineStr">
        <is>
          <t>Dana Whitfield</t>
        </is>
      </c>
      <c r="J50" s="98">
        <f>IF(A50="","",IF(AND(F50&lt;&gt;"",G50&lt;&gt;""),MAX(0,G50-F50),N(H50)))</f>
        <v/>
      </c>
      <c r="K50" s="55">
        <f>IF(A50="","",ROUND(J50*MileRate,2))</f>
        <v/>
      </c>
      <c r="L50" s="51">
        <f>IF(A50="","",DATE(YEAR(A50),MONTH(A50),1))</f>
        <v/>
      </c>
    </row>
    <row r="51">
      <c r="A51" s="47" t="n">
        <v>46098</v>
      </c>
      <c r="B51" s="38" t="inlineStr">
        <is>
          <t>J-0046</t>
        </is>
      </c>
      <c r="C51" s="38" t="inlineStr">
        <is>
          <t>Job: Airbnb Turnover</t>
        </is>
      </c>
      <c r="D51" s="38" t="inlineStr">
        <is>
          <t>Home base</t>
        </is>
      </c>
      <c r="E51" s="38" t="inlineStr">
        <is>
          <t>666 Juniper Street</t>
        </is>
      </c>
      <c r="F51" s="128" t="n"/>
      <c r="G51" s="128" t="n"/>
      <c r="H51" s="129" t="n">
        <v>6.4</v>
      </c>
      <c r="I51" s="38" t="inlineStr">
        <is>
          <t>Kevin Osei</t>
        </is>
      </c>
      <c r="J51" s="98">
        <f>IF(A51="","",IF(AND(F51&lt;&gt;"",G51&lt;&gt;""),MAX(0,G51-F51),N(H51)))</f>
        <v/>
      </c>
      <c r="K51" s="55">
        <f>IF(A51="","",ROUND(J51*MileRate,2))</f>
        <v/>
      </c>
      <c r="L51" s="51">
        <f>IF(A51="","",DATE(YEAR(A51),MONTH(A51),1))</f>
        <v/>
      </c>
    </row>
    <row r="52">
      <c r="A52" s="47" t="n">
        <v>46098</v>
      </c>
      <c r="B52" s="38" t="inlineStr">
        <is>
          <t>J-0047</t>
        </is>
      </c>
      <c r="C52" s="38" t="inlineStr">
        <is>
          <t>Job: Standard Clean</t>
        </is>
      </c>
      <c r="D52" s="38" t="inlineStr">
        <is>
          <t>Home base</t>
        </is>
      </c>
      <c r="E52" s="38" t="inlineStr">
        <is>
          <t>497 Aspen Drive</t>
        </is>
      </c>
      <c r="F52" s="128" t="n">
        <v>45335</v>
      </c>
      <c r="G52" s="128" t="n">
        <v>45348</v>
      </c>
      <c r="H52" s="129" t="n"/>
      <c r="I52" s="38" t="inlineStr">
        <is>
          <t>Maria Lopez</t>
        </is>
      </c>
      <c r="J52" s="98">
        <f>IF(A52="","",IF(AND(F52&lt;&gt;"",G52&lt;&gt;""),MAX(0,G52-F52),N(H52)))</f>
        <v/>
      </c>
      <c r="K52" s="55">
        <f>IF(A52="","",ROUND(J52*MileRate,2))</f>
        <v/>
      </c>
      <c r="L52" s="51">
        <f>IF(A52="","",DATE(YEAR(A52),MONTH(A52),1))</f>
        <v/>
      </c>
    </row>
    <row r="53">
      <c r="A53" s="47" t="n">
        <v>46100</v>
      </c>
      <c r="B53" s="38" t="inlineStr">
        <is>
          <t>J-0048</t>
        </is>
      </c>
      <c r="C53" s="38" t="inlineStr">
        <is>
          <t>Job: Airbnb Turnover</t>
        </is>
      </c>
      <c r="D53" s="38" t="inlineStr">
        <is>
          <t>Home base</t>
        </is>
      </c>
      <c r="E53" s="38" t="inlineStr">
        <is>
          <t>412 Linden Place</t>
        </is>
      </c>
      <c r="F53" s="128" t="n"/>
      <c r="G53" s="128" t="n"/>
      <c r="H53" s="129" t="n">
        <v>6.8</v>
      </c>
      <c r="I53" s="38" t="inlineStr">
        <is>
          <t>Kevin Osei</t>
        </is>
      </c>
      <c r="J53" s="98">
        <f>IF(A53="","",IF(AND(F53&lt;&gt;"",G53&lt;&gt;""),MAX(0,G53-F53),N(H53)))</f>
        <v/>
      </c>
      <c r="K53" s="55">
        <f>IF(A53="","",ROUND(J53*MileRate,2))</f>
        <v/>
      </c>
      <c r="L53" s="51">
        <f>IF(A53="","",DATE(YEAR(A53),MONTH(A53),1))</f>
        <v/>
      </c>
    </row>
    <row r="54">
      <c r="A54" s="47" t="n">
        <v>46101</v>
      </c>
      <c r="B54" s="38" t="inlineStr">
        <is>
          <t>J-0050</t>
        </is>
      </c>
      <c r="C54" s="38" t="inlineStr">
        <is>
          <t>Job: Commercial Clean</t>
        </is>
      </c>
      <c r="D54" s="38" t="inlineStr">
        <is>
          <t>Home base</t>
        </is>
      </c>
      <c r="E54" s="38" t="inlineStr">
        <is>
          <t>738 Cedar Court</t>
        </is>
      </c>
      <c r="F54" s="128" t="n"/>
      <c r="G54" s="128" t="n"/>
      <c r="H54" s="129" t="n">
        <v>20.8</v>
      </c>
      <c r="I54" s="38" t="inlineStr">
        <is>
          <t>Kevin Osei</t>
        </is>
      </c>
      <c r="J54" s="98">
        <f>IF(A54="","",IF(AND(F54&lt;&gt;"",G54&lt;&gt;""),MAX(0,G54-F54),N(H54)))</f>
        <v/>
      </c>
      <c r="K54" s="55">
        <f>IF(A54="","",ROUND(J54*MileRate,2))</f>
        <v/>
      </c>
      <c r="L54" s="51">
        <f>IF(A54="","",DATE(YEAR(A54),MONTH(A54),1))</f>
        <v/>
      </c>
    </row>
    <row r="55">
      <c r="A55" s="47" t="n">
        <v>46101</v>
      </c>
      <c r="B55" s="38" t="n"/>
      <c r="C55" s="38" t="inlineStr">
        <is>
          <t>Supply run</t>
        </is>
      </c>
      <c r="D55" s="38" t="inlineStr">
        <is>
          <t>Home base</t>
        </is>
      </c>
      <c r="E55" s="38" t="inlineStr">
        <is>
          <t>Supply store</t>
        </is>
      </c>
      <c r="F55" s="128" t="n"/>
      <c r="G55" s="128" t="n"/>
      <c r="H55" s="129" t="n">
        <v>11.5</v>
      </c>
      <c r="I55" s="38" t="inlineStr">
        <is>
          <t>Jordan Rivera</t>
        </is>
      </c>
      <c r="J55" s="98">
        <f>IF(A55="","",IF(AND(F55&lt;&gt;"",G55&lt;&gt;""),MAX(0,G55-F55),N(H55)))</f>
        <v/>
      </c>
      <c r="K55" s="55">
        <f>IF(A55="","",ROUND(J55*MileRate,2))</f>
        <v/>
      </c>
      <c r="L55" s="51">
        <f>IF(A55="","",DATE(YEAR(A55),MONTH(A55),1))</f>
        <v/>
      </c>
    </row>
    <row r="56">
      <c r="A56" s="47" t="n">
        <v>46102</v>
      </c>
      <c r="B56" s="38" t="inlineStr">
        <is>
          <t>J-0051</t>
        </is>
      </c>
      <c r="C56" s="38" t="inlineStr">
        <is>
          <t>Job: Standard Clean</t>
        </is>
      </c>
      <c r="D56" s="38" t="inlineStr">
        <is>
          <t>Home base</t>
        </is>
      </c>
      <c r="E56" s="38" t="inlineStr">
        <is>
          <t>102 Hawthorn Road</t>
        </is>
      </c>
      <c r="F56" s="128" t="n"/>
      <c r="G56" s="128" t="n"/>
      <c r="H56" s="129" t="n">
        <v>6.4</v>
      </c>
      <c r="I56" s="38" t="inlineStr">
        <is>
          <t>Dana Whitfield</t>
        </is>
      </c>
      <c r="J56" s="98">
        <f>IF(A56="","",IF(AND(F56&lt;&gt;"",G56&lt;&gt;""),MAX(0,G56-F56),N(H56)))</f>
        <v/>
      </c>
      <c r="K56" s="55">
        <f>IF(A56="","",ROUND(J56*MileRate,2))</f>
        <v/>
      </c>
      <c r="L56" s="51">
        <f>IF(A56="","",DATE(YEAR(A56),MONTH(A56),1))</f>
        <v/>
      </c>
    </row>
    <row r="57">
      <c r="A57" s="47" t="n">
        <v>46102</v>
      </c>
      <c r="B57" s="38" t="inlineStr">
        <is>
          <t>J-0052</t>
        </is>
      </c>
      <c r="C57" s="38" t="inlineStr">
        <is>
          <t>Job: Standard Clean</t>
        </is>
      </c>
      <c r="D57" s="38" t="inlineStr">
        <is>
          <t>Home base</t>
        </is>
      </c>
      <c r="E57" s="38" t="inlineStr">
        <is>
          <t>685 Alder Lane</t>
        </is>
      </c>
      <c r="F57" s="128" t="n"/>
      <c r="G57" s="128" t="n"/>
      <c r="H57" s="129" t="n">
        <v>23.3</v>
      </c>
      <c r="I57" s="38" t="inlineStr">
        <is>
          <t>Maria Lopez</t>
        </is>
      </c>
      <c r="J57" s="98">
        <f>IF(A57="","",IF(AND(F57&lt;&gt;"",G57&lt;&gt;""),MAX(0,G57-F57),N(H57)))</f>
        <v/>
      </c>
      <c r="K57" s="55">
        <f>IF(A57="","",ROUND(J57*MileRate,2))</f>
        <v/>
      </c>
      <c r="L57" s="51">
        <f>IF(A57="","",DATE(YEAR(A57),MONTH(A57),1))</f>
        <v/>
      </c>
    </row>
    <row r="58">
      <c r="A58" s="47" t="n">
        <v>46105</v>
      </c>
      <c r="B58" s="38" t="inlineStr">
        <is>
          <t>J-0053</t>
        </is>
      </c>
      <c r="C58" s="38" t="inlineStr">
        <is>
          <t>Job: Airbnb Turnover</t>
        </is>
      </c>
      <c r="D58" s="38" t="inlineStr">
        <is>
          <t>Home base</t>
        </is>
      </c>
      <c r="E58" s="38" t="inlineStr">
        <is>
          <t>654 Willow Way</t>
        </is>
      </c>
      <c r="F58" s="128" t="n">
        <v>51207</v>
      </c>
      <c r="G58" s="128" t="n">
        <v>51214</v>
      </c>
      <c r="H58" s="129" t="n"/>
      <c r="I58" s="38" t="inlineStr">
        <is>
          <t>Kevin Osei</t>
        </is>
      </c>
      <c r="J58" s="98">
        <f>IF(A58="","",IF(AND(F58&lt;&gt;"",G58&lt;&gt;""),MAX(0,G58-F58),N(H58)))</f>
        <v/>
      </c>
      <c r="K58" s="55">
        <f>IF(A58="","",ROUND(J58*MileRate,2))</f>
        <v/>
      </c>
      <c r="L58" s="51">
        <f>IF(A58="","",DATE(YEAR(A58),MONTH(A58),1))</f>
        <v/>
      </c>
    </row>
    <row r="59">
      <c r="A59" s="47" t="n">
        <v>46105</v>
      </c>
      <c r="B59" s="38" t="inlineStr">
        <is>
          <t>J-0054</t>
        </is>
      </c>
      <c r="C59" s="38" t="inlineStr">
        <is>
          <t>Job: Standard Clean</t>
        </is>
      </c>
      <c r="D59" s="38" t="inlineStr">
        <is>
          <t>Home base</t>
        </is>
      </c>
      <c r="E59" s="38" t="inlineStr">
        <is>
          <t>497 Aspen Drive</t>
        </is>
      </c>
      <c r="F59" s="128" t="n"/>
      <c r="G59" s="128" t="n"/>
      <c r="H59" s="129" t="n">
        <v>6.3</v>
      </c>
      <c r="I59" s="38" t="inlineStr">
        <is>
          <t>Maria Lopez</t>
        </is>
      </c>
      <c r="J59" s="98">
        <f>IF(A59="","",IF(AND(F59&lt;&gt;"",G59&lt;&gt;""),MAX(0,G59-F59),N(H59)))</f>
        <v/>
      </c>
      <c r="K59" s="55">
        <f>IF(A59="","",ROUND(J59*MileRate,2))</f>
        <v/>
      </c>
      <c r="L59" s="51">
        <f>IF(A59="","",DATE(YEAR(A59),MONTH(A59),1))</f>
        <v/>
      </c>
    </row>
    <row r="60">
      <c r="A60" s="47" t="n">
        <v>46106</v>
      </c>
      <c r="B60" s="38" t="inlineStr">
        <is>
          <t>J-0055</t>
        </is>
      </c>
      <c r="C60" s="38" t="inlineStr">
        <is>
          <t>Job: Airbnb Turnover</t>
        </is>
      </c>
      <c r="D60" s="38" t="inlineStr">
        <is>
          <t>Home base</t>
        </is>
      </c>
      <c r="E60" s="38" t="inlineStr">
        <is>
          <t>192 Birch Lane</t>
        </is>
      </c>
      <c r="F60" s="128" t="n"/>
      <c r="G60" s="128" t="n"/>
      <c r="H60" s="129" t="n">
        <v>6.7</v>
      </c>
      <c r="I60" s="38" t="inlineStr">
        <is>
          <t>Kevin Osei</t>
        </is>
      </c>
      <c r="J60" s="98">
        <f>IF(A60="","",IF(AND(F60&lt;&gt;"",G60&lt;&gt;""),MAX(0,G60-F60),N(H60)))</f>
        <v/>
      </c>
      <c r="K60" s="55">
        <f>IF(A60="","",ROUND(J60*MileRate,2))</f>
        <v/>
      </c>
      <c r="L60" s="51">
        <f>IF(A60="","",DATE(YEAR(A60),MONTH(A60),1))</f>
        <v/>
      </c>
    </row>
    <row r="61">
      <c r="A61" s="47" t="n">
        <v>46106</v>
      </c>
      <c r="B61" s="38" t="inlineStr">
        <is>
          <t>J-0056</t>
        </is>
      </c>
      <c r="C61" s="38" t="inlineStr">
        <is>
          <t>Job: Deep Clean</t>
        </is>
      </c>
      <c r="D61" s="38" t="inlineStr">
        <is>
          <t>Home base</t>
        </is>
      </c>
      <c r="E61" s="38" t="inlineStr">
        <is>
          <t>675 Aspen Drive</t>
        </is>
      </c>
      <c r="F61" s="128" t="n"/>
      <c r="G61" s="128" t="n"/>
      <c r="H61" s="129" t="n">
        <v>17.1</v>
      </c>
      <c r="I61" s="38" t="inlineStr">
        <is>
          <t>Maria Lopez</t>
        </is>
      </c>
      <c r="J61" s="98">
        <f>IF(A61="","",IF(AND(F61&lt;&gt;"",G61&lt;&gt;""),MAX(0,G61-F61),N(H61)))</f>
        <v/>
      </c>
      <c r="K61" s="55">
        <f>IF(A61="","",ROUND(J61*MileRate,2))</f>
        <v/>
      </c>
      <c r="L61" s="51">
        <f>IF(A61="","",DATE(YEAR(A61),MONTH(A61),1))</f>
        <v/>
      </c>
    </row>
    <row r="62">
      <c r="A62" s="47" t="n">
        <v>46108</v>
      </c>
      <c r="B62" s="38" t="inlineStr">
        <is>
          <t>J-0057</t>
        </is>
      </c>
      <c r="C62" s="38" t="inlineStr">
        <is>
          <t>Job: Commercial Clean</t>
        </is>
      </c>
      <c r="D62" s="38" t="inlineStr">
        <is>
          <t>Home base</t>
        </is>
      </c>
      <c r="E62" s="38" t="inlineStr">
        <is>
          <t>738 Cedar Court</t>
        </is>
      </c>
      <c r="F62" s="128" t="n"/>
      <c r="G62" s="128" t="n"/>
      <c r="H62" s="129" t="n">
        <v>14.5</v>
      </c>
      <c r="I62" s="38" t="inlineStr">
        <is>
          <t>Kevin Osei</t>
        </is>
      </c>
      <c r="J62" s="98">
        <f>IF(A62="","",IF(AND(F62&lt;&gt;"",G62&lt;&gt;""),MAX(0,G62-F62),N(H62)))</f>
        <v/>
      </c>
      <c r="K62" s="55">
        <f>IF(A62="","",ROUND(J62*MileRate,2))</f>
        <v/>
      </c>
      <c r="L62" s="51">
        <f>IF(A62="","",DATE(YEAR(A62),MONTH(A62),1))</f>
        <v/>
      </c>
    </row>
    <row r="63">
      <c r="A63" s="47" t="n">
        <v>46109</v>
      </c>
      <c r="B63" s="38" t="inlineStr">
        <is>
          <t>J-0058</t>
        </is>
      </c>
      <c r="C63" s="38" t="inlineStr">
        <is>
          <t>Job: Deep Clean</t>
        </is>
      </c>
      <c r="D63" s="38" t="inlineStr">
        <is>
          <t>Home base</t>
        </is>
      </c>
      <c r="E63" s="38" t="inlineStr">
        <is>
          <t>964 Cedar Court</t>
        </is>
      </c>
      <c r="F63" s="128" t="n"/>
      <c r="G63" s="128" t="n"/>
      <c r="H63" s="129" t="n">
        <v>11.7</v>
      </c>
      <c r="I63" s="38" t="inlineStr">
        <is>
          <t>Maria Lopez</t>
        </is>
      </c>
      <c r="J63" s="98">
        <f>IF(A63="","",IF(AND(F63&lt;&gt;"",G63&lt;&gt;""),MAX(0,G63-F63),N(H63)))</f>
        <v/>
      </c>
      <c r="K63" s="55">
        <f>IF(A63="","",ROUND(J63*MileRate,2))</f>
        <v/>
      </c>
      <c r="L63" s="51">
        <f>IF(A63="","",DATE(YEAR(A63),MONTH(A63),1))</f>
        <v/>
      </c>
    </row>
    <row r="64">
      <c r="A64" s="47" t="n">
        <v>46111</v>
      </c>
      <c r="B64" s="38" t="inlineStr">
        <is>
          <t>J-0059</t>
        </is>
      </c>
      <c r="C64" s="38" t="inlineStr">
        <is>
          <t>Job: Standard Clean</t>
        </is>
      </c>
      <c r="D64" s="38" t="inlineStr">
        <is>
          <t>Home base</t>
        </is>
      </c>
      <c r="E64" s="38" t="inlineStr">
        <is>
          <t>667 Willow Way</t>
        </is>
      </c>
      <c r="F64" s="128" t="n"/>
      <c r="G64" s="128" t="n"/>
      <c r="H64" s="129" t="n">
        <v>21.9</v>
      </c>
      <c r="I64" s="38" t="inlineStr">
        <is>
          <t>Maria Lopez</t>
        </is>
      </c>
      <c r="J64" s="98">
        <f>IF(A64="","",IF(AND(F64&lt;&gt;"",G64&lt;&gt;""),MAX(0,G64-F64),N(H64)))</f>
        <v/>
      </c>
      <c r="K64" s="55">
        <f>IF(A64="","",ROUND(J64*MileRate,2))</f>
        <v/>
      </c>
      <c r="L64" s="51">
        <f>IF(A64="","",DATE(YEAR(A64),MONTH(A64),1))</f>
        <v/>
      </c>
    </row>
    <row r="65">
      <c r="A65" s="47" t="n">
        <v>46111</v>
      </c>
      <c r="B65" s="38" t="inlineStr">
        <is>
          <t>J-0060</t>
        </is>
      </c>
      <c r="C65" s="38" t="inlineStr">
        <is>
          <t>Job: Airbnb Turnover</t>
        </is>
      </c>
      <c r="D65" s="38" t="inlineStr">
        <is>
          <t>Home base</t>
        </is>
      </c>
      <c r="E65" s="38" t="inlineStr">
        <is>
          <t>666 Juniper Street</t>
        </is>
      </c>
      <c r="F65" s="128" t="n"/>
      <c r="G65" s="128" t="n"/>
      <c r="H65" s="129" t="n">
        <v>13.5</v>
      </c>
      <c r="I65" s="38" t="inlineStr">
        <is>
          <t>Kevin Osei</t>
        </is>
      </c>
      <c r="J65" s="98">
        <f>IF(A65="","",IF(AND(F65&lt;&gt;"",G65&lt;&gt;""),MAX(0,G65-F65),N(H65)))</f>
        <v/>
      </c>
      <c r="K65" s="55">
        <f>IF(A65="","",ROUND(J65*MileRate,2))</f>
        <v/>
      </c>
      <c r="L65" s="51">
        <f>IF(A65="","",DATE(YEAR(A65),MONTH(A65),1))</f>
        <v/>
      </c>
    </row>
    <row r="66">
      <c r="A66" s="47" t="n">
        <v>46111</v>
      </c>
      <c r="B66" s="38" t="inlineStr">
        <is>
          <t>J-0061</t>
        </is>
      </c>
      <c r="C66" s="38" t="inlineStr">
        <is>
          <t>Job: Airbnb Turnover</t>
        </is>
      </c>
      <c r="D66" s="38" t="inlineStr">
        <is>
          <t>Home base</t>
        </is>
      </c>
      <c r="E66" s="38" t="inlineStr">
        <is>
          <t>412 Linden Place</t>
        </is>
      </c>
      <c r="F66" s="128" t="n"/>
      <c r="G66" s="128" t="n"/>
      <c r="H66" s="129" t="n">
        <v>14.3</v>
      </c>
      <c r="I66" s="38" t="inlineStr">
        <is>
          <t>Kevin Osei</t>
        </is>
      </c>
      <c r="J66" s="98">
        <f>IF(A66="","",IF(AND(F66&lt;&gt;"",G66&lt;&gt;""),MAX(0,G66-F66),N(H66)))</f>
        <v/>
      </c>
      <c r="K66" s="55">
        <f>IF(A66="","",ROUND(J66*MileRate,2))</f>
        <v/>
      </c>
      <c r="L66" s="51">
        <f>IF(A66="","",DATE(YEAR(A66),MONTH(A66),1))</f>
        <v/>
      </c>
    </row>
    <row r="67">
      <c r="A67" s="47" t="n">
        <v>46112</v>
      </c>
      <c r="B67" s="38" t="inlineStr">
        <is>
          <t>J-0062</t>
        </is>
      </c>
      <c r="C67" s="38" t="inlineStr">
        <is>
          <t>Job: Standard Clean</t>
        </is>
      </c>
      <c r="D67" s="38" t="inlineStr">
        <is>
          <t>Home base</t>
        </is>
      </c>
      <c r="E67" s="38" t="inlineStr">
        <is>
          <t>497 Aspen Drive</t>
        </is>
      </c>
      <c r="F67" s="128" t="n"/>
      <c r="G67" s="128" t="n"/>
      <c r="H67" s="129" t="n">
        <v>22.4</v>
      </c>
      <c r="I67" s="38" t="inlineStr">
        <is>
          <t>Maria Lopez</t>
        </is>
      </c>
      <c r="J67" s="98">
        <f>IF(A67="","",IF(AND(F67&lt;&gt;"",G67&lt;&gt;""),MAX(0,G67-F67),N(H67)))</f>
        <v/>
      </c>
      <c r="K67" s="55">
        <f>IF(A67="","",ROUND(J67*MileRate,2))</f>
        <v/>
      </c>
      <c r="L67" s="51">
        <f>IF(A67="","",DATE(YEAR(A67),MONTH(A67),1))</f>
        <v/>
      </c>
    </row>
    <row r="68">
      <c r="A68" s="47" t="n">
        <v>46113</v>
      </c>
      <c r="B68" s="38" t="inlineStr">
        <is>
          <t>J-0063</t>
        </is>
      </c>
      <c r="C68" s="38" t="inlineStr">
        <is>
          <t>Job: Standard Clean</t>
        </is>
      </c>
      <c r="D68" s="38" t="inlineStr">
        <is>
          <t>Home base</t>
        </is>
      </c>
      <c r="E68" s="38" t="inlineStr">
        <is>
          <t>675 Aspen Drive</t>
        </is>
      </c>
      <c r="F68" s="128" t="n"/>
      <c r="G68" s="128" t="n"/>
      <c r="H68" s="129" t="n">
        <v>22.8</v>
      </c>
      <c r="I68" s="38" t="inlineStr">
        <is>
          <t>Dana Whitfield</t>
        </is>
      </c>
      <c r="J68" s="98">
        <f>IF(A68="","",IF(AND(F68&lt;&gt;"",G68&lt;&gt;""),MAX(0,G68-F68),N(H68)))</f>
        <v/>
      </c>
      <c r="K68" s="55">
        <f>IF(A68="","",ROUND(J68*MileRate,2))</f>
        <v/>
      </c>
      <c r="L68" s="51">
        <f>IF(A68="","",DATE(YEAR(A68),MONTH(A68),1))</f>
        <v/>
      </c>
    </row>
    <row r="69">
      <c r="A69" s="47" t="n">
        <v>46115</v>
      </c>
      <c r="B69" s="38" t="inlineStr">
        <is>
          <t>J-0064</t>
        </is>
      </c>
      <c r="C69" s="38" t="inlineStr">
        <is>
          <t>Job: Commercial Clean</t>
        </is>
      </c>
      <c r="D69" s="38" t="inlineStr">
        <is>
          <t>Home base</t>
        </is>
      </c>
      <c r="E69" s="38" t="inlineStr">
        <is>
          <t>738 Cedar Court</t>
        </is>
      </c>
      <c r="F69" s="128" t="n"/>
      <c r="G69" s="128" t="n"/>
      <c r="H69" s="129" t="n">
        <v>21.9</v>
      </c>
      <c r="I69" s="38" t="inlineStr">
        <is>
          <t>Kevin Osei</t>
        </is>
      </c>
      <c r="J69" s="98">
        <f>IF(A69="","",IF(AND(F69&lt;&gt;"",G69&lt;&gt;""),MAX(0,G69-F69),N(H69)))</f>
        <v/>
      </c>
      <c r="K69" s="55">
        <f>IF(A69="","",ROUND(J69*MileRate,2))</f>
        <v/>
      </c>
      <c r="L69" s="51">
        <f>IF(A69="","",DATE(YEAR(A69),MONTH(A69),1))</f>
        <v/>
      </c>
    </row>
    <row r="70">
      <c r="A70" s="47" t="n">
        <v>46115</v>
      </c>
      <c r="B70" s="38" t="inlineStr">
        <is>
          <t>J-0065</t>
        </is>
      </c>
      <c r="C70" s="38" t="inlineStr">
        <is>
          <t>Job: Commercial Clean</t>
        </is>
      </c>
      <c r="D70" s="38" t="inlineStr">
        <is>
          <t>Home base</t>
        </is>
      </c>
      <c r="E70" s="38" t="inlineStr">
        <is>
          <t>957 Hawthorn Road</t>
        </is>
      </c>
      <c r="F70" s="128" t="n"/>
      <c r="G70" s="128" t="n"/>
      <c r="H70" s="129" t="n">
        <v>15.2</v>
      </c>
      <c r="I70" s="38" t="inlineStr">
        <is>
          <t>Kevin Osei</t>
        </is>
      </c>
      <c r="J70" s="98">
        <f>IF(A70="","",IF(AND(F70&lt;&gt;"",G70&lt;&gt;""),MAX(0,G70-F70),N(H70)))</f>
        <v/>
      </c>
      <c r="K70" s="55">
        <f>IF(A70="","",ROUND(J70*MileRate,2))</f>
        <v/>
      </c>
      <c r="L70" s="51">
        <f>IF(A70="","",DATE(YEAR(A70),MONTH(A70),1))</f>
        <v/>
      </c>
    </row>
    <row r="71">
      <c r="A71" s="47" t="n">
        <v>46115</v>
      </c>
      <c r="B71" s="38" t="inlineStr">
        <is>
          <t>J-0066</t>
        </is>
      </c>
      <c r="C71" s="38" t="inlineStr">
        <is>
          <t>Job: Standard Clean</t>
        </is>
      </c>
      <c r="D71" s="38" t="inlineStr">
        <is>
          <t>Home base</t>
        </is>
      </c>
      <c r="E71" s="38" t="inlineStr">
        <is>
          <t>876 Magnolia Circle</t>
        </is>
      </c>
      <c r="F71" s="128" t="n"/>
      <c r="G71" s="128" t="n"/>
      <c r="H71" s="129" t="n">
        <v>11.2</v>
      </c>
      <c r="I71" s="38" t="inlineStr">
        <is>
          <t>Maria Lopez</t>
        </is>
      </c>
      <c r="J71" s="98">
        <f>IF(A71="","",IF(AND(F71&lt;&gt;"",G71&lt;&gt;""),MAX(0,G71-F71),N(H71)))</f>
        <v/>
      </c>
      <c r="K71" s="55">
        <f>IF(A71="","",ROUND(J71*MileRate,2))</f>
        <v/>
      </c>
      <c r="L71" s="51">
        <f>IF(A71="","",DATE(YEAR(A71),MONTH(A71),1))</f>
        <v/>
      </c>
    </row>
    <row r="72">
      <c r="A72" s="47" t="n">
        <v>46116</v>
      </c>
      <c r="B72" s="38" t="inlineStr">
        <is>
          <t>J-0067</t>
        </is>
      </c>
      <c r="C72" s="38" t="inlineStr">
        <is>
          <t>Job: Deep Clean</t>
        </is>
      </c>
      <c r="D72" s="38" t="inlineStr">
        <is>
          <t>Home base</t>
        </is>
      </c>
      <c r="E72" s="38" t="inlineStr">
        <is>
          <t>21 Maple Avenue</t>
        </is>
      </c>
      <c r="F72" s="128" t="n"/>
      <c r="G72" s="128" t="n"/>
      <c r="H72" s="129" t="n">
        <v>19</v>
      </c>
      <c r="I72" s="38" t="inlineStr">
        <is>
          <t>Maria Lopez</t>
        </is>
      </c>
      <c r="J72" s="98">
        <f>IF(A72="","",IF(AND(F72&lt;&gt;"",G72&lt;&gt;""),MAX(0,G72-F72),N(H72)))</f>
        <v/>
      </c>
      <c r="K72" s="55">
        <f>IF(A72="","",ROUND(J72*MileRate,2))</f>
        <v/>
      </c>
      <c r="L72" s="51">
        <f>IF(A72="","",DATE(YEAR(A72),MONTH(A72),1))</f>
        <v/>
      </c>
    </row>
    <row r="73">
      <c r="A73" s="47" t="n">
        <v>46116</v>
      </c>
      <c r="B73" s="38" t="inlineStr">
        <is>
          <t>J-0068</t>
        </is>
      </c>
      <c r="C73" s="38" t="inlineStr">
        <is>
          <t>Job: Standard Clean</t>
        </is>
      </c>
      <c r="D73" s="38" t="inlineStr">
        <is>
          <t>Home base</t>
        </is>
      </c>
      <c r="E73" s="38" t="inlineStr">
        <is>
          <t>964 Cedar Court</t>
        </is>
      </c>
      <c r="F73" s="128" t="n"/>
      <c r="G73" s="128" t="n"/>
      <c r="H73" s="129" t="n">
        <v>16.5</v>
      </c>
      <c r="I73" s="38" t="inlineStr">
        <is>
          <t>Dana Whitfield</t>
        </is>
      </c>
      <c r="J73" s="98">
        <f>IF(A73="","",IF(AND(F73&lt;&gt;"",G73&lt;&gt;""),MAX(0,G73-F73),N(H73)))</f>
        <v/>
      </c>
      <c r="K73" s="55">
        <f>IF(A73="","",ROUND(J73*MileRate,2))</f>
        <v/>
      </c>
      <c r="L73" s="51">
        <f>IF(A73="","",DATE(YEAR(A73),MONTH(A73),1))</f>
        <v/>
      </c>
    </row>
    <row r="74">
      <c r="A74" s="47" t="n">
        <v>46117</v>
      </c>
      <c r="B74" s="38" t="inlineStr">
        <is>
          <t>J-0069</t>
        </is>
      </c>
      <c r="C74" s="38" t="inlineStr">
        <is>
          <t>Job: Airbnb Turnover</t>
        </is>
      </c>
      <c r="D74" s="38" t="inlineStr">
        <is>
          <t>Home base</t>
        </is>
      </c>
      <c r="E74" s="38" t="inlineStr">
        <is>
          <t>654 Willow Way</t>
        </is>
      </c>
      <c r="F74" s="128" t="n"/>
      <c r="G74" s="128" t="n"/>
      <c r="H74" s="129" t="n">
        <v>23.1</v>
      </c>
      <c r="I74" s="38" t="inlineStr">
        <is>
          <t>Kevin Osei</t>
        </is>
      </c>
      <c r="J74" s="98">
        <f>IF(A74="","",IF(AND(F74&lt;&gt;"",G74&lt;&gt;""),MAX(0,G74-F74),N(H74)))</f>
        <v/>
      </c>
      <c r="K74" s="55">
        <f>IF(A74="","",ROUND(J74*MileRate,2))</f>
        <v/>
      </c>
      <c r="L74" s="51">
        <f>IF(A74="","",DATE(YEAR(A74),MONTH(A74),1))</f>
        <v/>
      </c>
    </row>
    <row r="75">
      <c r="A75" s="47" t="n">
        <v>46119</v>
      </c>
      <c r="B75" s="38" t="inlineStr">
        <is>
          <t>J-0070</t>
        </is>
      </c>
      <c r="C75" s="38" t="inlineStr">
        <is>
          <t>Job: Standard Clean</t>
        </is>
      </c>
      <c r="D75" s="38" t="inlineStr">
        <is>
          <t>Home base</t>
        </is>
      </c>
      <c r="E75" s="38" t="inlineStr">
        <is>
          <t>497 Aspen Drive</t>
        </is>
      </c>
      <c r="F75" s="128" t="n"/>
      <c r="G75" s="128" t="n"/>
      <c r="H75" s="129" t="n">
        <v>7.7</v>
      </c>
      <c r="I75" s="38" t="inlineStr">
        <is>
          <t>Maria Lopez</t>
        </is>
      </c>
      <c r="J75" s="98">
        <f>IF(A75="","",IF(AND(F75&lt;&gt;"",G75&lt;&gt;""),MAX(0,G75-F75),N(H75)))</f>
        <v/>
      </c>
      <c r="K75" s="55">
        <f>IF(A75="","",ROUND(J75*MileRate,2))</f>
        <v/>
      </c>
      <c r="L75" s="51">
        <f>IF(A75="","",DATE(YEAR(A75),MONTH(A75),1))</f>
        <v/>
      </c>
    </row>
    <row r="76">
      <c r="A76" s="47" t="n">
        <v>46121</v>
      </c>
      <c r="B76" s="38" t="inlineStr">
        <is>
          <t>J-0071</t>
        </is>
      </c>
      <c r="C76" s="38" t="inlineStr">
        <is>
          <t>Job: Deep Clean</t>
        </is>
      </c>
      <c r="D76" s="38" t="inlineStr">
        <is>
          <t>Home base</t>
        </is>
      </c>
      <c r="E76" s="38" t="inlineStr">
        <is>
          <t>868 Rowan Drive</t>
        </is>
      </c>
      <c r="F76" s="128" t="n"/>
      <c r="G76" s="128" t="n"/>
      <c r="H76" s="129" t="n">
        <v>12.2</v>
      </c>
      <c r="I76" s="38" t="inlineStr">
        <is>
          <t>Maria Lopez</t>
        </is>
      </c>
      <c r="J76" s="98">
        <f>IF(A76="","",IF(AND(F76&lt;&gt;"",G76&lt;&gt;""),MAX(0,G76-F76),N(H76)))</f>
        <v/>
      </c>
      <c r="K76" s="55">
        <f>IF(A76="","",ROUND(J76*MileRate,2))</f>
        <v/>
      </c>
      <c r="L76" s="51">
        <f>IF(A76="","",DATE(YEAR(A76),MONTH(A76),1))</f>
        <v/>
      </c>
    </row>
    <row r="77">
      <c r="A77" s="47" t="n">
        <v>46122</v>
      </c>
      <c r="B77" s="38" t="inlineStr">
        <is>
          <t>J-0072</t>
        </is>
      </c>
      <c r="C77" s="38" t="inlineStr">
        <is>
          <t>Job: Commercial Clean</t>
        </is>
      </c>
      <c r="D77" s="38" t="inlineStr">
        <is>
          <t>Home base</t>
        </is>
      </c>
      <c r="E77" s="38" t="inlineStr">
        <is>
          <t>738 Cedar Court</t>
        </is>
      </c>
      <c r="F77" s="128" t="n"/>
      <c r="G77" s="128" t="n"/>
      <c r="H77" s="129" t="n">
        <v>15</v>
      </c>
      <c r="I77" s="38" t="inlineStr">
        <is>
          <t>Kevin Osei</t>
        </is>
      </c>
      <c r="J77" s="98">
        <f>IF(A77="","",IF(AND(F77&lt;&gt;"",G77&lt;&gt;""),MAX(0,G77-F77),N(H77)))</f>
        <v/>
      </c>
      <c r="K77" s="55">
        <f>IF(A77="","",ROUND(J77*MileRate,2))</f>
        <v/>
      </c>
      <c r="L77" s="51">
        <f>IF(A77="","",DATE(YEAR(A77),MONTH(A77),1))</f>
        <v/>
      </c>
    </row>
    <row r="78">
      <c r="A78" s="47" t="n">
        <v>46122</v>
      </c>
      <c r="B78" s="38" t="inlineStr">
        <is>
          <t>J-0073</t>
        </is>
      </c>
      <c r="C78" s="38" t="inlineStr">
        <is>
          <t>Job: Commercial Clean</t>
        </is>
      </c>
      <c r="D78" s="38" t="inlineStr">
        <is>
          <t>Home base</t>
        </is>
      </c>
      <c r="E78" s="38" t="inlineStr">
        <is>
          <t>957 Hawthorn Road</t>
        </is>
      </c>
      <c r="F78" s="128" t="n"/>
      <c r="G78" s="128" t="n"/>
      <c r="H78" s="129" t="n">
        <v>15.3</v>
      </c>
      <c r="I78" s="38" t="inlineStr">
        <is>
          <t>Kevin Osei</t>
        </is>
      </c>
      <c r="J78" s="98">
        <f>IF(A78="","",IF(AND(F78&lt;&gt;"",G78&lt;&gt;""),MAX(0,G78-F78),N(H78)))</f>
        <v/>
      </c>
      <c r="K78" s="55">
        <f>IF(A78="","",ROUND(J78*MileRate,2))</f>
        <v/>
      </c>
      <c r="L78" s="51">
        <f>IF(A78="","",DATE(YEAR(A78),MONTH(A78),1))</f>
        <v/>
      </c>
    </row>
    <row r="79">
      <c r="A79" s="47" t="n">
        <v>46122</v>
      </c>
      <c r="B79" s="38" t="inlineStr">
        <is>
          <t>J-0074</t>
        </is>
      </c>
      <c r="C79" s="38" t="inlineStr">
        <is>
          <t>Job: Standard Clean</t>
        </is>
      </c>
      <c r="D79" s="38" t="inlineStr">
        <is>
          <t>Home base</t>
        </is>
      </c>
      <c r="E79" s="38" t="inlineStr">
        <is>
          <t>84 Hawthorn Road</t>
        </is>
      </c>
      <c r="F79" s="128" t="n"/>
      <c r="G79" s="128" t="n"/>
      <c r="H79" s="129" t="n">
        <v>6</v>
      </c>
      <c r="I79" s="38" t="inlineStr">
        <is>
          <t>Dana Whitfield</t>
        </is>
      </c>
      <c r="J79" s="98">
        <f>IF(A79="","",IF(AND(F79&lt;&gt;"",G79&lt;&gt;""),MAX(0,G79-F79),N(H79)))</f>
        <v/>
      </c>
      <c r="K79" s="55">
        <f>IF(A79="","",ROUND(J79*MileRate,2))</f>
        <v/>
      </c>
      <c r="L79" s="51">
        <f>IF(A79="","",DATE(YEAR(A79),MONTH(A79),1))</f>
        <v/>
      </c>
    </row>
    <row r="80">
      <c r="A80" s="47" t="n">
        <v>46123</v>
      </c>
      <c r="B80" s="38" t="inlineStr">
        <is>
          <t>J-0075</t>
        </is>
      </c>
      <c r="C80" s="38" t="inlineStr">
        <is>
          <t>Job: Standard Clean</t>
        </is>
      </c>
      <c r="D80" s="38" t="inlineStr">
        <is>
          <t>Home base</t>
        </is>
      </c>
      <c r="E80" s="38" t="inlineStr">
        <is>
          <t>21 Maple Avenue</t>
        </is>
      </c>
      <c r="F80" s="128" t="n"/>
      <c r="G80" s="128" t="n"/>
      <c r="H80" s="129" t="n">
        <v>10.8</v>
      </c>
      <c r="I80" s="38" t="inlineStr">
        <is>
          <t>Maria Lopez</t>
        </is>
      </c>
      <c r="J80" s="98">
        <f>IF(A80="","",IF(AND(F80&lt;&gt;"",G80&lt;&gt;""),MAX(0,G80-F80),N(H80)))</f>
        <v/>
      </c>
      <c r="K80" s="55">
        <f>IF(A80="","",ROUND(J80*MileRate,2))</f>
        <v/>
      </c>
      <c r="L80" s="51">
        <f>IF(A80="","",DATE(YEAR(A80),MONTH(A80),1))</f>
        <v/>
      </c>
    </row>
    <row r="81">
      <c r="A81" s="47" t="n">
        <v>46124</v>
      </c>
      <c r="B81" s="38" t="inlineStr">
        <is>
          <t>J-0076</t>
        </is>
      </c>
      <c r="C81" s="38" t="inlineStr">
        <is>
          <t>Job: Airbnb Turnover</t>
        </is>
      </c>
      <c r="D81" s="38" t="inlineStr">
        <is>
          <t>Home base</t>
        </is>
      </c>
      <c r="E81" s="38" t="inlineStr">
        <is>
          <t>192 Birch Lane</t>
        </is>
      </c>
      <c r="F81" s="128" t="n"/>
      <c r="G81" s="128" t="n"/>
      <c r="H81" s="129" t="n">
        <v>17.4</v>
      </c>
      <c r="I81" s="38" t="inlineStr">
        <is>
          <t>Kevin Osei</t>
        </is>
      </c>
      <c r="J81" s="98">
        <f>IF(A81="","",IF(AND(F81&lt;&gt;"",G81&lt;&gt;""),MAX(0,G81-F81),N(H81)))</f>
        <v/>
      </c>
      <c r="K81" s="55">
        <f>IF(A81="","",ROUND(J81*MileRate,2))</f>
        <v/>
      </c>
      <c r="L81" s="51">
        <f>IF(A81="","",DATE(YEAR(A81),MONTH(A81),1))</f>
        <v/>
      </c>
    </row>
    <row r="82">
      <c r="A82" s="47" t="n">
        <v>46126</v>
      </c>
      <c r="B82" s="38" t="inlineStr">
        <is>
          <t>J-0077</t>
        </is>
      </c>
      <c r="C82" s="38" t="inlineStr">
        <is>
          <t>Job: Standard Clean</t>
        </is>
      </c>
      <c r="D82" s="38" t="inlineStr">
        <is>
          <t>Home base</t>
        </is>
      </c>
      <c r="E82" s="38" t="inlineStr">
        <is>
          <t>497 Aspen Drive</t>
        </is>
      </c>
      <c r="F82" s="128" t="n"/>
      <c r="G82" s="128" t="n"/>
      <c r="H82" s="129" t="n">
        <v>7.6</v>
      </c>
      <c r="I82" s="38" t="inlineStr">
        <is>
          <t>Maria Lopez</t>
        </is>
      </c>
      <c r="J82" s="98">
        <f>IF(A82="","",IF(AND(F82&lt;&gt;"",G82&lt;&gt;""),MAX(0,G82-F82),N(H82)))</f>
        <v/>
      </c>
      <c r="K82" s="55">
        <f>IF(A82="","",ROUND(J82*MileRate,2))</f>
        <v/>
      </c>
      <c r="L82" s="51">
        <f>IF(A82="","",DATE(YEAR(A82),MONTH(A82),1))</f>
        <v/>
      </c>
    </row>
    <row r="83">
      <c r="A83" s="47" t="n">
        <v>46126</v>
      </c>
      <c r="B83" s="38" t="inlineStr">
        <is>
          <t>J-0078</t>
        </is>
      </c>
      <c r="C83" s="38" t="inlineStr">
        <is>
          <t>Job: Airbnb Turnover</t>
        </is>
      </c>
      <c r="D83" s="38" t="inlineStr">
        <is>
          <t>Home base</t>
        </is>
      </c>
      <c r="E83" s="38" t="inlineStr">
        <is>
          <t>666 Juniper Street</t>
        </is>
      </c>
      <c r="F83" s="128" t="n"/>
      <c r="G83" s="128" t="n"/>
      <c r="H83" s="129" t="n">
        <v>14.7</v>
      </c>
      <c r="I83" s="38" t="inlineStr">
        <is>
          <t>Kevin Osei</t>
        </is>
      </c>
      <c r="J83" s="98">
        <f>IF(A83="","",IF(AND(F83&lt;&gt;"",G83&lt;&gt;""),MAX(0,G83-F83),N(H83)))</f>
        <v/>
      </c>
      <c r="K83" s="55">
        <f>IF(A83="","",ROUND(J83*MileRate,2))</f>
        <v/>
      </c>
      <c r="L83" s="51">
        <f>IF(A83="","",DATE(YEAR(A83),MONTH(A83),1))</f>
        <v/>
      </c>
    </row>
    <row r="84">
      <c r="A84" s="47" t="n">
        <v>46126</v>
      </c>
      <c r="B84" s="38" t="inlineStr">
        <is>
          <t>J-0079</t>
        </is>
      </c>
      <c r="C84" s="38" t="inlineStr">
        <is>
          <t>Job: Airbnb Turnover</t>
        </is>
      </c>
      <c r="D84" s="38" t="inlineStr">
        <is>
          <t>Home base</t>
        </is>
      </c>
      <c r="E84" s="38" t="inlineStr">
        <is>
          <t>654 Willow Way</t>
        </is>
      </c>
      <c r="F84" s="128" t="n"/>
      <c r="G84" s="128" t="n"/>
      <c r="H84" s="129" t="n">
        <v>23.5</v>
      </c>
      <c r="I84" s="38" t="inlineStr">
        <is>
          <t>Kevin Osei</t>
        </is>
      </c>
      <c r="J84" s="98">
        <f>IF(A84="","",IF(AND(F84&lt;&gt;"",G84&lt;&gt;""),MAX(0,G84-F84),N(H84)))</f>
        <v/>
      </c>
      <c r="K84" s="55">
        <f>IF(A84="","",ROUND(J84*MileRate,2))</f>
        <v/>
      </c>
      <c r="L84" s="51">
        <f>IF(A84="","",DATE(YEAR(A84),MONTH(A84),1))</f>
        <v/>
      </c>
    </row>
    <row r="85">
      <c r="A85" s="47" t="n">
        <v>46127</v>
      </c>
      <c r="B85" s="38" t="inlineStr">
        <is>
          <t>J-0080</t>
        </is>
      </c>
      <c r="C85" s="38" t="inlineStr">
        <is>
          <t>Job: Standard Clean</t>
        </is>
      </c>
      <c r="D85" s="38" t="inlineStr">
        <is>
          <t>Home base</t>
        </is>
      </c>
      <c r="E85" s="38" t="inlineStr">
        <is>
          <t>675 Aspen Drive</t>
        </is>
      </c>
      <c r="F85" s="128" t="n">
        <v>41656</v>
      </c>
      <c r="G85" s="128" t="n">
        <v>41670</v>
      </c>
      <c r="H85" s="129" t="n"/>
      <c r="I85" s="38" t="inlineStr">
        <is>
          <t>Dana Whitfield</t>
        </is>
      </c>
      <c r="J85" s="98">
        <f>IF(A85="","",IF(AND(F85&lt;&gt;"",G85&lt;&gt;""),MAX(0,G85-F85),N(H85)))</f>
        <v/>
      </c>
      <c r="K85" s="55">
        <f>IF(A85="","",ROUND(J85*MileRate,2))</f>
        <v/>
      </c>
      <c r="L85" s="51">
        <f>IF(A85="","",DATE(YEAR(A85),MONTH(A85),1))</f>
        <v/>
      </c>
    </row>
    <row r="86">
      <c r="A86" s="47" t="n">
        <v>46129</v>
      </c>
      <c r="B86" s="38" t="inlineStr">
        <is>
          <t>J-0081</t>
        </is>
      </c>
      <c r="C86" s="38" t="inlineStr">
        <is>
          <t>Job: Standard Clean</t>
        </is>
      </c>
      <c r="D86" s="38" t="inlineStr">
        <is>
          <t>Home base</t>
        </is>
      </c>
      <c r="E86" s="38" t="inlineStr">
        <is>
          <t>876 Magnolia Circle</t>
        </is>
      </c>
      <c r="F86" s="128" t="n"/>
      <c r="G86" s="128" t="n"/>
      <c r="H86" s="129" t="n">
        <v>10.2</v>
      </c>
      <c r="I86" s="38" t="inlineStr">
        <is>
          <t>Maria Lopez</t>
        </is>
      </c>
      <c r="J86" s="98">
        <f>IF(A86="","",IF(AND(F86&lt;&gt;"",G86&lt;&gt;""),MAX(0,G86-F86),N(H86)))</f>
        <v/>
      </c>
      <c r="K86" s="55">
        <f>IF(A86="","",ROUND(J86*MileRate,2))</f>
        <v/>
      </c>
      <c r="L86" s="51">
        <f>IF(A86="","",DATE(YEAR(A86),MONTH(A86),1))</f>
        <v/>
      </c>
    </row>
    <row r="87">
      <c r="A87" s="47" t="n">
        <v>46129</v>
      </c>
      <c r="B87" s="38" t="inlineStr">
        <is>
          <t>J-0082</t>
        </is>
      </c>
      <c r="C87" s="38" t="inlineStr">
        <is>
          <t>Job: Commercial Clean</t>
        </is>
      </c>
      <c r="D87" s="38" t="inlineStr">
        <is>
          <t>Home base</t>
        </is>
      </c>
      <c r="E87" s="38" t="inlineStr">
        <is>
          <t>738 Cedar Court</t>
        </is>
      </c>
      <c r="F87" s="128" t="n"/>
      <c r="G87" s="128" t="n"/>
      <c r="H87" s="129" t="n">
        <v>20.4</v>
      </c>
      <c r="I87" s="38" t="inlineStr">
        <is>
          <t>Kevin Osei</t>
        </is>
      </c>
      <c r="J87" s="98">
        <f>IF(A87="","",IF(AND(F87&lt;&gt;"",G87&lt;&gt;""),MAX(0,G87-F87),N(H87)))</f>
        <v/>
      </c>
      <c r="K87" s="55">
        <f>IF(A87="","",ROUND(J87*MileRate,2))</f>
        <v/>
      </c>
      <c r="L87" s="51">
        <f>IF(A87="","",DATE(YEAR(A87),MONTH(A87),1))</f>
        <v/>
      </c>
    </row>
    <row r="88">
      <c r="A88" s="47" t="n">
        <v>46130</v>
      </c>
      <c r="B88" s="38" t="inlineStr">
        <is>
          <t>J-0084</t>
        </is>
      </c>
      <c r="C88" s="38" t="inlineStr">
        <is>
          <t>Job: Standard Clean</t>
        </is>
      </c>
      <c r="D88" s="38" t="inlineStr">
        <is>
          <t>Home base</t>
        </is>
      </c>
      <c r="E88" s="38" t="inlineStr">
        <is>
          <t>964 Cedar Court</t>
        </is>
      </c>
      <c r="F88" s="128" t="n"/>
      <c r="G88" s="128" t="n"/>
      <c r="H88" s="129" t="n">
        <v>22.3</v>
      </c>
      <c r="I88" s="38" t="inlineStr">
        <is>
          <t>Dana Whitfield</t>
        </is>
      </c>
      <c r="J88" s="98">
        <f>IF(A88="","",IF(AND(F88&lt;&gt;"",G88&lt;&gt;""),MAX(0,G88-F88),N(H88)))</f>
        <v/>
      </c>
      <c r="K88" s="55">
        <f>IF(A88="","",ROUND(J88*MileRate,2))</f>
        <v/>
      </c>
      <c r="L88" s="51">
        <f>IF(A88="","",DATE(YEAR(A88),MONTH(A88),1))</f>
        <v/>
      </c>
    </row>
    <row r="89">
      <c r="A89" s="47" t="n">
        <v>46131</v>
      </c>
      <c r="B89" s="38" t="inlineStr">
        <is>
          <t>J-0085</t>
        </is>
      </c>
      <c r="C89" s="38" t="inlineStr">
        <is>
          <t>Job: Airbnb Turnover</t>
        </is>
      </c>
      <c r="D89" s="38" t="inlineStr">
        <is>
          <t>Home base</t>
        </is>
      </c>
      <c r="E89" s="38" t="inlineStr">
        <is>
          <t>412 Linden Place</t>
        </is>
      </c>
      <c r="F89" s="128" t="n"/>
      <c r="G89" s="128" t="n"/>
      <c r="H89" s="129" t="n">
        <v>13.7</v>
      </c>
      <c r="I89" s="38" t="inlineStr">
        <is>
          <t>Kevin Osei</t>
        </is>
      </c>
      <c r="J89" s="98">
        <f>IF(A89="","",IF(AND(F89&lt;&gt;"",G89&lt;&gt;""),MAX(0,G89-F89),N(H89)))</f>
        <v/>
      </c>
      <c r="K89" s="55">
        <f>IF(A89="","",ROUND(J89*MileRate,2))</f>
        <v/>
      </c>
      <c r="L89" s="51">
        <f>IF(A89="","",DATE(YEAR(A89),MONTH(A89),1))</f>
        <v/>
      </c>
    </row>
    <row r="90">
      <c r="A90" s="47" t="n">
        <v>46132</v>
      </c>
      <c r="B90" s="38" t="n"/>
      <c r="C90" s="38" t="inlineStr">
        <is>
          <t>Supply run</t>
        </is>
      </c>
      <c r="D90" s="38" t="inlineStr">
        <is>
          <t>Home base</t>
        </is>
      </c>
      <c r="E90" s="38" t="inlineStr">
        <is>
          <t>Supply store</t>
        </is>
      </c>
      <c r="F90" s="128" t="n"/>
      <c r="G90" s="128" t="n"/>
      <c r="H90" s="129" t="n">
        <v>11.5</v>
      </c>
      <c r="I90" s="38" t="inlineStr">
        <is>
          <t>Jordan Rivera</t>
        </is>
      </c>
      <c r="J90" s="98">
        <f>IF(A90="","",IF(AND(F90&lt;&gt;"",G90&lt;&gt;""),MAX(0,G90-F90),N(H90)))</f>
        <v/>
      </c>
      <c r="K90" s="55">
        <f>IF(A90="","",ROUND(J90*MileRate,2))</f>
        <v/>
      </c>
      <c r="L90" s="51">
        <f>IF(A90="","",DATE(YEAR(A90),MONTH(A90),1))</f>
        <v/>
      </c>
    </row>
    <row r="91">
      <c r="A91" s="47" t="n">
        <v>46133</v>
      </c>
      <c r="B91" s="38" t="inlineStr">
        <is>
          <t>J-0086</t>
        </is>
      </c>
      <c r="C91" s="38" t="inlineStr">
        <is>
          <t>Job: Standard Clean</t>
        </is>
      </c>
      <c r="D91" s="38" t="inlineStr">
        <is>
          <t>Home base</t>
        </is>
      </c>
      <c r="E91" s="38" t="inlineStr">
        <is>
          <t>497 Aspen Drive</t>
        </is>
      </c>
      <c r="F91" s="128" t="n"/>
      <c r="G91" s="128" t="n"/>
      <c r="H91" s="129" t="n">
        <v>23</v>
      </c>
      <c r="I91" s="38" t="inlineStr">
        <is>
          <t>Maria Lopez</t>
        </is>
      </c>
      <c r="J91" s="98">
        <f>IF(A91="","",IF(AND(F91&lt;&gt;"",G91&lt;&gt;""),MAX(0,G91-F91),N(H91)))</f>
        <v/>
      </c>
      <c r="K91" s="55">
        <f>IF(A91="","",ROUND(J91*MileRate,2))</f>
        <v/>
      </c>
      <c r="L91" s="51">
        <f>IF(A91="","",DATE(YEAR(A91),MONTH(A91),1))</f>
        <v/>
      </c>
    </row>
    <row r="92">
      <c r="A92" s="47" t="n">
        <v>46133</v>
      </c>
      <c r="B92" s="38" t="inlineStr">
        <is>
          <t>J-0087</t>
        </is>
      </c>
      <c r="C92" s="38" t="inlineStr">
        <is>
          <t>Job: Airbnb Turnover</t>
        </is>
      </c>
      <c r="D92" s="38" t="inlineStr">
        <is>
          <t>Home base</t>
        </is>
      </c>
      <c r="E92" s="38" t="inlineStr">
        <is>
          <t>192 Birch Lane</t>
        </is>
      </c>
      <c r="F92" s="128" t="n"/>
      <c r="G92" s="128" t="n"/>
      <c r="H92" s="129" t="n">
        <v>14.7</v>
      </c>
      <c r="I92" s="38" t="inlineStr">
        <is>
          <t>Kevin Osei</t>
        </is>
      </c>
      <c r="J92" s="98">
        <f>IF(A92="","",IF(AND(F92&lt;&gt;"",G92&lt;&gt;""),MAX(0,G92-F92),N(H92)))</f>
        <v/>
      </c>
      <c r="K92" s="55">
        <f>IF(A92="","",ROUND(J92*MileRate,2))</f>
        <v/>
      </c>
      <c r="L92" s="51">
        <f>IF(A92="","",DATE(YEAR(A92),MONTH(A92),1))</f>
        <v/>
      </c>
    </row>
    <row r="93">
      <c r="A93" s="47" t="n">
        <v>46133</v>
      </c>
      <c r="B93" s="38" t="inlineStr">
        <is>
          <t>J-0088</t>
        </is>
      </c>
      <c r="C93" s="38" t="inlineStr">
        <is>
          <t>Job: Standard Clean</t>
        </is>
      </c>
      <c r="D93" s="38" t="inlineStr">
        <is>
          <t>Home base</t>
        </is>
      </c>
      <c r="E93" s="38" t="inlineStr">
        <is>
          <t>102 Hawthorn Road</t>
        </is>
      </c>
      <c r="F93" s="128" t="n"/>
      <c r="G93" s="128" t="n"/>
      <c r="H93" s="129" t="n">
        <v>21.1</v>
      </c>
      <c r="I93" s="38" t="inlineStr">
        <is>
          <t>Dana Whitfield</t>
        </is>
      </c>
      <c r="J93" s="98">
        <f>IF(A93="","",IF(AND(F93&lt;&gt;"",G93&lt;&gt;""),MAX(0,G93-F93),N(H93)))</f>
        <v/>
      </c>
      <c r="K93" s="55">
        <f>IF(A93="","",ROUND(J93*MileRate,2))</f>
        <v/>
      </c>
      <c r="L93" s="51">
        <f>IF(A93="","",DATE(YEAR(A93),MONTH(A93),1))</f>
        <v/>
      </c>
    </row>
    <row r="94">
      <c r="A94" s="47" t="n">
        <v>46136</v>
      </c>
      <c r="B94" s="38" t="inlineStr">
        <is>
          <t>J-0089</t>
        </is>
      </c>
      <c r="C94" s="38" t="inlineStr">
        <is>
          <t>Job: Commercial Clean</t>
        </is>
      </c>
      <c r="D94" s="38" t="inlineStr">
        <is>
          <t>Home base</t>
        </is>
      </c>
      <c r="E94" s="38" t="inlineStr">
        <is>
          <t>738 Cedar Court</t>
        </is>
      </c>
      <c r="F94" s="128" t="n"/>
      <c r="G94" s="128" t="n"/>
      <c r="H94" s="129" t="n">
        <v>12.2</v>
      </c>
      <c r="I94" s="38" t="inlineStr">
        <is>
          <t>Kevin Osei</t>
        </is>
      </c>
      <c r="J94" s="98">
        <f>IF(A94="","",IF(AND(F94&lt;&gt;"",G94&lt;&gt;""),MAX(0,G94-F94),N(H94)))</f>
        <v/>
      </c>
      <c r="K94" s="55">
        <f>IF(A94="","",ROUND(J94*MileRate,2))</f>
        <v/>
      </c>
      <c r="L94" s="51">
        <f>IF(A94="","",DATE(YEAR(A94),MONTH(A94),1))</f>
        <v/>
      </c>
    </row>
    <row r="95">
      <c r="A95" s="47" t="n">
        <v>46136</v>
      </c>
      <c r="B95" s="38" t="inlineStr">
        <is>
          <t>J-0090</t>
        </is>
      </c>
      <c r="C95" s="38" t="inlineStr">
        <is>
          <t>Job: Commercial Clean</t>
        </is>
      </c>
      <c r="D95" s="38" t="inlineStr">
        <is>
          <t>Home base</t>
        </is>
      </c>
      <c r="E95" s="38" t="inlineStr">
        <is>
          <t>957 Hawthorn Road</t>
        </is>
      </c>
      <c r="F95" s="128" t="n"/>
      <c r="G95" s="128" t="n"/>
      <c r="H95" s="129" t="n">
        <v>9.9</v>
      </c>
      <c r="I95" s="38" t="inlineStr">
        <is>
          <t>Kevin Osei</t>
        </is>
      </c>
      <c r="J95" s="98">
        <f>IF(A95="","",IF(AND(F95&lt;&gt;"",G95&lt;&gt;""),MAX(0,G95-F95),N(H95)))</f>
        <v/>
      </c>
      <c r="K95" s="55">
        <f>IF(A95="","",ROUND(J95*MileRate,2))</f>
        <v/>
      </c>
      <c r="L95" s="51">
        <f>IF(A95="","",DATE(YEAR(A95),MONTH(A95),1))</f>
        <v/>
      </c>
    </row>
    <row r="96">
      <c r="A96" s="47" t="n">
        <v>46137</v>
      </c>
      <c r="B96" s="38" t="inlineStr">
        <is>
          <t>J-0091</t>
        </is>
      </c>
      <c r="C96" s="38" t="inlineStr">
        <is>
          <t>Job: Standard Clean</t>
        </is>
      </c>
      <c r="D96" s="38" t="inlineStr">
        <is>
          <t>Home base</t>
        </is>
      </c>
      <c r="E96" s="38" t="inlineStr">
        <is>
          <t>21 Maple Avenue</t>
        </is>
      </c>
      <c r="F96" s="128" t="n"/>
      <c r="G96" s="128" t="n"/>
      <c r="H96" s="129" t="n">
        <v>20.5</v>
      </c>
      <c r="I96" s="38" t="inlineStr">
        <is>
          <t>Maria Lopez</t>
        </is>
      </c>
      <c r="J96" s="98">
        <f>IF(A96="","",IF(AND(F96&lt;&gt;"",G96&lt;&gt;""),MAX(0,G96-F96),N(H96)))</f>
        <v/>
      </c>
      <c r="K96" s="55">
        <f>IF(A96="","",ROUND(J96*MileRate,2))</f>
        <v/>
      </c>
      <c r="L96" s="51">
        <f>IF(A96="","",DATE(YEAR(A96),MONTH(A96),1))</f>
        <v/>
      </c>
    </row>
    <row r="97">
      <c r="A97" s="47" t="n">
        <v>46138</v>
      </c>
      <c r="B97" s="38" t="inlineStr">
        <is>
          <t>J-0092</t>
        </is>
      </c>
      <c r="C97" s="38" t="inlineStr">
        <is>
          <t>Job: Airbnb Turnover</t>
        </is>
      </c>
      <c r="D97" s="38" t="inlineStr">
        <is>
          <t>Home base</t>
        </is>
      </c>
      <c r="E97" s="38" t="inlineStr">
        <is>
          <t>654 Willow Way</t>
        </is>
      </c>
      <c r="F97" s="128" t="n"/>
      <c r="G97" s="128" t="n"/>
      <c r="H97" s="129" t="n">
        <v>22.5</v>
      </c>
      <c r="I97" s="38" t="inlineStr">
        <is>
          <t>Kevin Osei</t>
        </is>
      </c>
      <c r="J97" s="98">
        <f>IF(A97="","",IF(AND(F97&lt;&gt;"",G97&lt;&gt;""),MAX(0,G97-F97),N(H97)))</f>
        <v/>
      </c>
      <c r="K97" s="55">
        <f>IF(A97="","",ROUND(J97*MileRate,2))</f>
        <v/>
      </c>
      <c r="L97" s="51">
        <f>IF(A97="","",DATE(YEAR(A97),MONTH(A97),1))</f>
        <v/>
      </c>
    </row>
    <row r="98">
      <c r="A98" s="47" t="n">
        <v>46139</v>
      </c>
      <c r="B98" s="38" t="inlineStr">
        <is>
          <t>J-0093</t>
        </is>
      </c>
      <c r="C98" s="38" t="inlineStr">
        <is>
          <t>Job: Deep Clean</t>
        </is>
      </c>
      <c r="D98" s="38" t="inlineStr">
        <is>
          <t>Home base</t>
        </is>
      </c>
      <c r="E98" s="38" t="inlineStr">
        <is>
          <t>348 Hazel Court</t>
        </is>
      </c>
      <c r="F98" s="128" t="n"/>
      <c r="G98" s="128" t="n"/>
      <c r="H98" s="129" t="n">
        <v>20.4</v>
      </c>
      <c r="I98" s="38" t="inlineStr">
        <is>
          <t>Maria Lopez</t>
        </is>
      </c>
      <c r="J98" s="98">
        <f>IF(A98="","",IF(AND(F98&lt;&gt;"",G98&lt;&gt;""),MAX(0,G98-F98),N(H98)))</f>
        <v/>
      </c>
      <c r="K98" s="55">
        <f>IF(A98="","",ROUND(J98*MileRate,2))</f>
        <v/>
      </c>
      <c r="L98" s="51">
        <f>IF(A98="","",DATE(YEAR(A98),MONTH(A98),1))</f>
        <v/>
      </c>
    </row>
    <row r="99">
      <c r="A99" s="47" t="n">
        <v>46139</v>
      </c>
      <c r="B99" s="38" t="inlineStr">
        <is>
          <t>J-0094</t>
        </is>
      </c>
      <c r="C99" s="38" t="inlineStr">
        <is>
          <t>Job: Standard Clean</t>
        </is>
      </c>
      <c r="D99" s="38" t="inlineStr">
        <is>
          <t>Home base</t>
        </is>
      </c>
      <c r="E99" s="38" t="inlineStr">
        <is>
          <t>667 Willow Way</t>
        </is>
      </c>
      <c r="F99" s="128" t="n"/>
      <c r="G99" s="128" t="n"/>
      <c r="H99" s="129" t="n">
        <v>20.6</v>
      </c>
      <c r="I99" s="38" t="inlineStr">
        <is>
          <t>Maria Lopez</t>
        </is>
      </c>
      <c r="J99" s="98">
        <f>IF(A99="","",IF(AND(F99&lt;&gt;"",G99&lt;&gt;""),MAX(0,G99-F99),N(H99)))</f>
        <v/>
      </c>
      <c r="K99" s="55">
        <f>IF(A99="","",ROUND(J99*MileRate,2))</f>
        <v/>
      </c>
      <c r="L99" s="51">
        <f>IF(A99="","",DATE(YEAR(A99),MONTH(A99),1))</f>
        <v/>
      </c>
    </row>
    <row r="100">
      <c r="A100" s="47" t="n">
        <v>46140</v>
      </c>
      <c r="B100" s="38" t="inlineStr">
        <is>
          <t>J-0095</t>
        </is>
      </c>
      <c r="C100" s="38" t="inlineStr">
        <is>
          <t>Job: Standard Clean</t>
        </is>
      </c>
      <c r="D100" s="38" t="inlineStr">
        <is>
          <t>Home base</t>
        </is>
      </c>
      <c r="E100" s="38" t="inlineStr">
        <is>
          <t>497 Aspen Drive</t>
        </is>
      </c>
      <c r="F100" s="128" t="n"/>
      <c r="G100" s="128" t="n"/>
      <c r="H100" s="129" t="n">
        <v>9.199999999999999</v>
      </c>
      <c r="I100" s="38" t="inlineStr">
        <is>
          <t>Maria Lopez</t>
        </is>
      </c>
      <c r="J100" s="98">
        <f>IF(A100="","",IF(AND(F100&lt;&gt;"",G100&lt;&gt;""),MAX(0,G100-F100),N(H100)))</f>
        <v/>
      </c>
      <c r="K100" s="55">
        <f>IF(A100="","",ROUND(J100*MileRate,2))</f>
        <v/>
      </c>
      <c r="L100" s="51">
        <f>IF(A100="","",DATE(YEAR(A100),MONTH(A100),1))</f>
        <v/>
      </c>
    </row>
    <row r="101">
      <c r="A101" s="47" t="n">
        <v>46140</v>
      </c>
      <c r="B101" s="38" t="inlineStr">
        <is>
          <t>J-0096</t>
        </is>
      </c>
      <c r="C101" s="38" t="inlineStr">
        <is>
          <t>Job: Airbnb Turnover</t>
        </is>
      </c>
      <c r="D101" s="38" t="inlineStr">
        <is>
          <t>Home base</t>
        </is>
      </c>
      <c r="E101" s="38" t="inlineStr">
        <is>
          <t>666 Juniper Street</t>
        </is>
      </c>
      <c r="F101" s="128" t="n"/>
      <c r="G101" s="128" t="n"/>
      <c r="H101" s="129" t="n">
        <v>11.5</v>
      </c>
      <c r="I101" s="38" t="inlineStr">
        <is>
          <t>Kevin Osei</t>
        </is>
      </c>
      <c r="J101" s="98">
        <f>IF(A101="","",IF(AND(F101&lt;&gt;"",G101&lt;&gt;""),MAX(0,G101-F101),N(H101)))</f>
        <v/>
      </c>
      <c r="K101" s="55">
        <f>IF(A101="","",ROUND(J101*MileRate,2))</f>
        <v/>
      </c>
      <c r="L101" s="51">
        <f>IF(A101="","",DATE(YEAR(A101),MONTH(A101),1))</f>
        <v/>
      </c>
    </row>
    <row r="102">
      <c r="A102" s="47" t="n">
        <v>46140</v>
      </c>
      <c r="B102" s="38" t="inlineStr">
        <is>
          <t>J-0097</t>
        </is>
      </c>
      <c r="C102" s="38" t="inlineStr">
        <is>
          <t>Job: Airbnb Turnover</t>
        </is>
      </c>
      <c r="D102" s="38" t="inlineStr">
        <is>
          <t>Home base</t>
        </is>
      </c>
      <c r="E102" s="38" t="inlineStr">
        <is>
          <t>412 Linden Place</t>
        </is>
      </c>
      <c r="F102" s="128" t="n">
        <v>56771</v>
      </c>
      <c r="G102" s="128" t="n">
        <v>56793</v>
      </c>
      <c r="H102" s="129" t="n"/>
      <c r="I102" s="38" t="inlineStr">
        <is>
          <t>Kevin Osei</t>
        </is>
      </c>
      <c r="J102" s="98">
        <f>IF(A102="","",IF(AND(F102&lt;&gt;"",G102&lt;&gt;""),MAX(0,G102-F102),N(H102)))</f>
        <v/>
      </c>
      <c r="K102" s="55">
        <f>IF(A102="","",ROUND(J102*MileRate,2))</f>
        <v/>
      </c>
      <c r="L102" s="51">
        <f>IF(A102="","",DATE(YEAR(A102),MONTH(A102),1))</f>
        <v/>
      </c>
    </row>
    <row r="103">
      <c r="A103" s="47" t="n">
        <v>46141</v>
      </c>
      <c r="B103" s="38" t="inlineStr">
        <is>
          <t>J-0098</t>
        </is>
      </c>
      <c r="C103" s="38" t="inlineStr">
        <is>
          <t>Job: Standard Clean</t>
        </is>
      </c>
      <c r="D103" s="38" t="inlineStr">
        <is>
          <t>Home base</t>
        </is>
      </c>
      <c r="E103" s="38" t="inlineStr">
        <is>
          <t>675 Aspen Drive</t>
        </is>
      </c>
      <c r="F103" s="128" t="n"/>
      <c r="G103" s="128" t="n"/>
      <c r="H103" s="129" t="n">
        <v>17.8</v>
      </c>
      <c r="I103" s="38" t="inlineStr">
        <is>
          <t>Dana Whitfield</t>
        </is>
      </c>
      <c r="J103" s="98">
        <f>IF(A103="","",IF(AND(F103&lt;&gt;"",G103&lt;&gt;""),MAX(0,G103-F103),N(H103)))</f>
        <v/>
      </c>
      <c r="K103" s="55">
        <f>IF(A103="","",ROUND(J103*MileRate,2))</f>
        <v/>
      </c>
      <c r="L103" s="51">
        <f>IF(A103="","",DATE(YEAR(A103),MONTH(A103),1))</f>
        <v/>
      </c>
    </row>
    <row r="104">
      <c r="A104" s="47" t="n">
        <v>46143</v>
      </c>
      <c r="B104" s="38" t="inlineStr">
        <is>
          <t>J-0099</t>
        </is>
      </c>
      <c r="C104" s="38" t="inlineStr">
        <is>
          <t>Job: Standard Clean</t>
        </is>
      </c>
      <c r="D104" s="38" t="inlineStr">
        <is>
          <t>Home base</t>
        </is>
      </c>
      <c r="E104" s="38" t="inlineStr">
        <is>
          <t>876 Magnolia Circle</t>
        </is>
      </c>
      <c r="F104" s="128" t="n"/>
      <c r="G104" s="128" t="n"/>
      <c r="H104" s="129" t="n">
        <v>17.6</v>
      </c>
      <c r="I104" s="38" t="inlineStr">
        <is>
          <t>Maria Lopez</t>
        </is>
      </c>
      <c r="J104" s="98">
        <f>IF(A104="","",IF(AND(F104&lt;&gt;"",G104&lt;&gt;""),MAX(0,G104-F104),N(H104)))</f>
        <v/>
      </c>
      <c r="K104" s="55">
        <f>IF(A104="","",ROUND(J104*MileRate,2))</f>
        <v/>
      </c>
      <c r="L104" s="51">
        <f>IF(A104="","",DATE(YEAR(A104),MONTH(A104),1))</f>
        <v/>
      </c>
    </row>
    <row r="105">
      <c r="A105" s="47" t="n">
        <v>46143</v>
      </c>
      <c r="B105" s="38" t="inlineStr">
        <is>
          <t>J-0100</t>
        </is>
      </c>
      <c r="C105" s="38" t="inlineStr">
        <is>
          <t>Job: Airbnb Turnover</t>
        </is>
      </c>
      <c r="D105" s="38" t="inlineStr">
        <is>
          <t>Home base</t>
        </is>
      </c>
      <c r="E105" s="38" t="inlineStr">
        <is>
          <t>192 Birch Lane</t>
        </is>
      </c>
      <c r="F105" s="128" t="n"/>
      <c r="G105" s="128" t="n"/>
      <c r="H105" s="129" t="n">
        <v>13.2</v>
      </c>
      <c r="I105" s="38" t="inlineStr">
        <is>
          <t>Kevin Osei</t>
        </is>
      </c>
      <c r="J105" s="98">
        <f>IF(A105="","",IF(AND(F105&lt;&gt;"",G105&lt;&gt;""),MAX(0,G105-F105),N(H105)))</f>
        <v/>
      </c>
      <c r="K105" s="55">
        <f>IF(A105="","",ROUND(J105*MileRate,2))</f>
        <v/>
      </c>
      <c r="L105" s="51">
        <f>IF(A105="","",DATE(YEAR(A105),MONTH(A105),1))</f>
        <v/>
      </c>
    </row>
    <row r="106">
      <c r="A106" s="47" t="n">
        <v>46143</v>
      </c>
      <c r="B106" s="38" t="inlineStr">
        <is>
          <t>J-0101</t>
        </is>
      </c>
      <c r="C106" s="38" t="inlineStr">
        <is>
          <t>Job: Commercial Clean</t>
        </is>
      </c>
      <c r="D106" s="38" t="inlineStr">
        <is>
          <t>Home base</t>
        </is>
      </c>
      <c r="E106" s="38" t="inlineStr">
        <is>
          <t>738 Cedar Court</t>
        </is>
      </c>
      <c r="F106" s="128" t="n"/>
      <c r="G106" s="128" t="n"/>
      <c r="H106" s="129" t="n">
        <v>21.6</v>
      </c>
      <c r="I106" s="38" t="inlineStr">
        <is>
          <t>Kevin Osei</t>
        </is>
      </c>
      <c r="J106" s="98">
        <f>IF(A106="","",IF(AND(F106&lt;&gt;"",G106&lt;&gt;""),MAX(0,G106-F106),N(H106)))</f>
        <v/>
      </c>
      <c r="K106" s="55">
        <f>IF(A106="","",ROUND(J106*MileRate,2))</f>
        <v/>
      </c>
      <c r="L106" s="51">
        <f>IF(A106="","",DATE(YEAR(A106),MONTH(A106),1))</f>
        <v/>
      </c>
    </row>
    <row r="107">
      <c r="A107" s="47" t="n">
        <v>46143</v>
      </c>
      <c r="B107" s="38" t="inlineStr">
        <is>
          <t>J-0102</t>
        </is>
      </c>
      <c r="C107" s="38" t="inlineStr">
        <is>
          <t>Job: Commercial Clean</t>
        </is>
      </c>
      <c r="D107" s="38" t="inlineStr">
        <is>
          <t>Home base</t>
        </is>
      </c>
      <c r="E107" s="38" t="inlineStr">
        <is>
          <t>957 Hawthorn Road</t>
        </is>
      </c>
      <c r="F107" s="128" t="n"/>
      <c r="G107" s="128" t="n"/>
      <c r="H107" s="129" t="n">
        <v>8.9</v>
      </c>
      <c r="I107" s="38" t="inlineStr">
        <is>
          <t>Kevin Osei</t>
        </is>
      </c>
      <c r="J107" s="98">
        <f>IF(A107="","",IF(AND(F107&lt;&gt;"",G107&lt;&gt;""),MAX(0,G107-F107),N(H107)))</f>
        <v/>
      </c>
      <c r="K107" s="55">
        <f>IF(A107="","",ROUND(J107*MileRate,2))</f>
        <v/>
      </c>
      <c r="L107" s="51">
        <f>IF(A107="","",DATE(YEAR(A107),MONTH(A107),1))</f>
        <v/>
      </c>
    </row>
    <row r="108">
      <c r="A108" s="47" t="n">
        <v>46144</v>
      </c>
      <c r="B108" s="38" t="inlineStr">
        <is>
          <t>J-0103</t>
        </is>
      </c>
      <c r="C108" s="38" t="inlineStr">
        <is>
          <t>Job: Standard Clean</t>
        </is>
      </c>
      <c r="D108" s="38" t="inlineStr">
        <is>
          <t>Home base</t>
        </is>
      </c>
      <c r="E108" s="38" t="inlineStr">
        <is>
          <t>964 Cedar Court</t>
        </is>
      </c>
      <c r="F108" s="128" t="n"/>
      <c r="G108" s="128" t="n"/>
      <c r="H108" s="129" t="n">
        <v>11.2</v>
      </c>
      <c r="I108" s="38" t="inlineStr">
        <is>
          <t>Dana Whitfield</t>
        </is>
      </c>
      <c r="J108" s="98">
        <f>IF(A108="","",IF(AND(F108&lt;&gt;"",G108&lt;&gt;""),MAX(0,G108-F108),N(H108)))</f>
        <v/>
      </c>
      <c r="K108" s="55">
        <f>IF(A108="","",ROUND(J108*MileRate,2))</f>
        <v/>
      </c>
      <c r="L108" s="51">
        <f>IF(A108="","",DATE(YEAR(A108),MONTH(A108),1))</f>
        <v/>
      </c>
    </row>
    <row r="109">
      <c r="A109" s="47" t="n">
        <v>46147</v>
      </c>
      <c r="B109" s="38" t="inlineStr">
        <is>
          <t>J-0104</t>
        </is>
      </c>
      <c r="C109" s="38" t="inlineStr">
        <is>
          <t>Job: Standard Clean</t>
        </is>
      </c>
      <c r="D109" s="38" t="inlineStr">
        <is>
          <t>Home base</t>
        </is>
      </c>
      <c r="E109" s="38" t="inlineStr">
        <is>
          <t>497 Aspen Drive</t>
        </is>
      </c>
      <c r="F109" s="128" t="n"/>
      <c r="G109" s="128" t="n"/>
      <c r="H109" s="129" t="n">
        <v>10.6</v>
      </c>
      <c r="I109" s="38" t="inlineStr">
        <is>
          <t>Maria Lopez</t>
        </is>
      </c>
      <c r="J109" s="98">
        <f>IF(A109="","",IF(AND(F109&lt;&gt;"",G109&lt;&gt;""),MAX(0,G109-F109),N(H109)))</f>
        <v/>
      </c>
      <c r="K109" s="55">
        <f>IF(A109="","",ROUND(J109*MileRate,2))</f>
        <v/>
      </c>
      <c r="L109" s="51">
        <f>IF(A109="","",DATE(YEAR(A109),MONTH(A109),1))</f>
        <v/>
      </c>
    </row>
    <row r="110">
      <c r="A110" s="47" t="n">
        <v>46150</v>
      </c>
      <c r="B110" s="38" t="inlineStr">
        <is>
          <t>J-0105</t>
        </is>
      </c>
      <c r="C110" s="38" t="inlineStr">
        <is>
          <t>Job: Standard Clean</t>
        </is>
      </c>
      <c r="D110" s="38" t="inlineStr">
        <is>
          <t>Home base</t>
        </is>
      </c>
      <c r="E110" s="38" t="inlineStr">
        <is>
          <t>84 Hawthorn Road</t>
        </is>
      </c>
      <c r="F110" s="128" t="n"/>
      <c r="G110" s="128" t="n"/>
      <c r="H110" s="129" t="n">
        <v>19.9</v>
      </c>
      <c r="I110" s="38" t="inlineStr">
        <is>
          <t>Dana Whitfield</t>
        </is>
      </c>
      <c r="J110" s="98">
        <f>IF(A110="","",IF(AND(F110&lt;&gt;"",G110&lt;&gt;""),MAX(0,G110-F110),N(H110)))</f>
        <v/>
      </c>
      <c r="K110" s="55">
        <f>IF(A110="","",ROUND(J110*MileRate,2))</f>
        <v/>
      </c>
      <c r="L110" s="51">
        <f>IF(A110="","",DATE(YEAR(A110),MONTH(A110),1))</f>
        <v/>
      </c>
    </row>
    <row r="111">
      <c r="A111" s="47" t="n">
        <v>46150</v>
      </c>
      <c r="B111" s="38" t="inlineStr">
        <is>
          <t>J-0106</t>
        </is>
      </c>
      <c r="C111" s="38" t="inlineStr">
        <is>
          <t>Job: Commercial Clean</t>
        </is>
      </c>
      <c r="D111" s="38" t="inlineStr">
        <is>
          <t>Home base</t>
        </is>
      </c>
      <c r="E111" s="38" t="inlineStr">
        <is>
          <t>738 Cedar Court</t>
        </is>
      </c>
      <c r="F111" s="128" t="n"/>
      <c r="G111" s="128" t="n"/>
      <c r="H111" s="129" t="n">
        <v>18.7</v>
      </c>
      <c r="I111" s="38" t="inlineStr">
        <is>
          <t>Kevin Osei</t>
        </is>
      </c>
      <c r="J111" s="98">
        <f>IF(A111="","",IF(AND(F111&lt;&gt;"",G111&lt;&gt;""),MAX(0,G111-F111),N(H111)))</f>
        <v/>
      </c>
      <c r="K111" s="55">
        <f>IF(A111="","",ROUND(J111*MileRate,2))</f>
        <v/>
      </c>
      <c r="L111" s="51">
        <f>IF(A111="","",DATE(YEAR(A111),MONTH(A111),1))</f>
        <v/>
      </c>
    </row>
    <row r="112">
      <c r="A112" s="47" t="n">
        <v>46150</v>
      </c>
      <c r="B112" s="38" t="inlineStr">
        <is>
          <t>J-0107</t>
        </is>
      </c>
      <c r="C112" s="38" t="inlineStr">
        <is>
          <t>Job: Commercial Clean</t>
        </is>
      </c>
      <c r="D112" s="38" t="inlineStr">
        <is>
          <t>Home base</t>
        </is>
      </c>
      <c r="E112" s="38" t="inlineStr">
        <is>
          <t>957 Hawthorn Road</t>
        </is>
      </c>
      <c r="F112" s="128" t="n"/>
      <c r="G112" s="128" t="n"/>
      <c r="H112" s="129" t="n">
        <v>19.5</v>
      </c>
      <c r="I112" s="38" t="inlineStr">
        <is>
          <t>Kevin Osei</t>
        </is>
      </c>
      <c r="J112" s="98">
        <f>IF(A112="","",IF(AND(F112&lt;&gt;"",G112&lt;&gt;""),MAX(0,G112-F112),N(H112)))</f>
        <v/>
      </c>
      <c r="K112" s="55">
        <f>IF(A112="","",ROUND(J112*MileRate,2))</f>
        <v/>
      </c>
      <c r="L112" s="51">
        <f>IF(A112="","",DATE(YEAR(A112),MONTH(A112),1))</f>
        <v/>
      </c>
    </row>
    <row r="113">
      <c r="A113" s="47" t="n">
        <v>46151</v>
      </c>
      <c r="B113" s="38" t="inlineStr">
        <is>
          <t>J-0108</t>
        </is>
      </c>
      <c r="C113" s="38" t="inlineStr">
        <is>
          <t>Job: Commercial Clean</t>
        </is>
      </c>
      <c r="D113" s="38" t="inlineStr">
        <is>
          <t>Home base</t>
        </is>
      </c>
      <c r="E113" s="38" t="inlineStr">
        <is>
          <t>338 Cedar Court</t>
        </is>
      </c>
      <c r="F113" s="128" t="n"/>
      <c r="G113" s="128" t="n"/>
      <c r="H113" s="129" t="n">
        <v>13.9</v>
      </c>
      <c r="I113" s="38" t="inlineStr">
        <is>
          <t>Dana Whitfield</t>
        </is>
      </c>
      <c r="J113" s="98">
        <f>IF(A113="","",IF(AND(F113&lt;&gt;"",G113&lt;&gt;""),MAX(0,G113-F113),N(H113)))</f>
        <v/>
      </c>
      <c r="K113" s="55">
        <f>IF(A113="","",ROUND(J113*MileRate,2))</f>
        <v/>
      </c>
      <c r="L113" s="51">
        <f>IF(A113="","",DATE(YEAR(A113),MONTH(A113),1))</f>
        <v/>
      </c>
    </row>
    <row r="114">
      <c r="A114" s="47" t="n">
        <v>46151</v>
      </c>
      <c r="B114" s="38" t="inlineStr">
        <is>
          <t>J-0109</t>
        </is>
      </c>
      <c r="C114" s="38" t="inlineStr">
        <is>
          <t>Job: Standard Clean</t>
        </is>
      </c>
      <c r="D114" s="38" t="inlineStr">
        <is>
          <t>Home base</t>
        </is>
      </c>
      <c r="E114" s="38" t="inlineStr">
        <is>
          <t>21 Maple Avenue</t>
        </is>
      </c>
      <c r="F114" s="128" t="n"/>
      <c r="G114" s="128" t="n"/>
      <c r="H114" s="129" t="n">
        <v>13.1</v>
      </c>
      <c r="I114" s="38" t="inlineStr">
        <is>
          <t>Maria Lopez</t>
        </is>
      </c>
      <c r="J114" s="98">
        <f>IF(A114="","",IF(AND(F114&lt;&gt;"",G114&lt;&gt;""),MAX(0,G114-F114),N(H114)))</f>
        <v/>
      </c>
      <c r="K114" s="55">
        <f>IF(A114="","",ROUND(J114*MileRate,2))</f>
        <v/>
      </c>
      <c r="L114" s="51">
        <f>IF(A114="","",DATE(YEAR(A114),MONTH(A114),1))</f>
        <v/>
      </c>
    </row>
    <row r="115">
      <c r="A115" s="47" t="n">
        <v>46154</v>
      </c>
      <c r="B115" s="38" t="inlineStr">
        <is>
          <t>J-0110</t>
        </is>
      </c>
      <c r="C115" s="38" t="inlineStr">
        <is>
          <t>Job: Standard Clean</t>
        </is>
      </c>
      <c r="D115" s="38" t="inlineStr">
        <is>
          <t>Home base</t>
        </is>
      </c>
      <c r="E115" s="38" t="inlineStr">
        <is>
          <t>497 Aspen Drive</t>
        </is>
      </c>
      <c r="F115" s="128" t="n"/>
      <c r="G115" s="128" t="n"/>
      <c r="H115" s="129" t="n">
        <v>6</v>
      </c>
      <c r="I115" s="38" t="inlineStr">
        <is>
          <t>Maria Lopez</t>
        </is>
      </c>
      <c r="J115" s="98">
        <f>IF(A115="","",IF(AND(F115&lt;&gt;"",G115&lt;&gt;""),MAX(0,G115-F115),N(H115)))</f>
        <v/>
      </c>
      <c r="K115" s="55">
        <f>IF(A115="","",ROUND(J115*MileRate,2))</f>
        <v/>
      </c>
      <c r="L115" s="51">
        <f>IF(A115="","",DATE(YEAR(A115),MONTH(A115),1))</f>
        <v/>
      </c>
    </row>
    <row r="116">
      <c r="A116" s="47" t="n">
        <v>46154</v>
      </c>
      <c r="B116" s="38" t="inlineStr">
        <is>
          <t>J-0111</t>
        </is>
      </c>
      <c r="C116" s="38" t="inlineStr">
        <is>
          <t>Job: Airbnb Turnover</t>
        </is>
      </c>
      <c r="D116" s="38" t="inlineStr">
        <is>
          <t>Home base</t>
        </is>
      </c>
      <c r="E116" s="38" t="inlineStr">
        <is>
          <t>666 Juniper Street</t>
        </is>
      </c>
      <c r="F116" s="128" t="n"/>
      <c r="G116" s="128" t="n"/>
      <c r="H116" s="129" t="n">
        <v>14.9</v>
      </c>
      <c r="I116" s="38" t="inlineStr">
        <is>
          <t>Kevin Osei</t>
        </is>
      </c>
      <c r="J116" s="98">
        <f>IF(A116="","",IF(AND(F116&lt;&gt;"",G116&lt;&gt;""),MAX(0,G116-F116),N(H116)))</f>
        <v/>
      </c>
      <c r="K116" s="55">
        <f>IF(A116="","",ROUND(J116*MileRate,2))</f>
        <v/>
      </c>
      <c r="L116" s="51">
        <f>IF(A116="","",DATE(YEAR(A116),MONTH(A116),1))</f>
        <v/>
      </c>
    </row>
    <row r="117">
      <c r="A117" s="47" t="n">
        <v>46155</v>
      </c>
      <c r="B117" s="38" t="inlineStr">
        <is>
          <t>J-0112</t>
        </is>
      </c>
      <c r="C117" s="38" t="inlineStr">
        <is>
          <t>Job: Standard Clean</t>
        </is>
      </c>
      <c r="D117" s="38" t="inlineStr">
        <is>
          <t>Home base</t>
        </is>
      </c>
      <c r="E117" s="38" t="inlineStr">
        <is>
          <t>675 Aspen Drive</t>
        </is>
      </c>
      <c r="F117" s="128" t="n"/>
      <c r="G117" s="128" t="n"/>
      <c r="H117" s="129" t="n">
        <v>10</v>
      </c>
      <c r="I117" s="38" t="inlineStr">
        <is>
          <t>Dana Whitfield</t>
        </is>
      </c>
      <c r="J117" s="98">
        <f>IF(A117="","",IF(AND(F117&lt;&gt;"",G117&lt;&gt;""),MAX(0,G117-F117),N(H117)))</f>
        <v/>
      </c>
      <c r="K117" s="55">
        <f>IF(A117="","",ROUND(J117*MileRate,2))</f>
        <v/>
      </c>
      <c r="L117" s="51">
        <f>IF(A117="","",DATE(YEAR(A117),MONTH(A117),1))</f>
        <v/>
      </c>
    </row>
    <row r="118">
      <c r="A118" s="47" t="n">
        <v>46155</v>
      </c>
      <c r="B118" s="38" t="inlineStr">
        <is>
          <t>J-0113</t>
        </is>
      </c>
      <c r="C118" s="38" t="inlineStr">
        <is>
          <t>Job: Standard Clean</t>
        </is>
      </c>
      <c r="D118" s="38" t="inlineStr">
        <is>
          <t>Home base</t>
        </is>
      </c>
      <c r="E118" s="38" t="inlineStr">
        <is>
          <t>685 Alder Lane</t>
        </is>
      </c>
      <c r="F118" s="128" t="n"/>
      <c r="G118" s="128" t="n"/>
      <c r="H118" s="129" t="n">
        <v>6.7</v>
      </c>
      <c r="I118" s="38" t="inlineStr">
        <is>
          <t>Dana Whitfield</t>
        </is>
      </c>
      <c r="J118" s="98">
        <f>IF(A118="","",IF(AND(F118&lt;&gt;"",G118&lt;&gt;""),MAX(0,G118-F118),N(H118)))</f>
        <v/>
      </c>
      <c r="K118" s="55">
        <f>IF(A118="","",ROUND(J118*MileRate,2))</f>
        <v/>
      </c>
      <c r="L118" s="51">
        <f>IF(A118="","",DATE(YEAR(A118),MONTH(A118),1))</f>
        <v/>
      </c>
    </row>
    <row r="119">
      <c r="A119" s="47" t="n">
        <v>46156</v>
      </c>
      <c r="B119" s="38" t="inlineStr">
        <is>
          <t>J-0114</t>
        </is>
      </c>
      <c r="C119" s="38" t="inlineStr">
        <is>
          <t>Job: Deep Clean</t>
        </is>
      </c>
      <c r="D119" s="38" t="inlineStr">
        <is>
          <t>Home base</t>
        </is>
      </c>
      <c r="E119" s="38" t="inlineStr">
        <is>
          <t>129 Elm Terrace</t>
        </is>
      </c>
      <c r="F119" s="128" t="n"/>
      <c r="G119" s="128" t="n"/>
      <c r="H119" s="129" t="n">
        <v>15</v>
      </c>
      <c r="I119" s="38" t="inlineStr">
        <is>
          <t>Maria Lopez</t>
        </is>
      </c>
      <c r="J119" s="98">
        <f>IF(A119="","",IF(AND(F119&lt;&gt;"",G119&lt;&gt;""),MAX(0,G119-F119),N(H119)))</f>
        <v/>
      </c>
      <c r="K119" s="55">
        <f>IF(A119="","",ROUND(J119*MileRate,2))</f>
        <v/>
      </c>
      <c r="L119" s="51">
        <f>IF(A119="","",DATE(YEAR(A119),MONTH(A119),1))</f>
        <v/>
      </c>
    </row>
    <row r="120">
      <c r="A120" s="47" t="n">
        <v>46157</v>
      </c>
      <c r="B120" s="38" t="inlineStr">
        <is>
          <t>J-0115</t>
        </is>
      </c>
      <c r="C120" s="38" t="inlineStr">
        <is>
          <t>Job: Standard Clean</t>
        </is>
      </c>
      <c r="D120" s="38" t="inlineStr">
        <is>
          <t>Home base</t>
        </is>
      </c>
      <c r="E120" s="38" t="inlineStr">
        <is>
          <t>876 Magnolia Circle</t>
        </is>
      </c>
      <c r="F120" s="128" t="n"/>
      <c r="G120" s="128" t="n"/>
      <c r="H120" s="129" t="n">
        <v>10.2</v>
      </c>
      <c r="I120" s="38" t="inlineStr">
        <is>
          <t>Maria Lopez</t>
        </is>
      </c>
      <c r="J120" s="98">
        <f>IF(A120="","",IF(AND(F120&lt;&gt;"",G120&lt;&gt;""),MAX(0,G120-F120),N(H120)))</f>
        <v/>
      </c>
      <c r="K120" s="55">
        <f>IF(A120="","",ROUND(J120*MileRate,2))</f>
        <v/>
      </c>
      <c r="L120" s="51">
        <f>IF(A120="","",DATE(YEAR(A120),MONTH(A120),1))</f>
        <v/>
      </c>
    </row>
    <row r="121">
      <c r="A121" s="47" t="n">
        <v>46157</v>
      </c>
      <c r="B121" s="38" t="inlineStr">
        <is>
          <t>J-0116</t>
        </is>
      </c>
      <c r="C121" s="38" t="inlineStr">
        <is>
          <t>Job: Commercial Clean</t>
        </is>
      </c>
      <c r="D121" s="38" t="inlineStr">
        <is>
          <t>Home base</t>
        </is>
      </c>
      <c r="E121" s="38" t="inlineStr">
        <is>
          <t>738 Cedar Court</t>
        </is>
      </c>
      <c r="F121" s="128" t="n"/>
      <c r="G121" s="128" t="n"/>
      <c r="H121" s="129" t="n">
        <v>8.1</v>
      </c>
      <c r="I121" s="38" t="inlineStr">
        <is>
          <t>Kevin Osei</t>
        </is>
      </c>
      <c r="J121" s="98">
        <f>IF(A121="","",IF(AND(F121&lt;&gt;"",G121&lt;&gt;""),MAX(0,G121-F121),N(H121)))</f>
        <v/>
      </c>
      <c r="K121" s="55">
        <f>IF(A121="","",ROUND(J121*MileRate,2))</f>
        <v/>
      </c>
      <c r="L121" s="51">
        <f>IF(A121="","",DATE(YEAR(A121),MONTH(A121),1))</f>
        <v/>
      </c>
    </row>
    <row r="122">
      <c r="A122" s="47" t="n">
        <v>46157</v>
      </c>
      <c r="B122" s="38" t="inlineStr">
        <is>
          <t>J-0117</t>
        </is>
      </c>
      <c r="C122" s="38" t="inlineStr">
        <is>
          <t>Job: Commercial Clean</t>
        </is>
      </c>
      <c r="D122" s="38" t="inlineStr">
        <is>
          <t>Home base</t>
        </is>
      </c>
      <c r="E122" s="38" t="inlineStr">
        <is>
          <t>957 Hawthorn Road</t>
        </is>
      </c>
      <c r="F122" s="128" t="n"/>
      <c r="G122" s="128" t="n"/>
      <c r="H122" s="129" t="n">
        <v>13.8</v>
      </c>
      <c r="I122" s="38" t="inlineStr">
        <is>
          <t>Kevin Osei</t>
        </is>
      </c>
      <c r="J122" s="98">
        <f>IF(A122="","",IF(AND(F122&lt;&gt;"",G122&lt;&gt;""),MAX(0,G122-F122),N(H122)))</f>
        <v/>
      </c>
      <c r="K122" s="55">
        <f>IF(A122="","",ROUND(J122*MileRate,2))</f>
        <v/>
      </c>
      <c r="L122" s="51">
        <f>IF(A122="","",DATE(YEAR(A122),MONTH(A122),1))</f>
        <v/>
      </c>
    </row>
    <row r="123">
      <c r="A123" s="47" t="n">
        <v>46157</v>
      </c>
      <c r="B123" s="38" t="inlineStr">
        <is>
          <t>J-0118</t>
        </is>
      </c>
      <c r="C123" s="38" t="inlineStr">
        <is>
          <t>Job: Airbnb Turnover</t>
        </is>
      </c>
      <c r="D123" s="38" t="inlineStr">
        <is>
          <t>Home base</t>
        </is>
      </c>
      <c r="E123" s="38" t="inlineStr">
        <is>
          <t>654 Willow Way</t>
        </is>
      </c>
      <c r="F123" s="128" t="n">
        <v>48744</v>
      </c>
      <c r="G123" s="128" t="n">
        <v>48762</v>
      </c>
      <c r="H123" s="129" t="n"/>
      <c r="I123" s="38" t="inlineStr">
        <is>
          <t>Kevin Osei</t>
        </is>
      </c>
      <c r="J123" s="98">
        <f>IF(A123="","",IF(AND(F123&lt;&gt;"",G123&lt;&gt;""),MAX(0,G123-F123),N(H123)))</f>
        <v/>
      </c>
      <c r="K123" s="55">
        <f>IF(A123="","",ROUND(J123*MileRate,2))</f>
        <v/>
      </c>
      <c r="L123" s="51">
        <f>IF(A123="","",DATE(YEAR(A123),MONTH(A123),1))</f>
        <v/>
      </c>
    </row>
    <row r="124">
      <c r="A124" s="47" t="n">
        <v>46157</v>
      </c>
      <c r="B124" s="38" t="inlineStr">
        <is>
          <t>J-0119</t>
        </is>
      </c>
      <c r="C124" s="38" t="inlineStr">
        <is>
          <t>Job: Airbnb Turnover</t>
        </is>
      </c>
      <c r="D124" s="38" t="inlineStr">
        <is>
          <t>Home base</t>
        </is>
      </c>
      <c r="E124" s="38" t="inlineStr">
        <is>
          <t>192 Birch Lane</t>
        </is>
      </c>
      <c r="F124" s="128" t="n"/>
      <c r="G124" s="128" t="n"/>
      <c r="H124" s="129" t="n">
        <v>18.4</v>
      </c>
      <c r="I124" s="38" t="inlineStr">
        <is>
          <t>Kevin Osei</t>
        </is>
      </c>
      <c r="J124" s="98">
        <f>IF(A124="","",IF(AND(F124&lt;&gt;"",G124&lt;&gt;""),MAX(0,G124-F124),N(H124)))</f>
        <v/>
      </c>
      <c r="K124" s="55">
        <f>IF(A124="","",ROUND(J124*MileRate,2))</f>
        <v/>
      </c>
      <c r="L124" s="51">
        <f>IF(A124="","",DATE(YEAR(A124),MONTH(A124),1))</f>
        <v/>
      </c>
    </row>
    <row r="125">
      <c r="A125" s="47" t="n">
        <v>46158</v>
      </c>
      <c r="B125" s="38" t="inlineStr">
        <is>
          <t>J-0120</t>
        </is>
      </c>
      <c r="C125" s="38" t="inlineStr">
        <is>
          <t>Job: Standard Clean</t>
        </is>
      </c>
      <c r="D125" s="38" t="inlineStr">
        <is>
          <t>Home base</t>
        </is>
      </c>
      <c r="E125" s="38" t="inlineStr">
        <is>
          <t>964 Cedar Court</t>
        </is>
      </c>
      <c r="F125" s="128" t="n"/>
      <c r="G125" s="128" t="n"/>
      <c r="H125" s="129" t="n">
        <v>12</v>
      </c>
      <c r="I125" s="38" t="inlineStr">
        <is>
          <t>Dana Whitfield</t>
        </is>
      </c>
      <c r="J125" s="98">
        <f>IF(A125="","",IF(AND(F125&lt;&gt;"",G125&lt;&gt;""),MAX(0,G125-F125),N(H125)))</f>
        <v/>
      </c>
      <c r="K125" s="55">
        <f>IF(A125="","",ROUND(J125*MileRate,2))</f>
        <v/>
      </c>
      <c r="L125" s="51">
        <f>IF(A125="","",DATE(YEAR(A125),MONTH(A125),1))</f>
        <v/>
      </c>
    </row>
    <row r="126">
      <c r="A126" s="47" t="n">
        <v>46160</v>
      </c>
      <c r="B126" s="38" t="inlineStr">
        <is>
          <t>J-0121</t>
        </is>
      </c>
      <c r="C126" s="38" t="inlineStr">
        <is>
          <t>Job: Airbnb Turnover</t>
        </is>
      </c>
      <c r="D126" s="38" t="inlineStr">
        <is>
          <t>Home base</t>
        </is>
      </c>
      <c r="E126" s="38" t="inlineStr">
        <is>
          <t>412 Linden Place</t>
        </is>
      </c>
      <c r="F126" s="128" t="n"/>
      <c r="G126" s="128" t="n"/>
      <c r="H126" s="129" t="n">
        <v>22.4</v>
      </c>
      <c r="I126" s="38" t="inlineStr">
        <is>
          <t>Kevin Osei</t>
        </is>
      </c>
      <c r="J126" s="98">
        <f>IF(A126="","",IF(AND(F126&lt;&gt;"",G126&lt;&gt;""),MAX(0,G126-F126),N(H126)))</f>
        <v/>
      </c>
      <c r="K126" s="55">
        <f>IF(A126="","",ROUND(J126*MileRate,2))</f>
        <v/>
      </c>
      <c r="L126" s="51">
        <f>IF(A126="","",DATE(YEAR(A126),MONTH(A126),1))</f>
        <v/>
      </c>
    </row>
    <row r="127">
      <c r="A127" s="47" t="n">
        <v>46161</v>
      </c>
      <c r="B127" s="38" t="inlineStr">
        <is>
          <t>J-0122</t>
        </is>
      </c>
      <c r="C127" s="38" t="inlineStr">
        <is>
          <t>Job: Standard Clean</t>
        </is>
      </c>
      <c r="D127" s="38" t="inlineStr">
        <is>
          <t>Home base</t>
        </is>
      </c>
      <c r="E127" s="38" t="inlineStr">
        <is>
          <t>497 Aspen Drive</t>
        </is>
      </c>
      <c r="F127" s="128" t="n"/>
      <c r="G127" s="128" t="n"/>
      <c r="H127" s="129" t="n">
        <v>23.1</v>
      </c>
      <c r="I127" s="38" t="inlineStr">
        <is>
          <t>Maria Lopez</t>
        </is>
      </c>
      <c r="J127" s="98">
        <f>IF(A127="","",IF(AND(F127&lt;&gt;"",G127&lt;&gt;""),MAX(0,G127-F127),N(H127)))</f>
        <v/>
      </c>
      <c r="K127" s="55">
        <f>IF(A127="","",ROUND(J127*MileRate,2))</f>
        <v/>
      </c>
      <c r="L127" s="51">
        <f>IF(A127="","",DATE(YEAR(A127),MONTH(A127),1))</f>
        <v/>
      </c>
    </row>
    <row r="128">
      <c r="A128" s="47" t="n">
        <v>46162</v>
      </c>
      <c r="B128" s="38" t="n"/>
      <c r="C128" s="38" t="inlineStr">
        <is>
          <t>Supply run</t>
        </is>
      </c>
      <c r="D128" s="38" t="inlineStr">
        <is>
          <t>Home base</t>
        </is>
      </c>
      <c r="E128" s="38" t="inlineStr">
        <is>
          <t>Supply store</t>
        </is>
      </c>
      <c r="F128" s="128" t="n"/>
      <c r="G128" s="128" t="n"/>
      <c r="H128" s="129" t="n">
        <v>11.5</v>
      </c>
      <c r="I128" s="38" t="inlineStr">
        <is>
          <t>Jordan Rivera</t>
        </is>
      </c>
      <c r="J128" s="98">
        <f>IF(A128="","",IF(AND(F128&lt;&gt;"",G128&lt;&gt;""),MAX(0,G128-F128),N(H128)))</f>
        <v/>
      </c>
      <c r="K128" s="55">
        <f>IF(A128="","",ROUND(J128*MileRate,2))</f>
        <v/>
      </c>
      <c r="L128" s="51">
        <f>IF(A128="","",DATE(YEAR(A128),MONTH(A128),1))</f>
        <v/>
      </c>
    </row>
    <row r="129">
      <c r="A129" s="47" t="n">
        <v>46163</v>
      </c>
      <c r="B129" s="38" t="inlineStr">
        <is>
          <t>J-0123</t>
        </is>
      </c>
      <c r="C129" s="38" t="inlineStr">
        <is>
          <t>Job: Standard Clean</t>
        </is>
      </c>
      <c r="D129" s="38" t="inlineStr">
        <is>
          <t>Home base</t>
        </is>
      </c>
      <c r="E129" s="38" t="inlineStr">
        <is>
          <t>102 Hawthorn Road</t>
        </is>
      </c>
      <c r="F129" s="128" t="n"/>
      <c r="G129" s="128" t="n"/>
      <c r="H129" s="129" t="n">
        <v>23.3</v>
      </c>
      <c r="I129" s="38" t="inlineStr">
        <is>
          <t>Dana Whitfield</t>
        </is>
      </c>
      <c r="J129" s="98">
        <f>IF(A129="","",IF(AND(F129&lt;&gt;"",G129&lt;&gt;""),MAX(0,G129-F129),N(H129)))</f>
        <v/>
      </c>
      <c r="K129" s="55">
        <f>IF(A129="","",ROUND(J129*MileRate,2))</f>
        <v/>
      </c>
      <c r="L129" s="51">
        <f>IF(A129="","",DATE(YEAR(A129),MONTH(A129),1))</f>
        <v/>
      </c>
    </row>
    <row r="130">
      <c r="A130" s="47" t="n">
        <v>46163</v>
      </c>
      <c r="B130" s="38" t="inlineStr">
        <is>
          <t>J-0124</t>
        </is>
      </c>
      <c r="C130" s="38" t="inlineStr">
        <is>
          <t>Job: Standard Clean</t>
        </is>
      </c>
      <c r="D130" s="38" t="inlineStr">
        <is>
          <t>Home base</t>
        </is>
      </c>
      <c r="E130" s="38" t="inlineStr">
        <is>
          <t>129 Elm Terrace</t>
        </is>
      </c>
      <c r="F130" s="128" t="n"/>
      <c r="G130" s="128" t="n"/>
      <c r="H130" s="129" t="n">
        <v>12</v>
      </c>
      <c r="I130" s="38" t="inlineStr">
        <is>
          <t>Dana Whitfield</t>
        </is>
      </c>
      <c r="J130" s="98">
        <f>IF(A130="","",IF(AND(F130&lt;&gt;"",G130&lt;&gt;""),MAX(0,G130-F130),N(H130)))</f>
        <v/>
      </c>
      <c r="K130" s="55">
        <f>IF(A130="","",ROUND(J130*MileRate,2))</f>
        <v/>
      </c>
      <c r="L130" s="51">
        <f>IF(A130="","",DATE(YEAR(A130),MONTH(A130),1))</f>
        <v/>
      </c>
    </row>
    <row r="131">
      <c r="A131" s="47" t="n">
        <v>46164</v>
      </c>
      <c r="B131" s="38" t="inlineStr">
        <is>
          <t>J-0125</t>
        </is>
      </c>
      <c r="C131" s="38" t="inlineStr">
        <is>
          <t>Job: Commercial Clean</t>
        </is>
      </c>
      <c r="D131" s="38" t="inlineStr">
        <is>
          <t>Home base</t>
        </is>
      </c>
      <c r="E131" s="38" t="inlineStr">
        <is>
          <t>957 Hawthorn Road</t>
        </is>
      </c>
      <c r="F131" s="128" t="n"/>
      <c r="G131" s="128" t="n"/>
      <c r="H131" s="129" t="n">
        <v>15.4</v>
      </c>
      <c r="I131" s="38" t="inlineStr">
        <is>
          <t>Kevin Osei</t>
        </is>
      </c>
      <c r="J131" s="98">
        <f>IF(A131="","",IF(AND(F131&lt;&gt;"",G131&lt;&gt;""),MAX(0,G131-F131),N(H131)))</f>
        <v/>
      </c>
      <c r="K131" s="55">
        <f>IF(A131="","",ROUND(J131*MileRate,2))</f>
        <v/>
      </c>
      <c r="L131" s="51">
        <f>IF(A131="","",DATE(YEAR(A131),MONTH(A131),1))</f>
        <v/>
      </c>
    </row>
    <row r="132">
      <c r="A132" s="47" t="n">
        <v>46164</v>
      </c>
      <c r="B132" s="38" t="inlineStr">
        <is>
          <t>J-0126</t>
        </is>
      </c>
      <c r="C132" s="38" t="inlineStr">
        <is>
          <t>Job: Commercial Clean</t>
        </is>
      </c>
      <c r="D132" s="38" t="inlineStr">
        <is>
          <t>Home base</t>
        </is>
      </c>
      <c r="E132" s="38" t="inlineStr">
        <is>
          <t>738 Cedar Court</t>
        </is>
      </c>
      <c r="F132" s="128" t="n"/>
      <c r="G132" s="128" t="n"/>
      <c r="H132" s="129" t="n">
        <v>6.6</v>
      </c>
      <c r="I132" s="38" t="inlineStr">
        <is>
          <t>Kevin Osei</t>
        </is>
      </c>
      <c r="J132" s="98">
        <f>IF(A132="","",IF(AND(F132&lt;&gt;"",G132&lt;&gt;""),MAX(0,G132-F132),N(H132)))</f>
        <v/>
      </c>
      <c r="K132" s="55">
        <f>IF(A132="","",ROUND(J132*MileRate,2))</f>
        <v/>
      </c>
      <c r="L132" s="51">
        <f>IF(A132="","",DATE(YEAR(A132),MONTH(A132),1))</f>
        <v/>
      </c>
    </row>
    <row r="133">
      <c r="A133" s="47" t="n">
        <v>46164</v>
      </c>
      <c r="B133" s="38" t="inlineStr">
        <is>
          <t>J-0127</t>
        </is>
      </c>
      <c r="C133" s="38" t="inlineStr">
        <is>
          <t>Job: Deep Clean</t>
        </is>
      </c>
      <c r="D133" s="38" t="inlineStr">
        <is>
          <t>Home base</t>
        </is>
      </c>
      <c r="E133" s="38" t="inlineStr">
        <is>
          <t>461 Hawthorn Road</t>
        </is>
      </c>
      <c r="F133" s="128" t="n"/>
      <c r="G133" s="128" t="n"/>
      <c r="H133" s="129" t="n">
        <v>15.6</v>
      </c>
      <c r="I133" s="38" t="inlineStr">
        <is>
          <t>Maria Lopez</t>
        </is>
      </c>
      <c r="J133" s="98">
        <f>IF(A133="","",IF(AND(F133&lt;&gt;"",G133&lt;&gt;""),MAX(0,G133-F133),N(H133)))</f>
        <v/>
      </c>
      <c r="K133" s="55">
        <f>IF(A133="","",ROUND(J133*MileRate,2))</f>
        <v/>
      </c>
      <c r="L133" s="51">
        <f>IF(A133="","",DATE(YEAR(A133),MONTH(A133),1))</f>
        <v/>
      </c>
    </row>
    <row r="134">
      <c r="A134" s="47" t="n">
        <v>46165</v>
      </c>
      <c r="B134" s="38" t="inlineStr">
        <is>
          <t>J-0128</t>
        </is>
      </c>
      <c r="C134" s="38" t="inlineStr">
        <is>
          <t>Job: Standard Clean</t>
        </is>
      </c>
      <c r="D134" s="38" t="inlineStr">
        <is>
          <t>Home base</t>
        </is>
      </c>
      <c r="E134" s="38" t="inlineStr">
        <is>
          <t>21 Maple Avenue</t>
        </is>
      </c>
      <c r="F134" s="128" t="n"/>
      <c r="G134" s="128" t="n"/>
      <c r="H134" s="129" t="n">
        <v>19.4</v>
      </c>
      <c r="I134" s="38" t="inlineStr">
        <is>
          <t>Maria Lopez</t>
        </is>
      </c>
      <c r="J134" s="98">
        <f>IF(A134="","",IF(AND(F134&lt;&gt;"",G134&lt;&gt;""),MAX(0,G134-F134),N(H134)))</f>
        <v/>
      </c>
      <c r="K134" s="55">
        <f>IF(A134="","",ROUND(J134*MileRate,2))</f>
        <v/>
      </c>
      <c r="L134" s="51">
        <f>IF(A134="","",DATE(YEAR(A134),MONTH(A134),1))</f>
        <v/>
      </c>
    </row>
    <row r="135">
      <c r="A135" s="47" t="n">
        <v>46167</v>
      </c>
      <c r="B135" s="38" t="inlineStr">
        <is>
          <t>J-0129</t>
        </is>
      </c>
      <c r="C135" s="38" t="inlineStr">
        <is>
          <t>Job: Deep Clean</t>
        </is>
      </c>
      <c r="D135" s="38" t="inlineStr">
        <is>
          <t>Home base</t>
        </is>
      </c>
      <c r="E135" s="38" t="inlineStr">
        <is>
          <t>503 Cedar Court</t>
        </is>
      </c>
      <c r="F135" s="128" t="n"/>
      <c r="G135" s="128" t="n"/>
      <c r="H135" s="129" t="n">
        <v>9.6</v>
      </c>
      <c r="I135" s="38" t="inlineStr">
        <is>
          <t>Maria Lopez</t>
        </is>
      </c>
      <c r="J135" s="98">
        <f>IF(A135="","",IF(AND(F135&lt;&gt;"",G135&lt;&gt;""),MAX(0,G135-F135),N(H135)))</f>
        <v/>
      </c>
      <c r="K135" s="55">
        <f>IF(A135="","",ROUND(J135*MileRate,2))</f>
        <v/>
      </c>
      <c r="L135" s="51">
        <f>IF(A135="","",DATE(YEAR(A135),MONTH(A135),1))</f>
        <v/>
      </c>
    </row>
    <row r="136">
      <c r="A136" s="47" t="n">
        <v>46167</v>
      </c>
      <c r="B136" s="38" t="inlineStr">
        <is>
          <t>J-0130</t>
        </is>
      </c>
      <c r="C136" s="38" t="inlineStr">
        <is>
          <t>Job: Standard Clean</t>
        </is>
      </c>
      <c r="D136" s="38" t="inlineStr">
        <is>
          <t>Home base</t>
        </is>
      </c>
      <c r="E136" s="38" t="inlineStr">
        <is>
          <t>667 Willow Way</t>
        </is>
      </c>
      <c r="F136" s="128" t="n"/>
      <c r="G136" s="128" t="n"/>
      <c r="H136" s="129" t="n">
        <v>10.3</v>
      </c>
      <c r="I136" s="38" t="inlineStr">
        <is>
          <t>Maria Lopez</t>
        </is>
      </c>
      <c r="J136" s="98">
        <f>IF(A136="","",IF(AND(F136&lt;&gt;"",G136&lt;&gt;""),MAX(0,G136-F136),N(H136)))</f>
        <v/>
      </c>
      <c r="K136" s="55">
        <f>IF(A136="","",ROUND(J136*MileRate,2))</f>
        <v/>
      </c>
      <c r="L136" s="51">
        <f>IF(A136="","",DATE(YEAR(A136),MONTH(A136),1))</f>
        <v/>
      </c>
    </row>
    <row r="137">
      <c r="A137" s="47" t="n">
        <v>46168</v>
      </c>
      <c r="B137" s="38" t="inlineStr">
        <is>
          <t>J-0131</t>
        </is>
      </c>
      <c r="C137" s="38" t="inlineStr">
        <is>
          <t>Job: Standard Clean</t>
        </is>
      </c>
      <c r="D137" s="38" t="inlineStr">
        <is>
          <t>Home base</t>
        </is>
      </c>
      <c r="E137" s="38" t="inlineStr">
        <is>
          <t>497 Aspen Drive</t>
        </is>
      </c>
      <c r="F137" s="128" t="n">
        <v>51642</v>
      </c>
      <c r="G137" s="128" t="n">
        <v>51649</v>
      </c>
      <c r="H137" s="129" t="n"/>
      <c r="I137" s="38" t="inlineStr">
        <is>
          <t>Maria Lopez</t>
        </is>
      </c>
      <c r="J137" s="98">
        <f>IF(A137="","",IF(AND(F137&lt;&gt;"",G137&lt;&gt;""),MAX(0,G137-F137),N(H137)))</f>
        <v/>
      </c>
      <c r="K137" s="55">
        <f>IF(A137="","",ROUND(J137*MileRate,2))</f>
        <v/>
      </c>
      <c r="L137" s="51">
        <f>IF(A137="","",DATE(YEAR(A137),MONTH(A137),1))</f>
        <v/>
      </c>
    </row>
    <row r="138">
      <c r="A138" s="47" t="n">
        <v>46169</v>
      </c>
      <c r="B138" s="38" t="inlineStr">
        <is>
          <t>J-0132</t>
        </is>
      </c>
      <c r="C138" s="38" t="inlineStr">
        <is>
          <t>Job: Standard Clean</t>
        </is>
      </c>
      <c r="D138" s="38" t="inlineStr">
        <is>
          <t>Home base</t>
        </is>
      </c>
      <c r="E138" s="38" t="inlineStr">
        <is>
          <t>675 Aspen Drive</t>
        </is>
      </c>
      <c r="F138" s="128" t="n"/>
      <c r="G138" s="128" t="n"/>
      <c r="H138" s="129" t="n">
        <v>11.3</v>
      </c>
      <c r="I138" s="38" t="inlineStr">
        <is>
          <t>Dana Whitfield</t>
        </is>
      </c>
      <c r="J138" s="98">
        <f>IF(A138="","",IF(AND(F138&lt;&gt;"",G138&lt;&gt;""),MAX(0,G138-F138),N(H138)))</f>
        <v/>
      </c>
      <c r="K138" s="55">
        <f>IF(A138="","",ROUND(J138*MileRate,2))</f>
        <v/>
      </c>
      <c r="L138" s="51">
        <f>IF(A138="","",DATE(YEAR(A138),MONTH(A138),1))</f>
        <v/>
      </c>
    </row>
    <row r="139">
      <c r="A139" s="47" t="n">
        <v>46170</v>
      </c>
      <c r="B139" s="38" t="inlineStr">
        <is>
          <t>J-0133</t>
        </is>
      </c>
      <c r="C139" s="38" t="inlineStr">
        <is>
          <t>Job: Airbnb Turnover</t>
        </is>
      </c>
      <c r="D139" s="38" t="inlineStr">
        <is>
          <t>Home base</t>
        </is>
      </c>
      <c r="E139" s="38" t="inlineStr">
        <is>
          <t>654 Willow Way</t>
        </is>
      </c>
      <c r="F139" s="128" t="n"/>
      <c r="G139" s="128" t="n"/>
      <c r="H139" s="129" t="n">
        <v>21.4</v>
      </c>
      <c r="I139" s="38" t="inlineStr">
        <is>
          <t>Kevin Osei</t>
        </is>
      </c>
      <c r="J139" s="98">
        <f>IF(A139="","",IF(AND(F139&lt;&gt;"",G139&lt;&gt;""),MAX(0,G139-F139),N(H139)))</f>
        <v/>
      </c>
      <c r="K139" s="55">
        <f>IF(A139="","",ROUND(J139*MileRate,2))</f>
        <v/>
      </c>
      <c r="L139" s="51">
        <f>IF(A139="","",DATE(YEAR(A139),MONTH(A139),1))</f>
        <v/>
      </c>
    </row>
    <row r="140">
      <c r="A140" s="47" t="n">
        <v>46170</v>
      </c>
      <c r="B140" s="38" t="inlineStr">
        <is>
          <t>J-0134</t>
        </is>
      </c>
      <c r="C140" s="38" t="inlineStr">
        <is>
          <t>Job: Standard Clean</t>
        </is>
      </c>
      <c r="D140" s="38" t="inlineStr">
        <is>
          <t>Home base</t>
        </is>
      </c>
      <c r="E140" s="38" t="inlineStr">
        <is>
          <t>129 Elm Terrace</t>
        </is>
      </c>
      <c r="F140" s="128" t="n"/>
      <c r="G140" s="128" t="n"/>
      <c r="H140" s="129" t="n">
        <v>9.9</v>
      </c>
      <c r="I140" s="38" t="inlineStr">
        <is>
          <t>Dana Whitfield</t>
        </is>
      </c>
      <c r="J140" s="98">
        <f>IF(A140="","",IF(AND(F140&lt;&gt;"",G140&lt;&gt;""),MAX(0,G140-F140),N(H140)))</f>
        <v/>
      </c>
      <c r="K140" s="55">
        <f>IF(A140="","",ROUND(J140*MileRate,2))</f>
        <v/>
      </c>
      <c r="L140" s="51">
        <f>IF(A140="","",DATE(YEAR(A140),MONTH(A140),1))</f>
        <v/>
      </c>
    </row>
    <row r="141">
      <c r="A141" s="47" t="n">
        <v>46170</v>
      </c>
      <c r="B141" s="38" t="inlineStr">
        <is>
          <t>J-0135</t>
        </is>
      </c>
      <c r="C141" s="38" t="inlineStr">
        <is>
          <t>Job: Airbnb Turnover</t>
        </is>
      </c>
      <c r="D141" s="38" t="inlineStr">
        <is>
          <t>Home base</t>
        </is>
      </c>
      <c r="E141" s="38" t="inlineStr">
        <is>
          <t>192 Birch Lane</t>
        </is>
      </c>
      <c r="F141" s="128" t="n"/>
      <c r="G141" s="128" t="n"/>
      <c r="H141" s="129" t="n">
        <v>20.2</v>
      </c>
      <c r="I141" s="38" t="inlineStr">
        <is>
          <t>Kevin Osei</t>
        </is>
      </c>
      <c r="J141" s="98">
        <f>IF(A141="","",IF(AND(F141&lt;&gt;"",G141&lt;&gt;""),MAX(0,G141-F141),N(H141)))</f>
        <v/>
      </c>
      <c r="K141" s="55">
        <f>IF(A141="","",ROUND(J141*MileRate,2))</f>
        <v/>
      </c>
      <c r="L141" s="51">
        <f>IF(A141="","",DATE(YEAR(A141),MONTH(A141),1))</f>
        <v/>
      </c>
    </row>
    <row r="142">
      <c r="A142" s="47" t="n">
        <v>46171</v>
      </c>
      <c r="B142" s="38" t="inlineStr">
        <is>
          <t>J-0136</t>
        </is>
      </c>
      <c r="C142" s="38" t="inlineStr">
        <is>
          <t>Job: Commercial Clean</t>
        </is>
      </c>
      <c r="D142" s="38" t="inlineStr">
        <is>
          <t>Home base</t>
        </is>
      </c>
      <c r="E142" s="38" t="inlineStr">
        <is>
          <t>957 Hawthorn Road</t>
        </is>
      </c>
      <c r="F142" s="128" t="n"/>
      <c r="G142" s="128" t="n"/>
      <c r="H142" s="129" t="n">
        <v>7.4</v>
      </c>
      <c r="I142" s="38" t="inlineStr">
        <is>
          <t>Kevin Osei</t>
        </is>
      </c>
      <c r="J142" s="98">
        <f>IF(A142="","",IF(AND(F142&lt;&gt;"",G142&lt;&gt;""),MAX(0,G142-F142),N(H142)))</f>
        <v/>
      </c>
      <c r="K142" s="55">
        <f>IF(A142="","",ROUND(J142*MileRate,2))</f>
        <v/>
      </c>
      <c r="L142" s="51">
        <f>IF(A142="","",DATE(YEAR(A142),MONTH(A142),1))</f>
        <v/>
      </c>
    </row>
    <row r="143">
      <c r="A143" s="47" t="n">
        <v>46171</v>
      </c>
      <c r="B143" s="38" t="inlineStr">
        <is>
          <t>J-0137</t>
        </is>
      </c>
      <c r="C143" s="38" t="inlineStr">
        <is>
          <t>Job: Commercial Clean</t>
        </is>
      </c>
      <c r="D143" s="38" t="inlineStr">
        <is>
          <t>Home base</t>
        </is>
      </c>
      <c r="E143" s="38" t="inlineStr">
        <is>
          <t>738 Cedar Court</t>
        </is>
      </c>
      <c r="F143" s="128" t="n"/>
      <c r="G143" s="128" t="n"/>
      <c r="H143" s="129" t="n">
        <v>14.6</v>
      </c>
      <c r="I143" s="38" t="inlineStr">
        <is>
          <t>Kevin Osei</t>
        </is>
      </c>
      <c r="J143" s="98">
        <f>IF(A143="","",IF(AND(F143&lt;&gt;"",G143&lt;&gt;""),MAX(0,G143-F143),N(H143)))</f>
        <v/>
      </c>
      <c r="K143" s="55">
        <f>IF(A143="","",ROUND(J143*MileRate,2))</f>
        <v/>
      </c>
      <c r="L143" s="51">
        <f>IF(A143="","",DATE(YEAR(A143),MONTH(A143),1))</f>
        <v/>
      </c>
    </row>
    <row r="144">
      <c r="A144" s="47" t="n">
        <v>46171</v>
      </c>
      <c r="B144" s="38" t="inlineStr">
        <is>
          <t>J-0138</t>
        </is>
      </c>
      <c r="C144" s="38" t="inlineStr">
        <is>
          <t>Job: Move-In/Move-Out</t>
        </is>
      </c>
      <c r="D144" s="38" t="inlineStr">
        <is>
          <t>Home base</t>
        </is>
      </c>
      <c r="E144" s="38" t="inlineStr">
        <is>
          <t>484 Poplar Trail</t>
        </is>
      </c>
      <c r="F144" s="128" t="n"/>
      <c r="G144" s="128" t="n"/>
      <c r="H144" s="129" t="n">
        <v>17.3</v>
      </c>
      <c r="I144" s="38" t="inlineStr">
        <is>
          <t>Maria Lopez</t>
        </is>
      </c>
      <c r="J144" s="98">
        <f>IF(A144="","",IF(AND(F144&lt;&gt;"",G144&lt;&gt;""),MAX(0,G144-F144),N(H144)))</f>
        <v/>
      </c>
      <c r="K144" s="55">
        <f>IF(A144="","",ROUND(J144*MileRate,2))</f>
        <v/>
      </c>
      <c r="L144" s="51">
        <f>IF(A144="","",DATE(YEAR(A144),MONTH(A144),1))</f>
        <v/>
      </c>
    </row>
    <row r="145">
      <c r="A145" s="47" t="n">
        <v>46171</v>
      </c>
      <c r="B145" s="38" t="inlineStr">
        <is>
          <t>J-0139</t>
        </is>
      </c>
      <c r="C145" s="38" t="inlineStr">
        <is>
          <t>Job: Standard Clean</t>
        </is>
      </c>
      <c r="D145" s="38" t="inlineStr">
        <is>
          <t>Home base</t>
        </is>
      </c>
      <c r="E145" s="38" t="inlineStr">
        <is>
          <t>461 Hawthorn Road</t>
        </is>
      </c>
      <c r="F145" s="128" t="n"/>
      <c r="G145" s="128" t="n"/>
      <c r="H145" s="129" t="n">
        <v>22.6</v>
      </c>
      <c r="I145" s="38" t="inlineStr">
        <is>
          <t>Maria Lopez</t>
        </is>
      </c>
      <c r="J145" s="98">
        <f>IF(A145="","",IF(AND(F145&lt;&gt;"",G145&lt;&gt;""),MAX(0,G145-F145),N(H145)))</f>
        <v/>
      </c>
      <c r="K145" s="55">
        <f>IF(A145="","",ROUND(J145*MileRate,2))</f>
        <v/>
      </c>
      <c r="L145" s="51">
        <f>IF(A145="","",DATE(YEAR(A145),MONTH(A145),1))</f>
        <v/>
      </c>
    </row>
    <row r="146">
      <c r="A146" s="47" t="n">
        <v>46171</v>
      </c>
      <c r="B146" s="38" t="inlineStr">
        <is>
          <t>J-0140</t>
        </is>
      </c>
      <c r="C146" s="38" t="inlineStr">
        <is>
          <t>Job: Standard Clean</t>
        </is>
      </c>
      <c r="D146" s="38" t="inlineStr">
        <is>
          <t>Home base</t>
        </is>
      </c>
      <c r="E146" s="38" t="inlineStr">
        <is>
          <t>876 Magnolia Circle</t>
        </is>
      </c>
      <c r="F146" s="128" t="n"/>
      <c r="G146" s="128" t="n"/>
      <c r="H146" s="129" t="n">
        <v>23.1</v>
      </c>
      <c r="I146" s="38" t="inlineStr">
        <is>
          <t>Maria Lopez</t>
        </is>
      </c>
      <c r="J146" s="98">
        <f>IF(A146="","",IF(AND(F146&lt;&gt;"",G146&lt;&gt;""),MAX(0,G146-F146),N(H146)))</f>
        <v/>
      </c>
      <c r="K146" s="55">
        <f>IF(A146="","",ROUND(J146*MileRate,2))</f>
        <v/>
      </c>
      <c r="L146" s="51">
        <f>IF(A146="","",DATE(YEAR(A146),MONTH(A146),1))</f>
        <v/>
      </c>
    </row>
    <row r="147">
      <c r="A147" s="47" t="n">
        <v>46172</v>
      </c>
      <c r="B147" s="38" t="inlineStr">
        <is>
          <t>J-0141</t>
        </is>
      </c>
      <c r="C147" s="38" t="inlineStr">
        <is>
          <t>Job: Standard Clean</t>
        </is>
      </c>
      <c r="D147" s="38" t="inlineStr">
        <is>
          <t>Home base</t>
        </is>
      </c>
      <c r="E147" s="38" t="inlineStr">
        <is>
          <t>964 Cedar Court</t>
        </is>
      </c>
      <c r="F147" s="128" t="n">
        <v>42860</v>
      </c>
      <c r="G147" s="128" t="n">
        <v>42873</v>
      </c>
      <c r="H147" s="129" t="n"/>
      <c r="I147" s="38" t="inlineStr">
        <is>
          <t>Dana Whitfield</t>
        </is>
      </c>
      <c r="J147" s="98">
        <f>IF(A147="","",IF(AND(F147&lt;&gt;"",G147&lt;&gt;""),MAX(0,G147-F147),N(H147)))</f>
        <v/>
      </c>
      <c r="K147" s="55">
        <f>IF(A147="","",ROUND(J147*MileRate,2))</f>
        <v/>
      </c>
      <c r="L147" s="51">
        <f>IF(A147="","",DATE(YEAR(A147),MONTH(A147),1))</f>
        <v/>
      </c>
    </row>
    <row r="148">
      <c r="A148" s="47" t="n">
        <v>46174</v>
      </c>
      <c r="B148" s="38" t="inlineStr">
        <is>
          <t>J-0142</t>
        </is>
      </c>
      <c r="C148" s="38" t="inlineStr">
        <is>
          <t>Job: Airbnb Turnover</t>
        </is>
      </c>
      <c r="D148" s="38" t="inlineStr">
        <is>
          <t>Home base</t>
        </is>
      </c>
      <c r="E148" s="38" t="inlineStr">
        <is>
          <t>666 Juniper Street</t>
        </is>
      </c>
      <c r="F148" s="128" t="n"/>
      <c r="G148" s="128" t="n"/>
      <c r="H148" s="129" t="n">
        <v>9.4</v>
      </c>
      <c r="I148" s="38" t="inlineStr">
        <is>
          <t>Kevin Osei</t>
        </is>
      </c>
      <c r="J148" s="98">
        <f>IF(A148="","",IF(AND(F148&lt;&gt;"",G148&lt;&gt;""),MAX(0,G148-F148),N(H148)))</f>
        <v/>
      </c>
      <c r="K148" s="55">
        <f>IF(A148="","",ROUND(J148*MileRate,2))</f>
        <v/>
      </c>
      <c r="L148" s="51">
        <f>IF(A148="","",DATE(YEAR(A148),MONTH(A148),1))</f>
        <v/>
      </c>
    </row>
    <row r="149">
      <c r="A149" s="47" t="n">
        <v>46174</v>
      </c>
      <c r="B149" s="38" t="inlineStr">
        <is>
          <t>J-0143</t>
        </is>
      </c>
      <c r="C149" s="38" t="inlineStr">
        <is>
          <t>Job: Standard Clean</t>
        </is>
      </c>
      <c r="D149" s="38" t="inlineStr">
        <is>
          <t>Home base</t>
        </is>
      </c>
      <c r="E149" s="38" t="inlineStr">
        <is>
          <t>868 Rowan Drive</t>
        </is>
      </c>
      <c r="F149" s="128" t="n"/>
      <c r="G149" s="128" t="n"/>
      <c r="H149" s="129" t="n">
        <v>7</v>
      </c>
      <c r="I149" s="38" t="inlineStr">
        <is>
          <t>Maria Lopez</t>
        </is>
      </c>
      <c r="J149" s="98">
        <f>IF(A149="","",IF(AND(F149&lt;&gt;"",G149&lt;&gt;""),MAX(0,G149-F149),N(H149)))</f>
        <v/>
      </c>
      <c r="K149" s="55">
        <f>IF(A149="","",ROUND(J149*MileRate,2))</f>
        <v/>
      </c>
      <c r="L149" s="51">
        <f>IF(A149="","",DATE(YEAR(A149),MONTH(A149),1))</f>
        <v/>
      </c>
    </row>
    <row r="150">
      <c r="A150" s="47" t="n">
        <v>46175</v>
      </c>
      <c r="B150" s="38" t="inlineStr">
        <is>
          <t>J-0144</t>
        </is>
      </c>
      <c r="C150" s="38" t="inlineStr">
        <is>
          <t>Job: Standard Clean</t>
        </is>
      </c>
      <c r="D150" s="38" t="inlineStr">
        <is>
          <t>Home base</t>
        </is>
      </c>
      <c r="E150" s="38" t="inlineStr">
        <is>
          <t>497 Aspen Drive</t>
        </is>
      </c>
      <c r="F150" s="128" t="n"/>
      <c r="G150" s="128" t="n"/>
      <c r="H150" s="129" t="n">
        <v>15.9</v>
      </c>
      <c r="I150" s="38" t="inlineStr">
        <is>
          <t>Maria Lopez</t>
        </is>
      </c>
      <c r="J150" s="98">
        <f>IF(A150="","",IF(AND(F150&lt;&gt;"",G150&lt;&gt;""),MAX(0,G150-F150),N(H150)))</f>
        <v/>
      </c>
      <c r="K150" s="55">
        <f>IF(A150="","",ROUND(J150*MileRate,2))</f>
        <v/>
      </c>
      <c r="L150" s="51">
        <f>IF(A150="","",DATE(YEAR(A150),MONTH(A150),1))</f>
        <v/>
      </c>
    </row>
    <row r="151">
      <c r="A151" s="47" t="n">
        <v>46177</v>
      </c>
      <c r="B151" s="38" t="inlineStr">
        <is>
          <t>J-0145</t>
        </is>
      </c>
      <c r="C151" s="38" t="inlineStr">
        <is>
          <t>Job: Standard Clean</t>
        </is>
      </c>
      <c r="D151" s="38" t="inlineStr">
        <is>
          <t>Home base</t>
        </is>
      </c>
      <c r="E151" s="38" t="inlineStr">
        <is>
          <t>129 Elm Terrace</t>
        </is>
      </c>
      <c r="F151" s="128" t="n"/>
      <c r="G151" s="128" t="n"/>
      <c r="H151" s="129" t="n">
        <v>19</v>
      </c>
      <c r="I151" s="38" t="inlineStr">
        <is>
          <t>Dana Whitfield</t>
        </is>
      </c>
      <c r="J151" s="98">
        <f>IF(A151="","",IF(AND(F151&lt;&gt;"",G151&lt;&gt;""),MAX(0,G151-F151),N(H151)))</f>
        <v/>
      </c>
      <c r="K151" s="55">
        <f>IF(A151="","",ROUND(J151*MileRate,2))</f>
        <v/>
      </c>
      <c r="L151" s="51">
        <f>IF(A151="","",DATE(YEAR(A151),MONTH(A151),1))</f>
        <v/>
      </c>
    </row>
    <row r="152">
      <c r="A152" s="47" t="n">
        <v>46178</v>
      </c>
      <c r="B152" s="38" t="inlineStr">
        <is>
          <t>J-0146</t>
        </is>
      </c>
      <c r="C152" s="38" t="inlineStr">
        <is>
          <t>Job: Commercial Clean</t>
        </is>
      </c>
      <c r="D152" s="38" t="inlineStr">
        <is>
          <t>Home base</t>
        </is>
      </c>
      <c r="E152" s="38" t="inlineStr">
        <is>
          <t>738 Cedar Court</t>
        </is>
      </c>
      <c r="F152" s="128" t="n"/>
      <c r="G152" s="128" t="n"/>
      <c r="H152" s="129" t="n">
        <v>11.7</v>
      </c>
      <c r="I152" s="38" t="inlineStr">
        <is>
          <t>Kevin Osei</t>
        </is>
      </c>
      <c r="J152" s="98">
        <f>IF(A152="","",IF(AND(F152&lt;&gt;"",G152&lt;&gt;""),MAX(0,G152-F152),N(H152)))</f>
        <v/>
      </c>
      <c r="K152" s="55">
        <f>IF(A152="","",ROUND(J152*MileRate,2))</f>
        <v/>
      </c>
      <c r="L152" s="51">
        <f>IF(A152="","",DATE(YEAR(A152),MONTH(A152),1))</f>
        <v/>
      </c>
    </row>
    <row r="153">
      <c r="A153" s="47" t="n">
        <v>46178</v>
      </c>
      <c r="B153" s="38" t="inlineStr">
        <is>
          <t>J-0147</t>
        </is>
      </c>
      <c r="C153" s="38" t="inlineStr">
        <is>
          <t>Job: Commercial Clean</t>
        </is>
      </c>
      <c r="D153" s="38" t="inlineStr">
        <is>
          <t>Home base</t>
        </is>
      </c>
      <c r="E153" s="38" t="inlineStr">
        <is>
          <t>957 Hawthorn Road</t>
        </is>
      </c>
      <c r="F153" s="128" t="n"/>
      <c r="G153" s="128" t="n"/>
      <c r="H153" s="129" t="n">
        <v>17.7</v>
      </c>
      <c r="I153" s="38" t="inlineStr">
        <is>
          <t>Kevin Osei</t>
        </is>
      </c>
      <c r="J153" s="98">
        <f>IF(A153="","",IF(AND(F153&lt;&gt;"",G153&lt;&gt;""),MAX(0,G153-F153),N(H153)))</f>
        <v/>
      </c>
      <c r="K153" s="55">
        <f>IF(A153="","",ROUND(J153*MileRate,2))</f>
        <v/>
      </c>
      <c r="L153" s="51">
        <f>IF(A153="","",DATE(YEAR(A153),MONTH(A153),1))</f>
        <v/>
      </c>
    </row>
    <row r="154">
      <c r="A154" s="47" t="n">
        <v>46178</v>
      </c>
      <c r="B154" s="38" t="inlineStr">
        <is>
          <t>J-0148</t>
        </is>
      </c>
      <c r="C154" s="38" t="inlineStr">
        <is>
          <t>Job: Standard Clean</t>
        </is>
      </c>
      <c r="D154" s="38" t="inlineStr">
        <is>
          <t>Home base</t>
        </is>
      </c>
      <c r="E154" s="38" t="inlineStr">
        <is>
          <t>84 Hawthorn Road</t>
        </is>
      </c>
      <c r="F154" s="128" t="n"/>
      <c r="G154" s="128" t="n"/>
      <c r="H154" s="129" t="n">
        <v>14.2</v>
      </c>
      <c r="I154" s="38" t="inlineStr">
        <is>
          <t>Dana Whitfield</t>
        </is>
      </c>
      <c r="J154" s="98">
        <f>IF(A154="","",IF(AND(F154&lt;&gt;"",G154&lt;&gt;""),MAX(0,G154-F154),N(H154)))</f>
        <v/>
      </c>
      <c r="K154" s="55">
        <f>IF(A154="","",ROUND(J154*MileRate,2))</f>
        <v/>
      </c>
      <c r="L154" s="51">
        <f>IF(A154="","",DATE(YEAR(A154),MONTH(A154),1))</f>
        <v/>
      </c>
    </row>
    <row r="155">
      <c r="A155" s="47" t="n">
        <v>46178</v>
      </c>
      <c r="B155" s="38" t="inlineStr">
        <is>
          <t>J-0149</t>
        </is>
      </c>
      <c r="C155" s="38" t="inlineStr">
        <is>
          <t>Job: Airbnb Turnover</t>
        </is>
      </c>
      <c r="D155" s="38" t="inlineStr">
        <is>
          <t>Home base</t>
        </is>
      </c>
      <c r="E155" s="38" t="inlineStr">
        <is>
          <t>412 Linden Place</t>
        </is>
      </c>
      <c r="F155" s="128" t="n"/>
      <c r="G155" s="128" t="n"/>
      <c r="H155" s="129" t="n">
        <v>7.9</v>
      </c>
      <c r="I155" s="38" t="inlineStr">
        <is>
          <t>Kevin Osei</t>
        </is>
      </c>
      <c r="J155" s="98">
        <f>IF(A155="","",IF(AND(F155&lt;&gt;"",G155&lt;&gt;""),MAX(0,G155-F155),N(H155)))</f>
        <v/>
      </c>
      <c r="K155" s="55">
        <f>IF(A155="","",ROUND(J155*MileRate,2))</f>
        <v/>
      </c>
      <c r="L155" s="51">
        <f>IF(A155="","",DATE(YEAR(A155),MONTH(A155),1))</f>
        <v/>
      </c>
    </row>
    <row r="156">
      <c r="A156" s="47" t="n">
        <v>46179</v>
      </c>
      <c r="B156" s="38" t="inlineStr">
        <is>
          <t>J-0150</t>
        </is>
      </c>
      <c r="C156" s="38" t="inlineStr">
        <is>
          <t>Job: Standard Clean</t>
        </is>
      </c>
      <c r="D156" s="38" t="inlineStr">
        <is>
          <t>Home base</t>
        </is>
      </c>
      <c r="E156" s="38" t="inlineStr">
        <is>
          <t>21 Maple Avenue</t>
        </is>
      </c>
      <c r="F156" s="128" t="n"/>
      <c r="G156" s="128" t="n"/>
      <c r="H156" s="129" t="n">
        <v>23.2</v>
      </c>
      <c r="I156" s="38" t="inlineStr">
        <is>
          <t>Maria Lopez</t>
        </is>
      </c>
      <c r="J156" s="98">
        <f>IF(A156="","",IF(AND(F156&lt;&gt;"",G156&lt;&gt;""),MAX(0,G156-F156),N(H156)))</f>
        <v/>
      </c>
      <c r="K156" s="55">
        <f>IF(A156="","",ROUND(J156*MileRate,2))</f>
        <v/>
      </c>
      <c r="L156" s="51">
        <f>IF(A156="","",DATE(YEAR(A156),MONTH(A156),1))</f>
        <v/>
      </c>
    </row>
    <row r="157">
      <c r="A157" s="47" t="n">
        <v>46182</v>
      </c>
      <c r="B157" s="38" t="inlineStr">
        <is>
          <t>J-0151</t>
        </is>
      </c>
      <c r="C157" s="38" t="inlineStr">
        <is>
          <t>Job: Standard Clean</t>
        </is>
      </c>
      <c r="D157" s="38" t="inlineStr">
        <is>
          <t>Home base</t>
        </is>
      </c>
      <c r="E157" s="38" t="inlineStr">
        <is>
          <t>497 Aspen Drive</t>
        </is>
      </c>
      <c r="F157" s="128" t="n">
        <v>48828</v>
      </c>
      <c r="G157" s="128" t="n">
        <v>48835</v>
      </c>
      <c r="H157" s="129" t="n"/>
      <c r="I157" s="38" t="inlineStr">
        <is>
          <t>Maria Lopez</t>
        </is>
      </c>
      <c r="J157" s="98">
        <f>IF(A157="","",IF(AND(F157&lt;&gt;"",G157&lt;&gt;""),MAX(0,G157-F157),N(H157)))</f>
        <v/>
      </c>
      <c r="K157" s="55">
        <f>IF(A157="","",ROUND(J157*MileRate,2))</f>
        <v/>
      </c>
      <c r="L157" s="51">
        <f>IF(A157="","",DATE(YEAR(A157),MONTH(A157),1))</f>
        <v/>
      </c>
    </row>
    <row r="158">
      <c r="A158" s="47" t="n">
        <v>46183</v>
      </c>
      <c r="B158" s="38" t="inlineStr">
        <is>
          <t>J-0152</t>
        </is>
      </c>
      <c r="C158" s="38" t="inlineStr">
        <is>
          <t>Job: Standard Clean</t>
        </is>
      </c>
      <c r="D158" s="38" t="inlineStr">
        <is>
          <t>Home base</t>
        </is>
      </c>
      <c r="E158" s="38" t="inlineStr">
        <is>
          <t>675 Aspen Drive</t>
        </is>
      </c>
      <c r="F158" s="128" t="n"/>
      <c r="G158" s="128" t="n"/>
      <c r="H158" s="129" t="n">
        <v>14.4</v>
      </c>
      <c r="I158" s="38" t="inlineStr">
        <is>
          <t>Dana Whitfield</t>
        </is>
      </c>
      <c r="J158" s="98">
        <f>IF(A158="","",IF(AND(F158&lt;&gt;"",G158&lt;&gt;""),MAX(0,G158-F158),N(H158)))</f>
        <v/>
      </c>
      <c r="K158" s="55">
        <f>IF(A158="","",ROUND(J158*MileRate,2))</f>
        <v/>
      </c>
      <c r="L158" s="51">
        <f>IF(A158="","",DATE(YEAR(A158),MONTH(A158),1))</f>
        <v/>
      </c>
    </row>
    <row r="159">
      <c r="A159" s="47" t="n">
        <v>46184</v>
      </c>
      <c r="B159" s="38" t="inlineStr">
        <is>
          <t>J-0153</t>
        </is>
      </c>
      <c r="C159" s="38" t="inlineStr">
        <is>
          <t>Job: Standard Clean</t>
        </is>
      </c>
      <c r="D159" s="38" t="inlineStr">
        <is>
          <t>Home base</t>
        </is>
      </c>
      <c r="E159" s="38" t="inlineStr">
        <is>
          <t>129 Elm Terrace</t>
        </is>
      </c>
      <c r="F159" s="128" t="n"/>
      <c r="G159" s="128" t="n"/>
      <c r="H159" s="129" t="n">
        <v>21.6</v>
      </c>
      <c r="I159" s="38" t="inlineStr">
        <is>
          <t>Dana Whitfield</t>
        </is>
      </c>
      <c r="J159" s="98">
        <f>IF(A159="","",IF(AND(F159&lt;&gt;"",G159&lt;&gt;""),MAX(0,G159-F159),N(H159)))</f>
        <v/>
      </c>
      <c r="K159" s="55">
        <f>IF(A159="","",ROUND(J159*MileRate,2))</f>
        <v/>
      </c>
      <c r="L159" s="51">
        <f>IF(A159="","",DATE(YEAR(A159),MONTH(A159),1))</f>
        <v/>
      </c>
    </row>
    <row r="160">
      <c r="A160" s="47" t="n">
        <v>46184</v>
      </c>
      <c r="B160" s="38" t="inlineStr">
        <is>
          <t>J-0154</t>
        </is>
      </c>
      <c r="C160" s="38" t="inlineStr">
        <is>
          <t>Job: Airbnb Turnover</t>
        </is>
      </c>
      <c r="D160" s="38" t="inlineStr">
        <is>
          <t>Home base</t>
        </is>
      </c>
      <c r="E160" s="38" t="inlineStr">
        <is>
          <t>654 Willow Way</t>
        </is>
      </c>
      <c r="F160" s="128" t="n"/>
      <c r="G160" s="128" t="n"/>
      <c r="H160" s="129" t="n">
        <v>15</v>
      </c>
      <c r="I160" s="38" t="inlineStr">
        <is>
          <t>Kevin Osei</t>
        </is>
      </c>
      <c r="J160" s="98">
        <f>IF(A160="","",IF(AND(F160&lt;&gt;"",G160&lt;&gt;""),MAX(0,G160-F160),N(H160)))</f>
        <v/>
      </c>
      <c r="K160" s="55">
        <f>IF(A160="","",ROUND(J160*MileRate,2))</f>
        <v/>
      </c>
      <c r="L160" s="51">
        <f>IF(A160="","",DATE(YEAR(A160),MONTH(A160),1))</f>
        <v/>
      </c>
    </row>
    <row r="161">
      <c r="A161" s="47" t="n">
        <v>46185</v>
      </c>
      <c r="B161" s="38" t="inlineStr">
        <is>
          <t>J-0155</t>
        </is>
      </c>
      <c r="C161" s="38" t="inlineStr">
        <is>
          <t>Job: Standard Clean</t>
        </is>
      </c>
      <c r="D161" s="38" t="inlineStr">
        <is>
          <t>Home base</t>
        </is>
      </c>
      <c r="E161" s="38" t="inlineStr">
        <is>
          <t>461 Hawthorn Road</t>
        </is>
      </c>
      <c r="F161" s="128" t="n"/>
      <c r="G161" s="128" t="n"/>
      <c r="H161" s="129" t="n">
        <v>10.4</v>
      </c>
      <c r="I161" s="38" t="inlineStr">
        <is>
          <t>Maria Lopez</t>
        </is>
      </c>
      <c r="J161" s="98">
        <f>IF(A161="","",IF(AND(F161&lt;&gt;"",G161&lt;&gt;""),MAX(0,G161-F161),N(H161)))</f>
        <v/>
      </c>
      <c r="K161" s="55">
        <f>IF(A161="","",ROUND(J161*MileRate,2))</f>
        <v/>
      </c>
      <c r="L161" s="51">
        <f>IF(A161="","",DATE(YEAR(A161),MONTH(A161),1))</f>
        <v/>
      </c>
    </row>
    <row r="162">
      <c r="A162" s="47" t="n">
        <v>46185</v>
      </c>
      <c r="B162" s="38" t="inlineStr">
        <is>
          <t>J-0156</t>
        </is>
      </c>
      <c r="C162" s="38" t="inlineStr">
        <is>
          <t>Job: Commercial Clean</t>
        </is>
      </c>
      <c r="D162" s="38" t="inlineStr">
        <is>
          <t>Home base</t>
        </is>
      </c>
      <c r="E162" s="38" t="inlineStr">
        <is>
          <t>738 Cedar Court</t>
        </is>
      </c>
      <c r="F162" s="128" t="n"/>
      <c r="G162" s="128" t="n"/>
      <c r="H162" s="129" t="n">
        <v>10.3</v>
      </c>
      <c r="I162" s="38" t="inlineStr">
        <is>
          <t>Kevin Osei</t>
        </is>
      </c>
      <c r="J162" s="98">
        <f>IF(A162="","",IF(AND(F162&lt;&gt;"",G162&lt;&gt;""),MAX(0,G162-F162),N(H162)))</f>
        <v/>
      </c>
      <c r="K162" s="55">
        <f>IF(A162="","",ROUND(J162*MileRate,2))</f>
        <v/>
      </c>
      <c r="L162" s="51">
        <f>IF(A162="","",DATE(YEAR(A162),MONTH(A162),1))</f>
        <v/>
      </c>
    </row>
    <row r="163">
      <c r="A163" s="47" t="n">
        <v>46185</v>
      </c>
      <c r="B163" s="38" t="inlineStr">
        <is>
          <t>J-0157</t>
        </is>
      </c>
      <c r="C163" s="38" t="inlineStr">
        <is>
          <t>Job: Commercial Clean</t>
        </is>
      </c>
      <c r="D163" s="38" t="inlineStr">
        <is>
          <t>Home base</t>
        </is>
      </c>
      <c r="E163" s="38" t="inlineStr">
        <is>
          <t>957 Hawthorn Road</t>
        </is>
      </c>
      <c r="F163" s="128" t="n">
        <v>58480</v>
      </c>
      <c r="G163" s="128" t="n">
        <v>58493</v>
      </c>
      <c r="H163" s="129" t="n"/>
      <c r="I163" s="38" t="inlineStr">
        <is>
          <t>Kevin Osei</t>
        </is>
      </c>
      <c r="J163" s="98">
        <f>IF(A163="","",IF(AND(F163&lt;&gt;"",G163&lt;&gt;""),MAX(0,G163-F163),N(H163)))</f>
        <v/>
      </c>
      <c r="K163" s="55">
        <f>IF(A163="","",ROUND(J163*MileRate,2))</f>
        <v/>
      </c>
      <c r="L163" s="51">
        <f>IF(A163="","",DATE(YEAR(A163),MONTH(A163),1))</f>
        <v/>
      </c>
    </row>
    <row r="164">
      <c r="A164" s="47" t="n">
        <v>46185</v>
      </c>
      <c r="B164" s="38" t="inlineStr">
        <is>
          <t>J-0158</t>
        </is>
      </c>
      <c r="C164" s="38" t="inlineStr">
        <is>
          <t>Job: Standard Clean</t>
        </is>
      </c>
      <c r="D164" s="38" t="inlineStr">
        <is>
          <t>Home base</t>
        </is>
      </c>
      <c r="E164" s="38" t="inlineStr">
        <is>
          <t>876 Magnolia Circle</t>
        </is>
      </c>
      <c r="F164" s="128" t="n">
        <v>55521</v>
      </c>
      <c r="G164" s="128" t="n">
        <v>55529</v>
      </c>
      <c r="H164" s="129" t="n"/>
      <c r="I164" s="38" t="inlineStr">
        <is>
          <t>Maria Lopez</t>
        </is>
      </c>
      <c r="J164" s="98">
        <f>IF(A164="","",IF(AND(F164&lt;&gt;"",G164&lt;&gt;""),MAX(0,G164-F164),N(H164)))</f>
        <v/>
      </c>
      <c r="K164" s="55">
        <f>IF(A164="","",ROUND(J164*MileRate,2))</f>
        <v/>
      </c>
      <c r="L164" s="51">
        <f>IF(A164="","",DATE(YEAR(A164),MONTH(A164),1))</f>
        <v/>
      </c>
    </row>
    <row r="165">
      <c r="A165" s="47" t="n">
        <v>46186</v>
      </c>
      <c r="B165" s="38" t="inlineStr">
        <is>
          <t>J-0159</t>
        </is>
      </c>
      <c r="C165" s="38" t="inlineStr">
        <is>
          <t>Job: Standard Clean</t>
        </is>
      </c>
      <c r="D165" s="38" t="inlineStr">
        <is>
          <t>Home base</t>
        </is>
      </c>
      <c r="E165" s="38" t="inlineStr">
        <is>
          <t>964 Cedar Court</t>
        </is>
      </c>
      <c r="F165" s="128" t="n"/>
      <c r="G165" s="128" t="n"/>
      <c r="H165" s="129" t="n">
        <v>13.2</v>
      </c>
      <c r="I165" s="38" t="inlineStr">
        <is>
          <t>Dana Whitfield</t>
        </is>
      </c>
      <c r="J165" s="98">
        <f>IF(A165="","",IF(AND(F165&lt;&gt;"",G165&lt;&gt;""),MAX(0,G165-F165),N(H165)))</f>
        <v/>
      </c>
      <c r="K165" s="55">
        <f>IF(A165="","",ROUND(J165*MileRate,2))</f>
        <v/>
      </c>
      <c r="L165" s="51">
        <f>IF(A165="","",DATE(YEAR(A165),MONTH(A165),1))</f>
        <v/>
      </c>
    </row>
    <row r="166">
      <c r="A166" s="47" t="n">
        <v>46189</v>
      </c>
      <c r="B166" s="38" t="inlineStr">
        <is>
          <t>J-0160</t>
        </is>
      </c>
      <c r="C166" s="38" t="inlineStr">
        <is>
          <t>Job: Standard Clean</t>
        </is>
      </c>
      <c r="D166" s="38" t="inlineStr">
        <is>
          <t>Home base</t>
        </is>
      </c>
      <c r="E166" s="38" t="inlineStr">
        <is>
          <t>497 Aspen Drive</t>
        </is>
      </c>
      <c r="F166" s="128" t="n"/>
      <c r="G166" s="128" t="n"/>
      <c r="H166" s="129" t="n">
        <v>19.4</v>
      </c>
      <c r="I166" s="38" t="inlineStr">
        <is>
          <t>Maria Lopez</t>
        </is>
      </c>
      <c r="J166" s="98">
        <f>IF(A166="","",IF(AND(F166&lt;&gt;"",G166&lt;&gt;""),MAX(0,G166-F166),N(H166)))</f>
        <v/>
      </c>
      <c r="K166" s="55">
        <f>IF(A166="","",ROUND(J166*MileRate,2))</f>
        <v/>
      </c>
      <c r="L166" s="51">
        <f>IF(A166="","",DATE(YEAR(A166),MONTH(A166),1))</f>
        <v/>
      </c>
    </row>
    <row r="167">
      <c r="A167" s="47" t="n">
        <v>46189</v>
      </c>
      <c r="B167" s="38" t="inlineStr">
        <is>
          <t>J-0161</t>
        </is>
      </c>
      <c r="C167" s="38" t="inlineStr">
        <is>
          <t>Job: Deep Clean</t>
        </is>
      </c>
      <c r="D167" s="38" t="inlineStr">
        <is>
          <t>Home base</t>
        </is>
      </c>
      <c r="E167" s="38" t="inlineStr">
        <is>
          <t>520 Linden Place</t>
        </is>
      </c>
      <c r="F167" s="128" t="n"/>
      <c r="G167" s="128" t="n"/>
      <c r="H167" s="129" t="n">
        <v>17.1</v>
      </c>
      <c r="I167" s="38" t="inlineStr">
        <is>
          <t>Maria Lopez</t>
        </is>
      </c>
      <c r="J167" s="98">
        <f>IF(A167="","",IF(AND(F167&lt;&gt;"",G167&lt;&gt;""),MAX(0,G167-F167),N(H167)))</f>
        <v/>
      </c>
      <c r="K167" s="55">
        <f>IF(A167="","",ROUND(J167*MileRate,2))</f>
        <v/>
      </c>
      <c r="L167" s="51">
        <f>IF(A167="","",DATE(YEAR(A167),MONTH(A167),1))</f>
        <v/>
      </c>
    </row>
    <row r="168">
      <c r="A168" s="47" t="n">
        <v>46190</v>
      </c>
      <c r="B168" s="38" t="inlineStr">
        <is>
          <t>J-0162</t>
        </is>
      </c>
      <c r="C168" s="38" t="inlineStr">
        <is>
          <t>Job: Airbnb Turnover</t>
        </is>
      </c>
      <c r="D168" s="38" t="inlineStr">
        <is>
          <t>Home base</t>
        </is>
      </c>
      <c r="E168" s="38" t="inlineStr">
        <is>
          <t>192 Birch Lane</t>
        </is>
      </c>
      <c r="F168" s="128" t="n"/>
      <c r="G168" s="128" t="n"/>
      <c r="H168" s="129" t="n">
        <v>10.4</v>
      </c>
      <c r="I168" s="38" t="inlineStr">
        <is>
          <t>Kevin Osei</t>
        </is>
      </c>
      <c r="J168" s="98">
        <f>IF(A168="","",IF(AND(F168&lt;&gt;"",G168&lt;&gt;""),MAX(0,G168-F168),N(H168)))</f>
        <v/>
      </c>
      <c r="K168" s="55">
        <f>IF(A168="","",ROUND(J168*MileRate,2))</f>
        <v/>
      </c>
      <c r="L168" s="51">
        <f>IF(A168="","",DATE(YEAR(A168),MONTH(A168),1))</f>
        <v/>
      </c>
    </row>
    <row r="169">
      <c r="A169" s="47" t="n">
        <v>46190</v>
      </c>
      <c r="B169" s="38" t="inlineStr">
        <is>
          <t>J-0163</t>
        </is>
      </c>
      <c r="C169" s="38" t="inlineStr">
        <is>
          <t>Job: Standard Clean</t>
        </is>
      </c>
      <c r="D169" s="38" t="inlineStr">
        <is>
          <t>Home base</t>
        </is>
      </c>
      <c r="E169" s="38" t="inlineStr">
        <is>
          <t>348 Hazel Court</t>
        </is>
      </c>
      <c r="F169" s="128" t="n"/>
      <c r="G169" s="128" t="n"/>
      <c r="H169" s="129" t="n">
        <v>23.8</v>
      </c>
      <c r="I169" s="38" t="inlineStr">
        <is>
          <t>Kevin Osei</t>
        </is>
      </c>
      <c r="J169" s="98">
        <f>IF(A169="","",IF(AND(F169&lt;&gt;"",G169&lt;&gt;""),MAX(0,G169-F169),N(H169)))</f>
        <v/>
      </c>
      <c r="K169" s="55">
        <f>IF(A169="","",ROUND(J169*MileRate,2))</f>
        <v/>
      </c>
      <c r="L169" s="51">
        <f>IF(A169="","",DATE(YEAR(A169),MONTH(A169),1))</f>
        <v/>
      </c>
    </row>
    <row r="170">
      <c r="A170" s="47" t="n">
        <v>46191</v>
      </c>
      <c r="B170" s="38" t="inlineStr">
        <is>
          <t>J-0164</t>
        </is>
      </c>
      <c r="C170" s="38" t="inlineStr">
        <is>
          <t>Job: Standard Clean</t>
        </is>
      </c>
      <c r="D170" s="38" t="inlineStr">
        <is>
          <t>Home base</t>
        </is>
      </c>
      <c r="E170" s="38" t="inlineStr">
        <is>
          <t>129 Elm Terrace</t>
        </is>
      </c>
      <c r="F170" s="128" t="n"/>
      <c r="G170" s="128" t="n"/>
      <c r="H170" s="129" t="n">
        <v>22.7</v>
      </c>
      <c r="I170" s="38" t="inlineStr">
        <is>
          <t>Dana Whitfield</t>
        </is>
      </c>
      <c r="J170" s="98">
        <f>IF(A170="","",IF(AND(F170&lt;&gt;"",G170&lt;&gt;""),MAX(0,G170-F170),N(H170)))</f>
        <v/>
      </c>
      <c r="K170" s="55">
        <f>IF(A170="","",ROUND(J170*MileRate,2))</f>
        <v/>
      </c>
      <c r="L170" s="51">
        <f>IF(A170="","",DATE(YEAR(A170),MONTH(A170),1))</f>
        <v/>
      </c>
    </row>
    <row r="171">
      <c r="A171" s="47" t="n">
        <v>46192</v>
      </c>
      <c r="B171" s="38" t="inlineStr">
        <is>
          <t>J-0165</t>
        </is>
      </c>
      <c r="C171" s="38" t="inlineStr">
        <is>
          <t>Job: Commercial Clean</t>
        </is>
      </c>
      <c r="D171" s="38" t="inlineStr">
        <is>
          <t>Home base</t>
        </is>
      </c>
      <c r="E171" s="38" t="inlineStr">
        <is>
          <t>957 Hawthorn Road</t>
        </is>
      </c>
      <c r="F171" s="128" t="n">
        <v>56672</v>
      </c>
      <c r="G171" s="128" t="n">
        <v>56684</v>
      </c>
      <c r="H171" s="129" t="n"/>
      <c r="I171" s="38" t="inlineStr">
        <is>
          <t>Kevin Osei</t>
        </is>
      </c>
      <c r="J171" s="98">
        <f>IF(A171="","",IF(AND(F171&lt;&gt;"",G171&lt;&gt;""),MAX(0,G171-F171),N(H171)))</f>
        <v/>
      </c>
      <c r="K171" s="55">
        <f>IF(A171="","",ROUND(J171*MileRate,2))</f>
        <v/>
      </c>
      <c r="L171" s="51">
        <f>IF(A171="","",DATE(YEAR(A171),MONTH(A171),1))</f>
        <v/>
      </c>
    </row>
    <row r="172">
      <c r="A172" s="47" t="n">
        <v>46192</v>
      </c>
      <c r="B172" s="38" t="inlineStr">
        <is>
          <t>J-0166</t>
        </is>
      </c>
      <c r="C172" s="38" t="inlineStr">
        <is>
          <t>Job: Commercial Clean</t>
        </is>
      </c>
      <c r="D172" s="38" t="inlineStr">
        <is>
          <t>Home base</t>
        </is>
      </c>
      <c r="E172" s="38" t="inlineStr">
        <is>
          <t>738 Cedar Court</t>
        </is>
      </c>
      <c r="F172" s="128" t="n"/>
      <c r="G172" s="128" t="n"/>
      <c r="H172" s="129" t="n">
        <v>16.4</v>
      </c>
      <c r="I172" s="38" t="inlineStr">
        <is>
          <t>Kevin Osei</t>
        </is>
      </c>
      <c r="J172" s="98">
        <f>IF(A172="","",IF(AND(F172&lt;&gt;"",G172&lt;&gt;""),MAX(0,G172-F172),N(H172)))</f>
        <v/>
      </c>
      <c r="K172" s="55">
        <f>IF(A172="","",ROUND(J172*MileRate,2))</f>
        <v/>
      </c>
      <c r="L172" s="51">
        <f>IF(A172="","",DATE(YEAR(A172),MONTH(A172),1))</f>
        <v/>
      </c>
    </row>
    <row r="173">
      <c r="A173" s="47" t="n">
        <v>46192</v>
      </c>
      <c r="B173" s="38" t="inlineStr">
        <is>
          <t>J-0167</t>
        </is>
      </c>
      <c r="C173" s="38" t="inlineStr">
        <is>
          <t>Job: Airbnb Turnover</t>
        </is>
      </c>
      <c r="D173" s="38" t="inlineStr">
        <is>
          <t>Home base</t>
        </is>
      </c>
      <c r="E173" s="38" t="inlineStr">
        <is>
          <t>666 Juniper Street</t>
        </is>
      </c>
      <c r="F173" s="128" t="n"/>
      <c r="G173" s="128" t="n"/>
      <c r="H173" s="129" t="n">
        <v>21.7</v>
      </c>
      <c r="I173" s="38" t="inlineStr">
        <is>
          <t>Kevin Osei</t>
        </is>
      </c>
      <c r="J173" s="98">
        <f>IF(A173="","",IF(AND(F173&lt;&gt;"",G173&lt;&gt;""),MAX(0,G173-F173),N(H173)))</f>
        <v/>
      </c>
      <c r="K173" s="55">
        <f>IF(A173="","",ROUND(J173*MileRate,2))</f>
        <v/>
      </c>
      <c r="L173" s="51">
        <f>IF(A173="","",DATE(YEAR(A173),MONTH(A173),1))</f>
        <v/>
      </c>
    </row>
    <row r="174">
      <c r="A174" s="47" t="n">
        <v>46193</v>
      </c>
      <c r="B174" s="38" t="inlineStr">
        <is>
          <t>J-0168</t>
        </is>
      </c>
      <c r="C174" s="38" t="inlineStr">
        <is>
          <t>Job: Standard Clean</t>
        </is>
      </c>
      <c r="D174" s="38" t="inlineStr">
        <is>
          <t>Home base</t>
        </is>
      </c>
      <c r="E174" s="38" t="inlineStr">
        <is>
          <t>21 Maple Avenue</t>
        </is>
      </c>
      <c r="F174" s="128" t="n">
        <v>48775</v>
      </c>
      <c r="G174" s="128" t="n">
        <v>48781</v>
      </c>
      <c r="H174" s="129" t="n"/>
      <c r="I174" s="38" t="inlineStr">
        <is>
          <t>Maria Lopez</t>
        </is>
      </c>
      <c r="J174" s="98">
        <f>IF(A174="","",IF(AND(F174&lt;&gt;"",G174&lt;&gt;""),MAX(0,G174-F174),N(H174)))</f>
        <v/>
      </c>
      <c r="K174" s="55">
        <f>IF(A174="","",ROUND(J174*MileRate,2))</f>
        <v/>
      </c>
      <c r="L174" s="51">
        <f>IF(A174="","",DATE(YEAR(A174),MONTH(A174),1))</f>
        <v/>
      </c>
    </row>
    <row r="175">
      <c r="A175" s="47" t="n">
        <v>46193</v>
      </c>
      <c r="B175" s="38" t="n"/>
      <c r="C175" s="38" t="inlineStr">
        <is>
          <t>Supply run</t>
        </is>
      </c>
      <c r="D175" s="38" t="inlineStr">
        <is>
          <t>Home base</t>
        </is>
      </c>
      <c r="E175" s="38" t="inlineStr">
        <is>
          <t>Supply store</t>
        </is>
      </c>
      <c r="F175" s="128" t="n"/>
      <c r="G175" s="128" t="n"/>
      <c r="H175" s="129" t="n">
        <v>11.5</v>
      </c>
      <c r="I175" s="38" t="inlineStr">
        <is>
          <t>Jordan Rivera</t>
        </is>
      </c>
      <c r="J175" s="98">
        <f>IF(A175="","",IF(AND(F175&lt;&gt;"",G175&lt;&gt;""),MAX(0,G175-F175),N(H175)))</f>
        <v/>
      </c>
      <c r="K175" s="55">
        <f>IF(A175="","",ROUND(J175*MileRate,2))</f>
        <v/>
      </c>
      <c r="L175" s="51">
        <f>IF(A175="","",DATE(YEAR(A175),MONTH(A175),1))</f>
        <v/>
      </c>
    </row>
    <row r="176">
      <c r="A176" s="47" t="n">
        <v>46194</v>
      </c>
      <c r="B176" s="38" t="inlineStr">
        <is>
          <t>J-0169</t>
        </is>
      </c>
      <c r="C176" s="38" t="inlineStr">
        <is>
          <t>Job: Standard Clean</t>
        </is>
      </c>
      <c r="D176" s="38" t="inlineStr">
        <is>
          <t>Home base</t>
        </is>
      </c>
      <c r="E176" s="38" t="inlineStr">
        <is>
          <t>102 Hawthorn Road</t>
        </is>
      </c>
      <c r="F176" s="128" t="n"/>
      <c r="G176" s="128" t="n"/>
      <c r="H176" s="129" t="n">
        <v>14.1</v>
      </c>
      <c r="I176" s="38" t="inlineStr">
        <is>
          <t>Dana Whitfield</t>
        </is>
      </c>
      <c r="J176" s="98">
        <f>IF(A176="","",IF(AND(F176&lt;&gt;"",G176&lt;&gt;""),MAX(0,G176-F176),N(H176)))</f>
        <v/>
      </c>
      <c r="K176" s="55">
        <f>IF(A176="","",ROUND(J176*MileRate,2))</f>
        <v/>
      </c>
      <c r="L176" s="51">
        <f>IF(A176="","",DATE(YEAR(A176),MONTH(A176),1))</f>
        <v/>
      </c>
    </row>
    <row r="177">
      <c r="A177" s="47" t="n">
        <v>46195</v>
      </c>
      <c r="B177" s="38" t="inlineStr">
        <is>
          <t>J-0170</t>
        </is>
      </c>
      <c r="C177" s="38" t="inlineStr">
        <is>
          <t>Job: Standard Clean</t>
        </is>
      </c>
      <c r="D177" s="38" t="inlineStr">
        <is>
          <t>Home base</t>
        </is>
      </c>
      <c r="E177" s="38" t="inlineStr">
        <is>
          <t>667 Willow Way</t>
        </is>
      </c>
      <c r="F177" s="128" t="n"/>
      <c r="G177" s="128" t="n"/>
      <c r="H177" s="129" t="n">
        <v>13.9</v>
      </c>
      <c r="I177" s="38" t="inlineStr">
        <is>
          <t>Maria Lopez</t>
        </is>
      </c>
      <c r="J177" s="98">
        <f>IF(A177="","",IF(AND(F177&lt;&gt;"",G177&lt;&gt;""),MAX(0,G177-F177),N(H177)))</f>
        <v/>
      </c>
      <c r="K177" s="55">
        <f>IF(A177="","",ROUND(J177*MileRate,2))</f>
        <v/>
      </c>
      <c r="L177" s="51">
        <f>IF(A177="","",DATE(YEAR(A177),MONTH(A177),1))</f>
        <v/>
      </c>
    </row>
    <row r="178">
      <c r="A178" s="47" t="n">
        <v>46195</v>
      </c>
      <c r="B178" s="38" t="inlineStr">
        <is>
          <t>J-0171</t>
        </is>
      </c>
      <c r="C178" s="38" t="inlineStr">
        <is>
          <t>Job: Airbnb Turnover</t>
        </is>
      </c>
      <c r="D178" s="38" t="inlineStr">
        <is>
          <t>Home base</t>
        </is>
      </c>
      <c r="E178" s="38" t="inlineStr">
        <is>
          <t>412 Linden Place</t>
        </is>
      </c>
      <c r="F178" s="128" t="n"/>
      <c r="G178" s="128" t="n"/>
      <c r="H178" s="129" t="n">
        <v>11.7</v>
      </c>
      <c r="I178" s="38" t="inlineStr">
        <is>
          <t>Kevin Osei</t>
        </is>
      </c>
      <c r="J178" s="98">
        <f>IF(A178="","",IF(AND(F178&lt;&gt;"",G178&lt;&gt;""),MAX(0,G178-F178),N(H178)))</f>
        <v/>
      </c>
      <c r="K178" s="55">
        <f>IF(A178="","",ROUND(J178*MileRate,2))</f>
        <v/>
      </c>
      <c r="L178" s="51">
        <f>IF(A178="","",DATE(YEAR(A178),MONTH(A178),1))</f>
        <v/>
      </c>
    </row>
    <row r="179">
      <c r="A179" s="47" t="n">
        <v>46196</v>
      </c>
      <c r="B179" s="38" t="inlineStr">
        <is>
          <t>J-0172</t>
        </is>
      </c>
      <c r="C179" s="38" t="inlineStr">
        <is>
          <t>Job: Standard Clean</t>
        </is>
      </c>
      <c r="D179" s="38" t="inlineStr">
        <is>
          <t>Home base</t>
        </is>
      </c>
      <c r="E179" s="38" t="inlineStr">
        <is>
          <t>497 Aspen Drive</t>
        </is>
      </c>
      <c r="F179" s="128" t="n"/>
      <c r="G179" s="128" t="n"/>
      <c r="H179" s="129" t="n">
        <v>13.4</v>
      </c>
      <c r="I179" s="38" t="inlineStr">
        <is>
          <t>Maria Lopez</t>
        </is>
      </c>
      <c r="J179" s="98">
        <f>IF(A179="","",IF(AND(F179&lt;&gt;"",G179&lt;&gt;""),MAX(0,G179-F179),N(H179)))</f>
        <v/>
      </c>
      <c r="K179" s="55">
        <f>IF(A179="","",ROUND(J179*MileRate,2))</f>
        <v/>
      </c>
      <c r="L179" s="51">
        <f>IF(A179="","",DATE(YEAR(A179),MONTH(A179),1))</f>
        <v/>
      </c>
    </row>
    <row r="180">
      <c r="A180" s="47" t="n">
        <v>46197</v>
      </c>
      <c r="B180" s="38" t="inlineStr">
        <is>
          <t>J-0173</t>
        </is>
      </c>
      <c r="C180" s="38" t="inlineStr">
        <is>
          <t>Job: Standard Clean</t>
        </is>
      </c>
      <c r="D180" s="38" t="inlineStr">
        <is>
          <t>Home base</t>
        </is>
      </c>
      <c r="E180" s="38" t="inlineStr">
        <is>
          <t>675 Aspen Drive</t>
        </is>
      </c>
      <c r="F180" s="128" t="n"/>
      <c r="G180" s="128" t="n"/>
      <c r="H180" s="129" t="n">
        <v>19.9</v>
      </c>
      <c r="I180" s="38" t="inlineStr">
        <is>
          <t>Dana Whitfield</t>
        </is>
      </c>
      <c r="J180" s="98">
        <f>IF(A180="","",IF(AND(F180&lt;&gt;"",G180&lt;&gt;""),MAX(0,G180-F180),N(H180)))</f>
        <v/>
      </c>
      <c r="K180" s="55">
        <f>IF(A180="","",ROUND(J180*MileRate,2))</f>
        <v/>
      </c>
      <c r="L180" s="51">
        <f>IF(A180="","",DATE(YEAR(A180),MONTH(A180),1))</f>
        <v/>
      </c>
    </row>
    <row r="181">
      <c r="A181" s="47" t="n">
        <v>46199</v>
      </c>
      <c r="B181" s="38" t="inlineStr">
        <is>
          <t>J-0174</t>
        </is>
      </c>
      <c r="C181" s="38" t="inlineStr">
        <is>
          <t>Job: Commercial Clean</t>
        </is>
      </c>
      <c r="D181" s="38" t="inlineStr">
        <is>
          <t>Home base</t>
        </is>
      </c>
      <c r="E181" s="38" t="inlineStr">
        <is>
          <t>957 Hawthorn Road</t>
        </is>
      </c>
      <c r="F181" s="128" t="n"/>
      <c r="G181" s="128" t="n"/>
      <c r="H181" s="129" t="n">
        <v>14.5</v>
      </c>
      <c r="I181" s="38" t="inlineStr">
        <is>
          <t>Kevin Osei</t>
        </is>
      </c>
      <c r="J181" s="98">
        <f>IF(A181="","",IF(AND(F181&lt;&gt;"",G181&lt;&gt;""),MAX(0,G181-F181),N(H181)))</f>
        <v/>
      </c>
      <c r="K181" s="55">
        <f>IF(A181="","",ROUND(J181*MileRate,2))</f>
        <v/>
      </c>
      <c r="L181" s="51">
        <f>IF(A181="","",DATE(YEAR(A181),MONTH(A181),1))</f>
        <v/>
      </c>
    </row>
    <row r="182">
      <c r="A182" s="47" t="n">
        <v>46199</v>
      </c>
      <c r="B182" s="38" t="inlineStr">
        <is>
          <t>J-0175</t>
        </is>
      </c>
      <c r="C182" s="38" t="inlineStr">
        <is>
          <t>Job: Airbnb Turnover</t>
        </is>
      </c>
      <c r="D182" s="38" t="inlineStr">
        <is>
          <t>Home base</t>
        </is>
      </c>
      <c r="E182" s="38" t="inlineStr">
        <is>
          <t>654 Willow Way</t>
        </is>
      </c>
      <c r="F182" s="128" t="n"/>
      <c r="G182" s="128" t="n"/>
      <c r="H182" s="129" t="n">
        <v>14.2</v>
      </c>
      <c r="I182" s="38" t="inlineStr">
        <is>
          <t>Kevin Osei</t>
        </is>
      </c>
      <c r="J182" s="98">
        <f>IF(A182="","",IF(AND(F182&lt;&gt;"",G182&lt;&gt;""),MAX(0,G182-F182),N(H182)))</f>
        <v/>
      </c>
      <c r="K182" s="55">
        <f>IF(A182="","",ROUND(J182*MileRate,2))</f>
        <v/>
      </c>
      <c r="L182" s="51">
        <f>IF(A182="","",DATE(YEAR(A182),MONTH(A182),1))</f>
        <v/>
      </c>
    </row>
    <row r="183">
      <c r="A183" s="47" t="n">
        <v>46199</v>
      </c>
      <c r="B183" s="38" t="inlineStr">
        <is>
          <t>J-0176</t>
        </is>
      </c>
      <c r="C183" s="38" t="inlineStr">
        <is>
          <t>Job: Standard Clean</t>
        </is>
      </c>
      <c r="D183" s="38" t="inlineStr">
        <is>
          <t>Home base</t>
        </is>
      </c>
      <c r="E183" s="38" t="inlineStr">
        <is>
          <t>876 Magnolia Circle</t>
        </is>
      </c>
      <c r="F183" s="128" t="n"/>
      <c r="G183" s="128" t="n"/>
      <c r="H183" s="129" t="n">
        <v>22.2</v>
      </c>
      <c r="I183" s="38" t="inlineStr">
        <is>
          <t>Maria Lopez</t>
        </is>
      </c>
      <c r="J183" s="98">
        <f>IF(A183="","",IF(AND(F183&lt;&gt;"",G183&lt;&gt;""),MAX(0,G183-F183),N(H183)))</f>
        <v/>
      </c>
      <c r="K183" s="55">
        <f>IF(A183="","",ROUND(J183*MileRate,2))</f>
        <v/>
      </c>
      <c r="L183" s="51">
        <f>IF(A183="","",DATE(YEAR(A183),MONTH(A183),1))</f>
        <v/>
      </c>
    </row>
    <row r="184">
      <c r="A184" s="47" t="n">
        <v>46199</v>
      </c>
      <c r="B184" s="38" t="inlineStr">
        <is>
          <t>J-0177</t>
        </is>
      </c>
      <c r="C184" s="38" t="inlineStr">
        <is>
          <t>Job: Standard Clean</t>
        </is>
      </c>
      <c r="D184" s="38" t="inlineStr">
        <is>
          <t>Home base</t>
        </is>
      </c>
      <c r="E184" s="38" t="inlineStr">
        <is>
          <t>461 Hawthorn Road</t>
        </is>
      </c>
      <c r="F184" s="128" t="n"/>
      <c r="G184" s="128" t="n"/>
      <c r="H184" s="129" t="n">
        <v>20.1</v>
      </c>
      <c r="I184" s="38" t="inlineStr">
        <is>
          <t>Maria Lopez</t>
        </is>
      </c>
      <c r="J184" s="98">
        <f>IF(A184="","",IF(AND(F184&lt;&gt;"",G184&lt;&gt;""),MAX(0,G184-F184),N(H184)))</f>
        <v/>
      </c>
      <c r="K184" s="55">
        <f>IF(A184="","",ROUND(J184*MileRate,2))</f>
        <v/>
      </c>
      <c r="L184" s="51">
        <f>IF(A184="","",DATE(YEAR(A184),MONTH(A184),1))</f>
        <v/>
      </c>
    </row>
    <row r="185">
      <c r="A185" s="47" t="n">
        <v>46199</v>
      </c>
      <c r="B185" s="38" t="inlineStr">
        <is>
          <t>J-0178</t>
        </is>
      </c>
      <c r="C185" s="38" t="inlineStr">
        <is>
          <t>Job: Commercial Clean</t>
        </is>
      </c>
      <c r="D185" s="38" t="inlineStr">
        <is>
          <t>Home base</t>
        </is>
      </c>
      <c r="E185" s="38" t="inlineStr">
        <is>
          <t>738 Cedar Court</t>
        </is>
      </c>
      <c r="F185" s="128" t="n"/>
      <c r="G185" s="128" t="n"/>
      <c r="H185" s="129" t="n">
        <v>18.1</v>
      </c>
      <c r="I185" s="38" t="inlineStr">
        <is>
          <t>Kevin Osei</t>
        </is>
      </c>
      <c r="J185" s="98">
        <f>IF(A185="","",IF(AND(F185&lt;&gt;"",G185&lt;&gt;""),MAX(0,G185-F185),N(H185)))</f>
        <v/>
      </c>
      <c r="K185" s="55">
        <f>IF(A185="","",ROUND(J185*MileRate,2))</f>
        <v/>
      </c>
      <c r="L185" s="51">
        <f>IF(A185="","",DATE(YEAR(A185),MONTH(A185),1))</f>
        <v/>
      </c>
    </row>
    <row r="186">
      <c r="A186" s="47" t="n">
        <v>46200</v>
      </c>
      <c r="B186" s="38" t="inlineStr">
        <is>
          <t>J-0179</t>
        </is>
      </c>
      <c r="C186" s="38" t="inlineStr">
        <is>
          <t>Job: Standard Clean</t>
        </is>
      </c>
      <c r="D186" s="38" t="inlineStr">
        <is>
          <t>Home base</t>
        </is>
      </c>
      <c r="E186" s="38" t="inlineStr">
        <is>
          <t>964 Cedar Court</t>
        </is>
      </c>
      <c r="F186" s="128" t="n"/>
      <c r="G186" s="128" t="n"/>
      <c r="H186" s="129" t="n">
        <v>11.3</v>
      </c>
      <c r="I186" s="38" t="inlineStr">
        <is>
          <t>Dana Whitfield</t>
        </is>
      </c>
      <c r="J186" s="98">
        <f>IF(A186="","",IF(AND(F186&lt;&gt;"",G186&lt;&gt;""),MAX(0,G186-F186),N(H186)))</f>
        <v/>
      </c>
      <c r="K186" s="55">
        <f>IF(A186="","",ROUND(J186*MileRate,2))</f>
        <v/>
      </c>
      <c r="L186" s="51">
        <f>IF(A186="","",DATE(YEAR(A186),MONTH(A186),1))</f>
        <v/>
      </c>
    </row>
    <row r="187">
      <c r="A187" s="47" t="n">
        <v>46200</v>
      </c>
      <c r="B187" s="38" t="inlineStr">
        <is>
          <t>J-0180</t>
        </is>
      </c>
      <c r="C187" s="38" t="inlineStr">
        <is>
          <t>Job: Airbnb Turnover</t>
        </is>
      </c>
      <c r="D187" s="38" t="inlineStr">
        <is>
          <t>Home base</t>
        </is>
      </c>
      <c r="E187" s="38" t="inlineStr">
        <is>
          <t>192 Birch Lane</t>
        </is>
      </c>
      <c r="F187" s="128" t="n"/>
      <c r="G187" s="128" t="n"/>
      <c r="H187" s="129" t="n">
        <v>23.1</v>
      </c>
      <c r="I187" s="38" t="inlineStr">
        <is>
          <t>Kevin Osei</t>
        </is>
      </c>
      <c r="J187" s="98">
        <f>IF(A187="","",IF(AND(F187&lt;&gt;"",G187&lt;&gt;""),MAX(0,G187-F187),N(H187)))</f>
        <v/>
      </c>
      <c r="K187" s="55">
        <f>IF(A187="","",ROUND(J187*MileRate,2))</f>
        <v/>
      </c>
      <c r="L187" s="51">
        <f>IF(A187="","",DATE(YEAR(A187),MONTH(A187),1))</f>
        <v/>
      </c>
    </row>
    <row r="188">
      <c r="A188" s="47" t="n">
        <v>46203</v>
      </c>
      <c r="B188" s="38" t="inlineStr">
        <is>
          <t>J-0181</t>
        </is>
      </c>
      <c r="C188" s="38" t="inlineStr">
        <is>
          <t>Job: Standard Clean</t>
        </is>
      </c>
      <c r="D188" s="38" t="inlineStr">
        <is>
          <t>Home base</t>
        </is>
      </c>
      <c r="E188" s="38" t="inlineStr">
        <is>
          <t>497 Aspen Drive</t>
        </is>
      </c>
      <c r="F188" s="128" t="n"/>
      <c r="G188" s="128" t="n"/>
      <c r="H188" s="129" t="n">
        <v>18</v>
      </c>
      <c r="I188" s="38" t="inlineStr">
        <is>
          <t>Maria Lopez</t>
        </is>
      </c>
      <c r="J188" s="98">
        <f>IF(A188="","",IF(AND(F188&lt;&gt;"",G188&lt;&gt;""),MAX(0,G188-F188),N(H188)))</f>
        <v/>
      </c>
      <c r="K188" s="55">
        <f>IF(A188="","",ROUND(J188*MileRate,2))</f>
        <v/>
      </c>
      <c r="L188" s="51">
        <f>IF(A188="","",DATE(YEAR(A188),MONTH(A188),1))</f>
        <v/>
      </c>
    </row>
    <row r="189">
      <c r="A189" s="47" t="n">
        <v>46204</v>
      </c>
      <c r="B189" s="38" t="inlineStr">
        <is>
          <t>J-0182</t>
        </is>
      </c>
      <c r="C189" s="38" t="inlineStr">
        <is>
          <t>Job: Airbnb Turnover</t>
        </is>
      </c>
      <c r="D189" s="38" t="inlineStr">
        <is>
          <t>Home base</t>
        </is>
      </c>
      <c r="E189" s="38" t="inlineStr">
        <is>
          <t>666 Juniper Street</t>
        </is>
      </c>
      <c r="F189" s="128" t="n"/>
      <c r="G189" s="128" t="n"/>
      <c r="H189" s="129" t="n">
        <v>17.8</v>
      </c>
      <c r="I189" s="38" t="inlineStr">
        <is>
          <t>Kevin Osei</t>
        </is>
      </c>
      <c r="J189" s="98">
        <f>IF(A189="","",IF(AND(F189&lt;&gt;"",G189&lt;&gt;""),MAX(0,G189-F189),N(H189)))</f>
        <v/>
      </c>
      <c r="K189" s="55">
        <f>IF(A189="","",ROUND(J189*MileRate,2))</f>
        <v/>
      </c>
      <c r="L189" s="51">
        <f>IF(A189="","",DATE(YEAR(A189),MONTH(A189),1))</f>
        <v/>
      </c>
    </row>
    <row r="190">
      <c r="A190" s="47" t="n">
        <v>46206</v>
      </c>
      <c r="B190" s="38" t="inlineStr">
        <is>
          <t>J-0183</t>
        </is>
      </c>
      <c r="C190" s="38" t="inlineStr">
        <is>
          <t>Job: Standard Clean</t>
        </is>
      </c>
      <c r="D190" s="38" t="inlineStr">
        <is>
          <t>Home base</t>
        </is>
      </c>
      <c r="E190" s="38" t="inlineStr">
        <is>
          <t>84 Hawthorn Road</t>
        </is>
      </c>
      <c r="F190" s="128" t="n"/>
      <c r="G190" s="128" t="n"/>
      <c r="H190" s="129" t="n">
        <v>19.9</v>
      </c>
      <c r="I190" s="38" t="inlineStr">
        <is>
          <t>Dana Whitfield</t>
        </is>
      </c>
      <c r="J190" s="98">
        <f>IF(A190="","",IF(AND(F190&lt;&gt;"",G190&lt;&gt;""),MAX(0,G190-F190),N(H190)))</f>
        <v/>
      </c>
      <c r="K190" s="55">
        <f>IF(A190="","",ROUND(J190*MileRate,2))</f>
        <v/>
      </c>
      <c r="L190" s="51">
        <f>IF(A190="","",DATE(YEAR(A190),MONTH(A190),1))</f>
        <v/>
      </c>
    </row>
    <row r="191">
      <c r="A191" s="47" t="n">
        <v>46206</v>
      </c>
      <c r="B191" s="38" t="inlineStr">
        <is>
          <t>J-0184</t>
        </is>
      </c>
      <c r="C191" s="38" t="inlineStr">
        <is>
          <t>Job: Commercial Clean</t>
        </is>
      </c>
      <c r="D191" s="38" t="inlineStr">
        <is>
          <t>Home base</t>
        </is>
      </c>
      <c r="E191" s="38" t="inlineStr">
        <is>
          <t>957 Hawthorn Road</t>
        </is>
      </c>
      <c r="F191" s="128" t="n"/>
      <c r="G191" s="128" t="n"/>
      <c r="H191" s="129" t="n">
        <v>23.6</v>
      </c>
      <c r="I191" s="38" t="inlineStr">
        <is>
          <t>Kevin Osei</t>
        </is>
      </c>
      <c r="J191" s="98">
        <f>IF(A191="","",IF(AND(F191&lt;&gt;"",G191&lt;&gt;""),MAX(0,G191-F191),N(H191)))</f>
        <v/>
      </c>
      <c r="K191" s="55">
        <f>IF(A191="","",ROUND(J191*MileRate,2))</f>
        <v/>
      </c>
      <c r="L191" s="51">
        <f>IF(A191="","",DATE(YEAR(A191),MONTH(A191),1))</f>
        <v/>
      </c>
    </row>
    <row r="192">
      <c r="A192" s="47" t="n">
        <v>46206</v>
      </c>
      <c r="B192" s="38" t="inlineStr">
        <is>
          <t>J-0185</t>
        </is>
      </c>
      <c r="C192" s="38" t="inlineStr">
        <is>
          <t>Job: Commercial Clean</t>
        </is>
      </c>
      <c r="D192" s="38" t="inlineStr">
        <is>
          <t>Home base</t>
        </is>
      </c>
      <c r="E192" s="38" t="inlineStr">
        <is>
          <t>738 Cedar Court</t>
        </is>
      </c>
      <c r="F192" s="128" t="n">
        <v>53635</v>
      </c>
      <c r="G192" s="128" t="n">
        <v>53653</v>
      </c>
      <c r="H192" s="129" t="n"/>
      <c r="I192" s="38" t="inlineStr">
        <is>
          <t>Kevin Osei</t>
        </is>
      </c>
      <c r="J192" s="98">
        <f>IF(A192="","",IF(AND(F192&lt;&gt;"",G192&lt;&gt;""),MAX(0,G192-F192),N(H192)))</f>
        <v/>
      </c>
      <c r="K192" s="55">
        <f>IF(A192="","",ROUND(J192*MileRate,2))</f>
        <v/>
      </c>
      <c r="L192" s="51">
        <f>IF(A192="","",DATE(YEAR(A192),MONTH(A192),1))</f>
        <v/>
      </c>
    </row>
    <row r="193">
      <c r="A193" s="47" t="n">
        <v>46207</v>
      </c>
      <c r="B193" s="38" t="inlineStr">
        <is>
          <t>J-0186</t>
        </is>
      </c>
      <c r="C193" s="38" t="inlineStr">
        <is>
          <t>Job: Standard Clean</t>
        </is>
      </c>
      <c r="D193" s="38" t="inlineStr">
        <is>
          <t>Home base</t>
        </is>
      </c>
      <c r="E193" s="38" t="inlineStr">
        <is>
          <t>21 Maple Avenue</t>
        </is>
      </c>
      <c r="F193" s="128" t="n"/>
      <c r="G193" s="128" t="n"/>
      <c r="H193" s="129" t="n">
        <v>12.2</v>
      </c>
      <c r="I193" s="38" t="inlineStr">
        <is>
          <t>Maria Lopez</t>
        </is>
      </c>
      <c r="J193" s="98">
        <f>IF(A193="","",IF(AND(F193&lt;&gt;"",G193&lt;&gt;""),MAX(0,G193-F193),N(H193)))</f>
        <v/>
      </c>
      <c r="K193" s="55">
        <f>IF(A193="","",ROUND(J193*MileRate,2))</f>
        <v/>
      </c>
      <c r="L193" s="51">
        <f>IF(A193="","",DATE(YEAR(A193),MONTH(A193),1))</f>
        <v/>
      </c>
    </row>
    <row r="194">
      <c r="A194" s="47" t="n">
        <v>46209</v>
      </c>
      <c r="B194" s="38" t="inlineStr">
        <is>
          <t>J-0187</t>
        </is>
      </c>
      <c r="C194" s="38" t="inlineStr">
        <is>
          <t>Job: Airbnb Turnover</t>
        </is>
      </c>
      <c r="D194" s="38" t="inlineStr">
        <is>
          <t>Home base</t>
        </is>
      </c>
      <c r="E194" s="38" t="inlineStr">
        <is>
          <t>654 Willow Way</t>
        </is>
      </c>
      <c r="F194" s="128" t="n"/>
      <c r="G194" s="128" t="n"/>
      <c r="H194" s="129" t="n">
        <v>7.6</v>
      </c>
      <c r="I194" s="38" t="inlineStr">
        <is>
          <t>Kevin Osei</t>
        </is>
      </c>
      <c r="J194" s="98">
        <f>IF(A194="","",IF(AND(F194&lt;&gt;"",G194&lt;&gt;""),MAX(0,G194-F194),N(H194)))</f>
        <v/>
      </c>
      <c r="K194" s="55">
        <f>IF(A194="","",ROUND(J194*MileRate,2))</f>
        <v/>
      </c>
      <c r="L194" s="51">
        <f>IF(A194="","",DATE(YEAR(A194),MONTH(A194),1))</f>
        <v/>
      </c>
    </row>
    <row r="195">
      <c r="A195" s="47" t="n">
        <v>46210</v>
      </c>
      <c r="B195" s="38" t="inlineStr">
        <is>
          <t>J-0188</t>
        </is>
      </c>
      <c r="C195" s="38" t="inlineStr">
        <is>
          <t>Job: Airbnb Turnover</t>
        </is>
      </c>
      <c r="D195" s="38" t="inlineStr">
        <is>
          <t>Home base</t>
        </is>
      </c>
      <c r="E195" s="38" t="inlineStr">
        <is>
          <t>412 Linden Place</t>
        </is>
      </c>
      <c r="F195" s="128" t="n"/>
      <c r="G195" s="128" t="n"/>
      <c r="H195" s="129" t="n">
        <v>21.5</v>
      </c>
      <c r="I195" s="38" t="inlineStr">
        <is>
          <t>Kevin Osei</t>
        </is>
      </c>
      <c r="J195" s="98">
        <f>IF(A195="","",IF(AND(F195&lt;&gt;"",G195&lt;&gt;""),MAX(0,G195-F195),N(H195)))</f>
        <v/>
      </c>
      <c r="K195" s="55">
        <f>IF(A195="","",ROUND(J195*MileRate,2))</f>
        <v/>
      </c>
      <c r="L195" s="51">
        <f>IF(A195="","",DATE(YEAR(A195),MONTH(A195),1))</f>
        <v/>
      </c>
    </row>
    <row r="196">
      <c r="A196" s="47" t="n">
        <v>46210</v>
      </c>
      <c r="B196" s="38" t="inlineStr">
        <is>
          <t>J-0189</t>
        </is>
      </c>
      <c r="C196" s="38" t="inlineStr">
        <is>
          <t>Job: Standard Clean</t>
        </is>
      </c>
      <c r="D196" s="38" t="inlineStr">
        <is>
          <t>Home base</t>
        </is>
      </c>
      <c r="E196" s="38" t="inlineStr">
        <is>
          <t>497 Aspen Drive</t>
        </is>
      </c>
      <c r="F196" s="128" t="n"/>
      <c r="G196" s="128" t="n"/>
      <c r="H196" s="129" t="n">
        <v>23.2</v>
      </c>
      <c r="I196" s="38" t="inlineStr">
        <is>
          <t>Maria Lopez</t>
        </is>
      </c>
      <c r="J196" s="98">
        <f>IF(A196="","",IF(AND(F196&lt;&gt;"",G196&lt;&gt;""),MAX(0,G196-F196),N(H196)))</f>
        <v/>
      </c>
      <c r="K196" s="55">
        <f>IF(A196="","",ROUND(J196*MileRate,2))</f>
        <v/>
      </c>
      <c r="L196" s="51">
        <f>IF(A196="","",DATE(YEAR(A196),MONTH(A196),1))</f>
        <v/>
      </c>
    </row>
    <row r="197">
      <c r="A197" s="47" t="n">
        <v>46211</v>
      </c>
      <c r="B197" s="38" t="inlineStr">
        <is>
          <t>J-0190</t>
        </is>
      </c>
      <c r="C197" s="38" t="inlineStr">
        <is>
          <t>Job: Standard Clean</t>
        </is>
      </c>
      <c r="D197" s="38" t="inlineStr">
        <is>
          <t>Home base</t>
        </is>
      </c>
      <c r="E197" s="38" t="inlineStr">
        <is>
          <t>675 Aspen Drive</t>
        </is>
      </c>
      <c r="F197" s="128" t="n"/>
      <c r="G197" s="128" t="n"/>
      <c r="H197" s="129" t="n">
        <v>13.8</v>
      </c>
      <c r="I197" s="38" t="inlineStr">
        <is>
          <t>Dana Whitfield</t>
        </is>
      </c>
      <c r="J197" s="98">
        <f>IF(A197="","",IF(AND(F197&lt;&gt;"",G197&lt;&gt;""),MAX(0,G197-F197),N(H197)))</f>
        <v/>
      </c>
      <c r="K197" s="55">
        <f>IF(A197="","",ROUND(J197*MileRate,2))</f>
        <v/>
      </c>
      <c r="L197" s="51">
        <f>IF(A197="","",DATE(YEAR(A197),MONTH(A197),1))</f>
        <v/>
      </c>
    </row>
    <row r="198">
      <c r="A198" s="47" t="n">
        <v>46213</v>
      </c>
      <c r="B198" s="38" t="inlineStr">
        <is>
          <t>J-0191</t>
        </is>
      </c>
      <c r="C198" s="38" t="inlineStr">
        <is>
          <t>Job: Commercial Clean</t>
        </is>
      </c>
      <c r="D198" s="38" t="inlineStr">
        <is>
          <t>Home base</t>
        </is>
      </c>
      <c r="E198" s="38" t="inlineStr">
        <is>
          <t>957 Hawthorn Road</t>
        </is>
      </c>
      <c r="F198" s="128" t="n"/>
      <c r="G198" s="128" t="n"/>
      <c r="H198" s="129" t="n">
        <v>6.9</v>
      </c>
      <c r="I198" s="38" t="inlineStr">
        <is>
          <t>Kevin Osei</t>
        </is>
      </c>
      <c r="J198" s="98">
        <f>IF(A198="","",IF(AND(F198&lt;&gt;"",G198&lt;&gt;""),MAX(0,G198-F198),N(H198)))</f>
        <v/>
      </c>
      <c r="K198" s="55">
        <f>IF(A198="","",ROUND(J198*MileRate,2))</f>
        <v/>
      </c>
      <c r="L198" s="51">
        <f>IF(A198="","",DATE(YEAR(A198),MONTH(A198),1))</f>
        <v/>
      </c>
    </row>
    <row r="199">
      <c r="A199" s="47" t="n">
        <v>46213</v>
      </c>
      <c r="B199" s="38" t="inlineStr">
        <is>
          <t>J-0192</t>
        </is>
      </c>
      <c r="C199" s="38" t="inlineStr">
        <is>
          <t>Job: Standard Clean</t>
        </is>
      </c>
      <c r="D199" s="38" t="inlineStr">
        <is>
          <t>Home base</t>
        </is>
      </c>
      <c r="E199" s="38" t="inlineStr">
        <is>
          <t>461 Hawthorn Road</t>
        </is>
      </c>
      <c r="F199" s="128" t="n">
        <v>51130</v>
      </c>
      <c r="G199" s="128" t="n">
        <v>51147</v>
      </c>
      <c r="H199" s="129" t="n"/>
      <c r="I199" s="38" t="inlineStr">
        <is>
          <t>Maria Lopez</t>
        </is>
      </c>
      <c r="J199" s="98">
        <f>IF(A199="","",IF(AND(F199&lt;&gt;"",G199&lt;&gt;""),MAX(0,G199-F199),N(H199)))</f>
        <v/>
      </c>
      <c r="K199" s="55">
        <f>IF(A199="","",ROUND(J199*MileRate,2))</f>
        <v/>
      </c>
      <c r="L199" s="51">
        <f>IF(A199="","",DATE(YEAR(A199),MONTH(A199),1))</f>
        <v/>
      </c>
    </row>
    <row r="200">
      <c r="A200" s="47" t="n">
        <v>46213</v>
      </c>
      <c r="B200" s="38" t="inlineStr">
        <is>
          <t>J-0193</t>
        </is>
      </c>
      <c r="C200" s="38" t="inlineStr">
        <is>
          <t>Job: Commercial Clean</t>
        </is>
      </c>
      <c r="D200" s="38" t="inlineStr">
        <is>
          <t>Home base</t>
        </is>
      </c>
      <c r="E200" s="38" t="inlineStr">
        <is>
          <t>738 Cedar Court</t>
        </is>
      </c>
      <c r="F200" s="128" t="n"/>
      <c r="G200" s="128" t="n"/>
      <c r="H200" s="129" t="n">
        <v>19.4</v>
      </c>
      <c r="I200" s="38" t="inlineStr">
        <is>
          <t>Kevin Osei</t>
        </is>
      </c>
      <c r="J200" s="98">
        <f>IF(A200="","",IF(AND(F200&lt;&gt;"",G200&lt;&gt;""),MAX(0,G200-F200),N(H200)))</f>
        <v/>
      </c>
      <c r="K200" s="55">
        <f>IF(A200="","",ROUND(J200*MileRate,2))</f>
        <v/>
      </c>
      <c r="L200" s="51">
        <f>IF(A200="","",DATE(YEAR(A200),MONTH(A200),1))</f>
        <v/>
      </c>
    </row>
    <row r="201">
      <c r="A201" s="47" t="n">
        <v>46213</v>
      </c>
      <c r="B201" s="38" t="inlineStr">
        <is>
          <t>J-0194</t>
        </is>
      </c>
      <c r="C201" s="38" t="inlineStr">
        <is>
          <t>Job: Standard Clean</t>
        </is>
      </c>
      <c r="D201" s="38" t="inlineStr">
        <is>
          <t>Home base</t>
        </is>
      </c>
      <c r="E201" s="38" t="inlineStr">
        <is>
          <t>876 Magnolia Circle</t>
        </is>
      </c>
      <c r="F201" s="128" t="n"/>
      <c r="G201" s="128" t="n"/>
      <c r="H201" s="129" t="n">
        <v>10.5</v>
      </c>
      <c r="I201" s="38" t="inlineStr">
        <is>
          <t>Maria Lopez</t>
        </is>
      </c>
      <c r="J201" s="98">
        <f>IF(A201="","",IF(AND(F201&lt;&gt;"",G201&lt;&gt;""),MAX(0,G201-F201),N(H201)))</f>
        <v/>
      </c>
      <c r="K201" s="55">
        <f>IF(A201="","",ROUND(J201*MileRate,2))</f>
        <v/>
      </c>
      <c r="L201" s="51">
        <f>IF(A201="","",DATE(YEAR(A201),MONTH(A201),1))</f>
        <v/>
      </c>
    </row>
    <row r="202">
      <c r="A202" s="47" t="n">
        <v>46214</v>
      </c>
      <c r="B202" s="38" t="inlineStr">
        <is>
          <t>J-0195</t>
        </is>
      </c>
      <c r="C202" s="38" t="inlineStr">
        <is>
          <t>Job: Commercial Clean</t>
        </is>
      </c>
      <c r="D202" s="38" t="inlineStr">
        <is>
          <t>Home base</t>
        </is>
      </c>
      <c r="E202" s="38" t="inlineStr">
        <is>
          <t>338 Cedar Court</t>
        </is>
      </c>
      <c r="F202" s="128" t="n"/>
      <c r="G202" s="128" t="n"/>
      <c r="H202" s="129" t="n">
        <v>16.1</v>
      </c>
      <c r="I202" s="38" t="inlineStr">
        <is>
          <t>Dana Whitfield</t>
        </is>
      </c>
      <c r="J202" s="98">
        <f>IF(A202="","",IF(AND(F202&lt;&gt;"",G202&lt;&gt;""),MAX(0,G202-F202),N(H202)))</f>
        <v/>
      </c>
      <c r="K202" s="55">
        <f>IF(A202="","",ROUND(J202*MileRate,2))</f>
        <v/>
      </c>
      <c r="L202" s="51">
        <f>IF(A202="","",DATE(YEAR(A202),MONTH(A202),1))</f>
        <v/>
      </c>
    </row>
    <row r="203">
      <c r="A203" s="47" t="n">
        <v>46214</v>
      </c>
      <c r="B203" s="38" t="inlineStr">
        <is>
          <t>J-0196</t>
        </is>
      </c>
      <c r="C203" s="38" t="inlineStr">
        <is>
          <t>Job: Standard Clean</t>
        </is>
      </c>
      <c r="D203" s="38" t="inlineStr">
        <is>
          <t>Home base</t>
        </is>
      </c>
      <c r="E203" s="38" t="inlineStr">
        <is>
          <t>964 Cedar Court</t>
        </is>
      </c>
      <c r="F203" s="128" t="n">
        <v>59156</v>
      </c>
      <c r="G203" s="128" t="n">
        <v>59179</v>
      </c>
      <c r="H203" s="129" t="n"/>
      <c r="I203" s="38" t="inlineStr">
        <is>
          <t>Dana Whitfield</t>
        </is>
      </c>
      <c r="J203" s="98">
        <f>IF(A203="","",IF(AND(F203&lt;&gt;"",G203&lt;&gt;""),MAX(0,G203-F203),N(H203)))</f>
        <v/>
      </c>
      <c r="K203" s="55">
        <f>IF(A203="","",ROUND(J203*MileRate,2))</f>
        <v/>
      </c>
      <c r="L203" s="51">
        <f>IF(A203="","",DATE(YEAR(A203),MONTH(A203),1))</f>
        <v/>
      </c>
    </row>
    <row r="204">
      <c r="A204" s="47" t="n">
        <v>46217</v>
      </c>
      <c r="B204" s="38" t="inlineStr">
        <is>
          <t>J-0197</t>
        </is>
      </c>
      <c r="C204" s="38" t="inlineStr">
        <is>
          <t>Job: Standard Clean</t>
        </is>
      </c>
      <c r="D204" s="38" t="inlineStr">
        <is>
          <t>Home base</t>
        </is>
      </c>
      <c r="E204" s="38" t="inlineStr">
        <is>
          <t>497 Aspen Drive</t>
        </is>
      </c>
      <c r="F204" s="128" t="n"/>
      <c r="G204" s="128" t="n"/>
      <c r="H204" s="129" t="n">
        <v>11.8</v>
      </c>
      <c r="I204" s="38" t="inlineStr">
        <is>
          <t>Maria Lopez</t>
        </is>
      </c>
      <c r="J204" s="98">
        <f>IF(A204="","",IF(AND(F204&lt;&gt;"",G204&lt;&gt;""),MAX(0,G204-F204),N(H204)))</f>
        <v/>
      </c>
      <c r="K204" s="55">
        <f>IF(A204="","",ROUND(J204*MileRate,2))</f>
        <v/>
      </c>
      <c r="L204" s="51">
        <f>IF(A204="","",DATE(YEAR(A204),MONTH(A204),1))</f>
        <v/>
      </c>
    </row>
    <row r="205">
      <c r="A205" s="47" t="n">
        <v>46217</v>
      </c>
      <c r="B205" s="38" t="inlineStr">
        <is>
          <t>J-0198</t>
        </is>
      </c>
      <c r="C205" s="38" t="inlineStr">
        <is>
          <t>Job: Deep Clean</t>
        </is>
      </c>
      <c r="D205" s="38" t="inlineStr">
        <is>
          <t>Home base</t>
        </is>
      </c>
      <c r="E205" s="38" t="inlineStr">
        <is>
          <t>22 Cedar Court</t>
        </is>
      </c>
      <c r="F205" s="128" t="n"/>
      <c r="G205" s="128" t="n"/>
      <c r="H205" s="129" t="n">
        <v>23.1</v>
      </c>
      <c r="I205" s="38" t="inlineStr">
        <is>
          <t>Maria Lopez</t>
        </is>
      </c>
      <c r="J205" s="98">
        <f>IF(A205="","",IF(AND(F205&lt;&gt;"",G205&lt;&gt;""),MAX(0,G205-F205),N(H205)))</f>
        <v/>
      </c>
      <c r="K205" s="55">
        <f>IF(A205="","",ROUND(J205*MileRate,2))</f>
        <v/>
      </c>
      <c r="L205" s="51">
        <f>IF(A205="","",DATE(YEAR(A205),MONTH(A205),1))</f>
        <v/>
      </c>
    </row>
    <row r="206">
      <c r="A206" s="47" t="n">
        <v>46217</v>
      </c>
      <c r="B206" s="38" t="inlineStr">
        <is>
          <t>J-0199</t>
        </is>
      </c>
      <c r="C206" s="38" t="inlineStr">
        <is>
          <t>Job: Airbnb Turnover</t>
        </is>
      </c>
      <c r="D206" s="38" t="inlineStr">
        <is>
          <t>Home base</t>
        </is>
      </c>
      <c r="E206" s="38" t="inlineStr">
        <is>
          <t>192 Birch Lane</t>
        </is>
      </c>
      <c r="F206" s="128" t="n"/>
      <c r="G206" s="128" t="n"/>
      <c r="H206" s="129" t="n">
        <v>16.2</v>
      </c>
      <c r="I206" s="38" t="inlineStr">
        <is>
          <t>Kevin Osei</t>
        </is>
      </c>
      <c r="J206" s="98">
        <f>IF(A206="","",IF(AND(F206&lt;&gt;"",G206&lt;&gt;""),MAX(0,G206-F206),N(H206)))</f>
        <v/>
      </c>
      <c r="K206" s="55">
        <f>IF(A206="","",ROUND(J206*MileRate,2))</f>
        <v/>
      </c>
      <c r="L206" s="51">
        <f>IF(A206="","",DATE(YEAR(A206),MONTH(A206),1))</f>
        <v/>
      </c>
    </row>
    <row r="207">
      <c r="A207" s="47" t="n">
        <v>46219</v>
      </c>
      <c r="B207" s="38" t="inlineStr">
        <is>
          <t>J-0200</t>
        </is>
      </c>
      <c r="C207" s="38" t="inlineStr">
        <is>
          <t>Job: Standard Clean</t>
        </is>
      </c>
      <c r="D207" s="38" t="inlineStr">
        <is>
          <t>Home base</t>
        </is>
      </c>
      <c r="E207" s="38" t="inlineStr">
        <is>
          <t>348 Hazel Court</t>
        </is>
      </c>
      <c r="F207" s="128" t="n"/>
      <c r="G207" s="128" t="n"/>
      <c r="H207" s="129" t="n">
        <v>14.9</v>
      </c>
      <c r="I207" s="38" t="inlineStr">
        <is>
          <t>Dana Whitfield</t>
        </is>
      </c>
      <c r="J207" s="98">
        <f>IF(A207="","",IF(AND(F207&lt;&gt;"",G207&lt;&gt;""),MAX(0,G207-F207),N(H207)))</f>
        <v/>
      </c>
      <c r="K207" s="55">
        <f>IF(A207="","",ROUND(J207*MileRate,2))</f>
        <v/>
      </c>
      <c r="L207" s="51">
        <f>IF(A207="","",DATE(YEAR(A207),MONTH(A207),1))</f>
        <v/>
      </c>
    </row>
    <row r="208">
      <c r="A208" s="47" t="n">
        <v>46220</v>
      </c>
      <c r="B208" s="38" t="inlineStr">
        <is>
          <t>J-0201</t>
        </is>
      </c>
      <c r="C208" s="38" t="inlineStr">
        <is>
          <t>Job: Airbnb Turnover</t>
        </is>
      </c>
      <c r="D208" s="38" t="inlineStr">
        <is>
          <t>Home base</t>
        </is>
      </c>
      <c r="E208" s="38" t="inlineStr">
        <is>
          <t>666 Juniper Street</t>
        </is>
      </c>
      <c r="F208" s="128" t="n"/>
      <c r="G208" s="128" t="n"/>
      <c r="H208" s="129" t="n">
        <v>17.3</v>
      </c>
      <c r="I208" s="38" t="inlineStr">
        <is>
          <t>Kevin Osei</t>
        </is>
      </c>
      <c r="J208" s="98">
        <f>IF(A208="","",IF(AND(F208&lt;&gt;"",G208&lt;&gt;""),MAX(0,G208-F208),N(H208)))</f>
        <v/>
      </c>
      <c r="K208" s="55">
        <f>IF(A208="","",ROUND(J208*MileRate,2))</f>
        <v/>
      </c>
      <c r="L208" s="51">
        <f>IF(A208="","",DATE(YEAR(A208),MONTH(A208),1))</f>
        <v/>
      </c>
    </row>
    <row r="209">
      <c r="A209" s="47" t="n">
        <v>46220</v>
      </c>
      <c r="B209" s="38" t="inlineStr">
        <is>
          <t>J-0202</t>
        </is>
      </c>
      <c r="C209" s="38" t="inlineStr">
        <is>
          <t>Job: Commercial Clean</t>
        </is>
      </c>
      <c r="D209" s="38" t="inlineStr">
        <is>
          <t>Home base</t>
        </is>
      </c>
      <c r="E209" s="38" t="inlineStr">
        <is>
          <t>957 Hawthorn Road</t>
        </is>
      </c>
      <c r="F209" s="128" t="n"/>
      <c r="G209" s="128" t="n"/>
      <c r="H209" s="129" t="n">
        <v>17.9</v>
      </c>
      <c r="I209" s="38" t="inlineStr">
        <is>
          <t>Kevin Osei</t>
        </is>
      </c>
      <c r="J209" s="98">
        <f>IF(A209="","",IF(AND(F209&lt;&gt;"",G209&lt;&gt;""),MAX(0,G209-F209),N(H209)))</f>
        <v/>
      </c>
      <c r="K209" s="55">
        <f>IF(A209="","",ROUND(J209*MileRate,2))</f>
        <v/>
      </c>
      <c r="L209" s="51">
        <f>IF(A209="","",DATE(YEAR(A209),MONTH(A209),1))</f>
        <v/>
      </c>
    </row>
    <row r="210">
      <c r="A210" s="47" t="n">
        <v>46220</v>
      </c>
      <c r="B210" s="38" t="inlineStr">
        <is>
          <t>J-0203</t>
        </is>
      </c>
      <c r="C210" s="38" t="inlineStr">
        <is>
          <t>Job: Commercial Clean</t>
        </is>
      </c>
      <c r="D210" s="38" t="inlineStr">
        <is>
          <t>Home base</t>
        </is>
      </c>
      <c r="E210" s="38" t="inlineStr">
        <is>
          <t>738 Cedar Court</t>
        </is>
      </c>
      <c r="F210" s="128" t="n"/>
      <c r="G210" s="128" t="n"/>
      <c r="H210" s="129" t="n">
        <v>20.5</v>
      </c>
      <c r="I210" s="38" t="inlineStr">
        <is>
          <t>Kevin Osei</t>
        </is>
      </c>
      <c r="J210" s="98">
        <f>IF(A210="","",IF(AND(F210&lt;&gt;"",G210&lt;&gt;""),MAX(0,G210-F210),N(H210)))</f>
        <v/>
      </c>
      <c r="K210" s="55">
        <f>IF(A210="","",ROUND(J210*MileRate,2))</f>
        <v/>
      </c>
      <c r="L210" s="51">
        <f>IF(A210="","",DATE(YEAR(A210),MONTH(A210),1))</f>
        <v/>
      </c>
    </row>
    <row r="211">
      <c r="A211" s="47" t="n">
        <v>46223</v>
      </c>
      <c r="B211" s="38" t="inlineStr">
        <is>
          <t>J-0205</t>
        </is>
      </c>
      <c r="C211" s="38" t="inlineStr">
        <is>
          <t>Job: Standard Clean</t>
        </is>
      </c>
      <c r="D211" s="38" t="inlineStr">
        <is>
          <t>Home base</t>
        </is>
      </c>
      <c r="E211" s="38" t="inlineStr">
        <is>
          <t>667 Willow Way</t>
        </is>
      </c>
      <c r="F211" s="128" t="n"/>
      <c r="G211" s="128" t="n"/>
      <c r="H211" s="129" t="n">
        <v>8.6</v>
      </c>
      <c r="I211" s="38" t="inlineStr">
        <is>
          <t>Maria Lopez</t>
        </is>
      </c>
      <c r="J211" s="98">
        <f>IF(A211="","",IF(AND(F211&lt;&gt;"",G211&lt;&gt;""),MAX(0,G211-F211),N(H211)))</f>
        <v/>
      </c>
      <c r="K211" s="55">
        <f>IF(A211="","",ROUND(J211*MileRate,2))</f>
        <v/>
      </c>
      <c r="L211" s="51">
        <f>IF(A211="","",DATE(YEAR(A211),MONTH(A211),1))</f>
        <v/>
      </c>
    </row>
    <row r="212">
      <c r="A212" s="47" t="n">
        <v>46223</v>
      </c>
      <c r="B212" s="38" t="n"/>
      <c r="C212" s="38" t="inlineStr">
        <is>
          <t>Supply run</t>
        </is>
      </c>
      <c r="D212" s="38" t="inlineStr">
        <is>
          <t>Home base</t>
        </is>
      </c>
      <c r="E212" s="38" t="inlineStr">
        <is>
          <t>Supply store</t>
        </is>
      </c>
      <c r="F212" s="128" t="n"/>
      <c r="G212" s="128" t="n"/>
      <c r="H212" s="129" t="n">
        <v>11.5</v>
      </c>
      <c r="I212" s="38" t="inlineStr">
        <is>
          <t>Jordan Rivera</t>
        </is>
      </c>
      <c r="J212" s="98">
        <f>IF(A212="","",IF(AND(F212&lt;&gt;"",G212&lt;&gt;""),MAX(0,G212-F212),N(H212)))</f>
        <v/>
      </c>
      <c r="K212" s="55">
        <f>IF(A212="","",ROUND(J212*MileRate,2))</f>
        <v/>
      </c>
      <c r="L212" s="51">
        <f>IF(A212="","",DATE(YEAR(A212),MONTH(A212),1))</f>
        <v/>
      </c>
    </row>
    <row r="213">
      <c r="A213" s="47" t="n">
        <v>46224</v>
      </c>
      <c r="B213" s="38" t="inlineStr">
        <is>
          <t>J-0206</t>
        </is>
      </c>
      <c r="C213" s="38" t="inlineStr">
        <is>
          <t>Job: Standard Clean</t>
        </is>
      </c>
      <c r="D213" s="38" t="inlineStr">
        <is>
          <t>Home base</t>
        </is>
      </c>
      <c r="E213" s="38" t="inlineStr">
        <is>
          <t>102 Hawthorn Road</t>
        </is>
      </c>
      <c r="F213" s="128" t="n"/>
      <c r="G213" s="128" t="n"/>
      <c r="H213" s="129" t="n">
        <v>14.3</v>
      </c>
      <c r="I213" s="38" t="inlineStr">
        <is>
          <t>Dana Whitfield</t>
        </is>
      </c>
      <c r="J213" s="98">
        <f>IF(A213="","",IF(AND(F213&lt;&gt;"",G213&lt;&gt;""),MAX(0,G213-F213),N(H213)))</f>
        <v/>
      </c>
      <c r="K213" s="55">
        <f>IF(A213="","",ROUND(J213*MileRate,2))</f>
        <v/>
      </c>
      <c r="L213" s="51">
        <f>IF(A213="","",DATE(YEAR(A213),MONTH(A213),1))</f>
        <v/>
      </c>
    </row>
    <row r="214">
      <c r="A214" s="47" t="n">
        <v>46224</v>
      </c>
      <c r="B214" s="38" t="inlineStr">
        <is>
          <t>J-0207</t>
        </is>
      </c>
      <c r="C214" s="38" t="inlineStr">
        <is>
          <t>Job: Standard Clean</t>
        </is>
      </c>
      <c r="D214" s="38" t="inlineStr">
        <is>
          <t>Home base</t>
        </is>
      </c>
      <c r="E214" s="38" t="inlineStr">
        <is>
          <t>497 Aspen Drive</t>
        </is>
      </c>
      <c r="F214" s="128" t="n"/>
      <c r="G214" s="128" t="n"/>
      <c r="H214" s="129" t="n">
        <v>23.8</v>
      </c>
      <c r="I214" s="38" t="inlineStr">
        <is>
          <t>Maria Lopez</t>
        </is>
      </c>
      <c r="J214" s="98">
        <f>IF(A214="","",IF(AND(F214&lt;&gt;"",G214&lt;&gt;""),MAX(0,G214-F214),N(H214)))</f>
        <v/>
      </c>
      <c r="K214" s="55">
        <f>IF(A214="","",ROUND(J214*MileRate,2))</f>
        <v/>
      </c>
      <c r="L214" s="51">
        <f>IF(A214="","",DATE(YEAR(A214),MONTH(A214),1))</f>
        <v/>
      </c>
    </row>
    <row r="215">
      <c r="A215" s="47" t="n">
        <v>46225</v>
      </c>
      <c r="B215" s="38" t="inlineStr">
        <is>
          <t>J-0208</t>
        </is>
      </c>
      <c r="C215" s="38" t="inlineStr">
        <is>
          <t>Job: Standard Clean</t>
        </is>
      </c>
      <c r="D215" s="38" t="inlineStr">
        <is>
          <t>Home base</t>
        </is>
      </c>
      <c r="E215" s="38" t="inlineStr">
        <is>
          <t>675 Aspen Drive</t>
        </is>
      </c>
      <c r="F215" s="128" t="n"/>
      <c r="G215" s="128" t="n"/>
      <c r="H215" s="129" t="n">
        <v>23.2</v>
      </c>
      <c r="I215" s="38" t="inlineStr">
        <is>
          <t>Dana Whitfield</t>
        </is>
      </c>
      <c r="J215" s="98">
        <f>IF(A215="","",IF(AND(F215&lt;&gt;"",G215&lt;&gt;""),MAX(0,G215-F215),N(H215)))</f>
        <v/>
      </c>
      <c r="K215" s="55">
        <f>IF(A215="","",ROUND(J215*MileRate,2))</f>
        <v/>
      </c>
      <c r="L215" s="51">
        <f>IF(A215="","",DATE(YEAR(A215),MONTH(A215),1))</f>
        <v/>
      </c>
    </row>
    <row r="216">
      <c r="A216" s="47" t="n">
        <v>46227</v>
      </c>
      <c r="B216" s="38" t="inlineStr">
        <is>
          <t>J-0209</t>
        </is>
      </c>
      <c r="C216" s="38" t="inlineStr">
        <is>
          <t>Job: Standard Clean</t>
        </is>
      </c>
      <c r="D216" s="38" t="inlineStr">
        <is>
          <t>Home base</t>
        </is>
      </c>
      <c r="E216" s="38" t="inlineStr">
        <is>
          <t>461 Hawthorn Road</t>
        </is>
      </c>
      <c r="F216" s="128" t="n">
        <v>49843</v>
      </c>
      <c r="G216" s="128" t="n">
        <v>49862</v>
      </c>
      <c r="H216" s="129" t="n"/>
      <c r="I216" s="38" t="inlineStr">
        <is>
          <t>Maria Lopez</t>
        </is>
      </c>
      <c r="J216" s="98">
        <f>IF(A216="","",IF(AND(F216&lt;&gt;"",G216&lt;&gt;""),MAX(0,G216-F216),N(H216)))</f>
        <v/>
      </c>
      <c r="K216" s="55">
        <f>IF(A216="","",ROUND(J216*MileRate,2))</f>
        <v/>
      </c>
      <c r="L216" s="51">
        <f>IF(A216="","",DATE(YEAR(A216),MONTH(A216),1))</f>
        <v/>
      </c>
    </row>
    <row r="217">
      <c r="A217" s="47" t="n">
        <v>46227</v>
      </c>
      <c r="B217" s="38" t="inlineStr">
        <is>
          <t>J-0210</t>
        </is>
      </c>
      <c r="C217" s="38" t="inlineStr">
        <is>
          <t>Job: Airbnb Turnover</t>
        </is>
      </c>
      <c r="D217" s="38" t="inlineStr">
        <is>
          <t>Home base</t>
        </is>
      </c>
      <c r="E217" s="38" t="inlineStr">
        <is>
          <t>412 Linden Place</t>
        </is>
      </c>
      <c r="F217" s="128" t="n"/>
      <c r="G217" s="128" t="n"/>
      <c r="H217" s="129" t="n">
        <v>15.8</v>
      </c>
      <c r="I217" s="38" t="inlineStr">
        <is>
          <t>Kevin Osei</t>
        </is>
      </c>
      <c r="J217" s="98">
        <f>IF(A217="","",IF(AND(F217&lt;&gt;"",G217&lt;&gt;""),MAX(0,G217-F217),N(H217)))</f>
        <v/>
      </c>
      <c r="K217" s="55">
        <f>IF(A217="","",ROUND(J217*MileRate,2))</f>
        <v/>
      </c>
      <c r="L217" s="51">
        <f>IF(A217="","",DATE(YEAR(A217),MONTH(A217),1))</f>
        <v/>
      </c>
    </row>
    <row r="218">
      <c r="A218" s="47" t="n">
        <v>46227</v>
      </c>
      <c r="B218" s="38" t="inlineStr">
        <is>
          <t>J-0211</t>
        </is>
      </c>
      <c r="C218" s="38" t="inlineStr">
        <is>
          <t>Job: Commercial Clean</t>
        </is>
      </c>
      <c r="D218" s="38" t="inlineStr">
        <is>
          <t>Home base</t>
        </is>
      </c>
      <c r="E218" s="38" t="inlineStr">
        <is>
          <t>957 Hawthorn Road</t>
        </is>
      </c>
      <c r="F218" s="128" t="n"/>
      <c r="G218" s="128" t="n"/>
      <c r="H218" s="129" t="n">
        <v>12.5</v>
      </c>
      <c r="I218" s="38" t="inlineStr">
        <is>
          <t>Kevin Osei</t>
        </is>
      </c>
      <c r="J218" s="98">
        <f>IF(A218="","",IF(AND(F218&lt;&gt;"",G218&lt;&gt;""),MAX(0,G218-F218),N(H218)))</f>
        <v/>
      </c>
      <c r="K218" s="55">
        <f>IF(A218="","",ROUND(J218*MileRate,2))</f>
        <v/>
      </c>
      <c r="L218" s="51">
        <f>IF(A218="","",DATE(YEAR(A218),MONTH(A218),1))</f>
        <v/>
      </c>
    </row>
    <row r="219">
      <c r="A219" s="47" t="n">
        <v>46227</v>
      </c>
      <c r="B219" s="38" t="inlineStr">
        <is>
          <t>J-0212</t>
        </is>
      </c>
      <c r="C219" s="38" t="inlineStr">
        <is>
          <t>Job: Commercial Clean</t>
        </is>
      </c>
      <c r="D219" s="38" t="inlineStr">
        <is>
          <t>Home base</t>
        </is>
      </c>
      <c r="E219" s="38" t="inlineStr">
        <is>
          <t>738 Cedar Court</t>
        </is>
      </c>
      <c r="F219" s="128" t="n">
        <v>58950</v>
      </c>
      <c r="G219" s="128" t="n">
        <v>58968</v>
      </c>
      <c r="H219" s="129" t="n"/>
      <c r="I219" s="38" t="inlineStr">
        <is>
          <t>Kevin Osei</t>
        </is>
      </c>
      <c r="J219" s="98">
        <f>IF(A219="","",IF(AND(F219&lt;&gt;"",G219&lt;&gt;""),MAX(0,G219-F219),N(H219)))</f>
        <v/>
      </c>
      <c r="K219" s="55">
        <f>IF(A219="","",ROUND(J219*MileRate,2))</f>
        <v/>
      </c>
      <c r="L219" s="51">
        <f>IF(A219="","",DATE(YEAR(A219),MONTH(A219),1))</f>
        <v/>
      </c>
    </row>
    <row r="220">
      <c r="A220" s="47" t="n">
        <v>46227</v>
      </c>
      <c r="B220" s="38" t="inlineStr">
        <is>
          <t>J-0213</t>
        </is>
      </c>
      <c r="C220" s="38" t="inlineStr">
        <is>
          <t>Job: Standard Clean</t>
        </is>
      </c>
      <c r="D220" s="38" t="inlineStr">
        <is>
          <t>Home base</t>
        </is>
      </c>
      <c r="E220" s="38" t="inlineStr">
        <is>
          <t>876 Magnolia Circle</t>
        </is>
      </c>
      <c r="F220" s="128" t="n">
        <v>52272</v>
      </c>
      <c r="G220" s="128" t="n">
        <v>52287</v>
      </c>
      <c r="H220" s="129" t="n"/>
      <c r="I220" s="38" t="inlineStr">
        <is>
          <t>Maria Lopez</t>
        </is>
      </c>
      <c r="J220" s="98">
        <f>IF(A220="","",IF(AND(F220&lt;&gt;"",G220&lt;&gt;""),MAX(0,G220-F220),N(H220)))</f>
        <v/>
      </c>
      <c r="K220" s="55">
        <f>IF(A220="","",ROUND(J220*MileRate,2))</f>
        <v/>
      </c>
      <c r="L220" s="51">
        <f>IF(A220="","",DATE(YEAR(A220),MONTH(A220),1))</f>
        <v/>
      </c>
    </row>
    <row r="221">
      <c r="A221" s="47" t="n">
        <v>46228</v>
      </c>
      <c r="B221" s="38" t="inlineStr">
        <is>
          <t>J-0214</t>
        </is>
      </c>
      <c r="C221" s="38" t="inlineStr">
        <is>
          <t>Job: Standard Clean</t>
        </is>
      </c>
      <c r="D221" s="38" t="inlineStr">
        <is>
          <t>Home base</t>
        </is>
      </c>
      <c r="E221" s="38" t="inlineStr">
        <is>
          <t>964 Cedar Court</t>
        </is>
      </c>
      <c r="F221" s="128" t="n"/>
      <c r="G221" s="128" t="n"/>
      <c r="H221" s="129" t="n">
        <v>13.2</v>
      </c>
      <c r="I221" s="38" t="inlineStr">
        <is>
          <t>Dana Whitfield</t>
        </is>
      </c>
      <c r="J221" s="98">
        <f>IF(A221="","",IF(AND(F221&lt;&gt;"",G221&lt;&gt;""),MAX(0,G221-F221),N(H221)))</f>
        <v/>
      </c>
      <c r="K221" s="55">
        <f>IF(A221="","",ROUND(J221*MileRate,2))</f>
        <v/>
      </c>
      <c r="L221" s="51">
        <f>IF(A221="","",DATE(YEAR(A221),MONTH(A221),1))</f>
        <v/>
      </c>
    </row>
    <row r="222">
      <c r="A222" s="47" t="n">
        <v>46229</v>
      </c>
      <c r="B222" s="38" t="inlineStr">
        <is>
          <t>J-0215</t>
        </is>
      </c>
      <c r="C222" s="38" t="inlineStr">
        <is>
          <t>Job: Airbnb Turnover</t>
        </is>
      </c>
      <c r="D222" s="38" t="inlineStr">
        <is>
          <t>Home base</t>
        </is>
      </c>
      <c r="E222" s="38" t="inlineStr">
        <is>
          <t>654 Willow Way</t>
        </is>
      </c>
      <c r="F222" s="128" t="n"/>
      <c r="G222" s="128" t="n"/>
      <c r="H222" s="129" t="n">
        <v>20.2</v>
      </c>
      <c r="I222" s="38" t="inlineStr">
        <is>
          <t>Kevin Osei</t>
        </is>
      </c>
      <c r="J222" s="98">
        <f>IF(A222="","",IF(AND(F222&lt;&gt;"",G222&lt;&gt;""),MAX(0,G222-F222),N(H222)))</f>
        <v/>
      </c>
      <c r="K222" s="55">
        <f>IF(A222="","",ROUND(J222*MileRate,2))</f>
        <v/>
      </c>
      <c r="L222" s="51">
        <f>IF(A222="","",DATE(YEAR(A222),MONTH(A222),1))</f>
        <v/>
      </c>
    </row>
    <row r="223">
      <c r="A223" s="47" t="n">
        <v>46230</v>
      </c>
      <c r="B223" s="38" t="inlineStr">
        <is>
          <t>J-0216</t>
        </is>
      </c>
      <c r="C223" s="38" t="inlineStr">
        <is>
          <t>Job: Deep Clean</t>
        </is>
      </c>
      <c r="D223" s="38" t="inlineStr">
        <is>
          <t>Home base</t>
        </is>
      </c>
      <c r="E223" s="38" t="inlineStr">
        <is>
          <t>952 Poplar Trail</t>
        </is>
      </c>
      <c r="F223" s="128" t="n"/>
      <c r="G223" s="128" t="n"/>
      <c r="H223" s="129" t="n">
        <v>21</v>
      </c>
      <c r="I223" s="38" t="inlineStr">
        <is>
          <t>Maria Lopez</t>
        </is>
      </c>
      <c r="J223" s="98">
        <f>IF(A223="","",IF(AND(F223&lt;&gt;"",G223&lt;&gt;""),MAX(0,G223-F223),N(H223)))</f>
        <v/>
      </c>
      <c r="K223" s="55">
        <f>IF(A223="","",ROUND(J223*MileRate,2))</f>
        <v/>
      </c>
      <c r="L223" s="51">
        <f>IF(A223="","",DATE(YEAR(A223),MONTH(A223),1))</f>
        <v/>
      </c>
    </row>
    <row r="224">
      <c r="A224" s="47" t="n">
        <v>46230</v>
      </c>
      <c r="B224" s="38" t="inlineStr">
        <is>
          <t>J-0217</t>
        </is>
      </c>
      <c r="C224" s="38" t="inlineStr">
        <is>
          <t>Job: Airbnb Turnover</t>
        </is>
      </c>
      <c r="D224" s="38" t="inlineStr">
        <is>
          <t>Home base</t>
        </is>
      </c>
      <c r="E224" s="38" t="inlineStr">
        <is>
          <t>192 Birch Lane</t>
        </is>
      </c>
      <c r="F224" s="128" t="n">
        <v>42808</v>
      </c>
      <c r="G224" s="128" t="n">
        <v>42817</v>
      </c>
      <c r="H224" s="129" t="n"/>
      <c r="I224" s="38" t="inlineStr">
        <is>
          <t>Kevin Osei</t>
        </is>
      </c>
      <c r="J224" s="98">
        <f>IF(A224="","",IF(AND(F224&lt;&gt;"",G224&lt;&gt;""),MAX(0,G224-F224),N(H224)))</f>
        <v/>
      </c>
      <c r="K224" s="55">
        <f>IF(A224="","",ROUND(J224*MileRate,2))</f>
        <v/>
      </c>
      <c r="L224" s="51">
        <f>IF(A224="","",DATE(YEAR(A224),MONTH(A224),1))</f>
        <v/>
      </c>
    </row>
    <row r="225">
      <c r="A225" s="47" t="n">
        <v>46231</v>
      </c>
      <c r="B225" s="38" t="inlineStr">
        <is>
          <t>J-0218</t>
        </is>
      </c>
      <c r="C225" s="38" t="inlineStr">
        <is>
          <t>Job: Standard Clean</t>
        </is>
      </c>
      <c r="D225" s="38" t="inlineStr">
        <is>
          <t>Home base</t>
        </is>
      </c>
      <c r="E225" s="38" t="inlineStr">
        <is>
          <t>497 Aspen Drive</t>
        </is>
      </c>
      <c r="F225" s="128" t="n">
        <v>46268</v>
      </c>
      <c r="G225" s="128" t="n">
        <v>46285</v>
      </c>
      <c r="H225" s="129" t="n"/>
      <c r="I225" s="38" t="inlineStr">
        <is>
          <t>Maria Lopez</t>
        </is>
      </c>
      <c r="J225" s="98">
        <f>IF(A225="","",IF(AND(F225&lt;&gt;"",G225&lt;&gt;""),MAX(0,G225-F225),N(H225)))</f>
        <v/>
      </c>
      <c r="K225" s="55">
        <f>IF(A225="","",ROUND(J225*MileRate,2))</f>
        <v/>
      </c>
      <c r="L225" s="51">
        <f>IF(A225="","",DATE(YEAR(A225),MONTH(A225),1))</f>
        <v/>
      </c>
    </row>
    <row r="226">
      <c r="A226" s="47" t="n">
        <v>46233</v>
      </c>
      <c r="B226" s="38" t="inlineStr">
        <is>
          <t>J-0219</t>
        </is>
      </c>
      <c r="C226" s="38" t="inlineStr">
        <is>
          <t>Job: Deep Clean</t>
        </is>
      </c>
      <c r="D226" s="38" t="inlineStr">
        <is>
          <t>Home base</t>
        </is>
      </c>
      <c r="E226" s="38" t="inlineStr">
        <is>
          <t>370 Cedar Court</t>
        </is>
      </c>
      <c r="F226" s="128" t="n"/>
      <c r="G226" s="128" t="n"/>
      <c r="H226" s="129" t="n">
        <v>10.8</v>
      </c>
      <c r="I226" s="38" t="inlineStr">
        <is>
          <t>Maria Lopez</t>
        </is>
      </c>
      <c r="J226" s="98">
        <f>IF(A226="","",IF(AND(F226&lt;&gt;"",G226&lt;&gt;""),MAX(0,G226-F226),N(H226)))</f>
        <v/>
      </c>
      <c r="K226" s="55">
        <f>IF(A226="","",ROUND(J226*MileRate,2))</f>
        <v/>
      </c>
      <c r="L226" s="51">
        <f>IF(A226="","",DATE(YEAR(A226),MONTH(A226),1))</f>
        <v/>
      </c>
    </row>
    <row r="227">
      <c r="A227" s="47" t="n">
        <v>46234</v>
      </c>
      <c r="B227" s="38" t="inlineStr">
        <is>
          <t>J-0220</t>
        </is>
      </c>
      <c r="C227" s="38" t="inlineStr">
        <is>
          <t>Job: Commercial Clean</t>
        </is>
      </c>
      <c r="D227" s="38" t="inlineStr">
        <is>
          <t>Home base</t>
        </is>
      </c>
      <c r="E227" s="38" t="inlineStr">
        <is>
          <t>957 Hawthorn Road</t>
        </is>
      </c>
      <c r="F227" s="128" t="n">
        <v>49542</v>
      </c>
      <c r="G227" s="128" t="n">
        <v>49560</v>
      </c>
      <c r="H227" s="129" t="n"/>
      <c r="I227" s="38" t="inlineStr">
        <is>
          <t>Kevin Osei</t>
        </is>
      </c>
      <c r="J227" s="98">
        <f>IF(A227="","",IF(AND(F227&lt;&gt;"",G227&lt;&gt;""),MAX(0,G227-F227),N(H227)))</f>
        <v/>
      </c>
      <c r="K227" s="55">
        <f>IF(A227="","",ROUND(J227*MileRate,2))</f>
        <v/>
      </c>
      <c r="L227" s="51">
        <f>IF(A227="","",DATE(YEAR(A227),MONTH(A227),1))</f>
        <v/>
      </c>
    </row>
    <row r="228">
      <c r="A228" s="47" t="n">
        <v>46234</v>
      </c>
      <c r="B228" s="38" t="inlineStr">
        <is>
          <t>J-0221</t>
        </is>
      </c>
      <c r="C228" s="38" t="inlineStr">
        <is>
          <t>Job: Move-In/Move-Out</t>
        </is>
      </c>
      <c r="D228" s="38" t="inlineStr">
        <is>
          <t>Home base</t>
        </is>
      </c>
      <c r="E228" s="38" t="inlineStr">
        <is>
          <t>749 Willow Way</t>
        </is>
      </c>
      <c r="F228" s="128" t="n"/>
      <c r="G228" s="128" t="n"/>
      <c r="H228" s="129" t="n">
        <v>21.5</v>
      </c>
      <c r="I228" s="38" t="inlineStr">
        <is>
          <t>Maria Lopez</t>
        </is>
      </c>
      <c r="J228" s="98">
        <f>IF(A228="","",IF(AND(F228&lt;&gt;"",G228&lt;&gt;""),MAX(0,G228-F228),N(H228)))</f>
        <v/>
      </c>
      <c r="K228" s="55">
        <f>IF(A228="","",ROUND(J228*MileRate,2))</f>
        <v/>
      </c>
      <c r="L228" s="51">
        <f>IF(A228="","",DATE(YEAR(A228),MONTH(A228),1))</f>
        <v/>
      </c>
    </row>
    <row r="229">
      <c r="A229" s="47" t="n">
        <v>46234</v>
      </c>
      <c r="B229" s="38" t="inlineStr">
        <is>
          <t>J-0222</t>
        </is>
      </c>
      <c r="C229" s="38" t="inlineStr">
        <is>
          <t>Job: Standard Clean</t>
        </is>
      </c>
      <c r="D229" s="38" t="inlineStr">
        <is>
          <t>Home base</t>
        </is>
      </c>
      <c r="E229" s="38" t="inlineStr">
        <is>
          <t>84 Hawthorn Road</t>
        </is>
      </c>
      <c r="F229" s="128" t="n"/>
      <c r="G229" s="128" t="n"/>
      <c r="H229" s="129" t="n">
        <v>18.7</v>
      </c>
      <c r="I229" s="38" t="inlineStr">
        <is>
          <t>Dana Whitfield</t>
        </is>
      </c>
      <c r="J229" s="98">
        <f>IF(A229="","",IF(AND(F229&lt;&gt;"",G229&lt;&gt;""),MAX(0,G229-F229),N(H229)))</f>
        <v/>
      </c>
      <c r="K229" s="55">
        <f>IF(A229="","",ROUND(J229*MileRate,2))</f>
        <v/>
      </c>
      <c r="L229" s="51">
        <f>IF(A229="","",DATE(YEAR(A229),MONTH(A229),1))</f>
        <v/>
      </c>
    </row>
    <row r="230">
      <c r="A230" s="47" t="n">
        <v>46234</v>
      </c>
      <c r="B230" s="38" t="inlineStr">
        <is>
          <t>J-0223</t>
        </is>
      </c>
      <c r="C230" s="38" t="inlineStr">
        <is>
          <t>Job: Commercial Clean</t>
        </is>
      </c>
      <c r="D230" s="38" t="inlineStr">
        <is>
          <t>Home base</t>
        </is>
      </c>
      <c r="E230" s="38" t="inlineStr">
        <is>
          <t>738 Cedar Court</t>
        </is>
      </c>
      <c r="F230" s="128" t="n"/>
      <c r="G230" s="128" t="n"/>
      <c r="H230" s="129" t="n">
        <v>12.1</v>
      </c>
      <c r="I230" s="38" t="inlineStr">
        <is>
          <t>Kevin Osei</t>
        </is>
      </c>
      <c r="J230" s="98">
        <f>IF(A230="","",IF(AND(F230&lt;&gt;"",G230&lt;&gt;""),MAX(0,G230-F230),N(H230)))</f>
        <v/>
      </c>
      <c r="K230" s="55">
        <f>IF(A230="","",ROUND(J230*MileRate,2))</f>
        <v/>
      </c>
      <c r="L230" s="51">
        <f>IF(A230="","",DATE(YEAR(A230),MONTH(A230),1))</f>
        <v/>
      </c>
    </row>
    <row r="231">
      <c r="A231" s="47" t="n">
        <v>46236</v>
      </c>
      <c r="B231" s="38" t="inlineStr">
        <is>
          <t>J-0225</t>
        </is>
      </c>
      <c r="C231" s="38" t="inlineStr">
        <is>
          <t>Job: Airbnb Turnover</t>
        </is>
      </c>
      <c r="D231" s="38" t="inlineStr">
        <is>
          <t>Home base</t>
        </is>
      </c>
      <c r="E231" s="38" t="inlineStr">
        <is>
          <t>412 Linden Place</t>
        </is>
      </c>
      <c r="F231" s="128" t="n"/>
      <c r="G231" s="128" t="n"/>
      <c r="H231" s="129" t="n">
        <v>9.9</v>
      </c>
      <c r="I231" s="38" t="inlineStr">
        <is>
          <t>Kevin Osei</t>
        </is>
      </c>
      <c r="J231" s="98">
        <f>IF(A231="","",IF(AND(F231&lt;&gt;"",G231&lt;&gt;""),MAX(0,G231-F231),N(H231)))</f>
        <v/>
      </c>
      <c r="K231" s="55">
        <f>IF(A231="","",ROUND(J231*MileRate,2))</f>
        <v/>
      </c>
      <c r="L231" s="51">
        <f>IF(A231="","",DATE(YEAR(A231),MONTH(A231),1))</f>
        <v/>
      </c>
    </row>
    <row r="232">
      <c r="A232" s="47" t="n">
        <v>46237</v>
      </c>
      <c r="B232" s="38" t="inlineStr">
        <is>
          <t>J-0226</t>
        </is>
      </c>
      <c r="C232" s="38" t="inlineStr">
        <is>
          <t>Job: Airbnb Turnover</t>
        </is>
      </c>
      <c r="D232" s="38" t="inlineStr">
        <is>
          <t>Home base</t>
        </is>
      </c>
      <c r="E232" s="38" t="inlineStr">
        <is>
          <t>666 Juniper Street</t>
        </is>
      </c>
      <c r="F232" s="128" t="n"/>
      <c r="G232" s="128" t="n"/>
      <c r="H232" s="129" t="n">
        <v>11.6</v>
      </c>
      <c r="I232" s="38" t="inlineStr">
        <is>
          <t>Kevin Osei</t>
        </is>
      </c>
      <c r="J232" s="98">
        <f>IF(A232="","",IF(AND(F232&lt;&gt;"",G232&lt;&gt;""),MAX(0,G232-F232),N(H232)))</f>
        <v/>
      </c>
      <c r="K232" s="55">
        <f>IF(A232="","",ROUND(J232*MileRate,2))</f>
        <v/>
      </c>
      <c r="L232" s="51">
        <f>IF(A232="","",DATE(YEAR(A232),MONTH(A232),1))</f>
        <v/>
      </c>
    </row>
    <row r="233">
      <c r="A233" s="47" t="n">
        <v>46238</v>
      </c>
      <c r="B233" s="38" t="inlineStr">
        <is>
          <t>J-0227</t>
        </is>
      </c>
      <c r="C233" s="38" t="inlineStr">
        <is>
          <t>Job: Standard Clean</t>
        </is>
      </c>
      <c r="D233" s="38" t="inlineStr">
        <is>
          <t>Home base</t>
        </is>
      </c>
      <c r="E233" s="38" t="inlineStr">
        <is>
          <t>497 Aspen Drive</t>
        </is>
      </c>
      <c r="F233" s="128" t="n"/>
      <c r="G233" s="128" t="n"/>
      <c r="H233" s="129" t="n">
        <v>20.6</v>
      </c>
      <c r="I233" s="38" t="inlineStr">
        <is>
          <t>Maria Lopez</t>
        </is>
      </c>
      <c r="J233" s="98">
        <f>IF(A233="","",IF(AND(F233&lt;&gt;"",G233&lt;&gt;""),MAX(0,G233-F233),N(H233)))</f>
        <v/>
      </c>
      <c r="K233" s="55">
        <f>IF(A233="","",ROUND(J233*MileRate,2))</f>
        <v/>
      </c>
      <c r="L233" s="51">
        <f>IF(A233="","",DATE(YEAR(A233),MONTH(A233),1))</f>
        <v/>
      </c>
    </row>
    <row r="234">
      <c r="A234" s="47" t="n">
        <v>46239</v>
      </c>
      <c r="B234" s="38" t="inlineStr">
        <is>
          <t>J-0228</t>
        </is>
      </c>
      <c r="C234" s="38" t="inlineStr">
        <is>
          <t>Job: Standard Clean</t>
        </is>
      </c>
      <c r="D234" s="38" t="inlineStr">
        <is>
          <t>Home base</t>
        </is>
      </c>
      <c r="E234" s="38" t="inlineStr">
        <is>
          <t>675 Aspen Drive</t>
        </is>
      </c>
      <c r="F234" s="128" t="n"/>
      <c r="G234" s="128" t="n"/>
      <c r="H234" s="129" t="n">
        <v>17</v>
      </c>
      <c r="I234" s="38" t="inlineStr">
        <is>
          <t>Dana Whitfield</t>
        </is>
      </c>
      <c r="J234" s="98">
        <f>IF(A234="","",IF(AND(F234&lt;&gt;"",G234&lt;&gt;""),MAX(0,G234-F234),N(H234)))</f>
        <v/>
      </c>
      <c r="K234" s="55">
        <f>IF(A234="","",ROUND(J234*MileRate,2))</f>
        <v/>
      </c>
      <c r="L234" s="51">
        <f>IF(A234="","",DATE(YEAR(A234),MONTH(A234),1))</f>
        <v/>
      </c>
    </row>
    <row r="235">
      <c r="A235" s="47" t="n">
        <v>46241</v>
      </c>
      <c r="B235" s="38" t="inlineStr">
        <is>
          <t>J-0229</t>
        </is>
      </c>
      <c r="C235" s="38" t="inlineStr">
        <is>
          <t>Job: Commercial Clean</t>
        </is>
      </c>
      <c r="D235" s="38" t="inlineStr">
        <is>
          <t>Home base</t>
        </is>
      </c>
      <c r="E235" s="38" t="inlineStr">
        <is>
          <t>738 Cedar Court</t>
        </is>
      </c>
      <c r="F235" s="128" t="n"/>
      <c r="G235" s="128" t="n"/>
      <c r="H235" s="129" t="n">
        <v>10</v>
      </c>
      <c r="I235" s="38" t="inlineStr">
        <is>
          <t>Kevin Osei</t>
        </is>
      </c>
      <c r="J235" s="98">
        <f>IF(A235="","",IF(AND(F235&lt;&gt;"",G235&lt;&gt;""),MAX(0,G235-F235),N(H235)))</f>
        <v/>
      </c>
      <c r="K235" s="55">
        <f>IF(A235="","",ROUND(J235*MileRate,2))</f>
        <v/>
      </c>
      <c r="L235" s="51">
        <f>IF(A235="","",DATE(YEAR(A235),MONTH(A235),1))</f>
        <v/>
      </c>
    </row>
    <row r="236">
      <c r="A236" s="47" t="n">
        <v>46241</v>
      </c>
      <c r="B236" s="38" t="inlineStr">
        <is>
          <t>J-0230</t>
        </is>
      </c>
      <c r="C236" s="38" t="inlineStr">
        <is>
          <t>Job: Commercial Clean</t>
        </is>
      </c>
      <c r="D236" s="38" t="inlineStr">
        <is>
          <t>Home base</t>
        </is>
      </c>
      <c r="E236" s="38" t="inlineStr">
        <is>
          <t>957 Hawthorn Road</t>
        </is>
      </c>
      <c r="F236" s="128" t="n"/>
      <c r="G236" s="128" t="n"/>
      <c r="H236" s="129" t="n">
        <v>17.2</v>
      </c>
      <c r="I236" s="38" t="inlineStr">
        <is>
          <t>Kevin Osei</t>
        </is>
      </c>
      <c r="J236" s="98">
        <f>IF(A236="","",IF(AND(F236&lt;&gt;"",G236&lt;&gt;""),MAX(0,G236-F236),N(H236)))</f>
        <v/>
      </c>
      <c r="K236" s="55">
        <f>IF(A236="","",ROUND(J236*MileRate,2))</f>
        <v/>
      </c>
      <c r="L236" s="51">
        <f>IF(A236="","",DATE(YEAR(A236),MONTH(A236),1))</f>
        <v/>
      </c>
    </row>
    <row r="237">
      <c r="A237" s="47" t="n">
        <v>46241</v>
      </c>
      <c r="B237" s="38" t="inlineStr">
        <is>
          <t>J-0231</t>
        </is>
      </c>
      <c r="C237" s="38" t="inlineStr">
        <is>
          <t>Job: Standard Clean</t>
        </is>
      </c>
      <c r="D237" s="38" t="inlineStr">
        <is>
          <t>Home base</t>
        </is>
      </c>
      <c r="E237" s="38" t="inlineStr">
        <is>
          <t>461 Hawthorn Road</t>
        </is>
      </c>
      <c r="F237" s="128" t="n"/>
      <c r="G237" s="128" t="n"/>
      <c r="H237" s="129" t="n">
        <v>23.4</v>
      </c>
      <c r="I237" s="38" t="inlineStr">
        <is>
          <t>Maria Lopez</t>
        </is>
      </c>
      <c r="J237" s="98">
        <f>IF(A237="","",IF(AND(F237&lt;&gt;"",G237&lt;&gt;""),MAX(0,G237-F237),N(H237)))</f>
        <v/>
      </c>
      <c r="K237" s="55">
        <f>IF(A237="","",ROUND(J237*MileRate,2))</f>
        <v/>
      </c>
      <c r="L237" s="51">
        <f>IF(A237="","",DATE(YEAR(A237),MONTH(A237),1))</f>
        <v/>
      </c>
    </row>
    <row r="238">
      <c r="A238" s="47" t="n">
        <v>46241</v>
      </c>
      <c r="B238" s="38" t="inlineStr">
        <is>
          <t>J-0232</t>
        </is>
      </c>
      <c r="C238" s="38" t="inlineStr">
        <is>
          <t>Job: Standard Clean</t>
        </is>
      </c>
      <c r="D238" s="38" t="inlineStr">
        <is>
          <t>Home base</t>
        </is>
      </c>
      <c r="E238" s="38" t="inlineStr">
        <is>
          <t>876 Magnolia Circle</t>
        </is>
      </c>
      <c r="F238" s="128" t="n"/>
      <c r="G238" s="128" t="n"/>
      <c r="H238" s="129" t="n">
        <v>13.9</v>
      </c>
      <c r="I238" s="38" t="inlineStr">
        <is>
          <t>Maria Lopez</t>
        </is>
      </c>
      <c r="J238" s="98">
        <f>IF(A238="","",IF(AND(F238&lt;&gt;"",G238&lt;&gt;""),MAX(0,G238-F238),N(H238)))</f>
        <v/>
      </c>
      <c r="K238" s="55">
        <f>IF(A238="","",ROUND(J238*MileRate,2))</f>
        <v/>
      </c>
      <c r="L238" s="51">
        <f>IF(A238="","",DATE(YEAR(A238),MONTH(A238),1))</f>
        <v/>
      </c>
    </row>
    <row r="239">
      <c r="A239" s="47" t="n">
        <v>46242</v>
      </c>
      <c r="B239" s="38" t="inlineStr">
        <is>
          <t>J-0233</t>
        </is>
      </c>
      <c r="C239" s="38" t="inlineStr">
        <is>
          <t>Job: Standard Clean</t>
        </is>
      </c>
      <c r="D239" s="38" t="inlineStr">
        <is>
          <t>Home base</t>
        </is>
      </c>
      <c r="E239" s="38" t="inlineStr">
        <is>
          <t>964 Cedar Court</t>
        </is>
      </c>
      <c r="F239" s="128" t="n"/>
      <c r="G239" s="128" t="n"/>
      <c r="H239" s="129" t="n">
        <v>20.9</v>
      </c>
      <c r="I239" s="38" t="inlineStr">
        <is>
          <t>Dana Whitfield</t>
        </is>
      </c>
      <c r="J239" s="98">
        <f>IF(A239="","",IF(AND(F239&lt;&gt;"",G239&lt;&gt;""),MAX(0,G239-F239),N(H239)))</f>
        <v/>
      </c>
      <c r="K239" s="55">
        <f>IF(A239="","",ROUND(J239*MileRate,2))</f>
        <v/>
      </c>
      <c r="L239" s="51">
        <f>IF(A239="","",DATE(YEAR(A239),MONTH(A239),1))</f>
        <v/>
      </c>
    </row>
    <row r="240">
      <c r="A240" s="47" t="n">
        <v>46243</v>
      </c>
      <c r="B240" s="38" t="inlineStr">
        <is>
          <t>J-0234</t>
        </is>
      </c>
      <c r="C240" s="38" t="inlineStr">
        <is>
          <t>Job: Airbnb Turnover</t>
        </is>
      </c>
      <c r="D240" s="38" t="inlineStr">
        <is>
          <t>Home base</t>
        </is>
      </c>
      <c r="E240" s="38" t="inlineStr">
        <is>
          <t>192 Birch Lane</t>
        </is>
      </c>
      <c r="F240" s="128" t="n"/>
      <c r="G240" s="128" t="n"/>
      <c r="H240" s="129" t="n">
        <v>18.2</v>
      </c>
      <c r="I240" s="38" t="inlineStr">
        <is>
          <t>Kevin Osei</t>
        </is>
      </c>
      <c r="J240" s="98">
        <f>IF(A240="","",IF(AND(F240&lt;&gt;"",G240&lt;&gt;""),MAX(0,G240-F240),N(H240)))</f>
        <v/>
      </c>
      <c r="K240" s="55">
        <f>IF(A240="","",ROUND(J240*MileRate,2))</f>
        <v/>
      </c>
      <c r="L240" s="51">
        <f>IF(A240="","",DATE(YEAR(A240),MONTH(A240),1))</f>
        <v/>
      </c>
    </row>
    <row r="241">
      <c r="A241" s="47" t="n">
        <v>46243</v>
      </c>
      <c r="B241" s="38" t="inlineStr">
        <is>
          <t>J-0235</t>
        </is>
      </c>
      <c r="C241" s="38" t="inlineStr">
        <is>
          <t>Job: Airbnb Turnover</t>
        </is>
      </c>
      <c r="D241" s="38" t="inlineStr">
        <is>
          <t>Home base</t>
        </is>
      </c>
      <c r="E241" s="38" t="inlineStr">
        <is>
          <t>654 Willow Way</t>
        </is>
      </c>
      <c r="F241" s="128" t="n"/>
      <c r="G241" s="128" t="n"/>
      <c r="H241" s="129" t="n">
        <v>12.4</v>
      </c>
      <c r="I241" s="38" t="inlineStr">
        <is>
          <t>Kevin Osei</t>
        </is>
      </c>
      <c r="J241" s="98">
        <f>IF(A241="","",IF(AND(F241&lt;&gt;"",G241&lt;&gt;""),MAX(0,G241-F241),N(H241)))</f>
        <v/>
      </c>
      <c r="K241" s="55">
        <f>IF(A241="","",ROUND(J241*MileRate,2))</f>
        <v/>
      </c>
      <c r="L241" s="51">
        <f>IF(A241="","",DATE(YEAR(A241),MONTH(A241),1))</f>
        <v/>
      </c>
    </row>
    <row r="242">
      <c r="A242" s="47" t="n">
        <v>46245</v>
      </c>
      <c r="B242" s="38" t="inlineStr">
        <is>
          <t>J-0236</t>
        </is>
      </c>
      <c r="C242" s="38" t="inlineStr">
        <is>
          <t>Job: Standard Clean</t>
        </is>
      </c>
      <c r="D242" s="38" t="inlineStr">
        <is>
          <t>Home base</t>
        </is>
      </c>
      <c r="E242" s="38" t="inlineStr">
        <is>
          <t>497 Aspen Drive</t>
        </is>
      </c>
      <c r="F242" s="128" t="n"/>
      <c r="G242" s="128" t="n"/>
      <c r="H242" s="129" t="n">
        <v>9.9</v>
      </c>
      <c r="I242" s="38" t="inlineStr">
        <is>
          <t>Maria Lopez</t>
        </is>
      </c>
      <c r="J242" s="98">
        <f>IF(A242="","",IF(AND(F242&lt;&gt;"",G242&lt;&gt;""),MAX(0,G242-F242),N(H242)))</f>
        <v/>
      </c>
      <c r="K242" s="55">
        <f>IF(A242="","",ROUND(J242*MileRate,2))</f>
        <v/>
      </c>
      <c r="L242" s="51">
        <f>IF(A242="","",DATE(YEAR(A242),MONTH(A242),1))</f>
        <v/>
      </c>
    </row>
    <row r="243">
      <c r="A243" s="47" t="n">
        <v>46247</v>
      </c>
      <c r="B243" s="38" t="inlineStr">
        <is>
          <t>J-0237</t>
        </is>
      </c>
      <c r="C243" s="38" t="inlineStr">
        <is>
          <t>Job: Deep Clean</t>
        </is>
      </c>
      <c r="D243" s="38" t="inlineStr">
        <is>
          <t>Home base</t>
        </is>
      </c>
      <c r="E243" s="38" t="inlineStr">
        <is>
          <t>80 Sycamore Street</t>
        </is>
      </c>
      <c r="F243" s="128" t="n"/>
      <c r="G243" s="128" t="n"/>
      <c r="H243" s="129" t="n">
        <v>21.7</v>
      </c>
      <c r="I243" s="38" t="inlineStr">
        <is>
          <t>Maria Lopez</t>
        </is>
      </c>
      <c r="J243" s="98">
        <f>IF(A243="","",IF(AND(F243&lt;&gt;"",G243&lt;&gt;""),MAX(0,G243-F243),N(H243)))</f>
        <v/>
      </c>
      <c r="K243" s="55">
        <f>IF(A243="","",ROUND(J243*MileRate,2))</f>
        <v/>
      </c>
      <c r="L243" s="51">
        <f>IF(A243="","",DATE(YEAR(A243),MONTH(A243),1))</f>
        <v/>
      </c>
    </row>
    <row r="244">
      <c r="A244" s="47" t="n">
        <v>46247</v>
      </c>
      <c r="B244" s="38" t="inlineStr">
        <is>
          <t>J-0238</t>
        </is>
      </c>
      <c r="C244" s="38" t="inlineStr">
        <is>
          <t>Job: Airbnb Turnover</t>
        </is>
      </c>
      <c r="D244" s="38" t="inlineStr">
        <is>
          <t>Home base</t>
        </is>
      </c>
      <c r="E244" s="38" t="inlineStr">
        <is>
          <t>666 Juniper Street</t>
        </is>
      </c>
      <c r="F244" s="128" t="n"/>
      <c r="G244" s="128" t="n"/>
      <c r="H244" s="129" t="n">
        <v>12.6</v>
      </c>
      <c r="I244" s="38" t="inlineStr">
        <is>
          <t>Kevin Osei</t>
        </is>
      </c>
      <c r="J244" s="98">
        <f>IF(A244="","",IF(AND(F244&lt;&gt;"",G244&lt;&gt;""),MAX(0,G244-F244),N(H244)))</f>
        <v/>
      </c>
      <c r="K244" s="55">
        <f>IF(A244="","",ROUND(J244*MileRate,2))</f>
        <v/>
      </c>
      <c r="L244" s="51">
        <f>IF(A244="","",DATE(YEAR(A244),MONTH(A244),1))</f>
        <v/>
      </c>
    </row>
    <row r="245">
      <c r="A245" s="47" t="n">
        <v>46248</v>
      </c>
      <c r="B245" s="38" t="inlineStr">
        <is>
          <t>J-0239</t>
        </is>
      </c>
      <c r="C245" s="38" t="inlineStr">
        <is>
          <t>Job: Commercial Clean</t>
        </is>
      </c>
      <c r="D245" s="38" t="inlineStr">
        <is>
          <t>Home base</t>
        </is>
      </c>
      <c r="E245" s="38" t="inlineStr">
        <is>
          <t>738 Cedar Court</t>
        </is>
      </c>
      <c r="F245" s="128" t="n">
        <v>42052</v>
      </c>
      <c r="G245" s="128" t="n">
        <v>42070</v>
      </c>
      <c r="H245" s="129" t="n"/>
      <c r="I245" s="38" t="inlineStr">
        <is>
          <t>Kevin Osei</t>
        </is>
      </c>
      <c r="J245" s="98">
        <f>IF(A245="","",IF(AND(F245&lt;&gt;"",G245&lt;&gt;""),MAX(0,G245-F245),N(H245)))</f>
        <v/>
      </c>
      <c r="K245" s="55">
        <f>IF(A245="","",ROUND(J245*MileRate,2))</f>
        <v/>
      </c>
      <c r="L245" s="51">
        <f>IF(A245="","",DATE(YEAR(A245),MONTH(A245),1))</f>
        <v/>
      </c>
    </row>
    <row r="246">
      <c r="A246" s="47" t="n">
        <v>46248</v>
      </c>
      <c r="B246" s="38" t="inlineStr">
        <is>
          <t>J-0240</t>
        </is>
      </c>
      <c r="C246" s="38" t="inlineStr">
        <is>
          <t>Job: Commercial Clean</t>
        </is>
      </c>
      <c r="D246" s="38" t="inlineStr">
        <is>
          <t>Home base</t>
        </is>
      </c>
      <c r="E246" s="38" t="inlineStr">
        <is>
          <t>957 Hawthorn Road</t>
        </is>
      </c>
      <c r="F246" s="128" t="n"/>
      <c r="G246" s="128" t="n"/>
      <c r="H246" s="129" t="n">
        <v>19.8</v>
      </c>
      <c r="I246" s="38" t="inlineStr">
        <is>
          <t>Kevin Osei</t>
        </is>
      </c>
      <c r="J246" s="98">
        <f>IF(A246="","",IF(AND(F246&lt;&gt;"",G246&lt;&gt;""),MAX(0,G246-F246),N(H246)))</f>
        <v/>
      </c>
      <c r="K246" s="55">
        <f>IF(A246="","",ROUND(J246*MileRate,2))</f>
        <v/>
      </c>
      <c r="L246" s="51">
        <f>IF(A246="","",DATE(YEAR(A246),MONTH(A246),1))</f>
        <v/>
      </c>
    </row>
    <row r="247">
      <c r="A247" s="47" t="n">
        <v>46249</v>
      </c>
      <c r="B247" s="38" t="inlineStr">
        <is>
          <t>J-0241</t>
        </is>
      </c>
      <c r="C247" s="38" t="inlineStr">
        <is>
          <t>Job: Standard Clean</t>
        </is>
      </c>
      <c r="D247" s="38" t="inlineStr">
        <is>
          <t>Home base</t>
        </is>
      </c>
      <c r="E247" s="38" t="inlineStr">
        <is>
          <t>21 Maple Avenue</t>
        </is>
      </c>
      <c r="F247" s="128" t="n">
        <v>50618</v>
      </c>
      <c r="G247" s="128" t="n">
        <v>50640</v>
      </c>
      <c r="H247" s="129" t="n"/>
      <c r="I247" s="38" t="inlineStr">
        <is>
          <t>Maria Lopez</t>
        </is>
      </c>
      <c r="J247" s="98">
        <f>IF(A247="","",IF(AND(F247&lt;&gt;"",G247&lt;&gt;""),MAX(0,G247-F247),N(H247)))</f>
        <v/>
      </c>
      <c r="K247" s="55">
        <f>IF(A247="","",ROUND(J247*MileRate,2))</f>
        <v/>
      </c>
      <c r="L247" s="51">
        <f>IF(A247="","",DATE(YEAR(A247),MONTH(A247),1))</f>
        <v/>
      </c>
    </row>
    <row r="248">
      <c r="A248" s="47" t="n">
        <v>46249</v>
      </c>
      <c r="B248" s="38" t="inlineStr">
        <is>
          <t>J-0242</t>
        </is>
      </c>
      <c r="C248" s="38" t="inlineStr">
        <is>
          <t>Job: Airbnb Turnover</t>
        </is>
      </c>
      <c r="D248" s="38" t="inlineStr">
        <is>
          <t>Home base</t>
        </is>
      </c>
      <c r="E248" s="38" t="inlineStr">
        <is>
          <t>412 Linden Place</t>
        </is>
      </c>
      <c r="F248" s="128" t="n"/>
      <c r="G248" s="128" t="n"/>
      <c r="H248" s="129" t="n">
        <v>6.8</v>
      </c>
      <c r="I248" s="38" t="inlineStr">
        <is>
          <t>Kevin Osei</t>
        </is>
      </c>
      <c r="J248" s="98">
        <f>IF(A248="","",IF(AND(F248&lt;&gt;"",G248&lt;&gt;""),MAX(0,G248-F248),N(H248)))</f>
        <v/>
      </c>
      <c r="K248" s="55">
        <f>IF(A248="","",ROUND(J248*MileRate,2))</f>
        <v/>
      </c>
      <c r="L248" s="51">
        <f>IF(A248="","",DATE(YEAR(A248),MONTH(A248),1))</f>
        <v/>
      </c>
    </row>
    <row r="249">
      <c r="A249" s="47" t="n">
        <v>46251</v>
      </c>
      <c r="B249" s="38" t="inlineStr">
        <is>
          <t>J-0243</t>
        </is>
      </c>
      <c r="C249" s="38" t="inlineStr">
        <is>
          <t>Job: Standard Clean</t>
        </is>
      </c>
      <c r="D249" s="38" t="inlineStr">
        <is>
          <t>Home base</t>
        </is>
      </c>
      <c r="E249" s="38" t="inlineStr">
        <is>
          <t>667 Willow Way</t>
        </is>
      </c>
      <c r="F249" s="128" t="n"/>
      <c r="G249" s="128" t="n"/>
      <c r="H249" s="129" t="n">
        <v>23.7</v>
      </c>
      <c r="I249" s="38" t="inlineStr">
        <is>
          <t>Maria Lopez</t>
        </is>
      </c>
      <c r="J249" s="98">
        <f>IF(A249="","",IF(AND(F249&lt;&gt;"",G249&lt;&gt;""),MAX(0,G249-F249),N(H249)))</f>
        <v/>
      </c>
      <c r="K249" s="55">
        <f>IF(A249="","",ROUND(J249*MileRate,2))</f>
        <v/>
      </c>
      <c r="L249" s="51">
        <f>IF(A249="","",DATE(YEAR(A249),MONTH(A249),1))</f>
        <v/>
      </c>
    </row>
    <row r="250">
      <c r="A250" s="47" t="n">
        <v>46252</v>
      </c>
      <c r="B250" s="38" t="inlineStr">
        <is>
          <t>J-0244</t>
        </is>
      </c>
      <c r="C250" s="38" t="inlineStr">
        <is>
          <t>Job: Standard Clean</t>
        </is>
      </c>
      <c r="D250" s="38" t="inlineStr">
        <is>
          <t>Home base</t>
        </is>
      </c>
      <c r="E250" s="38" t="inlineStr">
        <is>
          <t>497 Aspen Drive</t>
        </is>
      </c>
      <c r="F250" s="128" t="n">
        <v>43337</v>
      </c>
      <c r="G250" s="128" t="n">
        <v>43358</v>
      </c>
      <c r="H250" s="129" t="n"/>
      <c r="I250" s="38" t="inlineStr">
        <is>
          <t>Maria Lopez</t>
        </is>
      </c>
      <c r="J250" s="98">
        <f>IF(A250="","",IF(AND(F250&lt;&gt;"",G250&lt;&gt;""),MAX(0,G250-F250),N(H250)))</f>
        <v/>
      </c>
      <c r="K250" s="55">
        <f>IF(A250="","",ROUND(J250*MileRate,2))</f>
        <v/>
      </c>
      <c r="L250" s="51">
        <f>IF(A250="","",DATE(YEAR(A250),MONTH(A250),1))</f>
        <v/>
      </c>
    </row>
    <row r="251">
      <c r="A251" s="47" t="n">
        <v>46253</v>
      </c>
      <c r="B251" s="38" t="inlineStr">
        <is>
          <t>J-0245</t>
        </is>
      </c>
      <c r="C251" s="38" t="inlineStr">
        <is>
          <t>Job: Standard Clean</t>
        </is>
      </c>
      <c r="D251" s="38" t="inlineStr">
        <is>
          <t>Home base</t>
        </is>
      </c>
      <c r="E251" s="38" t="inlineStr">
        <is>
          <t>675 Aspen Drive</t>
        </is>
      </c>
      <c r="F251" s="128" t="n"/>
      <c r="G251" s="128" t="n"/>
      <c r="H251" s="129" t="n">
        <v>13.5</v>
      </c>
      <c r="I251" s="38" t="inlineStr">
        <is>
          <t>Dana Whitfield</t>
        </is>
      </c>
      <c r="J251" s="98">
        <f>IF(A251="","",IF(AND(F251&lt;&gt;"",G251&lt;&gt;""),MAX(0,G251-F251),N(H251)))</f>
        <v/>
      </c>
      <c r="K251" s="55">
        <f>IF(A251="","",ROUND(J251*MileRate,2))</f>
        <v/>
      </c>
      <c r="L251" s="51">
        <f>IF(A251="","",DATE(YEAR(A251),MONTH(A251),1))</f>
        <v/>
      </c>
    </row>
    <row r="252">
      <c r="A252" s="47" t="n">
        <v>46254</v>
      </c>
      <c r="B252" s="38" t="n"/>
      <c r="C252" s="38" t="inlineStr">
        <is>
          <t>Supply run</t>
        </is>
      </c>
      <c r="D252" s="38" t="inlineStr">
        <is>
          <t>Home base</t>
        </is>
      </c>
      <c r="E252" s="38" t="inlineStr">
        <is>
          <t>Supply store</t>
        </is>
      </c>
      <c r="F252" s="128" t="n"/>
      <c r="G252" s="128" t="n"/>
      <c r="H252" s="129" t="n">
        <v>11.5</v>
      </c>
      <c r="I252" s="38" t="inlineStr">
        <is>
          <t>Jordan Rivera</t>
        </is>
      </c>
      <c r="J252" s="98">
        <f>IF(A252="","",IF(AND(F252&lt;&gt;"",G252&lt;&gt;""),MAX(0,G252-F252),N(H252)))</f>
        <v/>
      </c>
      <c r="K252" s="55">
        <f>IF(A252="","",ROUND(J252*MileRate,2))</f>
        <v/>
      </c>
      <c r="L252" s="51">
        <f>IF(A252="","",DATE(YEAR(A252),MONTH(A252),1))</f>
        <v/>
      </c>
    </row>
    <row r="253">
      <c r="A253" s="47" t="n">
        <v>46255</v>
      </c>
      <c r="B253" s="38" t="inlineStr">
        <is>
          <t>J-0246</t>
        </is>
      </c>
      <c r="C253" s="38" t="inlineStr">
        <is>
          <t>Job: Standard Clean</t>
        </is>
      </c>
      <c r="D253" s="38" t="inlineStr">
        <is>
          <t>Home base</t>
        </is>
      </c>
      <c r="E253" s="38" t="inlineStr">
        <is>
          <t>876 Magnolia Circle</t>
        </is>
      </c>
      <c r="F253" s="128" t="n"/>
      <c r="G253" s="128" t="n"/>
      <c r="H253" s="129" t="n">
        <v>17.1</v>
      </c>
      <c r="I253" s="38" t="inlineStr">
        <is>
          <t>Maria Lopez</t>
        </is>
      </c>
      <c r="J253" s="98">
        <f>IF(A253="","",IF(AND(F253&lt;&gt;"",G253&lt;&gt;""),MAX(0,G253-F253),N(H253)))</f>
        <v/>
      </c>
      <c r="K253" s="55">
        <f>IF(A253="","",ROUND(J253*MileRate,2))</f>
        <v/>
      </c>
      <c r="L253" s="51">
        <f>IF(A253="","",DATE(YEAR(A253),MONTH(A253),1))</f>
        <v/>
      </c>
    </row>
    <row r="254">
      <c r="A254" s="47" t="n">
        <v>46255</v>
      </c>
      <c r="B254" s="38" t="inlineStr">
        <is>
          <t>J-0247</t>
        </is>
      </c>
      <c r="C254" s="38" t="inlineStr">
        <is>
          <t>Job: Standard Clean</t>
        </is>
      </c>
      <c r="D254" s="38" t="inlineStr">
        <is>
          <t>Home base</t>
        </is>
      </c>
      <c r="E254" s="38" t="inlineStr">
        <is>
          <t>461 Hawthorn Road</t>
        </is>
      </c>
      <c r="F254" s="128" t="n"/>
      <c r="G254" s="128" t="n"/>
      <c r="H254" s="129" t="n">
        <v>6.8</v>
      </c>
      <c r="I254" s="38" t="inlineStr">
        <is>
          <t>Maria Lopez</t>
        </is>
      </c>
      <c r="J254" s="98">
        <f>IF(A254="","",IF(AND(F254&lt;&gt;"",G254&lt;&gt;""),MAX(0,G254-F254),N(H254)))</f>
        <v/>
      </c>
      <c r="K254" s="55">
        <f>IF(A254="","",ROUND(J254*MileRate,2))</f>
        <v/>
      </c>
      <c r="L254" s="51">
        <f>IF(A254="","",DATE(YEAR(A254),MONTH(A254),1))</f>
        <v/>
      </c>
    </row>
    <row r="255">
      <c r="A255" s="47" t="n">
        <v>46255</v>
      </c>
      <c r="B255" s="38" t="inlineStr">
        <is>
          <t>J-0248</t>
        </is>
      </c>
      <c r="C255" s="38" t="inlineStr">
        <is>
          <t>Job: Commercial Clean</t>
        </is>
      </c>
      <c r="D255" s="38" t="inlineStr">
        <is>
          <t>Home base</t>
        </is>
      </c>
      <c r="E255" s="38" t="inlineStr">
        <is>
          <t>957 Hawthorn Road</t>
        </is>
      </c>
      <c r="F255" s="128" t="n">
        <v>49471</v>
      </c>
      <c r="G255" s="128" t="n">
        <v>49489</v>
      </c>
      <c r="H255" s="129" t="n"/>
      <c r="I255" s="38" t="inlineStr">
        <is>
          <t>Kevin Osei</t>
        </is>
      </c>
      <c r="J255" s="98">
        <f>IF(A255="","",IF(AND(F255&lt;&gt;"",G255&lt;&gt;""),MAX(0,G255-F255),N(H255)))</f>
        <v/>
      </c>
      <c r="K255" s="55">
        <f>IF(A255="","",ROUND(J255*MileRate,2))</f>
        <v/>
      </c>
      <c r="L255" s="51">
        <f>IF(A255="","",DATE(YEAR(A255),MONTH(A255),1))</f>
        <v/>
      </c>
    </row>
    <row r="256">
      <c r="A256" s="47" t="n">
        <v>46255</v>
      </c>
      <c r="B256" s="38" t="inlineStr">
        <is>
          <t>J-0249</t>
        </is>
      </c>
      <c r="C256" s="38" t="inlineStr">
        <is>
          <t>Job: Standard Clean</t>
        </is>
      </c>
      <c r="D256" s="38" t="inlineStr">
        <is>
          <t>Home base</t>
        </is>
      </c>
      <c r="E256" s="38" t="inlineStr">
        <is>
          <t>102 Hawthorn Road</t>
        </is>
      </c>
      <c r="F256" s="128" t="n">
        <v>48180</v>
      </c>
      <c r="G256" s="128" t="n">
        <v>48190</v>
      </c>
      <c r="H256" s="129" t="n"/>
      <c r="I256" s="38" t="inlineStr">
        <is>
          <t>Dana Whitfield</t>
        </is>
      </c>
      <c r="J256" s="98">
        <f>IF(A256="","",IF(AND(F256&lt;&gt;"",G256&lt;&gt;""),MAX(0,G256-F256),N(H256)))</f>
        <v/>
      </c>
      <c r="K256" s="55">
        <f>IF(A256="","",ROUND(J256*MileRate,2))</f>
        <v/>
      </c>
      <c r="L256" s="51">
        <f>IF(A256="","",DATE(YEAR(A256),MONTH(A256),1))</f>
        <v/>
      </c>
    </row>
    <row r="257">
      <c r="A257" s="47" t="n">
        <v>46255</v>
      </c>
      <c r="B257" s="38" t="inlineStr">
        <is>
          <t>J-0250</t>
        </is>
      </c>
      <c r="C257" s="38" t="inlineStr">
        <is>
          <t>Job: Commercial Clean</t>
        </is>
      </c>
      <c r="D257" s="38" t="inlineStr">
        <is>
          <t>Home base</t>
        </is>
      </c>
      <c r="E257" s="38" t="inlineStr">
        <is>
          <t>738 Cedar Court</t>
        </is>
      </c>
      <c r="F257" s="128" t="n"/>
      <c r="G257" s="128" t="n"/>
      <c r="H257" s="129" t="n">
        <v>12.5</v>
      </c>
      <c r="I257" s="38" t="inlineStr">
        <is>
          <t>Kevin Osei</t>
        </is>
      </c>
      <c r="J257" s="98">
        <f>IF(A257="","",IF(AND(F257&lt;&gt;"",G257&lt;&gt;""),MAX(0,G257-F257),N(H257)))</f>
        <v/>
      </c>
      <c r="K257" s="55">
        <f>IF(A257="","",ROUND(J257*MileRate,2))</f>
        <v/>
      </c>
      <c r="L257" s="51">
        <f>IF(A257="","",DATE(YEAR(A257),MONTH(A257),1))</f>
        <v/>
      </c>
    </row>
    <row r="258">
      <c r="A258" s="47" t="n">
        <v>46259</v>
      </c>
      <c r="B258" s="38" t="inlineStr">
        <is>
          <t>J-0251</t>
        </is>
      </c>
      <c r="C258" s="38" t="inlineStr">
        <is>
          <t>Job: Standard Clean</t>
        </is>
      </c>
      <c r="D258" s="38" t="inlineStr">
        <is>
          <t>Home base</t>
        </is>
      </c>
      <c r="E258" s="38" t="inlineStr">
        <is>
          <t>497 Aspen Drive</t>
        </is>
      </c>
      <c r="F258" s="128" t="n"/>
      <c r="G258" s="128" t="n"/>
      <c r="H258" s="129" t="n">
        <v>11.3</v>
      </c>
      <c r="I258" s="38" t="inlineStr">
        <is>
          <t>Maria Lopez</t>
        </is>
      </c>
      <c r="J258" s="98">
        <f>IF(A258="","",IF(AND(F258&lt;&gt;"",G258&lt;&gt;""),MAX(0,G258-F258),N(H258)))</f>
        <v/>
      </c>
      <c r="K258" s="55">
        <f>IF(A258="","",ROUND(J258*MileRate,2))</f>
        <v/>
      </c>
      <c r="L258" s="51">
        <f>IF(A258="","",DATE(YEAR(A258),MONTH(A258),1))</f>
        <v/>
      </c>
    </row>
    <row r="259">
      <c r="A259" s="47" t="n">
        <v>46261</v>
      </c>
      <c r="B259" s="38" t="inlineStr">
        <is>
          <t>J-0252</t>
        </is>
      </c>
      <c r="C259" s="38" t="inlineStr">
        <is>
          <t>Job: Airbnb Turnover</t>
        </is>
      </c>
      <c r="D259" s="38" t="inlineStr">
        <is>
          <t>Home base</t>
        </is>
      </c>
      <c r="E259" s="38" t="inlineStr">
        <is>
          <t>654 Willow Way</t>
        </is>
      </c>
      <c r="F259" s="128" t="n"/>
      <c r="G259" s="128" t="n"/>
      <c r="H259" s="129" t="n">
        <v>6.3</v>
      </c>
      <c r="I259" s="38" t="inlineStr">
        <is>
          <t>Kevin Osei</t>
        </is>
      </c>
      <c r="J259" s="98">
        <f>IF(A259="","",IF(AND(F259&lt;&gt;"",G259&lt;&gt;""),MAX(0,G259-F259),N(H259)))</f>
        <v/>
      </c>
      <c r="K259" s="55">
        <f>IF(A259="","",ROUND(J259*MileRate,2))</f>
        <v/>
      </c>
      <c r="L259" s="51">
        <f>IF(A259="","",DATE(YEAR(A259),MONTH(A259),1))</f>
        <v/>
      </c>
    </row>
    <row r="260">
      <c r="A260" s="47" t="n">
        <v>46261</v>
      </c>
      <c r="B260" s="38" t="inlineStr">
        <is>
          <t>J-0253</t>
        </is>
      </c>
      <c r="C260" s="38" t="inlineStr">
        <is>
          <t>Job: Airbnb Turnover</t>
        </is>
      </c>
      <c r="D260" s="38" t="inlineStr">
        <is>
          <t>Home base</t>
        </is>
      </c>
      <c r="E260" s="38" t="inlineStr">
        <is>
          <t>192 Birch Lane</t>
        </is>
      </c>
      <c r="F260" s="128" t="n"/>
      <c r="G260" s="128" t="n"/>
      <c r="H260" s="129" t="n">
        <v>16.7</v>
      </c>
      <c r="I260" s="38" t="inlineStr">
        <is>
          <t>Kevin Osei</t>
        </is>
      </c>
      <c r="J260" s="98">
        <f>IF(A260="","",IF(AND(F260&lt;&gt;"",G260&lt;&gt;""),MAX(0,G260-F260),N(H260)))</f>
        <v/>
      </c>
      <c r="K260" s="55">
        <f>IF(A260="","",ROUND(J260*MileRate,2))</f>
        <v/>
      </c>
      <c r="L260" s="51">
        <f>IF(A260="","",DATE(YEAR(A260),MONTH(A260),1))</f>
        <v/>
      </c>
    </row>
    <row r="261">
      <c r="A261" s="47" t="n">
        <v>46262</v>
      </c>
      <c r="B261" s="38" t="inlineStr">
        <is>
          <t>J-0254</t>
        </is>
      </c>
      <c r="C261" s="38" t="inlineStr">
        <is>
          <t>Job: Commercial Clean</t>
        </is>
      </c>
      <c r="D261" s="38" t="inlineStr">
        <is>
          <t>Home base</t>
        </is>
      </c>
      <c r="E261" s="38" t="inlineStr">
        <is>
          <t>738 Cedar Court</t>
        </is>
      </c>
      <c r="F261" s="128" t="n"/>
      <c r="G261" s="128" t="n"/>
      <c r="H261" s="129" t="n">
        <v>8</v>
      </c>
      <c r="I261" s="38" t="inlineStr">
        <is>
          <t>Kevin Osei</t>
        </is>
      </c>
      <c r="J261" s="98">
        <f>IF(A261="","",IF(AND(F261&lt;&gt;"",G261&lt;&gt;""),MAX(0,G261-F261),N(H261)))</f>
        <v/>
      </c>
      <c r="K261" s="55">
        <f>IF(A261="","",ROUND(J261*MileRate,2))</f>
        <v/>
      </c>
      <c r="L261" s="51">
        <f>IF(A261="","",DATE(YEAR(A261),MONTH(A261),1))</f>
        <v/>
      </c>
    </row>
    <row r="262">
      <c r="A262" s="47" t="n">
        <v>46262</v>
      </c>
      <c r="B262" s="38" t="inlineStr">
        <is>
          <t>J-0255</t>
        </is>
      </c>
      <c r="C262" s="38" t="inlineStr">
        <is>
          <t>Job: Commercial Clean</t>
        </is>
      </c>
      <c r="D262" s="38" t="inlineStr">
        <is>
          <t>Home base</t>
        </is>
      </c>
      <c r="E262" s="38" t="inlineStr">
        <is>
          <t>957 Hawthorn Road</t>
        </is>
      </c>
      <c r="F262" s="128" t="n"/>
      <c r="G262" s="128" t="n"/>
      <c r="H262" s="129" t="n">
        <v>14.4</v>
      </c>
      <c r="I262" s="38" t="inlineStr">
        <is>
          <t>Kevin Osei</t>
        </is>
      </c>
      <c r="J262" s="98">
        <f>IF(A262="","",IF(AND(F262&lt;&gt;"",G262&lt;&gt;""),MAX(0,G262-F262),N(H262)))</f>
        <v/>
      </c>
      <c r="K262" s="55">
        <f>IF(A262="","",ROUND(J262*MileRate,2))</f>
        <v/>
      </c>
      <c r="L262" s="51">
        <f>IF(A262="","",DATE(YEAR(A262),MONTH(A262),1))</f>
        <v/>
      </c>
    </row>
    <row r="263">
      <c r="A263" s="47" t="n">
        <v>46262</v>
      </c>
      <c r="B263" s="38" t="inlineStr">
        <is>
          <t>J-0256</t>
        </is>
      </c>
      <c r="C263" s="38" t="inlineStr">
        <is>
          <t>Job: Standard Clean</t>
        </is>
      </c>
      <c r="D263" s="38" t="inlineStr">
        <is>
          <t>Home base</t>
        </is>
      </c>
      <c r="E263" s="38" t="inlineStr">
        <is>
          <t>84 Hawthorn Road</t>
        </is>
      </c>
      <c r="F263" s="128" t="n"/>
      <c r="G263" s="128" t="n"/>
      <c r="H263" s="129" t="n">
        <v>11.6</v>
      </c>
      <c r="I263" s="38" t="inlineStr">
        <is>
          <t>Dana Whitfield</t>
        </is>
      </c>
      <c r="J263" s="98">
        <f>IF(A263="","",IF(AND(F263&lt;&gt;"",G263&lt;&gt;""),MAX(0,G263-F263),N(H263)))</f>
        <v/>
      </c>
      <c r="K263" s="55">
        <f>IF(A263="","",ROUND(J263*MileRate,2))</f>
        <v/>
      </c>
      <c r="L263" s="51">
        <f>IF(A263="","",DATE(YEAR(A263),MONTH(A263),1))</f>
        <v/>
      </c>
    </row>
    <row r="264">
      <c r="A264" s="47" t="n">
        <v>46263</v>
      </c>
      <c r="B264" s="38" t="inlineStr">
        <is>
          <t>J-0257</t>
        </is>
      </c>
      <c r="C264" s="38" t="inlineStr">
        <is>
          <t>Job: Standard Clean</t>
        </is>
      </c>
      <c r="D264" s="38" t="inlineStr">
        <is>
          <t>Home base</t>
        </is>
      </c>
      <c r="E264" s="38" t="inlineStr">
        <is>
          <t>21 Maple Avenue</t>
        </is>
      </c>
      <c r="F264" s="128" t="n"/>
      <c r="G264" s="128" t="n"/>
      <c r="H264" s="129" t="n">
        <v>19.6</v>
      </c>
      <c r="I264" s="38" t="inlineStr">
        <is>
          <t>Maria Lopez</t>
        </is>
      </c>
      <c r="J264" s="98">
        <f>IF(A264="","",IF(AND(F264&lt;&gt;"",G264&lt;&gt;""),MAX(0,G264-F264),N(H264)))</f>
        <v/>
      </c>
      <c r="K264" s="55">
        <f>IF(A264="","",ROUND(J264*MileRate,2))</f>
        <v/>
      </c>
      <c r="L264" s="51">
        <f>IF(A264="","",DATE(YEAR(A264),MONTH(A264),1))</f>
        <v/>
      </c>
    </row>
    <row r="265">
      <c r="A265" s="47" t="n">
        <v>46264</v>
      </c>
      <c r="B265" s="38" t="inlineStr">
        <is>
          <t>J-0258</t>
        </is>
      </c>
      <c r="C265" s="38" t="inlineStr">
        <is>
          <t>Job: Airbnb Turnover</t>
        </is>
      </c>
      <c r="D265" s="38" t="inlineStr">
        <is>
          <t>Home base</t>
        </is>
      </c>
      <c r="E265" s="38" t="inlineStr">
        <is>
          <t>666 Juniper Street</t>
        </is>
      </c>
      <c r="F265" s="128" t="n"/>
      <c r="G265" s="128" t="n"/>
      <c r="H265" s="129" t="n">
        <v>17.9</v>
      </c>
      <c r="I265" s="38" t="inlineStr">
        <is>
          <t>Kevin Osei</t>
        </is>
      </c>
      <c r="J265" s="98">
        <f>IF(A265="","",IF(AND(F265&lt;&gt;"",G265&lt;&gt;""),MAX(0,G265-F265),N(H265)))</f>
        <v/>
      </c>
      <c r="K265" s="55">
        <f>IF(A265="","",ROUND(J265*MileRate,2))</f>
        <v/>
      </c>
      <c r="L265" s="51">
        <f>IF(A265="","",DATE(YEAR(A265),MONTH(A265),1))</f>
        <v/>
      </c>
    </row>
    <row r="266">
      <c r="A266" s="47" t="n">
        <v>46264</v>
      </c>
      <c r="B266" s="38" t="inlineStr">
        <is>
          <t>J-0259</t>
        </is>
      </c>
      <c r="C266" s="38" t="inlineStr">
        <is>
          <t>Job: Airbnb Turnover</t>
        </is>
      </c>
      <c r="D266" s="38" t="inlineStr">
        <is>
          <t>Home base</t>
        </is>
      </c>
      <c r="E266" s="38" t="inlineStr">
        <is>
          <t>412 Linden Place</t>
        </is>
      </c>
      <c r="F266" s="128" t="n"/>
      <c r="G266" s="128" t="n"/>
      <c r="H266" s="129" t="n">
        <v>15</v>
      </c>
      <c r="I266" s="38" t="inlineStr">
        <is>
          <t>Kevin Osei</t>
        </is>
      </c>
      <c r="J266" s="98">
        <f>IF(A266="","",IF(AND(F266&lt;&gt;"",G266&lt;&gt;""),MAX(0,G266-F266),N(H266)))</f>
        <v/>
      </c>
      <c r="K266" s="55">
        <f>IF(A266="","",ROUND(J266*MileRate,2))</f>
        <v/>
      </c>
      <c r="L266" s="51">
        <f>IF(A266="","",DATE(YEAR(A266),MONTH(A266),1))</f>
        <v/>
      </c>
    </row>
    <row r="267">
      <c r="A267" s="47" t="n">
        <v>46265</v>
      </c>
      <c r="B267" s="38" t="inlineStr">
        <is>
          <t>J-0260</t>
        </is>
      </c>
      <c r="C267" s="38" t="inlineStr">
        <is>
          <t>Job: Standard Clean</t>
        </is>
      </c>
      <c r="D267" s="38" t="inlineStr">
        <is>
          <t>Home base</t>
        </is>
      </c>
      <c r="E267" s="38" t="inlineStr">
        <is>
          <t>952 Poplar Trail</t>
        </is>
      </c>
      <c r="F267" s="128" t="n"/>
      <c r="G267" s="128" t="n"/>
      <c r="H267" s="129" t="n">
        <v>13</v>
      </c>
      <c r="I267" s="38" t="inlineStr">
        <is>
          <t>Maria Lopez</t>
        </is>
      </c>
      <c r="J267" s="98">
        <f>IF(A267="","",IF(AND(F267&lt;&gt;"",G267&lt;&gt;""),MAX(0,G267-F267),N(H267)))</f>
        <v/>
      </c>
      <c r="K267" s="55">
        <f>IF(A267="","",ROUND(J267*MileRate,2))</f>
        <v/>
      </c>
      <c r="L267" s="51">
        <f>IF(A267="","",DATE(YEAR(A267),MONTH(A267),1))</f>
        <v/>
      </c>
    </row>
    <row r="268">
      <c r="A268" s="47" t="n">
        <v>46266</v>
      </c>
      <c r="B268" s="38" t="inlineStr">
        <is>
          <t>J-0261</t>
        </is>
      </c>
      <c r="C268" s="38" t="inlineStr">
        <is>
          <t>Job: Standard Clean</t>
        </is>
      </c>
      <c r="D268" s="38" t="inlineStr">
        <is>
          <t>Home base</t>
        </is>
      </c>
      <c r="E268" s="38" t="inlineStr">
        <is>
          <t>497 Aspen Drive</t>
        </is>
      </c>
      <c r="F268" s="128" t="n"/>
      <c r="G268" s="128" t="n"/>
      <c r="H268" s="129" t="n">
        <v>14.4</v>
      </c>
      <c r="I268" s="38" t="inlineStr">
        <is>
          <t>Maria Lopez</t>
        </is>
      </c>
      <c r="J268" s="98">
        <f>IF(A268="","",IF(AND(F268&lt;&gt;"",G268&lt;&gt;""),MAX(0,G268-F268),N(H268)))</f>
        <v/>
      </c>
      <c r="K268" s="55">
        <f>IF(A268="","",ROUND(J268*MileRate,2))</f>
        <v/>
      </c>
      <c r="L268" s="51">
        <f>IF(A268="","",DATE(YEAR(A268),MONTH(A268),1))</f>
        <v/>
      </c>
    </row>
    <row r="269">
      <c r="A269" s="47" t="n">
        <v>46267</v>
      </c>
      <c r="B269" s="38" t="inlineStr">
        <is>
          <t>J-0262</t>
        </is>
      </c>
      <c r="C269" s="38" t="inlineStr">
        <is>
          <t>Job: Standard Clean</t>
        </is>
      </c>
      <c r="D269" s="38" t="inlineStr">
        <is>
          <t>Home base</t>
        </is>
      </c>
      <c r="E269" s="38" t="inlineStr">
        <is>
          <t>675 Aspen Drive</t>
        </is>
      </c>
      <c r="F269" s="128" t="n"/>
      <c r="G269" s="128" t="n"/>
      <c r="H269" s="129" t="n">
        <v>15.6</v>
      </c>
      <c r="I269" s="38" t="inlineStr">
        <is>
          <t>Dana Whitfield</t>
        </is>
      </c>
      <c r="J269" s="98">
        <f>IF(A269="","",IF(AND(F269&lt;&gt;"",G269&lt;&gt;""),MAX(0,G269-F269),N(H269)))</f>
        <v/>
      </c>
      <c r="K269" s="55">
        <f>IF(A269="","",ROUND(J269*MileRate,2))</f>
        <v/>
      </c>
      <c r="L269" s="51">
        <f>IF(A269="","",DATE(YEAR(A269),MONTH(A269),1))</f>
        <v/>
      </c>
    </row>
    <row r="270">
      <c r="A270" s="47" t="n">
        <v>46269</v>
      </c>
      <c r="B270" s="38" t="inlineStr">
        <is>
          <t>J-0264</t>
        </is>
      </c>
      <c r="C270" s="38" t="inlineStr">
        <is>
          <t>Job: Commercial Clean</t>
        </is>
      </c>
      <c r="D270" s="38" t="inlineStr">
        <is>
          <t>Home base</t>
        </is>
      </c>
      <c r="E270" s="38" t="inlineStr">
        <is>
          <t>738 Cedar Court</t>
        </is>
      </c>
      <c r="F270" s="128" t="n"/>
      <c r="G270" s="128" t="n"/>
      <c r="H270" s="129" t="n">
        <v>22.1</v>
      </c>
      <c r="I270" s="38" t="inlineStr">
        <is>
          <t>Kevin Osei</t>
        </is>
      </c>
      <c r="J270" s="98">
        <f>IF(A270="","",IF(AND(F270&lt;&gt;"",G270&lt;&gt;""),MAX(0,G270-F270),N(H270)))</f>
        <v/>
      </c>
      <c r="K270" s="55">
        <f>IF(A270="","",ROUND(J270*MileRate,2))</f>
        <v/>
      </c>
      <c r="L270" s="51">
        <f>IF(A270="","",DATE(YEAR(A270),MONTH(A270),1))</f>
        <v/>
      </c>
    </row>
    <row r="271">
      <c r="A271" s="47" t="n">
        <v>46269</v>
      </c>
      <c r="B271" s="38" t="inlineStr">
        <is>
          <t>J-0265</t>
        </is>
      </c>
      <c r="C271" s="38" t="inlineStr">
        <is>
          <t>Job: Standard Clean</t>
        </is>
      </c>
      <c r="D271" s="38" t="inlineStr">
        <is>
          <t>Home base</t>
        </is>
      </c>
      <c r="E271" s="38" t="inlineStr">
        <is>
          <t>461 Hawthorn Road</t>
        </is>
      </c>
      <c r="F271" s="128" t="n"/>
      <c r="G271" s="128" t="n"/>
      <c r="H271" s="129" t="n">
        <v>6.4</v>
      </c>
      <c r="I271" s="38" t="inlineStr">
        <is>
          <t>Maria Lopez</t>
        </is>
      </c>
      <c r="J271" s="98">
        <f>IF(A271="","",IF(AND(F271&lt;&gt;"",G271&lt;&gt;""),MAX(0,G271-F271),N(H271)))</f>
        <v/>
      </c>
      <c r="K271" s="55">
        <f>IF(A271="","",ROUND(J271*MileRate,2))</f>
        <v/>
      </c>
      <c r="L271" s="51">
        <f>IF(A271="","",DATE(YEAR(A271),MONTH(A271),1))</f>
        <v/>
      </c>
    </row>
    <row r="272">
      <c r="A272" s="47" t="n">
        <v>46269</v>
      </c>
      <c r="B272" s="38" t="inlineStr">
        <is>
          <t>J-0266</t>
        </is>
      </c>
      <c r="C272" s="38" t="inlineStr">
        <is>
          <t>Job: Commercial Clean</t>
        </is>
      </c>
      <c r="D272" s="38" t="inlineStr">
        <is>
          <t>Home base</t>
        </is>
      </c>
      <c r="E272" s="38" t="inlineStr">
        <is>
          <t>957 Hawthorn Road</t>
        </is>
      </c>
      <c r="F272" s="128" t="n"/>
      <c r="G272" s="128" t="n"/>
      <c r="H272" s="129" t="n">
        <v>6.6</v>
      </c>
      <c r="I272" s="38" t="inlineStr">
        <is>
          <t>Kevin Osei</t>
        </is>
      </c>
      <c r="J272" s="98">
        <f>IF(A272="","",IF(AND(F272&lt;&gt;"",G272&lt;&gt;""),MAX(0,G272-F272),N(H272)))</f>
        <v/>
      </c>
      <c r="K272" s="55">
        <f>IF(A272="","",ROUND(J272*MileRate,2))</f>
        <v/>
      </c>
      <c r="L272" s="51">
        <f>IF(A272="","",DATE(YEAR(A272),MONTH(A272),1))</f>
        <v/>
      </c>
    </row>
    <row r="273">
      <c r="A273" s="47" t="n">
        <v>46271</v>
      </c>
      <c r="B273" s="38" t="inlineStr">
        <is>
          <t>J-0267</t>
        </is>
      </c>
      <c r="C273" s="38" t="inlineStr">
        <is>
          <t>Job: Standard Clean</t>
        </is>
      </c>
      <c r="D273" s="38" t="inlineStr">
        <is>
          <t>Home base</t>
        </is>
      </c>
      <c r="E273" s="38" t="inlineStr">
        <is>
          <t>22 Cedar Court</t>
        </is>
      </c>
      <c r="F273" s="128" t="n"/>
      <c r="G273" s="128" t="n"/>
      <c r="H273" s="129" t="n">
        <v>17.2</v>
      </c>
      <c r="I273" s="38" t="inlineStr">
        <is>
          <t>Maria Lopez</t>
        </is>
      </c>
      <c r="J273" s="98">
        <f>IF(A273="","",IF(AND(F273&lt;&gt;"",G273&lt;&gt;""),MAX(0,G273-F273),N(H273)))</f>
        <v/>
      </c>
      <c r="K273" s="55">
        <f>IF(A273="","",ROUND(J273*MileRate,2))</f>
        <v/>
      </c>
      <c r="L273" s="51">
        <f>IF(A273="","",DATE(YEAR(A273),MONTH(A273),1))</f>
        <v/>
      </c>
    </row>
    <row r="274">
      <c r="A274" s="47" t="n">
        <v>46272</v>
      </c>
      <c r="B274" s="38" t="inlineStr">
        <is>
          <t>J-0268</t>
        </is>
      </c>
      <c r="C274" s="38" t="inlineStr">
        <is>
          <t>Job: Deep Clean</t>
        </is>
      </c>
      <c r="D274" s="38" t="inlineStr">
        <is>
          <t>Home base</t>
        </is>
      </c>
      <c r="E274" s="38" t="inlineStr">
        <is>
          <t>853 Alder Lane</t>
        </is>
      </c>
      <c r="F274" s="128" t="n"/>
      <c r="G274" s="128" t="n"/>
      <c r="H274" s="129" t="n">
        <v>9.4</v>
      </c>
      <c r="I274" s="38" t="inlineStr">
        <is>
          <t>Maria Lopez</t>
        </is>
      </c>
      <c r="J274" s="98">
        <f>IF(A274="","",IF(AND(F274&lt;&gt;"",G274&lt;&gt;""),MAX(0,G274-F274),N(H274)))</f>
        <v/>
      </c>
      <c r="K274" s="55">
        <f>IF(A274="","",ROUND(J274*MileRate,2))</f>
        <v/>
      </c>
      <c r="L274" s="51">
        <f>IF(A274="","",DATE(YEAR(A274),MONTH(A274),1))</f>
        <v/>
      </c>
    </row>
    <row r="275">
      <c r="A275" s="47" t="n">
        <v>46272</v>
      </c>
      <c r="B275" s="38" t="inlineStr">
        <is>
          <t>J-0269</t>
        </is>
      </c>
      <c r="C275" s="38" t="inlineStr">
        <is>
          <t>Job: Airbnb Turnover</t>
        </is>
      </c>
      <c r="D275" s="38" t="inlineStr">
        <is>
          <t>Home base</t>
        </is>
      </c>
      <c r="E275" s="38" t="inlineStr">
        <is>
          <t>192 Birch Lane</t>
        </is>
      </c>
      <c r="F275" s="128" t="n"/>
      <c r="G275" s="128" t="n"/>
      <c r="H275" s="129" t="n">
        <v>21.1</v>
      </c>
      <c r="I275" s="38" t="inlineStr">
        <is>
          <t>Kevin Osei</t>
        </is>
      </c>
      <c r="J275" s="98">
        <f>IF(A275="","",IF(AND(F275&lt;&gt;"",G275&lt;&gt;""),MAX(0,G275-F275),N(H275)))</f>
        <v/>
      </c>
      <c r="K275" s="55">
        <f>IF(A275="","",ROUND(J275*MileRate,2))</f>
        <v/>
      </c>
      <c r="L275" s="51">
        <f>IF(A275="","",DATE(YEAR(A275),MONTH(A275),1))</f>
        <v/>
      </c>
    </row>
    <row r="276">
      <c r="A276" s="47" t="n">
        <v>46273</v>
      </c>
      <c r="B276" s="38" t="inlineStr">
        <is>
          <t>J-0270</t>
        </is>
      </c>
      <c r="C276" s="38" t="inlineStr">
        <is>
          <t>Job: Standard Clean</t>
        </is>
      </c>
      <c r="D276" s="38" t="inlineStr">
        <is>
          <t>Home base</t>
        </is>
      </c>
      <c r="E276" s="38" t="inlineStr">
        <is>
          <t>497 Aspen Drive</t>
        </is>
      </c>
      <c r="F276" s="128" t="n"/>
      <c r="G276" s="128" t="n"/>
      <c r="H276" s="129" t="n">
        <v>18.5</v>
      </c>
      <c r="I276" s="38" t="inlineStr">
        <is>
          <t>Maria Lopez</t>
        </is>
      </c>
      <c r="J276" s="98">
        <f>IF(A276="","",IF(AND(F276&lt;&gt;"",G276&lt;&gt;""),MAX(0,G276-F276),N(H276)))</f>
        <v/>
      </c>
      <c r="K276" s="55">
        <f>IF(A276="","",ROUND(J276*MileRate,2))</f>
        <v/>
      </c>
      <c r="L276" s="51">
        <f>IF(A276="","",DATE(YEAR(A276),MONTH(A276),1))</f>
        <v/>
      </c>
    </row>
    <row r="277">
      <c r="A277" s="47" t="n">
        <v>46276</v>
      </c>
      <c r="B277" s="38" t="inlineStr">
        <is>
          <t>J-0271</t>
        </is>
      </c>
      <c r="C277" s="38" t="inlineStr">
        <is>
          <t>Job: Commercial Clean</t>
        </is>
      </c>
      <c r="D277" s="38" t="inlineStr">
        <is>
          <t>Home base</t>
        </is>
      </c>
      <c r="E277" s="38" t="inlineStr">
        <is>
          <t>738 Cedar Court</t>
        </is>
      </c>
      <c r="F277" s="128" t="n"/>
      <c r="G277" s="128" t="n"/>
      <c r="H277" s="129" t="n">
        <v>14.2</v>
      </c>
      <c r="I277" s="38" t="inlineStr">
        <is>
          <t>Kevin Osei</t>
        </is>
      </c>
      <c r="J277" s="98">
        <f>IF(A277="","",IF(AND(F277&lt;&gt;"",G277&lt;&gt;""),MAX(0,G277-F277),N(H277)))</f>
        <v/>
      </c>
      <c r="K277" s="55">
        <f>IF(A277="","",ROUND(J277*MileRate,2))</f>
        <v/>
      </c>
      <c r="L277" s="51">
        <f>IF(A277="","",DATE(YEAR(A277),MONTH(A277),1))</f>
        <v/>
      </c>
    </row>
    <row r="278">
      <c r="A278" s="47" t="n">
        <v>46276</v>
      </c>
      <c r="B278" s="38" t="inlineStr">
        <is>
          <t>J-0272</t>
        </is>
      </c>
      <c r="C278" s="38" t="inlineStr">
        <is>
          <t>Job: Commercial Clean</t>
        </is>
      </c>
      <c r="D278" s="38" t="inlineStr">
        <is>
          <t>Home base</t>
        </is>
      </c>
      <c r="E278" s="38" t="inlineStr">
        <is>
          <t>957 Hawthorn Road</t>
        </is>
      </c>
      <c r="F278" s="128" t="n"/>
      <c r="G278" s="128" t="n"/>
      <c r="H278" s="129" t="n">
        <v>16</v>
      </c>
      <c r="I278" s="38" t="inlineStr">
        <is>
          <t>Kevin Osei</t>
        </is>
      </c>
      <c r="J278" s="98">
        <f>IF(A278="","",IF(AND(F278&lt;&gt;"",G278&lt;&gt;""),MAX(0,G278-F278),N(H278)))</f>
        <v/>
      </c>
      <c r="K278" s="55">
        <f>IF(A278="","",ROUND(J278*MileRate,2))</f>
        <v/>
      </c>
      <c r="L278" s="51">
        <f>IF(A278="","",DATE(YEAR(A278),MONTH(A278),1))</f>
        <v/>
      </c>
    </row>
    <row r="279">
      <c r="A279" s="47" t="n">
        <v>46277</v>
      </c>
      <c r="B279" s="38" t="inlineStr">
        <is>
          <t>J-0273</t>
        </is>
      </c>
      <c r="C279" s="38" t="inlineStr">
        <is>
          <t>Job: Airbnb Turnover</t>
        </is>
      </c>
      <c r="D279" s="38" t="inlineStr">
        <is>
          <t>Home base</t>
        </is>
      </c>
      <c r="E279" s="38" t="inlineStr">
        <is>
          <t>412 Linden Place</t>
        </is>
      </c>
      <c r="F279" s="128" t="n"/>
      <c r="G279" s="128" t="n"/>
      <c r="H279" s="129" t="n">
        <v>23.8</v>
      </c>
      <c r="I279" s="38" t="inlineStr">
        <is>
          <t>Kevin Osei</t>
        </is>
      </c>
      <c r="J279" s="98">
        <f>IF(A279="","",IF(AND(F279&lt;&gt;"",G279&lt;&gt;""),MAX(0,G279-F279),N(H279)))</f>
        <v/>
      </c>
      <c r="K279" s="55">
        <f>IF(A279="","",ROUND(J279*MileRate,2))</f>
        <v/>
      </c>
      <c r="L279" s="51">
        <f>IF(A279="","",DATE(YEAR(A279),MONTH(A279),1))</f>
        <v/>
      </c>
    </row>
    <row r="280">
      <c r="A280" s="47" t="n">
        <v>46277</v>
      </c>
      <c r="B280" s="38" t="inlineStr">
        <is>
          <t>J-0274</t>
        </is>
      </c>
      <c r="C280" s="38" t="inlineStr">
        <is>
          <t>Job: Standard Clean</t>
        </is>
      </c>
      <c r="D280" s="38" t="inlineStr">
        <is>
          <t>Home base</t>
        </is>
      </c>
      <c r="E280" s="38" t="inlineStr">
        <is>
          <t>21 Maple Avenue</t>
        </is>
      </c>
      <c r="F280" s="128" t="n">
        <v>48091</v>
      </c>
      <c r="G280" s="128" t="n">
        <v>48112</v>
      </c>
      <c r="H280" s="129" t="n"/>
      <c r="I280" s="38" t="inlineStr">
        <is>
          <t>Maria Lopez</t>
        </is>
      </c>
      <c r="J280" s="98">
        <f>IF(A280="","",IF(AND(F280&lt;&gt;"",G280&lt;&gt;""),MAX(0,G280-F280),N(H280)))</f>
        <v/>
      </c>
      <c r="K280" s="55">
        <f>IF(A280="","",ROUND(J280*MileRate,2))</f>
        <v/>
      </c>
      <c r="L280" s="51">
        <f>IF(A280="","",DATE(YEAR(A280),MONTH(A280),1))</f>
        <v/>
      </c>
    </row>
    <row r="281">
      <c r="A281" s="47" t="n">
        <v>46277</v>
      </c>
      <c r="B281" s="38" t="inlineStr">
        <is>
          <t>J-0275</t>
        </is>
      </c>
      <c r="C281" s="38" t="inlineStr">
        <is>
          <t>Job: Commercial Clean</t>
        </is>
      </c>
      <c r="D281" s="38" t="inlineStr">
        <is>
          <t>Home base</t>
        </is>
      </c>
      <c r="E281" s="38" t="inlineStr">
        <is>
          <t>338 Cedar Court</t>
        </is>
      </c>
      <c r="F281" s="128" t="n"/>
      <c r="G281" s="128" t="n"/>
      <c r="H281" s="129" t="n">
        <v>15.6</v>
      </c>
      <c r="I281" s="38" t="inlineStr">
        <is>
          <t>Dana Whitfield</t>
        </is>
      </c>
      <c r="J281" s="98">
        <f>IF(A281="","",IF(AND(F281&lt;&gt;"",G281&lt;&gt;""),MAX(0,G281-F281),N(H281)))</f>
        <v/>
      </c>
      <c r="K281" s="55">
        <f>IF(A281="","",ROUND(J281*MileRate,2))</f>
        <v/>
      </c>
      <c r="L281" s="51">
        <f>IF(A281="","",DATE(YEAR(A281),MONTH(A281),1))</f>
        <v/>
      </c>
    </row>
    <row r="282">
      <c r="A282" s="47" t="n">
        <v>46279</v>
      </c>
      <c r="B282" s="38" t="inlineStr">
        <is>
          <t>J-0276</t>
        </is>
      </c>
      <c r="C282" s="38" t="inlineStr">
        <is>
          <t>Job: Standard Clean</t>
        </is>
      </c>
      <c r="D282" s="38" t="inlineStr">
        <is>
          <t>Home base</t>
        </is>
      </c>
      <c r="E282" s="38" t="inlineStr">
        <is>
          <t>667 Willow Way</t>
        </is>
      </c>
      <c r="F282" s="128" t="n"/>
      <c r="G282" s="128" t="n"/>
      <c r="H282" s="129" t="n">
        <v>13.7</v>
      </c>
      <c r="I282" s="38" t="inlineStr">
        <is>
          <t>Maria Lopez</t>
        </is>
      </c>
      <c r="J282" s="98">
        <f>IF(A282="","",IF(AND(F282&lt;&gt;"",G282&lt;&gt;""),MAX(0,G282-F282),N(H282)))</f>
        <v/>
      </c>
      <c r="K282" s="55">
        <f>IF(A282="","",ROUND(J282*MileRate,2))</f>
        <v/>
      </c>
      <c r="L282" s="51">
        <f>IF(A282="","",DATE(YEAR(A282),MONTH(A282),1))</f>
        <v/>
      </c>
    </row>
    <row r="283">
      <c r="A283" s="47" t="n">
        <v>46279</v>
      </c>
      <c r="B283" s="38" t="inlineStr">
        <is>
          <t>J-0277</t>
        </is>
      </c>
      <c r="C283" s="38" t="inlineStr">
        <is>
          <t>Job: Standard Clean</t>
        </is>
      </c>
      <c r="D283" s="38" t="inlineStr">
        <is>
          <t>Home base</t>
        </is>
      </c>
      <c r="E283" s="38" t="inlineStr">
        <is>
          <t>370 Cedar Court</t>
        </is>
      </c>
      <c r="F283" s="128" t="n"/>
      <c r="G283" s="128" t="n"/>
      <c r="H283" s="129" t="n">
        <v>6.7</v>
      </c>
      <c r="I283" s="38" t="inlineStr">
        <is>
          <t>Maria Lopez</t>
        </is>
      </c>
      <c r="J283" s="98">
        <f>IF(A283="","",IF(AND(F283&lt;&gt;"",G283&lt;&gt;""),MAX(0,G283-F283),N(H283)))</f>
        <v/>
      </c>
      <c r="K283" s="55">
        <f>IF(A283="","",ROUND(J283*MileRate,2))</f>
        <v/>
      </c>
      <c r="L283" s="51">
        <f>IF(A283="","",DATE(YEAR(A283),MONTH(A283),1))</f>
        <v/>
      </c>
    </row>
    <row r="284">
      <c r="A284" s="47" t="n">
        <v>46280</v>
      </c>
      <c r="B284" s="38" t="inlineStr">
        <is>
          <t>J-0278</t>
        </is>
      </c>
      <c r="C284" s="38" t="inlineStr">
        <is>
          <t>Job: Airbnb Turnover</t>
        </is>
      </c>
      <c r="D284" s="38" t="inlineStr">
        <is>
          <t>Home base</t>
        </is>
      </c>
      <c r="E284" s="38" t="inlineStr">
        <is>
          <t>654 Willow Way</t>
        </is>
      </c>
      <c r="F284" s="128" t="n"/>
      <c r="G284" s="128" t="n"/>
      <c r="H284" s="129" t="n">
        <v>12.4</v>
      </c>
      <c r="I284" s="38" t="inlineStr">
        <is>
          <t>Kevin Osei</t>
        </is>
      </c>
      <c r="J284" s="98">
        <f>IF(A284="","",IF(AND(F284&lt;&gt;"",G284&lt;&gt;""),MAX(0,G284-F284),N(H284)))</f>
        <v/>
      </c>
      <c r="K284" s="55">
        <f>IF(A284="","",ROUND(J284*MileRate,2))</f>
        <v/>
      </c>
      <c r="L284" s="51">
        <f>IF(A284="","",DATE(YEAR(A284),MONTH(A284),1))</f>
        <v/>
      </c>
    </row>
    <row r="285">
      <c r="A285" s="47" t="n">
        <v>46280</v>
      </c>
      <c r="B285" s="38" t="inlineStr">
        <is>
          <t>J-0279</t>
        </is>
      </c>
      <c r="C285" s="38" t="inlineStr">
        <is>
          <t>Job: Standard Clean</t>
        </is>
      </c>
      <c r="D285" s="38" t="inlineStr">
        <is>
          <t>Home base</t>
        </is>
      </c>
      <c r="E285" s="38" t="inlineStr">
        <is>
          <t>497 Aspen Drive</t>
        </is>
      </c>
      <c r="F285" s="128" t="n">
        <v>44858</v>
      </c>
      <c r="G285" s="128" t="n">
        <v>44873</v>
      </c>
      <c r="H285" s="129" t="n"/>
      <c r="I285" s="38" t="inlineStr">
        <is>
          <t>Maria Lopez</t>
        </is>
      </c>
      <c r="J285" s="98">
        <f>IF(A285="","",IF(AND(F285&lt;&gt;"",G285&lt;&gt;""),MAX(0,G285-F285),N(H285)))</f>
        <v/>
      </c>
      <c r="K285" s="55">
        <f>IF(A285="","",ROUND(J285*MileRate,2))</f>
        <v/>
      </c>
      <c r="L285" s="51">
        <f>IF(A285="","",DATE(YEAR(A285),MONTH(A285),1))</f>
        <v/>
      </c>
    </row>
    <row r="286">
      <c r="A286" s="47" t="n">
        <v>46281</v>
      </c>
      <c r="B286" s="38" t="inlineStr">
        <is>
          <t>J-0280</t>
        </is>
      </c>
      <c r="C286" s="38" t="inlineStr">
        <is>
          <t>Job: Standard Clean</t>
        </is>
      </c>
      <c r="D286" s="38" t="inlineStr">
        <is>
          <t>Home base</t>
        </is>
      </c>
      <c r="E286" s="38" t="inlineStr">
        <is>
          <t>675 Aspen Drive</t>
        </is>
      </c>
      <c r="F286" s="128" t="n"/>
      <c r="G286" s="128" t="n"/>
      <c r="H286" s="129" t="n">
        <v>20.4</v>
      </c>
      <c r="I286" s="38" t="inlineStr">
        <is>
          <t>Dana Whitfield</t>
        </is>
      </c>
      <c r="J286" s="98">
        <f>IF(A286="","",IF(AND(F286&lt;&gt;"",G286&lt;&gt;""),MAX(0,G286-F286),N(H286)))</f>
        <v/>
      </c>
      <c r="K286" s="55">
        <f>IF(A286="","",ROUND(J286*MileRate,2))</f>
        <v/>
      </c>
      <c r="L286" s="51">
        <f>IF(A286="","",DATE(YEAR(A286),MONTH(A286),1))</f>
        <v/>
      </c>
    </row>
    <row r="287">
      <c r="A287" s="47" t="n">
        <v>46283</v>
      </c>
      <c r="B287" s="38" t="inlineStr">
        <is>
          <t>J-0281</t>
        </is>
      </c>
      <c r="C287" s="38" t="inlineStr">
        <is>
          <t>Job: Airbnb Turnover</t>
        </is>
      </c>
      <c r="D287" s="38" t="inlineStr">
        <is>
          <t>Home base</t>
        </is>
      </c>
      <c r="E287" s="38" t="inlineStr">
        <is>
          <t>666 Juniper Street</t>
        </is>
      </c>
      <c r="F287" s="128" t="n"/>
      <c r="G287" s="128" t="n"/>
      <c r="H287" s="129" t="n">
        <v>19.5</v>
      </c>
      <c r="I287" s="38" t="inlineStr">
        <is>
          <t>Kevin Osei</t>
        </is>
      </c>
      <c r="J287" s="98">
        <f>IF(A287="","",IF(AND(F287&lt;&gt;"",G287&lt;&gt;""),MAX(0,G287-F287),N(H287)))</f>
        <v/>
      </c>
      <c r="K287" s="55">
        <f>IF(A287="","",ROUND(J287*MileRate,2))</f>
        <v/>
      </c>
      <c r="L287" s="51">
        <f>IF(A287="","",DATE(YEAR(A287),MONTH(A287),1))</f>
        <v/>
      </c>
    </row>
    <row r="288">
      <c r="A288" s="47" t="n">
        <v>46283</v>
      </c>
      <c r="B288" s="38" t="inlineStr">
        <is>
          <t>J-0282</t>
        </is>
      </c>
      <c r="C288" s="38" t="inlineStr">
        <is>
          <t>Job: Commercial Clean</t>
        </is>
      </c>
      <c r="D288" s="38" t="inlineStr">
        <is>
          <t>Home base</t>
        </is>
      </c>
      <c r="E288" s="38" t="inlineStr">
        <is>
          <t>738 Cedar Court</t>
        </is>
      </c>
      <c r="F288" s="128" t="n"/>
      <c r="G288" s="128" t="n"/>
      <c r="H288" s="129" t="n">
        <v>23.8</v>
      </c>
      <c r="I288" s="38" t="inlineStr">
        <is>
          <t>Kevin Osei</t>
        </is>
      </c>
      <c r="J288" s="98">
        <f>IF(A288="","",IF(AND(F288&lt;&gt;"",G288&lt;&gt;""),MAX(0,G288-F288),N(H288)))</f>
        <v/>
      </c>
      <c r="K288" s="55">
        <f>IF(A288="","",ROUND(J288*MileRate,2))</f>
        <v/>
      </c>
      <c r="L288" s="51">
        <f>IF(A288="","",DATE(YEAR(A288),MONTH(A288),1))</f>
        <v/>
      </c>
    </row>
    <row r="289">
      <c r="A289" s="47" t="n">
        <v>46283</v>
      </c>
      <c r="B289" s="38" t="inlineStr">
        <is>
          <t>J-0283</t>
        </is>
      </c>
      <c r="C289" s="38" t="inlineStr">
        <is>
          <t>Job: Deep Clean</t>
        </is>
      </c>
      <c r="D289" s="38" t="inlineStr">
        <is>
          <t>Home base</t>
        </is>
      </c>
      <c r="E289" s="38" t="inlineStr">
        <is>
          <t>853 Alder Lane</t>
        </is>
      </c>
      <c r="F289" s="128" t="n"/>
      <c r="G289" s="128" t="n"/>
      <c r="H289" s="129" t="n">
        <v>16.6</v>
      </c>
      <c r="I289" s="38" t="inlineStr">
        <is>
          <t>Maria Lopez</t>
        </is>
      </c>
      <c r="J289" s="98">
        <f>IF(A289="","",IF(AND(F289&lt;&gt;"",G289&lt;&gt;""),MAX(0,G289-F289),N(H289)))</f>
        <v/>
      </c>
      <c r="K289" s="55">
        <f>IF(A289="","",ROUND(J289*MileRate,2))</f>
        <v/>
      </c>
      <c r="L289" s="51">
        <f>IF(A289="","",DATE(YEAR(A289),MONTH(A289),1))</f>
        <v/>
      </c>
    </row>
    <row r="290">
      <c r="A290" s="47" t="n">
        <v>46283</v>
      </c>
      <c r="B290" s="38" t="inlineStr">
        <is>
          <t>J-0284</t>
        </is>
      </c>
      <c r="C290" s="38" t="inlineStr">
        <is>
          <t>Job: Standard Clean</t>
        </is>
      </c>
      <c r="D290" s="38" t="inlineStr">
        <is>
          <t>Home base</t>
        </is>
      </c>
      <c r="E290" s="38" t="inlineStr">
        <is>
          <t>461 Hawthorn Road</t>
        </is>
      </c>
      <c r="F290" s="128" t="n"/>
      <c r="G290" s="128" t="n"/>
      <c r="H290" s="129" t="n">
        <v>7</v>
      </c>
      <c r="I290" s="38" t="inlineStr">
        <is>
          <t>Maria Lopez</t>
        </is>
      </c>
      <c r="J290" s="98">
        <f>IF(A290="","",IF(AND(F290&lt;&gt;"",G290&lt;&gt;""),MAX(0,G290-F290),N(H290)))</f>
        <v/>
      </c>
      <c r="K290" s="55">
        <f>IF(A290="","",ROUND(J290*MileRate,2))</f>
        <v/>
      </c>
      <c r="L290" s="51">
        <f>IF(A290="","",DATE(YEAR(A290),MONTH(A290),1))</f>
        <v/>
      </c>
    </row>
    <row r="291">
      <c r="A291" s="47" t="n">
        <v>46283</v>
      </c>
      <c r="B291" s="38" t="inlineStr">
        <is>
          <t>J-0285</t>
        </is>
      </c>
      <c r="C291" s="38" t="inlineStr">
        <is>
          <t>Job: Standard Clean</t>
        </is>
      </c>
      <c r="D291" s="38" t="inlineStr">
        <is>
          <t>Home base</t>
        </is>
      </c>
      <c r="E291" s="38" t="inlineStr">
        <is>
          <t>876 Magnolia Circle</t>
        </is>
      </c>
      <c r="F291" s="128" t="n"/>
      <c r="G291" s="128" t="n"/>
      <c r="H291" s="129" t="n">
        <v>7.2</v>
      </c>
      <c r="I291" s="38" t="inlineStr">
        <is>
          <t>Maria Lopez</t>
        </is>
      </c>
      <c r="J291" s="98">
        <f>IF(A291="","",IF(AND(F291&lt;&gt;"",G291&lt;&gt;""),MAX(0,G291-F291),N(H291)))</f>
        <v/>
      </c>
      <c r="K291" s="55">
        <f>IF(A291="","",ROUND(J291*MileRate,2))</f>
        <v/>
      </c>
      <c r="L291" s="51">
        <f>IF(A291="","",DATE(YEAR(A291),MONTH(A291),1))</f>
        <v/>
      </c>
    </row>
    <row r="292">
      <c r="A292" s="47" t="n">
        <v>46283</v>
      </c>
      <c r="B292" s="38" t="inlineStr">
        <is>
          <t>J-0286</t>
        </is>
      </c>
      <c r="C292" s="38" t="inlineStr">
        <is>
          <t>Job: Commercial Clean</t>
        </is>
      </c>
      <c r="D292" s="38" t="inlineStr">
        <is>
          <t>Home base</t>
        </is>
      </c>
      <c r="E292" s="38" t="inlineStr">
        <is>
          <t>957 Hawthorn Road</t>
        </is>
      </c>
      <c r="F292" s="128" t="n"/>
      <c r="G292" s="128" t="n"/>
      <c r="H292" s="129" t="n">
        <v>10.4</v>
      </c>
      <c r="I292" s="38" t="inlineStr">
        <is>
          <t>Kevin Osei</t>
        </is>
      </c>
      <c r="J292" s="98">
        <f>IF(A292="","",IF(AND(F292&lt;&gt;"",G292&lt;&gt;""),MAX(0,G292-F292),N(H292)))</f>
        <v/>
      </c>
      <c r="K292" s="55">
        <f>IF(A292="","",ROUND(J292*MileRate,2))</f>
        <v/>
      </c>
      <c r="L292" s="51">
        <f>IF(A292="","",DATE(YEAR(A292),MONTH(A292),1))</f>
        <v/>
      </c>
    </row>
    <row r="293">
      <c r="A293" s="47" t="n">
        <v>46285</v>
      </c>
      <c r="B293" s="38" t="n"/>
      <c r="C293" s="38" t="inlineStr">
        <is>
          <t>Supply run</t>
        </is>
      </c>
      <c r="D293" s="38" t="inlineStr">
        <is>
          <t>Home base</t>
        </is>
      </c>
      <c r="E293" s="38" t="inlineStr">
        <is>
          <t>Supply store</t>
        </is>
      </c>
      <c r="F293" s="128" t="n"/>
      <c r="G293" s="128" t="n"/>
      <c r="H293" s="129" t="n">
        <v>11.5</v>
      </c>
      <c r="I293" s="38" t="inlineStr">
        <is>
          <t>Jordan Rivera</t>
        </is>
      </c>
      <c r="J293" s="98">
        <f>IF(A293="","",IF(AND(F293&lt;&gt;"",G293&lt;&gt;""),MAX(0,G293-F293),N(H293)))</f>
        <v/>
      </c>
      <c r="K293" s="55">
        <f>IF(A293="","",ROUND(J293*MileRate,2))</f>
        <v/>
      </c>
      <c r="L293" s="51">
        <f>IF(A293="","",DATE(YEAR(A293),MONTH(A293),1))</f>
        <v/>
      </c>
    </row>
    <row r="294">
      <c r="A294" s="47" t="n">
        <v>46286</v>
      </c>
      <c r="B294" s="38" t="inlineStr">
        <is>
          <t>J-0287</t>
        </is>
      </c>
      <c r="C294" s="38" t="inlineStr">
        <is>
          <t>Job: Airbnb Turnover</t>
        </is>
      </c>
      <c r="D294" s="38" t="inlineStr">
        <is>
          <t>Home base</t>
        </is>
      </c>
      <c r="E294" s="38" t="inlineStr">
        <is>
          <t>412 Linden Place</t>
        </is>
      </c>
      <c r="F294" s="128" t="n"/>
      <c r="G294" s="128" t="n"/>
      <c r="H294" s="129" t="n">
        <v>22.8</v>
      </c>
      <c r="I294" s="38" t="inlineStr">
        <is>
          <t>Kevin Osei</t>
        </is>
      </c>
      <c r="J294" s="98">
        <f>IF(A294="","",IF(AND(F294&lt;&gt;"",G294&lt;&gt;""),MAX(0,G294-F294),N(H294)))</f>
        <v/>
      </c>
      <c r="K294" s="55">
        <f>IF(A294="","",ROUND(J294*MileRate,2))</f>
        <v/>
      </c>
      <c r="L294" s="51">
        <f>IF(A294="","",DATE(YEAR(A294),MONTH(A294),1))</f>
        <v/>
      </c>
    </row>
    <row r="295">
      <c r="A295" s="47" t="n">
        <v>46286</v>
      </c>
      <c r="B295" s="38" t="inlineStr">
        <is>
          <t>J-0288</t>
        </is>
      </c>
      <c r="C295" s="38" t="inlineStr">
        <is>
          <t>Job: Standard Clean</t>
        </is>
      </c>
      <c r="D295" s="38" t="inlineStr">
        <is>
          <t>Home base</t>
        </is>
      </c>
      <c r="E295" s="38" t="inlineStr">
        <is>
          <t>102 Hawthorn Road</t>
        </is>
      </c>
      <c r="F295" s="128" t="n"/>
      <c r="G295" s="128" t="n"/>
      <c r="H295" s="129" t="n">
        <v>20.6</v>
      </c>
      <c r="I295" s="38" t="inlineStr">
        <is>
          <t>Dana Whitfield</t>
        </is>
      </c>
      <c r="J295" s="98">
        <f>IF(A295="","",IF(AND(F295&lt;&gt;"",G295&lt;&gt;""),MAX(0,G295-F295),N(H295)))</f>
        <v/>
      </c>
      <c r="K295" s="55">
        <f>IF(A295="","",ROUND(J295*MileRate,2))</f>
        <v/>
      </c>
      <c r="L295" s="51">
        <f>IF(A295="","",DATE(YEAR(A295),MONTH(A295),1))</f>
        <v/>
      </c>
    </row>
    <row r="296">
      <c r="A296" s="47" t="n">
        <v>46289</v>
      </c>
      <c r="B296" s="38" t="inlineStr">
        <is>
          <t>J-0289</t>
        </is>
      </c>
      <c r="C296" s="38" t="inlineStr">
        <is>
          <t>Job: Airbnb Turnover</t>
        </is>
      </c>
      <c r="D296" s="38" t="inlineStr">
        <is>
          <t>Home base</t>
        </is>
      </c>
      <c r="E296" s="38" t="inlineStr">
        <is>
          <t>192 Birch Lane</t>
        </is>
      </c>
      <c r="F296" s="128" t="n"/>
      <c r="G296" s="128" t="n"/>
      <c r="H296" s="129" t="n">
        <v>22.6</v>
      </c>
      <c r="I296" s="38" t="inlineStr">
        <is>
          <t>Kevin Osei</t>
        </is>
      </c>
      <c r="J296" s="98">
        <f>IF(A296="","",IF(AND(F296&lt;&gt;"",G296&lt;&gt;""),MAX(0,G296-F296),N(H296)))</f>
        <v/>
      </c>
      <c r="K296" s="55">
        <f>IF(A296="","",ROUND(J296*MileRate,2))</f>
        <v/>
      </c>
      <c r="L296" s="51">
        <f>IF(A296="","",DATE(YEAR(A296),MONTH(A296),1))</f>
        <v/>
      </c>
    </row>
    <row r="297">
      <c r="A297" s="47" t="n">
        <v>46290</v>
      </c>
      <c r="B297" s="38" t="inlineStr">
        <is>
          <t>J-0290</t>
        </is>
      </c>
      <c r="C297" s="38" t="inlineStr">
        <is>
          <t>Job: Commercial Clean</t>
        </is>
      </c>
      <c r="D297" s="38" t="inlineStr">
        <is>
          <t>Home base</t>
        </is>
      </c>
      <c r="E297" s="38" t="inlineStr">
        <is>
          <t>957 Hawthorn Road</t>
        </is>
      </c>
      <c r="F297" s="128" t="n"/>
      <c r="G297" s="128" t="n"/>
      <c r="H297" s="129" t="n">
        <v>6.2</v>
      </c>
      <c r="I297" s="38" t="inlineStr">
        <is>
          <t>Kevin Osei</t>
        </is>
      </c>
      <c r="J297" s="98">
        <f>IF(A297="","",IF(AND(F297&lt;&gt;"",G297&lt;&gt;""),MAX(0,G297-F297),N(H297)))</f>
        <v/>
      </c>
      <c r="K297" s="55">
        <f>IF(A297="","",ROUND(J297*MileRate,2))</f>
        <v/>
      </c>
      <c r="L297" s="51">
        <f>IF(A297="","",DATE(YEAR(A297),MONTH(A297),1))</f>
        <v/>
      </c>
    </row>
    <row r="298">
      <c r="A298" s="47" t="n">
        <v>46290</v>
      </c>
      <c r="B298" s="38" t="inlineStr">
        <is>
          <t>J-0291</t>
        </is>
      </c>
      <c r="C298" s="38" t="inlineStr">
        <is>
          <t>Job: Commercial Clean</t>
        </is>
      </c>
      <c r="D298" s="38" t="inlineStr">
        <is>
          <t>Home base</t>
        </is>
      </c>
      <c r="E298" s="38" t="inlineStr">
        <is>
          <t>738 Cedar Court</t>
        </is>
      </c>
      <c r="F298" s="128" t="n"/>
      <c r="G298" s="128" t="n"/>
      <c r="H298" s="129" t="n">
        <v>22.6</v>
      </c>
      <c r="I298" s="38" t="inlineStr">
        <is>
          <t>Kevin Osei</t>
        </is>
      </c>
      <c r="J298" s="98">
        <f>IF(A298="","",IF(AND(F298&lt;&gt;"",G298&lt;&gt;""),MAX(0,G298-F298),N(H298)))</f>
        <v/>
      </c>
      <c r="K298" s="55">
        <f>IF(A298="","",ROUND(J298*MileRate,2))</f>
        <v/>
      </c>
      <c r="L298" s="51">
        <f>IF(A298="","",DATE(YEAR(A298),MONTH(A298),1))</f>
        <v/>
      </c>
    </row>
    <row r="299">
      <c r="A299" s="47" t="n">
        <v>46290</v>
      </c>
      <c r="B299" s="38" t="inlineStr">
        <is>
          <t>J-0292</t>
        </is>
      </c>
      <c r="C299" s="38" t="inlineStr">
        <is>
          <t>Job: Standard Clean</t>
        </is>
      </c>
      <c r="D299" s="38" t="inlineStr">
        <is>
          <t>Home base</t>
        </is>
      </c>
      <c r="E299" s="38" t="inlineStr">
        <is>
          <t>84 Hawthorn Road</t>
        </is>
      </c>
      <c r="F299" s="128" t="n"/>
      <c r="G299" s="128" t="n"/>
      <c r="H299" s="129" t="n">
        <v>10.4</v>
      </c>
      <c r="I299" s="38" t="inlineStr">
        <is>
          <t>Dana Whitfield</t>
        </is>
      </c>
      <c r="J299" s="98">
        <f>IF(A299="","",IF(AND(F299&lt;&gt;"",G299&lt;&gt;""),MAX(0,G299-F299),N(H299)))</f>
        <v/>
      </c>
      <c r="K299" s="55">
        <f>IF(A299="","",ROUND(J299*MileRate,2))</f>
        <v/>
      </c>
      <c r="L299" s="51">
        <f>IF(A299="","",DATE(YEAR(A299),MONTH(A299),1))</f>
        <v/>
      </c>
    </row>
    <row r="300">
      <c r="A300" s="47" t="n">
        <v>46290</v>
      </c>
      <c r="B300" s="38" t="inlineStr">
        <is>
          <t>J-0293</t>
        </is>
      </c>
      <c r="C300" s="38" t="inlineStr">
        <is>
          <t>Job: Move-In/Move-Out</t>
        </is>
      </c>
      <c r="D300" s="38" t="inlineStr">
        <is>
          <t>Home base</t>
        </is>
      </c>
      <c r="E300" s="38" t="inlineStr">
        <is>
          <t>211 Birch Lane</t>
        </is>
      </c>
      <c r="F300" s="128" t="n"/>
      <c r="G300" s="128" t="n"/>
      <c r="H300" s="129" t="n">
        <v>9.199999999999999</v>
      </c>
      <c r="I300" s="38" t="inlineStr">
        <is>
          <t>Maria Lopez</t>
        </is>
      </c>
      <c r="J300" s="98">
        <f>IF(A300="","",IF(AND(F300&lt;&gt;"",G300&lt;&gt;""),MAX(0,G300-F300),N(H300)))</f>
        <v/>
      </c>
      <c r="K300" s="55">
        <f>IF(A300="","",ROUND(J300*MileRate,2))</f>
        <v/>
      </c>
      <c r="L300" s="51">
        <f>IF(A300="","",DATE(YEAR(A300),MONTH(A300),1))</f>
        <v/>
      </c>
    </row>
    <row r="301">
      <c r="A301" s="47" t="n">
        <v>46291</v>
      </c>
      <c r="B301" s="38" t="inlineStr">
        <is>
          <t>J-0294</t>
        </is>
      </c>
      <c r="C301" s="38" t="inlineStr">
        <is>
          <t>Job: Standard Clean</t>
        </is>
      </c>
      <c r="D301" s="38" t="inlineStr">
        <is>
          <t>Home base</t>
        </is>
      </c>
      <c r="E301" s="38" t="inlineStr">
        <is>
          <t>21 Maple Avenue</t>
        </is>
      </c>
      <c r="F301" s="128" t="n"/>
      <c r="G301" s="128" t="n"/>
      <c r="H301" s="129" t="n">
        <v>15.4</v>
      </c>
      <c r="I301" s="38" t="inlineStr">
        <is>
          <t>Maria Lopez</t>
        </is>
      </c>
      <c r="J301" s="98">
        <f>IF(A301="","",IF(AND(F301&lt;&gt;"",G301&lt;&gt;""),MAX(0,G301-F301),N(H301)))</f>
        <v/>
      </c>
      <c r="K301" s="55">
        <f>IF(A301="","",ROUND(J301*MileRate,2))</f>
        <v/>
      </c>
      <c r="L301" s="51">
        <f>IF(A301="","",DATE(YEAR(A301),MONTH(A301),1))</f>
        <v/>
      </c>
    </row>
    <row r="302">
      <c r="A302" s="47" t="n">
        <v>46293</v>
      </c>
      <c r="B302" s="38" t="inlineStr">
        <is>
          <t>J-0295</t>
        </is>
      </c>
      <c r="C302" s="38" t="inlineStr">
        <is>
          <t>Job: Airbnb Turnover</t>
        </is>
      </c>
      <c r="D302" s="38" t="inlineStr">
        <is>
          <t>Home base</t>
        </is>
      </c>
      <c r="E302" s="38" t="inlineStr">
        <is>
          <t>666 Juniper Street</t>
        </is>
      </c>
      <c r="F302" s="128" t="n"/>
      <c r="G302" s="128" t="n"/>
      <c r="H302" s="129" t="n">
        <v>9.300000000000001</v>
      </c>
      <c r="I302" s="38" t="inlineStr">
        <is>
          <t>Kevin Osei</t>
        </is>
      </c>
      <c r="J302" s="98">
        <f>IF(A302="","",IF(AND(F302&lt;&gt;"",G302&lt;&gt;""),MAX(0,G302-F302),N(H302)))</f>
        <v/>
      </c>
      <c r="K302" s="55">
        <f>IF(A302="","",ROUND(J302*MileRate,2))</f>
        <v/>
      </c>
      <c r="L302" s="51">
        <f>IF(A302="","",DATE(YEAR(A302),MONTH(A302),1))</f>
        <v/>
      </c>
    </row>
    <row r="303">
      <c r="A303" s="47" t="n">
        <v>46295</v>
      </c>
      <c r="B303" s="38" t="inlineStr">
        <is>
          <t>J-0296</t>
        </is>
      </c>
      <c r="C303" s="38" t="inlineStr">
        <is>
          <t>Job: Standard Clean</t>
        </is>
      </c>
      <c r="D303" s="38" t="inlineStr">
        <is>
          <t>Home base</t>
        </is>
      </c>
      <c r="E303" s="38" t="inlineStr">
        <is>
          <t>675 Aspen Drive</t>
        </is>
      </c>
      <c r="F303" s="128" t="n"/>
      <c r="G303" s="128" t="n"/>
      <c r="H303" s="129" t="n">
        <v>20.3</v>
      </c>
      <c r="I303" s="38" t="inlineStr">
        <is>
          <t>Dana Whitfield</t>
        </is>
      </c>
      <c r="J303" s="98">
        <f>IF(A303="","",IF(AND(F303&lt;&gt;"",G303&lt;&gt;""),MAX(0,G303-F303),N(H303)))</f>
        <v/>
      </c>
      <c r="K303" s="55">
        <f>IF(A303="","",ROUND(J303*MileRate,2))</f>
        <v/>
      </c>
      <c r="L303" s="51">
        <f>IF(A303="","",DATE(YEAR(A303),MONTH(A303),1))</f>
        <v/>
      </c>
    </row>
    <row r="304">
      <c r="A304" s="47" t="n"/>
      <c r="B304" s="38" t="n"/>
      <c r="C304" s="38" t="n"/>
      <c r="D304" s="38" t="n"/>
      <c r="E304" s="38" t="n"/>
      <c r="F304" s="128" t="n"/>
      <c r="G304" s="128" t="n"/>
      <c r="H304" s="129" t="n"/>
      <c r="I304" s="38" t="n"/>
      <c r="J304" s="98">
        <f>IF(A304="","",IF(AND(F304&lt;&gt;"",G304&lt;&gt;""),MAX(0,G304-F304),N(H304)))</f>
        <v/>
      </c>
      <c r="K304" s="55">
        <f>IF(A304="","",ROUND(J304*MileRate,2))</f>
        <v/>
      </c>
      <c r="L304" s="51">
        <f>IF(A304="","",DATE(YEAR(A304),MONTH(A304),1))</f>
        <v/>
      </c>
    </row>
    <row r="305">
      <c r="A305" s="47" t="n"/>
      <c r="B305" s="38" t="n"/>
      <c r="C305" s="38" t="n"/>
      <c r="D305" s="38" t="n"/>
      <c r="E305" s="38" t="n"/>
      <c r="F305" s="128" t="n"/>
      <c r="G305" s="128" t="n"/>
      <c r="H305" s="129" t="n"/>
      <c r="I305" s="38" t="n"/>
      <c r="J305" s="98">
        <f>IF(A305="","",IF(AND(F305&lt;&gt;"",G305&lt;&gt;""),MAX(0,G305-F305),N(H305)))</f>
        <v/>
      </c>
      <c r="K305" s="55">
        <f>IF(A305="","",ROUND(J305*MileRate,2))</f>
        <v/>
      </c>
      <c r="L305" s="51">
        <f>IF(A305="","",DATE(YEAR(A305),MONTH(A305),1))</f>
        <v/>
      </c>
    </row>
    <row r="306">
      <c r="A306" s="47" t="n"/>
      <c r="B306" s="38" t="n"/>
      <c r="C306" s="38" t="n"/>
      <c r="D306" s="38" t="n"/>
      <c r="E306" s="38" t="n"/>
      <c r="F306" s="128" t="n"/>
      <c r="G306" s="128" t="n"/>
      <c r="H306" s="129" t="n"/>
      <c r="I306" s="38" t="n"/>
      <c r="J306" s="98">
        <f>IF(A306="","",IF(AND(F306&lt;&gt;"",G306&lt;&gt;""),MAX(0,G306-F306),N(H306)))</f>
        <v/>
      </c>
      <c r="K306" s="55">
        <f>IF(A306="","",ROUND(J306*MileRate,2))</f>
        <v/>
      </c>
      <c r="L306" s="51">
        <f>IF(A306="","",DATE(YEAR(A306),MONTH(A306),1))</f>
        <v/>
      </c>
    </row>
    <row r="307">
      <c r="A307" s="47" t="n"/>
      <c r="B307" s="38" t="n"/>
      <c r="C307" s="38" t="n"/>
      <c r="D307" s="38" t="n"/>
      <c r="E307" s="38" t="n"/>
      <c r="F307" s="128" t="n"/>
      <c r="G307" s="128" t="n"/>
      <c r="H307" s="129" t="n"/>
      <c r="I307" s="38" t="n"/>
      <c r="J307" s="98">
        <f>IF(A307="","",IF(AND(F307&lt;&gt;"",G307&lt;&gt;""),MAX(0,G307-F307),N(H307)))</f>
        <v/>
      </c>
      <c r="K307" s="55">
        <f>IF(A307="","",ROUND(J307*MileRate,2))</f>
        <v/>
      </c>
      <c r="L307" s="51">
        <f>IF(A307="","",DATE(YEAR(A307),MONTH(A307),1))</f>
        <v/>
      </c>
    </row>
    <row r="308">
      <c r="A308" s="47" t="n"/>
      <c r="B308" s="38" t="n"/>
      <c r="C308" s="38" t="n"/>
      <c r="D308" s="38" t="n"/>
      <c r="E308" s="38" t="n"/>
      <c r="F308" s="128" t="n"/>
      <c r="G308" s="128" t="n"/>
      <c r="H308" s="129" t="n"/>
      <c r="I308" s="38" t="n"/>
      <c r="J308" s="98">
        <f>IF(A308="","",IF(AND(F308&lt;&gt;"",G308&lt;&gt;""),MAX(0,G308-F308),N(H308)))</f>
        <v/>
      </c>
      <c r="K308" s="55">
        <f>IF(A308="","",ROUND(J308*MileRate,2))</f>
        <v/>
      </c>
      <c r="L308" s="51">
        <f>IF(A308="","",DATE(YEAR(A308),MONTH(A308),1))</f>
        <v/>
      </c>
    </row>
    <row r="309">
      <c r="A309" s="47" t="n"/>
      <c r="B309" s="38" t="n"/>
      <c r="C309" s="38" t="n"/>
      <c r="D309" s="38" t="n"/>
      <c r="E309" s="38" t="n"/>
      <c r="F309" s="128" t="n"/>
      <c r="G309" s="128" t="n"/>
      <c r="H309" s="129" t="n"/>
      <c r="I309" s="38" t="n"/>
      <c r="J309" s="98">
        <f>IF(A309="","",IF(AND(F309&lt;&gt;"",G309&lt;&gt;""),MAX(0,G309-F309),N(H309)))</f>
        <v/>
      </c>
      <c r="K309" s="55">
        <f>IF(A309="","",ROUND(J309*MileRate,2))</f>
        <v/>
      </c>
      <c r="L309" s="51">
        <f>IF(A309="","",DATE(YEAR(A309),MONTH(A309),1))</f>
        <v/>
      </c>
    </row>
    <row r="310">
      <c r="A310" s="47" t="n"/>
      <c r="B310" s="38" t="n"/>
      <c r="C310" s="38" t="n"/>
      <c r="D310" s="38" t="n"/>
      <c r="E310" s="38" t="n"/>
      <c r="F310" s="128" t="n"/>
      <c r="G310" s="128" t="n"/>
      <c r="H310" s="129" t="n"/>
      <c r="I310" s="38" t="n"/>
      <c r="J310" s="98">
        <f>IF(A310="","",IF(AND(F310&lt;&gt;"",G310&lt;&gt;""),MAX(0,G310-F310),N(H310)))</f>
        <v/>
      </c>
      <c r="K310" s="55">
        <f>IF(A310="","",ROUND(J310*MileRate,2))</f>
        <v/>
      </c>
      <c r="L310" s="51">
        <f>IF(A310="","",DATE(YEAR(A310),MONTH(A310),1))</f>
        <v/>
      </c>
    </row>
    <row r="311">
      <c r="A311" s="47" t="n"/>
      <c r="B311" s="38" t="n"/>
      <c r="C311" s="38" t="n"/>
      <c r="D311" s="38" t="n"/>
      <c r="E311" s="38" t="n"/>
      <c r="F311" s="128" t="n"/>
      <c r="G311" s="128" t="n"/>
      <c r="H311" s="129" t="n"/>
      <c r="I311" s="38" t="n"/>
      <c r="J311" s="98">
        <f>IF(A311="","",IF(AND(F311&lt;&gt;"",G311&lt;&gt;""),MAX(0,G311-F311),N(H311)))</f>
        <v/>
      </c>
      <c r="K311" s="55">
        <f>IF(A311="","",ROUND(J311*MileRate,2))</f>
        <v/>
      </c>
      <c r="L311" s="51">
        <f>IF(A311="","",DATE(YEAR(A311),MONTH(A311),1))</f>
        <v/>
      </c>
    </row>
    <row r="312">
      <c r="A312" s="47" t="n"/>
      <c r="B312" s="38" t="n"/>
      <c r="C312" s="38" t="n"/>
      <c r="D312" s="38" t="n"/>
      <c r="E312" s="38" t="n"/>
      <c r="F312" s="128" t="n"/>
      <c r="G312" s="128" t="n"/>
      <c r="H312" s="129" t="n"/>
      <c r="I312" s="38" t="n"/>
      <c r="J312" s="98">
        <f>IF(A312="","",IF(AND(F312&lt;&gt;"",G312&lt;&gt;""),MAX(0,G312-F312),N(H312)))</f>
        <v/>
      </c>
      <c r="K312" s="55">
        <f>IF(A312="","",ROUND(J312*MileRate,2))</f>
        <v/>
      </c>
      <c r="L312" s="51">
        <f>IF(A312="","",DATE(YEAR(A312),MONTH(A312),1))</f>
        <v/>
      </c>
    </row>
    <row r="313">
      <c r="A313" s="47" t="n"/>
      <c r="B313" s="38" t="n"/>
      <c r="C313" s="38" t="n"/>
      <c r="D313" s="38" t="n"/>
      <c r="E313" s="38" t="n"/>
      <c r="F313" s="128" t="n"/>
      <c r="G313" s="128" t="n"/>
      <c r="H313" s="129" t="n"/>
      <c r="I313" s="38" t="n"/>
      <c r="J313" s="98">
        <f>IF(A313="","",IF(AND(F313&lt;&gt;"",G313&lt;&gt;""),MAX(0,G313-F313),N(H313)))</f>
        <v/>
      </c>
      <c r="K313" s="55">
        <f>IF(A313="","",ROUND(J313*MileRate,2))</f>
        <v/>
      </c>
      <c r="L313" s="51">
        <f>IF(A313="","",DATE(YEAR(A313),MONTH(A313),1))</f>
        <v/>
      </c>
    </row>
    <row r="314">
      <c r="A314" s="47" t="n"/>
      <c r="B314" s="38" t="n"/>
      <c r="C314" s="38" t="n"/>
      <c r="D314" s="38" t="n"/>
      <c r="E314" s="38" t="n"/>
      <c r="F314" s="128" t="n"/>
      <c r="G314" s="128" t="n"/>
      <c r="H314" s="129" t="n"/>
      <c r="I314" s="38" t="n"/>
      <c r="J314" s="98">
        <f>IF(A314="","",IF(AND(F314&lt;&gt;"",G314&lt;&gt;""),MAX(0,G314-F314),N(H314)))</f>
        <v/>
      </c>
      <c r="K314" s="55">
        <f>IF(A314="","",ROUND(J314*MileRate,2))</f>
        <v/>
      </c>
      <c r="L314" s="51">
        <f>IF(A314="","",DATE(YEAR(A314),MONTH(A314),1))</f>
        <v/>
      </c>
    </row>
    <row r="315">
      <c r="A315" s="47" t="n"/>
      <c r="B315" s="38" t="n"/>
      <c r="C315" s="38" t="n"/>
      <c r="D315" s="38" t="n"/>
      <c r="E315" s="38" t="n"/>
      <c r="F315" s="128" t="n"/>
      <c r="G315" s="128" t="n"/>
      <c r="H315" s="129" t="n"/>
      <c r="I315" s="38" t="n"/>
      <c r="J315" s="98">
        <f>IF(A315="","",IF(AND(F315&lt;&gt;"",G315&lt;&gt;""),MAX(0,G315-F315),N(H315)))</f>
        <v/>
      </c>
      <c r="K315" s="55">
        <f>IF(A315="","",ROUND(J315*MileRate,2))</f>
        <v/>
      </c>
      <c r="L315" s="51">
        <f>IF(A315="","",DATE(YEAR(A315),MONTH(A315),1))</f>
        <v/>
      </c>
    </row>
    <row r="316">
      <c r="A316" s="47" t="n"/>
      <c r="B316" s="38" t="n"/>
      <c r="C316" s="38" t="n"/>
      <c r="D316" s="38" t="n"/>
      <c r="E316" s="38" t="n"/>
      <c r="F316" s="128" t="n"/>
      <c r="G316" s="128" t="n"/>
      <c r="H316" s="129" t="n"/>
      <c r="I316" s="38" t="n"/>
      <c r="J316" s="98">
        <f>IF(A316="","",IF(AND(F316&lt;&gt;"",G316&lt;&gt;""),MAX(0,G316-F316),N(H316)))</f>
        <v/>
      </c>
      <c r="K316" s="55">
        <f>IF(A316="","",ROUND(J316*MileRate,2))</f>
        <v/>
      </c>
      <c r="L316" s="51">
        <f>IF(A316="","",DATE(YEAR(A316),MONTH(A316),1))</f>
        <v/>
      </c>
    </row>
    <row r="317">
      <c r="A317" s="47" t="n"/>
      <c r="B317" s="38" t="n"/>
      <c r="C317" s="38" t="n"/>
      <c r="D317" s="38" t="n"/>
      <c r="E317" s="38" t="n"/>
      <c r="F317" s="128" t="n"/>
      <c r="G317" s="128" t="n"/>
      <c r="H317" s="129" t="n"/>
      <c r="I317" s="38" t="n"/>
      <c r="J317" s="98">
        <f>IF(A317="","",IF(AND(F317&lt;&gt;"",G317&lt;&gt;""),MAX(0,G317-F317),N(H317)))</f>
        <v/>
      </c>
      <c r="K317" s="55">
        <f>IF(A317="","",ROUND(J317*MileRate,2))</f>
        <v/>
      </c>
      <c r="L317" s="51">
        <f>IF(A317="","",DATE(YEAR(A317),MONTH(A317),1))</f>
        <v/>
      </c>
    </row>
    <row r="318">
      <c r="A318" s="47" t="n"/>
      <c r="B318" s="38" t="n"/>
      <c r="C318" s="38" t="n"/>
      <c r="D318" s="38" t="n"/>
      <c r="E318" s="38" t="n"/>
      <c r="F318" s="128" t="n"/>
      <c r="G318" s="128" t="n"/>
      <c r="H318" s="129" t="n"/>
      <c r="I318" s="38" t="n"/>
      <c r="J318" s="98">
        <f>IF(A318="","",IF(AND(F318&lt;&gt;"",G318&lt;&gt;""),MAX(0,G318-F318),N(H318)))</f>
        <v/>
      </c>
      <c r="K318" s="55">
        <f>IF(A318="","",ROUND(J318*MileRate,2))</f>
        <v/>
      </c>
      <c r="L318" s="51">
        <f>IF(A318="","",DATE(YEAR(A318),MONTH(A318),1))</f>
        <v/>
      </c>
    </row>
    <row r="319">
      <c r="A319" s="47" t="n"/>
      <c r="B319" s="38" t="n"/>
      <c r="C319" s="38" t="n"/>
      <c r="D319" s="38" t="n"/>
      <c r="E319" s="38" t="n"/>
      <c r="F319" s="128" t="n"/>
      <c r="G319" s="128" t="n"/>
      <c r="H319" s="129" t="n"/>
      <c r="I319" s="38" t="n"/>
      <c r="J319" s="98">
        <f>IF(A319="","",IF(AND(F319&lt;&gt;"",G319&lt;&gt;""),MAX(0,G319-F319),N(H319)))</f>
        <v/>
      </c>
      <c r="K319" s="55">
        <f>IF(A319="","",ROUND(J319*MileRate,2))</f>
        <v/>
      </c>
      <c r="L319" s="51">
        <f>IF(A319="","",DATE(YEAR(A319),MONTH(A319),1))</f>
        <v/>
      </c>
    </row>
    <row r="320">
      <c r="A320" s="47" t="n"/>
      <c r="B320" s="38" t="n"/>
      <c r="C320" s="38" t="n"/>
      <c r="D320" s="38" t="n"/>
      <c r="E320" s="38" t="n"/>
      <c r="F320" s="128" t="n"/>
      <c r="G320" s="128" t="n"/>
      <c r="H320" s="129" t="n"/>
      <c r="I320" s="38" t="n"/>
      <c r="J320" s="98">
        <f>IF(A320="","",IF(AND(F320&lt;&gt;"",G320&lt;&gt;""),MAX(0,G320-F320),N(H320)))</f>
        <v/>
      </c>
      <c r="K320" s="55">
        <f>IF(A320="","",ROUND(J320*MileRate,2))</f>
        <v/>
      </c>
      <c r="L320" s="51">
        <f>IF(A320="","",DATE(YEAR(A320),MONTH(A320),1))</f>
        <v/>
      </c>
    </row>
    <row r="321">
      <c r="A321" s="47" t="n"/>
      <c r="B321" s="38" t="n"/>
      <c r="C321" s="38" t="n"/>
      <c r="D321" s="38" t="n"/>
      <c r="E321" s="38" t="n"/>
      <c r="F321" s="128" t="n"/>
      <c r="G321" s="128" t="n"/>
      <c r="H321" s="129" t="n"/>
      <c r="I321" s="38" t="n"/>
      <c r="J321" s="98">
        <f>IF(A321="","",IF(AND(F321&lt;&gt;"",G321&lt;&gt;""),MAX(0,G321-F321),N(H321)))</f>
        <v/>
      </c>
      <c r="K321" s="55">
        <f>IF(A321="","",ROUND(J321*MileRate,2))</f>
        <v/>
      </c>
      <c r="L321" s="51">
        <f>IF(A321="","",DATE(YEAR(A321),MONTH(A321),1))</f>
        <v/>
      </c>
    </row>
    <row r="322">
      <c r="A322" s="47" t="n"/>
      <c r="B322" s="38" t="n"/>
      <c r="C322" s="38" t="n"/>
      <c r="D322" s="38" t="n"/>
      <c r="E322" s="38" t="n"/>
      <c r="F322" s="128" t="n"/>
      <c r="G322" s="128" t="n"/>
      <c r="H322" s="129" t="n"/>
      <c r="I322" s="38" t="n"/>
      <c r="J322" s="98">
        <f>IF(A322="","",IF(AND(F322&lt;&gt;"",G322&lt;&gt;""),MAX(0,G322-F322),N(H322)))</f>
        <v/>
      </c>
      <c r="K322" s="55">
        <f>IF(A322="","",ROUND(J322*MileRate,2))</f>
        <v/>
      </c>
      <c r="L322" s="51">
        <f>IF(A322="","",DATE(YEAR(A322),MONTH(A322),1))</f>
        <v/>
      </c>
    </row>
    <row r="323">
      <c r="A323" s="47" t="n"/>
      <c r="B323" s="38" t="n"/>
      <c r="C323" s="38" t="n"/>
      <c r="D323" s="38" t="n"/>
      <c r="E323" s="38" t="n"/>
      <c r="F323" s="128" t="n"/>
      <c r="G323" s="128" t="n"/>
      <c r="H323" s="129" t="n"/>
      <c r="I323" s="38" t="n"/>
      <c r="J323" s="98">
        <f>IF(A323="","",IF(AND(F323&lt;&gt;"",G323&lt;&gt;""),MAX(0,G323-F323),N(H323)))</f>
        <v/>
      </c>
      <c r="K323" s="55">
        <f>IF(A323="","",ROUND(J323*MileRate,2))</f>
        <v/>
      </c>
      <c r="L323" s="51">
        <f>IF(A323="","",DATE(YEAR(A323),MONTH(A323),1))</f>
        <v/>
      </c>
    </row>
    <row r="324">
      <c r="A324" s="47" t="n"/>
      <c r="B324" s="38" t="n"/>
      <c r="C324" s="38" t="n"/>
      <c r="D324" s="38" t="n"/>
      <c r="E324" s="38" t="n"/>
      <c r="F324" s="128" t="n"/>
      <c r="G324" s="128" t="n"/>
      <c r="H324" s="129" t="n"/>
      <c r="I324" s="38" t="n"/>
      <c r="J324" s="98">
        <f>IF(A324="","",IF(AND(F324&lt;&gt;"",G324&lt;&gt;""),MAX(0,G324-F324),N(H324)))</f>
        <v/>
      </c>
      <c r="K324" s="55">
        <f>IF(A324="","",ROUND(J324*MileRate,2))</f>
        <v/>
      </c>
      <c r="L324" s="51">
        <f>IF(A324="","",DATE(YEAR(A324),MONTH(A324),1))</f>
        <v/>
      </c>
    </row>
    <row r="325">
      <c r="A325" s="47" t="n"/>
      <c r="B325" s="38" t="n"/>
      <c r="C325" s="38" t="n"/>
      <c r="D325" s="38" t="n"/>
      <c r="E325" s="38" t="n"/>
      <c r="F325" s="128" t="n"/>
      <c r="G325" s="128" t="n"/>
      <c r="H325" s="129" t="n"/>
      <c r="I325" s="38" t="n"/>
      <c r="J325" s="98">
        <f>IF(A325="","",IF(AND(F325&lt;&gt;"",G325&lt;&gt;""),MAX(0,G325-F325),N(H325)))</f>
        <v/>
      </c>
      <c r="K325" s="55">
        <f>IF(A325="","",ROUND(J325*MileRate,2))</f>
        <v/>
      </c>
      <c r="L325" s="51">
        <f>IF(A325="","",DATE(YEAR(A325),MONTH(A325),1))</f>
        <v/>
      </c>
    </row>
    <row r="326">
      <c r="A326" s="47" t="n"/>
      <c r="B326" s="38" t="n"/>
      <c r="C326" s="38" t="n"/>
      <c r="D326" s="38" t="n"/>
      <c r="E326" s="38" t="n"/>
      <c r="F326" s="128" t="n"/>
      <c r="G326" s="128" t="n"/>
      <c r="H326" s="129" t="n"/>
      <c r="I326" s="38" t="n"/>
      <c r="J326" s="98">
        <f>IF(A326="","",IF(AND(F326&lt;&gt;"",G326&lt;&gt;""),MAX(0,G326-F326),N(H326)))</f>
        <v/>
      </c>
      <c r="K326" s="55">
        <f>IF(A326="","",ROUND(J326*MileRate,2))</f>
        <v/>
      </c>
      <c r="L326" s="51">
        <f>IF(A326="","",DATE(YEAR(A326),MONTH(A326),1))</f>
        <v/>
      </c>
    </row>
    <row r="327">
      <c r="A327" s="47" t="n"/>
      <c r="B327" s="38" t="n"/>
      <c r="C327" s="38" t="n"/>
      <c r="D327" s="38" t="n"/>
      <c r="E327" s="38" t="n"/>
      <c r="F327" s="128" t="n"/>
      <c r="G327" s="128" t="n"/>
      <c r="H327" s="129" t="n"/>
      <c r="I327" s="38" t="n"/>
      <c r="J327" s="98">
        <f>IF(A327="","",IF(AND(F327&lt;&gt;"",G327&lt;&gt;""),MAX(0,G327-F327),N(H327)))</f>
        <v/>
      </c>
      <c r="K327" s="55">
        <f>IF(A327="","",ROUND(J327*MileRate,2))</f>
        <v/>
      </c>
      <c r="L327" s="51">
        <f>IF(A327="","",DATE(YEAR(A327),MONTH(A327),1))</f>
        <v/>
      </c>
    </row>
    <row r="328">
      <c r="A328" s="47" t="n"/>
      <c r="B328" s="38" t="n"/>
      <c r="C328" s="38" t="n"/>
      <c r="D328" s="38" t="n"/>
      <c r="E328" s="38" t="n"/>
      <c r="F328" s="128" t="n"/>
      <c r="G328" s="128" t="n"/>
      <c r="H328" s="129" t="n"/>
      <c r="I328" s="38" t="n"/>
      <c r="J328" s="98">
        <f>IF(A328="","",IF(AND(F328&lt;&gt;"",G328&lt;&gt;""),MAX(0,G328-F328),N(H328)))</f>
        <v/>
      </c>
      <c r="K328" s="55">
        <f>IF(A328="","",ROUND(J328*MileRate,2))</f>
        <v/>
      </c>
      <c r="L328" s="51">
        <f>IF(A328="","",DATE(YEAR(A328),MONTH(A328),1))</f>
        <v/>
      </c>
    </row>
    <row r="329">
      <c r="A329" s="47" t="n"/>
      <c r="B329" s="38" t="n"/>
      <c r="C329" s="38" t="n"/>
      <c r="D329" s="38" t="n"/>
      <c r="E329" s="38" t="n"/>
      <c r="F329" s="128" t="n"/>
      <c r="G329" s="128" t="n"/>
      <c r="H329" s="129" t="n"/>
      <c r="I329" s="38" t="n"/>
      <c r="J329" s="98">
        <f>IF(A329="","",IF(AND(F329&lt;&gt;"",G329&lt;&gt;""),MAX(0,G329-F329),N(H329)))</f>
        <v/>
      </c>
      <c r="K329" s="55">
        <f>IF(A329="","",ROUND(J329*MileRate,2))</f>
        <v/>
      </c>
      <c r="L329" s="51">
        <f>IF(A329="","",DATE(YEAR(A329),MONTH(A329),1))</f>
        <v/>
      </c>
    </row>
    <row r="330">
      <c r="A330" s="47" t="n"/>
      <c r="B330" s="38" t="n"/>
      <c r="C330" s="38" t="n"/>
      <c r="D330" s="38" t="n"/>
      <c r="E330" s="38" t="n"/>
      <c r="F330" s="128" t="n"/>
      <c r="G330" s="128" t="n"/>
      <c r="H330" s="129" t="n"/>
      <c r="I330" s="38" t="n"/>
      <c r="J330" s="98">
        <f>IF(A330="","",IF(AND(F330&lt;&gt;"",G330&lt;&gt;""),MAX(0,G330-F330),N(H330)))</f>
        <v/>
      </c>
      <c r="K330" s="55">
        <f>IF(A330="","",ROUND(J330*MileRate,2))</f>
        <v/>
      </c>
      <c r="L330" s="51">
        <f>IF(A330="","",DATE(YEAR(A330),MONTH(A330),1))</f>
        <v/>
      </c>
    </row>
    <row r="331">
      <c r="A331" s="47" t="n"/>
      <c r="B331" s="38" t="n"/>
      <c r="C331" s="38" t="n"/>
      <c r="D331" s="38" t="n"/>
      <c r="E331" s="38" t="n"/>
      <c r="F331" s="128" t="n"/>
      <c r="G331" s="128" t="n"/>
      <c r="H331" s="129" t="n"/>
      <c r="I331" s="38" t="n"/>
      <c r="J331" s="98">
        <f>IF(A331="","",IF(AND(F331&lt;&gt;"",G331&lt;&gt;""),MAX(0,G331-F331),N(H331)))</f>
        <v/>
      </c>
      <c r="K331" s="55">
        <f>IF(A331="","",ROUND(J331*MileRate,2))</f>
        <v/>
      </c>
      <c r="L331" s="51">
        <f>IF(A331="","",DATE(YEAR(A331),MONTH(A331),1))</f>
        <v/>
      </c>
    </row>
    <row r="332">
      <c r="A332" s="47" t="n"/>
      <c r="B332" s="38" t="n"/>
      <c r="C332" s="38" t="n"/>
      <c r="D332" s="38" t="n"/>
      <c r="E332" s="38" t="n"/>
      <c r="F332" s="128" t="n"/>
      <c r="G332" s="128" t="n"/>
      <c r="H332" s="129" t="n"/>
      <c r="I332" s="38" t="n"/>
      <c r="J332" s="98">
        <f>IF(A332="","",IF(AND(F332&lt;&gt;"",G332&lt;&gt;""),MAX(0,G332-F332),N(H332)))</f>
        <v/>
      </c>
      <c r="K332" s="55">
        <f>IF(A332="","",ROUND(J332*MileRate,2))</f>
        <v/>
      </c>
      <c r="L332" s="51">
        <f>IF(A332="","",DATE(YEAR(A332),MONTH(A332),1))</f>
        <v/>
      </c>
    </row>
    <row r="333">
      <c r="A333" s="47" t="n"/>
      <c r="B333" s="38" t="n"/>
      <c r="C333" s="38" t="n"/>
      <c r="D333" s="38" t="n"/>
      <c r="E333" s="38" t="n"/>
      <c r="F333" s="128" t="n"/>
      <c r="G333" s="128" t="n"/>
      <c r="H333" s="129" t="n"/>
      <c r="I333" s="38" t="n"/>
      <c r="J333" s="98">
        <f>IF(A333="","",IF(AND(F333&lt;&gt;"",G333&lt;&gt;""),MAX(0,G333-F333),N(H333)))</f>
        <v/>
      </c>
      <c r="K333" s="55">
        <f>IF(A333="","",ROUND(J333*MileRate,2))</f>
        <v/>
      </c>
      <c r="L333" s="51">
        <f>IF(A333="","",DATE(YEAR(A333),MONTH(A333),1))</f>
        <v/>
      </c>
    </row>
    <row r="334">
      <c r="A334" s="47" t="n"/>
      <c r="B334" s="38" t="n"/>
      <c r="C334" s="38" t="n"/>
      <c r="D334" s="38" t="n"/>
      <c r="E334" s="38" t="n"/>
      <c r="F334" s="128" t="n"/>
      <c r="G334" s="128" t="n"/>
      <c r="H334" s="129" t="n"/>
      <c r="I334" s="38" t="n"/>
      <c r="J334" s="98">
        <f>IF(A334="","",IF(AND(F334&lt;&gt;"",G334&lt;&gt;""),MAX(0,G334-F334),N(H334)))</f>
        <v/>
      </c>
      <c r="K334" s="55">
        <f>IF(A334="","",ROUND(J334*MileRate,2))</f>
        <v/>
      </c>
      <c r="L334" s="51">
        <f>IF(A334="","",DATE(YEAR(A334),MONTH(A334),1))</f>
        <v/>
      </c>
    </row>
    <row r="335">
      <c r="A335" s="47" t="n"/>
      <c r="B335" s="38" t="n"/>
      <c r="C335" s="38" t="n"/>
      <c r="D335" s="38" t="n"/>
      <c r="E335" s="38" t="n"/>
      <c r="F335" s="128" t="n"/>
      <c r="G335" s="128" t="n"/>
      <c r="H335" s="129" t="n"/>
      <c r="I335" s="38" t="n"/>
      <c r="J335" s="98">
        <f>IF(A335="","",IF(AND(F335&lt;&gt;"",G335&lt;&gt;""),MAX(0,G335-F335),N(H335)))</f>
        <v/>
      </c>
      <c r="K335" s="55">
        <f>IF(A335="","",ROUND(J335*MileRate,2))</f>
        <v/>
      </c>
      <c r="L335" s="51">
        <f>IF(A335="","",DATE(YEAR(A335),MONTH(A335),1))</f>
        <v/>
      </c>
    </row>
    <row r="336">
      <c r="A336" s="47" t="n"/>
      <c r="B336" s="38" t="n"/>
      <c r="C336" s="38" t="n"/>
      <c r="D336" s="38" t="n"/>
      <c r="E336" s="38" t="n"/>
      <c r="F336" s="128" t="n"/>
      <c r="G336" s="128" t="n"/>
      <c r="H336" s="129" t="n"/>
      <c r="I336" s="38" t="n"/>
      <c r="J336" s="98">
        <f>IF(A336="","",IF(AND(F336&lt;&gt;"",G336&lt;&gt;""),MAX(0,G336-F336),N(H336)))</f>
        <v/>
      </c>
      <c r="K336" s="55">
        <f>IF(A336="","",ROUND(J336*MileRate,2))</f>
        <v/>
      </c>
      <c r="L336" s="51">
        <f>IF(A336="","",DATE(YEAR(A336),MONTH(A336),1))</f>
        <v/>
      </c>
    </row>
    <row r="337">
      <c r="A337" s="47" t="n"/>
      <c r="B337" s="38" t="n"/>
      <c r="C337" s="38" t="n"/>
      <c r="D337" s="38" t="n"/>
      <c r="E337" s="38" t="n"/>
      <c r="F337" s="128" t="n"/>
      <c r="G337" s="128" t="n"/>
      <c r="H337" s="129" t="n"/>
      <c r="I337" s="38" t="n"/>
      <c r="J337" s="98">
        <f>IF(A337="","",IF(AND(F337&lt;&gt;"",G337&lt;&gt;""),MAX(0,G337-F337),N(H337)))</f>
        <v/>
      </c>
      <c r="K337" s="55">
        <f>IF(A337="","",ROUND(J337*MileRate,2))</f>
        <v/>
      </c>
      <c r="L337" s="51">
        <f>IF(A337="","",DATE(YEAR(A337),MONTH(A337),1))</f>
        <v/>
      </c>
    </row>
    <row r="338">
      <c r="A338" s="47" t="n"/>
      <c r="B338" s="38" t="n"/>
      <c r="C338" s="38" t="n"/>
      <c r="D338" s="38" t="n"/>
      <c r="E338" s="38" t="n"/>
      <c r="F338" s="128" t="n"/>
      <c r="G338" s="128" t="n"/>
      <c r="H338" s="129" t="n"/>
      <c r="I338" s="38" t="n"/>
      <c r="J338" s="98">
        <f>IF(A338="","",IF(AND(F338&lt;&gt;"",G338&lt;&gt;""),MAX(0,G338-F338),N(H338)))</f>
        <v/>
      </c>
      <c r="K338" s="55">
        <f>IF(A338="","",ROUND(J338*MileRate,2))</f>
        <v/>
      </c>
      <c r="L338" s="51">
        <f>IF(A338="","",DATE(YEAR(A338),MONTH(A338),1))</f>
        <v/>
      </c>
    </row>
    <row r="339">
      <c r="A339" s="47" t="n"/>
      <c r="B339" s="38" t="n"/>
      <c r="C339" s="38" t="n"/>
      <c r="D339" s="38" t="n"/>
      <c r="E339" s="38" t="n"/>
      <c r="F339" s="128" t="n"/>
      <c r="G339" s="128" t="n"/>
      <c r="H339" s="129" t="n"/>
      <c r="I339" s="38" t="n"/>
      <c r="J339" s="98">
        <f>IF(A339="","",IF(AND(F339&lt;&gt;"",G339&lt;&gt;""),MAX(0,G339-F339),N(H339)))</f>
        <v/>
      </c>
      <c r="K339" s="55">
        <f>IF(A339="","",ROUND(J339*MileRate,2))</f>
        <v/>
      </c>
      <c r="L339" s="51">
        <f>IF(A339="","",DATE(YEAR(A339),MONTH(A339),1))</f>
        <v/>
      </c>
    </row>
    <row r="340">
      <c r="A340" s="47" t="n"/>
      <c r="B340" s="38" t="n"/>
      <c r="C340" s="38" t="n"/>
      <c r="D340" s="38" t="n"/>
      <c r="E340" s="38" t="n"/>
      <c r="F340" s="128" t="n"/>
      <c r="G340" s="128" t="n"/>
      <c r="H340" s="129" t="n"/>
      <c r="I340" s="38" t="n"/>
      <c r="J340" s="98">
        <f>IF(A340="","",IF(AND(F340&lt;&gt;"",G340&lt;&gt;""),MAX(0,G340-F340),N(H340)))</f>
        <v/>
      </c>
      <c r="K340" s="55">
        <f>IF(A340="","",ROUND(J340*MileRate,2))</f>
        <v/>
      </c>
      <c r="L340" s="51">
        <f>IF(A340="","",DATE(YEAR(A340),MONTH(A340),1))</f>
        <v/>
      </c>
    </row>
    <row r="341">
      <c r="A341" s="47" t="n"/>
      <c r="B341" s="38" t="n"/>
      <c r="C341" s="38" t="n"/>
      <c r="D341" s="38" t="n"/>
      <c r="E341" s="38" t="n"/>
      <c r="F341" s="128" t="n"/>
      <c r="G341" s="128" t="n"/>
      <c r="H341" s="129" t="n"/>
      <c r="I341" s="38" t="n"/>
      <c r="J341" s="98">
        <f>IF(A341="","",IF(AND(F341&lt;&gt;"",G341&lt;&gt;""),MAX(0,G341-F341),N(H341)))</f>
        <v/>
      </c>
      <c r="K341" s="55">
        <f>IF(A341="","",ROUND(J341*MileRate,2))</f>
        <v/>
      </c>
      <c r="L341" s="51">
        <f>IF(A341="","",DATE(YEAR(A341),MONTH(A341),1))</f>
        <v/>
      </c>
    </row>
    <row r="342">
      <c r="A342" s="47" t="n"/>
      <c r="B342" s="38" t="n"/>
      <c r="C342" s="38" t="n"/>
      <c r="D342" s="38" t="n"/>
      <c r="E342" s="38" t="n"/>
      <c r="F342" s="128" t="n"/>
      <c r="G342" s="128" t="n"/>
      <c r="H342" s="129" t="n"/>
      <c r="I342" s="38" t="n"/>
      <c r="J342" s="98">
        <f>IF(A342="","",IF(AND(F342&lt;&gt;"",G342&lt;&gt;""),MAX(0,G342-F342),N(H342)))</f>
        <v/>
      </c>
      <c r="K342" s="55">
        <f>IF(A342="","",ROUND(J342*MileRate,2))</f>
        <v/>
      </c>
      <c r="L342" s="51">
        <f>IF(A342="","",DATE(YEAR(A342),MONTH(A342),1))</f>
        <v/>
      </c>
    </row>
    <row r="343">
      <c r="A343" s="47" t="n"/>
      <c r="B343" s="38" t="n"/>
      <c r="C343" s="38" t="n"/>
      <c r="D343" s="38" t="n"/>
      <c r="E343" s="38" t="n"/>
      <c r="F343" s="128" t="n"/>
      <c r="G343" s="128" t="n"/>
      <c r="H343" s="129" t="n"/>
      <c r="I343" s="38" t="n"/>
      <c r="J343" s="98">
        <f>IF(A343="","",IF(AND(F343&lt;&gt;"",G343&lt;&gt;""),MAX(0,G343-F343),N(H343)))</f>
        <v/>
      </c>
      <c r="K343" s="55">
        <f>IF(A343="","",ROUND(J343*MileRate,2))</f>
        <v/>
      </c>
      <c r="L343" s="51">
        <f>IF(A343="","",DATE(YEAR(A343),MONTH(A343),1))</f>
        <v/>
      </c>
    </row>
    <row r="344">
      <c r="A344" s="47" t="n"/>
      <c r="B344" s="38" t="n"/>
      <c r="C344" s="38" t="n"/>
      <c r="D344" s="38" t="n"/>
      <c r="E344" s="38" t="n"/>
      <c r="F344" s="128" t="n"/>
      <c r="G344" s="128" t="n"/>
      <c r="H344" s="129" t="n"/>
      <c r="I344" s="38" t="n"/>
      <c r="J344" s="98">
        <f>IF(A344="","",IF(AND(F344&lt;&gt;"",G344&lt;&gt;""),MAX(0,G344-F344),N(H344)))</f>
        <v/>
      </c>
      <c r="K344" s="55">
        <f>IF(A344="","",ROUND(J344*MileRate,2))</f>
        <v/>
      </c>
      <c r="L344" s="51">
        <f>IF(A344="","",DATE(YEAR(A344),MONTH(A344),1))</f>
        <v/>
      </c>
    </row>
    <row r="345">
      <c r="A345" s="47" t="n"/>
      <c r="B345" s="38" t="n"/>
      <c r="C345" s="38" t="n"/>
      <c r="D345" s="38" t="n"/>
      <c r="E345" s="38" t="n"/>
      <c r="F345" s="128" t="n"/>
      <c r="G345" s="128" t="n"/>
      <c r="H345" s="129" t="n"/>
      <c r="I345" s="38" t="n"/>
      <c r="J345" s="98">
        <f>IF(A345="","",IF(AND(F345&lt;&gt;"",G345&lt;&gt;""),MAX(0,G345-F345),N(H345)))</f>
        <v/>
      </c>
      <c r="K345" s="55">
        <f>IF(A345="","",ROUND(J345*MileRate,2))</f>
        <v/>
      </c>
      <c r="L345" s="51">
        <f>IF(A345="","",DATE(YEAR(A345),MONTH(A345),1))</f>
        <v/>
      </c>
    </row>
    <row r="346">
      <c r="A346" s="47" t="n"/>
      <c r="B346" s="38" t="n"/>
      <c r="C346" s="38" t="n"/>
      <c r="D346" s="38" t="n"/>
      <c r="E346" s="38" t="n"/>
      <c r="F346" s="128" t="n"/>
      <c r="G346" s="128" t="n"/>
      <c r="H346" s="129" t="n"/>
      <c r="I346" s="38" t="n"/>
      <c r="J346" s="98">
        <f>IF(A346="","",IF(AND(F346&lt;&gt;"",G346&lt;&gt;""),MAX(0,G346-F346),N(H346)))</f>
        <v/>
      </c>
      <c r="K346" s="55">
        <f>IF(A346="","",ROUND(J346*MileRate,2))</f>
        <v/>
      </c>
      <c r="L346" s="51">
        <f>IF(A346="","",DATE(YEAR(A346),MONTH(A346),1))</f>
        <v/>
      </c>
    </row>
    <row r="347">
      <c r="A347" s="47" t="n"/>
      <c r="B347" s="38" t="n"/>
      <c r="C347" s="38" t="n"/>
      <c r="D347" s="38" t="n"/>
      <c r="E347" s="38" t="n"/>
      <c r="F347" s="128" t="n"/>
      <c r="G347" s="128" t="n"/>
      <c r="H347" s="129" t="n"/>
      <c r="I347" s="38" t="n"/>
      <c r="J347" s="98">
        <f>IF(A347="","",IF(AND(F347&lt;&gt;"",G347&lt;&gt;""),MAX(0,G347-F347),N(H347)))</f>
        <v/>
      </c>
      <c r="K347" s="55">
        <f>IF(A347="","",ROUND(J347*MileRate,2))</f>
        <v/>
      </c>
      <c r="L347" s="51">
        <f>IF(A347="","",DATE(YEAR(A347),MONTH(A347),1))</f>
        <v/>
      </c>
    </row>
    <row r="348">
      <c r="A348" s="47" t="n"/>
      <c r="B348" s="38" t="n"/>
      <c r="C348" s="38" t="n"/>
      <c r="D348" s="38" t="n"/>
      <c r="E348" s="38" t="n"/>
      <c r="F348" s="128" t="n"/>
      <c r="G348" s="128" t="n"/>
      <c r="H348" s="129" t="n"/>
      <c r="I348" s="38" t="n"/>
      <c r="J348" s="98">
        <f>IF(A348="","",IF(AND(F348&lt;&gt;"",G348&lt;&gt;""),MAX(0,G348-F348),N(H348)))</f>
        <v/>
      </c>
      <c r="K348" s="55">
        <f>IF(A348="","",ROUND(J348*MileRate,2))</f>
        <v/>
      </c>
      <c r="L348" s="51">
        <f>IF(A348="","",DATE(YEAR(A348),MONTH(A348),1))</f>
        <v/>
      </c>
    </row>
    <row r="349">
      <c r="A349" s="47" t="n"/>
      <c r="B349" s="38" t="n"/>
      <c r="C349" s="38" t="n"/>
      <c r="D349" s="38" t="n"/>
      <c r="E349" s="38" t="n"/>
      <c r="F349" s="128" t="n"/>
      <c r="G349" s="128" t="n"/>
      <c r="H349" s="129" t="n"/>
      <c r="I349" s="38" t="n"/>
      <c r="J349" s="98">
        <f>IF(A349="","",IF(AND(F349&lt;&gt;"",G349&lt;&gt;""),MAX(0,G349-F349),N(H349)))</f>
        <v/>
      </c>
      <c r="K349" s="55">
        <f>IF(A349="","",ROUND(J349*MileRate,2))</f>
        <v/>
      </c>
      <c r="L349" s="51">
        <f>IF(A349="","",DATE(YEAR(A349),MONTH(A349),1))</f>
        <v/>
      </c>
    </row>
    <row r="350">
      <c r="A350" s="47" t="n"/>
      <c r="B350" s="38" t="n"/>
      <c r="C350" s="38" t="n"/>
      <c r="D350" s="38" t="n"/>
      <c r="E350" s="38" t="n"/>
      <c r="F350" s="128" t="n"/>
      <c r="G350" s="128" t="n"/>
      <c r="H350" s="129" t="n"/>
      <c r="I350" s="38" t="n"/>
      <c r="J350" s="98">
        <f>IF(A350="","",IF(AND(F350&lt;&gt;"",G350&lt;&gt;""),MAX(0,G350-F350),N(H350)))</f>
        <v/>
      </c>
      <c r="K350" s="55">
        <f>IF(A350="","",ROUND(J350*MileRate,2))</f>
        <v/>
      </c>
      <c r="L350" s="51">
        <f>IF(A350="","",DATE(YEAR(A350),MONTH(A350),1))</f>
        <v/>
      </c>
    </row>
    <row r="351">
      <c r="A351" s="47" t="n"/>
      <c r="B351" s="38" t="n"/>
      <c r="C351" s="38" t="n"/>
      <c r="D351" s="38" t="n"/>
      <c r="E351" s="38" t="n"/>
      <c r="F351" s="128" t="n"/>
      <c r="G351" s="128" t="n"/>
      <c r="H351" s="129" t="n"/>
      <c r="I351" s="38" t="n"/>
      <c r="J351" s="98">
        <f>IF(A351="","",IF(AND(F351&lt;&gt;"",G351&lt;&gt;""),MAX(0,G351-F351),N(H351)))</f>
        <v/>
      </c>
      <c r="K351" s="55">
        <f>IF(A351="","",ROUND(J351*MileRate,2))</f>
        <v/>
      </c>
      <c r="L351" s="51">
        <f>IF(A351="","",DATE(YEAR(A351),MONTH(A351),1))</f>
        <v/>
      </c>
    </row>
    <row r="352">
      <c r="A352" s="47" t="n"/>
      <c r="B352" s="38" t="n"/>
      <c r="C352" s="38" t="n"/>
      <c r="D352" s="38" t="n"/>
      <c r="E352" s="38" t="n"/>
      <c r="F352" s="128" t="n"/>
      <c r="G352" s="128" t="n"/>
      <c r="H352" s="129" t="n"/>
      <c r="I352" s="38" t="n"/>
      <c r="J352" s="98">
        <f>IF(A352="","",IF(AND(F352&lt;&gt;"",G352&lt;&gt;""),MAX(0,G352-F352),N(H352)))</f>
        <v/>
      </c>
      <c r="K352" s="55">
        <f>IF(A352="","",ROUND(J352*MileRate,2))</f>
        <v/>
      </c>
      <c r="L352" s="51">
        <f>IF(A352="","",DATE(YEAR(A352),MONTH(A352),1))</f>
        <v/>
      </c>
    </row>
    <row r="353">
      <c r="A353" s="47" t="n"/>
      <c r="B353" s="38" t="n"/>
      <c r="C353" s="38" t="n"/>
      <c r="D353" s="38" t="n"/>
      <c r="E353" s="38" t="n"/>
      <c r="F353" s="128" t="n"/>
      <c r="G353" s="128" t="n"/>
      <c r="H353" s="129" t="n"/>
      <c r="I353" s="38" t="n"/>
      <c r="J353" s="98">
        <f>IF(A353="","",IF(AND(F353&lt;&gt;"",G353&lt;&gt;""),MAX(0,G353-F353),N(H353)))</f>
        <v/>
      </c>
      <c r="K353" s="55">
        <f>IF(A353="","",ROUND(J353*MileRate,2))</f>
        <v/>
      </c>
      <c r="L353" s="51">
        <f>IF(A353="","",DATE(YEAR(A353),MONTH(A353),1))</f>
        <v/>
      </c>
    </row>
    <row r="354">
      <c r="A354" s="47" t="n"/>
      <c r="B354" s="38" t="n"/>
      <c r="C354" s="38" t="n"/>
      <c r="D354" s="38" t="n"/>
      <c r="E354" s="38" t="n"/>
      <c r="F354" s="128" t="n"/>
      <c r="G354" s="128" t="n"/>
      <c r="H354" s="129" t="n"/>
      <c r="I354" s="38" t="n"/>
      <c r="J354" s="98">
        <f>IF(A354="","",IF(AND(F354&lt;&gt;"",G354&lt;&gt;""),MAX(0,G354-F354),N(H354)))</f>
        <v/>
      </c>
      <c r="K354" s="55">
        <f>IF(A354="","",ROUND(J354*MileRate,2))</f>
        <v/>
      </c>
      <c r="L354" s="51">
        <f>IF(A354="","",DATE(YEAR(A354),MONTH(A354),1))</f>
        <v/>
      </c>
    </row>
    <row r="355">
      <c r="A355" s="47" t="n"/>
      <c r="B355" s="38" t="n"/>
      <c r="C355" s="38" t="n"/>
      <c r="D355" s="38" t="n"/>
      <c r="E355" s="38" t="n"/>
      <c r="F355" s="128" t="n"/>
      <c r="G355" s="128" t="n"/>
      <c r="H355" s="129" t="n"/>
      <c r="I355" s="38" t="n"/>
      <c r="J355" s="98">
        <f>IF(A355="","",IF(AND(F355&lt;&gt;"",G355&lt;&gt;""),MAX(0,G355-F355),N(H355)))</f>
        <v/>
      </c>
      <c r="K355" s="55">
        <f>IF(A355="","",ROUND(J355*MileRate,2))</f>
        <v/>
      </c>
      <c r="L355" s="51">
        <f>IF(A355="","",DATE(YEAR(A355),MONTH(A355),1))</f>
        <v/>
      </c>
    </row>
    <row r="356">
      <c r="A356" s="47" t="n"/>
      <c r="B356" s="38" t="n"/>
      <c r="C356" s="38" t="n"/>
      <c r="D356" s="38" t="n"/>
      <c r="E356" s="38" t="n"/>
      <c r="F356" s="128" t="n"/>
      <c r="G356" s="128" t="n"/>
      <c r="H356" s="129" t="n"/>
      <c r="I356" s="38" t="n"/>
      <c r="J356" s="98">
        <f>IF(A356="","",IF(AND(F356&lt;&gt;"",G356&lt;&gt;""),MAX(0,G356-F356),N(H356)))</f>
        <v/>
      </c>
      <c r="K356" s="55">
        <f>IF(A356="","",ROUND(J356*MileRate,2))</f>
        <v/>
      </c>
      <c r="L356" s="51">
        <f>IF(A356="","",DATE(YEAR(A356),MONTH(A356),1))</f>
        <v/>
      </c>
    </row>
    <row r="357">
      <c r="A357" s="47" t="n"/>
      <c r="B357" s="38" t="n"/>
      <c r="C357" s="38" t="n"/>
      <c r="D357" s="38" t="n"/>
      <c r="E357" s="38" t="n"/>
      <c r="F357" s="128" t="n"/>
      <c r="G357" s="128" t="n"/>
      <c r="H357" s="129" t="n"/>
      <c r="I357" s="38" t="n"/>
      <c r="J357" s="98">
        <f>IF(A357="","",IF(AND(F357&lt;&gt;"",G357&lt;&gt;""),MAX(0,G357-F357),N(H357)))</f>
        <v/>
      </c>
      <c r="K357" s="55">
        <f>IF(A357="","",ROUND(J357*MileRate,2))</f>
        <v/>
      </c>
      <c r="L357" s="51">
        <f>IF(A357="","",DATE(YEAR(A357),MONTH(A357),1))</f>
        <v/>
      </c>
    </row>
    <row r="358">
      <c r="A358" s="47" t="n"/>
      <c r="B358" s="38" t="n"/>
      <c r="C358" s="38" t="n"/>
      <c r="D358" s="38" t="n"/>
      <c r="E358" s="38" t="n"/>
      <c r="F358" s="128" t="n"/>
      <c r="G358" s="128" t="n"/>
      <c r="H358" s="129" t="n"/>
      <c r="I358" s="38" t="n"/>
      <c r="J358" s="98">
        <f>IF(A358="","",IF(AND(F358&lt;&gt;"",G358&lt;&gt;""),MAX(0,G358-F358),N(H358)))</f>
        <v/>
      </c>
      <c r="K358" s="55">
        <f>IF(A358="","",ROUND(J358*MileRate,2))</f>
        <v/>
      </c>
      <c r="L358" s="51">
        <f>IF(A358="","",DATE(YEAR(A358),MONTH(A358),1))</f>
        <v/>
      </c>
    </row>
    <row r="359">
      <c r="A359" s="47" t="n"/>
      <c r="B359" s="38" t="n"/>
      <c r="C359" s="38" t="n"/>
      <c r="D359" s="38" t="n"/>
      <c r="E359" s="38" t="n"/>
      <c r="F359" s="128" t="n"/>
      <c r="G359" s="128" t="n"/>
      <c r="H359" s="129" t="n"/>
      <c r="I359" s="38" t="n"/>
      <c r="J359" s="98">
        <f>IF(A359="","",IF(AND(F359&lt;&gt;"",G359&lt;&gt;""),MAX(0,G359-F359),N(H359)))</f>
        <v/>
      </c>
      <c r="K359" s="55">
        <f>IF(A359="","",ROUND(J359*MileRate,2))</f>
        <v/>
      </c>
      <c r="L359" s="51">
        <f>IF(A359="","",DATE(YEAR(A359),MONTH(A359),1))</f>
        <v/>
      </c>
    </row>
    <row r="360">
      <c r="A360" s="47" t="n"/>
      <c r="B360" s="38" t="n"/>
      <c r="C360" s="38" t="n"/>
      <c r="D360" s="38" t="n"/>
      <c r="E360" s="38" t="n"/>
      <c r="F360" s="128" t="n"/>
      <c r="G360" s="128" t="n"/>
      <c r="H360" s="129" t="n"/>
      <c r="I360" s="38" t="n"/>
      <c r="J360" s="98">
        <f>IF(A360="","",IF(AND(F360&lt;&gt;"",G360&lt;&gt;""),MAX(0,G360-F360),N(H360)))</f>
        <v/>
      </c>
      <c r="K360" s="55">
        <f>IF(A360="","",ROUND(J360*MileRate,2))</f>
        <v/>
      </c>
      <c r="L360" s="51">
        <f>IF(A360="","",DATE(YEAR(A360),MONTH(A360),1))</f>
        <v/>
      </c>
    </row>
    <row r="361">
      <c r="A361" s="47" t="n"/>
      <c r="B361" s="38" t="n"/>
      <c r="C361" s="38" t="n"/>
      <c r="D361" s="38" t="n"/>
      <c r="E361" s="38" t="n"/>
      <c r="F361" s="128" t="n"/>
      <c r="G361" s="128" t="n"/>
      <c r="H361" s="129" t="n"/>
      <c r="I361" s="38" t="n"/>
      <c r="J361" s="98">
        <f>IF(A361="","",IF(AND(F361&lt;&gt;"",G361&lt;&gt;""),MAX(0,G361-F361),N(H361)))</f>
        <v/>
      </c>
      <c r="K361" s="55">
        <f>IF(A361="","",ROUND(J361*MileRate,2))</f>
        <v/>
      </c>
      <c r="L361" s="51">
        <f>IF(A361="","",DATE(YEAR(A361),MONTH(A361),1))</f>
        <v/>
      </c>
    </row>
    <row r="362">
      <c r="A362" s="47" t="n"/>
      <c r="B362" s="38" t="n"/>
      <c r="C362" s="38" t="n"/>
      <c r="D362" s="38" t="n"/>
      <c r="E362" s="38" t="n"/>
      <c r="F362" s="128" t="n"/>
      <c r="G362" s="128" t="n"/>
      <c r="H362" s="129" t="n"/>
      <c r="I362" s="38" t="n"/>
      <c r="J362" s="98">
        <f>IF(A362="","",IF(AND(F362&lt;&gt;"",G362&lt;&gt;""),MAX(0,G362-F362),N(H362)))</f>
        <v/>
      </c>
      <c r="K362" s="55">
        <f>IF(A362="","",ROUND(J362*MileRate,2))</f>
        <v/>
      </c>
      <c r="L362" s="51">
        <f>IF(A362="","",DATE(YEAR(A362),MONTH(A362),1))</f>
        <v/>
      </c>
    </row>
    <row r="363">
      <c r="A363" s="47" t="n"/>
      <c r="B363" s="38" t="n"/>
      <c r="C363" s="38" t="n"/>
      <c r="D363" s="38" t="n"/>
      <c r="E363" s="38" t="n"/>
      <c r="F363" s="128" t="n"/>
      <c r="G363" s="128" t="n"/>
      <c r="H363" s="129" t="n"/>
      <c r="I363" s="38" t="n"/>
      <c r="J363" s="98">
        <f>IF(A363="","",IF(AND(F363&lt;&gt;"",G363&lt;&gt;""),MAX(0,G363-F363),N(H363)))</f>
        <v/>
      </c>
      <c r="K363" s="55">
        <f>IF(A363="","",ROUND(J363*MileRate,2))</f>
        <v/>
      </c>
      <c r="L363" s="51">
        <f>IF(A363="","",DATE(YEAR(A363),MONTH(A363),1))</f>
        <v/>
      </c>
    </row>
    <row r="364">
      <c r="A364" s="47" t="n"/>
      <c r="B364" s="38" t="n"/>
      <c r="C364" s="38" t="n"/>
      <c r="D364" s="38" t="n"/>
      <c r="E364" s="38" t="n"/>
      <c r="F364" s="128" t="n"/>
      <c r="G364" s="128" t="n"/>
      <c r="H364" s="129" t="n"/>
      <c r="I364" s="38" t="n"/>
      <c r="J364" s="98">
        <f>IF(A364="","",IF(AND(F364&lt;&gt;"",G364&lt;&gt;""),MAX(0,G364-F364),N(H364)))</f>
        <v/>
      </c>
      <c r="K364" s="55">
        <f>IF(A364="","",ROUND(J364*MileRate,2))</f>
        <v/>
      </c>
      <c r="L364" s="51">
        <f>IF(A364="","",DATE(YEAR(A364),MONTH(A364),1))</f>
        <v/>
      </c>
    </row>
    <row r="365">
      <c r="A365" s="47" t="n"/>
      <c r="B365" s="38" t="n"/>
      <c r="C365" s="38" t="n"/>
      <c r="D365" s="38" t="n"/>
      <c r="E365" s="38" t="n"/>
      <c r="F365" s="128" t="n"/>
      <c r="G365" s="128" t="n"/>
      <c r="H365" s="129" t="n"/>
      <c r="I365" s="38" t="n"/>
      <c r="J365" s="98">
        <f>IF(A365="","",IF(AND(F365&lt;&gt;"",G365&lt;&gt;""),MAX(0,G365-F365),N(H365)))</f>
        <v/>
      </c>
      <c r="K365" s="55">
        <f>IF(A365="","",ROUND(J365*MileRate,2))</f>
        <v/>
      </c>
      <c r="L365" s="51">
        <f>IF(A365="","",DATE(YEAR(A365),MONTH(A365),1))</f>
        <v/>
      </c>
    </row>
    <row r="366">
      <c r="A366" s="47" t="n"/>
      <c r="B366" s="38" t="n"/>
      <c r="C366" s="38" t="n"/>
      <c r="D366" s="38" t="n"/>
      <c r="E366" s="38" t="n"/>
      <c r="F366" s="128" t="n"/>
      <c r="G366" s="128" t="n"/>
      <c r="H366" s="129" t="n"/>
      <c r="I366" s="38" t="n"/>
      <c r="J366" s="98">
        <f>IF(A366="","",IF(AND(F366&lt;&gt;"",G366&lt;&gt;""),MAX(0,G366-F366),N(H366)))</f>
        <v/>
      </c>
      <c r="K366" s="55">
        <f>IF(A366="","",ROUND(J366*MileRate,2))</f>
        <v/>
      </c>
      <c r="L366" s="51">
        <f>IF(A366="","",DATE(YEAR(A366),MONTH(A366),1))</f>
        <v/>
      </c>
    </row>
    <row r="367">
      <c r="A367" s="47" t="n"/>
      <c r="B367" s="38" t="n"/>
      <c r="C367" s="38" t="n"/>
      <c r="D367" s="38" t="n"/>
      <c r="E367" s="38" t="n"/>
      <c r="F367" s="128" t="n"/>
      <c r="G367" s="128" t="n"/>
      <c r="H367" s="129" t="n"/>
      <c r="I367" s="38" t="n"/>
      <c r="J367" s="98">
        <f>IF(A367="","",IF(AND(F367&lt;&gt;"",G367&lt;&gt;""),MAX(0,G367-F367),N(H367)))</f>
        <v/>
      </c>
      <c r="K367" s="55">
        <f>IF(A367="","",ROUND(J367*MileRate,2))</f>
        <v/>
      </c>
      <c r="L367" s="51">
        <f>IF(A367="","",DATE(YEAR(A367),MONTH(A367),1))</f>
        <v/>
      </c>
    </row>
    <row r="368">
      <c r="A368" s="47" t="n"/>
      <c r="B368" s="38" t="n"/>
      <c r="C368" s="38" t="n"/>
      <c r="D368" s="38" t="n"/>
      <c r="E368" s="38" t="n"/>
      <c r="F368" s="128" t="n"/>
      <c r="G368" s="128" t="n"/>
      <c r="H368" s="129" t="n"/>
      <c r="I368" s="38" t="n"/>
      <c r="J368" s="98">
        <f>IF(A368="","",IF(AND(F368&lt;&gt;"",G368&lt;&gt;""),MAX(0,G368-F368),N(H368)))</f>
        <v/>
      </c>
      <c r="K368" s="55">
        <f>IF(A368="","",ROUND(J368*MileRate,2))</f>
        <v/>
      </c>
      <c r="L368" s="51">
        <f>IF(A368="","",DATE(YEAR(A368),MONTH(A368),1))</f>
        <v/>
      </c>
    </row>
    <row r="369">
      <c r="A369" s="47" t="n"/>
      <c r="B369" s="38" t="n"/>
      <c r="C369" s="38" t="n"/>
      <c r="D369" s="38" t="n"/>
      <c r="E369" s="38" t="n"/>
      <c r="F369" s="128" t="n"/>
      <c r="G369" s="128" t="n"/>
      <c r="H369" s="129" t="n"/>
      <c r="I369" s="38" t="n"/>
      <c r="J369" s="98">
        <f>IF(A369="","",IF(AND(F369&lt;&gt;"",G369&lt;&gt;""),MAX(0,G369-F369),N(H369)))</f>
        <v/>
      </c>
      <c r="K369" s="55">
        <f>IF(A369="","",ROUND(J369*MileRate,2))</f>
        <v/>
      </c>
      <c r="L369" s="51">
        <f>IF(A369="","",DATE(YEAR(A369),MONTH(A369),1))</f>
        <v/>
      </c>
    </row>
    <row r="370">
      <c r="A370" s="47" t="n"/>
      <c r="B370" s="38" t="n"/>
      <c r="C370" s="38" t="n"/>
      <c r="D370" s="38" t="n"/>
      <c r="E370" s="38" t="n"/>
      <c r="F370" s="128" t="n"/>
      <c r="G370" s="128" t="n"/>
      <c r="H370" s="129" t="n"/>
      <c r="I370" s="38" t="n"/>
      <c r="J370" s="98">
        <f>IF(A370="","",IF(AND(F370&lt;&gt;"",G370&lt;&gt;""),MAX(0,G370-F370),N(H370)))</f>
        <v/>
      </c>
      <c r="K370" s="55">
        <f>IF(A370="","",ROUND(J370*MileRate,2))</f>
        <v/>
      </c>
      <c r="L370" s="51">
        <f>IF(A370="","",DATE(YEAR(A370),MONTH(A370),1))</f>
        <v/>
      </c>
    </row>
    <row r="371">
      <c r="A371" s="47" t="n"/>
      <c r="B371" s="38" t="n"/>
      <c r="C371" s="38" t="n"/>
      <c r="D371" s="38" t="n"/>
      <c r="E371" s="38" t="n"/>
      <c r="F371" s="128" t="n"/>
      <c r="G371" s="128" t="n"/>
      <c r="H371" s="129" t="n"/>
      <c r="I371" s="38" t="n"/>
      <c r="J371" s="98">
        <f>IF(A371="","",IF(AND(F371&lt;&gt;"",G371&lt;&gt;""),MAX(0,G371-F371),N(H371)))</f>
        <v/>
      </c>
      <c r="K371" s="55">
        <f>IF(A371="","",ROUND(J371*MileRate,2))</f>
        <v/>
      </c>
      <c r="L371" s="51">
        <f>IF(A371="","",DATE(YEAR(A371),MONTH(A371),1))</f>
        <v/>
      </c>
    </row>
    <row r="372">
      <c r="A372" s="47" t="n"/>
      <c r="B372" s="38" t="n"/>
      <c r="C372" s="38" t="n"/>
      <c r="D372" s="38" t="n"/>
      <c r="E372" s="38" t="n"/>
      <c r="F372" s="128" t="n"/>
      <c r="G372" s="128" t="n"/>
      <c r="H372" s="129" t="n"/>
      <c r="I372" s="38" t="n"/>
      <c r="J372" s="98">
        <f>IF(A372="","",IF(AND(F372&lt;&gt;"",G372&lt;&gt;""),MAX(0,G372-F372),N(H372)))</f>
        <v/>
      </c>
      <c r="K372" s="55">
        <f>IF(A372="","",ROUND(J372*MileRate,2))</f>
        <v/>
      </c>
      <c r="L372" s="51">
        <f>IF(A372="","",DATE(YEAR(A372),MONTH(A372),1))</f>
        <v/>
      </c>
    </row>
    <row r="373">
      <c r="A373" s="47" t="n"/>
      <c r="B373" s="38" t="n"/>
      <c r="C373" s="38" t="n"/>
      <c r="D373" s="38" t="n"/>
      <c r="E373" s="38" t="n"/>
      <c r="F373" s="128" t="n"/>
      <c r="G373" s="128" t="n"/>
      <c r="H373" s="129" t="n"/>
      <c r="I373" s="38" t="n"/>
      <c r="J373" s="98">
        <f>IF(A373="","",IF(AND(F373&lt;&gt;"",G373&lt;&gt;""),MAX(0,G373-F373),N(H373)))</f>
        <v/>
      </c>
      <c r="K373" s="55">
        <f>IF(A373="","",ROUND(J373*MileRate,2))</f>
        <v/>
      </c>
      <c r="L373" s="51">
        <f>IF(A373="","",DATE(YEAR(A373),MONTH(A373),1))</f>
        <v/>
      </c>
    </row>
    <row r="374">
      <c r="A374" s="47" t="n"/>
      <c r="B374" s="38" t="n"/>
      <c r="C374" s="38" t="n"/>
      <c r="D374" s="38" t="n"/>
      <c r="E374" s="38" t="n"/>
      <c r="F374" s="128" t="n"/>
      <c r="G374" s="128" t="n"/>
      <c r="H374" s="129" t="n"/>
      <c r="I374" s="38" t="n"/>
      <c r="J374" s="98">
        <f>IF(A374="","",IF(AND(F374&lt;&gt;"",G374&lt;&gt;""),MAX(0,G374-F374),N(H374)))</f>
        <v/>
      </c>
      <c r="K374" s="55">
        <f>IF(A374="","",ROUND(J374*MileRate,2))</f>
        <v/>
      </c>
      <c r="L374" s="51">
        <f>IF(A374="","",DATE(YEAR(A374),MONTH(A374),1))</f>
        <v/>
      </c>
    </row>
    <row r="375">
      <c r="A375" s="47" t="n"/>
      <c r="B375" s="38" t="n"/>
      <c r="C375" s="38" t="n"/>
      <c r="D375" s="38" t="n"/>
      <c r="E375" s="38" t="n"/>
      <c r="F375" s="128" t="n"/>
      <c r="G375" s="128" t="n"/>
      <c r="H375" s="129" t="n"/>
      <c r="I375" s="38" t="n"/>
      <c r="J375" s="98">
        <f>IF(A375="","",IF(AND(F375&lt;&gt;"",G375&lt;&gt;""),MAX(0,G375-F375),N(H375)))</f>
        <v/>
      </c>
      <c r="K375" s="55">
        <f>IF(A375="","",ROUND(J375*MileRate,2))</f>
        <v/>
      </c>
      <c r="L375" s="51">
        <f>IF(A375="","",DATE(YEAR(A375),MONTH(A375),1))</f>
        <v/>
      </c>
    </row>
    <row r="376">
      <c r="A376" s="47" t="n"/>
      <c r="B376" s="38" t="n"/>
      <c r="C376" s="38" t="n"/>
      <c r="D376" s="38" t="n"/>
      <c r="E376" s="38" t="n"/>
      <c r="F376" s="128" t="n"/>
      <c r="G376" s="128" t="n"/>
      <c r="H376" s="129" t="n"/>
      <c r="I376" s="38" t="n"/>
      <c r="J376" s="98">
        <f>IF(A376="","",IF(AND(F376&lt;&gt;"",G376&lt;&gt;""),MAX(0,G376-F376),N(H376)))</f>
        <v/>
      </c>
      <c r="K376" s="55">
        <f>IF(A376="","",ROUND(J376*MileRate,2))</f>
        <v/>
      </c>
      <c r="L376" s="51">
        <f>IF(A376="","",DATE(YEAR(A376),MONTH(A376),1))</f>
        <v/>
      </c>
    </row>
    <row r="377">
      <c r="A377" s="47" t="n"/>
      <c r="B377" s="38" t="n"/>
      <c r="C377" s="38" t="n"/>
      <c r="D377" s="38" t="n"/>
      <c r="E377" s="38" t="n"/>
      <c r="F377" s="128" t="n"/>
      <c r="G377" s="128" t="n"/>
      <c r="H377" s="129" t="n"/>
      <c r="I377" s="38" t="n"/>
      <c r="J377" s="98">
        <f>IF(A377="","",IF(AND(F377&lt;&gt;"",G377&lt;&gt;""),MAX(0,G377-F377),N(H377)))</f>
        <v/>
      </c>
      <c r="K377" s="55">
        <f>IF(A377="","",ROUND(J377*MileRate,2))</f>
        <v/>
      </c>
      <c r="L377" s="51">
        <f>IF(A377="","",DATE(YEAR(A377),MONTH(A377),1))</f>
        <v/>
      </c>
    </row>
    <row r="378">
      <c r="A378" s="47" t="n"/>
      <c r="B378" s="38" t="n"/>
      <c r="C378" s="38" t="n"/>
      <c r="D378" s="38" t="n"/>
      <c r="E378" s="38" t="n"/>
      <c r="F378" s="128" t="n"/>
      <c r="G378" s="128" t="n"/>
      <c r="H378" s="129" t="n"/>
      <c r="I378" s="38" t="n"/>
      <c r="J378" s="98">
        <f>IF(A378="","",IF(AND(F378&lt;&gt;"",G378&lt;&gt;""),MAX(0,G378-F378),N(H378)))</f>
        <v/>
      </c>
      <c r="K378" s="55">
        <f>IF(A378="","",ROUND(J378*MileRate,2))</f>
        <v/>
      </c>
      <c r="L378" s="51">
        <f>IF(A378="","",DATE(YEAR(A378),MONTH(A378),1))</f>
        <v/>
      </c>
    </row>
    <row r="379">
      <c r="A379" s="47" t="n"/>
      <c r="B379" s="38" t="n"/>
      <c r="C379" s="38" t="n"/>
      <c r="D379" s="38" t="n"/>
      <c r="E379" s="38" t="n"/>
      <c r="F379" s="128" t="n"/>
      <c r="G379" s="128" t="n"/>
      <c r="H379" s="129" t="n"/>
      <c r="I379" s="38" t="n"/>
      <c r="J379" s="98">
        <f>IF(A379="","",IF(AND(F379&lt;&gt;"",G379&lt;&gt;""),MAX(0,G379-F379),N(H379)))</f>
        <v/>
      </c>
      <c r="K379" s="55">
        <f>IF(A379="","",ROUND(J379*MileRate,2))</f>
        <v/>
      </c>
      <c r="L379" s="51">
        <f>IF(A379="","",DATE(YEAR(A379),MONTH(A379),1))</f>
        <v/>
      </c>
    </row>
    <row r="380">
      <c r="A380" s="47" t="n"/>
      <c r="B380" s="38" t="n"/>
      <c r="C380" s="38" t="n"/>
      <c r="D380" s="38" t="n"/>
      <c r="E380" s="38" t="n"/>
      <c r="F380" s="128" t="n"/>
      <c r="G380" s="128" t="n"/>
      <c r="H380" s="129" t="n"/>
      <c r="I380" s="38" t="n"/>
      <c r="J380" s="98">
        <f>IF(A380="","",IF(AND(F380&lt;&gt;"",G380&lt;&gt;""),MAX(0,G380-F380),N(H380)))</f>
        <v/>
      </c>
      <c r="K380" s="55">
        <f>IF(A380="","",ROUND(J380*MileRate,2))</f>
        <v/>
      </c>
      <c r="L380" s="51">
        <f>IF(A380="","",DATE(YEAR(A380),MONTH(A380),1))</f>
        <v/>
      </c>
    </row>
    <row r="381">
      <c r="A381" s="47" t="n"/>
      <c r="B381" s="38" t="n"/>
      <c r="C381" s="38" t="n"/>
      <c r="D381" s="38" t="n"/>
      <c r="E381" s="38" t="n"/>
      <c r="F381" s="128" t="n"/>
      <c r="G381" s="128" t="n"/>
      <c r="H381" s="129" t="n"/>
      <c r="I381" s="38" t="n"/>
      <c r="J381" s="98">
        <f>IF(A381="","",IF(AND(F381&lt;&gt;"",G381&lt;&gt;""),MAX(0,G381-F381),N(H381)))</f>
        <v/>
      </c>
      <c r="K381" s="55">
        <f>IF(A381="","",ROUND(J381*MileRate,2))</f>
        <v/>
      </c>
      <c r="L381" s="51">
        <f>IF(A381="","",DATE(YEAR(A381),MONTH(A381),1))</f>
        <v/>
      </c>
    </row>
    <row r="382">
      <c r="A382" s="47" t="n"/>
      <c r="B382" s="38" t="n"/>
      <c r="C382" s="38" t="n"/>
      <c r="D382" s="38" t="n"/>
      <c r="E382" s="38" t="n"/>
      <c r="F382" s="128" t="n"/>
      <c r="G382" s="128" t="n"/>
      <c r="H382" s="129" t="n"/>
      <c r="I382" s="38" t="n"/>
      <c r="J382" s="98">
        <f>IF(A382="","",IF(AND(F382&lt;&gt;"",G382&lt;&gt;""),MAX(0,G382-F382),N(H382)))</f>
        <v/>
      </c>
      <c r="K382" s="55">
        <f>IF(A382="","",ROUND(J382*MileRate,2))</f>
        <v/>
      </c>
      <c r="L382" s="51">
        <f>IF(A382="","",DATE(YEAR(A382),MONTH(A382),1))</f>
        <v/>
      </c>
    </row>
    <row r="383">
      <c r="A383" s="47" t="n"/>
      <c r="B383" s="38" t="n"/>
      <c r="C383" s="38" t="n"/>
      <c r="D383" s="38" t="n"/>
      <c r="E383" s="38" t="n"/>
      <c r="F383" s="128" t="n"/>
      <c r="G383" s="128" t="n"/>
      <c r="H383" s="129" t="n"/>
      <c r="I383" s="38" t="n"/>
      <c r="J383" s="98">
        <f>IF(A383="","",IF(AND(F383&lt;&gt;"",G383&lt;&gt;""),MAX(0,G383-F383),N(H383)))</f>
        <v/>
      </c>
      <c r="K383" s="55">
        <f>IF(A383="","",ROUND(J383*MileRate,2))</f>
        <v/>
      </c>
      <c r="L383" s="51">
        <f>IF(A383="","",DATE(YEAR(A383),MONTH(A383),1))</f>
        <v/>
      </c>
    </row>
    <row r="384">
      <c r="A384" s="47" t="n"/>
      <c r="B384" s="38" t="n"/>
      <c r="C384" s="38" t="n"/>
      <c r="D384" s="38" t="n"/>
      <c r="E384" s="38" t="n"/>
      <c r="F384" s="128" t="n"/>
      <c r="G384" s="128" t="n"/>
      <c r="H384" s="129" t="n"/>
      <c r="I384" s="38" t="n"/>
      <c r="J384" s="98">
        <f>IF(A384="","",IF(AND(F384&lt;&gt;"",G384&lt;&gt;""),MAX(0,G384-F384),N(H384)))</f>
        <v/>
      </c>
      <c r="K384" s="55">
        <f>IF(A384="","",ROUND(J384*MileRate,2))</f>
        <v/>
      </c>
      <c r="L384" s="51">
        <f>IF(A384="","",DATE(YEAR(A384),MONTH(A384),1))</f>
        <v/>
      </c>
    </row>
    <row r="385">
      <c r="A385" s="47" t="n"/>
      <c r="B385" s="38" t="n"/>
      <c r="C385" s="38" t="n"/>
      <c r="D385" s="38" t="n"/>
      <c r="E385" s="38" t="n"/>
      <c r="F385" s="128" t="n"/>
      <c r="G385" s="128" t="n"/>
      <c r="H385" s="129" t="n"/>
      <c r="I385" s="38" t="n"/>
      <c r="J385" s="98">
        <f>IF(A385="","",IF(AND(F385&lt;&gt;"",G385&lt;&gt;""),MAX(0,G385-F385),N(H385)))</f>
        <v/>
      </c>
      <c r="K385" s="55">
        <f>IF(A385="","",ROUND(J385*MileRate,2))</f>
        <v/>
      </c>
      <c r="L385" s="51">
        <f>IF(A385="","",DATE(YEAR(A385),MONTH(A385),1))</f>
        <v/>
      </c>
    </row>
    <row r="386">
      <c r="A386" s="47" t="n"/>
      <c r="B386" s="38" t="n"/>
      <c r="C386" s="38" t="n"/>
      <c r="D386" s="38" t="n"/>
      <c r="E386" s="38" t="n"/>
      <c r="F386" s="128" t="n"/>
      <c r="G386" s="128" t="n"/>
      <c r="H386" s="129" t="n"/>
      <c r="I386" s="38" t="n"/>
      <c r="J386" s="98">
        <f>IF(A386="","",IF(AND(F386&lt;&gt;"",G386&lt;&gt;""),MAX(0,G386-F386),N(H386)))</f>
        <v/>
      </c>
      <c r="K386" s="55">
        <f>IF(A386="","",ROUND(J386*MileRate,2))</f>
        <v/>
      </c>
      <c r="L386" s="51">
        <f>IF(A386="","",DATE(YEAR(A386),MONTH(A386),1))</f>
        <v/>
      </c>
    </row>
    <row r="387">
      <c r="A387" s="47" t="n"/>
      <c r="B387" s="38" t="n"/>
      <c r="C387" s="38" t="n"/>
      <c r="D387" s="38" t="n"/>
      <c r="E387" s="38" t="n"/>
      <c r="F387" s="128" t="n"/>
      <c r="G387" s="128" t="n"/>
      <c r="H387" s="129" t="n"/>
      <c r="I387" s="38" t="n"/>
      <c r="J387" s="98">
        <f>IF(A387="","",IF(AND(F387&lt;&gt;"",G387&lt;&gt;""),MAX(0,G387-F387),N(H387)))</f>
        <v/>
      </c>
      <c r="K387" s="55">
        <f>IF(A387="","",ROUND(J387*MileRate,2))</f>
        <v/>
      </c>
      <c r="L387" s="51">
        <f>IF(A387="","",DATE(YEAR(A387),MONTH(A387),1))</f>
        <v/>
      </c>
    </row>
    <row r="388">
      <c r="A388" s="47" t="n"/>
      <c r="B388" s="38" t="n"/>
      <c r="C388" s="38" t="n"/>
      <c r="D388" s="38" t="n"/>
      <c r="E388" s="38" t="n"/>
      <c r="F388" s="128" t="n"/>
      <c r="G388" s="128" t="n"/>
      <c r="H388" s="129" t="n"/>
      <c r="I388" s="38" t="n"/>
      <c r="J388" s="98">
        <f>IF(A388="","",IF(AND(F388&lt;&gt;"",G388&lt;&gt;""),MAX(0,G388-F388),N(H388)))</f>
        <v/>
      </c>
      <c r="K388" s="55">
        <f>IF(A388="","",ROUND(J388*MileRate,2))</f>
        <v/>
      </c>
      <c r="L388" s="51">
        <f>IF(A388="","",DATE(YEAR(A388),MONTH(A388),1))</f>
        <v/>
      </c>
    </row>
    <row r="389">
      <c r="A389" s="47" t="n"/>
      <c r="B389" s="38" t="n"/>
      <c r="C389" s="38" t="n"/>
      <c r="D389" s="38" t="n"/>
      <c r="E389" s="38" t="n"/>
      <c r="F389" s="128" t="n"/>
      <c r="G389" s="128" t="n"/>
      <c r="H389" s="129" t="n"/>
      <c r="I389" s="38" t="n"/>
      <c r="J389" s="98">
        <f>IF(A389="","",IF(AND(F389&lt;&gt;"",G389&lt;&gt;""),MAX(0,G389-F389),N(H389)))</f>
        <v/>
      </c>
      <c r="K389" s="55">
        <f>IF(A389="","",ROUND(J389*MileRate,2))</f>
        <v/>
      </c>
      <c r="L389" s="51">
        <f>IF(A389="","",DATE(YEAR(A389),MONTH(A389),1))</f>
        <v/>
      </c>
    </row>
    <row r="390">
      <c r="A390" s="47" t="n"/>
      <c r="B390" s="38" t="n"/>
      <c r="C390" s="38" t="n"/>
      <c r="D390" s="38" t="n"/>
      <c r="E390" s="38" t="n"/>
      <c r="F390" s="128" t="n"/>
      <c r="G390" s="128" t="n"/>
      <c r="H390" s="129" t="n"/>
      <c r="I390" s="38" t="n"/>
      <c r="J390" s="98">
        <f>IF(A390="","",IF(AND(F390&lt;&gt;"",G390&lt;&gt;""),MAX(0,G390-F390),N(H390)))</f>
        <v/>
      </c>
      <c r="K390" s="55">
        <f>IF(A390="","",ROUND(J390*MileRate,2))</f>
        <v/>
      </c>
      <c r="L390" s="51">
        <f>IF(A390="","",DATE(YEAR(A390),MONTH(A390),1))</f>
        <v/>
      </c>
    </row>
    <row r="391">
      <c r="A391" s="47" t="n"/>
      <c r="B391" s="38" t="n"/>
      <c r="C391" s="38" t="n"/>
      <c r="D391" s="38" t="n"/>
      <c r="E391" s="38" t="n"/>
      <c r="F391" s="128" t="n"/>
      <c r="G391" s="128" t="n"/>
      <c r="H391" s="129" t="n"/>
      <c r="I391" s="38" t="n"/>
      <c r="J391" s="98">
        <f>IF(A391="","",IF(AND(F391&lt;&gt;"",G391&lt;&gt;""),MAX(0,G391-F391),N(H391)))</f>
        <v/>
      </c>
      <c r="K391" s="55">
        <f>IF(A391="","",ROUND(J391*MileRate,2))</f>
        <v/>
      </c>
      <c r="L391" s="51">
        <f>IF(A391="","",DATE(YEAR(A391),MONTH(A391),1))</f>
        <v/>
      </c>
    </row>
    <row r="392">
      <c r="A392" s="47" t="n"/>
      <c r="B392" s="38" t="n"/>
      <c r="C392" s="38" t="n"/>
      <c r="D392" s="38" t="n"/>
      <c r="E392" s="38" t="n"/>
      <c r="F392" s="128" t="n"/>
      <c r="G392" s="128" t="n"/>
      <c r="H392" s="129" t="n"/>
      <c r="I392" s="38" t="n"/>
      <c r="J392" s="98">
        <f>IF(A392="","",IF(AND(F392&lt;&gt;"",G392&lt;&gt;""),MAX(0,G392-F392),N(H392)))</f>
        <v/>
      </c>
      <c r="K392" s="55">
        <f>IF(A392="","",ROUND(J392*MileRate,2))</f>
        <v/>
      </c>
      <c r="L392" s="51">
        <f>IF(A392="","",DATE(YEAR(A392),MONTH(A392),1))</f>
        <v/>
      </c>
    </row>
    <row r="393">
      <c r="A393" s="47" t="n"/>
      <c r="B393" s="38" t="n"/>
      <c r="C393" s="38" t="n"/>
      <c r="D393" s="38" t="n"/>
      <c r="E393" s="38" t="n"/>
      <c r="F393" s="128" t="n"/>
      <c r="G393" s="128" t="n"/>
      <c r="H393" s="129" t="n"/>
      <c r="I393" s="38" t="n"/>
      <c r="J393" s="98">
        <f>IF(A393="","",IF(AND(F393&lt;&gt;"",G393&lt;&gt;""),MAX(0,G393-F393),N(H393)))</f>
        <v/>
      </c>
      <c r="K393" s="55">
        <f>IF(A393="","",ROUND(J393*MileRate,2))</f>
        <v/>
      </c>
      <c r="L393" s="51">
        <f>IF(A393="","",DATE(YEAR(A393),MONTH(A393),1))</f>
        <v/>
      </c>
    </row>
    <row r="394">
      <c r="A394" s="47" t="n"/>
      <c r="B394" s="38" t="n"/>
      <c r="C394" s="38" t="n"/>
      <c r="D394" s="38" t="n"/>
      <c r="E394" s="38" t="n"/>
      <c r="F394" s="128" t="n"/>
      <c r="G394" s="128" t="n"/>
      <c r="H394" s="129" t="n"/>
      <c r="I394" s="38" t="n"/>
      <c r="J394" s="98">
        <f>IF(A394="","",IF(AND(F394&lt;&gt;"",G394&lt;&gt;""),MAX(0,G394-F394),N(H394)))</f>
        <v/>
      </c>
      <c r="K394" s="55">
        <f>IF(A394="","",ROUND(J394*MileRate,2))</f>
        <v/>
      </c>
      <c r="L394" s="51">
        <f>IF(A394="","",DATE(YEAR(A394),MONTH(A394),1))</f>
        <v/>
      </c>
    </row>
    <row r="395">
      <c r="A395" s="47" t="n"/>
      <c r="B395" s="38" t="n"/>
      <c r="C395" s="38" t="n"/>
      <c r="D395" s="38" t="n"/>
      <c r="E395" s="38" t="n"/>
      <c r="F395" s="128" t="n"/>
      <c r="G395" s="128" t="n"/>
      <c r="H395" s="129" t="n"/>
      <c r="I395" s="38" t="n"/>
      <c r="J395" s="98">
        <f>IF(A395="","",IF(AND(F395&lt;&gt;"",G395&lt;&gt;""),MAX(0,G395-F395),N(H395)))</f>
        <v/>
      </c>
      <c r="K395" s="55">
        <f>IF(A395="","",ROUND(J395*MileRate,2))</f>
        <v/>
      </c>
      <c r="L395" s="51">
        <f>IF(A395="","",DATE(YEAR(A395),MONTH(A395),1))</f>
        <v/>
      </c>
    </row>
    <row r="396">
      <c r="A396" s="47" t="n"/>
      <c r="B396" s="38" t="n"/>
      <c r="C396" s="38" t="n"/>
      <c r="D396" s="38" t="n"/>
      <c r="E396" s="38" t="n"/>
      <c r="F396" s="128" t="n"/>
      <c r="G396" s="128" t="n"/>
      <c r="H396" s="129" t="n"/>
      <c r="I396" s="38" t="n"/>
      <c r="J396" s="98">
        <f>IF(A396="","",IF(AND(F396&lt;&gt;"",G396&lt;&gt;""),MAX(0,G396-F396),N(H396)))</f>
        <v/>
      </c>
      <c r="K396" s="55">
        <f>IF(A396="","",ROUND(J396*MileRate,2))</f>
        <v/>
      </c>
      <c r="L396" s="51">
        <f>IF(A396="","",DATE(YEAR(A396),MONTH(A396),1))</f>
        <v/>
      </c>
    </row>
    <row r="397">
      <c r="A397" s="47" t="n"/>
      <c r="B397" s="38" t="n"/>
      <c r="C397" s="38" t="n"/>
      <c r="D397" s="38" t="n"/>
      <c r="E397" s="38" t="n"/>
      <c r="F397" s="128" t="n"/>
      <c r="G397" s="128" t="n"/>
      <c r="H397" s="129" t="n"/>
      <c r="I397" s="38" t="n"/>
      <c r="J397" s="98">
        <f>IF(A397="","",IF(AND(F397&lt;&gt;"",G397&lt;&gt;""),MAX(0,G397-F397),N(H397)))</f>
        <v/>
      </c>
      <c r="K397" s="55">
        <f>IF(A397="","",ROUND(J397*MileRate,2))</f>
        <v/>
      </c>
      <c r="L397" s="51">
        <f>IF(A397="","",DATE(YEAR(A397),MONTH(A397),1))</f>
        <v/>
      </c>
    </row>
    <row r="398">
      <c r="A398" s="47" t="n"/>
      <c r="B398" s="38" t="n"/>
      <c r="C398" s="38" t="n"/>
      <c r="D398" s="38" t="n"/>
      <c r="E398" s="38" t="n"/>
      <c r="F398" s="128" t="n"/>
      <c r="G398" s="128" t="n"/>
      <c r="H398" s="129" t="n"/>
      <c r="I398" s="38" t="n"/>
      <c r="J398" s="98">
        <f>IF(A398="","",IF(AND(F398&lt;&gt;"",G398&lt;&gt;""),MAX(0,G398-F398),N(H398)))</f>
        <v/>
      </c>
      <c r="K398" s="55">
        <f>IF(A398="","",ROUND(J398*MileRate,2))</f>
        <v/>
      </c>
      <c r="L398" s="51">
        <f>IF(A398="","",DATE(YEAR(A398),MONTH(A398),1))</f>
        <v/>
      </c>
    </row>
    <row r="399">
      <c r="A399" s="47" t="n"/>
      <c r="B399" s="38" t="n"/>
      <c r="C399" s="38" t="n"/>
      <c r="D399" s="38" t="n"/>
      <c r="E399" s="38" t="n"/>
      <c r="F399" s="128" t="n"/>
      <c r="G399" s="128" t="n"/>
      <c r="H399" s="129" t="n"/>
      <c r="I399" s="38" t="n"/>
      <c r="J399" s="98">
        <f>IF(A399="","",IF(AND(F399&lt;&gt;"",G399&lt;&gt;""),MAX(0,G399-F399),N(H399)))</f>
        <v/>
      </c>
      <c r="K399" s="55">
        <f>IF(A399="","",ROUND(J399*MileRate,2))</f>
        <v/>
      </c>
      <c r="L399" s="51">
        <f>IF(A399="","",DATE(YEAR(A399),MONTH(A399),1))</f>
        <v/>
      </c>
    </row>
    <row r="400">
      <c r="A400" s="47" t="n"/>
      <c r="B400" s="38" t="n"/>
      <c r="C400" s="38" t="n"/>
      <c r="D400" s="38" t="n"/>
      <c r="E400" s="38" t="n"/>
      <c r="F400" s="128" t="n"/>
      <c r="G400" s="128" t="n"/>
      <c r="H400" s="129" t="n"/>
      <c r="I400" s="38" t="n"/>
      <c r="J400" s="98">
        <f>IF(A400="","",IF(AND(F400&lt;&gt;"",G400&lt;&gt;""),MAX(0,G400-F400),N(H400)))</f>
        <v/>
      </c>
      <c r="K400" s="55">
        <f>IF(A400="","",ROUND(J400*MileRate,2))</f>
        <v/>
      </c>
      <c r="L400" s="51">
        <f>IF(A400="","",DATE(YEAR(A400),MONTH(A400),1))</f>
        <v/>
      </c>
    </row>
    <row r="401">
      <c r="A401" s="47" t="n"/>
      <c r="B401" s="38" t="n"/>
      <c r="C401" s="38" t="n"/>
      <c r="D401" s="38" t="n"/>
      <c r="E401" s="38" t="n"/>
      <c r="F401" s="128" t="n"/>
      <c r="G401" s="128" t="n"/>
      <c r="H401" s="129" t="n"/>
      <c r="I401" s="38" t="n"/>
      <c r="J401" s="98">
        <f>IF(A401="","",IF(AND(F401&lt;&gt;"",G401&lt;&gt;""),MAX(0,G401-F401),N(H401)))</f>
        <v/>
      </c>
      <c r="K401" s="55">
        <f>IF(A401="","",ROUND(J401*MileRate,2))</f>
        <v/>
      </c>
      <c r="L401" s="51">
        <f>IF(A401="","",DATE(YEAR(A401),MONTH(A401),1))</f>
        <v/>
      </c>
    </row>
    <row r="402">
      <c r="A402" s="47" t="n"/>
      <c r="B402" s="38" t="n"/>
      <c r="C402" s="38" t="n"/>
      <c r="D402" s="38" t="n"/>
      <c r="E402" s="38" t="n"/>
      <c r="F402" s="128" t="n"/>
      <c r="G402" s="128" t="n"/>
      <c r="H402" s="129" t="n"/>
      <c r="I402" s="38" t="n"/>
      <c r="J402" s="98">
        <f>IF(A402="","",IF(AND(F402&lt;&gt;"",G402&lt;&gt;""),MAX(0,G402-F402),N(H402)))</f>
        <v/>
      </c>
      <c r="K402" s="55">
        <f>IF(A402="","",ROUND(J402*MileRate,2))</f>
        <v/>
      </c>
      <c r="L402" s="51">
        <f>IF(A402="","",DATE(YEAR(A402),MONTH(A402),1))</f>
        <v/>
      </c>
    </row>
    <row r="403">
      <c r="A403" s="47" t="n"/>
      <c r="B403" s="38" t="n"/>
      <c r="C403" s="38" t="n"/>
      <c r="D403" s="38" t="n"/>
      <c r="E403" s="38" t="n"/>
      <c r="F403" s="128" t="n"/>
      <c r="G403" s="128" t="n"/>
      <c r="H403" s="129" t="n"/>
      <c r="I403" s="38" t="n"/>
      <c r="J403" s="98">
        <f>IF(A403="","",IF(AND(F403&lt;&gt;"",G403&lt;&gt;""),MAX(0,G403-F403),N(H403)))</f>
        <v/>
      </c>
      <c r="K403" s="55">
        <f>IF(A403="","",ROUND(J403*MileRate,2))</f>
        <v/>
      </c>
      <c r="L403" s="51">
        <f>IF(A403="","",DATE(YEAR(A403),MONTH(A403),1))</f>
        <v/>
      </c>
    </row>
    <row r="404">
      <c r="A404" s="47" t="n"/>
      <c r="B404" s="38" t="n"/>
      <c r="C404" s="38" t="n"/>
      <c r="D404" s="38" t="n"/>
      <c r="E404" s="38" t="n"/>
      <c r="F404" s="128" t="n"/>
      <c r="G404" s="128" t="n"/>
      <c r="H404" s="129" t="n"/>
      <c r="I404" s="38" t="n"/>
      <c r="J404" s="98">
        <f>IF(A404="","",IF(AND(F404&lt;&gt;"",G404&lt;&gt;""),MAX(0,G404-F404),N(H404)))</f>
        <v/>
      </c>
      <c r="K404" s="55">
        <f>IF(A404="","",ROUND(J404*MileRate,2))</f>
        <v/>
      </c>
      <c r="L404" s="51">
        <f>IF(A404="","",DATE(YEAR(A404),MONTH(A404),1))</f>
        <v/>
      </c>
    </row>
    <row r="405">
      <c r="A405" s="47" t="n"/>
      <c r="B405" s="38" t="n"/>
      <c r="C405" s="38" t="n"/>
      <c r="D405" s="38" t="n"/>
      <c r="E405" s="38" t="n"/>
      <c r="F405" s="128" t="n"/>
      <c r="G405" s="128" t="n"/>
      <c r="H405" s="129" t="n"/>
      <c r="I405" s="38" t="n"/>
      <c r="J405" s="98">
        <f>IF(A405="","",IF(AND(F405&lt;&gt;"",G405&lt;&gt;""),MAX(0,G405-F405),N(H405)))</f>
        <v/>
      </c>
      <c r="K405" s="55">
        <f>IF(A405="","",ROUND(J405*MileRate,2))</f>
        <v/>
      </c>
      <c r="L405" s="51">
        <f>IF(A405="","",DATE(YEAR(A405),MONTH(A405),1))</f>
        <v/>
      </c>
    </row>
    <row r="406">
      <c r="A406" s="47" t="n"/>
      <c r="B406" s="38" t="n"/>
      <c r="C406" s="38" t="n"/>
      <c r="D406" s="38" t="n"/>
      <c r="E406" s="38" t="n"/>
      <c r="F406" s="128" t="n"/>
      <c r="G406" s="128" t="n"/>
      <c r="H406" s="129" t="n"/>
      <c r="I406" s="38" t="n"/>
      <c r="J406" s="98">
        <f>IF(A406="","",IF(AND(F406&lt;&gt;"",G406&lt;&gt;""),MAX(0,G406-F406),N(H406)))</f>
        <v/>
      </c>
      <c r="K406" s="55">
        <f>IF(A406="","",ROUND(J406*MileRate,2))</f>
        <v/>
      </c>
      <c r="L406" s="51">
        <f>IF(A406="","",DATE(YEAR(A406),MONTH(A406),1))</f>
        <v/>
      </c>
    </row>
    <row r="407">
      <c r="A407" s="47" t="n"/>
      <c r="B407" s="38" t="n"/>
      <c r="C407" s="38" t="n"/>
      <c r="D407" s="38" t="n"/>
      <c r="E407" s="38" t="n"/>
      <c r="F407" s="128" t="n"/>
      <c r="G407" s="128" t="n"/>
      <c r="H407" s="129" t="n"/>
      <c r="I407" s="38" t="n"/>
      <c r="J407" s="98">
        <f>IF(A407="","",IF(AND(F407&lt;&gt;"",G407&lt;&gt;""),MAX(0,G407-F407),N(H407)))</f>
        <v/>
      </c>
      <c r="K407" s="55">
        <f>IF(A407="","",ROUND(J407*MileRate,2))</f>
        <v/>
      </c>
      <c r="L407" s="51">
        <f>IF(A407="","",DATE(YEAR(A407),MONTH(A407),1))</f>
        <v/>
      </c>
    </row>
    <row r="408">
      <c r="A408" s="47" t="n"/>
      <c r="B408" s="38" t="n"/>
      <c r="C408" s="38" t="n"/>
      <c r="D408" s="38" t="n"/>
      <c r="E408" s="38" t="n"/>
      <c r="F408" s="128" t="n"/>
      <c r="G408" s="128" t="n"/>
      <c r="H408" s="129" t="n"/>
      <c r="I408" s="38" t="n"/>
      <c r="J408" s="98">
        <f>IF(A408="","",IF(AND(F408&lt;&gt;"",G408&lt;&gt;""),MAX(0,G408-F408),N(H408)))</f>
        <v/>
      </c>
      <c r="K408" s="55">
        <f>IF(A408="","",ROUND(J408*MileRate,2))</f>
        <v/>
      </c>
      <c r="L408" s="51">
        <f>IF(A408="","",DATE(YEAR(A408),MONTH(A408),1))</f>
        <v/>
      </c>
    </row>
    <row r="409">
      <c r="A409" s="47" t="n"/>
      <c r="B409" s="38" t="n"/>
      <c r="C409" s="38" t="n"/>
      <c r="D409" s="38" t="n"/>
      <c r="E409" s="38" t="n"/>
      <c r="F409" s="128" t="n"/>
      <c r="G409" s="128" t="n"/>
      <c r="H409" s="129" t="n"/>
      <c r="I409" s="38" t="n"/>
      <c r="J409" s="98">
        <f>IF(A409="","",IF(AND(F409&lt;&gt;"",G409&lt;&gt;""),MAX(0,G409-F409),N(H409)))</f>
        <v/>
      </c>
      <c r="K409" s="55">
        <f>IF(A409="","",ROUND(J409*MileRate,2))</f>
        <v/>
      </c>
      <c r="L409" s="51">
        <f>IF(A409="","",DATE(YEAR(A409),MONTH(A409),1))</f>
        <v/>
      </c>
    </row>
    <row r="410">
      <c r="A410" s="47" t="n"/>
      <c r="B410" s="38" t="n"/>
      <c r="C410" s="38" t="n"/>
      <c r="D410" s="38" t="n"/>
      <c r="E410" s="38" t="n"/>
      <c r="F410" s="128" t="n"/>
      <c r="G410" s="128" t="n"/>
      <c r="H410" s="129" t="n"/>
      <c r="I410" s="38" t="n"/>
      <c r="J410" s="98">
        <f>IF(A410="","",IF(AND(F410&lt;&gt;"",G410&lt;&gt;""),MAX(0,G410-F410),N(H410)))</f>
        <v/>
      </c>
      <c r="K410" s="55">
        <f>IF(A410="","",ROUND(J410*MileRate,2))</f>
        <v/>
      </c>
      <c r="L410" s="51">
        <f>IF(A410="","",DATE(YEAR(A410),MONTH(A410),1))</f>
        <v/>
      </c>
    </row>
    <row r="411">
      <c r="A411" s="47" t="n"/>
      <c r="B411" s="38" t="n"/>
      <c r="C411" s="38" t="n"/>
      <c r="D411" s="38" t="n"/>
      <c r="E411" s="38" t="n"/>
      <c r="F411" s="128" t="n"/>
      <c r="G411" s="128" t="n"/>
      <c r="H411" s="129" t="n"/>
      <c r="I411" s="38" t="n"/>
      <c r="J411" s="98">
        <f>IF(A411="","",IF(AND(F411&lt;&gt;"",G411&lt;&gt;""),MAX(0,G411-F411),N(H411)))</f>
        <v/>
      </c>
      <c r="K411" s="55">
        <f>IF(A411="","",ROUND(J411*MileRate,2))</f>
        <v/>
      </c>
      <c r="L411" s="51">
        <f>IF(A411="","",DATE(YEAR(A411),MONTH(A411),1))</f>
        <v/>
      </c>
    </row>
    <row r="412">
      <c r="A412" s="47" t="n"/>
      <c r="B412" s="38" t="n"/>
      <c r="C412" s="38" t="n"/>
      <c r="D412" s="38" t="n"/>
      <c r="E412" s="38" t="n"/>
      <c r="F412" s="128" t="n"/>
      <c r="G412" s="128" t="n"/>
      <c r="H412" s="129" t="n"/>
      <c r="I412" s="38" t="n"/>
      <c r="J412" s="98">
        <f>IF(A412="","",IF(AND(F412&lt;&gt;"",G412&lt;&gt;""),MAX(0,G412-F412),N(H412)))</f>
        <v/>
      </c>
      <c r="K412" s="55">
        <f>IF(A412="","",ROUND(J412*MileRate,2))</f>
        <v/>
      </c>
      <c r="L412" s="51">
        <f>IF(A412="","",DATE(YEAR(A412),MONTH(A412),1))</f>
        <v/>
      </c>
    </row>
    <row r="413">
      <c r="A413" s="47" t="n"/>
      <c r="B413" s="38" t="n"/>
      <c r="C413" s="38" t="n"/>
      <c r="D413" s="38" t="n"/>
      <c r="E413" s="38" t="n"/>
      <c r="F413" s="128" t="n"/>
      <c r="G413" s="128" t="n"/>
      <c r="H413" s="129" t="n"/>
      <c r="I413" s="38" t="n"/>
      <c r="J413" s="98">
        <f>IF(A413="","",IF(AND(F413&lt;&gt;"",G413&lt;&gt;""),MAX(0,G413-F413),N(H413)))</f>
        <v/>
      </c>
      <c r="K413" s="55">
        <f>IF(A413="","",ROUND(J413*MileRate,2))</f>
        <v/>
      </c>
      <c r="L413" s="51">
        <f>IF(A413="","",DATE(YEAR(A413),MONTH(A413),1))</f>
        <v/>
      </c>
    </row>
    <row r="414">
      <c r="A414" s="47" t="n"/>
      <c r="B414" s="38" t="n"/>
      <c r="C414" s="38" t="n"/>
      <c r="D414" s="38" t="n"/>
      <c r="E414" s="38" t="n"/>
      <c r="F414" s="128" t="n"/>
      <c r="G414" s="128" t="n"/>
      <c r="H414" s="129" t="n"/>
      <c r="I414" s="38" t="n"/>
      <c r="J414" s="98">
        <f>IF(A414="","",IF(AND(F414&lt;&gt;"",G414&lt;&gt;""),MAX(0,G414-F414),N(H414)))</f>
        <v/>
      </c>
      <c r="K414" s="55">
        <f>IF(A414="","",ROUND(J414*MileRate,2))</f>
        <v/>
      </c>
      <c r="L414" s="51">
        <f>IF(A414="","",DATE(YEAR(A414),MONTH(A414),1))</f>
        <v/>
      </c>
    </row>
    <row r="415">
      <c r="A415" s="47" t="n"/>
      <c r="B415" s="38" t="n"/>
      <c r="C415" s="38" t="n"/>
      <c r="D415" s="38" t="n"/>
      <c r="E415" s="38" t="n"/>
      <c r="F415" s="128" t="n"/>
      <c r="G415" s="128" t="n"/>
      <c r="H415" s="129" t="n"/>
      <c r="I415" s="38" t="n"/>
      <c r="J415" s="98">
        <f>IF(A415="","",IF(AND(F415&lt;&gt;"",G415&lt;&gt;""),MAX(0,G415-F415),N(H415)))</f>
        <v/>
      </c>
      <c r="K415" s="55">
        <f>IF(A415="","",ROUND(J415*MileRate,2))</f>
        <v/>
      </c>
      <c r="L415" s="51">
        <f>IF(A415="","",DATE(YEAR(A415),MONTH(A415),1))</f>
        <v/>
      </c>
    </row>
    <row r="416">
      <c r="A416" s="47" t="n"/>
      <c r="B416" s="38" t="n"/>
      <c r="C416" s="38" t="n"/>
      <c r="D416" s="38" t="n"/>
      <c r="E416" s="38" t="n"/>
      <c r="F416" s="128" t="n"/>
      <c r="G416" s="128" t="n"/>
      <c r="H416" s="129" t="n"/>
      <c r="I416" s="38" t="n"/>
      <c r="J416" s="98">
        <f>IF(A416="","",IF(AND(F416&lt;&gt;"",G416&lt;&gt;""),MAX(0,G416-F416),N(H416)))</f>
        <v/>
      </c>
      <c r="K416" s="55">
        <f>IF(A416="","",ROUND(J416*MileRate,2))</f>
        <v/>
      </c>
      <c r="L416" s="51">
        <f>IF(A416="","",DATE(YEAR(A416),MONTH(A416),1))</f>
        <v/>
      </c>
    </row>
    <row r="417">
      <c r="A417" s="47" t="n"/>
      <c r="B417" s="38" t="n"/>
      <c r="C417" s="38" t="n"/>
      <c r="D417" s="38" t="n"/>
      <c r="E417" s="38" t="n"/>
      <c r="F417" s="128" t="n"/>
      <c r="G417" s="128" t="n"/>
      <c r="H417" s="129" t="n"/>
      <c r="I417" s="38" t="n"/>
      <c r="J417" s="98">
        <f>IF(A417="","",IF(AND(F417&lt;&gt;"",G417&lt;&gt;""),MAX(0,G417-F417),N(H417)))</f>
        <v/>
      </c>
      <c r="K417" s="55">
        <f>IF(A417="","",ROUND(J417*MileRate,2))</f>
        <v/>
      </c>
      <c r="L417" s="51">
        <f>IF(A417="","",DATE(YEAR(A417),MONTH(A417),1))</f>
        <v/>
      </c>
    </row>
    <row r="418">
      <c r="A418" s="47" t="n"/>
      <c r="B418" s="38" t="n"/>
      <c r="C418" s="38" t="n"/>
      <c r="D418" s="38" t="n"/>
      <c r="E418" s="38" t="n"/>
      <c r="F418" s="128" t="n"/>
      <c r="G418" s="128" t="n"/>
      <c r="H418" s="129" t="n"/>
      <c r="I418" s="38" t="n"/>
      <c r="J418" s="98">
        <f>IF(A418="","",IF(AND(F418&lt;&gt;"",G418&lt;&gt;""),MAX(0,G418-F418),N(H418)))</f>
        <v/>
      </c>
      <c r="K418" s="55">
        <f>IF(A418="","",ROUND(J418*MileRate,2))</f>
        <v/>
      </c>
      <c r="L418" s="51">
        <f>IF(A418="","",DATE(YEAR(A418),MONTH(A418),1))</f>
        <v/>
      </c>
    </row>
    <row r="419">
      <c r="A419" s="47" t="n"/>
      <c r="B419" s="38" t="n"/>
      <c r="C419" s="38" t="n"/>
      <c r="D419" s="38" t="n"/>
      <c r="E419" s="38" t="n"/>
      <c r="F419" s="128" t="n"/>
      <c r="G419" s="128" t="n"/>
      <c r="H419" s="129" t="n"/>
      <c r="I419" s="38" t="n"/>
      <c r="J419" s="98">
        <f>IF(A419="","",IF(AND(F419&lt;&gt;"",G419&lt;&gt;""),MAX(0,G419-F419),N(H419)))</f>
        <v/>
      </c>
      <c r="K419" s="55">
        <f>IF(A419="","",ROUND(J419*MileRate,2))</f>
        <v/>
      </c>
      <c r="L419" s="51">
        <f>IF(A419="","",DATE(YEAR(A419),MONTH(A419),1))</f>
        <v/>
      </c>
    </row>
    <row r="420">
      <c r="A420" s="47" t="n"/>
      <c r="B420" s="38" t="n"/>
      <c r="C420" s="38" t="n"/>
      <c r="D420" s="38" t="n"/>
      <c r="E420" s="38" t="n"/>
      <c r="F420" s="128" t="n"/>
      <c r="G420" s="128" t="n"/>
      <c r="H420" s="129" t="n"/>
      <c r="I420" s="38" t="n"/>
      <c r="J420" s="98">
        <f>IF(A420="","",IF(AND(F420&lt;&gt;"",G420&lt;&gt;""),MAX(0,G420-F420),N(H420)))</f>
        <v/>
      </c>
      <c r="K420" s="55">
        <f>IF(A420="","",ROUND(J420*MileRate,2))</f>
        <v/>
      </c>
      <c r="L420" s="51">
        <f>IF(A420="","",DATE(YEAR(A420),MONTH(A420),1))</f>
        <v/>
      </c>
    </row>
    <row r="421">
      <c r="A421" s="47" t="n"/>
      <c r="B421" s="38" t="n"/>
      <c r="C421" s="38" t="n"/>
      <c r="D421" s="38" t="n"/>
      <c r="E421" s="38" t="n"/>
      <c r="F421" s="128" t="n"/>
      <c r="G421" s="128" t="n"/>
      <c r="H421" s="129" t="n"/>
      <c r="I421" s="38" t="n"/>
      <c r="J421" s="98">
        <f>IF(A421="","",IF(AND(F421&lt;&gt;"",G421&lt;&gt;""),MAX(0,G421-F421),N(H421)))</f>
        <v/>
      </c>
      <c r="K421" s="55">
        <f>IF(A421="","",ROUND(J421*MileRate,2))</f>
        <v/>
      </c>
      <c r="L421" s="51">
        <f>IF(A421="","",DATE(YEAR(A421),MONTH(A421),1))</f>
        <v/>
      </c>
    </row>
    <row r="422">
      <c r="A422" s="47" t="n"/>
      <c r="B422" s="38" t="n"/>
      <c r="C422" s="38" t="n"/>
      <c r="D422" s="38" t="n"/>
      <c r="E422" s="38" t="n"/>
      <c r="F422" s="128" t="n"/>
      <c r="G422" s="128" t="n"/>
      <c r="H422" s="129" t="n"/>
      <c r="I422" s="38" t="n"/>
      <c r="J422" s="98">
        <f>IF(A422="","",IF(AND(F422&lt;&gt;"",G422&lt;&gt;""),MAX(0,G422-F422),N(H422)))</f>
        <v/>
      </c>
      <c r="K422" s="55">
        <f>IF(A422="","",ROUND(J422*MileRate,2))</f>
        <v/>
      </c>
      <c r="L422" s="51">
        <f>IF(A422="","",DATE(YEAR(A422),MONTH(A422),1))</f>
        <v/>
      </c>
    </row>
    <row r="423">
      <c r="A423" s="47" t="n"/>
      <c r="B423" s="38" t="n"/>
      <c r="C423" s="38" t="n"/>
      <c r="D423" s="38" t="n"/>
      <c r="E423" s="38" t="n"/>
      <c r="F423" s="128" t="n"/>
      <c r="G423" s="128" t="n"/>
      <c r="H423" s="129" t="n"/>
      <c r="I423" s="38" t="n"/>
      <c r="J423" s="98">
        <f>IF(A423="","",IF(AND(F423&lt;&gt;"",G423&lt;&gt;""),MAX(0,G423-F423),N(H423)))</f>
        <v/>
      </c>
      <c r="K423" s="55">
        <f>IF(A423="","",ROUND(J423*MileRate,2))</f>
        <v/>
      </c>
      <c r="L423" s="51">
        <f>IF(A423="","",DATE(YEAR(A423),MONTH(A423),1))</f>
        <v/>
      </c>
    </row>
    <row r="424">
      <c r="A424" s="47" t="n"/>
      <c r="B424" s="38" t="n"/>
      <c r="C424" s="38" t="n"/>
      <c r="D424" s="38" t="n"/>
      <c r="E424" s="38" t="n"/>
      <c r="F424" s="128" t="n"/>
      <c r="G424" s="128" t="n"/>
      <c r="H424" s="129" t="n"/>
      <c r="I424" s="38" t="n"/>
      <c r="J424" s="98">
        <f>IF(A424="","",IF(AND(F424&lt;&gt;"",G424&lt;&gt;""),MAX(0,G424-F424),N(H424)))</f>
        <v/>
      </c>
      <c r="K424" s="55">
        <f>IF(A424="","",ROUND(J424*MileRate,2))</f>
        <v/>
      </c>
      <c r="L424" s="51">
        <f>IF(A424="","",DATE(YEAR(A424),MONTH(A424),1))</f>
        <v/>
      </c>
    </row>
    <row r="425">
      <c r="A425" s="47" t="n"/>
      <c r="B425" s="38" t="n"/>
      <c r="C425" s="38" t="n"/>
      <c r="D425" s="38" t="n"/>
      <c r="E425" s="38" t="n"/>
      <c r="F425" s="128" t="n"/>
      <c r="G425" s="128" t="n"/>
      <c r="H425" s="129" t="n"/>
      <c r="I425" s="38" t="n"/>
      <c r="J425" s="98">
        <f>IF(A425="","",IF(AND(F425&lt;&gt;"",G425&lt;&gt;""),MAX(0,G425-F425),N(H425)))</f>
        <v/>
      </c>
      <c r="K425" s="55">
        <f>IF(A425="","",ROUND(J425*MileRate,2))</f>
        <v/>
      </c>
      <c r="L425" s="51">
        <f>IF(A425="","",DATE(YEAR(A425),MONTH(A425),1))</f>
        <v/>
      </c>
    </row>
    <row r="426">
      <c r="A426" s="47" t="n"/>
      <c r="B426" s="38" t="n"/>
      <c r="C426" s="38" t="n"/>
      <c r="D426" s="38" t="n"/>
      <c r="E426" s="38" t="n"/>
      <c r="F426" s="128" t="n"/>
      <c r="G426" s="128" t="n"/>
      <c r="H426" s="129" t="n"/>
      <c r="I426" s="38" t="n"/>
      <c r="J426" s="98">
        <f>IF(A426="","",IF(AND(F426&lt;&gt;"",G426&lt;&gt;""),MAX(0,G426-F426),N(H426)))</f>
        <v/>
      </c>
      <c r="K426" s="55">
        <f>IF(A426="","",ROUND(J426*MileRate,2))</f>
        <v/>
      </c>
      <c r="L426" s="51">
        <f>IF(A426="","",DATE(YEAR(A426),MONTH(A426),1))</f>
        <v/>
      </c>
    </row>
    <row r="427">
      <c r="A427" s="47" t="n"/>
      <c r="B427" s="38" t="n"/>
      <c r="C427" s="38" t="n"/>
      <c r="D427" s="38" t="n"/>
      <c r="E427" s="38" t="n"/>
      <c r="F427" s="128" t="n"/>
      <c r="G427" s="128" t="n"/>
      <c r="H427" s="129" t="n"/>
      <c r="I427" s="38" t="n"/>
      <c r="J427" s="98">
        <f>IF(A427="","",IF(AND(F427&lt;&gt;"",G427&lt;&gt;""),MAX(0,G427-F427),N(H427)))</f>
        <v/>
      </c>
      <c r="K427" s="55">
        <f>IF(A427="","",ROUND(J427*MileRate,2))</f>
        <v/>
      </c>
      <c r="L427" s="51">
        <f>IF(A427="","",DATE(YEAR(A427),MONTH(A427),1))</f>
        <v/>
      </c>
    </row>
    <row r="428">
      <c r="A428" s="47" t="n"/>
      <c r="B428" s="38" t="n"/>
      <c r="C428" s="38" t="n"/>
      <c r="D428" s="38" t="n"/>
      <c r="E428" s="38" t="n"/>
      <c r="F428" s="128" t="n"/>
      <c r="G428" s="128" t="n"/>
      <c r="H428" s="129" t="n"/>
      <c r="I428" s="38" t="n"/>
      <c r="J428" s="98">
        <f>IF(A428="","",IF(AND(F428&lt;&gt;"",G428&lt;&gt;""),MAX(0,G428-F428),N(H428)))</f>
        <v/>
      </c>
      <c r="K428" s="55">
        <f>IF(A428="","",ROUND(J428*MileRate,2))</f>
        <v/>
      </c>
      <c r="L428" s="51">
        <f>IF(A428="","",DATE(YEAR(A428),MONTH(A428),1))</f>
        <v/>
      </c>
    </row>
    <row r="429">
      <c r="A429" s="47" t="n"/>
      <c r="B429" s="38" t="n"/>
      <c r="C429" s="38" t="n"/>
      <c r="D429" s="38" t="n"/>
      <c r="E429" s="38" t="n"/>
      <c r="F429" s="128" t="n"/>
      <c r="G429" s="128" t="n"/>
      <c r="H429" s="129" t="n"/>
      <c r="I429" s="38" t="n"/>
      <c r="J429" s="98">
        <f>IF(A429="","",IF(AND(F429&lt;&gt;"",G429&lt;&gt;""),MAX(0,G429-F429),N(H429)))</f>
        <v/>
      </c>
      <c r="K429" s="55">
        <f>IF(A429="","",ROUND(J429*MileRate,2))</f>
        <v/>
      </c>
      <c r="L429" s="51">
        <f>IF(A429="","",DATE(YEAR(A429),MONTH(A429),1))</f>
        <v/>
      </c>
    </row>
    <row r="430">
      <c r="A430" s="47" t="n"/>
      <c r="B430" s="38" t="n"/>
      <c r="C430" s="38" t="n"/>
      <c r="D430" s="38" t="n"/>
      <c r="E430" s="38" t="n"/>
      <c r="F430" s="128" t="n"/>
      <c r="G430" s="128" t="n"/>
      <c r="H430" s="129" t="n"/>
      <c r="I430" s="38" t="n"/>
      <c r="J430" s="98">
        <f>IF(A430="","",IF(AND(F430&lt;&gt;"",G430&lt;&gt;""),MAX(0,G430-F430),N(H430)))</f>
        <v/>
      </c>
      <c r="K430" s="55">
        <f>IF(A430="","",ROUND(J430*MileRate,2))</f>
        <v/>
      </c>
      <c r="L430" s="51">
        <f>IF(A430="","",DATE(YEAR(A430),MONTH(A430),1))</f>
        <v/>
      </c>
    </row>
    <row r="431">
      <c r="A431" s="47" t="n"/>
      <c r="B431" s="38" t="n"/>
      <c r="C431" s="38" t="n"/>
      <c r="D431" s="38" t="n"/>
      <c r="E431" s="38" t="n"/>
      <c r="F431" s="128" t="n"/>
      <c r="G431" s="128" t="n"/>
      <c r="H431" s="129" t="n"/>
      <c r="I431" s="38" t="n"/>
      <c r="J431" s="98">
        <f>IF(A431="","",IF(AND(F431&lt;&gt;"",G431&lt;&gt;""),MAX(0,G431-F431),N(H431)))</f>
        <v/>
      </c>
      <c r="K431" s="55">
        <f>IF(A431="","",ROUND(J431*MileRate,2))</f>
        <v/>
      </c>
      <c r="L431" s="51">
        <f>IF(A431="","",DATE(YEAR(A431),MONTH(A431),1))</f>
        <v/>
      </c>
    </row>
    <row r="432">
      <c r="A432" s="47" t="n"/>
      <c r="B432" s="38" t="n"/>
      <c r="C432" s="38" t="n"/>
      <c r="D432" s="38" t="n"/>
      <c r="E432" s="38" t="n"/>
      <c r="F432" s="128" t="n"/>
      <c r="G432" s="128" t="n"/>
      <c r="H432" s="129" t="n"/>
      <c r="I432" s="38" t="n"/>
      <c r="J432" s="98">
        <f>IF(A432="","",IF(AND(F432&lt;&gt;"",G432&lt;&gt;""),MAX(0,G432-F432),N(H432)))</f>
        <v/>
      </c>
      <c r="K432" s="55">
        <f>IF(A432="","",ROUND(J432*MileRate,2))</f>
        <v/>
      </c>
      <c r="L432" s="51">
        <f>IF(A432="","",DATE(YEAR(A432),MONTH(A432),1))</f>
        <v/>
      </c>
    </row>
    <row r="433">
      <c r="A433" s="47" t="n"/>
      <c r="B433" s="38" t="n"/>
      <c r="C433" s="38" t="n"/>
      <c r="D433" s="38" t="n"/>
      <c r="E433" s="38" t="n"/>
      <c r="F433" s="128" t="n"/>
      <c r="G433" s="128" t="n"/>
      <c r="H433" s="129" t="n"/>
      <c r="I433" s="38" t="n"/>
      <c r="J433" s="98">
        <f>IF(A433="","",IF(AND(F433&lt;&gt;"",G433&lt;&gt;""),MAX(0,G433-F433),N(H433)))</f>
        <v/>
      </c>
      <c r="K433" s="55">
        <f>IF(A433="","",ROUND(J433*MileRate,2))</f>
        <v/>
      </c>
      <c r="L433" s="51">
        <f>IF(A433="","",DATE(YEAR(A433),MONTH(A433),1))</f>
        <v/>
      </c>
    </row>
    <row r="434">
      <c r="A434" s="47" t="n"/>
      <c r="B434" s="38" t="n"/>
      <c r="C434" s="38" t="n"/>
      <c r="D434" s="38" t="n"/>
      <c r="E434" s="38" t="n"/>
      <c r="F434" s="128" t="n"/>
      <c r="G434" s="128" t="n"/>
      <c r="H434" s="129" t="n"/>
      <c r="I434" s="38" t="n"/>
      <c r="J434" s="98">
        <f>IF(A434="","",IF(AND(F434&lt;&gt;"",G434&lt;&gt;""),MAX(0,G434-F434),N(H434)))</f>
        <v/>
      </c>
      <c r="K434" s="55">
        <f>IF(A434="","",ROUND(J434*MileRate,2))</f>
        <v/>
      </c>
      <c r="L434" s="51">
        <f>IF(A434="","",DATE(YEAR(A434),MONTH(A434),1))</f>
        <v/>
      </c>
    </row>
    <row r="435">
      <c r="A435" s="47" t="n"/>
      <c r="B435" s="38" t="n"/>
      <c r="C435" s="38" t="n"/>
      <c r="D435" s="38" t="n"/>
      <c r="E435" s="38" t="n"/>
      <c r="F435" s="128" t="n"/>
      <c r="G435" s="128" t="n"/>
      <c r="H435" s="129" t="n"/>
      <c r="I435" s="38" t="n"/>
      <c r="J435" s="98">
        <f>IF(A435="","",IF(AND(F435&lt;&gt;"",G435&lt;&gt;""),MAX(0,G435-F435),N(H435)))</f>
        <v/>
      </c>
      <c r="K435" s="55">
        <f>IF(A435="","",ROUND(J435*MileRate,2))</f>
        <v/>
      </c>
      <c r="L435" s="51">
        <f>IF(A435="","",DATE(YEAR(A435),MONTH(A435),1))</f>
        <v/>
      </c>
    </row>
    <row r="436">
      <c r="A436" s="47" t="n"/>
      <c r="B436" s="38" t="n"/>
      <c r="C436" s="38" t="n"/>
      <c r="D436" s="38" t="n"/>
      <c r="E436" s="38" t="n"/>
      <c r="F436" s="128" t="n"/>
      <c r="G436" s="128" t="n"/>
      <c r="H436" s="129" t="n"/>
      <c r="I436" s="38" t="n"/>
      <c r="J436" s="98">
        <f>IF(A436="","",IF(AND(F436&lt;&gt;"",G436&lt;&gt;""),MAX(0,G436-F436),N(H436)))</f>
        <v/>
      </c>
      <c r="K436" s="55">
        <f>IF(A436="","",ROUND(J436*MileRate,2))</f>
        <v/>
      </c>
      <c r="L436" s="51">
        <f>IF(A436="","",DATE(YEAR(A436),MONTH(A436),1))</f>
        <v/>
      </c>
    </row>
    <row r="437">
      <c r="A437" s="47" t="n"/>
      <c r="B437" s="38" t="n"/>
      <c r="C437" s="38" t="n"/>
      <c r="D437" s="38" t="n"/>
      <c r="E437" s="38" t="n"/>
      <c r="F437" s="128" t="n"/>
      <c r="G437" s="128" t="n"/>
      <c r="H437" s="129" t="n"/>
      <c r="I437" s="38" t="n"/>
      <c r="J437" s="98">
        <f>IF(A437="","",IF(AND(F437&lt;&gt;"",G437&lt;&gt;""),MAX(0,G437-F437),N(H437)))</f>
        <v/>
      </c>
      <c r="K437" s="55">
        <f>IF(A437="","",ROUND(J437*MileRate,2))</f>
        <v/>
      </c>
      <c r="L437" s="51">
        <f>IF(A437="","",DATE(YEAR(A437),MONTH(A437),1))</f>
        <v/>
      </c>
    </row>
    <row r="438">
      <c r="A438" s="47" t="n"/>
      <c r="B438" s="38" t="n"/>
      <c r="C438" s="38" t="n"/>
      <c r="D438" s="38" t="n"/>
      <c r="E438" s="38" t="n"/>
      <c r="F438" s="128" t="n"/>
      <c r="G438" s="128" t="n"/>
      <c r="H438" s="129" t="n"/>
      <c r="I438" s="38" t="n"/>
      <c r="J438" s="98">
        <f>IF(A438="","",IF(AND(F438&lt;&gt;"",G438&lt;&gt;""),MAX(0,G438-F438),N(H438)))</f>
        <v/>
      </c>
      <c r="K438" s="55">
        <f>IF(A438="","",ROUND(J438*MileRate,2))</f>
        <v/>
      </c>
      <c r="L438" s="51">
        <f>IF(A438="","",DATE(YEAR(A438),MONTH(A438),1))</f>
        <v/>
      </c>
    </row>
    <row r="439">
      <c r="A439" s="47" t="n"/>
      <c r="B439" s="38" t="n"/>
      <c r="C439" s="38" t="n"/>
      <c r="D439" s="38" t="n"/>
      <c r="E439" s="38" t="n"/>
      <c r="F439" s="128" t="n"/>
      <c r="G439" s="128" t="n"/>
      <c r="H439" s="129" t="n"/>
      <c r="I439" s="38" t="n"/>
      <c r="J439" s="98">
        <f>IF(A439="","",IF(AND(F439&lt;&gt;"",G439&lt;&gt;""),MAX(0,G439-F439),N(H439)))</f>
        <v/>
      </c>
      <c r="K439" s="55">
        <f>IF(A439="","",ROUND(J439*MileRate,2))</f>
        <v/>
      </c>
      <c r="L439" s="51">
        <f>IF(A439="","",DATE(YEAR(A439),MONTH(A439),1))</f>
        <v/>
      </c>
    </row>
    <row r="440">
      <c r="A440" s="47" t="n"/>
      <c r="B440" s="38" t="n"/>
      <c r="C440" s="38" t="n"/>
      <c r="D440" s="38" t="n"/>
      <c r="E440" s="38" t="n"/>
      <c r="F440" s="128" t="n"/>
      <c r="G440" s="128" t="n"/>
      <c r="H440" s="129" t="n"/>
      <c r="I440" s="38" t="n"/>
      <c r="J440" s="98">
        <f>IF(A440="","",IF(AND(F440&lt;&gt;"",G440&lt;&gt;""),MAX(0,G440-F440),N(H440)))</f>
        <v/>
      </c>
      <c r="K440" s="55">
        <f>IF(A440="","",ROUND(J440*MileRate,2))</f>
        <v/>
      </c>
      <c r="L440" s="51">
        <f>IF(A440="","",DATE(YEAR(A440),MONTH(A440),1))</f>
        <v/>
      </c>
    </row>
    <row r="441">
      <c r="A441" s="47" t="n"/>
      <c r="B441" s="38" t="n"/>
      <c r="C441" s="38" t="n"/>
      <c r="D441" s="38" t="n"/>
      <c r="E441" s="38" t="n"/>
      <c r="F441" s="128" t="n"/>
      <c r="G441" s="128" t="n"/>
      <c r="H441" s="129" t="n"/>
      <c r="I441" s="38" t="n"/>
      <c r="J441" s="98">
        <f>IF(A441="","",IF(AND(F441&lt;&gt;"",G441&lt;&gt;""),MAX(0,G441-F441),N(H441)))</f>
        <v/>
      </c>
      <c r="K441" s="55">
        <f>IF(A441="","",ROUND(J441*MileRate,2))</f>
        <v/>
      </c>
      <c r="L441" s="51">
        <f>IF(A441="","",DATE(YEAR(A441),MONTH(A441),1))</f>
        <v/>
      </c>
    </row>
    <row r="442">
      <c r="A442" s="47" t="n"/>
      <c r="B442" s="38" t="n"/>
      <c r="C442" s="38" t="n"/>
      <c r="D442" s="38" t="n"/>
      <c r="E442" s="38" t="n"/>
      <c r="F442" s="128" t="n"/>
      <c r="G442" s="128" t="n"/>
      <c r="H442" s="129" t="n"/>
      <c r="I442" s="38" t="n"/>
      <c r="J442" s="98">
        <f>IF(A442="","",IF(AND(F442&lt;&gt;"",G442&lt;&gt;""),MAX(0,G442-F442),N(H442)))</f>
        <v/>
      </c>
      <c r="K442" s="55">
        <f>IF(A442="","",ROUND(J442*MileRate,2))</f>
        <v/>
      </c>
      <c r="L442" s="51">
        <f>IF(A442="","",DATE(YEAR(A442),MONTH(A442),1))</f>
        <v/>
      </c>
    </row>
    <row r="443">
      <c r="A443" s="47" t="n"/>
      <c r="B443" s="38" t="n"/>
      <c r="C443" s="38" t="n"/>
      <c r="D443" s="38" t="n"/>
      <c r="E443" s="38" t="n"/>
      <c r="F443" s="128" t="n"/>
      <c r="G443" s="128" t="n"/>
      <c r="H443" s="129" t="n"/>
      <c r="I443" s="38" t="n"/>
      <c r="J443" s="98">
        <f>IF(A443="","",IF(AND(F443&lt;&gt;"",G443&lt;&gt;""),MAX(0,G443-F443),N(H443)))</f>
        <v/>
      </c>
      <c r="K443" s="55">
        <f>IF(A443="","",ROUND(J443*MileRate,2))</f>
        <v/>
      </c>
      <c r="L443" s="51">
        <f>IF(A443="","",DATE(YEAR(A443),MONTH(A443),1))</f>
        <v/>
      </c>
    </row>
    <row r="444">
      <c r="A444" s="47" t="n"/>
      <c r="B444" s="38" t="n"/>
      <c r="C444" s="38" t="n"/>
      <c r="D444" s="38" t="n"/>
      <c r="E444" s="38" t="n"/>
      <c r="F444" s="128" t="n"/>
      <c r="G444" s="128" t="n"/>
      <c r="H444" s="129" t="n"/>
      <c r="I444" s="38" t="n"/>
      <c r="J444" s="98">
        <f>IF(A444="","",IF(AND(F444&lt;&gt;"",G444&lt;&gt;""),MAX(0,G444-F444),N(H444)))</f>
        <v/>
      </c>
      <c r="K444" s="55">
        <f>IF(A444="","",ROUND(J444*MileRate,2))</f>
        <v/>
      </c>
      <c r="L444" s="51">
        <f>IF(A444="","",DATE(YEAR(A444),MONTH(A444),1))</f>
        <v/>
      </c>
    </row>
    <row r="445">
      <c r="A445" s="47" t="n"/>
      <c r="B445" s="38" t="n"/>
      <c r="C445" s="38" t="n"/>
      <c r="D445" s="38" t="n"/>
      <c r="E445" s="38" t="n"/>
      <c r="F445" s="128" t="n"/>
      <c r="G445" s="128" t="n"/>
      <c r="H445" s="129" t="n"/>
      <c r="I445" s="38" t="n"/>
      <c r="J445" s="98">
        <f>IF(A445="","",IF(AND(F445&lt;&gt;"",G445&lt;&gt;""),MAX(0,G445-F445),N(H445)))</f>
        <v/>
      </c>
      <c r="K445" s="55">
        <f>IF(A445="","",ROUND(J445*MileRate,2))</f>
        <v/>
      </c>
      <c r="L445" s="51">
        <f>IF(A445="","",DATE(YEAR(A445),MONTH(A445),1))</f>
        <v/>
      </c>
    </row>
    <row r="446">
      <c r="A446" s="47" t="n"/>
      <c r="B446" s="38" t="n"/>
      <c r="C446" s="38" t="n"/>
      <c r="D446" s="38" t="n"/>
      <c r="E446" s="38" t="n"/>
      <c r="F446" s="128" t="n"/>
      <c r="G446" s="128" t="n"/>
      <c r="H446" s="129" t="n"/>
      <c r="I446" s="38" t="n"/>
      <c r="J446" s="98">
        <f>IF(A446="","",IF(AND(F446&lt;&gt;"",G446&lt;&gt;""),MAX(0,G446-F446),N(H446)))</f>
        <v/>
      </c>
      <c r="K446" s="55">
        <f>IF(A446="","",ROUND(J446*MileRate,2))</f>
        <v/>
      </c>
      <c r="L446" s="51">
        <f>IF(A446="","",DATE(YEAR(A446),MONTH(A446),1))</f>
        <v/>
      </c>
    </row>
    <row r="447">
      <c r="A447" s="47" t="n"/>
      <c r="B447" s="38" t="n"/>
      <c r="C447" s="38" t="n"/>
      <c r="D447" s="38" t="n"/>
      <c r="E447" s="38" t="n"/>
      <c r="F447" s="128" t="n"/>
      <c r="G447" s="128" t="n"/>
      <c r="H447" s="129" t="n"/>
      <c r="I447" s="38" t="n"/>
      <c r="J447" s="98">
        <f>IF(A447="","",IF(AND(F447&lt;&gt;"",G447&lt;&gt;""),MAX(0,G447-F447),N(H447)))</f>
        <v/>
      </c>
      <c r="K447" s="55">
        <f>IF(A447="","",ROUND(J447*MileRate,2))</f>
        <v/>
      </c>
      <c r="L447" s="51">
        <f>IF(A447="","",DATE(YEAR(A447),MONTH(A447),1))</f>
        <v/>
      </c>
    </row>
    <row r="448">
      <c r="A448" s="47" t="n"/>
      <c r="B448" s="38" t="n"/>
      <c r="C448" s="38" t="n"/>
      <c r="D448" s="38" t="n"/>
      <c r="E448" s="38" t="n"/>
      <c r="F448" s="128" t="n"/>
      <c r="G448" s="128" t="n"/>
      <c r="H448" s="129" t="n"/>
      <c r="I448" s="38" t="n"/>
      <c r="J448" s="98">
        <f>IF(A448="","",IF(AND(F448&lt;&gt;"",G448&lt;&gt;""),MAX(0,G448-F448),N(H448)))</f>
        <v/>
      </c>
      <c r="K448" s="55">
        <f>IF(A448="","",ROUND(J448*MileRate,2))</f>
        <v/>
      </c>
      <c r="L448" s="51">
        <f>IF(A448="","",DATE(YEAR(A448),MONTH(A448),1))</f>
        <v/>
      </c>
    </row>
    <row r="449">
      <c r="A449" s="47" t="n"/>
      <c r="B449" s="38" t="n"/>
      <c r="C449" s="38" t="n"/>
      <c r="D449" s="38" t="n"/>
      <c r="E449" s="38" t="n"/>
      <c r="F449" s="128" t="n"/>
      <c r="G449" s="128" t="n"/>
      <c r="H449" s="129" t="n"/>
      <c r="I449" s="38" t="n"/>
      <c r="J449" s="98">
        <f>IF(A449="","",IF(AND(F449&lt;&gt;"",G449&lt;&gt;""),MAX(0,G449-F449),N(H449)))</f>
        <v/>
      </c>
      <c r="K449" s="55">
        <f>IF(A449="","",ROUND(J449*MileRate,2))</f>
        <v/>
      </c>
      <c r="L449" s="51">
        <f>IF(A449="","",DATE(YEAR(A449),MONTH(A449),1))</f>
        <v/>
      </c>
    </row>
    <row r="450">
      <c r="A450" s="47" t="n"/>
      <c r="B450" s="38" t="n"/>
      <c r="C450" s="38" t="n"/>
      <c r="D450" s="38" t="n"/>
      <c r="E450" s="38" t="n"/>
      <c r="F450" s="128" t="n"/>
      <c r="G450" s="128" t="n"/>
      <c r="H450" s="129" t="n"/>
      <c r="I450" s="38" t="n"/>
      <c r="J450" s="98">
        <f>IF(A450="","",IF(AND(F450&lt;&gt;"",G450&lt;&gt;""),MAX(0,G450-F450),N(H450)))</f>
        <v/>
      </c>
      <c r="K450" s="55">
        <f>IF(A450="","",ROUND(J450*MileRate,2))</f>
        <v/>
      </c>
      <c r="L450" s="51">
        <f>IF(A450="","",DATE(YEAR(A450),MONTH(A450),1))</f>
        <v/>
      </c>
    </row>
    <row r="451">
      <c r="A451" s="47" t="n"/>
      <c r="B451" s="38" t="n"/>
      <c r="C451" s="38" t="n"/>
      <c r="D451" s="38" t="n"/>
      <c r="E451" s="38" t="n"/>
      <c r="F451" s="128" t="n"/>
      <c r="G451" s="128" t="n"/>
      <c r="H451" s="129" t="n"/>
      <c r="I451" s="38" t="n"/>
      <c r="J451" s="98">
        <f>IF(A451="","",IF(AND(F451&lt;&gt;"",G451&lt;&gt;""),MAX(0,G451-F451),N(H451)))</f>
        <v/>
      </c>
      <c r="K451" s="55">
        <f>IF(A451="","",ROUND(J451*MileRate,2))</f>
        <v/>
      </c>
      <c r="L451" s="51">
        <f>IF(A451="","",DATE(YEAR(A451),MONTH(A451),1))</f>
        <v/>
      </c>
    </row>
    <row r="452">
      <c r="A452" s="47" t="n"/>
      <c r="B452" s="38" t="n"/>
      <c r="C452" s="38" t="n"/>
      <c r="D452" s="38" t="n"/>
      <c r="E452" s="38" t="n"/>
      <c r="F452" s="128" t="n"/>
      <c r="G452" s="128" t="n"/>
      <c r="H452" s="129" t="n"/>
      <c r="I452" s="38" t="n"/>
      <c r="J452" s="98">
        <f>IF(A452="","",IF(AND(F452&lt;&gt;"",G452&lt;&gt;""),MAX(0,G452-F452),N(H452)))</f>
        <v/>
      </c>
      <c r="K452" s="55">
        <f>IF(A452="","",ROUND(J452*MileRate,2))</f>
        <v/>
      </c>
      <c r="L452" s="51">
        <f>IF(A452="","",DATE(YEAR(A452),MONTH(A452),1))</f>
        <v/>
      </c>
    </row>
    <row r="453">
      <c r="A453" s="47" t="n"/>
      <c r="B453" s="38" t="n"/>
      <c r="C453" s="38" t="n"/>
      <c r="D453" s="38" t="n"/>
      <c r="E453" s="38" t="n"/>
      <c r="F453" s="128" t="n"/>
      <c r="G453" s="128" t="n"/>
      <c r="H453" s="129" t="n"/>
      <c r="I453" s="38" t="n"/>
      <c r="J453" s="98">
        <f>IF(A453="","",IF(AND(F453&lt;&gt;"",G453&lt;&gt;""),MAX(0,G453-F453),N(H453)))</f>
        <v/>
      </c>
      <c r="K453" s="55">
        <f>IF(A453="","",ROUND(J453*MileRate,2))</f>
        <v/>
      </c>
      <c r="L453" s="51">
        <f>IF(A453="","",DATE(YEAR(A453),MONTH(A453),1))</f>
        <v/>
      </c>
    </row>
    <row r="454">
      <c r="A454" s="47" t="n"/>
      <c r="B454" s="38" t="n"/>
      <c r="C454" s="38" t="n"/>
      <c r="D454" s="38" t="n"/>
      <c r="E454" s="38" t="n"/>
      <c r="F454" s="128" t="n"/>
      <c r="G454" s="128" t="n"/>
      <c r="H454" s="129" t="n"/>
      <c r="I454" s="38" t="n"/>
      <c r="J454" s="98">
        <f>IF(A454="","",IF(AND(F454&lt;&gt;"",G454&lt;&gt;""),MAX(0,G454-F454),N(H454)))</f>
        <v/>
      </c>
      <c r="K454" s="55">
        <f>IF(A454="","",ROUND(J454*MileRate,2))</f>
        <v/>
      </c>
      <c r="L454" s="51">
        <f>IF(A454="","",DATE(YEAR(A454),MONTH(A454),1))</f>
        <v/>
      </c>
    </row>
    <row r="455">
      <c r="A455" s="47" t="n"/>
      <c r="B455" s="38" t="n"/>
      <c r="C455" s="38" t="n"/>
      <c r="D455" s="38" t="n"/>
      <c r="E455" s="38" t="n"/>
      <c r="F455" s="128" t="n"/>
      <c r="G455" s="128" t="n"/>
      <c r="H455" s="129" t="n"/>
      <c r="I455" s="38" t="n"/>
      <c r="J455" s="98">
        <f>IF(A455="","",IF(AND(F455&lt;&gt;"",G455&lt;&gt;""),MAX(0,G455-F455),N(H455)))</f>
        <v/>
      </c>
      <c r="K455" s="55">
        <f>IF(A455="","",ROUND(J455*MileRate,2))</f>
        <v/>
      </c>
      <c r="L455" s="51">
        <f>IF(A455="","",DATE(YEAR(A455),MONTH(A455),1))</f>
        <v/>
      </c>
    </row>
    <row r="456">
      <c r="A456" s="47" t="n"/>
      <c r="B456" s="38" t="n"/>
      <c r="C456" s="38" t="n"/>
      <c r="D456" s="38" t="n"/>
      <c r="E456" s="38" t="n"/>
      <c r="F456" s="128" t="n"/>
      <c r="G456" s="128" t="n"/>
      <c r="H456" s="129" t="n"/>
      <c r="I456" s="38" t="n"/>
      <c r="J456" s="98">
        <f>IF(A456="","",IF(AND(F456&lt;&gt;"",G456&lt;&gt;""),MAX(0,G456-F456),N(H456)))</f>
        <v/>
      </c>
      <c r="K456" s="55">
        <f>IF(A456="","",ROUND(J456*MileRate,2))</f>
        <v/>
      </c>
      <c r="L456" s="51">
        <f>IF(A456="","",DATE(YEAR(A456),MONTH(A456),1))</f>
        <v/>
      </c>
    </row>
    <row r="457">
      <c r="A457" s="47" t="n"/>
      <c r="B457" s="38" t="n"/>
      <c r="C457" s="38" t="n"/>
      <c r="D457" s="38" t="n"/>
      <c r="E457" s="38" t="n"/>
      <c r="F457" s="128" t="n"/>
      <c r="G457" s="128" t="n"/>
      <c r="H457" s="129" t="n"/>
      <c r="I457" s="38" t="n"/>
      <c r="J457" s="98">
        <f>IF(A457="","",IF(AND(F457&lt;&gt;"",G457&lt;&gt;""),MAX(0,G457-F457),N(H457)))</f>
        <v/>
      </c>
      <c r="K457" s="55">
        <f>IF(A457="","",ROUND(J457*MileRate,2))</f>
        <v/>
      </c>
      <c r="L457" s="51">
        <f>IF(A457="","",DATE(YEAR(A457),MONTH(A457),1))</f>
        <v/>
      </c>
    </row>
    <row r="458">
      <c r="A458" s="47" t="n"/>
      <c r="B458" s="38" t="n"/>
      <c r="C458" s="38" t="n"/>
      <c r="D458" s="38" t="n"/>
      <c r="E458" s="38" t="n"/>
      <c r="F458" s="128" t="n"/>
      <c r="G458" s="128" t="n"/>
      <c r="H458" s="129" t="n"/>
      <c r="I458" s="38" t="n"/>
      <c r="J458" s="98">
        <f>IF(A458="","",IF(AND(F458&lt;&gt;"",G458&lt;&gt;""),MAX(0,G458-F458),N(H458)))</f>
        <v/>
      </c>
      <c r="K458" s="55">
        <f>IF(A458="","",ROUND(J458*MileRate,2))</f>
        <v/>
      </c>
      <c r="L458" s="51">
        <f>IF(A458="","",DATE(YEAR(A458),MONTH(A458),1))</f>
        <v/>
      </c>
    </row>
    <row r="459">
      <c r="A459" s="47" t="n"/>
      <c r="B459" s="38" t="n"/>
      <c r="C459" s="38" t="n"/>
      <c r="D459" s="38" t="n"/>
      <c r="E459" s="38" t="n"/>
      <c r="F459" s="128" t="n"/>
      <c r="G459" s="128" t="n"/>
      <c r="H459" s="129" t="n"/>
      <c r="I459" s="38" t="n"/>
      <c r="J459" s="98">
        <f>IF(A459="","",IF(AND(F459&lt;&gt;"",G459&lt;&gt;""),MAX(0,G459-F459),N(H459)))</f>
        <v/>
      </c>
      <c r="K459" s="55">
        <f>IF(A459="","",ROUND(J459*MileRate,2))</f>
        <v/>
      </c>
      <c r="L459" s="51">
        <f>IF(A459="","",DATE(YEAR(A459),MONTH(A459),1))</f>
        <v/>
      </c>
    </row>
    <row r="460">
      <c r="A460" s="47" t="n"/>
      <c r="B460" s="38" t="n"/>
      <c r="C460" s="38" t="n"/>
      <c r="D460" s="38" t="n"/>
      <c r="E460" s="38" t="n"/>
      <c r="F460" s="128" t="n"/>
      <c r="G460" s="128" t="n"/>
      <c r="H460" s="129" t="n"/>
      <c r="I460" s="38" t="n"/>
      <c r="J460" s="98">
        <f>IF(A460="","",IF(AND(F460&lt;&gt;"",G460&lt;&gt;""),MAX(0,G460-F460),N(H460)))</f>
        <v/>
      </c>
      <c r="K460" s="55">
        <f>IF(A460="","",ROUND(J460*MileRate,2))</f>
        <v/>
      </c>
      <c r="L460" s="51">
        <f>IF(A460="","",DATE(YEAR(A460),MONTH(A460),1))</f>
        <v/>
      </c>
    </row>
    <row r="461">
      <c r="A461" s="47" t="n"/>
      <c r="B461" s="38" t="n"/>
      <c r="C461" s="38" t="n"/>
      <c r="D461" s="38" t="n"/>
      <c r="E461" s="38" t="n"/>
      <c r="F461" s="128" t="n"/>
      <c r="G461" s="128" t="n"/>
      <c r="H461" s="129" t="n"/>
      <c r="I461" s="38" t="n"/>
      <c r="J461" s="98">
        <f>IF(A461="","",IF(AND(F461&lt;&gt;"",G461&lt;&gt;""),MAX(0,G461-F461),N(H461)))</f>
        <v/>
      </c>
      <c r="K461" s="55">
        <f>IF(A461="","",ROUND(J461*MileRate,2))</f>
        <v/>
      </c>
      <c r="L461" s="51">
        <f>IF(A461="","",DATE(YEAR(A461),MONTH(A461),1))</f>
        <v/>
      </c>
    </row>
    <row r="462">
      <c r="A462" s="47" t="n"/>
      <c r="B462" s="38" t="n"/>
      <c r="C462" s="38" t="n"/>
      <c r="D462" s="38" t="n"/>
      <c r="E462" s="38" t="n"/>
      <c r="F462" s="128" t="n"/>
      <c r="G462" s="128" t="n"/>
      <c r="H462" s="129" t="n"/>
      <c r="I462" s="38" t="n"/>
      <c r="J462" s="98">
        <f>IF(A462="","",IF(AND(F462&lt;&gt;"",G462&lt;&gt;""),MAX(0,G462-F462),N(H462)))</f>
        <v/>
      </c>
      <c r="K462" s="55">
        <f>IF(A462="","",ROUND(J462*MileRate,2))</f>
        <v/>
      </c>
      <c r="L462" s="51">
        <f>IF(A462="","",DATE(YEAR(A462),MONTH(A462),1))</f>
        <v/>
      </c>
    </row>
    <row r="463">
      <c r="A463" s="47" t="n"/>
      <c r="B463" s="38" t="n"/>
      <c r="C463" s="38" t="n"/>
      <c r="D463" s="38" t="n"/>
      <c r="E463" s="38" t="n"/>
      <c r="F463" s="128" t="n"/>
      <c r="G463" s="128" t="n"/>
      <c r="H463" s="129" t="n"/>
      <c r="I463" s="38" t="n"/>
      <c r="J463" s="98">
        <f>IF(A463="","",IF(AND(F463&lt;&gt;"",G463&lt;&gt;""),MAX(0,G463-F463),N(H463)))</f>
        <v/>
      </c>
      <c r="K463" s="55">
        <f>IF(A463="","",ROUND(J463*MileRate,2))</f>
        <v/>
      </c>
      <c r="L463" s="51">
        <f>IF(A463="","",DATE(YEAR(A463),MONTH(A463),1))</f>
        <v/>
      </c>
    </row>
    <row r="464">
      <c r="A464" s="47" t="n"/>
      <c r="B464" s="38" t="n"/>
      <c r="C464" s="38" t="n"/>
      <c r="D464" s="38" t="n"/>
      <c r="E464" s="38" t="n"/>
      <c r="F464" s="128" t="n"/>
      <c r="G464" s="128" t="n"/>
      <c r="H464" s="129" t="n"/>
      <c r="I464" s="38" t="n"/>
      <c r="J464" s="98">
        <f>IF(A464="","",IF(AND(F464&lt;&gt;"",G464&lt;&gt;""),MAX(0,G464-F464),N(H464)))</f>
        <v/>
      </c>
      <c r="K464" s="55">
        <f>IF(A464="","",ROUND(J464*MileRate,2))</f>
        <v/>
      </c>
      <c r="L464" s="51">
        <f>IF(A464="","",DATE(YEAR(A464),MONTH(A464),1))</f>
        <v/>
      </c>
    </row>
    <row r="465">
      <c r="A465" s="47" t="n"/>
      <c r="B465" s="38" t="n"/>
      <c r="C465" s="38" t="n"/>
      <c r="D465" s="38" t="n"/>
      <c r="E465" s="38" t="n"/>
      <c r="F465" s="128" t="n"/>
      <c r="G465" s="128" t="n"/>
      <c r="H465" s="129" t="n"/>
      <c r="I465" s="38" t="n"/>
      <c r="J465" s="98">
        <f>IF(A465="","",IF(AND(F465&lt;&gt;"",G465&lt;&gt;""),MAX(0,G465-F465),N(H465)))</f>
        <v/>
      </c>
      <c r="K465" s="55">
        <f>IF(A465="","",ROUND(J465*MileRate,2))</f>
        <v/>
      </c>
      <c r="L465" s="51">
        <f>IF(A465="","",DATE(YEAR(A465),MONTH(A465),1))</f>
        <v/>
      </c>
    </row>
    <row r="466">
      <c r="A466" s="47" t="n"/>
      <c r="B466" s="38" t="n"/>
      <c r="C466" s="38" t="n"/>
      <c r="D466" s="38" t="n"/>
      <c r="E466" s="38" t="n"/>
      <c r="F466" s="128" t="n"/>
      <c r="G466" s="128" t="n"/>
      <c r="H466" s="129" t="n"/>
      <c r="I466" s="38" t="n"/>
      <c r="J466" s="98">
        <f>IF(A466="","",IF(AND(F466&lt;&gt;"",G466&lt;&gt;""),MAX(0,G466-F466),N(H466)))</f>
        <v/>
      </c>
      <c r="K466" s="55">
        <f>IF(A466="","",ROUND(J466*MileRate,2))</f>
        <v/>
      </c>
      <c r="L466" s="51">
        <f>IF(A466="","",DATE(YEAR(A466),MONTH(A466),1))</f>
        <v/>
      </c>
    </row>
    <row r="467">
      <c r="A467" s="47" t="n"/>
      <c r="B467" s="38" t="n"/>
      <c r="C467" s="38" t="n"/>
      <c r="D467" s="38" t="n"/>
      <c r="E467" s="38" t="n"/>
      <c r="F467" s="128" t="n"/>
      <c r="G467" s="128" t="n"/>
      <c r="H467" s="129" t="n"/>
      <c r="I467" s="38" t="n"/>
      <c r="J467" s="98">
        <f>IF(A467="","",IF(AND(F467&lt;&gt;"",G467&lt;&gt;""),MAX(0,G467-F467),N(H467)))</f>
        <v/>
      </c>
      <c r="K467" s="55">
        <f>IF(A467="","",ROUND(J467*MileRate,2))</f>
        <v/>
      </c>
      <c r="L467" s="51">
        <f>IF(A467="","",DATE(YEAR(A467),MONTH(A467),1))</f>
        <v/>
      </c>
    </row>
    <row r="468">
      <c r="A468" s="47" t="n"/>
      <c r="B468" s="38" t="n"/>
      <c r="C468" s="38" t="n"/>
      <c r="D468" s="38" t="n"/>
      <c r="E468" s="38" t="n"/>
      <c r="F468" s="128" t="n"/>
      <c r="G468" s="128" t="n"/>
      <c r="H468" s="129" t="n"/>
      <c r="I468" s="38" t="n"/>
      <c r="J468" s="98">
        <f>IF(A468="","",IF(AND(F468&lt;&gt;"",G468&lt;&gt;""),MAX(0,G468-F468),N(H468)))</f>
        <v/>
      </c>
      <c r="K468" s="55">
        <f>IF(A468="","",ROUND(J468*MileRate,2))</f>
        <v/>
      </c>
      <c r="L468" s="51">
        <f>IF(A468="","",DATE(YEAR(A468),MONTH(A468),1))</f>
        <v/>
      </c>
    </row>
    <row r="469">
      <c r="A469" s="47" t="n"/>
      <c r="B469" s="38" t="n"/>
      <c r="C469" s="38" t="n"/>
      <c r="D469" s="38" t="n"/>
      <c r="E469" s="38" t="n"/>
      <c r="F469" s="128" t="n"/>
      <c r="G469" s="128" t="n"/>
      <c r="H469" s="129" t="n"/>
      <c r="I469" s="38" t="n"/>
      <c r="J469" s="98">
        <f>IF(A469="","",IF(AND(F469&lt;&gt;"",G469&lt;&gt;""),MAX(0,G469-F469),N(H469)))</f>
        <v/>
      </c>
      <c r="K469" s="55">
        <f>IF(A469="","",ROUND(J469*MileRate,2))</f>
        <v/>
      </c>
      <c r="L469" s="51">
        <f>IF(A469="","",DATE(YEAR(A469),MONTH(A469),1))</f>
        <v/>
      </c>
    </row>
    <row r="470">
      <c r="A470" s="47" t="n"/>
      <c r="B470" s="38" t="n"/>
      <c r="C470" s="38" t="n"/>
      <c r="D470" s="38" t="n"/>
      <c r="E470" s="38" t="n"/>
      <c r="F470" s="128" t="n"/>
      <c r="G470" s="128" t="n"/>
      <c r="H470" s="129" t="n"/>
      <c r="I470" s="38" t="n"/>
      <c r="J470" s="98">
        <f>IF(A470="","",IF(AND(F470&lt;&gt;"",G470&lt;&gt;""),MAX(0,G470-F470),N(H470)))</f>
        <v/>
      </c>
      <c r="K470" s="55">
        <f>IF(A470="","",ROUND(J470*MileRate,2))</f>
        <v/>
      </c>
      <c r="L470" s="51">
        <f>IF(A470="","",DATE(YEAR(A470),MONTH(A470),1))</f>
        <v/>
      </c>
    </row>
    <row r="471">
      <c r="A471" s="47" t="n"/>
      <c r="B471" s="38" t="n"/>
      <c r="C471" s="38" t="n"/>
      <c r="D471" s="38" t="n"/>
      <c r="E471" s="38" t="n"/>
      <c r="F471" s="128" t="n"/>
      <c r="G471" s="128" t="n"/>
      <c r="H471" s="129" t="n"/>
      <c r="I471" s="38" t="n"/>
      <c r="J471" s="98">
        <f>IF(A471="","",IF(AND(F471&lt;&gt;"",G471&lt;&gt;""),MAX(0,G471-F471),N(H471)))</f>
        <v/>
      </c>
      <c r="K471" s="55">
        <f>IF(A471="","",ROUND(J471*MileRate,2))</f>
        <v/>
      </c>
      <c r="L471" s="51">
        <f>IF(A471="","",DATE(YEAR(A471),MONTH(A471),1))</f>
        <v/>
      </c>
    </row>
    <row r="472">
      <c r="A472" s="47" t="n"/>
      <c r="B472" s="38" t="n"/>
      <c r="C472" s="38" t="n"/>
      <c r="D472" s="38" t="n"/>
      <c r="E472" s="38" t="n"/>
      <c r="F472" s="128" t="n"/>
      <c r="G472" s="128" t="n"/>
      <c r="H472" s="129" t="n"/>
      <c r="I472" s="38" t="n"/>
      <c r="J472" s="98">
        <f>IF(A472="","",IF(AND(F472&lt;&gt;"",G472&lt;&gt;""),MAX(0,G472-F472),N(H472)))</f>
        <v/>
      </c>
      <c r="K472" s="55">
        <f>IF(A472="","",ROUND(J472*MileRate,2))</f>
        <v/>
      </c>
      <c r="L472" s="51">
        <f>IF(A472="","",DATE(YEAR(A472),MONTH(A472),1))</f>
        <v/>
      </c>
    </row>
    <row r="473">
      <c r="A473" s="47" t="n"/>
      <c r="B473" s="38" t="n"/>
      <c r="C473" s="38" t="n"/>
      <c r="D473" s="38" t="n"/>
      <c r="E473" s="38" t="n"/>
      <c r="F473" s="128" t="n"/>
      <c r="G473" s="128" t="n"/>
      <c r="H473" s="129" t="n"/>
      <c r="I473" s="38" t="n"/>
      <c r="J473" s="98">
        <f>IF(A473="","",IF(AND(F473&lt;&gt;"",G473&lt;&gt;""),MAX(0,G473-F473),N(H473)))</f>
        <v/>
      </c>
      <c r="K473" s="55">
        <f>IF(A473="","",ROUND(J473*MileRate,2))</f>
        <v/>
      </c>
      <c r="L473" s="51">
        <f>IF(A473="","",DATE(YEAR(A473),MONTH(A473),1))</f>
        <v/>
      </c>
    </row>
    <row r="474">
      <c r="A474" s="47" t="n"/>
      <c r="B474" s="38" t="n"/>
      <c r="C474" s="38" t="n"/>
      <c r="D474" s="38" t="n"/>
      <c r="E474" s="38" t="n"/>
      <c r="F474" s="128" t="n"/>
      <c r="G474" s="128" t="n"/>
      <c r="H474" s="129" t="n"/>
      <c r="I474" s="38" t="n"/>
      <c r="J474" s="98">
        <f>IF(A474="","",IF(AND(F474&lt;&gt;"",G474&lt;&gt;""),MAX(0,G474-F474),N(H474)))</f>
        <v/>
      </c>
      <c r="K474" s="55">
        <f>IF(A474="","",ROUND(J474*MileRate,2))</f>
        <v/>
      </c>
      <c r="L474" s="51">
        <f>IF(A474="","",DATE(YEAR(A474),MONTH(A474),1))</f>
        <v/>
      </c>
    </row>
    <row r="475">
      <c r="A475" s="47" t="n"/>
      <c r="B475" s="38" t="n"/>
      <c r="C475" s="38" t="n"/>
      <c r="D475" s="38" t="n"/>
      <c r="E475" s="38" t="n"/>
      <c r="F475" s="128" t="n"/>
      <c r="G475" s="128" t="n"/>
      <c r="H475" s="129" t="n"/>
      <c r="I475" s="38" t="n"/>
      <c r="J475" s="98">
        <f>IF(A475="","",IF(AND(F475&lt;&gt;"",G475&lt;&gt;""),MAX(0,G475-F475),N(H475)))</f>
        <v/>
      </c>
      <c r="K475" s="55">
        <f>IF(A475="","",ROUND(J475*MileRate,2))</f>
        <v/>
      </c>
      <c r="L475" s="51">
        <f>IF(A475="","",DATE(YEAR(A475),MONTH(A475),1))</f>
        <v/>
      </c>
    </row>
    <row r="476">
      <c r="A476" s="47" t="n"/>
      <c r="B476" s="38" t="n"/>
      <c r="C476" s="38" t="n"/>
      <c r="D476" s="38" t="n"/>
      <c r="E476" s="38" t="n"/>
      <c r="F476" s="128" t="n"/>
      <c r="G476" s="128" t="n"/>
      <c r="H476" s="129" t="n"/>
      <c r="I476" s="38" t="n"/>
      <c r="J476" s="98">
        <f>IF(A476="","",IF(AND(F476&lt;&gt;"",G476&lt;&gt;""),MAX(0,G476-F476),N(H476)))</f>
        <v/>
      </c>
      <c r="K476" s="55">
        <f>IF(A476="","",ROUND(J476*MileRate,2))</f>
        <v/>
      </c>
      <c r="L476" s="51">
        <f>IF(A476="","",DATE(YEAR(A476),MONTH(A476),1))</f>
        <v/>
      </c>
    </row>
    <row r="477">
      <c r="A477" s="47" t="n"/>
      <c r="B477" s="38" t="n"/>
      <c r="C477" s="38" t="n"/>
      <c r="D477" s="38" t="n"/>
      <c r="E477" s="38" t="n"/>
      <c r="F477" s="128" t="n"/>
      <c r="G477" s="128" t="n"/>
      <c r="H477" s="129" t="n"/>
      <c r="I477" s="38" t="n"/>
      <c r="J477" s="98">
        <f>IF(A477="","",IF(AND(F477&lt;&gt;"",G477&lt;&gt;""),MAX(0,G477-F477),N(H477)))</f>
        <v/>
      </c>
      <c r="K477" s="55">
        <f>IF(A477="","",ROUND(J477*MileRate,2))</f>
        <v/>
      </c>
      <c r="L477" s="51">
        <f>IF(A477="","",DATE(YEAR(A477),MONTH(A477),1))</f>
        <v/>
      </c>
    </row>
    <row r="478">
      <c r="A478" s="47" t="n"/>
      <c r="B478" s="38" t="n"/>
      <c r="C478" s="38" t="n"/>
      <c r="D478" s="38" t="n"/>
      <c r="E478" s="38" t="n"/>
      <c r="F478" s="128" t="n"/>
      <c r="G478" s="128" t="n"/>
      <c r="H478" s="129" t="n"/>
      <c r="I478" s="38" t="n"/>
      <c r="J478" s="98">
        <f>IF(A478="","",IF(AND(F478&lt;&gt;"",G478&lt;&gt;""),MAX(0,G478-F478),N(H478)))</f>
        <v/>
      </c>
      <c r="K478" s="55">
        <f>IF(A478="","",ROUND(J478*MileRate,2))</f>
        <v/>
      </c>
      <c r="L478" s="51">
        <f>IF(A478="","",DATE(YEAR(A478),MONTH(A478),1))</f>
        <v/>
      </c>
    </row>
    <row r="479">
      <c r="A479" s="47" t="n"/>
      <c r="B479" s="38" t="n"/>
      <c r="C479" s="38" t="n"/>
      <c r="D479" s="38" t="n"/>
      <c r="E479" s="38" t="n"/>
      <c r="F479" s="128" t="n"/>
      <c r="G479" s="128" t="n"/>
      <c r="H479" s="129" t="n"/>
      <c r="I479" s="38" t="n"/>
      <c r="J479" s="98">
        <f>IF(A479="","",IF(AND(F479&lt;&gt;"",G479&lt;&gt;""),MAX(0,G479-F479),N(H479)))</f>
        <v/>
      </c>
      <c r="K479" s="55">
        <f>IF(A479="","",ROUND(J479*MileRate,2))</f>
        <v/>
      </c>
      <c r="L479" s="51">
        <f>IF(A479="","",DATE(YEAR(A479),MONTH(A479),1))</f>
        <v/>
      </c>
    </row>
    <row r="480">
      <c r="A480" s="47" t="n"/>
      <c r="B480" s="38" t="n"/>
      <c r="C480" s="38" t="n"/>
      <c r="D480" s="38" t="n"/>
      <c r="E480" s="38" t="n"/>
      <c r="F480" s="128" t="n"/>
      <c r="G480" s="128" t="n"/>
      <c r="H480" s="129" t="n"/>
      <c r="I480" s="38" t="n"/>
      <c r="J480" s="98">
        <f>IF(A480="","",IF(AND(F480&lt;&gt;"",G480&lt;&gt;""),MAX(0,G480-F480),N(H480)))</f>
        <v/>
      </c>
      <c r="K480" s="55">
        <f>IF(A480="","",ROUND(J480*MileRate,2))</f>
        <v/>
      </c>
      <c r="L480" s="51">
        <f>IF(A480="","",DATE(YEAR(A480),MONTH(A480),1))</f>
        <v/>
      </c>
    </row>
    <row r="481">
      <c r="A481" s="47" t="n"/>
      <c r="B481" s="38" t="n"/>
      <c r="C481" s="38" t="n"/>
      <c r="D481" s="38" t="n"/>
      <c r="E481" s="38" t="n"/>
      <c r="F481" s="128" t="n"/>
      <c r="G481" s="128" t="n"/>
      <c r="H481" s="129" t="n"/>
      <c r="I481" s="38" t="n"/>
      <c r="J481" s="98">
        <f>IF(A481="","",IF(AND(F481&lt;&gt;"",G481&lt;&gt;""),MAX(0,G481-F481),N(H481)))</f>
        <v/>
      </c>
      <c r="K481" s="55">
        <f>IF(A481="","",ROUND(J481*MileRate,2))</f>
        <v/>
      </c>
      <c r="L481" s="51">
        <f>IF(A481="","",DATE(YEAR(A481),MONTH(A481),1))</f>
        <v/>
      </c>
    </row>
    <row r="482">
      <c r="A482" s="47" t="n"/>
      <c r="B482" s="38" t="n"/>
      <c r="C482" s="38" t="n"/>
      <c r="D482" s="38" t="n"/>
      <c r="E482" s="38" t="n"/>
      <c r="F482" s="128" t="n"/>
      <c r="G482" s="128" t="n"/>
      <c r="H482" s="129" t="n"/>
      <c r="I482" s="38" t="n"/>
      <c r="J482" s="98">
        <f>IF(A482="","",IF(AND(F482&lt;&gt;"",G482&lt;&gt;""),MAX(0,G482-F482),N(H482)))</f>
        <v/>
      </c>
      <c r="K482" s="55">
        <f>IF(A482="","",ROUND(J482*MileRate,2))</f>
        <v/>
      </c>
      <c r="L482" s="51">
        <f>IF(A482="","",DATE(YEAR(A482),MONTH(A482),1))</f>
        <v/>
      </c>
    </row>
    <row r="483">
      <c r="A483" s="47" t="n"/>
      <c r="B483" s="38" t="n"/>
      <c r="C483" s="38" t="n"/>
      <c r="D483" s="38" t="n"/>
      <c r="E483" s="38" t="n"/>
      <c r="F483" s="128" t="n"/>
      <c r="G483" s="128" t="n"/>
      <c r="H483" s="129" t="n"/>
      <c r="I483" s="38" t="n"/>
      <c r="J483" s="98">
        <f>IF(A483="","",IF(AND(F483&lt;&gt;"",G483&lt;&gt;""),MAX(0,G483-F483),N(H483)))</f>
        <v/>
      </c>
      <c r="K483" s="55">
        <f>IF(A483="","",ROUND(J483*MileRate,2))</f>
        <v/>
      </c>
      <c r="L483" s="51">
        <f>IF(A483="","",DATE(YEAR(A483),MONTH(A483),1))</f>
        <v/>
      </c>
    </row>
    <row r="484">
      <c r="A484" s="47" t="n"/>
      <c r="B484" s="38" t="n"/>
      <c r="C484" s="38" t="n"/>
      <c r="D484" s="38" t="n"/>
      <c r="E484" s="38" t="n"/>
      <c r="F484" s="128" t="n"/>
      <c r="G484" s="128" t="n"/>
      <c r="H484" s="129" t="n"/>
      <c r="I484" s="38" t="n"/>
      <c r="J484" s="98">
        <f>IF(A484="","",IF(AND(F484&lt;&gt;"",G484&lt;&gt;""),MAX(0,G484-F484),N(H484)))</f>
        <v/>
      </c>
      <c r="K484" s="55">
        <f>IF(A484="","",ROUND(J484*MileRate,2))</f>
        <v/>
      </c>
      <c r="L484" s="51">
        <f>IF(A484="","",DATE(YEAR(A484),MONTH(A484),1))</f>
        <v/>
      </c>
    </row>
    <row r="485">
      <c r="A485" s="47" t="n"/>
      <c r="B485" s="38" t="n"/>
      <c r="C485" s="38" t="n"/>
      <c r="D485" s="38" t="n"/>
      <c r="E485" s="38" t="n"/>
      <c r="F485" s="128" t="n"/>
      <c r="G485" s="128" t="n"/>
      <c r="H485" s="129" t="n"/>
      <c r="I485" s="38" t="n"/>
      <c r="J485" s="98">
        <f>IF(A485="","",IF(AND(F485&lt;&gt;"",G485&lt;&gt;""),MAX(0,G485-F485),N(H485)))</f>
        <v/>
      </c>
      <c r="K485" s="55">
        <f>IF(A485="","",ROUND(J485*MileRate,2))</f>
        <v/>
      </c>
      <c r="L485" s="51">
        <f>IF(A485="","",DATE(YEAR(A485),MONTH(A485),1))</f>
        <v/>
      </c>
    </row>
    <row r="486">
      <c r="A486" s="47" t="n"/>
      <c r="B486" s="38" t="n"/>
      <c r="C486" s="38" t="n"/>
      <c r="D486" s="38" t="n"/>
      <c r="E486" s="38" t="n"/>
      <c r="F486" s="128" t="n"/>
      <c r="G486" s="128" t="n"/>
      <c r="H486" s="129" t="n"/>
      <c r="I486" s="38" t="n"/>
      <c r="J486" s="98">
        <f>IF(A486="","",IF(AND(F486&lt;&gt;"",G486&lt;&gt;""),MAX(0,G486-F486),N(H486)))</f>
        <v/>
      </c>
      <c r="K486" s="55">
        <f>IF(A486="","",ROUND(J486*MileRate,2))</f>
        <v/>
      </c>
      <c r="L486" s="51">
        <f>IF(A486="","",DATE(YEAR(A486),MONTH(A486),1))</f>
        <v/>
      </c>
    </row>
    <row r="487">
      <c r="A487" s="47" t="n"/>
      <c r="B487" s="38" t="n"/>
      <c r="C487" s="38" t="n"/>
      <c r="D487" s="38" t="n"/>
      <c r="E487" s="38" t="n"/>
      <c r="F487" s="128" t="n"/>
      <c r="G487" s="128" t="n"/>
      <c r="H487" s="129" t="n"/>
      <c r="I487" s="38" t="n"/>
      <c r="J487" s="98">
        <f>IF(A487="","",IF(AND(F487&lt;&gt;"",G487&lt;&gt;""),MAX(0,G487-F487),N(H487)))</f>
        <v/>
      </c>
      <c r="K487" s="55">
        <f>IF(A487="","",ROUND(J487*MileRate,2))</f>
        <v/>
      </c>
      <c r="L487" s="51">
        <f>IF(A487="","",DATE(YEAR(A487),MONTH(A487),1))</f>
        <v/>
      </c>
    </row>
    <row r="488">
      <c r="A488" s="47" t="n"/>
      <c r="B488" s="38" t="n"/>
      <c r="C488" s="38" t="n"/>
      <c r="D488" s="38" t="n"/>
      <c r="E488" s="38" t="n"/>
      <c r="F488" s="128" t="n"/>
      <c r="G488" s="128" t="n"/>
      <c r="H488" s="129" t="n"/>
      <c r="I488" s="38" t="n"/>
      <c r="J488" s="98">
        <f>IF(A488="","",IF(AND(F488&lt;&gt;"",G488&lt;&gt;""),MAX(0,G488-F488),N(H488)))</f>
        <v/>
      </c>
      <c r="K488" s="55">
        <f>IF(A488="","",ROUND(J488*MileRate,2))</f>
        <v/>
      </c>
      <c r="L488" s="51">
        <f>IF(A488="","",DATE(YEAR(A488),MONTH(A488),1))</f>
        <v/>
      </c>
    </row>
    <row r="489">
      <c r="A489" s="47" t="n"/>
      <c r="B489" s="38" t="n"/>
      <c r="C489" s="38" t="n"/>
      <c r="D489" s="38" t="n"/>
      <c r="E489" s="38" t="n"/>
      <c r="F489" s="128" t="n"/>
      <c r="G489" s="128" t="n"/>
      <c r="H489" s="129" t="n"/>
      <c r="I489" s="38" t="n"/>
      <c r="J489" s="98">
        <f>IF(A489="","",IF(AND(F489&lt;&gt;"",G489&lt;&gt;""),MAX(0,G489-F489),N(H489)))</f>
        <v/>
      </c>
      <c r="K489" s="55">
        <f>IF(A489="","",ROUND(J489*MileRate,2))</f>
        <v/>
      </c>
      <c r="L489" s="51">
        <f>IF(A489="","",DATE(YEAR(A489),MONTH(A489),1))</f>
        <v/>
      </c>
    </row>
    <row r="490">
      <c r="A490" s="47" t="n"/>
      <c r="B490" s="38" t="n"/>
      <c r="C490" s="38" t="n"/>
      <c r="D490" s="38" t="n"/>
      <c r="E490" s="38" t="n"/>
      <c r="F490" s="128" t="n"/>
      <c r="G490" s="128" t="n"/>
      <c r="H490" s="129" t="n"/>
      <c r="I490" s="38" t="n"/>
      <c r="J490" s="98">
        <f>IF(A490="","",IF(AND(F490&lt;&gt;"",G490&lt;&gt;""),MAX(0,G490-F490),N(H490)))</f>
        <v/>
      </c>
      <c r="K490" s="55">
        <f>IF(A490="","",ROUND(J490*MileRate,2))</f>
        <v/>
      </c>
      <c r="L490" s="51">
        <f>IF(A490="","",DATE(YEAR(A490),MONTH(A490),1))</f>
        <v/>
      </c>
    </row>
    <row r="491">
      <c r="A491" s="47" t="n"/>
      <c r="B491" s="38" t="n"/>
      <c r="C491" s="38" t="n"/>
      <c r="D491" s="38" t="n"/>
      <c r="E491" s="38" t="n"/>
      <c r="F491" s="128" t="n"/>
      <c r="G491" s="128" t="n"/>
      <c r="H491" s="129" t="n"/>
      <c r="I491" s="38" t="n"/>
      <c r="J491" s="98">
        <f>IF(A491="","",IF(AND(F491&lt;&gt;"",G491&lt;&gt;""),MAX(0,G491-F491),N(H491)))</f>
        <v/>
      </c>
      <c r="K491" s="55">
        <f>IF(A491="","",ROUND(J491*MileRate,2))</f>
        <v/>
      </c>
      <c r="L491" s="51">
        <f>IF(A491="","",DATE(YEAR(A491),MONTH(A491),1))</f>
        <v/>
      </c>
    </row>
    <row r="492">
      <c r="A492" s="47" t="n"/>
      <c r="B492" s="38" t="n"/>
      <c r="C492" s="38" t="n"/>
      <c r="D492" s="38" t="n"/>
      <c r="E492" s="38" t="n"/>
      <c r="F492" s="128" t="n"/>
      <c r="G492" s="128" t="n"/>
      <c r="H492" s="129" t="n"/>
      <c r="I492" s="38" t="n"/>
      <c r="J492" s="98">
        <f>IF(A492="","",IF(AND(F492&lt;&gt;"",G492&lt;&gt;""),MAX(0,G492-F492),N(H492)))</f>
        <v/>
      </c>
      <c r="K492" s="55">
        <f>IF(A492="","",ROUND(J492*MileRate,2))</f>
        <v/>
      </c>
      <c r="L492" s="51">
        <f>IF(A492="","",DATE(YEAR(A492),MONTH(A492),1))</f>
        <v/>
      </c>
    </row>
    <row r="493">
      <c r="A493" s="47" t="n"/>
      <c r="B493" s="38" t="n"/>
      <c r="C493" s="38" t="n"/>
      <c r="D493" s="38" t="n"/>
      <c r="E493" s="38" t="n"/>
      <c r="F493" s="128" t="n"/>
      <c r="G493" s="128" t="n"/>
      <c r="H493" s="129" t="n"/>
      <c r="I493" s="38" t="n"/>
      <c r="J493" s="98">
        <f>IF(A493="","",IF(AND(F493&lt;&gt;"",G493&lt;&gt;""),MAX(0,G493-F493),N(H493)))</f>
        <v/>
      </c>
      <c r="K493" s="55">
        <f>IF(A493="","",ROUND(J493*MileRate,2))</f>
        <v/>
      </c>
      <c r="L493" s="51">
        <f>IF(A493="","",DATE(YEAR(A493),MONTH(A493),1))</f>
        <v/>
      </c>
    </row>
    <row r="494">
      <c r="A494" s="47" t="n"/>
      <c r="B494" s="38" t="n"/>
      <c r="C494" s="38" t="n"/>
      <c r="D494" s="38" t="n"/>
      <c r="E494" s="38" t="n"/>
      <c r="F494" s="128" t="n"/>
      <c r="G494" s="128" t="n"/>
      <c r="H494" s="129" t="n"/>
      <c r="I494" s="38" t="n"/>
      <c r="J494" s="98">
        <f>IF(A494="","",IF(AND(F494&lt;&gt;"",G494&lt;&gt;""),MAX(0,G494-F494),N(H494)))</f>
        <v/>
      </c>
      <c r="K494" s="55">
        <f>IF(A494="","",ROUND(J494*MileRate,2))</f>
        <v/>
      </c>
      <c r="L494" s="51">
        <f>IF(A494="","",DATE(YEAR(A494),MONTH(A494),1))</f>
        <v/>
      </c>
    </row>
    <row r="495">
      <c r="A495" s="47" t="n"/>
      <c r="B495" s="38" t="n"/>
      <c r="C495" s="38" t="n"/>
      <c r="D495" s="38" t="n"/>
      <c r="E495" s="38" t="n"/>
      <c r="F495" s="128" t="n"/>
      <c r="G495" s="128" t="n"/>
      <c r="H495" s="129" t="n"/>
      <c r="I495" s="38" t="n"/>
      <c r="J495" s="98">
        <f>IF(A495="","",IF(AND(F495&lt;&gt;"",G495&lt;&gt;""),MAX(0,G495-F495),N(H495)))</f>
        <v/>
      </c>
      <c r="K495" s="55">
        <f>IF(A495="","",ROUND(J495*MileRate,2))</f>
        <v/>
      </c>
      <c r="L495" s="51">
        <f>IF(A495="","",DATE(YEAR(A495),MONTH(A495),1))</f>
        <v/>
      </c>
    </row>
    <row r="496">
      <c r="A496" s="47" t="n"/>
      <c r="B496" s="38" t="n"/>
      <c r="C496" s="38" t="n"/>
      <c r="D496" s="38" t="n"/>
      <c r="E496" s="38" t="n"/>
      <c r="F496" s="128" t="n"/>
      <c r="G496" s="128" t="n"/>
      <c r="H496" s="129" t="n"/>
      <c r="I496" s="38" t="n"/>
      <c r="J496" s="98">
        <f>IF(A496="","",IF(AND(F496&lt;&gt;"",G496&lt;&gt;""),MAX(0,G496-F496),N(H496)))</f>
        <v/>
      </c>
      <c r="K496" s="55">
        <f>IF(A496="","",ROUND(J496*MileRate,2))</f>
        <v/>
      </c>
      <c r="L496" s="51">
        <f>IF(A496="","",DATE(YEAR(A496),MONTH(A496),1))</f>
        <v/>
      </c>
    </row>
    <row r="497">
      <c r="A497" s="47" t="n"/>
      <c r="B497" s="38" t="n"/>
      <c r="C497" s="38" t="n"/>
      <c r="D497" s="38" t="n"/>
      <c r="E497" s="38" t="n"/>
      <c r="F497" s="128" t="n"/>
      <c r="G497" s="128" t="n"/>
      <c r="H497" s="129" t="n"/>
      <c r="I497" s="38" t="n"/>
      <c r="J497" s="98">
        <f>IF(A497="","",IF(AND(F497&lt;&gt;"",G497&lt;&gt;""),MAX(0,G497-F497),N(H497)))</f>
        <v/>
      </c>
      <c r="K497" s="55">
        <f>IF(A497="","",ROUND(J497*MileRate,2))</f>
        <v/>
      </c>
      <c r="L497" s="51">
        <f>IF(A497="","",DATE(YEAR(A497),MONTH(A497),1))</f>
        <v/>
      </c>
    </row>
    <row r="498">
      <c r="A498" s="47" t="n"/>
      <c r="B498" s="38" t="n"/>
      <c r="C498" s="38" t="n"/>
      <c r="D498" s="38" t="n"/>
      <c r="E498" s="38" t="n"/>
      <c r="F498" s="128" t="n"/>
      <c r="G498" s="128" t="n"/>
      <c r="H498" s="129" t="n"/>
      <c r="I498" s="38" t="n"/>
      <c r="J498" s="98">
        <f>IF(A498="","",IF(AND(F498&lt;&gt;"",G498&lt;&gt;""),MAX(0,G498-F498),N(H498)))</f>
        <v/>
      </c>
      <c r="K498" s="55">
        <f>IF(A498="","",ROUND(J498*MileRate,2))</f>
        <v/>
      </c>
      <c r="L498" s="51">
        <f>IF(A498="","",DATE(YEAR(A498),MONTH(A498),1))</f>
        <v/>
      </c>
    </row>
    <row r="499">
      <c r="A499" s="47" t="n"/>
      <c r="B499" s="38" t="n"/>
      <c r="C499" s="38" t="n"/>
      <c r="D499" s="38" t="n"/>
      <c r="E499" s="38" t="n"/>
      <c r="F499" s="128" t="n"/>
      <c r="G499" s="128" t="n"/>
      <c r="H499" s="129" t="n"/>
      <c r="I499" s="38" t="n"/>
      <c r="J499" s="98">
        <f>IF(A499="","",IF(AND(F499&lt;&gt;"",G499&lt;&gt;""),MAX(0,G499-F499),N(H499)))</f>
        <v/>
      </c>
      <c r="K499" s="55">
        <f>IF(A499="","",ROUND(J499*MileRate,2))</f>
        <v/>
      </c>
      <c r="L499" s="51">
        <f>IF(A499="","",DATE(YEAR(A499),MONTH(A499),1))</f>
        <v/>
      </c>
    </row>
    <row r="500">
      <c r="A500" s="47" t="n"/>
      <c r="B500" s="38" t="n"/>
      <c r="C500" s="38" t="n"/>
      <c r="D500" s="38" t="n"/>
      <c r="E500" s="38" t="n"/>
      <c r="F500" s="128" t="n"/>
      <c r="G500" s="128" t="n"/>
      <c r="H500" s="129" t="n"/>
      <c r="I500" s="38" t="n"/>
      <c r="J500" s="98">
        <f>IF(A500="","",IF(AND(F500&lt;&gt;"",G500&lt;&gt;""),MAX(0,G500-F500),N(H500)))</f>
        <v/>
      </c>
      <c r="K500" s="55">
        <f>IF(A500="","",ROUND(J500*MileRate,2))</f>
        <v/>
      </c>
      <c r="L500" s="51">
        <f>IF(A500="","",DATE(YEAR(A500),MONTH(A500),1))</f>
        <v/>
      </c>
    </row>
    <row r="501">
      <c r="A501" s="47" t="n"/>
      <c r="B501" s="38" t="n"/>
      <c r="C501" s="38" t="n"/>
      <c r="D501" s="38" t="n"/>
      <c r="E501" s="38" t="n"/>
      <c r="F501" s="128" t="n"/>
      <c r="G501" s="128" t="n"/>
      <c r="H501" s="129" t="n"/>
      <c r="I501" s="38" t="n"/>
      <c r="J501" s="98">
        <f>IF(A501="","",IF(AND(F501&lt;&gt;"",G501&lt;&gt;""),MAX(0,G501-F501),N(H501)))</f>
        <v/>
      </c>
      <c r="K501" s="55">
        <f>IF(A501="","",ROUND(J501*MileRate,2))</f>
        <v/>
      </c>
      <c r="L501" s="51">
        <f>IF(A501="","",DATE(YEAR(A501),MONTH(A501),1))</f>
        <v/>
      </c>
    </row>
    <row r="502">
      <c r="A502" s="47" t="n"/>
      <c r="B502" s="38" t="n"/>
      <c r="C502" s="38" t="n"/>
      <c r="D502" s="38" t="n"/>
      <c r="E502" s="38" t="n"/>
      <c r="F502" s="128" t="n"/>
      <c r="G502" s="128" t="n"/>
      <c r="H502" s="129" t="n"/>
      <c r="I502" s="38" t="n"/>
      <c r="J502" s="98">
        <f>IF(A502="","",IF(AND(F502&lt;&gt;"",G502&lt;&gt;""),MAX(0,G502-F502),N(H502)))</f>
        <v/>
      </c>
      <c r="K502" s="55">
        <f>IF(A502="","",ROUND(J502*MileRate,2))</f>
        <v/>
      </c>
      <c r="L502" s="51">
        <f>IF(A502="","",DATE(YEAR(A502),MONTH(A502),1))</f>
        <v/>
      </c>
    </row>
    <row r="503">
      <c r="A503" s="47" t="n"/>
      <c r="B503" s="38" t="n"/>
      <c r="C503" s="38" t="n"/>
      <c r="D503" s="38" t="n"/>
      <c r="E503" s="38" t="n"/>
      <c r="F503" s="128" t="n"/>
      <c r="G503" s="128" t="n"/>
      <c r="H503" s="129" t="n"/>
      <c r="I503" s="38" t="n"/>
      <c r="J503" s="98">
        <f>IF(A503="","",IF(AND(F503&lt;&gt;"",G503&lt;&gt;""),MAX(0,G503-F503),N(H503)))</f>
        <v/>
      </c>
      <c r="K503" s="55">
        <f>IF(A503="","",ROUND(J503*MileRate,2))</f>
        <v/>
      </c>
      <c r="L503" s="51">
        <f>IF(A503="","",DATE(YEAR(A503),MONTH(A503),1))</f>
        <v/>
      </c>
    </row>
    <row r="504">
      <c r="A504" s="47" t="n"/>
      <c r="B504" s="38" t="n"/>
      <c r="C504" s="38" t="n"/>
      <c r="D504" s="38" t="n"/>
      <c r="E504" s="38" t="n"/>
      <c r="F504" s="128" t="n"/>
      <c r="G504" s="128" t="n"/>
      <c r="H504" s="129" t="n"/>
      <c r="I504" s="38" t="n"/>
      <c r="J504" s="98">
        <f>IF(A504="","",IF(AND(F504&lt;&gt;"",G504&lt;&gt;""),MAX(0,G504-F504),N(H504)))</f>
        <v/>
      </c>
      <c r="K504" s="55">
        <f>IF(A504="","",ROUND(J504*MileRate,2))</f>
        <v/>
      </c>
      <c r="L504" s="51">
        <f>IF(A504="","",DATE(YEAR(A504),MONTH(A504),1))</f>
        <v/>
      </c>
    </row>
    <row r="505">
      <c r="A505" s="47" t="n"/>
      <c r="B505" s="38" t="n"/>
      <c r="C505" s="38" t="n"/>
      <c r="D505" s="38" t="n"/>
      <c r="E505" s="38" t="n"/>
      <c r="F505" s="128" t="n"/>
      <c r="G505" s="128" t="n"/>
      <c r="H505" s="129" t="n"/>
      <c r="I505" s="38" t="n"/>
      <c r="J505" s="98">
        <f>IF(A505="","",IF(AND(F505&lt;&gt;"",G505&lt;&gt;""),MAX(0,G505-F505),N(H505)))</f>
        <v/>
      </c>
      <c r="K505" s="55">
        <f>IF(A505="","",ROUND(J505*MileRate,2))</f>
        <v/>
      </c>
      <c r="L505" s="51">
        <f>IF(A505="","",DATE(YEAR(A505),MONTH(A505),1))</f>
        <v/>
      </c>
    </row>
    <row r="506">
      <c r="A506" s="47" t="n"/>
      <c r="B506" s="38" t="n"/>
      <c r="C506" s="38" t="n"/>
      <c r="D506" s="38" t="n"/>
      <c r="E506" s="38" t="n"/>
      <c r="F506" s="128" t="n"/>
      <c r="G506" s="128" t="n"/>
      <c r="H506" s="129" t="n"/>
      <c r="I506" s="38" t="n"/>
      <c r="J506" s="98">
        <f>IF(A506="","",IF(AND(F506&lt;&gt;"",G506&lt;&gt;""),MAX(0,G506-F506),N(H506)))</f>
        <v/>
      </c>
      <c r="K506" s="55">
        <f>IF(A506="","",ROUND(J506*MileRate,2))</f>
        <v/>
      </c>
      <c r="L506" s="51">
        <f>IF(A506="","",DATE(YEAR(A506),MONTH(A506),1))</f>
        <v/>
      </c>
    </row>
    <row r="507">
      <c r="A507" s="47" t="n"/>
      <c r="B507" s="38" t="n"/>
      <c r="C507" s="38" t="n"/>
      <c r="D507" s="38" t="n"/>
      <c r="E507" s="38" t="n"/>
      <c r="F507" s="128" t="n"/>
      <c r="G507" s="128" t="n"/>
      <c r="H507" s="129" t="n"/>
      <c r="I507" s="38" t="n"/>
      <c r="J507" s="98">
        <f>IF(A507="","",IF(AND(F507&lt;&gt;"",G507&lt;&gt;""),MAX(0,G507-F507),N(H507)))</f>
        <v/>
      </c>
      <c r="K507" s="55">
        <f>IF(A507="","",ROUND(J507*MileRate,2))</f>
        <v/>
      </c>
      <c r="L507" s="51">
        <f>IF(A507="","",DATE(YEAR(A507),MONTH(A507),1))</f>
        <v/>
      </c>
    </row>
    <row r="508">
      <c r="A508" s="47" t="n"/>
      <c r="B508" s="38" t="n"/>
      <c r="C508" s="38" t="n"/>
      <c r="D508" s="38" t="n"/>
      <c r="E508" s="38" t="n"/>
      <c r="F508" s="128" t="n"/>
      <c r="G508" s="128" t="n"/>
      <c r="H508" s="129" t="n"/>
      <c r="I508" s="38" t="n"/>
      <c r="J508" s="98">
        <f>IF(A508="","",IF(AND(F508&lt;&gt;"",G508&lt;&gt;""),MAX(0,G508-F508),N(H508)))</f>
        <v/>
      </c>
      <c r="K508" s="55">
        <f>IF(A508="","",ROUND(J508*MileRate,2))</f>
        <v/>
      </c>
      <c r="L508" s="51">
        <f>IF(A508="","",DATE(YEAR(A508),MONTH(A508),1))</f>
        <v/>
      </c>
    </row>
    <row r="509">
      <c r="A509" s="47" t="n"/>
      <c r="B509" s="38" t="n"/>
      <c r="C509" s="38" t="n"/>
      <c r="D509" s="38" t="n"/>
      <c r="E509" s="38" t="n"/>
      <c r="F509" s="128" t="n"/>
      <c r="G509" s="128" t="n"/>
      <c r="H509" s="129" t="n"/>
      <c r="I509" s="38" t="n"/>
      <c r="J509" s="98">
        <f>IF(A509="","",IF(AND(F509&lt;&gt;"",G509&lt;&gt;""),MAX(0,G509-F509),N(H509)))</f>
        <v/>
      </c>
      <c r="K509" s="55">
        <f>IF(A509="","",ROUND(J509*MileRate,2))</f>
        <v/>
      </c>
      <c r="L509" s="51">
        <f>IF(A509="","",DATE(YEAR(A509),MONTH(A509),1))</f>
        <v/>
      </c>
    </row>
    <row r="510">
      <c r="A510" s="47" t="n"/>
      <c r="B510" s="38" t="n"/>
      <c r="C510" s="38" t="n"/>
      <c r="D510" s="38" t="n"/>
      <c r="E510" s="38" t="n"/>
      <c r="F510" s="128" t="n"/>
      <c r="G510" s="128" t="n"/>
      <c r="H510" s="129" t="n"/>
      <c r="I510" s="38" t="n"/>
      <c r="J510" s="98">
        <f>IF(A510="","",IF(AND(F510&lt;&gt;"",G510&lt;&gt;""),MAX(0,G510-F510),N(H510)))</f>
        <v/>
      </c>
      <c r="K510" s="55">
        <f>IF(A510="","",ROUND(J510*MileRate,2))</f>
        <v/>
      </c>
      <c r="L510" s="51">
        <f>IF(A510="","",DATE(YEAR(A510),MONTH(A510),1))</f>
        <v/>
      </c>
    </row>
    <row r="511">
      <c r="A511" s="47" t="n"/>
      <c r="B511" s="38" t="n"/>
      <c r="C511" s="38" t="n"/>
      <c r="D511" s="38" t="n"/>
      <c r="E511" s="38" t="n"/>
      <c r="F511" s="128" t="n"/>
      <c r="G511" s="128" t="n"/>
      <c r="H511" s="129" t="n"/>
      <c r="I511" s="38" t="n"/>
      <c r="J511" s="98">
        <f>IF(A511="","",IF(AND(F511&lt;&gt;"",G511&lt;&gt;""),MAX(0,G511-F511),N(H511)))</f>
        <v/>
      </c>
      <c r="K511" s="55">
        <f>IF(A511="","",ROUND(J511*MileRate,2))</f>
        <v/>
      </c>
      <c r="L511" s="51">
        <f>IF(A511="","",DATE(YEAR(A511),MONTH(A511),1))</f>
        <v/>
      </c>
    </row>
    <row r="512">
      <c r="A512" s="47" t="n"/>
      <c r="B512" s="38" t="n"/>
      <c r="C512" s="38" t="n"/>
      <c r="D512" s="38" t="n"/>
      <c r="E512" s="38" t="n"/>
      <c r="F512" s="128" t="n"/>
      <c r="G512" s="128" t="n"/>
      <c r="H512" s="129" t="n"/>
      <c r="I512" s="38" t="n"/>
      <c r="J512" s="98">
        <f>IF(A512="","",IF(AND(F512&lt;&gt;"",G512&lt;&gt;""),MAX(0,G512-F512),N(H512)))</f>
        <v/>
      </c>
      <c r="K512" s="55">
        <f>IF(A512="","",ROUND(J512*MileRate,2))</f>
        <v/>
      </c>
      <c r="L512" s="51">
        <f>IF(A512="","",DATE(YEAR(A512),MONTH(A512),1))</f>
        <v/>
      </c>
    </row>
    <row r="513">
      <c r="A513" s="47" t="n"/>
      <c r="B513" s="38" t="n"/>
      <c r="C513" s="38" t="n"/>
      <c r="D513" s="38" t="n"/>
      <c r="E513" s="38" t="n"/>
      <c r="F513" s="128" t="n"/>
      <c r="G513" s="128" t="n"/>
      <c r="H513" s="129" t="n"/>
      <c r="I513" s="38" t="n"/>
      <c r="J513" s="98">
        <f>IF(A513="","",IF(AND(F513&lt;&gt;"",G513&lt;&gt;""),MAX(0,G513-F513),N(H513)))</f>
        <v/>
      </c>
      <c r="K513" s="55">
        <f>IF(A513="","",ROUND(J513*MileRate,2))</f>
        <v/>
      </c>
      <c r="L513" s="51">
        <f>IF(A513="","",DATE(YEAR(A513),MONTH(A513),1))</f>
        <v/>
      </c>
    </row>
    <row r="514">
      <c r="A514" s="47" t="n"/>
      <c r="B514" s="38" t="n"/>
      <c r="C514" s="38" t="n"/>
      <c r="D514" s="38" t="n"/>
      <c r="E514" s="38" t="n"/>
      <c r="F514" s="128" t="n"/>
      <c r="G514" s="128" t="n"/>
      <c r="H514" s="129" t="n"/>
      <c r="I514" s="38" t="n"/>
      <c r="J514" s="98">
        <f>IF(A514="","",IF(AND(F514&lt;&gt;"",G514&lt;&gt;""),MAX(0,G514-F514),N(H514)))</f>
        <v/>
      </c>
      <c r="K514" s="55">
        <f>IF(A514="","",ROUND(J514*MileRate,2))</f>
        <v/>
      </c>
      <c r="L514" s="51">
        <f>IF(A514="","",DATE(YEAR(A514),MONTH(A514),1))</f>
        <v/>
      </c>
    </row>
    <row r="515">
      <c r="A515" s="47" t="n"/>
      <c r="B515" s="38" t="n"/>
      <c r="C515" s="38" t="n"/>
      <c r="D515" s="38" t="n"/>
      <c r="E515" s="38" t="n"/>
      <c r="F515" s="128" t="n"/>
      <c r="G515" s="128" t="n"/>
      <c r="H515" s="129" t="n"/>
      <c r="I515" s="38" t="n"/>
      <c r="J515" s="98">
        <f>IF(A515="","",IF(AND(F515&lt;&gt;"",G515&lt;&gt;""),MAX(0,G515-F515),N(H515)))</f>
        <v/>
      </c>
      <c r="K515" s="55">
        <f>IF(A515="","",ROUND(J515*MileRate,2))</f>
        <v/>
      </c>
      <c r="L515" s="51">
        <f>IF(A515="","",DATE(YEAR(A515),MONTH(A515),1))</f>
        <v/>
      </c>
    </row>
    <row r="516">
      <c r="A516" s="47" t="n"/>
      <c r="B516" s="38" t="n"/>
      <c r="C516" s="38" t="n"/>
      <c r="D516" s="38" t="n"/>
      <c r="E516" s="38" t="n"/>
      <c r="F516" s="128" t="n"/>
      <c r="G516" s="128" t="n"/>
      <c r="H516" s="129" t="n"/>
      <c r="I516" s="38" t="n"/>
      <c r="J516" s="98">
        <f>IF(A516="","",IF(AND(F516&lt;&gt;"",G516&lt;&gt;""),MAX(0,G516-F516),N(H516)))</f>
        <v/>
      </c>
      <c r="K516" s="55">
        <f>IF(A516="","",ROUND(J516*MileRate,2))</f>
        <v/>
      </c>
      <c r="L516" s="51">
        <f>IF(A516="","",DATE(YEAR(A516),MONTH(A516),1))</f>
        <v/>
      </c>
    </row>
    <row r="517">
      <c r="A517" s="47" t="n"/>
      <c r="B517" s="38" t="n"/>
      <c r="C517" s="38" t="n"/>
      <c r="D517" s="38" t="n"/>
      <c r="E517" s="38" t="n"/>
      <c r="F517" s="128" t="n"/>
      <c r="G517" s="128" t="n"/>
      <c r="H517" s="129" t="n"/>
      <c r="I517" s="38" t="n"/>
      <c r="J517" s="98">
        <f>IF(A517="","",IF(AND(F517&lt;&gt;"",G517&lt;&gt;""),MAX(0,G517-F517),N(H517)))</f>
        <v/>
      </c>
      <c r="K517" s="55">
        <f>IF(A517="","",ROUND(J517*MileRate,2))</f>
        <v/>
      </c>
      <c r="L517" s="51">
        <f>IF(A517="","",DATE(YEAR(A517),MONTH(A517),1))</f>
        <v/>
      </c>
    </row>
    <row r="518">
      <c r="A518" s="47" t="n"/>
      <c r="B518" s="38" t="n"/>
      <c r="C518" s="38" t="n"/>
      <c r="D518" s="38" t="n"/>
      <c r="E518" s="38" t="n"/>
      <c r="F518" s="128" t="n"/>
      <c r="G518" s="128" t="n"/>
      <c r="H518" s="129" t="n"/>
      <c r="I518" s="38" t="n"/>
      <c r="J518" s="98">
        <f>IF(A518="","",IF(AND(F518&lt;&gt;"",G518&lt;&gt;""),MAX(0,G518-F518),N(H518)))</f>
        <v/>
      </c>
      <c r="K518" s="55">
        <f>IF(A518="","",ROUND(J518*MileRate,2))</f>
        <v/>
      </c>
      <c r="L518" s="51">
        <f>IF(A518="","",DATE(YEAR(A518),MONTH(A518),1))</f>
        <v/>
      </c>
    </row>
    <row r="519">
      <c r="A519" s="47" t="n"/>
      <c r="B519" s="38" t="n"/>
      <c r="C519" s="38" t="n"/>
      <c r="D519" s="38" t="n"/>
      <c r="E519" s="38" t="n"/>
      <c r="F519" s="128" t="n"/>
      <c r="G519" s="128" t="n"/>
      <c r="H519" s="129" t="n"/>
      <c r="I519" s="38" t="n"/>
      <c r="J519" s="98">
        <f>IF(A519="","",IF(AND(F519&lt;&gt;"",G519&lt;&gt;""),MAX(0,G519-F519),N(H519)))</f>
        <v/>
      </c>
      <c r="K519" s="55">
        <f>IF(A519="","",ROUND(J519*MileRate,2))</f>
        <v/>
      </c>
      <c r="L519" s="51">
        <f>IF(A519="","",DATE(YEAR(A519),MONTH(A519),1))</f>
        <v/>
      </c>
    </row>
    <row r="520">
      <c r="A520" s="47" t="n"/>
      <c r="B520" s="38" t="n"/>
      <c r="C520" s="38" t="n"/>
      <c r="D520" s="38" t="n"/>
      <c r="E520" s="38" t="n"/>
      <c r="F520" s="128" t="n"/>
      <c r="G520" s="128" t="n"/>
      <c r="H520" s="129" t="n"/>
      <c r="I520" s="38" t="n"/>
      <c r="J520" s="98">
        <f>IF(A520="","",IF(AND(F520&lt;&gt;"",G520&lt;&gt;""),MAX(0,G520-F520),N(H520)))</f>
        <v/>
      </c>
      <c r="K520" s="55">
        <f>IF(A520="","",ROUND(J520*MileRate,2))</f>
        <v/>
      </c>
      <c r="L520" s="51">
        <f>IF(A520="","",DATE(YEAR(A520),MONTH(A520),1))</f>
        <v/>
      </c>
    </row>
    <row r="521">
      <c r="A521" s="47" t="n"/>
      <c r="B521" s="38" t="n"/>
      <c r="C521" s="38" t="n"/>
      <c r="D521" s="38" t="n"/>
      <c r="E521" s="38" t="n"/>
      <c r="F521" s="128" t="n"/>
      <c r="G521" s="128" t="n"/>
      <c r="H521" s="129" t="n"/>
      <c r="I521" s="38" t="n"/>
      <c r="J521" s="98">
        <f>IF(A521="","",IF(AND(F521&lt;&gt;"",G521&lt;&gt;""),MAX(0,G521-F521),N(H521)))</f>
        <v/>
      </c>
      <c r="K521" s="55">
        <f>IF(A521="","",ROUND(J521*MileRate,2))</f>
        <v/>
      </c>
      <c r="L521" s="51">
        <f>IF(A521="","",DATE(YEAR(A521),MONTH(A521),1))</f>
        <v/>
      </c>
    </row>
    <row r="522">
      <c r="A522" s="47" t="n"/>
      <c r="B522" s="38" t="n"/>
      <c r="C522" s="38" t="n"/>
      <c r="D522" s="38" t="n"/>
      <c r="E522" s="38" t="n"/>
      <c r="F522" s="128" t="n"/>
      <c r="G522" s="128" t="n"/>
      <c r="H522" s="129" t="n"/>
      <c r="I522" s="38" t="n"/>
      <c r="J522" s="98">
        <f>IF(A522="","",IF(AND(F522&lt;&gt;"",G522&lt;&gt;""),MAX(0,G522-F522),N(H522)))</f>
        <v/>
      </c>
      <c r="K522" s="55">
        <f>IF(A522="","",ROUND(J522*MileRate,2))</f>
        <v/>
      </c>
      <c r="L522" s="51">
        <f>IF(A522="","",DATE(YEAR(A522),MONTH(A522),1))</f>
        <v/>
      </c>
    </row>
    <row r="523">
      <c r="A523" s="47" t="n"/>
      <c r="B523" s="38" t="n"/>
      <c r="C523" s="38" t="n"/>
      <c r="D523" s="38" t="n"/>
      <c r="E523" s="38" t="n"/>
      <c r="F523" s="128" t="n"/>
      <c r="G523" s="128" t="n"/>
      <c r="H523" s="129" t="n"/>
      <c r="I523" s="38" t="n"/>
      <c r="J523" s="98">
        <f>IF(A523="","",IF(AND(F523&lt;&gt;"",G523&lt;&gt;""),MAX(0,G523-F523),N(H523)))</f>
        <v/>
      </c>
      <c r="K523" s="55">
        <f>IF(A523="","",ROUND(J523*MileRate,2))</f>
        <v/>
      </c>
      <c r="L523" s="51">
        <f>IF(A523="","",DATE(YEAR(A523),MONTH(A523),1))</f>
        <v/>
      </c>
    </row>
    <row r="524">
      <c r="A524" s="47" t="n"/>
      <c r="B524" s="38" t="n"/>
      <c r="C524" s="38" t="n"/>
      <c r="D524" s="38" t="n"/>
      <c r="E524" s="38" t="n"/>
      <c r="F524" s="128" t="n"/>
      <c r="G524" s="128" t="n"/>
      <c r="H524" s="129" t="n"/>
      <c r="I524" s="38" t="n"/>
      <c r="J524" s="98">
        <f>IF(A524="","",IF(AND(F524&lt;&gt;"",G524&lt;&gt;""),MAX(0,G524-F524),N(H524)))</f>
        <v/>
      </c>
      <c r="K524" s="55">
        <f>IF(A524="","",ROUND(J524*MileRate,2))</f>
        <v/>
      </c>
      <c r="L524" s="51">
        <f>IF(A524="","",DATE(YEAR(A524),MONTH(A524),1))</f>
        <v/>
      </c>
    </row>
    <row r="525">
      <c r="A525" s="47" t="n"/>
      <c r="B525" s="38" t="n"/>
      <c r="C525" s="38" t="n"/>
      <c r="D525" s="38" t="n"/>
      <c r="E525" s="38" t="n"/>
      <c r="F525" s="128" t="n"/>
      <c r="G525" s="128" t="n"/>
      <c r="H525" s="129" t="n"/>
      <c r="I525" s="38" t="n"/>
      <c r="J525" s="98">
        <f>IF(A525="","",IF(AND(F525&lt;&gt;"",G525&lt;&gt;""),MAX(0,G525-F525),N(H525)))</f>
        <v/>
      </c>
      <c r="K525" s="55">
        <f>IF(A525="","",ROUND(J525*MileRate,2))</f>
        <v/>
      </c>
      <c r="L525" s="51">
        <f>IF(A525="","",DATE(YEAR(A525),MONTH(A525),1))</f>
        <v/>
      </c>
    </row>
    <row r="526">
      <c r="A526" s="47" t="n"/>
      <c r="B526" s="38" t="n"/>
      <c r="C526" s="38" t="n"/>
      <c r="D526" s="38" t="n"/>
      <c r="E526" s="38" t="n"/>
      <c r="F526" s="128" t="n"/>
      <c r="G526" s="128" t="n"/>
      <c r="H526" s="129" t="n"/>
      <c r="I526" s="38" t="n"/>
      <c r="J526" s="98">
        <f>IF(A526="","",IF(AND(F526&lt;&gt;"",G526&lt;&gt;""),MAX(0,G526-F526),N(H526)))</f>
        <v/>
      </c>
      <c r="K526" s="55">
        <f>IF(A526="","",ROUND(J526*MileRate,2))</f>
        <v/>
      </c>
      <c r="L526" s="51">
        <f>IF(A526="","",DATE(YEAR(A526),MONTH(A526),1))</f>
        <v/>
      </c>
    </row>
    <row r="527">
      <c r="A527" s="47" t="n"/>
      <c r="B527" s="38" t="n"/>
      <c r="C527" s="38" t="n"/>
      <c r="D527" s="38" t="n"/>
      <c r="E527" s="38" t="n"/>
      <c r="F527" s="128" t="n"/>
      <c r="G527" s="128" t="n"/>
      <c r="H527" s="129" t="n"/>
      <c r="I527" s="38" t="n"/>
      <c r="J527" s="98">
        <f>IF(A527="","",IF(AND(F527&lt;&gt;"",G527&lt;&gt;""),MAX(0,G527-F527),N(H527)))</f>
        <v/>
      </c>
      <c r="K527" s="55">
        <f>IF(A527="","",ROUND(J527*MileRate,2))</f>
        <v/>
      </c>
      <c r="L527" s="51">
        <f>IF(A527="","",DATE(YEAR(A527),MONTH(A527),1))</f>
        <v/>
      </c>
    </row>
    <row r="528">
      <c r="A528" s="47" t="n"/>
      <c r="B528" s="38" t="n"/>
      <c r="C528" s="38" t="n"/>
      <c r="D528" s="38" t="n"/>
      <c r="E528" s="38" t="n"/>
      <c r="F528" s="128" t="n"/>
      <c r="G528" s="128" t="n"/>
      <c r="H528" s="129" t="n"/>
      <c r="I528" s="38" t="n"/>
      <c r="J528" s="98">
        <f>IF(A528="","",IF(AND(F528&lt;&gt;"",G528&lt;&gt;""),MAX(0,G528-F528),N(H528)))</f>
        <v/>
      </c>
      <c r="K528" s="55">
        <f>IF(A528="","",ROUND(J528*MileRate,2))</f>
        <v/>
      </c>
      <c r="L528" s="51">
        <f>IF(A528="","",DATE(YEAR(A528),MONTH(A528),1))</f>
        <v/>
      </c>
    </row>
    <row r="529">
      <c r="A529" s="47" t="n"/>
      <c r="B529" s="38" t="n"/>
      <c r="C529" s="38" t="n"/>
      <c r="D529" s="38" t="n"/>
      <c r="E529" s="38" t="n"/>
      <c r="F529" s="128" t="n"/>
      <c r="G529" s="128" t="n"/>
      <c r="H529" s="129" t="n"/>
      <c r="I529" s="38" t="n"/>
      <c r="J529" s="98">
        <f>IF(A529="","",IF(AND(F529&lt;&gt;"",G529&lt;&gt;""),MAX(0,G529-F529),N(H529)))</f>
        <v/>
      </c>
      <c r="K529" s="55">
        <f>IF(A529="","",ROUND(J529*MileRate,2))</f>
        <v/>
      </c>
      <c r="L529" s="51">
        <f>IF(A529="","",DATE(YEAR(A529),MONTH(A529),1))</f>
        <v/>
      </c>
    </row>
    <row r="530">
      <c r="A530" s="47" t="n"/>
      <c r="B530" s="38" t="n"/>
      <c r="C530" s="38" t="n"/>
      <c r="D530" s="38" t="n"/>
      <c r="E530" s="38" t="n"/>
      <c r="F530" s="128" t="n"/>
      <c r="G530" s="128" t="n"/>
      <c r="H530" s="129" t="n"/>
      <c r="I530" s="38" t="n"/>
      <c r="J530" s="98">
        <f>IF(A530="","",IF(AND(F530&lt;&gt;"",G530&lt;&gt;""),MAX(0,G530-F530),N(H530)))</f>
        <v/>
      </c>
      <c r="K530" s="55">
        <f>IF(A530="","",ROUND(J530*MileRate,2))</f>
        <v/>
      </c>
      <c r="L530" s="51">
        <f>IF(A530="","",DATE(YEAR(A530),MONTH(A530),1))</f>
        <v/>
      </c>
    </row>
    <row r="531">
      <c r="A531" s="47" t="n"/>
      <c r="B531" s="38" t="n"/>
      <c r="C531" s="38" t="n"/>
      <c r="D531" s="38" t="n"/>
      <c r="E531" s="38" t="n"/>
      <c r="F531" s="128" t="n"/>
      <c r="G531" s="128" t="n"/>
      <c r="H531" s="129" t="n"/>
      <c r="I531" s="38" t="n"/>
      <c r="J531" s="98">
        <f>IF(A531="","",IF(AND(F531&lt;&gt;"",G531&lt;&gt;""),MAX(0,G531-F531),N(H531)))</f>
        <v/>
      </c>
      <c r="K531" s="55">
        <f>IF(A531="","",ROUND(J531*MileRate,2))</f>
        <v/>
      </c>
      <c r="L531" s="51">
        <f>IF(A531="","",DATE(YEAR(A531),MONTH(A531),1))</f>
        <v/>
      </c>
    </row>
    <row r="532">
      <c r="A532" s="47" t="n"/>
      <c r="B532" s="38" t="n"/>
      <c r="C532" s="38" t="n"/>
      <c r="D532" s="38" t="n"/>
      <c r="E532" s="38" t="n"/>
      <c r="F532" s="128" t="n"/>
      <c r="G532" s="128" t="n"/>
      <c r="H532" s="129" t="n"/>
      <c r="I532" s="38" t="n"/>
      <c r="J532" s="98">
        <f>IF(A532="","",IF(AND(F532&lt;&gt;"",G532&lt;&gt;""),MAX(0,G532-F532),N(H532)))</f>
        <v/>
      </c>
      <c r="K532" s="55">
        <f>IF(A532="","",ROUND(J532*MileRate,2))</f>
        <v/>
      </c>
      <c r="L532" s="51">
        <f>IF(A532="","",DATE(YEAR(A532),MONTH(A532),1))</f>
        <v/>
      </c>
    </row>
    <row r="533">
      <c r="A533" s="47" t="n"/>
      <c r="B533" s="38" t="n"/>
      <c r="C533" s="38" t="n"/>
      <c r="D533" s="38" t="n"/>
      <c r="E533" s="38" t="n"/>
      <c r="F533" s="128" t="n"/>
      <c r="G533" s="128" t="n"/>
      <c r="H533" s="129" t="n"/>
      <c r="I533" s="38" t="n"/>
      <c r="J533" s="98">
        <f>IF(A533="","",IF(AND(F533&lt;&gt;"",G533&lt;&gt;""),MAX(0,G533-F533),N(H533)))</f>
        <v/>
      </c>
      <c r="K533" s="55">
        <f>IF(A533="","",ROUND(J533*MileRate,2))</f>
        <v/>
      </c>
      <c r="L533" s="51">
        <f>IF(A533="","",DATE(YEAR(A533),MONTH(A533),1))</f>
        <v/>
      </c>
    </row>
    <row r="534">
      <c r="A534" s="47" t="n"/>
      <c r="B534" s="38" t="n"/>
      <c r="C534" s="38" t="n"/>
      <c r="D534" s="38" t="n"/>
      <c r="E534" s="38" t="n"/>
      <c r="F534" s="128" t="n"/>
      <c r="G534" s="128" t="n"/>
      <c r="H534" s="129" t="n"/>
      <c r="I534" s="38" t="n"/>
      <c r="J534" s="98">
        <f>IF(A534="","",IF(AND(F534&lt;&gt;"",G534&lt;&gt;""),MAX(0,G534-F534),N(H534)))</f>
        <v/>
      </c>
      <c r="K534" s="55">
        <f>IF(A534="","",ROUND(J534*MileRate,2))</f>
        <v/>
      </c>
      <c r="L534" s="51">
        <f>IF(A534="","",DATE(YEAR(A534),MONTH(A534),1))</f>
        <v/>
      </c>
    </row>
    <row r="535">
      <c r="A535" s="47" t="n"/>
      <c r="B535" s="38" t="n"/>
      <c r="C535" s="38" t="n"/>
      <c r="D535" s="38" t="n"/>
      <c r="E535" s="38" t="n"/>
      <c r="F535" s="128" t="n"/>
      <c r="G535" s="128" t="n"/>
      <c r="H535" s="129" t="n"/>
      <c r="I535" s="38" t="n"/>
      <c r="J535" s="98">
        <f>IF(A535="","",IF(AND(F535&lt;&gt;"",G535&lt;&gt;""),MAX(0,G535-F535),N(H535)))</f>
        <v/>
      </c>
      <c r="K535" s="55">
        <f>IF(A535="","",ROUND(J535*MileRate,2))</f>
        <v/>
      </c>
      <c r="L535" s="51">
        <f>IF(A535="","",DATE(YEAR(A535),MONTH(A535),1))</f>
        <v/>
      </c>
    </row>
    <row r="536">
      <c r="A536" s="47" t="n"/>
      <c r="B536" s="38" t="n"/>
      <c r="C536" s="38" t="n"/>
      <c r="D536" s="38" t="n"/>
      <c r="E536" s="38" t="n"/>
      <c r="F536" s="128" t="n"/>
      <c r="G536" s="128" t="n"/>
      <c r="H536" s="129" t="n"/>
      <c r="I536" s="38" t="n"/>
      <c r="J536" s="98">
        <f>IF(A536="","",IF(AND(F536&lt;&gt;"",G536&lt;&gt;""),MAX(0,G536-F536),N(H536)))</f>
        <v/>
      </c>
      <c r="K536" s="55">
        <f>IF(A536="","",ROUND(J536*MileRate,2))</f>
        <v/>
      </c>
      <c r="L536" s="51">
        <f>IF(A536="","",DATE(YEAR(A536),MONTH(A536),1))</f>
        <v/>
      </c>
    </row>
    <row r="537">
      <c r="A537" s="47" t="n"/>
      <c r="B537" s="38" t="n"/>
      <c r="C537" s="38" t="n"/>
      <c r="D537" s="38" t="n"/>
      <c r="E537" s="38" t="n"/>
      <c r="F537" s="128" t="n"/>
      <c r="G537" s="128" t="n"/>
      <c r="H537" s="129" t="n"/>
      <c r="I537" s="38" t="n"/>
      <c r="J537" s="98">
        <f>IF(A537="","",IF(AND(F537&lt;&gt;"",G537&lt;&gt;""),MAX(0,G537-F537),N(H537)))</f>
        <v/>
      </c>
      <c r="K537" s="55">
        <f>IF(A537="","",ROUND(J537*MileRate,2))</f>
        <v/>
      </c>
      <c r="L537" s="51">
        <f>IF(A537="","",DATE(YEAR(A537),MONTH(A537),1))</f>
        <v/>
      </c>
    </row>
    <row r="538">
      <c r="A538" s="47" t="n"/>
      <c r="B538" s="38" t="n"/>
      <c r="C538" s="38" t="n"/>
      <c r="D538" s="38" t="n"/>
      <c r="E538" s="38" t="n"/>
      <c r="F538" s="128" t="n"/>
      <c r="G538" s="128" t="n"/>
      <c r="H538" s="129" t="n"/>
      <c r="I538" s="38" t="n"/>
      <c r="J538" s="98">
        <f>IF(A538="","",IF(AND(F538&lt;&gt;"",G538&lt;&gt;""),MAX(0,G538-F538),N(H538)))</f>
        <v/>
      </c>
      <c r="K538" s="55">
        <f>IF(A538="","",ROUND(J538*MileRate,2))</f>
        <v/>
      </c>
      <c r="L538" s="51">
        <f>IF(A538="","",DATE(YEAR(A538),MONTH(A538),1))</f>
        <v/>
      </c>
    </row>
    <row r="539">
      <c r="A539" s="47" t="n"/>
      <c r="B539" s="38" t="n"/>
      <c r="C539" s="38" t="n"/>
      <c r="D539" s="38" t="n"/>
      <c r="E539" s="38" t="n"/>
      <c r="F539" s="128" t="n"/>
      <c r="G539" s="128" t="n"/>
      <c r="H539" s="129" t="n"/>
      <c r="I539" s="38" t="n"/>
      <c r="J539" s="98">
        <f>IF(A539="","",IF(AND(F539&lt;&gt;"",G539&lt;&gt;""),MAX(0,G539-F539),N(H539)))</f>
        <v/>
      </c>
      <c r="K539" s="55">
        <f>IF(A539="","",ROUND(J539*MileRate,2))</f>
        <v/>
      </c>
      <c r="L539" s="51">
        <f>IF(A539="","",DATE(YEAR(A539),MONTH(A539),1))</f>
        <v/>
      </c>
    </row>
    <row r="540">
      <c r="A540" s="47" t="n"/>
      <c r="B540" s="38" t="n"/>
      <c r="C540" s="38" t="n"/>
      <c r="D540" s="38" t="n"/>
      <c r="E540" s="38" t="n"/>
      <c r="F540" s="128" t="n"/>
      <c r="G540" s="128" t="n"/>
      <c r="H540" s="129" t="n"/>
      <c r="I540" s="38" t="n"/>
      <c r="J540" s="98">
        <f>IF(A540="","",IF(AND(F540&lt;&gt;"",G540&lt;&gt;""),MAX(0,G540-F540),N(H540)))</f>
        <v/>
      </c>
      <c r="K540" s="55">
        <f>IF(A540="","",ROUND(J540*MileRate,2))</f>
        <v/>
      </c>
      <c r="L540" s="51">
        <f>IF(A540="","",DATE(YEAR(A540),MONTH(A540),1))</f>
        <v/>
      </c>
    </row>
    <row r="541">
      <c r="A541" s="47" t="n"/>
      <c r="B541" s="38" t="n"/>
      <c r="C541" s="38" t="n"/>
      <c r="D541" s="38" t="n"/>
      <c r="E541" s="38" t="n"/>
      <c r="F541" s="128" t="n"/>
      <c r="G541" s="128" t="n"/>
      <c r="H541" s="129" t="n"/>
      <c r="I541" s="38" t="n"/>
      <c r="J541" s="98">
        <f>IF(A541="","",IF(AND(F541&lt;&gt;"",G541&lt;&gt;""),MAX(0,G541-F541),N(H541)))</f>
        <v/>
      </c>
      <c r="K541" s="55">
        <f>IF(A541="","",ROUND(J541*MileRate,2))</f>
        <v/>
      </c>
      <c r="L541" s="51">
        <f>IF(A541="","",DATE(YEAR(A541),MONTH(A541),1))</f>
        <v/>
      </c>
    </row>
    <row r="542">
      <c r="A542" s="47" t="n"/>
      <c r="B542" s="38" t="n"/>
      <c r="C542" s="38" t="n"/>
      <c r="D542" s="38" t="n"/>
      <c r="E542" s="38" t="n"/>
      <c r="F542" s="128" t="n"/>
      <c r="G542" s="128" t="n"/>
      <c r="H542" s="129" t="n"/>
      <c r="I542" s="38" t="n"/>
      <c r="J542" s="98">
        <f>IF(A542="","",IF(AND(F542&lt;&gt;"",G542&lt;&gt;""),MAX(0,G542-F542),N(H542)))</f>
        <v/>
      </c>
      <c r="K542" s="55">
        <f>IF(A542="","",ROUND(J542*MileRate,2))</f>
        <v/>
      </c>
      <c r="L542" s="51">
        <f>IF(A542="","",DATE(YEAR(A542),MONTH(A542),1))</f>
        <v/>
      </c>
    </row>
    <row r="543">
      <c r="A543" s="47" t="n"/>
      <c r="B543" s="38" t="n"/>
      <c r="C543" s="38" t="n"/>
      <c r="D543" s="38" t="n"/>
      <c r="E543" s="38" t="n"/>
      <c r="F543" s="128" t="n"/>
      <c r="G543" s="128" t="n"/>
      <c r="H543" s="129" t="n"/>
      <c r="I543" s="38" t="n"/>
      <c r="J543" s="98">
        <f>IF(A543="","",IF(AND(F543&lt;&gt;"",G543&lt;&gt;""),MAX(0,G543-F543),N(H543)))</f>
        <v/>
      </c>
      <c r="K543" s="55">
        <f>IF(A543="","",ROUND(J543*MileRate,2))</f>
        <v/>
      </c>
      <c r="L543" s="51">
        <f>IF(A543="","",DATE(YEAR(A543),MONTH(A543),1))</f>
        <v/>
      </c>
    </row>
    <row r="544">
      <c r="A544" s="47" t="n"/>
      <c r="B544" s="38" t="n"/>
      <c r="C544" s="38" t="n"/>
      <c r="D544" s="38" t="n"/>
      <c r="E544" s="38" t="n"/>
      <c r="F544" s="128" t="n"/>
      <c r="G544" s="128" t="n"/>
      <c r="H544" s="129" t="n"/>
      <c r="I544" s="38" t="n"/>
      <c r="J544" s="98">
        <f>IF(A544="","",IF(AND(F544&lt;&gt;"",G544&lt;&gt;""),MAX(0,G544-F544),N(H544)))</f>
        <v/>
      </c>
      <c r="K544" s="55">
        <f>IF(A544="","",ROUND(J544*MileRate,2))</f>
        <v/>
      </c>
      <c r="L544" s="51">
        <f>IF(A544="","",DATE(YEAR(A544),MONTH(A544),1))</f>
        <v/>
      </c>
    </row>
    <row r="545">
      <c r="A545" s="47" t="n"/>
      <c r="B545" s="38" t="n"/>
      <c r="C545" s="38" t="n"/>
      <c r="D545" s="38" t="n"/>
      <c r="E545" s="38" t="n"/>
      <c r="F545" s="128" t="n"/>
      <c r="G545" s="128" t="n"/>
      <c r="H545" s="129" t="n"/>
      <c r="I545" s="38" t="n"/>
      <c r="J545" s="98">
        <f>IF(A545="","",IF(AND(F545&lt;&gt;"",G545&lt;&gt;""),MAX(0,G545-F545),N(H545)))</f>
        <v/>
      </c>
      <c r="K545" s="55">
        <f>IF(A545="","",ROUND(J545*MileRate,2))</f>
        <v/>
      </c>
      <c r="L545" s="51">
        <f>IF(A545="","",DATE(YEAR(A545),MONTH(A545),1))</f>
        <v/>
      </c>
    </row>
    <row r="546">
      <c r="A546" s="47" t="n"/>
      <c r="B546" s="38" t="n"/>
      <c r="C546" s="38" t="n"/>
      <c r="D546" s="38" t="n"/>
      <c r="E546" s="38" t="n"/>
      <c r="F546" s="128" t="n"/>
      <c r="G546" s="128" t="n"/>
      <c r="H546" s="129" t="n"/>
      <c r="I546" s="38" t="n"/>
      <c r="J546" s="98">
        <f>IF(A546="","",IF(AND(F546&lt;&gt;"",G546&lt;&gt;""),MAX(0,G546-F546),N(H546)))</f>
        <v/>
      </c>
      <c r="K546" s="55">
        <f>IF(A546="","",ROUND(J546*MileRate,2))</f>
        <v/>
      </c>
      <c r="L546" s="51">
        <f>IF(A546="","",DATE(YEAR(A546),MONTH(A546),1))</f>
        <v/>
      </c>
    </row>
    <row r="547">
      <c r="A547" s="47" t="n"/>
      <c r="B547" s="38" t="n"/>
      <c r="C547" s="38" t="n"/>
      <c r="D547" s="38" t="n"/>
      <c r="E547" s="38" t="n"/>
      <c r="F547" s="128" t="n"/>
      <c r="G547" s="128" t="n"/>
      <c r="H547" s="129" t="n"/>
      <c r="I547" s="38" t="n"/>
      <c r="J547" s="98">
        <f>IF(A547="","",IF(AND(F547&lt;&gt;"",G547&lt;&gt;""),MAX(0,G547-F547),N(H547)))</f>
        <v/>
      </c>
      <c r="K547" s="55">
        <f>IF(A547="","",ROUND(J547*MileRate,2))</f>
        <v/>
      </c>
      <c r="L547" s="51">
        <f>IF(A547="","",DATE(YEAR(A547),MONTH(A547),1))</f>
        <v/>
      </c>
    </row>
    <row r="548">
      <c r="A548" s="47" t="n"/>
      <c r="B548" s="38" t="n"/>
      <c r="C548" s="38" t="n"/>
      <c r="D548" s="38" t="n"/>
      <c r="E548" s="38" t="n"/>
      <c r="F548" s="128" t="n"/>
      <c r="G548" s="128" t="n"/>
      <c r="H548" s="129" t="n"/>
      <c r="I548" s="38" t="n"/>
      <c r="J548" s="98">
        <f>IF(A548="","",IF(AND(F548&lt;&gt;"",G548&lt;&gt;""),MAX(0,G548-F548),N(H548)))</f>
        <v/>
      </c>
      <c r="K548" s="55">
        <f>IF(A548="","",ROUND(J548*MileRate,2))</f>
        <v/>
      </c>
      <c r="L548" s="51">
        <f>IF(A548="","",DATE(YEAR(A548),MONTH(A548),1))</f>
        <v/>
      </c>
    </row>
    <row r="549">
      <c r="A549" s="47" t="n"/>
      <c r="B549" s="38" t="n"/>
      <c r="C549" s="38" t="n"/>
      <c r="D549" s="38" t="n"/>
      <c r="E549" s="38" t="n"/>
      <c r="F549" s="128" t="n"/>
      <c r="G549" s="128" t="n"/>
      <c r="H549" s="129" t="n"/>
      <c r="I549" s="38" t="n"/>
      <c r="J549" s="98">
        <f>IF(A549="","",IF(AND(F549&lt;&gt;"",G549&lt;&gt;""),MAX(0,G549-F549),N(H549)))</f>
        <v/>
      </c>
      <c r="K549" s="55">
        <f>IF(A549="","",ROUND(J549*MileRate,2))</f>
        <v/>
      </c>
      <c r="L549" s="51">
        <f>IF(A549="","",DATE(YEAR(A549),MONTH(A549),1))</f>
        <v/>
      </c>
    </row>
    <row r="550">
      <c r="A550" s="47" t="n"/>
      <c r="B550" s="38" t="n"/>
      <c r="C550" s="38" t="n"/>
      <c r="D550" s="38" t="n"/>
      <c r="E550" s="38" t="n"/>
      <c r="F550" s="128" t="n"/>
      <c r="G550" s="128" t="n"/>
      <c r="H550" s="129" t="n"/>
      <c r="I550" s="38" t="n"/>
      <c r="J550" s="98">
        <f>IF(A550="","",IF(AND(F550&lt;&gt;"",G550&lt;&gt;""),MAX(0,G550-F550),N(H550)))</f>
        <v/>
      </c>
      <c r="K550" s="55">
        <f>IF(A550="","",ROUND(J550*MileRate,2))</f>
        <v/>
      </c>
      <c r="L550" s="51">
        <f>IF(A550="","",DATE(YEAR(A550),MONTH(A550),1))</f>
        <v/>
      </c>
    </row>
    <row r="551">
      <c r="A551" s="47" t="n"/>
      <c r="B551" s="38" t="n"/>
      <c r="C551" s="38" t="n"/>
      <c r="D551" s="38" t="n"/>
      <c r="E551" s="38" t="n"/>
      <c r="F551" s="128" t="n"/>
      <c r="G551" s="128" t="n"/>
      <c r="H551" s="129" t="n"/>
      <c r="I551" s="38" t="n"/>
      <c r="J551" s="98">
        <f>IF(A551="","",IF(AND(F551&lt;&gt;"",G551&lt;&gt;""),MAX(0,G551-F551),N(H551)))</f>
        <v/>
      </c>
      <c r="K551" s="55">
        <f>IF(A551="","",ROUND(J551*MileRate,2))</f>
        <v/>
      </c>
      <c r="L551" s="51">
        <f>IF(A551="","",DATE(YEAR(A551),MONTH(A551),1))</f>
        <v/>
      </c>
    </row>
    <row r="552">
      <c r="A552" s="47" t="n"/>
      <c r="B552" s="38" t="n"/>
      <c r="C552" s="38" t="n"/>
      <c r="D552" s="38" t="n"/>
      <c r="E552" s="38" t="n"/>
      <c r="F552" s="128" t="n"/>
      <c r="G552" s="128" t="n"/>
      <c r="H552" s="129" t="n"/>
      <c r="I552" s="38" t="n"/>
      <c r="J552" s="98">
        <f>IF(A552="","",IF(AND(F552&lt;&gt;"",G552&lt;&gt;""),MAX(0,G552-F552),N(H552)))</f>
        <v/>
      </c>
      <c r="K552" s="55">
        <f>IF(A552="","",ROUND(J552*MileRate,2))</f>
        <v/>
      </c>
      <c r="L552" s="51">
        <f>IF(A552="","",DATE(YEAR(A552),MONTH(A552),1))</f>
        <v/>
      </c>
    </row>
    <row r="553">
      <c r="A553" s="47" t="n"/>
      <c r="B553" s="38" t="n"/>
      <c r="C553" s="38" t="n"/>
      <c r="D553" s="38" t="n"/>
      <c r="E553" s="38" t="n"/>
      <c r="F553" s="128" t="n"/>
      <c r="G553" s="128" t="n"/>
      <c r="H553" s="129" t="n"/>
      <c r="I553" s="38" t="n"/>
      <c r="J553" s="98">
        <f>IF(A553="","",IF(AND(F553&lt;&gt;"",G553&lt;&gt;""),MAX(0,G553-F553),N(H553)))</f>
        <v/>
      </c>
      <c r="K553" s="55">
        <f>IF(A553="","",ROUND(J553*MileRate,2))</f>
        <v/>
      </c>
      <c r="L553" s="51">
        <f>IF(A553="","",DATE(YEAR(A553),MONTH(A553),1))</f>
        <v/>
      </c>
    </row>
    <row r="554">
      <c r="A554" s="47" t="n"/>
      <c r="B554" s="38" t="n"/>
      <c r="C554" s="38" t="n"/>
      <c r="D554" s="38" t="n"/>
      <c r="E554" s="38" t="n"/>
      <c r="F554" s="128" t="n"/>
      <c r="G554" s="128" t="n"/>
      <c r="H554" s="129" t="n"/>
      <c r="I554" s="38" t="n"/>
      <c r="J554" s="98">
        <f>IF(A554="","",IF(AND(F554&lt;&gt;"",G554&lt;&gt;""),MAX(0,G554-F554),N(H554)))</f>
        <v/>
      </c>
      <c r="K554" s="55">
        <f>IF(A554="","",ROUND(J554*MileRate,2))</f>
        <v/>
      </c>
      <c r="L554" s="51">
        <f>IF(A554="","",DATE(YEAR(A554),MONTH(A554),1))</f>
        <v/>
      </c>
    </row>
    <row r="555">
      <c r="A555" s="47" t="n"/>
      <c r="B555" s="38" t="n"/>
      <c r="C555" s="38" t="n"/>
      <c r="D555" s="38" t="n"/>
      <c r="E555" s="38" t="n"/>
      <c r="F555" s="128" t="n"/>
      <c r="G555" s="128" t="n"/>
      <c r="H555" s="129" t="n"/>
      <c r="I555" s="38" t="n"/>
      <c r="J555" s="98">
        <f>IF(A555="","",IF(AND(F555&lt;&gt;"",G555&lt;&gt;""),MAX(0,G555-F555),N(H555)))</f>
        <v/>
      </c>
      <c r="K555" s="55">
        <f>IF(A555="","",ROUND(J555*MileRate,2))</f>
        <v/>
      </c>
      <c r="L555" s="51">
        <f>IF(A555="","",DATE(YEAR(A555),MONTH(A555),1))</f>
        <v/>
      </c>
    </row>
    <row r="556">
      <c r="A556" s="47" t="n"/>
      <c r="B556" s="38" t="n"/>
      <c r="C556" s="38" t="n"/>
      <c r="D556" s="38" t="n"/>
      <c r="E556" s="38" t="n"/>
      <c r="F556" s="128" t="n"/>
      <c r="G556" s="128" t="n"/>
      <c r="H556" s="129" t="n"/>
      <c r="I556" s="38" t="n"/>
      <c r="J556" s="98">
        <f>IF(A556="","",IF(AND(F556&lt;&gt;"",G556&lt;&gt;""),MAX(0,G556-F556),N(H556)))</f>
        <v/>
      </c>
      <c r="K556" s="55">
        <f>IF(A556="","",ROUND(J556*MileRate,2))</f>
        <v/>
      </c>
      <c r="L556" s="51">
        <f>IF(A556="","",DATE(YEAR(A556),MONTH(A556),1))</f>
        <v/>
      </c>
    </row>
    <row r="557">
      <c r="A557" s="47" t="n"/>
      <c r="B557" s="38" t="n"/>
      <c r="C557" s="38" t="n"/>
      <c r="D557" s="38" t="n"/>
      <c r="E557" s="38" t="n"/>
      <c r="F557" s="128" t="n"/>
      <c r="G557" s="128" t="n"/>
      <c r="H557" s="129" t="n"/>
      <c r="I557" s="38" t="n"/>
      <c r="J557" s="98">
        <f>IF(A557="","",IF(AND(F557&lt;&gt;"",G557&lt;&gt;""),MAX(0,G557-F557),N(H557)))</f>
        <v/>
      </c>
      <c r="K557" s="55">
        <f>IF(A557="","",ROUND(J557*MileRate,2))</f>
        <v/>
      </c>
      <c r="L557" s="51">
        <f>IF(A557="","",DATE(YEAR(A557),MONTH(A557),1))</f>
        <v/>
      </c>
    </row>
    <row r="558">
      <c r="A558" s="47" t="n"/>
      <c r="B558" s="38" t="n"/>
      <c r="C558" s="38" t="n"/>
      <c r="D558" s="38" t="n"/>
      <c r="E558" s="38" t="n"/>
      <c r="F558" s="128" t="n"/>
      <c r="G558" s="128" t="n"/>
      <c r="H558" s="129" t="n"/>
      <c r="I558" s="38" t="n"/>
      <c r="J558" s="98">
        <f>IF(A558="","",IF(AND(F558&lt;&gt;"",G558&lt;&gt;""),MAX(0,G558-F558),N(H558)))</f>
        <v/>
      </c>
      <c r="K558" s="55">
        <f>IF(A558="","",ROUND(J558*MileRate,2))</f>
        <v/>
      </c>
      <c r="L558" s="51">
        <f>IF(A558="","",DATE(YEAR(A558),MONTH(A558),1))</f>
        <v/>
      </c>
    </row>
    <row r="559">
      <c r="A559" s="47" t="n"/>
      <c r="B559" s="38" t="n"/>
      <c r="C559" s="38" t="n"/>
      <c r="D559" s="38" t="n"/>
      <c r="E559" s="38" t="n"/>
      <c r="F559" s="128" t="n"/>
      <c r="G559" s="128" t="n"/>
      <c r="H559" s="129" t="n"/>
      <c r="I559" s="38" t="n"/>
      <c r="J559" s="98">
        <f>IF(A559="","",IF(AND(F559&lt;&gt;"",G559&lt;&gt;""),MAX(0,G559-F559),N(H559)))</f>
        <v/>
      </c>
      <c r="K559" s="55">
        <f>IF(A559="","",ROUND(J559*MileRate,2))</f>
        <v/>
      </c>
      <c r="L559" s="51">
        <f>IF(A559="","",DATE(YEAR(A559),MONTH(A559),1))</f>
        <v/>
      </c>
    </row>
    <row r="560">
      <c r="A560" s="47" t="n"/>
      <c r="B560" s="38" t="n"/>
      <c r="C560" s="38" t="n"/>
      <c r="D560" s="38" t="n"/>
      <c r="E560" s="38" t="n"/>
      <c r="F560" s="128" t="n"/>
      <c r="G560" s="128" t="n"/>
      <c r="H560" s="129" t="n"/>
      <c r="I560" s="38" t="n"/>
      <c r="J560" s="98">
        <f>IF(A560="","",IF(AND(F560&lt;&gt;"",G560&lt;&gt;""),MAX(0,G560-F560),N(H560)))</f>
        <v/>
      </c>
      <c r="K560" s="55">
        <f>IF(A560="","",ROUND(J560*MileRate,2))</f>
        <v/>
      </c>
      <c r="L560" s="51">
        <f>IF(A560="","",DATE(YEAR(A560),MONTH(A560),1))</f>
        <v/>
      </c>
    </row>
    <row r="561">
      <c r="A561" s="47" t="n"/>
      <c r="B561" s="38" t="n"/>
      <c r="C561" s="38" t="n"/>
      <c r="D561" s="38" t="n"/>
      <c r="E561" s="38" t="n"/>
      <c r="F561" s="128" t="n"/>
      <c r="G561" s="128" t="n"/>
      <c r="H561" s="129" t="n"/>
      <c r="I561" s="38" t="n"/>
      <c r="J561" s="98">
        <f>IF(A561="","",IF(AND(F561&lt;&gt;"",G561&lt;&gt;""),MAX(0,G561-F561),N(H561)))</f>
        <v/>
      </c>
      <c r="K561" s="55">
        <f>IF(A561="","",ROUND(J561*MileRate,2))</f>
        <v/>
      </c>
      <c r="L561" s="51">
        <f>IF(A561="","",DATE(YEAR(A561),MONTH(A561),1))</f>
        <v/>
      </c>
    </row>
    <row r="562">
      <c r="A562" s="47" t="n"/>
      <c r="B562" s="38" t="n"/>
      <c r="C562" s="38" t="n"/>
      <c r="D562" s="38" t="n"/>
      <c r="E562" s="38" t="n"/>
      <c r="F562" s="128" t="n"/>
      <c r="G562" s="128" t="n"/>
      <c r="H562" s="129" t="n"/>
      <c r="I562" s="38" t="n"/>
      <c r="J562" s="98">
        <f>IF(A562="","",IF(AND(F562&lt;&gt;"",G562&lt;&gt;""),MAX(0,G562-F562),N(H562)))</f>
        <v/>
      </c>
      <c r="K562" s="55">
        <f>IF(A562="","",ROUND(J562*MileRate,2))</f>
        <v/>
      </c>
      <c r="L562" s="51">
        <f>IF(A562="","",DATE(YEAR(A562),MONTH(A562),1))</f>
        <v/>
      </c>
    </row>
    <row r="563">
      <c r="A563" s="47" t="n"/>
      <c r="B563" s="38" t="n"/>
      <c r="C563" s="38" t="n"/>
      <c r="D563" s="38" t="n"/>
      <c r="E563" s="38" t="n"/>
      <c r="F563" s="128" t="n"/>
      <c r="G563" s="128" t="n"/>
      <c r="H563" s="129" t="n"/>
      <c r="I563" s="38" t="n"/>
      <c r="J563" s="98">
        <f>IF(A563="","",IF(AND(F563&lt;&gt;"",G563&lt;&gt;""),MAX(0,G563-F563),N(H563)))</f>
        <v/>
      </c>
      <c r="K563" s="55">
        <f>IF(A563="","",ROUND(J563*MileRate,2))</f>
        <v/>
      </c>
      <c r="L563" s="51">
        <f>IF(A563="","",DATE(YEAR(A563),MONTH(A563),1))</f>
        <v/>
      </c>
    </row>
    <row r="564">
      <c r="A564" s="47" t="n"/>
      <c r="B564" s="38" t="n"/>
      <c r="C564" s="38" t="n"/>
      <c r="D564" s="38" t="n"/>
      <c r="E564" s="38" t="n"/>
      <c r="F564" s="128" t="n"/>
      <c r="G564" s="128" t="n"/>
      <c r="H564" s="129" t="n"/>
      <c r="I564" s="38" t="n"/>
      <c r="J564" s="98">
        <f>IF(A564="","",IF(AND(F564&lt;&gt;"",G564&lt;&gt;""),MAX(0,G564-F564),N(H564)))</f>
        <v/>
      </c>
      <c r="K564" s="55">
        <f>IF(A564="","",ROUND(J564*MileRate,2))</f>
        <v/>
      </c>
      <c r="L564" s="51">
        <f>IF(A564="","",DATE(YEAR(A564),MONTH(A564),1))</f>
        <v/>
      </c>
    </row>
    <row r="565">
      <c r="A565" s="47" t="n"/>
      <c r="B565" s="38" t="n"/>
      <c r="C565" s="38" t="n"/>
      <c r="D565" s="38" t="n"/>
      <c r="E565" s="38" t="n"/>
      <c r="F565" s="128" t="n"/>
      <c r="G565" s="128" t="n"/>
      <c r="H565" s="129" t="n"/>
      <c r="I565" s="38" t="n"/>
      <c r="J565" s="98">
        <f>IF(A565="","",IF(AND(F565&lt;&gt;"",G565&lt;&gt;""),MAX(0,G565-F565),N(H565)))</f>
        <v/>
      </c>
      <c r="K565" s="55">
        <f>IF(A565="","",ROUND(J565*MileRate,2))</f>
        <v/>
      </c>
      <c r="L565" s="51">
        <f>IF(A565="","",DATE(YEAR(A565),MONTH(A565),1))</f>
        <v/>
      </c>
    </row>
    <row r="566">
      <c r="A566" s="47" t="n"/>
      <c r="B566" s="38" t="n"/>
      <c r="C566" s="38" t="n"/>
      <c r="D566" s="38" t="n"/>
      <c r="E566" s="38" t="n"/>
      <c r="F566" s="128" t="n"/>
      <c r="G566" s="128" t="n"/>
      <c r="H566" s="129" t="n"/>
      <c r="I566" s="38" t="n"/>
      <c r="J566" s="98">
        <f>IF(A566="","",IF(AND(F566&lt;&gt;"",G566&lt;&gt;""),MAX(0,G566-F566),N(H566)))</f>
        <v/>
      </c>
      <c r="K566" s="55">
        <f>IF(A566="","",ROUND(J566*MileRate,2))</f>
        <v/>
      </c>
      <c r="L566" s="51">
        <f>IF(A566="","",DATE(YEAR(A566),MONTH(A566),1))</f>
        <v/>
      </c>
    </row>
    <row r="567">
      <c r="A567" s="47" t="n"/>
      <c r="B567" s="38" t="n"/>
      <c r="C567" s="38" t="n"/>
      <c r="D567" s="38" t="n"/>
      <c r="E567" s="38" t="n"/>
      <c r="F567" s="128" t="n"/>
      <c r="G567" s="128" t="n"/>
      <c r="H567" s="129" t="n"/>
      <c r="I567" s="38" t="n"/>
      <c r="J567" s="98">
        <f>IF(A567="","",IF(AND(F567&lt;&gt;"",G567&lt;&gt;""),MAX(0,G567-F567),N(H567)))</f>
        <v/>
      </c>
      <c r="K567" s="55">
        <f>IF(A567="","",ROUND(J567*MileRate,2))</f>
        <v/>
      </c>
      <c r="L567" s="51">
        <f>IF(A567="","",DATE(YEAR(A567),MONTH(A567),1))</f>
        <v/>
      </c>
    </row>
    <row r="568">
      <c r="A568" s="47" t="n"/>
      <c r="B568" s="38" t="n"/>
      <c r="C568" s="38" t="n"/>
      <c r="D568" s="38" t="n"/>
      <c r="E568" s="38" t="n"/>
      <c r="F568" s="128" t="n"/>
      <c r="G568" s="128" t="n"/>
      <c r="H568" s="129" t="n"/>
      <c r="I568" s="38" t="n"/>
      <c r="J568" s="98">
        <f>IF(A568="","",IF(AND(F568&lt;&gt;"",G568&lt;&gt;""),MAX(0,G568-F568),N(H568)))</f>
        <v/>
      </c>
      <c r="K568" s="55">
        <f>IF(A568="","",ROUND(J568*MileRate,2))</f>
        <v/>
      </c>
      <c r="L568" s="51">
        <f>IF(A568="","",DATE(YEAR(A568),MONTH(A568),1))</f>
        <v/>
      </c>
    </row>
    <row r="569">
      <c r="A569" s="47" t="n"/>
      <c r="B569" s="38" t="n"/>
      <c r="C569" s="38" t="n"/>
      <c r="D569" s="38" t="n"/>
      <c r="E569" s="38" t="n"/>
      <c r="F569" s="128" t="n"/>
      <c r="G569" s="128" t="n"/>
      <c r="H569" s="129" t="n"/>
      <c r="I569" s="38" t="n"/>
      <c r="J569" s="98">
        <f>IF(A569="","",IF(AND(F569&lt;&gt;"",G569&lt;&gt;""),MAX(0,G569-F569),N(H569)))</f>
        <v/>
      </c>
      <c r="K569" s="55">
        <f>IF(A569="","",ROUND(J569*MileRate,2))</f>
        <v/>
      </c>
      <c r="L569" s="51">
        <f>IF(A569="","",DATE(YEAR(A569),MONTH(A569),1))</f>
        <v/>
      </c>
    </row>
    <row r="570">
      <c r="A570" s="47" t="n"/>
      <c r="B570" s="38" t="n"/>
      <c r="C570" s="38" t="n"/>
      <c r="D570" s="38" t="n"/>
      <c r="E570" s="38" t="n"/>
      <c r="F570" s="128" t="n"/>
      <c r="G570" s="128" t="n"/>
      <c r="H570" s="129" t="n"/>
      <c r="I570" s="38" t="n"/>
      <c r="J570" s="98">
        <f>IF(A570="","",IF(AND(F570&lt;&gt;"",G570&lt;&gt;""),MAX(0,G570-F570),N(H570)))</f>
        <v/>
      </c>
      <c r="K570" s="55">
        <f>IF(A570="","",ROUND(J570*MileRate,2))</f>
        <v/>
      </c>
      <c r="L570" s="51">
        <f>IF(A570="","",DATE(YEAR(A570),MONTH(A570),1))</f>
        <v/>
      </c>
    </row>
    <row r="571">
      <c r="A571" s="47" t="n"/>
      <c r="B571" s="38" t="n"/>
      <c r="C571" s="38" t="n"/>
      <c r="D571" s="38" t="n"/>
      <c r="E571" s="38" t="n"/>
      <c r="F571" s="128" t="n"/>
      <c r="G571" s="128" t="n"/>
      <c r="H571" s="129" t="n"/>
      <c r="I571" s="38" t="n"/>
      <c r="J571" s="98">
        <f>IF(A571="","",IF(AND(F571&lt;&gt;"",G571&lt;&gt;""),MAX(0,G571-F571),N(H571)))</f>
        <v/>
      </c>
      <c r="K571" s="55">
        <f>IF(A571="","",ROUND(J571*MileRate,2))</f>
        <v/>
      </c>
      <c r="L571" s="51">
        <f>IF(A571="","",DATE(YEAR(A571),MONTH(A571),1))</f>
        <v/>
      </c>
    </row>
    <row r="572">
      <c r="A572" s="47" t="n"/>
      <c r="B572" s="38" t="n"/>
      <c r="C572" s="38" t="n"/>
      <c r="D572" s="38" t="n"/>
      <c r="E572" s="38" t="n"/>
      <c r="F572" s="128" t="n"/>
      <c r="G572" s="128" t="n"/>
      <c r="H572" s="129" t="n"/>
      <c r="I572" s="38" t="n"/>
      <c r="J572" s="98">
        <f>IF(A572="","",IF(AND(F572&lt;&gt;"",G572&lt;&gt;""),MAX(0,G572-F572),N(H572)))</f>
        <v/>
      </c>
      <c r="K572" s="55">
        <f>IF(A572="","",ROUND(J572*MileRate,2))</f>
        <v/>
      </c>
      <c r="L572" s="51">
        <f>IF(A572="","",DATE(YEAR(A572),MONTH(A572),1))</f>
        <v/>
      </c>
    </row>
    <row r="573">
      <c r="A573" s="47" t="n"/>
      <c r="B573" s="38" t="n"/>
      <c r="C573" s="38" t="n"/>
      <c r="D573" s="38" t="n"/>
      <c r="E573" s="38" t="n"/>
      <c r="F573" s="128" t="n"/>
      <c r="G573" s="128" t="n"/>
      <c r="H573" s="129" t="n"/>
      <c r="I573" s="38" t="n"/>
      <c r="J573" s="98">
        <f>IF(A573="","",IF(AND(F573&lt;&gt;"",G573&lt;&gt;""),MAX(0,G573-F573),N(H573)))</f>
        <v/>
      </c>
      <c r="K573" s="55">
        <f>IF(A573="","",ROUND(J573*MileRate,2))</f>
        <v/>
      </c>
      <c r="L573" s="51">
        <f>IF(A573="","",DATE(YEAR(A573),MONTH(A573),1))</f>
        <v/>
      </c>
    </row>
    <row r="574">
      <c r="A574" s="47" t="n"/>
      <c r="B574" s="38" t="n"/>
      <c r="C574" s="38" t="n"/>
      <c r="D574" s="38" t="n"/>
      <c r="E574" s="38" t="n"/>
      <c r="F574" s="128" t="n"/>
      <c r="G574" s="128" t="n"/>
      <c r="H574" s="129" t="n"/>
      <c r="I574" s="38" t="n"/>
      <c r="J574" s="98">
        <f>IF(A574="","",IF(AND(F574&lt;&gt;"",G574&lt;&gt;""),MAX(0,G574-F574),N(H574)))</f>
        <v/>
      </c>
      <c r="K574" s="55">
        <f>IF(A574="","",ROUND(J574*MileRate,2))</f>
        <v/>
      </c>
      <c r="L574" s="51">
        <f>IF(A574="","",DATE(YEAR(A574),MONTH(A574),1))</f>
        <v/>
      </c>
    </row>
    <row r="575">
      <c r="A575" s="47" t="n"/>
      <c r="B575" s="38" t="n"/>
      <c r="C575" s="38" t="n"/>
      <c r="D575" s="38" t="n"/>
      <c r="E575" s="38" t="n"/>
      <c r="F575" s="128" t="n"/>
      <c r="G575" s="128" t="n"/>
      <c r="H575" s="129" t="n"/>
      <c r="I575" s="38" t="n"/>
      <c r="J575" s="98">
        <f>IF(A575="","",IF(AND(F575&lt;&gt;"",G575&lt;&gt;""),MAX(0,G575-F575),N(H575)))</f>
        <v/>
      </c>
      <c r="K575" s="55">
        <f>IF(A575="","",ROUND(J575*MileRate,2))</f>
        <v/>
      </c>
      <c r="L575" s="51">
        <f>IF(A575="","",DATE(YEAR(A575),MONTH(A575),1))</f>
        <v/>
      </c>
    </row>
    <row r="576">
      <c r="A576" s="47" t="n"/>
      <c r="B576" s="38" t="n"/>
      <c r="C576" s="38" t="n"/>
      <c r="D576" s="38" t="n"/>
      <c r="E576" s="38" t="n"/>
      <c r="F576" s="128" t="n"/>
      <c r="G576" s="128" t="n"/>
      <c r="H576" s="129" t="n"/>
      <c r="I576" s="38" t="n"/>
      <c r="J576" s="98">
        <f>IF(A576="","",IF(AND(F576&lt;&gt;"",G576&lt;&gt;""),MAX(0,G576-F576),N(H576)))</f>
        <v/>
      </c>
      <c r="K576" s="55">
        <f>IF(A576="","",ROUND(J576*MileRate,2))</f>
        <v/>
      </c>
      <c r="L576" s="51">
        <f>IF(A576="","",DATE(YEAR(A576),MONTH(A576),1))</f>
        <v/>
      </c>
    </row>
    <row r="577">
      <c r="A577" s="47" t="n"/>
      <c r="B577" s="38" t="n"/>
      <c r="C577" s="38" t="n"/>
      <c r="D577" s="38" t="n"/>
      <c r="E577" s="38" t="n"/>
      <c r="F577" s="128" t="n"/>
      <c r="G577" s="128" t="n"/>
      <c r="H577" s="129" t="n"/>
      <c r="I577" s="38" t="n"/>
      <c r="J577" s="98">
        <f>IF(A577="","",IF(AND(F577&lt;&gt;"",G577&lt;&gt;""),MAX(0,G577-F577),N(H577)))</f>
        <v/>
      </c>
      <c r="K577" s="55">
        <f>IF(A577="","",ROUND(J577*MileRate,2))</f>
        <v/>
      </c>
      <c r="L577" s="51">
        <f>IF(A577="","",DATE(YEAR(A577),MONTH(A577),1))</f>
        <v/>
      </c>
    </row>
    <row r="578">
      <c r="A578" s="47" t="n"/>
      <c r="B578" s="38" t="n"/>
      <c r="C578" s="38" t="n"/>
      <c r="D578" s="38" t="n"/>
      <c r="E578" s="38" t="n"/>
      <c r="F578" s="128" t="n"/>
      <c r="G578" s="128" t="n"/>
      <c r="H578" s="129" t="n"/>
      <c r="I578" s="38" t="n"/>
      <c r="J578" s="98">
        <f>IF(A578="","",IF(AND(F578&lt;&gt;"",G578&lt;&gt;""),MAX(0,G578-F578),N(H578)))</f>
        <v/>
      </c>
      <c r="K578" s="55">
        <f>IF(A578="","",ROUND(J578*MileRate,2))</f>
        <v/>
      </c>
      <c r="L578" s="51">
        <f>IF(A578="","",DATE(YEAR(A578),MONTH(A578),1))</f>
        <v/>
      </c>
    </row>
    <row r="579">
      <c r="A579" s="47" t="n"/>
      <c r="B579" s="38" t="n"/>
      <c r="C579" s="38" t="n"/>
      <c r="D579" s="38" t="n"/>
      <c r="E579" s="38" t="n"/>
      <c r="F579" s="128" t="n"/>
      <c r="G579" s="128" t="n"/>
      <c r="H579" s="129" t="n"/>
      <c r="I579" s="38" t="n"/>
      <c r="J579" s="98">
        <f>IF(A579="","",IF(AND(F579&lt;&gt;"",G579&lt;&gt;""),MAX(0,G579-F579),N(H579)))</f>
        <v/>
      </c>
      <c r="K579" s="55">
        <f>IF(A579="","",ROUND(J579*MileRate,2))</f>
        <v/>
      </c>
      <c r="L579" s="51">
        <f>IF(A579="","",DATE(YEAR(A579),MONTH(A579),1))</f>
        <v/>
      </c>
    </row>
    <row r="580">
      <c r="A580" s="47" t="n"/>
      <c r="B580" s="38" t="n"/>
      <c r="C580" s="38" t="n"/>
      <c r="D580" s="38" t="n"/>
      <c r="E580" s="38" t="n"/>
      <c r="F580" s="128" t="n"/>
      <c r="G580" s="128" t="n"/>
      <c r="H580" s="129" t="n"/>
      <c r="I580" s="38" t="n"/>
      <c r="J580" s="98">
        <f>IF(A580="","",IF(AND(F580&lt;&gt;"",G580&lt;&gt;""),MAX(0,G580-F580),N(H580)))</f>
        <v/>
      </c>
      <c r="K580" s="55">
        <f>IF(A580="","",ROUND(J580*MileRate,2))</f>
        <v/>
      </c>
      <c r="L580" s="51">
        <f>IF(A580="","",DATE(YEAR(A580),MONTH(A580),1))</f>
        <v/>
      </c>
    </row>
    <row r="581">
      <c r="A581" s="47" t="n"/>
      <c r="B581" s="38" t="n"/>
      <c r="C581" s="38" t="n"/>
      <c r="D581" s="38" t="n"/>
      <c r="E581" s="38" t="n"/>
      <c r="F581" s="128" t="n"/>
      <c r="G581" s="128" t="n"/>
      <c r="H581" s="129" t="n"/>
      <c r="I581" s="38" t="n"/>
      <c r="J581" s="98">
        <f>IF(A581="","",IF(AND(F581&lt;&gt;"",G581&lt;&gt;""),MAX(0,G581-F581),N(H581)))</f>
        <v/>
      </c>
      <c r="K581" s="55">
        <f>IF(A581="","",ROUND(J581*MileRate,2))</f>
        <v/>
      </c>
      <c r="L581" s="51">
        <f>IF(A581="","",DATE(YEAR(A581),MONTH(A581),1))</f>
        <v/>
      </c>
    </row>
    <row r="582">
      <c r="A582" s="47" t="n"/>
      <c r="B582" s="38" t="n"/>
      <c r="C582" s="38" t="n"/>
      <c r="D582" s="38" t="n"/>
      <c r="E582" s="38" t="n"/>
      <c r="F582" s="128" t="n"/>
      <c r="G582" s="128" t="n"/>
      <c r="H582" s="129" t="n"/>
      <c r="I582" s="38" t="n"/>
      <c r="J582" s="98">
        <f>IF(A582="","",IF(AND(F582&lt;&gt;"",G582&lt;&gt;""),MAX(0,G582-F582),N(H582)))</f>
        <v/>
      </c>
      <c r="K582" s="55">
        <f>IF(A582="","",ROUND(J582*MileRate,2))</f>
        <v/>
      </c>
      <c r="L582" s="51">
        <f>IF(A582="","",DATE(YEAR(A582),MONTH(A582),1))</f>
        <v/>
      </c>
    </row>
    <row r="583">
      <c r="A583" s="47" t="n"/>
      <c r="B583" s="38" t="n"/>
      <c r="C583" s="38" t="n"/>
      <c r="D583" s="38" t="n"/>
      <c r="E583" s="38" t="n"/>
      <c r="F583" s="128" t="n"/>
      <c r="G583" s="128" t="n"/>
      <c r="H583" s="129" t="n"/>
      <c r="I583" s="38" t="n"/>
      <c r="J583" s="98">
        <f>IF(A583="","",IF(AND(F583&lt;&gt;"",G583&lt;&gt;""),MAX(0,G583-F583),N(H583)))</f>
        <v/>
      </c>
      <c r="K583" s="55">
        <f>IF(A583="","",ROUND(J583*MileRate,2))</f>
        <v/>
      </c>
      <c r="L583" s="51">
        <f>IF(A583="","",DATE(YEAR(A583),MONTH(A583),1))</f>
        <v/>
      </c>
    </row>
    <row r="584">
      <c r="A584" s="47" t="n"/>
      <c r="B584" s="38" t="n"/>
      <c r="C584" s="38" t="n"/>
      <c r="D584" s="38" t="n"/>
      <c r="E584" s="38" t="n"/>
      <c r="F584" s="128" t="n"/>
      <c r="G584" s="128" t="n"/>
      <c r="H584" s="129" t="n"/>
      <c r="I584" s="38" t="n"/>
      <c r="J584" s="98">
        <f>IF(A584="","",IF(AND(F584&lt;&gt;"",G584&lt;&gt;""),MAX(0,G584-F584),N(H584)))</f>
        <v/>
      </c>
      <c r="K584" s="55">
        <f>IF(A584="","",ROUND(J584*MileRate,2))</f>
        <v/>
      </c>
      <c r="L584" s="51">
        <f>IF(A584="","",DATE(YEAR(A584),MONTH(A584),1))</f>
        <v/>
      </c>
    </row>
    <row r="585">
      <c r="A585" s="47" t="n"/>
      <c r="B585" s="38" t="n"/>
      <c r="C585" s="38" t="n"/>
      <c r="D585" s="38" t="n"/>
      <c r="E585" s="38" t="n"/>
      <c r="F585" s="128" t="n"/>
      <c r="G585" s="128" t="n"/>
      <c r="H585" s="129" t="n"/>
      <c r="I585" s="38" t="n"/>
      <c r="J585" s="98">
        <f>IF(A585="","",IF(AND(F585&lt;&gt;"",G585&lt;&gt;""),MAX(0,G585-F585),N(H585)))</f>
        <v/>
      </c>
      <c r="K585" s="55">
        <f>IF(A585="","",ROUND(J585*MileRate,2))</f>
        <v/>
      </c>
      <c r="L585" s="51">
        <f>IF(A585="","",DATE(YEAR(A585),MONTH(A585),1))</f>
        <v/>
      </c>
    </row>
    <row r="586">
      <c r="A586" s="47" t="n"/>
      <c r="B586" s="38" t="n"/>
      <c r="C586" s="38" t="n"/>
      <c r="D586" s="38" t="n"/>
      <c r="E586" s="38" t="n"/>
      <c r="F586" s="128" t="n"/>
      <c r="G586" s="128" t="n"/>
      <c r="H586" s="129" t="n"/>
      <c r="I586" s="38" t="n"/>
      <c r="J586" s="98">
        <f>IF(A586="","",IF(AND(F586&lt;&gt;"",G586&lt;&gt;""),MAX(0,G586-F586),N(H586)))</f>
        <v/>
      </c>
      <c r="K586" s="55">
        <f>IF(A586="","",ROUND(J586*MileRate,2))</f>
        <v/>
      </c>
      <c r="L586" s="51">
        <f>IF(A586="","",DATE(YEAR(A586),MONTH(A586),1))</f>
        <v/>
      </c>
    </row>
    <row r="587">
      <c r="A587" s="47" t="n"/>
      <c r="B587" s="38" t="n"/>
      <c r="C587" s="38" t="n"/>
      <c r="D587" s="38" t="n"/>
      <c r="E587" s="38" t="n"/>
      <c r="F587" s="128" t="n"/>
      <c r="G587" s="128" t="n"/>
      <c r="H587" s="129" t="n"/>
      <c r="I587" s="38" t="n"/>
      <c r="J587" s="98">
        <f>IF(A587="","",IF(AND(F587&lt;&gt;"",G587&lt;&gt;""),MAX(0,G587-F587),N(H587)))</f>
        <v/>
      </c>
      <c r="K587" s="55">
        <f>IF(A587="","",ROUND(J587*MileRate,2))</f>
        <v/>
      </c>
      <c r="L587" s="51">
        <f>IF(A587="","",DATE(YEAR(A587),MONTH(A587),1))</f>
        <v/>
      </c>
    </row>
    <row r="588">
      <c r="A588" s="47" t="n"/>
      <c r="B588" s="38" t="n"/>
      <c r="C588" s="38" t="n"/>
      <c r="D588" s="38" t="n"/>
      <c r="E588" s="38" t="n"/>
      <c r="F588" s="128" t="n"/>
      <c r="G588" s="128" t="n"/>
      <c r="H588" s="129" t="n"/>
      <c r="I588" s="38" t="n"/>
      <c r="J588" s="98">
        <f>IF(A588="","",IF(AND(F588&lt;&gt;"",G588&lt;&gt;""),MAX(0,G588-F588),N(H588)))</f>
        <v/>
      </c>
      <c r="K588" s="55">
        <f>IF(A588="","",ROUND(J588*MileRate,2))</f>
        <v/>
      </c>
      <c r="L588" s="51">
        <f>IF(A588="","",DATE(YEAR(A588),MONTH(A588),1))</f>
        <v/>
      </c>
    </row>
    <row r="589">
      <c r="A589" s="47" t="n"/>
      <c r="B589" s="38" t="n"/>
      <c r="C589" s="38" t="n"/>
      <c r="D589" s="38" t="n"/>
      <c r="E589" s="38" t="n"/>
      <c r="F589" s="128" t="n"/>
      <c r="G589" s="128" t="n"/>
      <c r="H589" s="129" t="n"/>
      <c r="I589" s="38" t="n"/>
      <c r="J589" s="98">
        <f>IF(A589="","",IF(AND(F589&lt;&gt;"",G589&lt;&gt;""),MAX(0,G589-F589),N(H589)))</f>
        <v/>
      </c>
      <c r="K589" s="55">
        <f>IF(A589="","",ROUND(J589*MileRate,2))</f>
        <v/>
      </c>
      <c r="L589" s="51">
        <f>IF(A589="","",DATE(YEAR(A589),MONTH(A589),1))</f>
        <v/>
      </c>
    </row>
    <row r="590">
      <c r="A590" s="47" t="n"/>
      <c r="B590" s="38" t="n"/>
      <c r="C590" s="38" t="n"/>
      <c r="D590" s="38" t="n"/>
      <c r="E590" s="38" t="n"/>
      <c r="F590" s="128" t="n"/>
      <c r="G590" s="128" t="n"/>
      <c r="H590" s="129" t="n"/>
      <c r="I590" s="38" t="n"/>
      <c r="J590" s="98">
        <f>IF(A590="","",IF(AND(F590&lt;&gt;"",G590&lt;&gt;""),MAX(0,G590-F590),N(H590)))</f>
        <v/>
      </c>
      <c r="K590" s="55">
        <f>IF(A590="","",ROUND(J590*MileRate,2))</f>
        <v/>
      </c>
      <c r="L590" s="51">
        <f>IF(A590="","",DATE(YEAR(A590),MONTH(A590),1))</f>
        <v/>
      </c>
    </row>
    <row r="591">
      <c r="A591" s="47" t="n"/>
      <c r="B591" s="38" t="n"/>
      <c r="C591" s="38" t="n"/>
      <c r="D591" s="38" t="n"/>
      <c r="E591" s="38" t="n"/>
      <c r="F591" s="128" t="n"/>
      <c r="G591" s="128" t="n"/>
      <c r="H591" s="129" t="n"/>
      <c r="I591" s="38" t="n"/>
      <c r="J591" s="98">
        <f>IF(A591="","",IF(AND(F591&lt;&gt;"",G591&lt;&gt;""),MAX(0,G591-F591),N(H591)))</f>
        <v/>
      </c>
      <c r="K591" s="55">
        <f>IF(A591="","",ROUND(J591*MileRate,2))</f>
        <v/>
      </c>
      <c r="L591" s="51">
        <f>IF(A591="","",DATE(YEAR(A591),MONTH(A591),1))</f>
        <v/>
      </c>
    </row>
    <row r="592">
      <c r="A592" s="47" t="n"/>
      <c r="B592" s="38" t="n"/>
      <c r="C592" s="38" t="n"/>
      <c r="D592" s="38" t="n"/>
      <c r="E592" s="38" t="n"/>
      <c r="F592" s="128" t="n"/>
      <c r="G592" s="128" t="n"/>
      <c r="H592" s="129" t="n"/>
      <c r="I592" s="38" t="n"/>
      <c r="J592" s="98">
        <f>IF(A592="","",IF(AND(F592&lt;&gt;"",G592&lt;&gt;""),MAX(0,G592-F592),N(H592)))</f>
        <v/>
      </c>
      <c r="K592" s="55">
        <f>IF(A592="","",ROUND(J592*MileRate,2))</f>
        <v/>
      </c>
      <c r="L592" s="51">
        <f>IF(A592="","",DATE(YEAR(A592),MONTH(A592),1))</f>
        <v/>
      </c>
    </row>
    <row r="593">
      <c r="A593" s="47" t="n"/>
      <c r="B593" s="38" t="n"/>
      <c r="C593" s="38" t="n"/>
      <c r="D593" s="38" t="n"/>
      <c r="E593" s="38" t="n"/>
      <c r="F593" s="128" t="n"/>
      <c r="G593" s="128" t="n"/>
      <c r="H593" s="129" t="n"/>
      <c r="I593" s="38" t="n"/>
      <c r="J593" s="98">
        <f>IF(A593="","",IF(AND(F593&lt;&gt;"",G593&lt;&gt;""),MAX(0,G593-F593),N(H593)))</f>
        <v/>
      </c>
      <c r="K593" s="55">
        <f>IF(A593="","",ROUND(J593*MileRate,2))</f>
        <v/>
      </c>
      <c r="L593" s="51">
        <f>IF(A593="","",DATE(YEAR(A593),MONTH(A593),1))</f>
        <v/>
      </c>
    </row>
    <row r="594">
      <c r="A594" s="47" t="n"/>
      <c r="B594" s="38" t="n"/>
      <c r="C594" s="38" t="n"/>
      <c r="D594" s="38" t="n"/>
      <c r="E594" s="38" t="n"/>
      <c r="F594" s="128" t="n"/>
      <c r="G594" s="128" t="n"/>
      <c r="H594" s="129" t="n"/>
      <c r="I594" s="38" t="n"/>
      <c r="J594" s="98">
        <f>IF(A594="","",IF(AND(F594&lt;&gt;"",G594&lt;&gt;""),MAX(0,G594-F594),N(H594)))</f>
        <v/>
      </c>
      <c r="K594" s="55">
        <f>IF(A594="","",ROUND(J594*MileRate,2))</f>
        <v/>
      </c>
      <c r="L594" s="51">
        <f>IF(A594="","",DATE(YEAR(A594),MONTH(A594),1))</f>
        <v/>
      </c>
    </row>
    <row r="595">
      <c r="A595" s="47" t="n"/>
      <c r="B595" s="38" t="n"/>
      <c r="C595" s="38" t="n"/>
      <c r="D595" s="38" t="n"/>
      <c r="E595" s="38" t="n"/>
      <c r="F595" s="128" t="n"/>
      <c r="G595" s="128" t="n"/>
      <c r="H595" s="129" t="n"/>
      <c r="I595" s="38" t="n"/>
      <c r="J595" s="98">
        <f>IF(A595="","",IF(AND(F595&lt;&gt;"",G595&lt;&gt;""),MAX(0,G595-F595),N(H595)))</f>
        <v/>
      </c>
      <c r="K595" s="55">
        <f>IF(A595="","",ROUND(J595*MileRate,2))</f>
        <v/>
      </c>
      <c r="L595" s="51">
        <f>IF(A595="","",DATE(YEAR(A595),MONTH(A595),1))</f>
        <v/>
      </c>
    </row>
    <row r="596">
      <c r="A596" s="47" t="n"/>
      <c r="B596" s="38" t="n"/>
      <c r="C596" s="38" t="n"/>
      <c r="D596" s="38" t="n"/>
      <c r="E596" s="38" t="n"/>
      <c r="F596" s="128" t="n"/>
      <c r="G596" s="128" t="n"/>
      <c r="H596" s="129" t="n"/>
      <c r="I596" s="38" t="n"/>
      <c r="J596" s="98">
        <f>IF(A596="","",IF(AND(F596&lt;&gt;"",G596&lt;&gt;""),MAX(0,G596-F596),N(H596)))</f>
        <v/>
      </c>
      <c r="K596" s="55">
        <f>IF(A596="","",ROUND(J596*MileRate,2))</f>
        <v/>
      </c>
      <c r="L596" s="51">
        <f>IF(A596="","",DATE(YEAR(A596),MONTH(A596),1))</f>
        <v/>
      </c>
    </row>
    <row r="597">
      <c r="A597" s="47" t="n"/>
      <c r="B597" s="38" t="n"/>
      <c r="C597" s="38" t="n"/>
      <c r="D597" s="38" t="n"/>
      <c r="E597" s="38" t="n"/>
      <c r="F597" s="128" t="n"/>
      <c r="G597" s="128" t="n"/>
      <c r="H597" s="129" t="n"/>
      <c r="I597" s="38" t="n"/>
      <c r="J597" s="98">
        <f>IF(A597="","",IF(AND(F597&lt;&gt;"",G597&lt;&gt;""),MAX(0,G597-F597),N(H597)))</f>
        <v/>
      </c>
      <c r="K597" s="55">
        <f>IF(A597="","",ROUND(J597*MileRate,2))</f>
        <v/>
      </c>
      <c r="L597" s="51">
        <f>IF(A597="","",DATE(YEAR(A597),MONTH(A597),1))</f>
        <v/>
      </c>
    </row>
    <row r="598">
      <c r="A598" s="47" t="n"/>
      <c r="B598" s="38" t="n"/>
      <c r="C598" s="38" t="n"/>
      <c r="D598" s="38" t="n"/>
      <c r="E598" s="38" t="n"/>
      <c r="F598" s="128" t="n"/>
      <c r="G598" s="128" t="n"/>
      <c r="H598" s="129" t="n"/>
      <c r="I598" s="38" t="n"/>
      <c r="J598" s="98">
        <f>IF(A598="","",IF(AND(F598&lt;&gt;"",G598&lt;&gt;""),MAX(0,G598-F598),N(H598)))</f>
        <v/>
      </c>
      <c r="K598" s="55">
        <f>IF(A598="","",ROUND(J598*MileRate,2))</f>
        <v/>
      </c>
      <c r="L598" s="51">
        <f>IF(A598="","",DATE(YEAR(A598),MONTH(A598),1))</f>
        <v/>
      </c>
    </row>
    <row r="599">
      <c r="A599" s="47" t="n"/>
      <c r="B599" s="38" t="n"/>
      <c r="C599" s="38" t="n"/>
      <c r="D599" s="38" t="n"/>
      <c r="E599" s="38" t="n"/>
      <c r="F599" s="128" t="n"/>
      <c r="G599" s="128" t="n"/>
      <c r="H599" s="129" t="n"/>
      <c r="I599" s="38" t="n"/>
      <c r="J599" s="98">
        <f>IF(A599="","",IF(AND(F599&lt;&gt;"",G599&lt;&gt;""),MAX(0,G599-F599),N(H599)))</f>
        <v/>
      </c>
      <c r="K599" s="55">
        <f>IF(A599="","",ROUND(J599*MileRate,2))</f>
        <v/>
      </c>
      <c r="L599" s="51">
        <f>IF(A599="","",DATE(YEAR(A599),MONTH(A599),1))</f>
        <v/>
      </c>
    </row>
    <row r="600">
      <c r="A600" s="47" t="n"/>
      <c r="B600" s="38" t="n"/>
      <c r="C600" s="38" t="n"/>
      <c r="D600" s="38" t="n"/>
      <c r="E600" s="38" t="n"/>
      <c r="F600" s="128" t="n"/>
      <c r="G600" s="128" t="n"/>
      <c r="H600" s="129" t="n"/>
      <c r="I600" s="38" t="n"/>
      <c r="J600" s="98">
        <f>IF(A600="","",IF(AND(F600&lt;&gt;"",G600&lt;&gt;""),MAX(0,G600-F600),N(H600)))</f>
        <v/>
      </c>
      <c r="K600" s="55">
        <f>IF(A600="","",ROUND(J600*MileRate,2))</f>
        <v/>
      </c>
      <c r="L600" s="51">
        <f>IF(A600="","",DATE(YEAR(A600),MONTH(A600),1))</f>
        <v/>
      </c>
    </row>
    <row r="601">
      <c r="A601" s="47" t="n"/>
      <c r="B601" s="38" t="n"/>
      <c r="C601" s="38" t="n"/>
      <c r="D601" s="38" t="n"/>
      <c r="E601" s="38" t="n"/>
      <c r="F601" s="128" t="n"/>
      <c r="G601" s="128" t="n"/>
      <c r="H601" s="129" t="n"/>
      <c r="I601" s="38" t="n"/>
      <c r="J601" s="98">
        <f>IF(A601="","",IF(AND(F601&lt;&gt;"",G601&lt;&gt;""),MAX(0,G601-F601),N(H601)))</f>
        <v/>
      </c>
      <c r="K601" s="55">
        <f>IF(A601="","",ROUND(J601*MileRate,2))</f>
        <v/>
      </c>
      <c r="L601" s="51">
        <f>IF(A601="","",DATE(YEAR(A601),MONTH(A601),1))</f>
        <v/>
      </c>
    </row>
    <row r="602">
      <c r="A602" s="47" t="n"/>
      <c r="B602" s="38" t="n"/>
      <c r="C602" s="38" t="n"/>
      <c r="D602" s="38" t="n"/>
      <c r="E602" s="38" t="n"/>
      <c r="F602" s="128" t="n"/>
      <c r="G602" s="128" t="n"/>
      <c r="H602" s="129" t="n"/>
      <c r="I602" s="38" t="n"/>
      <c r="J602" s="98">
        <f>IF(A602="","",IF(AND(F602&lt;&gt;"",G602&lt;&gt;""),MAX(0,G602-F602),N(H602)))</f>
        <v/>
      </c>
      <c r="K602" s="55">
        <f>IF(A602="","",ROUND(J602*MileRate,2))</f>
        <v/>
      </c>
      <c r="L602" s="51">
        <f>IF(A602="","",DATE(YEAR(A602),MONTH(A602),1))</f>
        <v/>
      </c>
    </row>
    <row r="603">
      <c r="A603" s="47" t="n"/>
      <c r="B603" s="38" t="n"/>
      <c r="C603" s="38" t="n"/>
      <c r="D603" s="38" t="n"/>
      <c r="E603" s="38" t="n"/>
      <c r="F603" s="128" t="n"/>
      <c r="G603" s="128" t="n"/>
      <c r="H603" s="129" t="n"/>
      <c r="I603" s="38" t="n"/>
      <c r="J603" s="98">
        <f>IF(A603="","",IF(AND(F603&lt;&gt;"",G603&lt;&gt;""),MAX(0,G603-F603),N(H603)))</f>
        <v/>
      </c>
      <c r="K603" s="55">
        <f>IF(A603="","",ROUND(J603*MileRate,2))</f>
        <v/>
      </c>
      <c r="L603" s="51">
        <f>IF(A603="","",DATE(YEAR(A603),MONTH(A603),1))</f>
        <v/>
      </c>
    </row>
    <row r="604">
      <c r="A604" s="47" t="n"/>
      <c r="B604" s="38" t="n"/>
      <c r="C604" s="38" t="n"/>
      <c r="D604" s="38" t="n"/>
      <c r="E604" s="38" t="n"/>
      <c r="F604" s="128" t="n"/>
      <c r="G604" s="128" t="n"/>
      <c r="H604" s="129" t="n"/>
      <c r="I604" s="38" t="n"/>
      <c r="J604" s="98">
        <f>IF(A604="","",IF(AND(F604&lt;&gt;"",G604&lt;&gt;""),MAX(0,G604-F604),N(H604)))</f>
        <v/>
      </c>
      <c r="K604" s="55">
        <f>IF(A604="","",ROUND(J604*MileRate,2))</f>
        <v/>
      </c>
      <c r="L604" s="51">
        <f>IF(A604="","",DATE(YEAR(A604),MONTH(A604),1))</f>
        <v/>
      </c>
    </row>
    <row r="605">
      <c r="A605" s="47" t="n"/>
      <c r="B605" s="38" t="n"/>
      <c r="C605" s="38" t="n"/>
      <c r="D605" s="38" t="n"/>
      <c r="E605" s="38" t="n"/>
      <c r="F605" s="128" t="n"/>
      <c r="G605" s="128" t="n"/>
      <c r="H605" s="129" t="n"/>
      <c r="I605" s="38" t="n"/>
      <c r="J605" s="98">
        <f>IF(A605="","",IF(AND(F605&lt;&gt;"",G605&lt;&gt;""),MAX(0,G605-F605),N(H605)))</f>
        <v/>
      </c>
      <c r="K605" s="55">
        <f>IF(A605="","",ROUND(J605*MileRate,2))</f>
        <v/>
      </c>
      <c r="L605" s="51">
        <f>IF(A605="","",DATE(YEAR(A605),MONTH(A605),1))</f>
        <v/>
      </c>
    </row>
    <row r="606">
      <c r="A606" s="47" t="n"/>
      <c r="B606" s="38" t="n"/>
      <c r="C606" s="38" t="n"/>
      <c r="D606" s="38" t="n"/>
      <c r="E606" s="38" t="n"/>
      <c r="F606" s="128" t="n"/>
      <c r="G606" s="128" t="n"/>
      <c r="H606" s="129" t="n"/>
      <c r="I606" s="38" t="n"/>
      <c r="J606" s="98">
        <f>IF(A606="","",IF(AND(F606&lt;&gt;"",G606&lt;&gt;""),MAX(0,G606-F606),N(H606)))</f>
        <v/>
      </c>
      <c r="K606" s="55">
        <f>IF(A606="","",ROUND(J606*MileRate,2))</f>
        <v/>
      </c>
      <c r="L606" s="51">
        <f>IF(A606="","",DATE(YEAR(A606),MONTH(A606),1))</f>
        <v/>
      </c>
    </row>
    <row r="607">
      <c r="A607" s="47" t="n"/>
      <c r="B607" s="38" t="n"/>
      <c r="C607" s="38" t="n"/>
      <c r="D607" s="38" t="n"/>
      <c r="E607" s="38" t="n"/>
      <c r="F607" s="128" t="n"/>
      <c r="G607" s="128" t="n"/>
      <c r="H607" s="129" t="n"/>
      <c r="I607" s="38" t="n"/>
      <c r="J607" s="98">
        <f>IF(A607="","",IF(AND(F607&lt;&gt;"",G607&lt;&gt;""),MAX(0,G607-F607),N(H607)))</f>
        <v/>
      </c>
      <c r="K607" s="55">
        <f>IF(A607="","",ROUND(J607*MileRate,2))</f>
        <v/>
      </c>
      <c r="L607" s="51">
        <f>IF(A607="","",DATE(YEAR(A607),MONTH(A607),1))</f>
        <v/>
      </c>
    </row>
    <row r="608">
      <c r="A608" s="47" t="n"/>
      <c r="B608" s="38" t="n"/>
      <c r="C608" s="38" t="n"/>
      <c r="D608" s="38" t="n"/>
      <c r="E608" s="38" t="n"/>
      <c r="F608" s="128" t="n"/>
      <c r="G608" s="128" t="n"/>
      <c r="H608" s="129" t="n"/>
      <c r="I608" s="38" t="n"/>
      <c r="J608" s="98">
        <f>IF(A608="","",IF(AND(F608&lt;&gt;"",G608&lt;&gt;""),MAX(0,G608-F608),N(H608)))</f>
        <v/>
      </c>
      <c r="K608" s="55">
        <f>IF(A608="","",ROUND(J608*MileRate,2))</f>
        <v/>
      </c>
      <c r="L608" s="51">
        <f>IF(A608="","",DATE(YEAR(A608),MONTH(A608),1))</f>
        <v/>
      </c>
    </row>
    <row r="609">
      <c r="A609" s="47" t="n"/>
      <c r="B609" s="38" t="n"/>
      <c r="C609" s="38" t="n"/>
      <c r="D609" s="38" t="n"/>
      <c r="E609" s="38" t="n"/>
      <c r="F609" s="128" t="n"/>
      <c r="G609" s="128" t="n"/>
      <c r="H609" s="129" t="n"/>
      <c r="I609" s="38" t="n"/>
      <c r="J609" s="98">
        <f>IF(A609="","",IF(AND(F609&lt;&gt;"",G609&lt;&gt;""),MAX(0,G609-F609),N(H609)))</f>
        <v/>
      </c>
      <c r="K609" s="55">
        <f>IF(A609="","",ROUND(J609*MileRate,2))</f>
        <v/>
      </c>
      <c r="L609" s="51">
        <f>IF(A609="","",DATE(YEAR(A609),MONTH(A609),1))</f>
        <v/>
      </c>
    </row>
    <row r="610">
      <c r="A610" s="47" t="n"/>
      <c r="B610" s="38" t="n"/>
      <c r="C610" s="38" t="n"/>
      <c r="D610" s="38" t="n"/>
      <c r="E610" s="38" t="n"/>
      <c r="F610" s="128" t="n"/>
      <c r="G610" s="128" t="n"/>
      <c r="H610" s="129" t="n"/>
      <c r="I610" s="38" t="n"/>
      <c r="J610" s="98">
        <f>IF(A610="","",IF(AND(F610&lt;&gt;"",G610&lt;&gt;""),MAX(0,G610-F610),N(H610)))</f>
        <v/>
      </c>
      <c r="K610" s="55">
        <f>IF(A610="","",ROUND(J610*MileRate,2))</f>
        <v/>
      </c>
      <c r="L610" s="51">
        <f>IF(A610="","",DATE(YEAR(A610),MONTH(A610),1))</f>
        <v/>
      </c>
    </row>
    <row r="611">
      <c r="A611" s="47" t="n"/>
      <c r="B611" s="38" t="n"/>
      <c r="C611" s="38" t="n"/>
      <c r="D611" s="38" t="n"/>
      <c r="E611" s="38" t="n"/>
      <c r="F611" s="128" t="n"/>
      <c r="G611" s="128" t="n"/>
      <c r="H611" s="129" t="n"/>
      <c r="I611" s="38" t="n"/>
      <c r="J611" s="98">
        <f>IF(A611="","",IF(AND(F611&lt;&gt;"",G611&lt;&gt;""),MAX(0,G611-F611),N(H611)))</f>
        <v/>
      </c>
      <c r="K611" s="55">
        <f>IF(A611="","",ROUND(J611*MileRate,2))</f>
        <v/>
      </c>
      <c r="L611" s="51">
        <f>IF(A611="","",DATE(YEAR(A611),MONTH(A611),1))</f>
        <v/>
      </c>
    </row>
    <row r="612">
      <c r="A612" s="47" t="n"/>
      <c r="B612" s="38" t="n"/>
      <c r="C612" s="38" t="n"/>
      <c r="D612" s="38" t="n"/>
      <c r="E612" s="38" t="n"/>
      <c r="F612" s="128" t="n"/>
      <c r="G612" s="128" t="n"/>
      <c r="H612" s="129" t="n"/>
      <c r="I612" s="38" t="n"/>
      <c r="J612" s="98">
        <f>IF(A612="","",IF(AND(F612&lt;&gt;"",G612&lt;&gt;""),MAX(0,G612-F612),N(H612)))</f>
        <v/>
      </c>
      <c r="K612" s="55">
        <f>IF(A612="","",ROUND(J612*MileRate,2))</f>
        <v/>
      </c>
      <c r="L612" s="51">
        <f>IF(A612="","",DATE(YEAR(A612),MONTH(A612),1))</f>
        <v/>
      </c>
    </row>
    <row r="613">
      <c r="A613" s="47" t="n"/>
      <c r="B613" s="38" t="n"/>
      <c r="C613" s="38" t="n"/>
      <c r="D613" s="38" t="n"/>
      <c r="E613" s="38" t="n"/>
      <c r="F613" s="128" t="n"/>
      <c r="G613" s="128" t="n"/>
      <c r="H613" s="129" t="n"/>
      <c r="I613" s="38" t="n"/>
      <c r="J613" s="98">
        <f>IF(A613="","",IF(AND(F613&lt;&gt;"",G613&lt;&gt;""),MAX(0,G613-F613),N(H613)))</f>
        <v/>
      </c>
      <c r="K613" s="55">
        <f>IF(A613="","",ROUND(J613*MileRate,2))</f>
        <v/>
      </c>
      <c r="L613" s="51">
        <f>IF(A613="","",DATE(YEAR(A613),MONTH(A613),1))</f>
        <v/>
      </c>
    </row>
    <row r="614">
      <c r="A614" s="47" t="n"/>
      <c r="B614" s="38" t="n"/>
      <c r="C614" s="38" t="n"/>
      <c r="D614" s="38" t="n"/>
      <c r="E614" s="38" t="n"/>
      <c r="F614" s="128" t="n"/>
      <c r="G614" s="128" t="n"/>
      <c r="H614" s="129" t="n"/>
      <c r="I614" s="38" t="n"/>
      <c r="J614" s="98">
        <f>IF(A614="","",IF(AND(F614&lt;&gt;"",G614&lt;&gt;""),MAX(0,G614-F614),N(H614)))</f>
        <v/>
      </c>
      <c r="K614" s="55">
        <f>IF(A614="","",ROUND(J614*MileRate,2))</f>
        <v/>
      </c>
      <c r="L614" s="51">
        <f>IF(A614="","",DATE(YEAR(A614),MONTH(A614),1))</f>
        <v/>
      </c>
    </row>
    <row r="615">
      <c r="A615" s="47" t="n"/>
      <c r="B615" s="38" t="n"/>
      <c r="C615" s="38" t="n"/>
      <c r="D615" s="38" t="n"/>
      <c r="E615" s="38" t="n"/>
      <c r="F615" s="128" t="n"/>
      <c r="G615" s="128" t="n"/>
      <c r="H615" s="129" t="n"/>
      <c r="I615" s="38" t="n"/>
      <c r="J615" s="98">
        <f>IF(A615="","",IF(AND(F615&lt;&gt;"",G615&lt;&gt;""),MAX(0,G615-F615),N(H615)))</f>
        <v/>
      </c>
      <c r="K615" s="55">
        <f>IF(A615="","",ROUND(J615*MileRate,2))</f>
        <v/>
      </c>
      <c r="L615" s="51">
        <f>IF(A615="","",DATE(YEAR(A615),MONTH(A615),1))</f>
        <v/>
      </c>
    </row>
    <row r="616">
      <c r="A616" s="47" t="n"/>
      <c r="B616" s="38" t="n"/>
      <c r="C616" s="38" t="n"/>
      <c r="D616" s="38" t="n"/>
      <c r="E616" s="38" t="n"/>
      <c r="F616" s="128" t="n"/>
      <c r="G616" s="128" t="n"/>
      <c r="H616" s="129" t="n"/>
      <c r="I616" s="38" t="n"/>
      <c r="J616" s="98">
        <f>IF(A616="","",IF(AND(F616&lt;&gt;"",G616&lt;&gt;""),MAX(0,G616-F616),N(H616)))</f>
        <v/>
      </c>
      <c r="K616" s="55">
        <f>IF(A616="","",ROUND(J616*MileRate,2))</f>
        <v/>
      </c>
      <c r="L616" s="51">
        <f>IF(A616="","",DATE(YEAR(A616),MONTH(A616),1))</f>
        <v/>
      </c>
    </row>
    <row r="617">
      <c r="A617" s="47" t="n"/>
      <c r="B617" s="38" t="n"/>
      <c r="C617" s="38" t="n"/>
      <c r="D617" s="38" t="n"/>
      <c r="E617" s="38" t="n"/>
      <c r="F617" s="128" t="n"/>
      <c r="G617" s="128" t="n"/>
      <c r="H617" s="129" t="n"/>
      <c r="I617" s="38" t="n"/>
      <c r="J617" s="98">
        <f>IF(A617="","",IF(AND(F617&lt;&gt;"",G617&lt;&gt;""),MAX(0,G617-F617),N(H617)))</f>
        <v/>
      </c>
      <c r="K617" s="55">
        <f>IF(A617="","",ROUND(J617*MileRate,2))</f>
        <v/>
      </c>
      <c r="L617" s="51">
        <f>IF(A617="","",DATE(YEAR(A617),MONTH(A617),1))</f>
        <v/>
      </c>
    </row>
    <row r="618">
      <c r="A618" s="47" t="n"/>
      <c r="B618" s="38" t="n"/>
      <c r="C618" s="38" t="n"/>
      <c r="D618" s="38" t="n"/>
      <c r="E618" s="38" t="n"/>
      <c r="F618" s="128" t="n"/>
      <c r="G618" s="128" t="n"/>
      <c r="H618" s="129" t="n"/>
      <c r="I618" s="38" t="n"/>
      <c r="J618" s="98">
        <f>IF(A618="","",IF(AND(F618&lt;&gt;"",G618&lt;&gt;""),MAX(0,G618-F618),N(H618)))</f>
        <v/>
      </c>
      <c r="K618" s="55">
        <f>IF(A618="","",ROUND(J618*MileRate,2))</f>
        <v/>
      </c>
      <c r="L618" s="51">
        <f>IF(A618="","",DATE(YEAR(A618),MONTH(A618),1))</f>
        <v/>
      </c>
    </row>
    <row r="619">
      <c r="A619" s="47" t="n"/>
      <c r="B619" s="38" t="n"/>
      <c r="C619" s="38" t="n"/>
      <c r="D619" s="38" t="n"/>
      <c r="E619" s="38" t="n"/>
      <c r="F619" s="128" t="n"/>
      <c r="G619" s="128" t="n"/>
      <c r="H619" s="129" t="n"/>
      <c r="I619" s="38" t="n"/>
      <c r="J619" s="98">
        <f>IF(A619="","",IF(AND(F619&lt;&gt;"",G619&lt;&gt;""),MAX(0,G619-F619),N(H619)))</f>
        <v/>
      </c>
      <c r="K619" s="55">
        <f>IF(A619="","",ROUND(J619*MileRate,2))</f>
        <v/>
      </c>
      <c r="L619" s="51">
        <f>IF(A619="","",DATE(YEAR(A619),MONTH(A619),1))</f>
        <v/>
      </c>
    </row>
    <row r="620">
      <c r="A620" s="47" t="n"/>
      <c r="B620" s="38" t="n"/>
      <c r="C620" s="38" t="n"/>
      <c r="D620" s="38" t="n"/>
      <c r="E620" s="38" t="n"/>
      <c r="F620" s="128" t="n"/>
      <c r="G620" s="128" t="n"/>
      <c r="H620" s="129" t="n"/>
      <c r="I620" s="38" t="n"/>
      <c r="J620" s="98">
        <f>IF(A620="","",IF(AND(F620&lt;&gt;"",G620&lt;&gt;""),MAX(0,G620-F620),N(H620)))</f>
        <v/>
      </c>
      <c r="K620" s="55">
        <f>IF(A620="","",ROUND(J620*MileRate,2))</f>
        <v/>
      </c>
      <c r="L620" s="51">
        <f>IF(A620="","",DATE(YEAR(A620),MONTH(A620),1))</f>
        <v/>
      </c>
    </row>
    <row r="621">
      <c r="A621" s="47" t="n"/>
      <c r="B621" s="38" t="n"/>
      <c r="C621" s="38" t="n"/>
      <c r="D621" s="38" t="n"/>
      <c r="E621" s="38" t="n"/>
      <c r="F621" s="128" t="n"/>
      <c r="G621" s="128" t="n"/>
      <c r="H621" s="129" t="n"/>
      <c r="I621" s="38" t="n"/>
      <c r="J621" s="98">
        <f>IF(A621="","",IF(AND(F621&lt;&gt;"",G621&lt;&gt;""),MAX(0,G621-F621),N(H621)))</f>
        <v/>
      </c>
      <c r="K621" s="55">
        <f>IF(A621="","",ROUND(J621*MileRate,2))</f>
        <v/>
      </c>
      <c r="L621" s="51">
        <f>IF(A621="","",DATE(YEAR(A621),MONTH(A621),1))</f>
        <v/>
      </c>
    </row>
    <row r="622">
      <c r="A622" s="47" t="n"/>
      <c r="B622" s="38" t="n"/>
      <c r="C622" s="38" t="n"/>
      <c r="D622" s="38" t="n"/>
      <c r="E622" s="38" t="n"/>
      <c r="F622" s="128" t="n"/>
      <c r="G622" s="128" t="n"/>
      <c r="H622" s="129" t="n"/>
      <c r="I622" s="38" t="n"/>
      <c r="J622" s="98">
        <f>IF(A622="","",IF(AND(F622&lt;&gt;"",G622&lt;&gt;""),MAX(0,G622-F622),N(H622)))</f>
        <v/>
      </c>
      <c r="K622" s="55">
        <f>IF(A622="","",ROUND(J622*MileRate,2))</f>
        <v/>
      </c>
      <c r="L622" s="51">
        <f>IF(A622="","",DATE(YEAR(A622),MONTH(A622),1))</f>
        <v/>
      </c>
    </row>
    <row r="623">
      <c r="A623" s="47" t="n"/>
      <c r="B623" s="38" t="n"/>
      <c r="C623" s="38" t="n"/>
      <c r="D623" s="38" t="n"/>
      <c r="E623" s="38" t="n"/>
      <c r="F623" s="128" t="n"/>
      <c r="G623" s="128" t="n"/>
      <c r="H623" s="129" t="n"/>
      <c r="I623" s="38" t="n"/>
      <c r="J623" s="98">
        <f>IF(A623="","",IF(AND(F623&lt;&gt;"",G623&lt;&gt;""),MAX(0,G623-F623),N(H623)))</f>
        <v/>
      </c>
      <c r="K623" s="55">
        <f>IF(A623="","",ROUND(J623*MileRate,2))</f>
        <v/>
      </c>
      <c r="L623" s="51">
        <f>IF(A623="","",DATE(YEAR(A623),MONTH(A623),1))</f>
        <v/>
      </c>
    </row>
    <row r="624">
      <c r="A624" s="47" t="n"/>
      <c r="B624" s="38" t="n"/>
      <c r="C624" s="38" t="n"/>
      <c r="D624" s="38" t="n"/>
      <c r="E624" s="38" t="n"/>
      <c r="F624" s="128" t="n"/>
      <c r="G624" s="128" t="n"/>
      <c r="H624" s="129" t="n"/>
      <c r="I624" s="38" t="n"/>
      <c r="J624" s="98">
        <f>IF(A624="","",IF(AND(F624&lt;&gt;"",G624&lt;&gt;""),MAX(0,G624-F624),N(H624)))</f>
        <v/>
      </c>
      <c r="K624" s="55">
        <f>IF(A624="","",ROUND(J624*MileRate,2))</f>
        <v/>
      </c>
      <c r="L624" s="51">
        <f>IF(A624="","",DATE(YEAR(A624),MONTH(A624),1))</f>
        <v/>
      </c>
    </row>
    <row r="625">
      <c r="A625" s="47" t="n"/>
      <c r="B625" s="38" t="n"/>
      <c r="C625" s="38" t="n"/>
      <c r="D625" s="38" t="n"/>
      <c r="E625" s="38" t="n"/>
      <c r="F625" s="128" t="n"/>
      <c r="G625" s="128" t="n"/>
      <c r="H625" s="129" t="n"/>
      <c r="I625" s="38" t="n"/>
      <c r="J625" s="98">
        <f>IF(A625="","",IF(AND(F625&lt;&gt;"",G625&lt;&gt;""),MAX(0,G625-F625),N(H625)))</f>
        <v/>
      </c>
      <c r="K625" s="55">
        <f>IF(A625="","",ROUND(J625*MileRate,2))</f>
        <v/>
      </c>
      <c r="L625" s="51">
        <f>IF(A625="","",DATE(YEAR(A625),MONTH(A625),1))</f>
        <v/>
      </c>
    </row>
    <row r="626">
      <c r="A626" s="47" t="n"/>
      <c r="B626" s="38" t="n"/>
      <c r="C626" s="38" t="n"/>
      <c r="D626" s="38" t="n"/>
      <c r="E626" s="38" t="n"/>
      <c r="F626" s="128" t="n"/>
      <c r="G626" s="128" t="n"/>
      <c r="H626" s="129" t="n"/>
      <c r="I626" s="38" t="n"/>
      <c r="J626" s="98">
        <f>IF(A626="","",IF(AND(F626&lt;&gt;"",G626&lt;&gt;""),MAX(0,G626-F626),N(H626)))</f>
        <v/>
      </c>
      <c r="K626" s="55">
        <f>IF(A626="","",ROUND(J626*MileRate,2))</f>
        <v/>
      </c>
      <c r="L626" s="51">
        <f>IF(A626="","",DATE(YEAR(A626),MONTH(A626),1))</f>
        <v/>
      </c>
    </row>
    <row r="627">
      <c r="A627" s="47" t="n"/>
      <c r="B627" s="38" t="n"/>
      <c r="C627" s="38" t="n"/>
      <c r="D627" s="38" t="n"/>
      <c r="E627" s="38" t="n"/>
      <c r="F627" s="128" t="n"/>
      <c r="G627" s="128" t="n"/>
      <c r="H627" s="129" t="n"/>
      <c r="I627" s="38" t="n"/>
      <c r="J627" s="98">
        <f>IF(A627="","",IF(AND(F627&lt;&gt;"",G627&lt;&gt;""),MAX(0,G627-F627),N(H627)))</f>
        <v/>
      </c>
      <c r="K627" s="55">
        <f>IF(A627="","",ROUND(J627*MileRate,2))</f>
        <v/>
      </c>
      <c r="L627" s="51">
        <f>IF(A627="","",DATE(YEAR(A627),MONTH(A627),1))</f>
        <v/>
      </c>
    </row>
    <row r="628">
      <c r="A628" s="47" t="n"/>
      <c r="B628" s="38" t="n"/>
      <c r="C628" s="38" t="n"/>
      <c r="D628" s="38" t="n"/>
      <c r="E628" s="38" t="n"/>
      <c r="F628" s="128" t="n"/>
      <c r="G628" s="128" t="n"/>
      <c r="H628" s="129" t="n"/>
      <c r="I628" s="38" t="n"/>
      <c r="J628" s="98">
        <f>IF(A628="","",IF(AND(F628&lt;&gt;"",G628&lt;&gt;""),MAX(0,G628-F628),N(H628)))</f>
        <v/>
      </c>
      <c r="K628" s="55">
        <f>IF(A628="","",ROUND(J628*MileRate,2))</f>
        <v/>
      </c>
      <c r="L628" s="51">
        <f>IF(A628="","",DATE(YEAR(A628),MONTH(A628),1))</f>
        <v/>
      </c>
    </row>
    <row r="629">
      <c r="A629" s="47" t="n"/>
      <c r="B629" s="38" t="n"/>
      <c r="C629" s="38" t="n"/>
      <c r="D629" s="38" t="n"/>
      <c r="E629" s="38" t="n"/>
      <c r="F629" s="128" t="n"/>
      <c r="G629" s="128" t="n"/>
      <c r="H629" s="129" t="n"/>
      <c r="I629" s="38" t="n"/>
      <c r="J629" s="98">
        <f>IF(A629="","",IF(AND(F629&lt;&gt;"",G629&lt;&gt;""),MAX(0,G629-F629),N(H629)))</f>
        <v/>
      </c>
      <c r="K629" s="55">
        <f>IF(A629="","",ROUND(J629*MileRate,2))</f>
        <v/>
      </c>
      <c r="L629" s="51">
        <f>IF(A629="","",DATE(YEAR(A629),MONTH(A629),1))</f>
        <v/>
      </c>
    </row>
    <row r="630">
      <c r="A630" s="47" t="n"/>
      <c r="B630" s="38" t="n"/>
      <c r="C630" s="38" t="n"/>
      <c r="D630" s="38" t="n"/>
      <c r="E630" s="38" t="n"/>
      <c r="F630" s="128" t="n"/>
      <c r="G630" s="128" t="n"/>
      <c r="H630" s="129" t="n"/>
      <c r="I630" s="38" t="n"/>
      <c r="J630" s="98">
        <f>IF(A630="","",IF(AND(F630&lt;&gt;"",G630&lt;&gt;""),MAX(0,G630-F630),N(H630)))</f>
        <v/>
      </c>
      <c r="K630" s="55">
        <f>IF(A630="","",ROUND(J630*MileRate,2))</f>
        <v/>
      </c>
      <c r="L630" s="51">
        <f>IF(A630="","",DATE(YEAR(A630),MONTH(A630),1))</f>
        <v/>
      </c>
    </row>
    <row r="631">
      <c r="A631" s="47" t="n"/>
      <c r="B631" s="38" t="n"/>
      <c r="C631" s="38" t="n"/>
      <c r="D631" s="38" t="n"/>
      <c r="E631" s="38" t="n"/>
      <c r="F631" s="128" t="n"/>
      <c r="G631" s="128" t="n"/>
      <c r="H631" s="129" t="n"/>
      <c r="I631" s="38" t="n"/>
      <c r="J631" s="98">
        <f>IF(A631="","",IF(AND(F631&lt;&gt;"",G631&lt;&gt;""),MAX(0,G631-F631),N(H631)))</f>
        <v/>
      </c>
      <c r="K631" s="55">
        <f>IF(A631="","",ROUND(J631*MileRate,2))</f>
        <v/>
      </c>
      <c r="L631" s="51">
        <f>IF(A631="","",DATE(YEAR(A631),MONTH(A631),1))</f>
        <v/>
      </c>
    </row>
    <row r="632">
      <c r="A632" s="47" t="n"/>
      <c r="B632" s="38" t="n"/>
      <c r="C632" s="38" t="n"/>
      <c r="D632" s="38" t="n"/>
      <c r="E632" s="38" t="n"/>
      <c r="F632" s="128" t="n"/>
      <c r="G632" s="128" t="n"/>
      <c r="H632" s="129" t="n"/>
      <c r="I632" s="38" t="n"/>
      <c r="J632" s="98">
        <f>IF(A632="","",IF(AND(F632&lt;&gt;"",G632&lt;&gt;""),MAX(0,G632-F632),N(H632)))</f>
        <v/>
      </c>
      <c r="K632" s="55">
        <f>IF(A632="","",ROUND(J632*MileRate,2))</f>
        <v/>
      </c>
      <c r="L632" s="51">
        <f>IF(A632="","",DATE(YEAR(A632),MONTH(A632),1))</f>
        <v/>
      </c>
    </row>
    <row r="633">
      <c r="A633" s="47" t="n"/>
      <c r="B633" s="38" t="n"/>
      <c r="C633" s="38" t="n"/>
      <c r="D633" s="38" t="n"/>
      <c r="E633" s="38" t="n"/>
      <c r="F633" s="128" t="n"/>
      <c r="G633" s="128" t="n"/>
      <c r="H633" s="129" t="n"/>
      <c r="I633" s="38" t="n"/>
      <c r="J633" s="98">
        <f>IF(A633="","",IF(AND(F633&lt;&gt;"",G633&lt;&gt;""),MAX(0,G633-F633),N(H633)))</f>
        <v/>
      </c>
      <c r="K633" s="55">
        <f>IF(A633="","",ROUND(J633*MileRate,2))</f>
        <v/>
      </c>
      <c r="L633" s="51">
        <f>IF(A633="","",DATE(YEAR(A633),MONTH(A633),1))</f>
        <v/>
      </c>
    </row>
    <row r="634">
      <c r="A634" s="47" t="n"/>
      <c r="B634" s="38" t="n"/>
      <c r="C634" s="38" t="n"/>
      <c r="D634" s="38" t="n"/>
      <c r="E634" s="38" t="n"/>
      <c r="F634" s="128" t="n"/>
      <c r="G634" s="128" t="n"/>
      <c r="H634" s="129" t="n"/>
      <c r="I634" s="38" t="n"/>
      <c r="J634" s="98">
        <f>IF(A634="","",IF(AND(F634&lt;&gt;"",G634&lt;&gt;""),MAX(0,G634-F634),N(H634)))</f>
        <v/>
      </c>
      <c r="K634" s="55">
        <f>IF(A634="","",ROUND(J634*MileRate,2))</f>
        <v/>
      </c>
      <c r="L634" s="51">
        <f>IF(A634="","",DATE(YEAR(A634),MONTH(A634),1))</f>
        <v/>
      </c>
    </row>
    <row r="635">
      <c r="A635" s="47" t="n"/>
      <c r="B635" s="38" t="n"/>
      <c r="C635" s="38" t="n"/>
      <c r="D635" s="38" t="n"/>
      <c r="E635" s="38" t="n"/>
      <c r="F635" s="128" t="n"/>
      <c r="G635" s="128" t="n"/>
      <c r="H635" s="129" t="n"/>
      <c r="I635" s="38" t="n"/>
      <c r="J635" s="98">
        <f>IF(A635="","",IF(AND(F635&lt;&gt;"",G635&lt;&gt;""),MAX(0,G635-F635),N(H635)))</f>
        <v/>
      </c>
      <c r="K635" s="55">
        <f>IF(A635="","",ROUND(J635*MileRate,2))</f>
        <v/>
      </c>
      <c r="L635" s="51">
        <f>IF(A635="","",DATE(YEAR(A635),MONTH(A635),1))</f>
        <v/>
      </c>
    </row>
    <row r="636">
      <c r="A636" s="47" t="n"/>
      <c r="B636" s="38" t="n"/>
      <c r="C636" s="38" t="n"/>
      <c r="D636" s="38" t="n"/>
      <c r="E636" s="38" t="n"/>
      <c r="F636" s="128" t="n"/>
      <c r="G636" s="128" t="n"/>
      <c r="H636" s="129" t="n"/>
      <c r="I636" s="38" t="n"/>
      <c r="J636" s="98">
        <f>IF(A636="","",IF(AND(F636&lt;&gt;"",G636&lt;&gt;""),MAX(0,G636-F636),N(H636)))</f>
        <v/>
      </c>
      <c r="K636" s="55">
        <f>IF(A636="","",ROUND(J636*MileRate,2))</f>
        <v/>
      </c>
      <c r="L636" s="51">
        <f>IF(A636="","",DATE(YEAR(A636),MONTH(A636),1))</f>
        <v/>
      </c>
    </row>
    <row r="637">
      <c r="A637" s="47" t="n"/>
      <c r="B637" s="38" t="n"/>
      <c r="C637" s="38" t="n"/>
      <c r="D637" s="38" t="n"/>
      <c r="E637" s="38" t="n"/>
      <c r="F637" s="128" t="n"/>
      <c r="G637" s="128" t="n"/>
      <c r="H637" s="129" t="n"/>
      <c r="I637" s="38" t="n"/>
      <c r="J637" s="98">
        <f>IF(A637="","",IF(AND(F637&lt;&gt;"",G637&lt;&gt;""),MAX(0,G637-F637),N(H637)))</f>
        <v/>
      </c>
      <c r="K637" s="55">
        <f>IF(A637="","",ROUND(J637*MileRate,2))</f>
        <v/>
      </c>
      <c r="L637" s="51">
        <f>IF(A637="","",DATE(YEAR(A637),MONTH(A637),1))</f>
        <v/>
      </c>
    </row>
    <row r="638">
      <c r="A638" s="47" t="n"/>
      <c r="B638" s="38" t="n"/>
      <c r="C638" s="38" t="n"/>
      <c r="D638" s="38" t="n"/>
      <c r="E638" s="38" t="n"/>
      <c r="F638" s="128" t="n"/>
      <c r="G638" s="128" t="n"/>
      <c r="H638" s="129" t="n"/>
      <c r="I638" s="38" t="n"/>
      <c r="J638" s="98">
        <f>IF(A638="","",IF(AND(F638&lt;&gt;"",G638&lt;&gt;""),MAX(0,G638-F638),N(H638)))</f>
        <v/>
      </c>
      <c r="K638" s="55">
        <f>IF(A638="","",ROUND(J638*MileRate,2))</f>
        <v/>
      </c>
      <c r="L638" s="51">
        <f>IF(A638="","",DATE(YEAR(A638),MONTH(A638),1))</f>
        <v/>
      </c>
    </row>
    <row r="639">
      <c r="A639" s="47" t="n"/>
      <c r="B639" s="38" t="n"/>
      <c r="C639" s="38" t="n"/>
      <c r="D639" s="38" t="n"/>
      <c r="E639" s="38" t="n"/>
      <c r="F639" s="128" t="n"/>
      <c r="G639" s="128" t="n"/>
      <c r="H639" s="129" t="n"/>
      <c r="I639" s="38" t="n"/>
      <c r="J639" s="98">
        <f>IF(A639="","",IF(AND(F639&lt;&gt;"",G639&lt;&gt;""),MAX(0,G639-F639),N(H639)))</f>
        <v/>
      </c>
      <c r="K639" s="55">
        <f>IF(A639="","",ROUND(J639*MileRate,2))</f>
        <v/>
      </c>
      <c r="L639" s="51">
        <f>IF(A639="","",DATE(YEAR(A639),MONTH(A639),1))</f>
        <v/>
      </c>
    </row>
    <row r="640">
      <c r="A640" s="47" t="n"/>
      <c r="B640" s="38" t="n"/>
      <c r="C640" s="38" t="n"/>
      <c r="D640" s="38" t="n"/>
      <c r="E640" s="38" t="n"/>
      <c r="F640" s="128" t="n"/>
      <c r="G640" s="128" t="n"/>
      <c r="H640" s="129" t="n"/>
      <c r="I640" s="38" t="n"/>
      <c r="J640" s="98">
        <f>IF(A640="","",IF(AND(F640&lt;&gt;"",G640&lt;&gt;""),MAX(0,G640-F640),N(H640)))</f>
        <v/>
      </c>
      <c r="K640" s="55">
        <f>IF(A640="","",ROUND(J640*MileRate,2))</f>
        <v/>
      </c>
      <c r="L640" s="51">
        <f>IF(A640="","",DATE(YEAR(A640),MONTH(A640),1))</f>
        <v/>
      </c>
    </row>
    <row r="641">
      <c r="A641" s="47" t="n"/>
      <c r="B641" s="38" t="n"/>
      <c r="C641" s="38" t="n"/>
      <c r="D641" s="38" t="n"/>
      <c r="E641" s="38" t="n"/>
      <c r="F641" s="128" t="n"/>
      <c r="G641" s="128" t="n"/>
      <c r="H641" s="129" t="n"/>
      <c r="I641" s="38" t="n"/>
      <c r="J641" s="98">
        <f>IF(A641="","",IF(AND(F641&lt;&gt;"",G641&lt;&gt;""),MAX(0,G641-F641),N(H641)))</f>
        <v/>
      </c>
      <c r="K641" s="55">
        <f>IF(A641="","",ROUND(J641*MileRate,2))</f>
        <v/>
      </c>
      <c r="L641" s="51">
        <f>IF(A641="","",DATE(YEAR(A641),MONTH(A641),1))</f>
        <v/>
      </c>
    </row>
    <row r="642">
      <c r="A642" s="47" t="n"/>
      <c r="B642" s="38" t="n"/>
      <c r="C642" s="38" t="n"/>
      <c r="D642" s="38" t="n"/>
      <c r="E642" s="38" t="n"/>
      <c r="F642" s="128" t="n"/>
      <c r="G642" s="128" t="n"/>
      <c r="H642" s="129" t="n"/>
      <c r="I642" s="38" t="n"/>
      <c r="J642" s="98">
        <f>IF(A642="","",IF(AND(F642&lt;&gt;"",G642&lt;&gt;""),MAX(0,G642-F642),N(H642)))</f>
        <v/>
      </c>
      <c r="K642" s="55">
        <f>IF(A642="","",ROUND(J642*MileRate,2))</f>
        <v/>
      </c>
      <c r="L642" s="51">
        <f>IF(A642="","",DATE(YEAR(A642),MONTH(A642),1))</f>
        <v/>
      </c>
    </row>
    <row r="643">
      <c r="A643" s="47" t="n"/>
      <c r="B643" s="38" t="n"/>
      <c r="C643" s="38" t="n"/>
      <c r="D643" s="38" t="n"/>
      <c r="E643" s="38" t="n"/>
      <c r="F643" s="128" t="n"/>
      <c r="G643" s="128" t="n"/>
      <c r="H643" s="129" t="n"/>
      <c r="I643" s="38" t="n"/>
      <c r="J643" s="98">
        <f>IF(A643="","",IF(AND(F643&lt;&gt;"",G643&lt;&gt;""),MAX(0,G643-F643),N(H643)))</f>
        <v/>
      </c>
      <c r="K643" s="55">
        <f>IF(A643="","",ROUND(J643*MileRate,2))</f>
        <v/>
      </c>
      <c r="L643" s="51">
        <f>IF(A643="","",DATE(YEAR(A643),MONTH(A643),1))</f>
        <v/>
      </c>
    </row>
    <row r="644">
      <c r="A644" s="47" t="n"/>
      <c r="B644" s="38" t="n"/>
      <c r="C644" s="38" t="n"/>
      <c r="D644" s="38" t="n"/>
      <c r="E644" s="38" t="n"/>
      <c r="F644" s="128" t="n"/>
      <c r="G644" s="128" t="n"/>
      <c r="H644" s="129" t="n"/>
      <c r="I644" s="38" t="n"/>
      <c r="J644" s="98">
        <f>IF(A644="","",IF(AND(F644&lt;&gt;"",G644&lt;&gt;""),MAX(0,G644-F644),N(H644)))</f>
        <v/>
      </c>
      <c r="K644" s="55">
        <f>IF(A644="","",ROUND(J644*MileRate,2))</f>
        <v/>
      </c>
      <c r="L644" s="51">
        <f>IF(A644="","",DATE(YEAR(A644),MONTH(A644),1))</f>
        <v/>
      </c>
    </row>
    <row r="645">
      <c r="A645" s="47" t="n"/>
      <c r="B645" s="38" t="n"/>
      <c r="C645" s="38" t="n"/>
      <c r="D645" s="38" t="n"/>
      <c r="E645" s="38" t="n"/>
      <c r="F645" s="128" t="n"/>
      <c r="G645" s="128" t="n"/>
      <c r="H645" s="129" t="n"/>
      <c r="I645" s="38" t="n"/>
      <c r="J645" s="98">
        <f>IF(A645="","",IF(AND(F645&lt;&gt;"",G645&lt;&gt;""),MAX(0,G645-F645),N(H645)))</f>
        <v/>
      </c>
      <c r="K645" s="55">
        <f>IF(A645="","",ROUND(J645*MileRate,2))</f>
        <v/>
      </c>
      <c r="L645" s="51">
        <f>IF(A645="","",DATE(YEAR(A645),MONTH(A645),1))</f>
        <v/>
      </c>
    </row>
    <row r="646">
      <c r="A646" s="47" t="n"/>
      <c r="B646" s="38" t="n"/>
      <c r="C646" s="38" t="n"/>
      <c r="D646" s="38" t="n"/>
      <c r="E646" s="38" t="n"/>
      <c r="F646" s="128" t="n"/>
      <c r="G646" s="128" t="n"/>
      <c r="H646" s="129" t="n"/>
      <c r="I646" s="38" t="n"/>
      <c r="J646" s="98">
        <f>IF(A646="","",IF(AND(F646&lt;&gt;"",G646&lt;&gt;""),MAX(0,G646-F646),N(H646)))</f>
        <v/>
      </c>
      <c r="K646" s="55">
        <f>IF(A646="","",ROUND(J646*MileRate,2))</f>
        <v/>
      </c>
      <c r="L646" s="51">
        <f>IF(A646="","",DATE(YEAR(A646),MONTH(A646),1))</f>
        <v/>
      </c>
    </row>
    <row r="647">
      <c r="A647" s="47" t="n"/>
      <c r="B647" s="38" t="n"/>
      <c r="C647" s="38" t="n"/>
      <c r="D647" s="38" t="n"/>
      <c r="E647" s="38" t="n"/>
      <c r="F647" s="128" t="n"/>
      <c r="G647" s="128" t="n"/>
      <c r="H647" s="129" t="n"/>
      <c r="I647" s="38" t="n"/>
      <c r="J647" s="98">
        <f>IF(A647="","",IF(AND(F647&lt;&gt;"",G647&lt;&gt;""),MAX(0,G647-F647),N(H647)))</f>
        <v/>
      </c>
      <c r="K647" s="55">
        <f>IF(A647="","",ROUND(J647*MileRate,2))</f>
        <v/>
      </c>
      <c r="L647" s="51">
        <f>IF(A647="","",DATE(YEAR(A647),MONTH(A647),1))</f>
        <v/>
      </c>
    </row>
    <row r="648">
      <c r="A648" s="47" t="n"/>
      <c r="B648" s="38" t="n"/>
      <c r="C648" s="38" t="n"/>
      <c r="D648" s="38" t="n"/>
      <c r="E648" s="38" t="n"/>
      <c r="F648" s="128" t="n"/>
      <c r="G648" s="128" t="n"/>
      <c r="H648" s="129" t="n"/>
      <c r="I648" s="38" t="n"/>
      <c r="J648" s="98">
        <f>IF(A648="","",IF(AND(F648&lt;&gt;"",G648&lt;&gt;""),MAX(0,G648-F648),N(H648)))</f>
        <v/>
      </c>
      <c r="K648" s="55">
        <f>IF(A648="","",ROUND(J648*MileRate,2))</f>
        <v/>
      </c>
      <c r="L648" s="51">
        <f>IF(A648="","",DATE(YEAR(A648),MONTH(A648),1))</f>
        <v/>
      </c>
    </row>
    <row r="649">
      <c r="A649" s="47" t="n"/>
      <c r="B649" s="38" t="n"/>
      <c r="C649" s="38" t="n"/>
      <c r="D649" s="38" t="n"/>
      <c r="E649" s="38" t="n"/>
      <c r="F649" s="128" t="n"/>
      <c r="G649" s="128" t="n"/>
      <c r="H649" s="129" t="n"/>
      <c r="I649" s="38" t="n"/>
      <c r="J649" s="98">
        <f>IF(A649="","",IF(AND(F649&lt;&gt;"",G649&lt;&gt;""),MAX(0,G649-F649),N(H649)))</f>
        <v/>
      </c>
      <c r="K649" s="55">
        <f>IF(A649="","",ROUND(J649*MileRate,2))</f>
        <v/>
      </c>
      <c r="L649" s="51">
        <f>IF(A649="","",DATE(YEAR(A649),MONTH(A649),1))</f>
        <v/>
      </c>
    </row>
    <row r="650">
      <c r="A650" s="47" t="n"/>
      <c r="B650" s="38" t="n"/>
      <c r="C650" s="38" t="n"/>
      <c r="D650" s="38" t="n"/>
      <c r="E650" s="38" t="n"/>
      <c r="F650" s="128" t="n"/>
      <c r="G650" s="128" t="n"/>
      <c r="H650" s="129" t="n"/>
      <c r="I650" s="38" t="n"/>
      <c r="J650" s="98">
        <f>IF(A650="","",IF(AND(F650&lt;&gt;"",G650&lt;&gt;""),MAX(0,G650-F650),N(H650)))</f>
        <v/>
      </c>
      <c r="K650" s="55">
        <f>IF(A650="","",ROUND(J650*MileRate,2))</f>
        <v/>
      </c>
      <c r="L650" s="51">
        <f>IF(A650="","",DATE(YEAR(A650),MONTH(A650),1))</f>
        <v/>
      </c>
    </row>
    <row r="651">
      <c r="A651" s="47" t="n"/>
      <c r="B651" s="38" t="n"/>
      <c r="C651" s="38" t="n"/>
      <c r="D651" s="38" t="n"/>
      <c r="E651" s="38" t="n"/>
      <c r="F651" s="128" t="n"/>
      <c r="G651" s="128" t="n"/>
      <c r="H651" s="129" t="n"/>
      <c r="I651" s="38" t="n"/>
      <c r="J651" s="98">
        <f>IF(A651="","",IF(AND(F651&lt;&gt;"",G651&lt;&gt;""),MAX(0,G651-F651),N(H651)))</f>
        <v/>
      </c>
      <c r="K651" s="55">
        <f>IF(A651="","",ROUND(J651*MileRate,2))</f>
        <v/>
      </c>
      <c r="L651" s="51">
        <f>IF(A651="","",DATE(YEAR(A651),MONTH(A651),1))</f>
        <v/>
      </c>
    </row>
    <row r="652">
      <c r="A652" s="47" t="n"/>
      <c r="B652" s="38" t="n"/>
      <c r="C652" s="38" t="n"/>
      <c r="D652" s="38" t="n"/>
      <c r="E652" s="38" t="n"/>
      <c r="F652" s="128" t="n"/>
      <c r="G652" s="128" t="n"/>
      <c r="H652" s="129" t="n"/>
      <c r="I652" s="38" t="n"/>
      <c r="J652" s="98">
        <f>IF(A652="","",IF(AND(F652&lt;&gt;"",G652&lt;&gt;""),MAX(0,G652-F652),N(H652)))</f>
        <v/>
      </c>
      <c r="K652" s="55">
        <f>IF(A652="","",ROUND(J652*MileRate,2))</f>
        <v/>
      </c>
      <c r="L652" s="51">
        <f>IF(A652="","",DATE(YEAR(A652),MONTH(A652),1))</f>
        <v/>
      </c>
    </row>
    <row r="653">
      <c r="A653" s="47" t="n"/>
      <c r="B653" s="38" t="n"/>
      <c r="C653" s="38" t="n"/>
      <c r="D653" s="38" t="n"/>
      <c r="E653" s="38" t="n"/>
      <c r="F653" s="128" t="n"/>
      <c r="G653" s="128" t="n"/>
      <c r="H653" s="129" t="n"/>
      <c r="I653" s="38" t="n"/>
      <c r="J653" s="98">
        <f>IF(A653="","",IF(AND(F653&lt;&gt;"",G653&lt;&gt;""),MAX(0,G653-F653),N(H653)))</f>
        <v/>
      </c>
      <c r="K653" s="55">
        <f>IF(A653="","",ROUND(J653*MileRate,2))</f>
        <v/>
      </c>
      <c r="L653" s="51">
        <f>IF(A653="","",DATE(YEAR(A653),MONTH(A653),1))</f>
        <v/>
      </c>
    </row>
    <row r="654">
      <c r="A654" s="47" t="n"/>
      <c r="B654" s="38" t="n"/>
      <c r="C654" s="38" t="n"/>
      <c r="D654" s="38" t="n"/>
      <c r="E654" s="38" t="n"/>
      <c r="F654" s="128" t="n"/>
      <c r="G654" s="128" t="n"/>
      <c r="H654" s="129" t="n"/>
      <c r="I654" s="38" t="n"/>
      <c r="J654" s="98">
        <f>IF(A654="","",IF(AND(F654&lt;&gt;"",G654&lt;&gt;""),MAX(0,G654-F654),N(H654)))</f>
        <v/>
      </c>
      <c r="K654" s="55">
        <f>IF(A654="","",ROUND(J654*MileRate,2))</f>
        <v/>
      </c>
      <c r="L654" s="51">
        <f>IF(A654="","",DATE(YEAR(A654),MONTH(A654),1))</f>
        <v/>
      </c>
    </row>
    <row r="655">
      <c r="A655" s="47" t="n"/>
      <c r="B655" s="38" t="n"/>
      <c r="C655" s="38" t="n"/>
      <c r="D655" s="38" t="n"/>
      <c r="E655" s="38" t="n"/>
      <c r="F655" s="128" t="n"/>
      <c r="G655" s="128" t="n"/>
      <c r="H655" s="129" t="n"/>
      <c r="I655" s="38" t="n"/>
      <c r="J655" s="98">
        <f>IF(A655="","",IF(AND(F655&lt;&gt;"",G655&lt;&gt;""),MAX(0,G655-F655),N(H655)))</f>
        <v/>
      </c>
      <c r="K655" s="55">
        <f>IF(A655="","",ROUND(J655*MileRate,2))</f>
        <v/>
      </c>
      <c r="L655" s="51">
        <f>IF(A655="","",DATE(YEAR(A655),MONTH(A655),1))</f>
        <v/>
      </c>
    </row>
    <row r="656">
      <c r="A656" s="47" t="n"/>
      <c r="B656" s="38" t="n"/>
      <c r="C656" s="38" t="n"/>
      <c r="D656" s="38" t="n"/>
      <c r="E656" s="38" t="n"/>
      <c r="F656" s="128" t="n"/>
      <c r="G656" s="128" t="n"/>
      <c r="H656" s="129" t="n"/>
      <c r="I656" s="38" t="n"/>
      <c r="J656" s="98">
        <f>IF(A656="","",IF(AND(F656&lt;&gt;"",G656&lt;&gt;""),MAX(0,G656-F656),N(H656)))</f>
        <v/>
      </c>
      <c r="K656" s="55">
        <f>IF(A656="","",ROUND(J656*MileRate,2))</f>
        <v/>
      </c>
      <c r="L656" s="51">
        <f>IF(A656="","",DATE(YEAR(A656),MONTH(A656),1))</f>
        <v/>
      </c>
    </row>
    <row r="657">
      <c r="A657" s="47" t="n"/>
      <c r="B657" s="38" t="n"/>
      <c r="C657" s="38" t="n"/>
      <c r="D657" s="38" t="n"/>
      <c r="E657" s="38" t="n"/>
      <c r="F657" s="128" t="n"/>
      <c r="G657" s="128" t="n"/>
      <c r="H657" s="129" t="n"/>
      <c r="I657" s="38" t="n"/>
      <c r="J657" s="98">
        <f>IF(A657="","",IF(AND(F657&lt;&gt;"",G657&lt;&gt;""),MAX(0,G657-F657),N(H657)))</f>
        <v/>
      </c>
      <c r="K657" s="55">
        <f>IF(A657="","",ROUND(J657*MileRate,2))</f>
        <v/>
      </c>
      <c r="L657" s="51">
        <f>IF(A657="","",DATE(YEAR(A657),MONTH(A657),1))</f>
        <v/>
      </c>
    </row>
    <row r="658">
      <c r="A658" s="47" t="n"/>
      <c r="B658" s="38" t="n"/>
      <c r="C658" s="38" t="n"/>
      <c r="D658" s="38" t="n"/>
      <c r="E658" s="38" t="n"/>
      <c r="F658" s="128" t="n"/>
      <c r="G658" s="128" t="n"/>
      <c r="H658" s="129" t="n"/>
      <c r="I658" s="38" t="n"/>
      <c r="J658" s="98">
        <f>IF(A658="","",IF(AND(F658&lt;&gt;"",G658&lt;&gt;""),MAX(0,G658-F658),N(H658)))</f>
        <v/>
      </c>
      <c r="K658" s="55">
        <f>IF(A658="","",ROUND(J658*MileRate,2))</f>
        <v/>
      </c>
      <c r="L658" s="51">
        <f>IF(A658="","",DATE(YEAR(A658),MONTH(A658),1))</f>
        <v/>
      </c>
    </row>
    <row r="659">
      <c r="A659" s="47" t="n"/>
      <c r="B659" s="38" t="n"/>
      <c r="C659" s="38" t="n"/>
      <c r="D659" s="38" t="n"/>
      <c r="E659" s="38" t="n"/>
      <c r="F659" s="128" t="n"/>
      <c r="G659" s="128" t="n"/>
      <c r="H659" s="129" t="n"/>
      <c r="I659" s="38" t="n"/>
      <c r="J659" s="98">
        <f>IF(A659="","",IF(AND(F659&lt;&gt;"",G659&lt;&gt;""),MAX(0,G659-F659),N(H659)))</f>
        <v/>
      </c>
      <c r="K659" s="55">
        <f>IF(A659="","",ROUND(J659*MileRate,2))</f>
        <v/>
      </c>
      <c r="L659" s="51">
        <f>IF(A659="","",DATE(YEAR(A659),MONTH(A659),1))</f>
        <v/>
      </c>
    </row>
    <row r="660">
      <c r="A660" s="47" t="n"/>
      <c r="B660" s="38" t="n"/>
      <c r="C660" s="38" t="n"/>
      <c r="D660" s="38" t="n"/>
      <c r="E660" s="38" t="n"/>
      <c r="F660" s="128" t="n"/>
      <c r="G660" s="128" t="n"/>
      <c r="H660" s="129" t="n"/>
      <c r="I660" s="38" t="n"/>
      <c r="J660" s="98">
        <f>IF(A660="","",IF(AND(F660&lt;&gt;"",G660&lt;&gt;""),MAX(0,G660-F660),N(H660)))</f>
        <v/>
      </c>
      <c r="K660" s="55">
        <f>IF(A660="","",ROUND(J660*MileRate,2))</f>
        <v/>
      </c>
      <c r="L660" s="51">
        <f>IF(A660="","",DATE(YEAR(A660),MONTH(A660),1))</f>
        <v/>
      </c>
    </row>
    <row r="661">
      <c r="A661" s="47" t="n"/>
      <c r="B661" s="38" t="n"/>
      <c r="C661" s="38" t="n"/>
      <c r="D661" s="38" t="n"/>
      <c r="E661" s="38" t="n"/>
      <c r="F661" s="128" t="n"/>
      <c r="G661" s="128" t="n"/>
      <c r="H661" s="129" t="n"/>
      <c r="I661" s="38" t="n"/>
      <c r="J661" s="98">
        <f>IF(A661="","",IF(AND(F661&lt;&gt;"",G661&lt;&gt;""),MAX(0,G661-F661),N(H661)))</f>
        <v/>
      </c>
      <c r="K661" s="55">
        <f>IF(A661="","",ROUND(J661*MileRate,2))</f>
        <v/>
      </c>
      <c r="L661" s="51">
        <f>IF(A661="","",DATE(YEAR(A661),MONTH(A661),1))</f>
        <v/>
      </c>
    </row>
    <row r="662">
      <c r="A662" s="47" t="n"/>
      <c r="B662" s="38" t="n"/>
      <c r="C662" s="38" t="n"/>
      <c r="D662" s="38" t="n"/>
      <c r="E662" s="38" t="n"/>
      <c r="F662" s="128" t="n"/>
      <c r="G662" s="128" t="n"/>
      <c r="H662" s="129" t="n"/>
      <c r="I662" s="38" t="n"/>
      <c r="J662" s="98">
        <f>IF(A662="","",IF(AND(F662&lt;&gt;"",G662&lt;&gt;""),MAX(0,G662-F662),N(H662)))</f>
        <v/>
      </c>
      <c r="K662" s="55">
        <f>IF(A662="","",ROUND(J662*MileRate,2))</f>
        <v/>
      </c>
      <c r="L662" s="51">
        <f>IF(A662="","",DATE(YEAR(A662),MONTH(A662),1))</f>
        <v/>
      </c>
    </row>
    <row r="663">
      <c r="A663" s="47" t="n"/>
      <c r="B663" s="38" t="n"/>
      <c r="C663" s="38" t="n"/>
      <c r="D663" s="38" t="n"/>
      <c r="E663" s="38" t="n"/>
      <c r="F663" s="128" t="n"/>
      <c r="G663" s="128" t="n"/>
      <c r="H663" s="129" t="n"/>
      <c r="I663" s="38" t="n"/>
      <c r="J663" s="98">
        <f>IF(A663="","",IF(AND(F663&lt;&gt;"",G663&lt;&gt;""),MAX(0,G663-F663),N(H663)))</f>
        <v/>
      </c>
      <c r="K663" s="55">
        <f>IF(A663="","",ROUND(J663*MileRate,2))</f>
        <v/>
      </c>
      <c r="L663" s="51">
        <f>IF(A663="","",DATE(YEAR(A663),MONTH(A663),1))</f>
        <v/>
      </c>
    </row>
    <row r="664">
      <c r="A664" s="47" t="n"/>
      <c r="B664" s="38" t="n"/>
      <c r="C664" s="38" t="n"/>
      <c r="D664" s="38" t="n"/>
      <c r="E664" s="38" t="n"/>
      <c r="F664" s="128" t="n"/>
      <c r="G664" s="128" t="n"/>
      <c r="H664" s="129" t="n"/>
      <c r="I664" s="38" t="n"/>
      <c r="J664" s="98">
        <f>IF(A664="","",IF(AND(F664&lt;&gt;"",G664&lt;&gt;""),MAX(0,G664-F664),N(H664)))</f>
        <v/>
      </c>
      <c r="K664" s="55">
        <f>IF(A664="","",ROUND(J664*MileRate,2))</f>
        <v/>
      </c>
      <c r="L664" s="51">
        <f>IF(A664="","",DATE(YEAR(A664),MONTH(A664),1))</f>
        <v/>
      </c>
    </row>
    <row r="665">
      <c r="A665" s="47" t="n"/>
      <c r="B665" s="38" t="n"/>
      <c r="C665" s="38" t="n"/>
      <c r="D665" s="38" t="n"/>
      <c r="E665" s="38" t="n"/>
      <c r="F665" s="128" t="n"/>
      <c r="G665" s="128" t="n"/>
      <c r="H665" s="129" t="n"/>
      <c r="I665" s="38" t="n"/>
      <c r="J665" s="98">
        <f>IF(A665="","",IF(AND(F665&lt;&gt;"",G665&lt;&gt;""),MAX(0,G665-F665),N(H665)))</f>
        <v/>
      </c>
      <c r="K665" s="55">
        <f>IF(A665="","",ROUND(J665*MileRate,2))</f>
        <v/>
      </c>
      <c r="L665" s="51">
        <f>IF(A665="","",DATE(YEAR(A665),MONTH(A665),1))</f>
        <v/>
      </c>
    </row>
    <row r="666">
      <c r="A666" s="47" t="n"/>
      <c r="B666" s="38" t="n"/>
      <c r="C666" s="38" t="n"/>
      <c r="D666" s="38" t="n"/>
      <c r="E666" s="38" t="n"/>
      <c r="F666" s="128" t="n"/>
      <c r="G666" s="128" t="n"/>
      <c r="H666" s="129" t="n"/>
      <c r="I666" s="38" t="n"/>
      <c r="J666" s="98">
        <f>IF(A666="","",IF(AND(F666&lt;&gt;"",G666&lt;&gt;""),MAX(0,G666-F666),N(H666)))</f>
        <v/>
      </c>
      <c r="K666" s="55">
        <f>IF(A666="","",ROUND(J666*MileRate,2))</f>
        <v/>
      </c>
      <c r="L666" s="51">
        <f>IF(A666="","",DATE(YEAR(A666),MONTH(A666),1))</f>
        <v/>
      </c>
    </row>
    <row r="667">
      <c r="A667" s="47" t="n"/>
      <c r="B667" s="38" t="n"/>
      <c r="C667" s="38" t="n"/>
      <c r="D667" s="38" t="n"/>
      <c r="E667" s="38" t="n"/>
      <c r="F667" s="128" t="n"/>
      <c r="G667" s="128" t="n"/>
      <c r="H667" s="129" t="n"/>
      <c r="I667" s="38" t="n"/>
      <c r="J667" s="98">
        <f>IF(A667="","",IF(AND(F667&lt;&gt;"",G667&lt;&gt;""),MAX(0,G667-F667),N(H667)))</f>
        <v/>
      </c>
      <c r="K667" s="55">
        <f>IF(A667="","",ROUND(J667*MileRate,2))</f>
        <v/>
      </c>
      <c r="L667" s="51">
        <f>IF(A667="","",DATE(YEAR(A667),MONTH(A667),1))</f>
        <v/>
      </c>
    </row>
    <row r="668">
      <c r="A668" s="47" t="n"/>
      <c r="B668" s="38" t="n"/>
      <c r="C668" s="38" t="n"/>
      <c r="D668" s="38" t="n"/>
      <c r="E668" s="38" t="n"/>
      <c r="F668" s="128" t="n"/>
      <c r="G668" s="128" t="n"/>
      <c r="H668" s="129" t="n"/>
      <c r="I668" s="38" t="n"/>
      <c r="J668" s="98">
        <f>IF(A668="","",IF(AND(F668&lt;&gt;"",G668&lt;&gt;""),MAX(0,G668-F668),N(H668)))</f>
        <v/>
      </c>
      <c r="K668" s="55">
        <f>IF(A668="","",ROUND(J668*MileRate,2))</f>
        <v/>
      </c>
      <c r="L668" s="51">
        <f>IF(A668="","",DATE(YEAR(A668),MONTH(A668),1))</f>
        <v/>
      </c>
    </row>
    <row r="669">
      <c r="A669" s="47" t="n"/>
      <c r="B669" s="38" t="n"/>
      <c r="C669" s="38" t="n"/>
      <c r="D669" s="38" t="n"/>
      <c r="E669" s="38" t="n"/>
      <c r="F669" s="128" t="n"/>
      <c r="G669" s="128" t="n"/>
      <c r="H669" s="129" t="n"/>
      <c r="I669" s="38" t="n"/>
      <c r="J669" s="98">
        <f>IF(A669="","",IF(AND(F669&lt;&gt;"",G669&lt;&gt;""),MAX(0,G669-F669),N(H669)))</f>
        <v/>
      </c>
      <c r="K669" s="55">
        <f>IF(A669="","",ROUND(J669*MileRate,2))</f>
        <v/>
      </c>
      <c r="L669" s="51">
        <f>IF(A669="","",DATE(YEAR(A669),MONTH(A669),1))</f>
        <v/>
      </c>
    </row>
    <row r="670">
      <c r="A670" s="47" t="n"/>
      <c r="B670" s="38" t="n"/>
      <c r="C670" s="38" t="n"/>
      <c r="D670" s="38" t="n"/>
      <c r="E670" s="38" t="n"/>
      <c r="F670" s="128" t="n"/>
      <c r="G670" s="128" t="n"/>
      <c r="H670" s="129" t="n"/>
      <c r="I670" s="38" t="n"/>
      <c r="J670" s="98">
        <f>IF(A670="","",IF(AND(F670&lt;&gt;"",G670&lt;&gt;""),MAX(0,G670-F670),N(H670)))</f>
        <v/>
      </c>
      <c r="K670" s="55">
        <f>IF(A670="","",ROUND(J670*MileRate,2))</f>
        <v/>
      </c>
      <c r="L670" s="51">
        <f>IF(A670="","",DATE(YEAR(A670),MONTH(A670),1))</f>
        <v/>
      </c>
    </row>
    <row r="671">
      <c r="A671" s="47" t="n"/>
      <c r="B671" s="38" t="n"/>
      <c r="C671" s="38" t="n"/>
      <c r="D671" s="38" t="n"/>
      <c r="E671" s="38" t="n"/>
      <c r="F671" s="128" t="n"/>
      <c r="G671" s="128" t="n"/>
      <c r="H671" s="129" t="n"/>
      <c r="I671" s="38" t="n"/>
      <c r="J671" s="98">
        <f>IF(A671="","",IF(AND(F671&lt;&gt;"",G671&lt;&gt;""),MAX(0,G671-F671),N(H671)))</f>
        <v/>
      </c>
      <c r="K671" s="55">
        <f>IF(A671="","",ROUND(J671*MileRate,2))</f>
        <v/>
      </c>
      <c r="L671" s="51">
        <f>IF(A671="","",DATE(YEAR(A671),MONTH(A671),1))</f>
        <v/>
      </c>
    </row>
    <row r="672">
      <c r="A672" s="47" t="n"/>
      <c r="B672" s="38" t="n"/>
      <c r="C672" s="38" t="n"/>
      <c r="D672" s="38" t="n"/>
      <c r="E672" s="38" t="n"/>
      <c r="F672" s="128" t="n"/>
      <c r="G672" s="128" t="n"/>
      <c r="H672" s="129" t="n"/>
      <c r="I672" s="38" t="n"/>
      <c r="J672" s="98">
        <f>IF(A672="","",IF(AND(F672&lt;&gt;"",G672&lt;&gt;""),MAX(0,G672-F672),N(H672)))</f>
        <v/>
      </c>
      <c r="K672" s="55">
        <f>IF(A672="","",ROUND(J672*MileRate,2))</f>
        <v/>
      </c>
      <c r="L672" s="51">
        <f>IF(A672="","",DATE(YEAR(A672),MONTH(A672),1))</f>
        <v/>
      </c>
    </row>
    <row r="673">
      <c r="A673" s="47" t="n"/>
      <c r="B673" s="38" t="n"/>
      <c r="C673" s="38" t="n"/>
      <c r="D673" s="38" t="n"/>
      <c r="E673" s="38" t="n"/>
      <c r="F673" s="128" t="n"/>
      <c r="G673" s="128" t="n"/>
      <c r="H673" s="129" t="n"/>
      <c r="I673" s="38" t="n"/>
      <c r="J673" s="98">
        <f>IF(A673="","",IF(AND(F673&lt;&gt;"",G673&lt;&gt;""),MAX(0,G673-F673),N(H673)))</f>
        <v/>
      </c>
      <c r="K673" s="55">
        <f>IF(A673="","",ROUND(J673*MileRate,2))</f>
        <v/>
      </c>
      <c r="L673" s="51">
        <f>IF(A673="","",DATE(YEAR(A673),MONTH(A673),1))</f>
        <v/>
      </c>
    </row>
    <row r="674">
      <c r="A674" s="47" t="n"/>
      <c r="B674" s="38" t="n"/>
      <c r="C674" s="38" t="n"/>
      <c r="D674" s="38" t="n"/>
      <c r="E674" s="38" t="n"/>
      <c r="F674" s="128" t="n"/>
      <c r="G674" s="128" t="n"/>
      <c r="H674" s="129" t="n"/>
      <c r="I674" s="38" t="n"/>
      <c r="J674" s="98">
        <f>IF(A674="","",IF(AND(F674&lt;&gt;"",G674&lt;&gt;""),MAX(0,G674-F674),N(H674)))</f>
        <v/>
      </c>
      <c r="K674" s="55">
        <f>IF(A674="","",ROUND(J674*MileRate,2))</f>
        <v/>
      </c>
      <c r="L674" s="51">
        <f>IF(A674="","",DATE(YEAR(A674),MONTH(A674),1))</f>
        <v/>
      </c>
    </row>
    <row r="675">
      <c r="A675" s="47" t="n"/>
      <c r="B675" s="38" t="n"/>
      <c r="C675" s="38" t="n"/>
      <c r="D675" s="38" t="n"/>
      <c r="E675" s="38" t="n"/>
      <c r="F675" s="128" t="n"/>
      <c r="G675" s="128" t="n"/>
      <c r="H675" s="129" t="n"/>
      <c r="I675" s="38" t="n"/>
      <c r="J675" s="98">
        <f>IF(A675="","",IF(AND(F675&lt;&gt;"",G675&lt;&gt;""),MAX(0,G675-F675),N(H675)))</f>
        <v/>
      </c>
      <c r="K675" s="55">
        <f>IF(A675="","",ROUND(J675*MileRate,2))</f>
        <v/>
      </c>
      <c r="L675" s="51">
        <f>IF(A675="","",DATE(YEAR(A675),MONTH(A675),1))</f>
        <v/>
      </c>
    </row>
    <row r="676">
      <c r="A676" s="47" t="n"/>
      <c r="B676" s="38" t="n"/>
      <c r="C676" s="38" t="n"/>
      <c r="D676" s="38" t="n"/>
      <c r="E676" s="38" t="n"/>
      <c r="F676" s="128" t="n"/>
      <c r="G676" s="128" t="n"/>
      <c r="H676" s="129" t="n"/>
      <c r="I676" s="38" t="n"/>
      <c r="J676" s="98">
        <f>IF(A676="","",IF(AND(F676&lt;&gt;"",G676&lt;&gt;""),MAX(0,G676-F676),N(H676)))</f>
        <v/>
      </c>
      <c r="K676" s="55">
        <f>IF(A676="","",ROUND(J676*MileRate,2))</f>
        <v/>
      </c>
      <c r="L676" s="51">
        <f>IF(A676="","",DATE(YEAR(A676),MONTH(A676),1))</f>
        <v/>
      </c>
    </row>
    <row r="677">
      <c r="A677" s="47" t="n"/>
      <c r="B677" s="38" t="n"/>
      <c r="C677" s="38" t="n"/>
      <c r="D677" s="38" t="n"/>
      <c r="E677" s="38" t="n"/>
      <c r="F677" s="128" t="n"/>
      <c r="G677" s="128" t="n"/>
      <c r="H677" s="129" t="n"/>
      <c r="I677" s="38" t="n"/>
      <c r="J677" s="98">
        <f>IF(A677="","",IF(AND(F677&lt;&gt;"",G677&lt;&gt;""),MAX(0,G677-F677),N(H677)))</f>
        <v/>
      </c>
      <c r="K677" s="55">
        <f>IF(A677="","",ROUND(J677*MileRate,2))</f>
        <v/>
      </c>
      <c r="L677" s="51">
        <f>IF(A677="","",DATE(YEAR(A677),MONTH(A677),1))</f>
        <v/>
      </c>
    </row>
    <row r="678">
      <c r="A678" s="47" t="n"/>
      <c r="B678" s="38" t="n"/>
      <c r="C678" s="38" t="n"/>
      <c r="D678" s="38" t="n"/>
      <c r="E678" s="38" t="n"/>
      <c r="F678" s="128" t="n"/>
      <c r="G678" s="128" t="n"/>
      <c r="H678" s="129" t="n"/>
      <c r="I678" s="38" t="n"/>
      <c r="J678" s="98">
        <f>IF(A678="","",IF(AND(F678&lt;&gt;"",G678&lt;&gt;""),MAX(0,G678-F678),N(H678)))</f>
        <v/>
      </c>
      <c r="K678" s="55">
        <f>IF(A678="","",ROUND(J678*MileRate,2))</f>
        <v/>
      </c>
      <c r="L678" s="51">
        <f>IF(A678="","",DATE(YEAR(A678),MONTH(A678),1))</f>
        <v/>
      </c>
    </row>
    <row r="679">
      <c r="A679" s="47" t="n"/>
      <c r="B679" s="38" t="n"/>
      <c r="C679" s="38" t="n"/>
      <c r="D679" s="38" t="n"/>
      <c r="E679" s="38" t="n"/>
      <c r="F679" s="128" t="n"/>
      <c r="G679" s="128" t="n"/>
      <c r="H679" s="129" t="n"/>
      <c r="I679" s="38" t="n"/>
      <c r="J679" s="98">
        <f>IF(A679="","",IF(AND(F679&lt;&gt;"",G679&lt;&gt;""),MAX(0,G679-F679),N(H679)))</f>
        <v/>
      </c>
      <c r="K679" s="55">
        <f>IF(A679="","",ROUND(J679*MileRate,2))</f>
        <v/>
      </c>
      <c r="L679" s="51">
        <f>IF(A679="","",DATE(YEAR(A679),MONTH(A679),1))</f>
        <v/>
      </c>
    </row>
    <row r="680">
      <c r="A680" s="47" t="n"/>
      <c r="B680" s="38" t="n"/>
      <c r="C680" s="38" t="n"/>
      <c r="D680" s="38" t="n"/>
      <c r="E680" s="38" t="n"/>
      <c r="F680" s="128" t="n"/>
      <c r="G680" s="128" t="n"/>
      <c r="H680" s="129" t="n"/>
      <c r="I680" s="38" t="n"/>
      <c r="J680" s="98">
        <f>IF(A680="","",IF(AND(F680&lt;&gt;"",G680&lt;&gt;""),MAX(0,G680-F680),N(H680)))</f>
        <v/>
      </c>
      <c r="K680" s="55">
        <f>IF(A680="","",ROUND(J680*MileRate,2))</f>
        <v/>
      </c>
      <c r="L680" s="51">
        <f>IF(A680="","",DATE(YEAR(A680),MONTH(A680),1))</f>
        <v/>
      </c>
    </row>
    <row r="681">
      <c r="A681" s="47" t="n"/>
      <c r="B681" s="38" t="n"/>
      <c r="C681" s="38" t="n"/>
      <c r="D681" s="38" t="n"/>
      <c r="E681" s="38" t="n"/>
      <c r="F681" s="128" t="n"/>
      <c r="G681" s="128" t="n"/>
      <c r="H681" s="129" t="n"/>
      <c r="I681" s="38" t="n"/>
      <c r="J681" s="98">
        <f>IF(A681="","",IF(AND(F681&lt;&gt;"",G681&lt;&gt;""),MAX(0,G681-F681),N(H681)))</f>
        <v/>
      </c>
      <c r="K681" s="55">
        <f>IF(A681="","",ROUND(J681*MileRate,2))</f>
        <v/>
      </c>
      <c r="L681" s="51">
        <f>IF(A681="","",DATE(YEAR(A681),MONTH(A681),1))</f>
        <v/>
      </c>
    </row>
    <row r="682">
      <c r="A682" s="47" t="n"/>
      <c r="B682" s="38" t="n"/>
      <c r="C682" s="38" t="n"/>
      <c r="D682" s="38" t="n"/>
      <c r="E682" s="38" t="n"/>
      <c r="F682" s="128" t="n"/>
      <c r="G682" s="128" t="n"/>
      <c r="H682" s="129" t="n"/>
      <c r="I682" s="38" t="n"/>
      <c r="J682" s="98">
        <f>IF(A682="","",IF(AND(F682&lt;&gt;"",G682&lt;&gt;""),MAX(0,G682-F682),N(H682)))</f>
        <v/>
      </c>
      <c r="K682" s="55">
        <f>IF(A682="","",ROUND(J682*MileRate,2))</f>
        <v/>
      </c>
      <c r="L682" s="51">
        <f>IF(A682="","",DATE(YEAR(A682),MONTH(A682),1))</f>
        <v/>
      </c>
    </row>
    <row r="683">
      <c r="A683" s="47" t="n"/>
      <c r="B683" s="38" t="n"/>
      <c r="C683" s="38" t="n"/>
      <c r="D683" s="38" t="n"/>
      <c r="E683" s="38" t="n"/>
      <c r="F683" s="128" t="n"/>
      <c r="G683" s="128" t="n"/>
      <c r="H683" s="129" t="n"/>
      <c r="I683" s="38" t="n"/>
      <c r="J683" s="98">
        <f>IF(A683="","",IF(AND(F683&lt;&gt;"",G683&lt;&gt;""),MAX(0,G683-F683),N(H683)))</f>
        <v/>
      </c>
      <c r="K683" s="55">
        <f>IF(A683="","",ROUND(J683*MileRate,2))</f>
        <v/>
      </c>
      <c r="L683" s="51">
        <f>IF(A683="","",DATE(YEAR(A683),MONTH(A683),1))</f>
        <v/>
      </c>
    </row>
    <row r="684">
      <c r="A684" s="47" t="n"/>
      <c r="B684" s="38" t="n"/>
      <c r="C684" s="38" t="n"/>
      <c r="D684" s="38" t="n"/>
      <c r="E684" s="38" t="n"/>
      <c r="F684" s="128" t="n"/>
      <c r="G684" s="128" t="n"/>
      <c r="H684" s="129" t="n"/>
      <c r="I684" s="38" t="n"/>
      <c r="J684" s="98">
        <f>IF(A684="","",IF(AND(F684&lt;&gt;"",G684&lt;&gt;""),MAX(0,G684-F684),N(H684)))</f>
        <v/>
      </c>
      <c r="K684" s="55">
        <f>IF(A684="","",ROUND(J684*MileRate,2))</f>
        <v/>
      </c>
      <c r="L684" s="51">
        <f>IF(A684="","",DATE(YEAR(A684),MONTH(A684),1))</f>
        <v/>
      </c>
    </row>
    <row r="685">
      <c r="A685" s="47" t="n"/>
      <c r="B685" s="38" t="n"/>
      <c r="C685" s="38" t="n"/>
      <c r="D685" s="38" t="n"/>
      <c r="E685" s="38" t="n"/>
      <c r="F685" s="128" t="n"/>
      <c r="G685" s="128" t="n"/>
      <c r="H685" s="129" t="n"/>
      <c r="I685" s="38" t="n"/>
      <c r="J685" s="98">
        <f>IF(A685="","",IF(AND(F685&lt;&gt;"",G685&lt;&gt;""),MAX(0,G685-F685),N(H685)))</f>
        <v/>
      </c>
      <c r="K685" s="55">
        <f>IF(A685="","",ROUND(J685*MileRate,2))</f>
        <v/>
      </c>
      <c r="L685" s="51">
        <f>IF(A685="","",DATE(YEAR(A685),MONTH(A685),1))</f>
        <v/>
      </c>
    </row>
    <row r="686">
      <c r="A686" s="47" t="n"/>
      <c r="B686" s="38" t="n"/>
      <c r="C686" s="38" t="n"/>
      <c r="D686" s="38" t="n"/>
      <c r="E686" s="38" t="n"/>
      <c r="F686" s="128" t="n"/>
      <c r="G686" s="128" t="n"/>
      <c r="H686" s="129" t="n"/>
      <c r="I686" s="38" t="n"/>
      <c r="J686" s="98">
        <f>IF(A686="","",IF(AND(F686&lt;&gt;"",G686&lt;&gt;""),MAX(0,G686-F686),N(H686)))</f>
        <v/>
      </c>
      <c r="K686" s="55">
        <f>IF(A686="","",ROUND(J686*MileRate,2))</f>
        <v/>
      </c>
      <c r="L686" s="51">
        <f>IF(A686="","",DATE(YEAR(A686),MONTH(A686),1))</f>
        <v/>
      </c>
    </row>
    <row r="687">
      <c r="A687" s="47" t="n"/>
      <c r="B687" s="38" t="n"/>
      <c r="C687" s="38" t="n"/>
      <c r="D687" s="38" t="n"/>
      <c r="E687" s="38" t="n"/>
      <c r="F687" s="128" t="n"/>
      <c r="G687" s="128" t="n"/>
      <c r="H687" s="129" t="n"/>
      <c r="I687" s="38" t="n"/>
      <c r="J687" s="98">
        <f>IF(A687="","",IF(AND(F687&lt;&gt;"",G687&lt;&gt;""),MAX(0,G687-F687),N(H687)))</f>
        <v/>
      </c>
      <c r="K687" s="55">
        <f>IF(A687="","",ROUND(J687*MileRate,2))</f>
        <v/>
      </c>
      <c r="L687" s="51">
        <f>IF(A687="","",DATE(YEAR(A687),MONTH(A687),1))</f>
        <v/>
      </c>
    </row>
    <row r="688">
      <c r="A688" s="47" t="n"/>
      <c r="B688" s="38" t="n"/>
      <c r="C688" s="38" t="n"/>
      <c r="D688" s="38" t="n"/>
      <c r="E688" s="38" t="n"/>
      <c r="F688" s="128" t="n"/>
      <c r="G688" s="128" t="n"/>
      <c r="H688" s="129" t="n"/>
      <c r="I688" s="38" t="n"/>
      <c r="J688" s="98">
        <f>IF(A688="","",IF(AND(F688&lt;&gt;"",G688&lt;&gt;""),MAX(0,G688-F688),N(H688)))</f>
        <v/>
      </c>
      <c r="K688" s="55">
        <f>IF(A688="","",ROUND(J688*MileRate,2))</f>
        <v/>
      </c>
      <c r="L688" s="51">
        <f>IF(A688="","",DATE(YEAR(A688),MONTH(A688),1))</f>
        <v/>
      </c>
    </row>
    <row r="689">
      <c r="A689" s="47" t="n"/>
      <c r="B689" s="38" t="n"/>
      <c r="C689" s="38" t="n"/>
      <c r="D689" s="38" t="n"/>
      <c r="E689" s="38" t="n"/>
      <c r="F689" s="128" t="n"/>
      <c r="G689" s="128" t="n"/>
      <c r="H689" s="129" t="n"/>
      <c r="I689" s="38" t="n"/>
      <c r="J689" s="98">
        <f>IF(A689="","",IF(AND(F689&lt;&gt;"",G689&lt;&gt;""),MAX(0,G689-F689),N(H689)))</f>
        <v/>
      </c>
      <c r="K689" s="55">
        <f>IF(A689="","",ROUND(J689*MileRate,2))</f>
        <v/>
      </c>
      <c r="L689" s="51">
        <f>IF(A689="","",DATE(YEAR(A689),MONTH(A689),1))</f>
        <v/>
      </c>
    </row>
    <row r="690">
      <c r="A690" s="47" t="n"/>
      <c r="B690" s="38" t="n"/>
      <c r="C690" s="38" t="n"/>
      <c r="D690" s="38" t="n"/>
      <c r="E690" s="38" t="n"/>
      <c r="F690" s="128" t="n"/>
      <c r="G690" s="128" t="n"/>
      <c r="H690" s="129" t="n"/>
      <c r="I690" s="38" t="n"/>
      <c r="J690" s="98">
        <f>IF(A690="","",IF(AND(F690&lt;&gt;"",G690&lt;&gt;""),MAX(0,G690-F690),N(H690)))</f>
        <v/>
      </c>
      <c r="K690" s="55">
        <f>IF(A690="","",ROUND(J690*MileRate,2))</f>
        <v/>
      </c>
      <c r="L690" s="51">
        <f>IF(A690="","",DATE(YEAR(A690),MONTH(A690),1))</f>
        <v/>
      </c>
    </row>
    <row r="691">
      <c r="A691" s="47" t="n"/>
      <c r="B691" s="38" t="n"/>
      <c r="C691" s="38" t="n"/>
      <c r="D691" s="38" t="n"/>
      <c r="E691" s="38" t="n"/>
      <c r="F691" s="128" t="n"/>
      <c r="G691" s="128" t="n"/>
      <c r="H691" s="129" t="n"/>
      <c r="I691" s="38" t="n"/>
      <c r="J691" s="98">
        <f>IF(A691="","",IF(AND(F691&lt;&gt;"",G691&lt;&gt;""),MAX(0,G691-F691),N(H691)))</f>
        <v/>
      </c>
      <c r="K691" s="55">
        <f>IF(A691="","",ROUND(J691*MileRate,2))</f>
        <v/>
      </c>
      <c r="L691" s="51">
        <f>IF(A691="","",DATE(YEAR(A691),MONTH(A691),1))</f>
        <v/>
      </c>
    </row>
    <row r="692">
      <c r="A692" s="47" t="n"/>
      <c r="B692" s="38" t="n"/>
      <c r="C692" s="38" t="n"/>
      <c r="D692" s="38" t="n"/>
      <c r="E692" s="38" t="n"/>
      <c r="F692" s="128" t="n"/>
      <c r="G692" s="128" t="n"/>
      <c r="H692" s="129" t="n"/>
      <c r="I692" s="38" t="n"/>
      <c r="J692" s="98">
        <f>IF(A692="","",IF(AND(F692&lt;&gt;"",G692&lt;&gt;""),MAX(0,G692-F692),N(H692)))</f>
        <v/>
      </c>
      <c r="K692" s="55">
        <f>IF(A692="","",ROUND(J692*MileRate,2))</f>
        <v/>
      </c>
      <c r="L692" s="51">
        <f>IF(A692="","",DATE(YEAR(A692),MONTH(A692),1))</f>
        <v/>
      </c>
    </row>
    <row r="693">
      <c r="A693" s="47" t="n"/>
      <c r="B693" s="38" t="n"/>
      <c r="C693" s="38" t="n"/>
      <c r="D693" s="38" t="n"/>
      <c r="E693" s="38" t="n"/>
      <c r="F693" s="128" t="n"/>
      <c r="G693" s="128" t="n"/>
      <c r="H693" s="129" t="n"/>
      <c r="I693" s="38" t="n"/>
      <c r="J693" s="98">
        <f>IF(A693="","",IF(AND(F693&lt;&gt;"",G693&lt;&gt;""),MAX(0,G693-F693),N(H693)))</f>
        <v/>
      </c>
      <c r="K693" s="55">
        <f>IF(A693="","",ROUND(J693*MileRate,2))</f>
        <v/>
      </c>
      <c r="L693" s="51">
        <f>IF(A693="","",DATE(YEAR(A693),MONTH(A693),1))</f>
        <v/>
      </c>
    </row>
    <row r="694">
      <c r="A694" s="47" t="n"/>
      <c r="B694" s="38" t="n"/>
      <c r="C694" s="38" t="n"/>
      <c r="D694" s="38" t="n"/>
      <c r="E694" s="38" t="n"/>
      <c r="F694" s="128" t="n"/>
      <c r="G694" s="128" t="n"/>
      <c r="H694" s="129" t="n"/>
      <c r="I694" s="38" t="n"/>
      <c r="J694" s="98">
        <f>IF(A694="","",IF(AND(F694&lt;&gt;"",G694&lt;&gt;""),MAX(0,G694-F694),N(H694)))</f>
        <v/>
      </c>
      <c r="K694" s="55">
        <f>IF(A694="","",ROUND(J694*MileRate,2))</f>
        <v/>
      </c>
      <c r="L694" s="51">
        <f>IF(A694="","",DATE(YEAR(A694),MONTH(A694),1))</f>
        <v/>
      </c>
    </row>
    <row r="695">
      <c r="A695" s="47" t="n"/>
      <c r="B695" s="38" t="n"/>
      <c r="C695" s="38" t="n"/>
      <c r="D695" s="38" t="n"/>
      <c r="E695" s="38" t="n"/>
      <c r="F695" s="128" t="n"/>
      <c r="G695" s="128" t="n"/>
      <c r="H695" s="129" t="n"/>
      <c r="I695" s="38" t="n"/>
      <c r="J695" s="98">
        <f>IF(A695="","",IF(AND(F695&lt;&gt;"",G695&lt;&gt;""),MAX(0,G695-F695),N(H695)))</f>
        <v/>
      </c>
      <c r="K695" s="55">
        <f>IF(A695="","",ROUND(J695*MileRate,2))</f>
        <v/>
      </c>
      <c r="L695" s="51">
        <f>IF(A695="","",DATE(YEAR(A695),MONTH(A695),1))</f>
        <v/>
      </c>
    </row>
    <row r="696">
      <c r="A696" s="47" t="n"/>
      <c r="B696" s="38" t="n"/>
      <c r="C696" s="38" t="n"/>
      <c r="D696" s="38" t="n"/>
      <c r="E696" s="38" t="n"/>
      <c r="F696" s="128" t="n"/>
      <c r="G696" s="128" t="n"/>
      <c r="H696" s="129" t="n"/>
      <c r="I696" s="38" t="n"/>
      <c r="J696" s="98">
        <f>IF(A696="","",IF(AND(F696&lt;&gt;"",G696&lt;&gt;""),MAX(0,G696-F696),N(H696)))</f>
        <v/>
      </c>
      <c r="K696" s="55">
        <f>IF(A696="","",ROUND(J696*MileRate,2))</f>
        <v/>
      </c>
      <c r="L696" s="51">
        <f>IF(A696="","",DATE(YEAR(A696),MONTH(A696),1))</f>
        <v/>
      </c>
    </row>
    <row r="697">
      <c r="A697" s="47" t="n"/>
      <c r="B697" s="38" t="n"/>
      <c r="C697" s="38" t="n"/>
      <c r="D697" s="38" t="n"/>
      <c r="E697" s="38" t="n"/>
      <c r="F697" s="128" t="n"/>
      <c r="G697" s="128" t="n"/>
      <c r="H697" s="129" t="n"/>
      <c r="I697" s="38" t="n"/>
      <c r="J697" s="98">
        <f>IF(A697="","",IF(AND(F697&lt;&gt;"",G697&lt;&gt;""),MAX(0,G697-F697),N(H697)))</f>
        <v/>
      </c>
      <c r="K697" s="55">
        <f>IF(A697="","",ROUND(J697*MileRate,2))</f>
        <v/>
      </c>
      <c r="L697" s="51">
        <f>IF(A697="","",DATE(YEAR(A697),MONTH(A697),1))</f>
        <v/>
      </c>
    </row>
    <row r="698">
      <c r="A698" s="47" t="n"/>
      <c r="B698" s="38" t="n"/>
      <c r="C698" s="38" t="n"/>
      <c r="D698" s="38" t="n"/>
      <c r="E698" s="38" t="n"/>
      <c r="F698" s="128" t="n"/>
      <c r="G698" s="128" t="n"/>
      <c r="H698" s="129" t="n"/>
      <c r="I698" s="38" t="n"/>
      <c r="J698" s="98">
        <f>IF(A698="","",IF(AND(F698&lt;&gt;"",G698&lt;&gt;""),MAX(0,G698-F698),N(H698)))</f>
        <v/>
      </c>
      <c r="K698" s="55">
        <f>IF(A698="","",ROUND(J698*MileRate,2))</f>
        <v/>
      </c>
      <c r="L698" s="51">
        <f>IF(A698="","",DATE(YEAR(A698),MONTH(A698),1))</f>
        <v/>
      </c>
    </row>
    <row r="699">
      <c r="A699" s="47" t="n"/>
      <c r="B699" s="38" t="n"/>
      <c r="C699" s="38" t="n"/>
      <c r="D699" s="38" t="n"/>
      <c r="E699" s="38" t="n"/>
      <c r="F699" s="128" t="n"/>
      <c r="G699" s="128" t="n"/>
      <c r="H699" s="129" t="n"/>
      <c r="I699" s="38" t="n"/>
      <c r="J699" s="98">
        <f>IF(A699="","",IF(AND(F699&lt;&gt;"",G699&lt;&gt;""),MAX(0,G699-F699),N(H699)))</f>
        <v/>
      </c>
      <c r="K699" s="55">
        <f>IF(A699="","",ROUND(J699*MileRate,2))</f>
        <v/>
      </c>
      <c r="L699" s="51">
        <f>IF(A699="","",DATE(YEAR(A699),MONTH(A699),1))</f>
        <v/>
      </c>
    </row>
    <row r="700">
      <c r="A700" s="47" t="n"/>
      <c r="B700" s="38" t="n"/>
      <c r="C700" s="38" t="n"/>
      <c r="D700" s="38" t="n"/>
      <c r="E700" s="38" t="n"/>
      <c r="F700" s="128" t="n"/>
      <c r="G700" s="128" t="n"/>
      <c r="H700" s="129" t="n"/>
      <c r="I700" s="38" t="n"/>
      <c r="J700" s="98">
        <f>IF(A700="","",IF(AND(F700&lt;&gt;"",G700&lt;&gt;""),MAX(0,G700-F700),N(H700)))</f>
        <v/>
      </c>
      <c r="K700" s="55">
        <f>IF(A700="","",ROUND(J700*MileRate,2))</f>
        <v/>
      </c>
      <c r="L700" s="51">
        <f>IF(A700="","",DATE(YEAR(A700),MONTH(A700),1))</f>
        <v/>
      </c>
    </row>
    <row r="701">
      <c r="A701" s="47" t="n"/>
      <c r="B701" s="38" t="n"/>
      <c r="C701" s="38" t="n"/>
      <c r="D701" s="38" t="n"/>
      <c r="E701" s="38" t="n"/>
      <c r="F701" s="128" t="n"/>
      <c r="G701" s="128" t="n"/>
      <c r="H701" s="129" t="n"/>
      <c r="I701" s="38" t="n"/>
      <c r="J701" s="98">
        <f>IF(A701="","",IF(AND(F701&lt;&gt;"",G701&lt;&gt;""),MAX(0,G701-F701),N(H701)))</f>
        <v/>
      </c>
      <c r="K701" s="55">
        <f>IF(A701="","",ROUND(J701*MileRate,2))</f>
        <v/>
      </c>
      <c r="L701" s="51">
        <f>IF(A701="","",DATE(YEAR(A701),MONTH(A701),1))</f>
        <v/>
      </c>
    </row>
    <row r="702">
      <c r="A702" s="47" t="n"/>
      <c r="B702" s="38" t="n"/>
      <c r="C702" s="38" t="n"/>
      <c r="D702" s="38" t="n"/>
      <c r="E702" s="38" t="n"/>
      <c r="F702" s="128" t="n"/>
      <c r="G702" s="128" t="n"/>
      <c r="H702" s="129" t="n"/>
      <c r="I702" s="38" t="n"/>
      <c r="J702" s="98">
        <f>IF(A702="","",IF(AND(F702&lt;&gt;"",G702&lt;&gt;""),MAX(0,G702-F702),N(H702)))</f>
        <v/>
      </c>
      <c r="K702" s="55">
        <f>IF(A702="","",ROUND(J702*MileRate,2))</f>
        <v/>
      </c>
      <c r="L702" s="51">
        <f>IF(A702="","",DATE(YEAR(A702),MONTH(A702),1))</f>
        <v/>
      </c>
    </row>
    <row r="703">
      <c r="A703" s="47" t="n"/>
      <c r="B703" s="38" t="n"/>
      <c r="C703" s="38" t="n"/>
      <c r="D703" s="38" t="n"/>
      <c r="E703" s="38" t="n"/>
      <c r="F703" s="128" t="n"/>
      <c r="G703" s="128" t="n"/>
      <c r="H703" s="129" t="n"/>
      <c r="I703" s="38" t="n"/>
      <c r="J703" s="98">
        <f>IF(A703="","",IF(AND(F703&lt;&gt;"",G703&lt;&gt;""),MAX(0,G703-F703),N(H703)))</f>
        <v/>
      </c>
      <c r="K703" s="55">
        <f>IF(A703="","",ROUND(J703*MileRate,2))</f>
        <v/>
      </c>
      <c r="L703" s="51">
        <f>IF(A703="","",DATE(YEAR(A703),MONTH(A703),1))</f>
        <v/>
      </c>
    </row>
    <row r="704">
      <c r="A704" s="47" t="n"/>
      <c r="B704" s="38" t="n"/>
      <c r="C704" s="38" t="n"/>
      <c r="D704" s="38" t="n"/>
      <c r="E704" s="38" t="n"/>
      <c r="F704" s="128" t="n"/>
      <c r="G704" s="128" t="n"/>
      <c r="H704" s="129" t="n"/>
      <c r="I704" s="38" t="n"/>
      <c r="J704" s="98">
        <f>IF(A704="","",IF(AND(F704&lt;&gt;"",G704&lt;&gt;""),MAX(0,G704-F704),N(H704)))</f>
        <v/>
      </c>
      <c r="K704" s="55">
        <f>IF(A704="","",ROUND(J704*MileRate,2))</f>
        <v/>
      </c>
      <c r="L704" s="51">
        <f>IF(A704="","",DATE(YEAR(A704),MONTH(A704),1))</f>
        <v/>
      </c>
    </row>
    <row r="705">
      <c r="A705" s="47" t="n"/>
      <c r="B705" s="38" t="n"/>
      <c r="C705" s="38" t="n"/>
      <c r="D705" s="38" t="n"/>
      <c r="E705" s="38" t="n"/>
      <c r="F705" s="128" t="n"/>
      <c r="G705" s="128" t="n"/>
      <c r="H705" s="129" t="n"/>
      <c r="I705" s="38" t="n"/>
      <c r="J705" s="98">
        <f>IF(A705="","",IF(AND(F705&lt;&gt;"",G705&lt;&gt;""),MAX(0,G705-F705),N(H705)))</f>
        <v/>
      </c>
      <c r="K705" s="55">
        <f>IF(A705="","",ROUND(J705*MileRate,2))</f>
        <v/>
      </c>
      <c r="L705" s="51">
        <f>IF(A705="","",DATE(YEAR(A705),MONTH(A705),1))</f>
        <v/>
      </c>
    </row>
    <row r="706">
      <c r="A706" s="47" t="n"/>
      <c r="B706" s="38" t="n"/>
      <c r="C706" s="38" t="n"/>
      <c r="D706" s="38" t="n"/>
      <c r="E706" s="38" t="n"/>
      <c r="F706" s="128" t="n"/>
      <c r="G706" s="128" t="n"/>
      <c r="H706" s="129" t="n"/>
      <c r="I706" s="38" t="n"/>
      <c r="J706" s="98">
        <f>IF(A706="","",IF(AND(F706&lt;&gt;"",G706&lt;&gt;""),MAX(0,G706-F706),N(H706)))</f>
        <v/>
      </c>
      <c r="K706" s="55">
        <f>IF(A706="","",ROUND(J706*MileRate,2))</f>
        <v/>
      </c>
      <c r="L706" s="51">
        <f>IF(A706="","",DATE(YEAR(A706),MONTH(A706),1))</f>
        <v/>
      </c>
    </row>
    <row r="707">
      <c r="A707" s="47" t="n"/>
      <c r="B707" s="38" t="n"/>
      <c r="C707" s="38" t="n"/>
      <c r="D707" s="38" t="n"/>
      <c r="E707" s="38" t="n"/>
      <c r="F707" s="128" t="n"/>
      <c r="G707" s="128" t="n"/>
      <c r="H707" s="129" t="n"/>
      <c r="I707" s="38" t="n"/>
      <c r="J707" s="98">
        <f>IF(A707="","",IF(AND(F707&lt;&gt;"",G707&lt;&gt;""),MAX(0,G707-F707),N(H707)))</f>
        <v/>
      </c>
      <c r="K707" s="55">
        <f>IF(A707="","",ROUND(J707*MileRate,2))</f>
        <v/>
      </c>
      <c r="L707" s="51">
        <f>IF(A707="","",DATE(YEAR(A707),MONTH(A707),1))</f>
        <v/>
      </c>
    </row>
    <row r="708">
      <c r="A708" s="47" t="n"/>
      <c r="B708" s="38" t="n"/>
      <c r="C708" s="38" t="n"/>
      <c r="D708" s="38" t="n"/>
      <c r="E708" s="38" t="n"/>
      <c r="F708" s="128" t="n"/>
      <c r="G708" s="128" t="n"/>
      <c r="H708" s="129" t="n"/>
      <c r="I708" s="38" t="n"/>
      <c r="J708" s="98">
        <f>IF(A708="","",IF(AND(F708&lt;&gt;"",G708&lt;&gt;""),MAX(0,G708-F708),N(H708)))</f>
        <v/>
      </c>
      <c r="K708" s="55">
        <f>IF(A708="","",ROUND(J708*MileRate,2))</f>
        <v/>
      </c>
      <c r="L708" s="51">
        <f>IF(A708="","",DATE(YEAR(A708),MONTH(A708),1))</f>
        <v/>
      </c>
    </row>
    <row r="709">
      <c r="A709" s="47" t="n"/>
      <c r="B709" s="38" t="n"/>
      <c r="C709" s="38" t="n"/>
      <c r="D709" s="38" t="n"/>
      <c r="E709" s="38" t="n"/>
      <c r="F709" s="128" t="n"/>
      <c r="G709" s="128" t="n"/>
      <c r="H709" s="129" t="n"/>
      <c r="I709" s="38" t="n"/>
      <c r="J709" s="98">
        <f>IF(A709="","",IF(AND(F709&lt;&gt;"",G709&lt;&gt;""),MAX(0,G709-F709),N(H709)))</f>
        <v/>
      </c>
      <c r="K709" s="55">
        <f>IF(A709="","",ROUND(J709*MileRate,2))</f>
        <v/>
      </c>
      <c r="L709" s="51">
        <f>IF(A709="","",DATE(YEAR(A709),MONTH(A709),1))</f>
        <v/>
      </c>
    </row>
    <row r="710">
      <c r="A710" s="47" t="n"/>
      <c r="B710" s="38" t="n"/>
      <c r="C710" s="38" t="n"/>
      <c r="D710" s="38" t="n"/>
      <c r="E710" s="38" t="n"/>
      <c r="F710" s="128" t="n"/>
      <c r="G710" s="128" t="n"/>
      <c r="H710" s="129" t="n"/>
      <c r="I710" s="38" t="n"/>
      <c r="J710" s="98">
        <f>IF(A710="","",IF(AND(F710&lt;&gt;"",G710&lt;&gt;""),MAX(0,G710-F710),N(H710)))</f>
        <v/>
      </c>
      <c r="K710" s="55">
        <f>IF(A710="","",ROUND(J710*MileRate,2))</f>
        <v/>
      </c>
      <c r="L710" s="51">
        <f>IF(A710="","",DATE(YEAR(A710),MONTH(A710),1))</f>
        <v/>
      </c>
    </row>
    <row r="711">
      <c r="A711" s="47" t="n"/>
      <c r="B711" s="38" t="n"/>
      <c r="C711" s="38" t="n"/>
      <c r="D711" s="38" t="n"/>
      <c r="E711" s="38" t="n"/>
      <c r="F711" s="128" t="n"/>
      <c r="G711" s="128" t="n"/>
      <c r="H711" s="129" t="n"/>
      <c r="I711" s="38" t="n"/>
      <c r="J711" s="98">
        <f>IF(A711="","",IF(AND(F711&lt;&gt;"",G711&lt;&gt;""),MAX(0,G711-F711),N(H711)))</f>
        <v/>
      </c>
      <c r="K711" s="55">
        <f>IF(A711="","",ROUND(J711*MileRate,2))</f>
        <v/>
      </c>
      <c r="L711" s="51">
        <f>IF(A711="","",DATE(YEAR(A711),MONTH(A711),1))</f>
        <v/>
      </c>
    </row>
    <row r="712">
      <c r="A712" s="47" t="n"/>
      <c r="B712" s="38" t="n"/>
      <c r="C712" s="38" t="n"/>
      <c r="D712" s="38" t="n"/>
      <c r="E712" s="38" t="n"/>
      <c r="F712" s="128" t="n"/>
      <c r="G712" s="128" t="n"/>
      <c r="H712" s="129" t="n"/>
      <c r="I712" s="38" t="n"/>
      <c r="J712" s="98">
        <f>IF(A712="","",IF(AND(F712&lt;&gt;"",G712&lt;&gt;""),MAX(0,G712-F712),N(H712)))</f>
        <v/>
      </c>
      <c r="K712" s="55">
        <f>IF(A712="","",ROUND(J712*MileRate,2))</f>
        <v/>
      </c>
      <c r="L712" s="51">
        <f>IF(A712="","",DATE(YEAR(A712),MONTH(A712),1))</f>
        <v/>
      </c>
    </row>
    <row r="713">
      <c r="A713" s="47" t="n"/>
      <c r="B713" s="38" t="n"/>
      <c r="C713" s="38" t="n"/>
      <c r="D713" s="38" t="n"/>
      <c r="E713" s="38" t="n"/>
      <c r="F713" s="128" t="n"/>
      <c r="G713" s="128" t="n"/>
      <c r="H713" s="129" t="n"/>
      <c r="I713" s="38" t="n"/>
      <c r="J713" s="98">
        <f>IF(A713="","",IF(AND(F713&lt;&gt;"",G713&lt;&gt;""),MAX(0,G713-F713),N(H713)))</f>
        <v/>
      </c>
      <c r="K713" s="55">
        <f>IF(A713="","",ROUND(J713*MileRate,2))</f>
        <v/>
      </c>
      <c r="L713" s="51">
        <f>IF(A713="","",DATE(YEAR(A713),MONTH(A713),1))</f>
        <v/>
      </c>
    </row>
    <row r="714">
      <c r="A714" s="47" t="n"/>
      <c r="B714" s="38" t="n"/>
      <c r="C714" s="38" t="n"/>
      <c r="D714" s="38" t="n"/>
      <c r="E714" s="38" t="n"/>
      <c r="F714" s="128" t="n"/>
      <c r="G714" s="128" t="n"/>
      <c r="H714" s="129" t="n"/>
      <c r="I714" s="38" t="n"/>
      <c r="J714" s="98">
        <f>IF(A714="","",IF(AND(F714&lt;&gt;"",G714&lt;&gt;""),MAX(0,G714-F714),N(H714)))</f>
        <v/>
      </c>
      <c r="K714" s="55">
        <f>IF(A714="","",ROUND(J714*MileRate,2))</f>
        <v/>
      </c>
      <c r="L714" s="51">
        <f>IF(A714="","",DATE(YEAR(A714),MONTH(A714),1))</f>
        <v/>
      </c>
    </row>
    <row r="715">
      <c r="A715" s="47" t="n"/>
      <c r="B715" s="38" t="n"/>
      <c r="C715" s="38" t="n"/>
      <c r="D715" s="38" t="n"/>
      <c r="E715" s="38" t="n"/>
      <c r="F715" s="128" t="n"/>
      <c r="G715" s="128" t="n"/>
      <c r="H715" s="129" t="n"/>
      <c r="I715" s="38" t="n"/>
      <c r="J715" s="98">
        <f>IF(A715="","",IF(AND(F715&lt;&gt;"",G715&lt;&gt;""),MAX(0,G715-F715),N(H715)))</f>
        <v/>
      </c>
      <c r="K715" s="55">
        <f>IF(A715="","",ROUND(J715*MileRate,2))</f>
        <v/>
      </c>
      <c r="L715" s="51">
        <f>IF(A715="","",DATE(YEAR(A715),MONTH(A715),1))</f>
        <v/>
      </c>
    </row>
    <row r="716">
      <c r="A716" s="47" t="n"/>
      <c r="B716" s="38" t="n"/>
      <c r="C716" s="38" t="n"/>
      <c r="D716" s="38" t="n"/>
      <c r="E716" s="38" t="n"/>
      <c r="F716" s="128" t="n"/>
      <c r="G716" s="128" t="n"/>
      <c r="H716" s="129" t="n"/>
      <c r="I716" s="38" t="n"/>
      <c r="J716" s="98">
        <f>IF(A716="","",IF(AND(F716&lt;&gt;"",G716&lt;&gt;""),MAX(0,G716-F716),N(H716)))</f>
        <v/>
      </c>
      <c r="K716" s="55">
        <f>IF(A716="","",ROUND(J716*MileRate,2))</f>
        <v/>
      </c>
      <c r="L716" s="51">
        <f>IF(A716="","",DATE(YEAR(A716),MONTH(A716),1))</f>
        <v/>
      </c>
    </row>
    <row r="717">
      <c r="A717" s="47" t="n"/>
      <c r="B717" s="38" t="n"/>
      <c r="C717" s="38" t="n"/>
      <c r="D717" s="38" t="n"/>
      <c r="E717" s="38" t="n"/>
      <c r="F717" s="128" t="n"/>
      <c r="G717" s="128" t="n"/>
      <c r="H717" s="129" t="n"/>
      <c r="I717" s="38" t="n"/>
      <c r="J717" s="98">
        <f>IF(A717="","",IF(AND(F717&lt;&gt;"",G717&lt;&gt;""),MAX(0,G717-F717),N(H717)))</f>
        <v/>
      </c>
      <c r="K717" s="55">
        <f>IF(A717="","",ROUND(J717*MileRate,2))</f>
        <v/>
      </c>
      <c r="L717" s="51">
        <f>IF(A717="","",DATE(YEAR(A717),MONTH(A717),1))</f>
        <v/>
      </c>
    </row>
    <row r="718">
      <c r="A718" s="47" t="n"/>
      <c r="B718" s="38" t="n"/>
      <c r="C718" s="38" t="n"/>
      <c r="D718" s="38" t="n"/>
      <c r="E718" s="38" t="n"/>
      <c r="F718" s="128" t="n"/>
      <c r="G718" s="128" t="n"/>
      <c r="H718" s="129" t="n"/>
      <c r="I718" s="38" t="n"/>
      <c r="J718" s="98">
        <f>IF(A718="","",IF(AND(F718&lt;&gt;"",G718&lt;&gt;""),MAX(0,G718-F718),N(H718)))</f>
        <v/>
      </c>
      <c r="K718" s="55">
        <f>IF(A718="","",ROUND(J718*MileRate,2))</f>
        <v/>
      </c>
      <c r="L718" s="51">
        <f>IF(A718="","",DATE(YEAR(A718),MONTH(A718),1))</f>
        <v/>
      </c>
    </row>
    <row r="719">
      <c r="A719" s="47" t="n"/>
      <c r="B719" s="38" t="n"/>
      <c r="C719" s="38" t="n"/>
      <c r="D719" s="38" t="n"/>
      <c r="E719" s="38" t="n"/>
      <c r="F719" s="128" t="n"/>
      <c r="G719" s="128" t="n"/>
      <c r="H719" s="129" t="n"/>
      <c r="I719" s="38" t="n"/>
      <c r="J719" s="98">
        <f>IF(A719="","",IF(AND(F719&lt;&gt;"",G719&lt;&gt;""),MAX(0,G719-F719),N(H719)))</f>
        <v/>
      </c>
      <c r="K719" s="55">
        <f>IF(A719="","",ROUND(J719*MileRate,2))</f>
        <v/>
      </c>
      <c r="L719" s="51">
        <f>IF(A719="","",DATE(YEAR(A719),MONTH(A719),1))</f>
        <v/>
      </c>
    </row>
    <row r="720">
      <c r="A720" s="47" t="n"/>
      <c r="B720" s="38" t="n"/>
      <c r="C720" s="38" t="n"/>
      <c r="D720" s="38" t="n"/>
      <c r="E720" s="38" t="n"/>
      <c r="F720" s="128" t="n"/>
      <c r="G720" s="128" t="n"/>
      <c r="H720" s="129" t="n"/>
      <c r="I720" s="38" t="n"/>
      <c r="J720" s="98">
        <f>IF(A720="","",IF(AND(F720&lt;&gt;"",G720&lt;&gt;""),MAX(0,G720-F720),N(H720)))</f>
        <v/>
      </c>
      <c r="K720" s="55">
        <f>IF(A720="","",ROUND(J720*MileRate,2))</f>
        <v/>
      </c>
      <c r="L720" s="51">
        <f>IF(A720="","",DATE(YEAR(A720),MONTH(A720),1))</f>
        <v/>
      </c>
    </row>
    <row r="721">
      <c r="A721" s="47" t="n"/>
      <c r="B721" s="38" t="n"/>
      <c r="C721" s="38" t="n"/>
      <c r="D721" s="38" t="n"/>
      <c r="E721" s="38" t="n"/>
      <c r="F721" s="128" t="n"/>
      <c r="G721" s="128" t="n"/>
      <c r="H721" s="129" t="n"/>
      <c r="I721" s="38" t="n"/>
      <c r="J721" s="98">
        <f>IF(A721="","",IF(AND(F721&lt;&gt;"",G721&lt;&gt;""),MAX(0,G721-F721),N(H721)))</f>
        <v/>
      </c>
      <c r="K721" s="55">
        <f>IF(A721="","",ROUND(J721*MileRate,2))</f>
        <v/>
      </c>
      <c r="L721" s="51">
        <f>IF(A721="","",DATE(YEAR(A721),MONTH(A721),1))</f>
        <v/>
      </c>
    </row>
    <row r="722">
      <c r="A722" s="47" t="n"/>
      <c r="B722" s="38" t="n"/>
      <c r="C722" s="38" t="n"/>
      <c r="D722" s="38" t="n"/>
      <c r="E722" s="38" t="n"/>
      <c r="F722" s="128" t="n"/>
      <c r="G722" s="128" t="n"/>
      <c r="H722" s="129" t="n"/>
      <c r="I722" s="38" t="n"/>
      <c r="J722" s="98">
        <f>IF(A722="","",IF(AND(F722&lt;&gt;"",G722&lt;&gt;""),MAX(0,G722-F722),N(H722)))</f>
        <v/>
      </c>
      <c r="K722" s="55">
        <f>IF(A722="","",ROUND(J722*MileRate,2))</f>
        <v/>
      </c>
      <c r="L722" s="51">
        <f>IF(A722="","",DATE(YEAR(A722),MONTH(A722),1))</f>
        <v/>
      </c>
    </row>
    <row r="723">
      <c r="A723" s="47" t="n"/>
      <c r="B723" s="38" t="n"/>
      <c r="C723" s="38" t="n"/>
      <c r="D723" s="38" t="n"/>
      <c r="E723" s="38" t="n"/>
      <c r="F723" s="128" t="n"/>
      <c r="G723" s="128" t="n"/>
      <c r="H723" s="129" t="n"/>
      <c r="I723" s="38" t="n"/>
      <c r="J723" s="98">
        <f>IF(A723="","",IF(AND(F723&lt;&gt;"",G723&lt;&gt;""),MAX(0,G723-F723),N(H723)))</f>
        <v/>
      </c>
      <c r="K723" s="55">
        <f>IF(A723="","",ROUND(J723*MileRate,2))</f>
        <v/>
      </c>
      <c r="L723" s="51">
        <f>IF(A723="","",DATE(YEAR(A723),MONTH(A723),1))</f>
        <v/>
      </c>
    </row>
    <row r="724">
      <c r="A724" s="47" t="n"/>
      <c r="B724" s="38" t="n"/>
      <c r="C724" s="38" t="n"/>
      <c r="D724" s="38" t="n"/>
      <c r="E724" s="38" t="n"/>
      <c r="F724" s="128" t="n"/>
      <c r="G724" s="128" t="n"/>
      <c r="H724" s="129" t="n"/>
      <c r="I724" s="38" t="n"/>
      <c r="J724" s="98">
        <f>IF(A724="","",IF(AND(F724&lt;&gt;"",G724&lt;&gt;""),MAX(0,G724-F724),N(H724)))</f>
        <v/>
      </c>
      <c r="K724" s="55">
        <f>IF(A724="","",ROUND(J724*MileRate,2))</f>
        <v/>
      </c>
      <c r="L724" s="51">
        <f>IF(A724="","",DATE(YEAR(A724),MONTH(A724),1))</f>
        <v/>
      </c>
    </row>
    <row r="725">
      <c r="A725" s="47" t="n"/>
      <c r="B725" s="38" t="n"/>
      <c r="C725" s="38" t="n"/>
      <c r="D725" s="38" t="n"/>
      <c r="E725" s="38" t="n"/>
      <c r="F725" s="128" t="n"/>
      <c r="G725" s="128" t="n"/>
      <c r="H725" s="129" t="n"/>
      <c r="I725" s="38" t="n"/>
      <c r="J725" s="98">
        <f>IF(A725="","",IF(AND(F725&lt;&gt;"",G725&lt;&gt;""),MAX(0,G725-F725),N(H725)))</f>
        <v/>
      </c>
      <c r="K725" s="55">
        <f>IF(A725="","",ROUND(J725*MileRate,2))</f>
        <v/>
      </c>
      <c r="L725" s="51">
        <f>IF(A725="","",DATE(YEAR(A725),MONTH(A725),1))</f>
        <v/>
      </c>
    </row>
    <row r="726">
      <c r="A726" s="47" t="n"/>
      <c r="B726" s="38" t="n"/>
      <c r="C726" s="38" t="n"/>
      <c r="D726" s="38" t="n"/>
      <c r="E726" s="38" t="n"/>
      <c r="F726" s="128" t="n"/>
      <c r="G726" s="128" t="n"/>
      <c r="H726" s="129" t="n"/>
      <c r="I726" s="38" t="n"/>
      <c r="J726" s="98">
        <f>IF(A726="","",IF(AND(F726&lt;&gt;"",G726&lt;&gt;""),MAX(0,G726-F726),N(H726)))</f>
        <v/>
      </c>
      <c r="K726" s="55">
        <f>IF(A726="","",ROUND(J726*MileRate,2))</f>
        <v/>
      </c>
      <c r="L726" s="51">
        <f>IF(A726="","",DATE(YEAR(A726),MONTH(A726),1))</f>
        <v/>
      </c>
    </row>
    <row r="727">
      <c r="A727" s="47" t="n"/>
      <c r="B727" s="38" t="n"/>
      <c r="C727" s="38" t="n"/>
      <c r="D727" s="38" t="n"/>
      <c r="E727" s="38" t="n"/>
      <c r="F727" s="128" t="n"/>
      <c r="G727" s="128" t="n"/>
      <c r="H727" s="129" t="n"/>
      <c r="I727" s="38" t="n"/>
      <c r="J727" s="98">
        <f>IF(A727="","",IF(AND(F727&lt;&gt;"",G727&lt;&gt;""),MAX(0,G727-F727),N(H727)))</f>
        <v/>
      </c>
      <c r="K727" s="55">
        <f>IF(A727="","",ROUND(J727*MileRate,2))</f>
        <v/>
      </c>
      <c r="L727" s="51">
        <f>IF(A727="","",DATE(YEAR(A727),MONTH(A727),1))</f>
        <v/>
      </c>
    </row>
    <row r="728">
      <c r="A728" s="47" t="n"/>
      <c r="B728" s="38" t="n"/>
      <c r="C728" s="38" t="n"/>
      <c r="D728" s="38" t="n"/>
      <c r="E728" s="38" t="n"/>
      <c r="F728" s="128" t="n"/>
      <c r="G728" s="128" t="n"/>
      <c r="H728" s="129" t="n"/>
      <c r="I728" s="38" t="n"/>
      <c r="J728" s="98">
        <f>IF(A728="","",IF(AND(F728&lt;&gt;"",G728&lt;&gt;""),MAX(0,G728-F728),N(H728)))</f>
        <v/>
      </c>
      <c r="K728" s="55">
        <f>IF(A728="","",ROUND(J728*MileRate,2))</f>
        <v/>
      </c>
      <c r="L728" s="51">
        <f>IF(A728="","",DATE(YEAR(A728),MONTH(A728),1))</f>
        <v/>
      </c>
    </row>
    <row r="729">
      <c r="A729" s="47" t="n"/>
      <c r="B729" s="38" t="n"/>
      <c r="C729" s="38" t="n"/>
      <c r="D729" s="38" t="n"/>
      <c r="E729" s="38" t="n"/>
      <c r="F729" s="128" t="n"/>
      <c r="G729" s="128" t="n"/>
      <c r="H729" s="129" t="n"/>
      <c r="I729" s="38" t="n"/>
      <c r="J729" s="98">
        <f>IF(A729="","",IF(AND(F729&lt;&gt;"",G729&lt;&gt;""),MAX(0,G729-F729),N(H729)))</f>
        <v/>
      </c>
      <c r="K729" s="55">
        <f>IF(A729="","",ROUND(J729*MileRate,2))</f>
        <v/>
      </c>
      <c r="L729" s="51">
        <f>IF(A729="","",DATE(YEAR(A729),MONTH(A729),1))</f>
        <v/>
      </c>
    </row>
    <row r="730">
      <c r="A730" s="47" t="n"/>
      <c r="B730" s="38" t="n"/>
      <c r="C730" s="38" t="n"/>
      <c r="D730" s="38" t="n"/>
      <c r="E730" s="38" t="n"/>
      <c r="F730" s="128" t="n"/>
      <c r="G730" s="128" t="n"/>
      <c r="H730" s="129" t="n"/>
      <c r="I730" s="38" t="n"/>
      <c r="J730" s="98">
        <f>IF(A730="","",IF(AND(F730&lt;&gt;"",G730&lt;&gt;""),MAX(0,G730-F730),N(H730)))</f>
        <v/>
      </c>
      <c r="K730" s="55">
        <f>IF(A730="","",ROUND(J730*MileRate,2))</f>
        <v/>
      </c>
      <c r="L730" s="51">
        <f>IF(A730="","",DATE(YEAR(A730),MONTH(A730),1))</f>
        <v/>
      </c>
    </row>
    <row r="731">
      <c r="A731" s="47" t="n"/>
      <c r="B731" s="38" t="n"/>
      <c r="C731" s="38" t="n"/>
      <c r="D731" s="38" t="n"/>
      <c r="E731" s="38" t="n"/>
      <c r="F731" s="128" t="n"/>
      <c r="G731" s="128" t="n"/>
      <c r="H731" s="129" t="n"/>
      <c r="I731" s="38" t="n"/>
      <c r="J731" s="98">
        <f>IF(A731="","",IF(AND(F731&lt;&gt;"",G731&lt;&gt;""),MAX(0,G731-F731),N(H731)))</f>
        <v/>
      </c>
      <c r="K731" s="55">
        <f>IF(A731="","",ROUND(J731*MileRate,2))</f>
        <v/>
      </c>
      <c r="L731" s="51">
        <f>IF(A731="","",DATE(YEAR(A731),MONTH(A731),1))</f>
        <v/>
      </c>
    </row>
    <row r="732">
      <c r="A732" s="47" t="n"/>
      <c r="B732" s="38" t="n"/>
      <c r="C732" s="38" t="n"/>
      <c r="D732" s="38" t="n"/>
      <c r="E732" s="38" t="n"/>
      <c r="F732" s="128" t="n"/>
      <c r="G732" s="128" t="n"/>
      <c r="H732" s="129" t="n"/>
      <c r="I732" s="38" t="n"/>
      <c r="J732" s="98">
        <f>IF(A732="","",IF(AND(F732&lt;&gt;"",G732&lt;&gt;""),MAX(0,G732-F732),N(H732)))</f>
        <v/>
      </c>
      <c r="K732" s="55">
        <f>IF(A732="","",ROUND(J732*MileRate,2))</f>
        <v/>
      </c>
      <c r="L732" s="51">
        <f>IF(A732="","",DATE(YEAR(A732),MONTH(A732),1))</f>
        <v/>
      </c>
    </row>
    <row r="733">
      <c r="A733" s="47" t="n"/>
      <c r="B733" s="38" t="n"/>
      <c r="C733" s="38" t="n"/>
      <c r="D733" s="38" t="n"/>
      <c r="E733" s="38" t="n"/>
      <c r="F733" s="128" t="n"/>
      <c r="G733" s="128" t="n"/>
      <c r="H733" s="129" t="n"/>
      <c r="I733" s="38" t="n"/>
      <c r="J733" s="98">
        <f>IF(A733="","",IF(AND(F733&lt;&gt;"",G733&lt;&gt;""),MAX(0,G733-F733),N(H733)))</f>
        <v/>
      </c>
      <c r="K733" s="55">
        <f>IF(A733="","",ROUND(J733*MileRate,2))</f>
        <v/>
      </c>
      <c r="L733" s="51">
        <f>IF(A733="","",DATE(YEAR(A733),MONTH(A733),1))</f>
        <v/>
      </c>
    </row>
    <row r="734">
      <c r="A734" s="47" t="n"/>
      <c r="B734" s="38" t="n"/>
      <c r="C734" s="38" t="n"/>
      <c r="D734" s="38" t="n"/>
      <c r="E734" s="38" t="n"/>
      <c r="F734" s="128" t="n"/>
      <c r="G734" s="128" t="n"/>
      <c r="H734" s="129" t="n"/>
      <c r="I734" s="38" t="n"/>
      <c r="J734" s="98">
        <f>IF(A734="","",IF(AND(F734&lt;&gt;"",G734&lt;&gt;""),MAX(0,G734-F734),N(H734)))</f>
        <v/>
      </c>
      <c r="K734" s="55">
        <f>IF(A734="","",ROUND(J734*MileRate,2))</f>
        <v/>
      </c>
      <c r="L734" s="51">
        <f>IF(A734="","",DATE(YEAR(A734),MONTH(A734),1))</f>
        <v/>
      </c>
    </row>
    <row r="735">
      <c r="A735" s="47" t="n"/>
      <c r="B735" s="38" t="n"/>
      <c r="C735" s="38" t="n"/>
      <c r="D735" s="38" t="n"/>
      <c r="E735" s="38" t="n"/>
      <c r="F735" s="128" t="n"/>
      <c r="G735" s="128" t="n"/>
      <c r="H735" s="129" t="n"/>
      <c r="I735" s="38" t="n"/>
      <c r="J735" s="98">
        <f>IF(A735="","",IF(AND(F735&lt;&gt;"",G735&lt;&gt;""),MAX(0,G735-F735),N(H735)))</f>
        <v/>
      </c>
      <c r="K735" s="55">
        <f>IF(A735="","",ROUND(J735*MileRate,2))</f>
        <v/>
      </c>
      <c r="L735" s="51">
        <f>IF(A735="","",DATE(YEAR(A735),MONTH(A735),1))</f>
        <v/>
      </c>
    </row>
    <row r="736">
      <c r="A736" s="47" t="n"/>
      <c r="B736" s="38" t="n"/>
      <c r="C736" s="38" t="n"/>
      <c r="D736" s="38" t="n"/>
      <c r="E736" s="38" t="n"/>
      <c r="F736" s="128" t="n"/>
      <c r="G736" s="128" t="n"/>
      <c r="H736" s="129" t="n"/>
      <c r="I736" s="38" t="n"/>
      <c r="J736" s="98">
        <f>IF(A736="","",IF(AND(F736&lt;&gt;"",G736&lt;&gt;""),MAX(0,G736-F736),N(H736)))</f>
        <v/>
      </c>
      <c r="K736" s="55">
        <f>IF(A736="","",ROUND(J736*MileRate,2))</f>
        <v/>
      </c>
      <c r="L736" s="51">
        <f>IF(A736="","",DATE(YEAR(A736),MONTH(A736),1))</f>
        <v/>
      </c>
    </row>
    <row r="737">
      <c r="A737" s="47" t="n"/>
      <c r="B737" s="38" t="n"/>
      <c r="C737" s="38" t="n"/>
      <c r="D737" s="38" t="n"/>
      <c r="E737" s="38" t="n"/>
      <c r="F737" s="128" t="n"/>
      <c r="G737" s="128" t="n"/>
      <c r="H737" s="129" t="n"/>
      <c r="I737" s="38" t="n"/>
      <c r="J737" s="98">
        <f>IF(A737="","",IF(AND(F737&lt;&gt;"",G737&lt;&gt;""),MAX(0,G737-F737),N(H737)))</f>
        <v/>
      </c>
      <c r="K737" s="55">
        <f>IF(A737="","",ROUND(J737*MileRate,2))</f>
        <v/>
      </c>
      <c r="L737" s="51">
        <f>IF(A737="","",DATE(YEAR(A737),MONTH(A737),1))</f>
        <v/>
      </c>
    </row>
    <row r="738">
      <c r="A738" s="47" t="n"/>
      <c r="B738" s="38" t="n"/>
      <c r="C738" s="38" t="n"/>
      <c r="D738" s="38" t="n"/>
      <c r="E738" s="38" t="n"/>
      <c r="F738" s="128" t="n"/>
      <c r="G738" s="128" t="n"/>
      <c r="H738" s="129" t="n"/>
      <c r="I738" s="38" t="n"/>
      <c r="J738" s="98">
        <f>IF(A738="","",IF(AND(F738&lt;&gt;"",G738&lt;&gt;""),MAX(0,G738-F738),N(H738)))</f>
        <v/>
      </c>
      <c r="K738" s="55">
        <f>IF(A738="","",ROUND(J738*MileRate,2))</f>
        <v/>
      </c>
      <c r="L738" s="51">
        <f>IF(A738="","",DATE(YEAR(A738),MONTH(A738),1))</f>
        <v/>
      </c>
    </row>
    <row r="739">
      <c r="A739" s="47" t="n"/>
      <c r="B739" s="38" t="n"/>
      <c r="C739" s="38" t="n"/>
      <c r="D739" s="38" t="n"/>
      <c r="E739" s="38" t="n"/>
      <c r="F739" s="128" t="n"/>
      <c r="G739" s="128" t="n"/>
      <c r="H739" s="129" t="n"/>
      <c r="I739" s="38" t="n"/>
      <c r="J739" s="98">
        <f>IF(A739="","",IF(AND(F739&lt;&gt;"",G739&lt;&gt;""),MAX(0,G739-F739),N(H739)))</f>
        <v/>
      </c>
      <c r="K739" s="55">
        <f>IF(A739="","",ROUND(J739*MileRate,2))</f>
        <v/>
      </c>
      <c r="L739" s="51">
        <f>IF(A739="","",DATE(YEAR(A739),MONTH(A739),1))</f>
        <v/>
      </c>
    </row>
    <row r="740">
      <c r="A740" s="47" t="n"/>
      <c r="B740" s="38" t="n"/>
      <c r="C740" s="38" t="n"/>
      <c r="D740" s="38" t="n"/>
      <c r="E740" s="38" t="n"/>
      <c r="F740" s="128" t="n"/>
      <c r="G740" s="128" t="n"/>
      <c r="H740" s="129" t="n"/>
      <c r="I740" s="38" t="n"/>
      <c r="J740" s="98">
        <f>IF(A740="","",IF(AND(F740&lt;&gt;"",G740&lt;&gt;""),MAX(0,G740-F740),N(H740)))</f>
        <v/>
      </c>
      <c r="K740" s="55">
        <f>IF(A740="","",ROUND(J740*MileRate,2))</f>
        <v/>
      </c>
      <c r="L740" s="51">
        <f>IF(A740="","",DATE(YEAR(A740),MONTH(A740),1))</f>
        <v/>
      </c>
    </row>
    <row r="741">
      <c r="A741" s="47" t="n"/>
      <c r="B741" s="38" t="n"/>
      <c r="C741" s="38" t="n"/>
      <c r="D741" s="38" t="n"/>
      <c r="E741" s="38" t="n"/>
      <c r="F741" s="128" t="n"/>
      <c r="G741" s="128" t="n"/>
      <c r="H741" s="129" t="n"/>
      <c r="I741" s="38" t="n"/>
      <c r="J741" s="98">
        <f>IF(A741="","",IF(AND(F741&lt;&gt;"",G741&lt;&gt;""),MAX(0,G741-F741),N(H741)))</f>
        <v/>
      </c>
      <c r="K741" s="55">
        <f>IF(A741="","",ROUND(J741*MileRate,2))</f>
        <v/>
      </c>
      <c r="L741" s="51">
        <f>IF(A741="","",DATE(YEAR(A741),MONTH(A741),1))</f>
        <v/>
      </c>
    </row>
    <row r="742">
      <c r="A742" s="47" t="n"/>
      <c r="B742" s="38" t="n"/>
      <c r="C742" s="38" t="n"/>
      <c r="D742" s="38" t="n"/>
      <c r="E742" s="38" t="n"/>
      <c r="F742" s="128" t="n"/>
      <c r="G742" s="128" t="n"/>
      <c r="H742" s="129" t="n"/>
      <c r="I742" s="38" t="n"/>
      <c r="J742" s="98">
        <f>IF(A742="","",IF(AND(F742&lt;&gt;"",G742&lt;&gt;""),MAX(0,G742-F742),N(H742)))</f>
        <v/>
      </c>
      <c r="K742" s="55">
        <f>IF(A742="","",ROUND(J742*MileRate,2))</f>
        <v/>
      </c>
      <c r="L742" s="51">
        <f>IF(A742="","",DATE(YEAR(A742),MONTH(A742),1))</f>
        <v/>
      </c>
    </row>
    <row r="743">
      <c r="A743" s="47" t="n"/>
      <c r="B743" s="38" t="n"/>
      <c r="C743" s="38" t="n"/>
      <c r="D743" s="38" t="n"/>
      <c r="E743" s="38" t="n"/>
      <c r="F743" s="128" t="n"/>
      <c r="G743" s="128" t="n"/>
      <c r="H743" s="129" t="n"/>
      <c r="I743" s="38" t="n"/>
      <c r="J743" s="98">
        <f>IF(A743="","",IF(AND(F743&lt;&gt;"",G743&lt;&gt;""),MAX(0,G743-F743),N(H743)))</f>
        <v/>
      </c>
      <c r="K743" s="55">
        <f>IF(A743="","",ROUND(J743*MileRate,2))</f>
        <v/>
      </c>
      <c r="L743" s="51">
        <f>IF(A743="","",DATE(YEAR(A743),MONTH(A743),1))</f>
        <v/>
      </c>
    </row>
    <row r="744">
      <c r="A744" s="47" t="n"/>
      <c r="B744" s="38" t="n"/>
      <c r="C744" s="38" t="n"/>
      <c r="D744" s="38" t="n"/>
      <c r="E744" s="38" t="n"/>
      <c r="F744" s="128" t="n"/>
      <c r="G744" s="128" t="n"/>
      <c r="H744" s="129" t="n"/>
      <c r="I744" s="38" t="n"/>
      <c r="J744" s="98">
        <f>IF(A744="","",IF(AND(F744&lt;&gt;"",G744&lt;&gt;""),MAX(0,G744-F744),N(H744)))</f>
        <v/>
      </c>
      <c r="K744" s="55">
        <f>IF(A744="","",ROUND(J744*MileRate,2))</f>
        <v/>
      </c>
      <c r="L744" s="51">
        <f>IF(A744="","",DATE(YEAR(A744),MONTH(A744),1))</f>
        <v/>
      </c>
    </row>
    <row r="745">
      <c r="A745" s="47" t="n"/>
      <c r="B745" s="38" t="n"/>
      <c r="C745" s="38" t="n"/>
      <c r="D745" s="38" t="n"/>
      <c r="E745" s="38" t="n"/>
      <c r="F745" s="128" t="n"/>
      <c r="G745" s="128" t="n"/>
      <c r="H745" s="129" t="n"/>
      <c r="I745" s="38" t="n"/>
      <c r="J745" s="98">
        <f>IF(A745="","",IF(AND(F745&lt;&gt;"",G745&lt;&gt;""),MAX(0,G745-F745),N(H745)))</f>
        <v/>
      </c>
      <c r="K745" s="55">
        <f>IF(A745="","",ROUND(J745*MileRate,2))</f>
        <v/>
      </c>
      <c r="L745" s="51">
        <f>IF(A745="","",DATE(YEAR(A745),MONTH(A745),1))</f>
        <v/>
      </c>
    </row>
    <row r="746">
      <c r="A746" s="47" t="n"/>
      <c r="B746" s="38" t="n"/>
      <c r="C746" s="38" t="n"/>
      <c r="D746" s="38" t="n"/>
      <c r="E746" s="38" t="n"/>
      <c r="F746" s="128" t="n"/>
      <c r="G746" s="128" t="n"/>
      <c r="H746" s="129" t="n"/>
      <c r="I746" s="38" t="n"/>
      <c r="J746" s="98">
        <f>IF(A746="","",IF(AND(F746&lt;&gt;"",G746&lt;&gt;""),MAX(0,G746-F746),N(H746)))</f>
        <v/>
      </c>
      <c r="K746" s="55">
        <f>IF(A746="","",ROUND(J746*MileRate,2))</f>
        <v/>
      </c>
      <c r="L746" s="51">
        <f>IF(A746="","",DATE(YEAR(A746),MONTH(A746),1))</f>
        <v/>
      </c>
    </row>
    <row r="747">
      <c r="A747" s="47" t="n"/>
      <c r="B747" s="38" t="n"/>
      <c r="C747" s="38" t="n"/>
      <c r="D747" s="38" t="n"/>
      <c r="E747" s="38" t="n"/>
      <c r="F747" s="128" t="n"/>
      <c r="G747" s="128" t="n"/>
      <c r="H747" s="129" t="n"/>
      <c r="I747" s="38" t="n"/>
      <c r="J747" s="98">
        <f>IF(A747="","",IF(AND(F747&lt;&gt;"",G747&lt;&gt;""),MAX(0,G747-F747),N(H747)))</f>
        <v/>
      </c>
      <c r="K747" s="55">
        <f>IF(A747="","",ROUND(J747*MileRate,2))</f>
        <v/>
      </c>
      <c r="L747" s="51">
        <f>IF(A747="","",DATE(YEAR(A747),MONTH(A747),1))</f>
        <v/>
      </c>
    </row>
    <row r="748">
      <c r="A748" s="47" t="n"/>
      <c r="B748" s="38" t="n"/>
      <c r="C748" s="38" t="n"/>
      <c r="D748" s="38" t="n"/>
      <c r="E748" s="38" t="n"/>
      <c r="F748" s="128" t="n"/>
      <c r="G748" s="128" t="n"/>
      <c r="H748" s="129" t="n"/>
      <c r="I748" s="38" t="n"/>
      <c r="J748" s="98">
        <f>IF(A748="","",IF(AND(F748&lt;&gt;"",G748&lt;&gt;""),MAX(0,G748-F748),N(H748)))</f>
        <v/>
      </c>
      <c r="K748" s="55">
        <f>IF(A748="","",ROUND(J748*MileRate,2))</f>
        <v/>
      </c>
      <c r="L748" s="51">
        <f>IF(A748="","",DATE(YEAR(A748),MONTH(A748),1))</f>
        <v/>
      </c>
    </row>
    <row r="749">
      <c r="A749" s="47" t="n"/>
      <c r="B749" s="38" t="n"/>
      <c r="C749" s="38" t="n"/>
      <c r="D749" s="38" t="n"/>
      <c r="E749" s="38" t="n"/>
      <c r="F749" s="128" t="n"/>
      <c r="G749" s="128" t="n"/>
      <c r="H749" s="129" t="n"/>
      <c r="I749" s="38" t="n"/>
      <c r="J749" s="98">
        <f>IF(A749="","",IF(AND(F749&lt;&gt;"",G749&lt;&gt;""),MAX(0,G749-F749),N(H749)))</f>
        <v/>
      </c>
      <c r="K749" s="55">
        <f>IF(A749="","",ROUND(J749*MileRate,2))</f>
        <v/>
      </c>
      <c r="L749" s="51">
        <f>IF(A749="","",DATE(YEAR(A749),MONTH(A749),1))</f>
        <v/>
      </c>
    </row>
    <row r="750">
      <c r="A750" s="47" t="n"/>
      <c r="B750" s="38" t="n"/>
      <c r="C750" s="38" t="n"/>
      <c r="D750" s="38" t="n"/>
      <c r="E750" s="38" t="n"/>
      <c r="F750" s="128" t="n"/>
      <c r="G750" s="128" t="n"/>
      <c r="H750" s="129" t="n"/>
      <c r="I750" s="38" t="n"/>
      <c r="J750" s="98">
        <f>IF(A750="","",IF(AND(F750&lt;&gt;"",G750&lt;&gt;""),MAX(0,G750-F750),N(H750)))</f>
        <v/>
      </c>
      <c r="K750" s="55">
        <f>IF(A750="","",ROUND(J750*MileRate,2))</f>
        <v/>
      </c>
      <c r="L750" s="51">
        <f>IF(A750="","",DATE(YEAR(A750),MONTH(A750),1))</f>
        <v/>
      </c>
    </row>
    <row r="751">
      <c r="A751" s="47" t="n"/>
      <c r="B751" s="38" t="n"/>
      <c r="C751" s="38" t="n"/>
      <c r="D751" s="38" t="n"/>
      <c r="E751" s="38" t="n"/>
      <c r="F751" s="128" t="n"/>
      <c r="G751" s="128" t="n"/>
      <c r="H751" s="129" t="n"/>
      <c r="I751" s="38" t="n"/>
      <c r="J751" s="98">
        <f>IF(A751="","",IF(AND(F751&lt;&gt;"",G751&lt;&gt;""),MAX(0,G751-F751),N(H751)))</f>
        <v/>
      </c>
      <c r="K751" s="55">
        <f>IF(A751="","",ROUND(J751*MileRate,2))</f>
        <v/>
      </c>
      <c r="L751" s="51">
        <f>IF(A751="","",DATE(YEAR(A751),MONTH(A751),1))</f>
        <v/>
      </c>
    </row>
    <row r="752">
      <c r="A752" s="47" t="n"/>
      <c r="B752" s="38" t="n"/>
      <c r="C752" s="38" t="n"/>
      <c r="D752" s="38" t="n"/>
      <c r="E752" s="38" t="n"/>
      <c r="F752" s="128" t="n"/>
      <c r="G752" s="128" t="n"/>
      <c r="H752" s="129" t="n"/>
      <c r="I752" s="38" t="n"/>
      <c r="J752" s="98">
        <f>IF(A752="","",IF(AND(F752&lt;&gt;"",G752&lt;&gt;""),MAX(0,G752-F752),N(H752)))</f>
        <v/>
      </c>
      <c r="K752" s="55">
        <f>IF(A752="","",ROUND(J752*MileRate,2))</f>
        <v/>
      </c>
      <c r="L752" s="51">
        <f>IF(A752="","",DATE(YEAR(A752),MONTH(A752),1))</f>
        <v/>
      </c>
    </row>
    <row r="753">
      <c r="A753" s="47" t="n"/>
      <c r="B753" s="38" t="n"/>
      <c r="C753" s="38" t="n"/>
      <c r="D753" s="38" t="n"/>
      <c r="E753" s="38" t="n"/>
      <c r="F753" s="128" t="n"/>
      <c r="G753" s="128" t="n"/>
      <c r="H753" s="129" t="n"/>
      <c r="I753" s="38" t="n"/>
      <c r="J753" s="98">
        <f>IF(A753="","",IF(AND(F753&lt;&gt;"",G753&lt;&gt;""),MAX(0,G753-F753),N(H753)))</f>
        <v/>
      </c>
      <c r="K753" s="55">
        <f>IF(A753="","",ROUND(J753*MileRate,2))</f>
        <v/>
      </c>
      <c r="L753" s="51">
        <f>IF(A753="","",DATE(YEAR(A753),MONTH(A753),1))</f>
        <v/>
      </c>
    </row>
    <row r="754">
      <c r="A754" s="47" t="n"/>
      <c r="B754" s="38" t="n"/>
      <c r="C754" s="38" t="n"/>
      <c r="D754" s="38" t="n"/>
      <c r="E754" s="38" t="n"/>
      <c r="F754" s="128" t="n"/>
      <c r="G754" s="128" t="n"/>
      <c r="H754" s="129" t="n"/>
      <c r="I754" s="38" t="n"/>
      <c r="J754" s="98">
        <f>IF(A754="","",IF(AND(F754&lt;&gt;"",G754&lt;&gt;""),MAX(0,G754-F754),N(H754)))</f>
        <v/>
      </c>
      <c r="K754" s="55">
        <f>IF(A754="","",ROUND(J754*MileRate,2))</f>
        <v/>
      </c>
      <c r="L754" s="51">
        <f>IF(A754="","",DATE(YEAR(A754),MONTH(A754),1))</f>
        <v/>
      </c>
    </row>
    <row r="755">
      <c r="A755" s="47" t="n"/>
      <c r="B755" s="38" t="n"/>
      <c r="C755" s="38" t="n"/>
      <c r="D755" s="38" t="n"/>
      <c r="E755" s="38" t="n"/>
      <c r="F755" s="128" t="n"/>
      <c r="G755" s="128" t="n"/>
      <c r="H755" s="129" t="n"/>
      <c r="I755" s="38" t="n"/>
      <c r="J755" s="98">
        <f>IF(A755="","",IF(AND(F755&lt;&gt;"",G755&lt;&gt;""),MAX(0,G755-F755),N(H755)))</f>
        <v/>
      </c>
      <c r="K755" s="55">
        <f>IF(A755="","",ROUND(J755*MileRate,2))</f>
        <v/>
      </c>
      <c r="L755" s="51">
        <f>IF(A755="","",DATE(YEAR(A755),MONTH(A755),1))</f>
        <v/>
      </c>
    </row>
    <row r="756">
      <c r="A756" s="47" t="n"/>
      <c r="B756" s="38" t="n"/>
      <c r="C756" s="38" t="n"/>
      <c r="D756" s="38" t="n"/>
      <c r="E756" s="38" t="n"/>
      <c r="F756" s="128" t="n"/>
      <c r="G756" s="128" t="n"/>
      <c r="H756" s="129" t="n"/>
      <c r="I756" s="38" t="n"/>
      <c r="J756" s="98">
        <f>IF(A756="","",IF(AND(F756&lt;&gt;"",G756&lt;&gt;""),MAX(0,G756-F756),N(H756)))</f>
        <v/>
      </c>
      <c r="K756" s="55">
        <f>IF(A756="","",ROUND(J756*MileRate,2))</f>
        <v/>
      </c>
      <c r="L756" s="51">
        <f>IF(A756="","",DATE(YEAR(A756),MONTH(A756),1))</f>
        <v/>
      </c>
    </row>
    <row r="757">
      <c r="A757" s="47" t="n"/>
      <c r="B757" s="38" t="n"/>
      <c r="C757" s="38" t="n"/>
      <c r="D757" s="38" t="n"/>
      <c r="E757" s="38" t="n"/>
      <c r="F757" s="128" t="n"/>
      <c r="G757" s="128" t="n"/>
      <c r="H757" s="129" t="n"/>
      <c r="I757" s="38" t="n"/>
      <c r="J757" s="98">
        <f>IF(A757="","",IF(AND(F757&lt;&gt;"",G757&lt;&gt;""),MAX(0,G757-F757),N(H757)))</f>
        <v/>
      </c>
      <c r="K757" s="55">
        <f>IF(A757="","",ROUND(J757*MileRate,2))</f>
        <v/>
      </c>
      <c r="L757" s="51">
        <f>IF(A757="","",DATE(YEAR(A757),MONTH(A757),1))</f>
        <v/>
      </c>
    </row>
    <row r="758">
      <c r="A758" s="47" t="n"/>
      <c r="B758" s="38" t="n"/>
      <c r="C758" s="38" t="n"/>
      <c r="D758" s="38" t="n"/>
      <c r="E758" s="38" t="n"/>
      <c r="F758" s="128" t="n"/>
      <c r="G758" s="128" t="n"/>
      <c r="H758" s="129" t="n"/>
      <c r="I758" s="38" t="n"/>
      <c r="J758" s="98">
        <f>IF(A758="","",IF(AND(F758&lt;&gt;"",G758&lt;&gt;""),MAX(0,G758-F758),N(H758)))</f>
        <v/>
      </c>
      <c r="K758" s="55">
        <f>IF(A758="","",ROUND(J758*MileRate,2))</f>
        <v/>
      </c>
      <c r="L758" s="51">
        <f>IF(A758="","",DATE(YEAR(A758),MONTH(A758),1))</f>
        <v/>
      </c>
    </row>
    <row r="759">
      <c r="A759" s="47" t="n"/>
      <c r="B759" s="38" t="n"/>
      <c r="C759" s="38" t="n"/>
      <c r="D759" s="38" t="n"/>
      <c r="E759" s="38" t="n"/>
      <c r="F759" s="128" t="n"/>
      <c r="G759" s="128" t="n"/>
      <c r="H759" s="129" t="n"/>
      <c r="I759" s="38" t="n"/>
      <c r="J759" s="98">
        <f>IF(A759="","",IF(AND(F759&lt;&gt;"",G759&lt;&gt;""),MAX(0,G759-F759),N(H759)))</f>
        <v/>
      </c>
      <c r="K759" s="55">
        <f>IF(A759="","",ROUND(J759*MileRate,2))</f>
        <v/>
      </c>
      <c r="L759" s="51">
        <f>IF(A759="","",DATE(YEAR(A759),MONTH(A759),1))</f>
        <v/>
      </c>
    </row>
    <row r="760">
      <c r="A760" s="47" t="n"/>
      <c r="B760" s="38" t="n"/>
      <c r="C760" s="38" t="n"/>
      <c r="D760" s="38" t="n"/>
      <c r="E760" s="38" t="n"/>
      <c r="F760" s="128" t="n"/>
      <c r="G760" s="128" t="n"/>
      <c r="H760" s="129" t="n"/>
      <c r="I760" s="38" t="n"/>
      <c r="J760" s="98">
        <f>IF(A760="","",IF(AND(F760&lt;&gt;"",G760&lt;&gt;""),MAX(0,G760-F760),N(H760)))</f>
        <v/>
      </c>
      <c r="K760" s="55">
        <f>IF(A760="","",ROUND(J760*MileRate,2))</f>
        <v/>
      </c>
      <c r="L760" s="51">
        <f>IF(A760="","",DATE(YEAR(A760),MONTH(A760),1))</f>
        <v/>
      </c>
    </row>
    <row r="761">
      <c r="A761" s="47" t="n"/>
      <c r="B761" s="38" t="n"/>
      <c r="C761" s="38" t="n"/>
      <c r="D761" s="38" t="n"/>
      <c r="E761" s="38" t="n"/>
      <c r="F761" s="128" t="n"/>
      <c r="G761" s="128" t="n"/>
      <c r="H761" s="129" t="n"/>
      <c r="I761" s="38" t="n"/>
      <c r="J761" s="98">
        <f>IF(A761="","",IF(AND(F761&lt;&gt;"",G761&lt;&gt;""),MAX(0,G761-F761),N(H761)))</f>
        <v/>
      </c>
      <c r="K761" s="55">
        <f>IF(A761="","",ROUND(J761*MileRate,2))</f>
        <v/>
      </c>
      <c r="L761" s="51">
        <f>IF(A761="","",DATE(YEAR(A761),MONTH(A761),1))</f>
        <v/>
      </c>
    </row>
    <row r="762">
      <c r="A762" s="47" t="n"/>
      <c r="B762" s="38" t="n"/>
      <c r="C762" s="38" t="n"/>
      <c r="D762" s="38" t="n"/>
      <c r="E762" s="38" t="n"/>
      <c r="F762" s="128" t="n"/>
      <c r="G762" s="128" t="n"/>
      <c r="H762" s="129" t="n"/>
      <c r="I762" s="38" t="n"/>
      <c r="J762" s="98">
        <f>IF(A762="","",IF(AND(F762&lt;&gt;"",G762&lt;&gt;""),MAX(0,G762-F762),N(H762)))</f>
        <v/>
      </c>
      <c r="K762" s="55">
        <f>IF(A762="","",ROUND(J762*MileRate,2))</f>
        <v/>
      </c>
      <c r="L762" s="51">
        <f>IF(A762="","",DATE(YEAR(A762),MONTH(A762),1))</f>
        <v/>
      </c>
    </row>
    <row r="763">
      <c r="A763" s="47" t="n"/>
      <c r="B763" s="38" t="n"/>
      <c r="C763" s="38" t="n"/>
      <c r="D763" s="38" t="n"/>
      <c r="E763" s="38" t="n"/>
      <c r="F763" s="128" t="n"/>
      <c r="G763" s="128" t="n"/>
      <c r="H763" s="129" t="n"/>
      <c r="I763" s="38" t="n"/>
      <c r="J763" s="98">
        <f>IF(A763="","",IF(AND(F763&lt;&gt;"",G763&lt;&gt;""),MAX(0,G763-F763),N(H763)))</f>
        <v/>
      </c>
      <c r="K763" s="55">
        <f>IF(A763="","",ROUND(J763*MileRate,2))</f>
        <v/>
      </c>
      <c r="L763" s="51">
        <f>IF(A763="","",DATE(YEAR(A763),MONTH(A763),1))</f>
        <v/>
      </c>
    </row>
    <row r="764">
      <c r="A764" s="47" t="n"/>
      <c r="B764" s="38" t="n"/>
      <c r="C764" s="38" t="n"/>
      <c r="D764" s="38" t="n"/>
      <c r="E764" s="38" t="n"/>
      <c r="F764" s="128" t="n"/>
      <c r="G764" s="128" t="n"/>
      <c r="H764" s="129" t="n"/>
      <c r="I764" s="38" t="n"/>
      <c r="J764" s="98">
        <f>IF(A764="","",IF(AND(F764&lt;&gt;"",G764&lt;&gt;""),MAX(0,G764-F764),N(H764)))</f>
        <v/>
      </c>
      <c r="K764" s="55">
        <f>IF(A764="","",ROUND(J764*MileRate,2))</f>
        <v/>
      </c>
      <c r="L764" s="51">
        <f>IF(A764="","",DATE(YEAR(A764),MONTH(A764),1))</f>
        <v/>
      </c>
    </row>
    <row r="765">
      <c r="A765" s="47" t="n"/>
      <c r="B765" s="38" t="n"/>
      <c r="C765" s="38" t="n"/>
      <c r="D765" s="38" t="n"/>
      <c r="E765" s="38" t="n"/>
      <c r="F765" s="128" t="n"/>
      <c r="G765" s="128" t="n"/>
      <c r="H765" s="129" t="n"/>
      <c r="I765" s="38" t="n"/>
      <c r="J765" s="98">
        <f>IF(A765="","",IF(AND(F765&lt;&gt;"",G765&lt;&gt;""),MAX(0,G765-F765),N(H765)))</f>
        <v/>
      </c>
      <c r="K765" s="55">
        <f>IF(A765="","",ROUND(J765*MileRate,2))</f>
        <v/>
      </c>
      <c r="L765" s="51">
        <f>IF(A765="","",DATE(YEAR(A765),MONTH(A765),1))</f>
        <v/>
      </c>
    </row>
    <row r="766">
      <c r="A766" s="47" t="n"/>
      <c r="B766" s="38" t="n"/>
      <c r="C766" s="38" t="n"/>
      <c r="D766" s="38" t="n"/>
      <c r="E766" s="38" t="n"/>
      <c r="F766" s="128" t="n"/>
      <c r="G766" s="128" t="n"/>
      <c r="H766" s="129" t="n"/>
      <c r="I766" s="38" t="n"/>
      <c r="J766" s="98">
        <f>IF(A766="","",IF(AND(F766&lt;&gt;"",G766&lt;&gt;""),MAX(0,G766-F766),N(H766)))</f>
        <v/>
      </c>
      <c r="K766" s="55">
        <f>IF(A766="","",ROUND(J766*MileRate,2))</f>
        <v/>
      </c>
      <c r="L766" s="51">
        <f>IF(A766="","",DATE(YEAR(A766),MONTH(A766),1))</f>
        <v/>
      </c>
    </row>
    <row r="767">
      <c r="A767" s="47" t="n"/>
      <c r="B767" s="38" t="n"/>
      <c r="C767" s="38" t="n"/>
      <c r="D767" s="38" t="n"/>
      <c r="E767" s="38" t="n"/>
      <c r="F767" s="128" t="n"/>
      <c r="G767" s="128" t="n"/>
      <c r="H767" s="129" t="n"/>
      <c r="I767" s="38" t="n"/>
      <c r="J767" s="98">
        <f>IF(A767="","",IF(AND(F767&lt;&gt;"",G767&lt;&gt;""),MAX(0,G767-F767),N(H767)))</f>
        <v/>
      </c>
      <c r="K767" s="55">
        <f>IF(A767="","",ROUND(J767*MileRate,2))</f>
        <v/>
      </c>
      <c r="L767" s="51">
        <f>IF(A767="","",DATE(YEAR(A767),MONTH(A767),1))</f>
        <v/>
      </c>
    </row>
    <row r="768">
      <c r="A768" s="47" t="n"/>
      <c r="B768" s="38" t="n"/>
      <c r="C768" s="38" t="n"/>
      <c r="D768" s="38" t="n"/>
      <c r="E768" s="38" t="n"/>
      <c r="F768" s="128" t="n"/>
      <c r="G768" s="128" t="n"/>
      <c r="H768" s="129" t="n"/>
      <c r="I768" s="38" t="n"/>
      <c r="J768" s="98">
        <f>IF(A768="","",IF(AND(F768&lt;&gt;"",G768&lt;&gt;""),MAX(0,G768-F768),N(H768)))</f>
        <v/>
      </c>
      <c r="K768" s="55">
        <f>IF(A768="","",ROUND(J768*MileRate,2))</f>
        <v/>
      </c>
      <c r="L768" s="51">
        <f>IF(A768="","",DATE(YEAR(A768),MONTH(A768),1))</f>
        <v/>
      </c>
    </row>
    <row r="769">
      <c r="A769" s="47" t="n"/>
      <c r="B769" s="38" t="n"/>
      <c r="C769" s="38" t="n"/>
      <c r="D769" s="38" t="n"/>
      <c r="E769" s="38" t="n"/>
      <c r="F769" s="128" t="n"/>
      <c r="G769" s="128" t="n"/>
      <c r="H769" s="129" t="n"/>
      <c r="I769" s="38" t="n"/>
      <c r="J769" s="98">
        <f>IF(A769="","",IF(AND(F769&lt;&gt;"",G769&lt;&gt;""),MAX(0,G769-F769),N(H769)))</f>
        <v/>
      </c>
      <c r="K769" s="55">
        <f>IF(A769="","",ROUND(J769*MileRate,2))</f>
        <v/>
      </c>
      <c r="L769" s="51">
        <f>IF(A769="","",DATE(YEAR(A769),MONTH(A769),1))</f>
        <v/>
      </c>
    </row>
    <row r="770">
      <c r="A770" s="47" t="n"/>
      <c r="B770" s="38" t="n"/>
      <c r="C770" s="38" t="n"/>
      <c r="D770" s="38" t="n"/>
      <c r="E770" s="38" t="n"/>
      <c r="F770" s="128" t="n"/>
      <c r="G770" s="128" t="n"/>
      <c r="H770" s="129" t="n"/>
      <c r="I770" s="38" t="n"/>
      <c r="J770" s="98">
        <f>IF(A770="","",IF(AND(F770&lt;&gt;"",G770&lt;&gt;""),MAX(0,G770-F770),N(H770)))</f>
        <v/>
      </c>
      <c r="K770" s="55">
        <f>IF(A770="","",ROUND(J770*MileRate,2))</f>
        <v/>
      </c>
      <c r="L770" s="51">
        <f>IF(A770="","",DATE(YEAR(A770),MONTH(A770),1))</f>
        <v/>
      </c>
    </row>
    <row r="771">
      <c r="A771" s="47" t="n"/>
      <c r="B771" s="38" t="n"/>
      <c r="C771" s="38" t="n"/>
      <c r="D771" s="38" t="n"/>
      <c r="E771" s="38" t="n"/>
      <c r="F771" s="128" t="n"/>
      <c r="G771" s="128" t="n"/>
      <c r="H771" s="129" t="n"/>
      <c r="I771" s="38" t="n"/>
      <c r="J771" s="98">
        <f>IF(A771="","",IF(AND(F771&lt;&gt;"",G771&lt;&gt;""),MAX(0,G771-F771),N(H771)))</f>
        <v/>
      </c>
      <c r="K771" s="55">
        <f>IF(A771="","",ROUND(J771*MileRate,2))</f>
        <v/>
      </c>
      <c r="L771" s="51">
        <f>IF(A771="","",DATE(YEAR(A771),MONTH(A771),1))</f>
        <v/>
      </c>
    </row>
    <row r="772">
      <c r="A772" s="47" t="n"/>
      <c r="B772" s="38" t="n"/>
      <c r="C772" s="38" t="n"/>
      <c r="D772" s="38" t="n"/>
      <c r="E772" s="38" t="n"/>
      <c r="F772" s="128" t="n"/>
      <c r="G772" s="128" t="n"/>
      <c r="H772" s="129" t="n"/>
      <c r="I772" s="38" t="n"/>
      <c r="J772" s="98">
        <f>IF(A772="","",IF(AND(F772&lt;&gt;"",G772&lt;&gt;""),MAX(0,G772-F772),N(H772)))</f>
        <v/>
      </c>
      <c r="K772" s="55">
        <f>IF(A772="","",ROUND(J772*MileRate,2))</f>
        <v/>
      </c>
      <c r="L772" s="51">
        <f>IF(A772="","",DATE(YEAR(A772),MONTH(A772),1))</f>
        <v/>
      </c>
    </row>
    <row r="773">
      <c r="A773" s="47" t="n"/>
      <c r="B773" s="38" t="n"/>
      <c r="C773" s="38" t="n"/>
      <c r="D773" s="38" t="n"/>
      <c r="E773" s="38" t="n"/>
      <c r="F773" s="128" t="n"/>
      <c r="G773" s="128" t="n"/>
      <c r="H773" s="129" t="n"/>
      <c r="I773" s="38" t="n"/>
      <c r="J773" s="98">
        <f>IF(A773="","",IF(AND(F773&lt;&gt;"",G773&lt;&gt;""),MAX(0,G773-F773),N(H773)))</f>
        <v/>
      </c>
      <c r="K773" s="55">
        <f>IF(A773="","",ROUND(J773*MileRate,2))</f>
        <v/>
      </c>
      <c r="L773" s="51">
        <f>IF(A773="","",DATE(YEAR(A773),MONTH(A773),1))</f>
        <v/>
      </c>
    </row>
    <row r="774">
      <c r="A774" s="47" t="n"/>
      <c r="B774" s="38" t="n"/>
      <c r="C774" s="38" t="n"/>
      <c r="D774" s="38" t="n"/>
      <c r="E774" s="38" t="n"/>
      <c r="F774" s="128" t="n"/>
      <c r="G774" s="128" t="n"/>
      <c r="H774" s="129" t="n"/>
      <c r="I774" s="38" t="n"/>
      <c r="J774" s="98">
        <f>IF(A774="","",IF(AND(F774&lt;&gt;"",G774&lt;&gt;""),MAX(0,G774-F774),N(H774)))</f>
        <v/>
      </c>
      <c r="K774" s="55">
        <f>IF(A774="","",ROUND(J774*MileRate,2))</f>
        <v/>
      </c>
      <c r="L774" s="51">
        <f>IF(A774="","",DATE(YEAR(A774),MONTH(A774),1))</f>
        <v/>
      </c>
    </row>
    <row r="775">
      <c r="A775" s="47" t="n"/>
      <c r="B775" s="38" t="n"/>
      <c r="C775" s="38" t="n"/>
      <c r="D775" s="38" t="n"/>
      <c r="E775" s="38" t="n"/>
      <c r="F775" s="128" t="n"/>
      <c r="G775" s="128" t="n"/>
      <c r="H775" s="129" t="n"/>
      <c r="I775" s="38" t="n"/>
      <c r="J775" s="98">
        <f>IF(A775="","",IF(AND(F775&lt;&gt;"",G775&lt;&gt;""),MAX(0,G775-F775),N(H775)))</f>
        <v/>
      </c>
      <c r="K775" s="55">
        <f>IF(A775="","",ROUND(J775*MileRate,2))</f>
        <v/>
      </c>
      <c r="L775" s="51">
        <f>IF(A775="","",DATE(YEAR(A775),MONTH(A775),1))</f>
        <v/>
      </c>
    </row>
    <row r="776">
      <c r="A776" s="47" t="n"/>
      <c r="B776" s="38" t="n"/>
      <c r="C776" s="38" t="n"/>
      <c r="D776" s="38" t="n"/>
      <c r="E776" s="38" t="n"/>
      <c r="F776" s="128" t="n"/>
      <c r="G776" s="128" t="n"/>
      <c r="H776" s="129" t="n"/>
      <c r="I776" s="38" t="n"/>
      <c r="J776" s="98">
        <f>IF(A776="","",IF(AND(F776&lt;&gt;"",G776&lt;&gt;""),MAX(0,G776-F776),N(H776)))</f>
        <v/>
      </c>
      <c r="K776" s="55">
        <f>IF(A776="","",ROUND(J776*MileRate,2))</f>
        <v/>
      </c>
      <c r="L776" s="51">
        <f>IF(A776="","",DATE(YEAR(A776),MONTH(A776),1))</f>
        <v/>
      </c>
    </row>
    <row r="777">
      <c r="A777" s="47" t="n"/>
      <c r="B777" s="38" t="n"/>
      <c r="C777" s="38" t="n"/>
      <c r="D777" s="38" t="n"/>
      <c r="E777" s="38" t="n"/>
      <c r="F777" s="128" t="n"/>
      <c r="G777" s="128" t="n"/>
      <c r="H777" s="129" t="n"/>
      <c r="I777" s="38" t="n"/>
      <c r="J777" s="98">
        <f>IF(A777="","",IF(AND(F777&lt;&gt;"",G777&lt;&gt;""),MAX(0,G777-F777),N(H777)))</f>
        <v/>
      </c>
      <c r="K777" s="55">
        <f>IF(A777="","",ROUND(J777*MileRate,2))</f>
        <v/>
      </c>
      <c r="L777" s="51">
        <f>IF(A777="","",DATE(YEAR(A777),MONTH(A777),1))</f>
        <v/>
      </c>
    </row>
    <row r="778">
      <c r="A778" s="47" t="n"/>
      <c r="B778" s="38" t="n"/>
      <c r="C778" s="38" t="n"/>
      <c r="D778" s="38" t="n"/>
      <c r="E778" s="38" t="n"/>
      <c r="F778" s="128" t="n"/>
      <c r="G778" s="128" t="n"/>
      <c r="H778" s="129" t="n"/>
      <c r="I778" s="38" t="n"/>
      <c r="J778" s="98">
        <f>IF(A778="","",IF(AND(F778&lt;&gt;"",G778&lt;&gt;""),MAX(0,G778-F778),N(H778)))</f>
        <v/>
      </c>
      <c r="K778" s="55">
        <f>IF(A778="","",ROUND(J778*MileRate,2))</f>
        <v/>
      </c>
      <c r="L778" s="51">
        <f>IF(A778="","",DATE(YEAR(A778),MONTH(A778),1))</f>
        <v/>
      </c>
    </row>
    <row r="779">
      <c r="A779" s="47" t="n"/>
      <c r="B779" s="38" t="n"/>
      <c r="C779" s="38" t="n"/>
      <c r="D779" s="38" t="n"/>
      <c r="E779" s="38" t="n"/>
      <c r="F779" s="128" t="n"/>
      <c r="G779" s="128" t="n"/>
      <c r="H779" s="129" t="n"/>
      <c r="I779" s="38" t="n"/>
      <c r="J779" s="98">
        <f>IF(A779="","",IF(AND(F779&lt;&gt;"",G779&lt;&gt;""),MAX(0,G779-F779),N(H779)))</f>
        <v/>
      </c>
      <c r="K779" s="55">
        <f>IF(A779="","",ROUND(J779*MileRate,2))</f>
        <v/>
      </c>
      <c r="L779" s="51">
        <f>IF(A779="","",DATE(YEAR(A779),MONTH(A779),1))</f>
        <v/>
      </c>
    </row>
    <row r="780">
      <c r="A780" s="47" t="n"/>
      <c r="B780" s="38" t="n"/>
      <c r="C780" s="38" t="n"/>
      <c r="D780" s="38" t="n"/>
      <c r="E780" s="38" t="n"/>
      <c r="F780" s="128" t="n"/>
      <c r="G780" s="128" t="n"/>
      <c r="H780" s="129" t="n"/>
      <c r="I780" s="38" t="n"/>
      <c r="J780" s="98">
        <f>IF(A780="","",IF(AND(F780&lt;&gt;"",G780&lt;&gt;""),MAX(0,G780-F780),N(H780)))</f>
        <v/>
      </c>
      <c r="K780" s="55">
        <f>IF(A780="","",ROUND(J780*MileRate,2))</f>
        <v/>
      </c>
      <c r="L780" s="51">
        <f>IF(A780="","",DATE(YEAR(A780),MONTH(A780),1))</f>
        <v/>
      </c>
    </row>
    <row r="781">
      <c r="A781" s="47" t="n"/>
      <c r="B781" s="38" t="n"/>
      <c r="C781" s="38" t="n"/>
      <c r="D781" s="38" t="n"/>
      <c r="E781" s="38" t="n"/>
      <c r="F781" s="128" t="n"/>
      <c r="G781" s="128" t="n"/>
      <c r="H781" s="129" t="n"/>
      <c r="I781" s="38" t="n"/>
      <c r="J781" s="98">
        <f>IF(A781="","",IF(AND(F781&lt;&gt;"",G781&lt;&gt;""),MAX(0,G781-F781),N(H781)))</f>
        <v/>
      </c>
      <c r="K781" s="55">
        <f>IF(A781="","",ROUND(J781*MileRate,2))</f>
        <v/>
      </c>
      <c r="L781" s="51">
        <f>IF(A781="","",DATE(YEAR(A781),MONTH(A781),1))</f>
        <v/>
      </c>
    </row>
    <row r="782">
      <c r="A782" s="47" t="n"/>
      <c r="B782" s="38" t="n"/>
      <c r="C782" s="38" t="n"/>
      <c r="D782" s="38" t="n"/>
      <c r="E782" s="38" t="n"/>
      <c r="F782" s="128" t="n"/>
      <c r="G782" s="128" t="n"/>
      <c r="H782" s="129" t="n"/>
      <c r="I782" s="38" t="n"/>
      <c r="J782" s="98">
        <f>IF(A782="","",IF(AND(F782&lt;&gt;"",G782&lt;&gt;""),MAX(0,G782-F782),N(H782)))</f>
        <v/>
      </c>
      <c r="K782" s="55">
        <f>IF(A782="","",ROUND(J782*MileRate,2))</f>
        <v/>
      </c>
      <c r="L782" s="51">
        <f>IF(A782="","",DATE(YEAR(A782),MONTH(A782),1))</f>
        <v/>
      </c>
    </row>
    <row r="783">
      <c r="A783" s="47" t="n"/>
      <c r="B783" s="38" t="n"/>
      <c r="C783" s="38" t="n"/>
      <c r="D783" s="38" t="n"/>
      <c r="E783" s="38" t="n"/>
      <c r="F783" s="128" t="n"/>
      <c r="G783" s="128" t="n"/>
      <c r="H783" s="129" t="n"/>
      <c r="I783" s="38" t="n"/>
      <c r="J783" s="98">
        <f>IF(A783="","",IF(AND(F783&lt;&gt;"",G783&lt;&gt;""),MAX(0,G783-F783),N(H783)))</f>
        <v/>
      </c>
      <c r="K783" s="55">
        <f>IF(A783="","",ROUND(J783*MileRate,2))</f>
        <v/>
      </c>
      <c r="L783" s="51">
        <f>IF(A783="","",DATE(YEAR(A783),MONTH(A783),1))</f>
        <v/>
      </c>
    </row>
    <row r="784">
      <c r="A784" s="47" t="n"/>
      <c r="B784" s="38" t="n"/>
      <c r="C784" s="38" t="n"/>
      <c r="D784" s="38" t="n"/>
      <c r="E784" s="38" t="n"/>
      <c r="F784" s="128" t="n"/>
      <c r="G784" s="128" t="n"/>
      <c r="H784" s="129" t="n"/>
      <c r="I784" s="38" t="n"/>
      <c r="J784" s="98">
        <f>IF(A784="","",IF(AND(F784&lt;&gt;"",G784&lt;&gt;""),MAX(0,G784-F784),N(H784)))</f>
        <v/>
      </c>
      <c r="K784" s="55">
        <f>IF(A784="","",ROUND(J784*MileRate,2))</f>
        <v/>
      </c>
      <c r="L784" s="51">
        <f>IF(A784="","",DATE(YEAR(A784),MONTH(A784),1))</f>
        <v/>
      </c>
    </row>
    <row r="785">
      <c r="A785" s="47" t="n"/>
      <c r="B785" s="38" t="n"/>
      <c r="C785" s="38" t="n"/>
      <c r="D785" s="38" t="n"/>
      <c r="E785" s="38" t="n"/>
      <c r="F785" s="128" t="n"/>
      <c r="G785" s="128" t="n"/>
      <c r="H785" s="129" t="n"/>
      <c r="I785" s="38" t="n"/>
      <c r="J785" s="98">
        <f>IF(A785="","",IF(AND(F785&lt;&gt;"",G785&lt;&gt;""),MAX(0,G785-F785),N(H785)))</f>
        <v/>
      </c>
      <c r="K785" s="55">
        <f>IF(A785="","",ROUND(J785*MileRate,2))</f>
        <v/>
      </c>
      <c r="L785" s="51">
        <f>IF(A785="","",DATE(YEAR(A785),MONTH(A785),1))</f>
        <v/>
      </c>
    </row>
    <row r="786">
      <c r="A786" s="47" t="n"/>
      <c r="B786" s="38" t="n"/>
      <c r="C786" s="38" t="n"/>
      <c r="D786" s="38" t="n"/>
      <c r="E786" s="38" t="n"/>
      <c r="F786" s="128" t="n"/>
      <c r="G786" s="128" t="n"/>
      <c r="H786" s="129" t="n"/>
      <c r="I786" s="38" t="n"/>
      <c r="J786" s="98">
        <f>IF(A786="","",IF(AND(F786&lt;&gt;"",G786&lt;&gt;""),MAX(0,G786-F786),N(H786)))</f>
        <v/>
      </c>
      <c r="K786" s="55">
        <f>IF(A786="","",ROUND(J786*MileRate,2))</f>
        <v/>
      </c>
      <c r="L786" s="51">
        <f>IF(A786="","",DATE(YEAR(A786),MONTH(A786),1))</f>
        <v/>
      </c>
    </row>
    <row r="787">
      <c r="A787" s="47" t="n"/>
      <c r="B787" s="38" t="n"/>
      <c r="C787" s="38" t="n"/>
      <c r="D787" s="38" t="n"/>
      <c r="E787" s="38" t="n"/>
      <c r="F787" s="128" t="n"/>
      <c r="G787" s="128" t="n"/>
      <c r="H787" s="129" t="n"/>
      <c r="I787" s="38" t="n"/>
      <c r="J787" s="98">
        <f>IF(A787="","",IF(AND(F787&lt;&gt;"",G787&lt;&gt;""),MAX(0,G787-F787),N(H787)))</f>
        <v/>
      </c>
      <c r="K787" s="55">
        <f>IF(A787="","",ROUND(J787*MileRate,2))</f>
        <v/>
      </c>
      <c r="L787" s="51">
        <f>IF(A787="","",DATE(YEAR(A787),MONTH(A787),1))</f>
        <v/>
      </c>
    </row>
    <row r="788">
      <c r="A788" s="47" t="n"/>
      <c r="B788" s="38" t="n"/>
      <c r="C788" s="38" t="n"/>
      <c r="D788" s="38" t="n"/>
      <c r="E788" s="38" t="n"/>
      <c r="F788" s="128" t="n"/>
      <c r="G788" s="128" t="n"/>
      <c r="H788" s="129" t="n"/>
      <c r="I788" s="38" t="n"/>
      <c r="J788" s="98">
        <f>IF(A788="","",IF(AND(F788&lt;&gt;"",G788&lt;&gt;""),MAX(0,G788-F788),N(H788)))</f>
        <v/>
      </c>
      <c r="K788" s="55">
        <f>IF(A788="","",ROUND(J788*MileRate,2))</f>
        <v/>
      </c>
      <c r="L788" s="51">
        <f>IF(A788="","",DATE(YEAR(A788),MONTH(A788),1))</f>
        <v/>
      </c>
    </row>
    <row r="789">
      <c r="A789" s="47" t="n"/>
      <c r="B789" s="38" t="n"/>
      <c r="C789" s="38" t="n"/>
      <c r="D789" s="38" t="n"/>
      <c r="E789" s="38" t="n"/>
      <c r="F789" s="128" t="n"/>
      <c r="G789" s="128" t="n"/>
      <c r="H789" s="129" t="n"/>
      <c r="I789" s="38" t="n"/>
      <c r="J789" s="98">
        <f>IF(A789="","",IF(AND(F789&lt;&gt;"",G789&lt;&gt;""),MAX(0,G789-F789),N(H789)))</f>
        <v/>
      </c>
      <c r="K789" s="55">
        <f>IF(A789="","",ROUND(J789*MileRate,2))</f>
        <v/>
      </c>
      <c r="L789" s="51">
        <f>IF(A789="","",DATE(YEAR(A789),MONTH(A789),1))</f>
        <v/>
      </c>
    </row>
    <row r="790">
      <c r="A790" s="47" t="n"/>
      <c r="B790" s="38" t="n"/>
      <c r="C790" s="38" t="n"/>
      <c r="D790" s="38" t="n"/>
      <c r="E790" s="38" t="n"/>
      <c r="F790" s="128" t="n"/>
      <c r="G790" s="128" t="n"/>
      <c r="H790" s="129" t="n"/>
      <c r="I790" s="38" t="n"/>
      <c r="J790" s="98">
        <f>IF(A790="","",IF(AND(F790&lt;&gt;"",G790&lt;&gt;""),MAX(0,G790-F790),N(H790)))</f>
        <v/>
      </c>
      <c r="K790" s="55">
        <f>IF(A790="","",ROUND(J790*MileRate,2))</f>
        <v/>
      </c>
      <c r="L790" s="51">
        <f>IF(A790="","",DATE(YEAR(A790),MONTH(A790),1))</f>
        <v/>
      </c>
    </row>
    <row r="791">
      <c r="A791" s="47" t="n"/>
      <c r="B791" s="38" t="n"/>
      <c r="C791" s="38" t="n"/>
      <c r="D791" s="38" t="n"/>
      <c r="E791" s="38" t="n"/>
      <c r="F791" s="128" t="n"/>
      <c r="G791" s="128" t="n"/>
      <c r="H791" s="129" t="n"/>
      <c r="I791" s="38" t="n"/>
      <c r="J791" s="98">
        <f>IF(A791="","",IF(AND(F791&lt;&gt;"",G791&lt;&gt;""),MAX(0,G791-F791),N(H791)))</f>
        <v/>
      </c>
      <c r="K791" s="55">
        <f>IF(A791="","",ROUND(J791*MileRate,2))</f>
        <v/>
      </c>
      <c r="L791" s="51">
        <f>IF(A791="","",DATE(YEAR(A791),MONTH(A791),1))</f>
        <v/>
      </c>
    </row>
    <row r="792">
      <c r="A792" s="47" t="n"/>
      <c r="B792" s="38" t="n"/>
      <c r="C792" s="38" t="n"/>
      <c r="D792" s="38" t="n"/>
      <c r="E792" s="38" t="n"/>
      <c r="F792" s="128" t="n"/>
      <c r="G792" s="128" t="n"/>
      <c r="H792" s="129" t="n"/>
      <c r="I792" s="38" t="n"/>
      <c r="J792" s="98">
        <f>IF(A792="","",IF(AND(F792&lt;&gt;"",G792&lt;&gt;""),MAX(0,G792-F792),N(H792)))</f>
        <v/>
      </c>
      <c r="K792" s="55">
        <f>IF(A792="","",ROUND(J792*MileRate,2))</f>
        <v/>
      </c>
      <c r="L792" s="51">
        <f>IF(A792="","",DATE(YEAR(A792),MONTH(A792),1))</f>
        <v/>
      </c>
    </row>
    <row r="793">
      <c r="A793" s="47" t="n"/>
      <c r="B793" s="38" t="n"/>
      <c r="C793" s="38" t="n"/>
      <c r="D793" s="38" t="n"/>
      <c r="E793" s="38" t="n"/>
      <c r="F793" s="128" t="n"/>
      <c r="G793" s="128" t="n"/>
      <c r="H793" s="129" t="n"/>
      <c r="I793" s="38" t="n"/>
      <c r="J793" s="98">
        <f>IF(A793="","",IF(AND(F793&lt;&gt;"",G793&lt;&gt;""),MAX(0,G793-F793),N(H793)))</f>
        <v/>
      </c>
      <c r="K793" s="55">
        <f>IF(A793="","",ROUND(J793*MileRate,2))</f>
        <v/>
      </c>
      <c r="L793" s="51">
        <f>IF(A793="","",DATE(YEAR(A793),MONTH(A793),1))</f>
        <v/>
      </c>
    </row>
    <row r="794">
      <c r="A794" s="47" t="n"/>
      <c r="B794" s="38" t="n"/>
      <c r="C794" s="38" t="n"/>
      <c r="D794" s="38" t="n"/>
      <c r="E794" s="38" t="n"/>
      <c r="F794" s="128" t="n"/>
      <c r="G794" s="128" t="n"/>
      <c r="H794" s="129" t="n"/>
      <c r="I794" s="38" t="n"/>
      <c r="J794" s="98">
        <f>IF(A794="","",IF(AND(F794&lt;&gt;"",G794&lt;&gt;""),MAX(0,G794-F794),N(H794)))</f>
        <v/>
      </c>
      <c r="K794" s="55">
        <f>IF(A794="","",ROUND(J794*MileRate,2))</f>
        <v/>
      </c>
      <c r="L794" s="51">
        <f>IF(A794="","",DATE(YEAR(A794),MONTH(A794),1))</f>
        <v/>
      </c>
    </row>
    <row r="795">
      <c r="A795" s="47" t="n"/>
      <c r="B795" s="38" t="n"/>
      <c r="C795" s="38" t="n"/>
      <c r="D795" s="38" t="n"/>
      <c r="E795" s="38" t="n"/>
      <c r="F795" s="128" t="n"/>
      <c r="G795" s="128" t="n"/>
      <c r="H795" s="129" t="n"/>
      <c r="I795" s="38" t="n"/>
      <c r="J795" s="98">
        <f>IF(A795="","",IF(AND(F795&lt;&gt;"",G795&lt;&gt;""),MAX(0,G795-F795),N(H795)))</f>
        <v/>
      </c>
      <c r="K795" s="55">
        <f>IF(A795="","",ROUND(J795*MileRate,2))</f>
        <v/>
      </c>
      <c r="L795" s="51">
        <f>IF(A795="","",DATE(YEAR(A795),MONTH(A795),1))</f>
        <v/>
      </c>
    </row>
    <row r="796">
      <c r="A796" s="47" t="n"/>
      <c r="B796" s="38" t="n"/>
      <c r="C796" s="38" t="n"/>
      <c r="D796" s="38" t="n"/>
      <c r="E796" s="38" t="n"/>
      <c r="F796" s="128" t="n"/>
      <c r="G796" s="128" t="n"/>
      <c r="H796" s="129" t="n"/>
      <c r="I796" s="38" t="n"/>
      <c r="J796" s="98">
        <f>IF(A796="","",IF(AND(F796&lt;&gt;"",G796&lt;&gt;""),MAX(0,G796-F796),N(H796)))</f>
        <v/>
      </c>
      <c r="K796" s="55">
        <f>IF(A796="","",ROUND(J796*MileRate,2))</f>
        <v/>
      </c>
      <c r="L796" s="51">
        <f>IF(A796="","",DATE(YEAR(A796),MONTH(A796),1))</f>
        <v/>
      </c>
    </row>
    <row r="797">
      <c r="A797" s="47" t="n"/>
      <c r="B797" s="38" t="n"/>
      <c r="C797" s="38" t="n"/>
      <c r="D797" s="38" t="n"/>
      <c r="E797" s="38" t="n"/>
      <c r="F797" s="128" t="n"/>
      <c r="G797" s="128" t="n"/>
      <c r="H797" s="129" t="n"/>
      <c r="I797" s="38" t="n"/>
      <c r="J797" s="98">
        <f>IF(A797="","",IF(AND(F797&lt;&gt;"",G797&lt;&gt;""),MAX(0,G797-F797),N(H797)))</f>
        <v/>
      </c>
      <c r="K797" s="55">
        <f>IF(A797="","",ROUND(J797*MileRate,2))</f>
        <v/>
      </c>
      <c r="L797" s="51">
        <f>IF(A797="","",DATE(YEAR(A797),MONTH(A797),1))</f>
        <v/>
      </c>
    </row>
    <row r="798">
      <c r="A798" s="47" t="n"/>
      <c r="B798" s="38" t="n"/>
      <c r="C798" s="38" t="n"/>
      <c r="D798" s="38" t="n"/>
      <c r="E798" s="38" t="n"/>
      <c r="F798" s="128" t="n"/>
      <c r="G798" s="128" t="n"/>
      <c r="H798" s="129" t="n"/>
      <c r="I798" s="38" t="n"/>
      <c r="J798" s="98">
        <f>IF(A798="","",IF(AND(F798&lt;&gt;"",G798&lt;&gt;""),MAX(0,G798-F798),N(H798)))</f>
        <v/>
      </c>
      <c r="K798" s="55">
        <f>IF(A798="","",ROUND(J798*MileRate,2))</f>
        <v/>
      </c>
      <c r="L798" s="51">
        <f>IF(A798="","",DATE(YEAR(A798),MONTH(A798),1))</f>
        <v/>
      </c>
    </row>
    <row r="799">
      <c r="A799" s="47" t="n"/>
      <c r="B799" s="38" t="n"/>
      <c r="C799" s="38" t="n"/>
      <c r="D799" s="38" t="n"/>
      <c r="E799" s="38" t="n"/>
      <c r="F799" s="128" t="n"/>
      <c r="G799" s="128" t="n"/>
      <c r="H799" s="129" t="n"/>
      <c r="I799" s="38" t="n"/>
      <c r="J799" s="98">
        <f>IF(A799="","",IF(AND(F799&lt;&gt;"",G799&lt;&gt;""),MAX(0,G799-F799),N(H799)))</f>
        <v/>
      </c>
      <c r="K799" s="55">
        <f>IF(A799="","",ROUND(J799*MileRate,2))</f>
        <v/>
      </c>
      <c r="L799" s="51">
        <f>IF(A799="","",DATE(YEAR(A799),MONTH(A799),1))</f>
        <v/>
      </c>
    </row>
    <row r="800">
      <c r="A800" s="47" t="n"/>
      <c r="B800" s="38" t="n"/>
      <c r="C800" s="38" t="n"/>
      <c r="D800" s="38" t="n"/>
      <c r="E800" s="38" t="n"/>
      <c r="F800" s="128" t="n"/>
      <c r="G800" s="128" t="n"/>
      <c r="H800" s="129" t="n"/>
      <c r="I800" s="38" t="n"/>
      <c r="J800" s="98">
        <f>IF(A800="","",IF(AND(F800&lt;&gt;"",G800&lt;&gt;""),MAX(0,G800-F800),N(H800)))</f>
        <v/>
      </c>
      <c r="K800" s="55">
        <f>IF(A800="","",ROUND(J800*MileRate,2))</f>
        <v/>
      </c>
      <c r="L800" s="51">
        <f>IF(A800="","",DATE(YEAR(A800),MONTH(A800),1))</f>
        <v/>
      </c>
    </row>
    <row r="801">
      <c r="A801" s="47" t="n"/>
      <c r="B801" s="38" t="n"/>
      <c r="C801" s="38" t="n"/>
      <c r="D801" s="38" t="n"/>
      <c r="E801" s="38" t="n"/>
      <c r="F801" s="128" t="n"/>
      <c r="G801" s="128" t="n"/>
      <c r="H801" s="129" t="n"/>
      <c r="I801" s="38" t="n"/>
      <c r="J801" s="98">
        <f>IF(A801="","",IF(AND(F801&lt;&gt;"",G801&lt;&gt;""),MAX(0,G801-F801),N(H801)))</f>
        <v/>
      </c>
      <c r="K801" s="55">
        <f>IF(A801="","",ROUND(J801*MileRate,2))</f>
        <v/>
      </c>
      <c r="L801" s="51">
        <f>IF(A801="","",DATE(YEAR(A801),MONTH(A801),1))</f>
        <v/>
      </c>
    </row>
    <row r="802">
      <c r="A802" s="47" t="n"/>
      <c r="B802" s="38" t="n"/>
      <c r="C802" s="38" t="n"/>
      <c r="D802" s="38" t="n"/>
      <c r="E802" s="38" t="n"/>
      <c r="F802" s="128" t="n"/>
      <c r="G802" s="128" t="n"/>
      <c r="H802" s="129" t="n"/>
      <c r="I802" s="38" t="n"/>
      <c r="J802" s="98">
        <f>IF(A802="","",IF(AND(F802&lt;&gt;"",G802&lt;&gt;""),MAX(0,G802-F802),N(H802)))</f>
        <v/>
      </c>
      <c r="K802" s="55">
        <f>IF(A802="","",ROUND(J802*MileRate,2))</f>
        <v/>
      </c>
      <c r="L802" s="51">
        <f>IF(A802="","",DATE(YEAR(A802),MONTH(A802),1))</f>
        <v/>
      </c>
    </row>
    <row r="803">
      <c r="A803" s="47" t="n"/>
      <c r="B803" s="38" t="n"/>
      <c r="C803" s="38" t="n"/>
      <c r="D803" s="38" t="n"/>
      <c r="E803" s="38" t="n"/>
      <c r="F803" s="128" t="n"/>
      <c r="G803" s="128" t="n"/>
      <c r="H803" s="129" t="n"/>
      <c r="I803" s="38" t="n"/>
      <c r="J803" s="98">
        <f>IF(A803="","",IF(AND(F803&lt;&gt;"",G803&lt;&gt;""),MAX(0,G803-F803),N(H803)))</f>
        <v/>
      </c>
      <c r="K803" s="55">
        <f>IF(A803="","",ROUND(J803*MileRate,2))</f>
        <v/>
      </c>
      <c r="L803" s="51">
        <f>IF(A803="","",DATE(YEAR(A803),MONTH(A803),1))</f>
        <v/>
      </c>
    </row>
    <row r="804">
      <c r="A804" s="47" t="n"/>
      <c r="B804" s="38" t="n"/>
      <c r="C804" s="38" t="n"/>
      <c r="D804" s="38" t="n"/>
      <c r="E804" s="38" t="n"/>
      <c r="F804" s="128" t="n"/>
      <c r="G804" s="128" t="n"/>
      <c r="H804" s="129" t="n"/>
      <c r="I804" s="38" t="n"/>
      <c r="J804" s="98">
        <f>IF(A804="","",IF(AND(F804&lt;&gt;"",G804&lt;&gt;""),MAX(0,G804-F804),N(H804)))</f>
        <v/>
      </c>
      <c r="K804" s="55">
        <f>IF(A804="","",ROUND(J804*MileRate,2))</f>
        <v/>
      </c>
      <c r="L804" s="51">
        <f>IF(A804="","",DATE(YEAR(A804),MONTH(A804),1))</f>
        <v/>
      </c>
    </row>
    <row r="805">
      <c r="A805" s="47" t="n"/>
      <c r="B805" s="38" t="n"/>
      <c r="C805" s="38" t="n"/>
      <c r="D805" s="38" t="n"/>
      <c r="E805" s="38" t="n"/>
      <c r="F805" s="128" t="n"/>
      <c r="G805" s="128" t="n"/>
      <c r="H805" s="129" t="n"/>
      <c r="I805" s="38" t="n"/>
      <c r="J805" s="98">
        <f>IF(A805="","",IF(AND(F805&lt;&gt;"",G805&lt;&gt;""),MAX(0,G805-F805),N(H805)))</f>
        <v/>
      </c>
      <c r="K805" s="55">
        <f>IF(A805="","",ROUND(J805*MileRate,2))</f>
        <v/>
      </c>
      <c r="L805" s="51">
        <f>IF(A805="","",DATE(YEAR(A805),MONTH(A805),1))</f>
        <v/>
      </c>
    </row>
    <row r="806">
      <c r="A806" s="47" t="n"/>
      <c r="B806" s="38" t="n"/>
      <c r="C806" s="38" t="n"/>
      <c r="D806" s="38" t="n"/>
      <c r="E806" s="38" t="n"/>
      <c r="F806" s="128" t="n"/>
      <c r="G806" s="128" t="n"/>
      <c r="H806" s="129" t="n"/>
      <c r="I806" s="38" t="n"/>
      <c r="J806" s="98">
        <f>IF(A806="","",IF(AND(F806&lt;&gt;"",G806&lt;&gt;""),MAX(0,G806-F806),N(H806)))</f>
        <v/>
      </c>
      <c r="K806" s="55">
        <f>IF(A806="","",ROUND(J806*MileRate,2))</f>
        <v/>
      </c>
      <c r="L806" s="51">
        <f>IF(A806="","",DATE(YEAR(A806),MONTH(A806),1))</f>
        <v/>
      </c>
    </row>
    <row r="807">
      <c r="A807" s="47" t="n"/>
      <c r="B807" s="38" t="n"/>
      <c r="C807" s="38" t="n"/>
      <c r="D807" s="38" t="n"/>
      <c r="E807" s="38" t="n"/>
      <c r="F807" s="128" t="n"/>
      <c r="G807" s="128" t="n"/>
      <c r="H807" s="129" t="n"/>
      <c r="I807" s="38" t="n"/>
      <c r="J807" s="98">
        <f>IF(A807="","",IF(AND(F807&lt;&gt;"",G807&lt;&gt;""),MAX(0,G807-F807),N(H807)))</f>
        <v/>
      </c>
      <c r="K807" s="55">
        <f>IF(A807="","",ROUND(J807*MileRate,2))</f>
        <v/>
      </c>
      <c r="L807" s="51">
        <f>IF(A807="","",DATE(YEAR(A807),MONTH(A807),1))</f>
        <v/>
      </c>
    </row>
    <row r="808">
      <c r="A808" s="47" t="n"/>
      <c r="B808" s="38" t="n"/>
      <c r="C808" s="38" t="n"/>
      <c r="D808" s="38" t="n"/>
      <c r="E808" s="38" t="n"/>
      <c r="F808" s="128" t="n"/>
      <c r="G808" s="128" t="n"/>
      <c r="H808" s="129" t="n"/>
      <c r="I808" s="38" t="n"/>
      <c r="J808" s="98">
        <f>IF(A808="","",IF(AND(F808&lt;&gt;"",G808&lt;&gt;""),MAX(0,G808-F808),N(H808)))</f>
        <v/>
      </c>
      <c r="K808" s="55">
        <f>IF(A808="","",ROUND(J808*MileRate,2))</f>
        <v/>
      </c>
      <c r="L808" s="51">
        <f>IF(A808="","",DATE(YEAR(A808),MONTH(A808),1))</f>
        <v/>
      </c>
    </row>
    <row r="809">
      <c r="A809" s="47" t="n"/>
      <c r="B809" s="38" t="n"/>
      <c r="C809" s="38" t="n"/>
      <c r="D809" s="38" t="n"/>
      <c r="E809" s="38" t="n"/>
      <c r="F809" s="128" t="n"/>
      <c r="G809" s="128" t="n"/>
      <c r="H809" s="129" t="n"/>
      <c r="I809" s="38" t="n"/>
      <c r="J809" s="98">
        <f>IF(A809="","",IF(AND(F809&lt;&gt;"",G809&lt;&gt;""),MAX(0,G809-F809),N(H809)))</f>
        <v/>
      </c>
      <c r="K809" s="55">
        <f>IF(A809="","",ROUND(J809*MileRate,2))</f>
        <v/>
      </c>
      <c r="L809" s="51">
        <f>IF(A809="","",DATE(YEAR(A809),MONTH(A809),1))</f>
        <v/>
      </c>
    </row>
    <row r="810">
      <c r="A810" s="47" t="n"/>
      <c r="B810" s="38" t="n"/>
      <c r="C810" s="38" t="n"/>
      <c r="D810" s="38" t="n"/>
      <c r="E810" s="38" t="n"/>
      <c r="F810" s="128" t="n"/>
      <c r="G810" s="128" t="n"/>
      <c r="H810" s="129" t="n"/>
      <c r="I810" s="38" t="n"/>
      <c r="J810" s="98">
        <f>IF(A810="","",IF(AND(F810&lt;&gt;"",G810&lt;&gt;""),MAX(0,G810-F810),N(H810)))</f>
        <v/>
      </c>
      <c r="K810" s="55">
        <f>IF(A810="","",ROUND(J810*MileRate,2))</f>
        <v/>
      </c>
      <c r="L810" s="51">
        <f>IF(A810="","",DATE(YEAR(A810),MONTH(A810),1))</f>
        <v/>
      </c>
    </row>
    <row r="811">
      <c r="A811" s="47" t="n"/>
      <c r="B811" s="38" t="n"/>
      <c r="C811" s="38" t="n"/>
      <c r="D811" s="38" t="n"/>
      <c r="E811" s="38" t="n"/>
      <c r="F811" s="128" t="n"/>
      <c r="G811" s="128" t="n"/>
      <c r="H811" s="129" t="n"/>
      <c r="I811" s="38" t="n"/>
      <c r="J811" s="98">
        <f>IF(A811="","",IF(AND(F811&lt;&gt;"",G811&lt;&gt;""),MAX(0,G811-F811),N(H811)))</f>
        <v/>
      </c>
      <c r="K811" s="55">
        <f>IF(A811="","",ROUND(J811*MileRate,2))</f>
        <v/>
      </c>
      <c r="L811" s="51">
        <f>IF(A811="","",DATE(YEAR(A811),MONTH(A811),1))</f>
        <v/>
      </c>
    </row>
    <row r="812">
      <c r="A812" s="47" t="n"/>
      <c r="B812" s="38" t="n"/>
      <c r="C812" s="38" t="n"/>
      <c r="D812" s="38" t="n"/>
      <c r="E812" s="38" t="n"/>
      <c r="F812" s="128" t="n"/>
      <c r="G812" s="128" t="n"/>
      <c r="H812" s="129" t="n"/>
      <c r="I812" s="38" t="n"/>
      <c r="J812" s="98">
        <f>IF(A812="","",IF(AND(F812&lt;&gt;"",G812&lt;&gt;""),MAX(0,G812-F812),N(H812)))</f>
        <v/>
      </c>
      <c r="K812" s="55">
        <f>IF(A812="","",ROUND(J812*MileRate,2))</f>
        <v/>
      </c>
      <c r="L812" s="51">
        <f>IF(A812="","",DATE(YEAR(A812),MONTH(A812),1))</f>
        <v/>
      </c>
    </row>
    <row r="813">
      <c r="A813" s="47" t="n"/>
      <c r="B813" s="38" t="n"/>
      <c r="C813" s="38" t="n"/>
      <c r="D813" s="38" t="n"/>
      <c r="E813" s="38" t="n"/>
      <c r="F813" s="128" t="n"/>
      <c r="G813" s="128" t="n"/>
      <c r="H813" s="129" t="n"/>
      <c r="I813" s="38" t="n"/>
      <c r="J813" s="98">
        <f>IF(A813="","",IF(AND(F813&lt;&gt;"",G813&lt;&gt;""),MAX(0,G813-F813),N(H813)))</f>
        <v/>
      </c>
      <c r="K813" s="55">
        <f>IF(A813="","",ROUND(J813*MileRate,2))</f>
        <v/>
      </c>
      <c r="L813" s="51">
        <f>IF(A813="","",DATE(YEAR(A813),MONTH(A813),1))</f>
        <v/>
      </c>
    </row>
    <row r="814">
      <c r="A814" s="47" t="n"/>
      <c r="B814" s="38" t="n"/>
      <c r="C814" s="38" t="n"/>
      <c r="D814" s="38" t="n"/>
      <c r="E814" s="38" t="n"/>
      <c r="F814" s="128" t="n"/>
      <c r="G814" s="128" t="n"/>
      <c r="H814" s="129" t="n"/>
      <c r="I814" s="38" t="n"/>
      <c r="J814" s="98">
        <f>IF(A814="","",IF(AND(F814&lt;&gt;"",G814&lt;&gt;""),MAX(0,G814-F814),N(H814)))</f>
        <v/>
      </c>
      <c r="K814" s="55">
        <f>IF(A814="","",ROUND(J814*MileRate,2))</f>
        <v/>
      </c>
      <c r="L814" s="51">
        <f>IF(A814="","",DATE(YEAR(A814),MONTH(A814),1))</f>
        <v/>
      </c>
    </row>
    <row r="815">
      <c r="A815" s="47" t="n"/>
      <c r="B815" s="38" t="n"/>
      <c r="C815" s="38" t="n"/>
      <c r="D815" s="38" t="n"/>
      <c r="E815" s="38" t="n"/>
      <c r="F815" s="128" t="n"/>
      <c r="G815" s="128" t="n"/>
      <c r="H815" s="129" t="n"/>
      <c r="I815" s="38" t="n"/>
      <c r="J815" s="98">
        <f>IF(A815="","",IF(AND(F815&lt;&gt;"",G815&lt;&gt;""),MAX(0,G815-F815),N(H815)))</f>
        <v/>
      </c>
      <c r="K815" s="55">
        <f>IF(A815="","",ROUND(J815*MileRate,2))</f>
        <v/>
      </c>
      <c r="L815" s="51">
        <f>IF(A815="","",DATE(YEAR(A815),MONTH(A815),1))</f>
        <v/>
      </c>
    </row>
    <row r="816">
      <c r="A816" s="47" t="n"/>
      <c r="B816" s="38" t="n"/>
      <c r="C816" s="38" t="n"/>
      <c r="D816" s="38" t="n"/>
      <c r="E816" s="38" t="n"/>
      <c r="F816" s="128" t="n"/>
      <c r="G816" s="128" t="n"/>
      <c r="H816" s="129" t="n"/>
      <c r="I816" s="38" t="n"/>
      <c r="J816" s="98">
        <f>IF(A816="","",IF(AND(F816&lt;&gt;"",G816&lt;&gt;""),MAX(0,G816-F816),N(H816)))</f>
        <v/>
      </c>
      <c r="K816" s="55">
        <f>IF(A816="","",ROUND(J816*MileRate,2))</f>
        <v/>
      </c>
      <c r="L816" s="51">
        <f>IF(A816="","",DATE(YEAR(A816),MONTH(A816),1))</f>
        <v/>
      </c>
    </row>
    <row r="817">
      <c r="A817" s="47" t="n"/>
      <c r="B817" s="38" t="n"/>
      <c r="C817" s="38" t="n"/>
      <c r="D817" s="38" t="n"/>
      <c r="E817" s="38" t="n"/>
      <c r="F817" s="128" t="n"/>
      <c r="G817" s="128" t="n"/>
      <c r="H817" s="129" t="n"/>
      <c r="I817" s="38" t="n"/>
      <c r="J817" s="98">
        <f>IF(A817="","",IF(AND(F817&lt;&gt;"",G817&lt;&gt;""),MAX(0,G817-F817),N(H817)))</f>
        <v/>
      </c>
      <c r="K817" s="55">
        <f>IF(A817="","",ROUND(J817*MileRate,2))</f>
        <v/>
      </c>
      <c r="L817" s="51">
        <f>IF(A817="","",DATE(YEAR(A817),MONTH(A817),1))</f>
        <v/>
      </c>
    </row>
    <row r="818">
      <c r="A818" s="47" t="n"/>
      <c r="B818" s="38" t="n"/>
      <c r="C818" s="38" t="n"/>
      <c r="D818" s="38" t="n"/>
      <c r="E818" s="38" t="n"/>
      <c r="F818" s="128" t="n"/>
      <c r="G818" s="128" t="n"/>
      <c r="H818" s="129" t="n"/>
      <c r="I818" s="38" t="n"/>
      <c r="J818" s="98">
        <f>IF(A818="","",IF(AND(F818&lt;&gt;"",G818&lt;&gt;""),MAX(0,G818-F818),N(H818)))</f>
        <v/>
      </c>
      <c r="K818" s="55">
        <f>IF(A818="","",ROUND(J818*MileRate,2))</f>
        <v/>
      </c>
      <c r="L818" s="51">
        <f>IF(A818="","",DATE(YEAR(A818),MONTH(A818),1))</f>
        <v/>
      </c>
    </row>
    <row r="819">
      <c r="A819" s="47" t="n"/>
      <c r="B819" s="38" t="n"/>
      <c r="C819" s="38" t="n"/>
      <c r="D819" s="38" t="n"/>
      <c r="E819" s="38" t="n"/>
      <c r="F819" s="128" t="n"/>
      <c r="G819" s="128" t="n"/>
      <c r="H819" s="129" t="n"/>
      <c r="I819" s="38" t="n"/>
      <c r="J819" s="98">
        <f>IF(A819="","",IF(AND(F819&lt;&gt;"",G819&lt;&gt;""),MAX(0,G819-F819),N(H819)))</f>
        <v/>
      </c>
      <c r="K819" s="55">
        <f>IF(A819="","",ROUND(J819*MileRate,2))</f>
        <v/>
      </c>
      <c r="L819" s="51">
        <f>IF(A819="","",DATE(YEAR(A819),MONTH(A819),1))</f>
        <v/>
      </c>
    </row>
    <row r="820">
      <c r="A820" s="47" t="n"/>
      <c r="B820" s="38" t="n"/>
      <c r="C820" s="38" t="n"/>
      <c r="D820" s="38" t="n"/>
      <c r="E820" s="38" t="n"/>
      <c r="F820" s="128" t="n"/>
      <c r="G820" s="128" t="n"/>
      <c r="H820" s="129" t="n"/>
      <c r="I820" s="38" t="n"/>
      <c r="J820" s="98">
        <f>IF(A820="","",IF(AND(F820&lt;&gt;"",G820&lt;&gt;""),MAX(0,G820-F820),N(H820)))</f>
        <v/>
      </c>
      <c r="K820" s="55">
        <f>IF(A820="","",ROUND(J820*MileRate,2))</f>
        <v/>
      </c>
      <c r="L820" s="51">
        <f>IF(A820="","",DATE(YEAR(A820),MONTH(A820),1))</f>
        <v/>
      </c>
    </row>
    <row r="821">
      <c r="A821" s="47" t="n"/>
      <c r="B821" s="38" t="n"/>
      <c r="C821" s="38" t="n"/>
      <c r="D821" s="38" t="n"/>
      <c r="E821" s="38" t="n"/>
      <c r="F821" s="128" t="n"/>
      <c r="G821" s="128" t="n"/>
      <c r="H821" s="129" t="n"/>
      <c r="I821" s="38" t="n"/>
      <c r="J821" s="98">
        <f>IF(A821="","",IF(AND(F821&lt;&gt;"",G821&lt;&gt;""),MAX(0,G821-F821),N(H821)))</f>
        <v/>
      </c>
      <c r="K821" s="55">
        <f>IF(A821="","",ROUND(J821*MileRate,2))</f>
        <v/>
      </c>
      <c r="L821" s="51">
        <f>IF(A821="","",DATE(YEAR(A821),MONTH(A821),1))</f>
        <v/>
      </c>
    </row>
    <row r="822">
      <c r="A822" s="47" t="n"/>
      <c r="B822" s="38" t="n"/>
      <c r="C822" s="38" t="n"/>
      <c r="D822" s="38" t="n"/>
      <c r="E822" s="38" t="n"/>
      <c r="F822" s="128" t="n"/>
      <c r="G822" s="128" t="n"/>
      <c r="H822" s="129" t="n"/>
      <c r="I822" s="38" t="n"/>
      <c r="J822" s="98">
        <f>IF(A822="","",IF(AND(F822&lt;&gt;"",G822&lt;&gt;""),MAX(0,G822-F822),N(H822)))</f>
        <v/>
      </c>
      <c r="K822" s="55">
        <f>IF(A822="","",ROUND(J822*MileRate,2))</f>
        <v/>
      </c>
      <c r="L822" s="51">
        <f>IF(A822="","",DATE(YEAR(A822),MONTH(A822),1))</f>
        <v/>
      </c>
    </row>
    <row r="823">
      <c r="A823" s="47" t="n"/>
      <c r="B823" s="38" t="n"/>
      <c r="C823" s="38" t="n"/>
      <c r="D823" s="38" t="n"/>
      <c r="E823" s="38" t="n"/>
      <c r="F823" s="128" t="n"/>
      <c r="G823" s="128" t="n"/>
      <c r="H823" s="129" t="n"/>
      <c r="I823" s="38" t="n"/>
      <c r="J823" s="98">
        <f>IF(A823="","",IF(AND(F823&lt;&gt;"",G823&lt;&gt;""),MAX(0,G823-F823),N(H823)))</f>
        <v/>
      </c>
      <c r="K823" s="55">
        <f>IF(A823="","",ROUND(J823*MileRate,2))</f>
        <v/>
      </c>
      <c r="L823" s="51">
        <f>IF(A823="","",DATE(YEAR(A823),MONTH(A823),1))</f>
        <v/>
      </c>
    </row>
    <row r="824">
      <c r="A824" s="47" t="n"/>
      <c r="B824" s="38" t="n"/>
      <c r="C824" s="38" t="n"/>
      <c r="D824" s="38" t="n"/>
      <c r="E824" s="38" t="n"/>
      <c r="F824" s="128" t="n"/>
      <c r="G824" s="128" t="n"/>
      <c r="H824" s="129" t="n"/>
      <c r="I824" s="38" t="n"/>
      <c r="J824" s="98">
        <f>IF(A824="","",IF(AND(F824&lt;&gt;"",G824&lt;&gt;""),MAX(0,G824-F824),N(H824)))</f>
        <v/>
      </c>
      <c r="K824" s="55">
        <f>IF(A824="","",ROUND(J824*MileRate,2))</f>
        <v/>
      </c>
      <c r="L824" s="51">
        <f>IF(A824="","",DATE(YEAR(A824),MONTH(A824),1))</f>
        <v/>
      </c>
    </row>
    <row r="825">
      <c r="A825" s="47" t="n"/>
      <c r="B825" s="38" t="n"/>
      <c r="C825" s="38" t="n"/>
      <c r="D825" s="38" t="n"/>
      <c r="E825" s="38" t="n"/>
      <c r="F825" s="128" t="n"/>
      <c r="G825" s="128" t="n"/>
      <c r="H825" s="129" t="n"/>
      <c r="I825" s="38" t="n"/>
      <c r="J825" s="98">
        <f>IF(A825="","",IF(AND(F825&lt;&gt;"",G825&lt;&gt;""),MAX(0,G825-F825),N(H825)))</f>
        <v/>
      </c>
      <c r="K825" s="55">
        <f>IF(A825="","",ROUND(J825*MileRate,2))</f>
        <v/>
      </c>
      <c r="L825" s="51">
        <f>IF(A825="","",DATE(YEAR(A825),MONTH(A825),1))</f>
        <v/>
      </c>
    </row>
    <row r="826">
      <c r="A826" s="47" t="n"/>
      <c r="B826" s="38" t="n"/>
      <c r="C826" s="38" t="n"/>
      <c r="D826" s="38" t="n"/>
      <c r="E826" s="38" t="n"/>
      <c r="F826" s="128" t="n"/>
      <c r="G826" s="128" t="n"/>
      <c r="H826" s="129" t="n"/>
      <c r="I826" s="38" t="n"/>
      <c r="J826" s="98">
        <f>IF(A826="","",IF(AND(F826&lt;&gt;"",G826&lt;&gt;""),MAX(0,G826-F826),N(H826)))</f>
        <v/>
      </c>
      <c r="K826" s="55">
        <f>IF(A826="","",ROUND(J826*MileRate,2))</f>
        <v/>
      </c>
      <c r="L826" s="51">
        <f>IF(A826="","",DATE(YEAR(A826),MONTH(A826),1))</f>
        <v/>
      </c>
    </row>
    <row r="827">
      <c r="A827" s="47" t="n"/>
      <c r="B827" s="38" t="n"/>
      <c r="C827" s="38" t="n"/>
      <c r="D827" s="38" t="n"/>
      <c r="E827" s="38" t="n"/>
      <c r="F827" s="128" t="n"/>
      <c r="G827" s="128" t="n"/>
      <c r="H827" s="129" t="n"/>
      <c r="I827" s="38" t="n"/>
      <c r="J827" s="98">
        <f>IF(A827="","",IF(AND(F827&lt;&gt;"",G827&lt;&gt;""),MAX(0,G827-F827),N(H827)))</f>
        <v/>
      </c>
      <c r="K827" s="55">
        <f>IF(A827="","",ROUND(J827*MileRate,2))</f>
        <v/>
      </c>
      <c r="L827" s="51">
        <f>IF(A827="","",DATE(YEAR(A827),MONTH(A827),1))</f>
        <v/>
      </c>
    </row>
    <row r="828">
      <c r="A828" s="47" t="n"/>
      <c r="B828" s="38" t="n"/>
      <c r="C828" s="38" t="n"/>
      <c r="D828" s="38" t="n"/>
      <c r="E828" s="38" t="n"/>
      <c r="F828" s="128" t="n"/>
      <c r="G828" s="128" t="n"/>
      <c r="H828" s="129" t="n"/>
      <c r="I828" s="38" t="n"/>
      <c r="J828" s="98">
        <f>IF(A828="","",IF(AND(F828&lt;&gt;"",G828&lt;&gt;""),MAX(0,G828-F828),N(H828)))</f>
        <v/>
      </c>
      <c r="K828" s="55">
        <f>IF(A828="","",ROUND(J828*MileRate,2))</f>
        <v/>
      </c>
      <c r="L828" s="51">
        <f>IF(A828="","",DATE(YEAR(A828),MONTH(A828),1))</f>
        <v/>
      </c>
    </row>
    <row r="829">
      <c r="A829" s="47" t="n"/>
      <c r="B829" s="38" t="n"/>
      <c r="C829" s="38" t="n"/>
      <c r="D829" s="38" t="n"/>
      <c r="E829" s="38" t="n"/>
      <c r="F829" s="128" t="n"/>
      <c r="G829" s="128" t="n"/>
      <c r="H829" s="129" t="n"/>
      <c r="I829" s="38" t="n"/>
      <c r="J829" s="98">
        <f>IF(A829="","",IF(AND(F829&lt;&gt;"",G829&lt;&gt;""),MAX(0,G829-F829),N(H829)))</f>
        <v/>
      </c>
      <c r="K829" s="55">
        <f>IF(A829="","",ROUND(J829*MileRate,2))</f>
        <v/>
      </c>
      <c r="L829" s="51">
        <f>IF(A829="","",DATE(YEAR(A829),MONTH(A829),1))</f>
        <v/>
      </c>
    </row>
    <row r="830">
      <c r="A830" s="47" t="n"/>
      <c r="B830" s="38" t="n"/>
      <c r="C830" s="38" t="n"/>
      <c r="D830" s="38" t="n"/>
      <c r="E830" s="38" t="n"/>
      <c r="F830" s="128" t="n"/>
      <c r="G830" s="128" t="n"/>
      <c r="H830" s="129" t="n"/>
      <c r="I830" s="38" t="n"/>
      <c r="J830" s="98">
        <f>IF(A830="","",IF(AND(F830&lt;&gt;"",G830&lt;&gt;""),MAX(0,G830-F830),N(H830)))</f>
        <v/>
      </c>
      <c r="K830" s="55">
        <f>IF(A830="","",ROUND(J830*MileRate,2))</f>
        <v/>
      </c>
      <c r="L830" s="51">
        <f>IF(A830="","",DATE(YEAR(A830),MONTH(A830),1))</f>
        <v/>
      </c>
    </row>
    <row r="831">
      <c r="A831" s="47" t="n"/>
      <c r="B831" s="38" t="n"/>
      <c r="C831" s="38" t="n"/>
      <c r="D831" s="38" t="n"/>
      <c r="E831" s="38" t="n"/>
      <c r="F831" s="128" t="n"/>
      <c r="G831" s="128" t="n"/>
      <c r="H831" s="129" t="n"/>
      <c r="I831" s="38" t="n"/>
      <c r="J831" s="98">
        <f>IF(A831="","",IF(AND(F831&lt;&gt;"",G831&lt;&gt;""),MAX(0,G831-F831),N(H831)))</f>
        <v/>
      </c>
      <c r="K831" s="55">
        <f>IF(A831="","",ROUND(J831*MileRate,2))</f>
        <v/>
      </c>
      <c r="L831" s="51">
        <f>IF(A831="","",DATE(YEAR(A831),MONTH(A831),1))</f>
        <v/>
      </c>
    </row>
    <row r="832">
      <c r="A832" s="47" t="n"/>
      <c r="B832" s="38" t="n"/>
      <c r="C832" s="38" t="n"/>
      <c r="D832" s="38" t="n"/>
      <c r="E832" s="38" t="n"/>
      <c r="F832" s="128" t="n"/>
      <c r="G832" s="128" t="n"/>
      <c r="H832" s="129" t="n"/>
      <c r="I832" s="38" t="n"/>
      <c r="J832" s="98">
        <f>IF(A832="","",IF(AND(F832&lt;&gt;"",G832&lt;&gt;""),MAX(0,G832-F832),N(H832)))</f>
        <v/>
      </c>
      <c r="K832" s="55">
        <f>IF(A832="","",ROUND(J832*MileRate,2))</f>
        <v/>
      </c>
      <c r="L832" s="51">
        <f>IF(A832="","",DATE(YEAR(A832),MONTH(A832),1))</f>
        <v/>
      </c>
    </row>
    <row r="833">
      <c r="A833" s="47" t="n"/>
      <c r="B833" s="38" t="n"/>
      <c r="C833" s="38" t="n"/>
      <c r="D833" s="38" t="n"/>
      <c r="E833" s="38" t="n"/>
      <c r="F833" s="128" t="n"/>
      <c r="G833" s="128" t="n"/>
      <c r="H833" s="129" t="n"/>
      <c r="I833" s="38" t="n"/>
      <c r="J833" s="98">
        <f>IF(A833="","",IF(AND(F833&lt;&gt;"",G833&lt;&gt;""),MAX(0,G833-F833),N(H833)))</f>
        <v/>
      </c>
      <c r="K833" s="55">
        <f>IF(A833="","",ROUND(J833*MileRate,2))</f>
        <v/>
      </c>
      <c r="L833" s="51">
        <f>IF(A833="","",DATE(YEAR(A833),MONTH(A833),1))</f>
        <v/>
      </c>
    </row>
    <row r="834">
      <c r="A834" s="47" t="n"/>
      <c r="B834" s="38" t="n"/>
      <c r="C834" s="38" t="n"/>
      <c r="D834" s="38" t="n"/>
      <c r="E834" s="38" t="n"/>
      <c r="F834" s="128" t="n"/>
      <c r="G834" s="128" t="n"/>
      <c r="H834" s="129" t="n"/>
      <c r="I834" s="38" t="n"/>
      <c r="J834" s="98">
        <f>IF(A834="","",IF(AND(F834&lt;&gt;"",G834&lt;&gt;""),MAX(0,G834-F834),N(H834)))</f>
        <v/>
      </c>
      <c r="K834" s="55">
        <f>IF(A834="","",ROUND(J834*MileRate,2))</f>
        <v/>
      </c>
      <c r="L834" s="51">
        <f>IF(A834="","",DATE(YEAR(A834),MONTH(A834),1))</f>
        <v/>
      </c>
    </row>
    <row r="835">
      <c r="A835" s="47" t="n"/>
      <c r="B835" s="38" t="n"/>
      <c r="C835" s="38" t="n"/>
      <c r="D835" s="38" t="n"/>
      <c r="E835" s="38" t="n"/>
      <c r="F835" s="128" t="n"/>
      <c r="G835" s="128" t="n"/>
      <c r="H835" s="129" t="n"/>
      <c r="I835" s="38" t="n"/>
      <c r="J835" s="98">
        <f>IF(A835="","",IF(AND(F835&lt;&gt;"",G835&lt;&gt;""),MAX(0,G835-F835),N(H835)))</f>
        <v/>
      </c>
      <c r="K835" s="55">
        <f>IF(A835="","",ROUND(J835*MileRate,2))</f>
        <v/>
      </c>
      <c r="L835" s="51">
        <f>IF(A835="","",DATE(YEAR(A835),MONTH(A835),1))</f>
        <v/>
      </c>
    </row>
    <row r="836">
      <c r="A836" s="47" t="n"/>
      <c r="B836" s="38" t="n"/>
      <c r="C836" s="38" t="n"/>
      <c r="D836" s="38" t="n"/>
      <c r="E836" s="38" t="n"/>
      <c r="F836" s="128" t="n"/>
      <c r="G836" s="128" t="n"/>
      <c r="H836" s="129" t="n"/>
      <c r="I836" s="38" t="n"/>
      <c r="J836" s="98">
        <f>IF(A836="","",IF(AND(F836&lt;&gt;"",G836&lt;&gt;""),MAX(0,G836-F836),N(H836)))</f>
        <v/>
      </c>
      <c r="K836" s="55">
        <f>IF(A836="","",ROUND(J836*MileRate,2))</f>
        <v/>
      </c>
      <c r="L836" s="51">
        <f>IF(A836="","",DATE(YEAR(A836),MONTH(A836),1))</f>
        <v/>
      </c>
    </row>
    <row r="837">
      <c r="A837" s="47" t="n"/>
      <c r="B837" s="38" t="n"/>
      <c r="C837" s="38" t="n"/>
      <c r="D837" s="38" t="n"/>
      <c r="E837" s="38" t="n"/>
      <c r="F837" s="128" t="n"/>
      <c r="G837" s="128" t="n"/>
      <c r="H837" s="129" t="n"/>
      <c r="I837" s="38" t="n"/>
      <c r="J837" s="98">
        <f>IF(A837="","",IF(AND(F837&lt;&gt;"",G837&lt;&gt;""),MAX(0,G837-F837),N(H837)))</f>
        <v/>
      </c>
      <c r="K837" s="55">
        <f>IF(A837="","",ROUND(J837*MileRate,2))</f>
        <v/>
      </c>
      <c r="L837" s="51">
        <f>IF(A837="","",DATE(YEAR(A837),MONTH(A837),1))</f>
        <v/>
      </c>
    </row>
    <row r="838">
      <c r="A838" s="47" t="n"/>
      <c r="B838" s="38" t="n"/>
      <c r="C838" s="38" t="n"/>
      <c r="D838" s="38" t="n"/>
      <c r="E838" s="38" t="n"/>
      <c r="F838" s="128" t="n"/>
      <c r="G838" s="128" t="n"/>
      <c r="H838" s="129" t="n"/>
      <c r="I838" s="38" t="n"/>
      <c r="J838" s="98">
        <f>IF(A838="","",IF(AND(F838&lt;&gt;"",G838&lt;&gt;""),MAX(0,G838-F838),N(H838)))</f>
        <v/>
      </c>
      <c r="K838" s="55">
        <f>IF(A838="","",ROUND(J838*MileRate,2))</f>
        <v/>
      </c>
      <c r="L838" s="51">
        <f>IF(A838="","",DATE(YEAR(A838),MONTH(A838),1))</f>
        <v/>
      </c>
    </row>
    <row r="839">
      <c r="A839" s="47" t="n"/>
      <c r="B839" s="38" t="n"/>
      <c r="C839" s="38" t="n"/>
      <c r="D839" s="38" t="n"/>
      <c r="E839" s="38" t="n"/>
      <c r="F839" s="128" t="n"/>
      <c r="G839" s="128" t="n"/>
      <c r="H839" s="129" t="n"/>
      <c r="I839" s="38" t="n"/>
      <c r="J839" s="98">
        <f>IF(A839="","",IF(AND(F839&lt;&gt;"",G839&lt;&gt;""),MAX(0,G839-F839),N(H839)))</f>
        <v/>
      </c>
      <c r="K839" s="55">
        <f>IF(A839="","",ROUND(J839*MileRate,2))</f>
        <v/>
      </c>
      <c r="L839" s="51">
        <f>IF(A839="","",DATE(YEAR(A839),MONTH(A839),1))</f>
        <v/>
      </c>
    </row>
    <row r="840">
      <c r="A840" s="47" t="n"/>
      <c r="B840" s="38" t="n"/>
      <c r="C840" s="38" t="n"/>
      <c r="D840" s="38" t="n"/>
      <c r="E840" s="38" t="n"/>
      <c r="F840" s="128" t="n"/>
      <c r="G840" s="128" t="n"/>
      <c r="H840" s="129" t="n"/>
      <c r="I840" s="38" t="n"/>
      <c r="J840" s="98">
        <f>IF(A840="","",IF(AND(F840&lt;&gt;"",G840&lt;&gt;""),MAX(0,G840-F840),N(H840)))</f>
        <v/>
      </c>
      <c r="K840" s="55">
        <f>IF(A840="","",ROUND(J840*MileRate,2))</f>
        <v/>
      </c>
      <c r="L840" s="51">
        <f>IF(A840="","",DATE(YEAR(A840),MONTH(A840),1))</f>
        <v/>
      </c>
    </row>
    <row r="841">
      <c r="A841" s="47" t="n"/>
      <c r="B841" s="38" t="n"/>
      <c r="C841" s="38" t="n"/>
      <c r="D841" s="38" t="n"/>
      <c r="E841" s="38" t="n"/>
      <c r="F841" s="128" t="n"/>
      <c r="G841" s="128" t="n"/>
      <c r="H841" s="129" t="n"/>
      <c r="I841" s="38" t="n"/>
      <c r="J841" s="98">
        <f>IF(A841="","",IF(AND(F841&lt;&gt;"",G841&lt;&gt;""),MAX(0,G841-F841),N(H841)))</f>
        <v/>
      </c>
      <c r="K841" s="55">
        <f>IF(A841="","",ROUND(J841*MileRate,2))</f>
        <v/>
      </c>
      <c r="L841" s="51">
        <f>IF(A841="","",DATE(YEAR(A841),MONTH(A841),1))</f>
        <v/>
      </c>
    </row>
    <row r="842">
      <c r="A842" s="47" t="n"/>
      <c r="B842" s="38" t="n"/>
      <c r="C842" s="38" t="n"/>
      <c r="D842" s="38" t="n"/>
      <c r="E842" s="38" t="n"/>
      <c r="F842" s="128" t="n"/>
      <c r="G842" s="128" t="n"/>
      <c r="H842" s="129" t="n"/>
      <c r="I842" s="38" t="n"/>
      <c r="J842" s="98">
        <f>IF(A842="","",IF(AND(F842&lt;&gt;"",G842&lt;&gt;""),MAX(0,G842-F842),N(H842)))</f>
        <v/>
      </c>
      <c r="K842" s="55">
        <f>IF(A842="","",ROUND(J842*MileRate,2))</f>
        <v/>
      </c>
      <c r="L842" s="51">
        <f>IF(A842="","",DATE(YEAR(A842),MONTH(A842),1))</f>
        <v/>
      </c>
    </row>
    <row r="843">
      <c r="A843" s="47" t="n"/>
      <c r="B843" s="38" t="n"/>
      <c r="C843" s="38" t="n"/>
      <c r="D843" s="38" t="n"/>
      <c r="E843" s="38" t="n"/>
      <c r="F843" s="128" t="n"/>
      <c r="G843" s="128" t="n"/>
      <c r="H843" s="129" t="n"/>
      <c r="I843" s="38" t="n"/>
      <c r="J843" s="98">
        <f>IF(A843="","",IF(AND(F843&lt;&gt;"",G843&lt;&gt;""),MAX(0,G843-F843),N(H843)))</f>
        <v/>
      </c>
      <c r="K843" s="55">
        <f>IF(A843="","",ROUND(J843*MileRate,2))</f>
        <v/>
      </c>
      <c r="L843" s="51">
        <f>IF(A843="","",DATE(YEAR(A843),MONTH(A843),1))</f>
        <v/>
      </c>
    </row>
    <row r="844">
      <c r="A844" s="47" t="n"/>
      <c r="B844" s="38" t="n"/>
      <c r="C844" s="38" t="n"/>
      <c r="D844" s="38" t="n"/>
      <c r="E844" s="38" t="n"/>
      <c r="F844" s="128" t="n"/>
      <c r="G844" s="128" t="n"/>
      <c r="H844" s="129" t="n"/>
      <c r="I844" s="38" t="n"/>
      <c r="J844" s="98">
        <f>IF(A844="","",IF(AND(F844&lt;&gt;"",G844&lt;&gt;""),MAX(0,G844-F844),N(H844)))</f>
        <v/>
      </c>
      <c r="K844" s="55">
        <f>IF(A844="","",ROUND(J844*MileRate,2))</f>
        <v/>
      </c>
      <c r="L844" s="51">
        <f>IF(A844="","",DATE(YEAR(A844),MONTH(A844),1))</f>
        <v/>
      </c>
    </row>
    <row r="845">
      <c r="A845" s="47" t="n"/>
      <c r="B845" s="38" t="n"/>
      <c r="C845" s="38" t="n"/>
      <c r="D845" s="38" t="n"/>
      <c r="E845" s="38" t="n"/>
      <c r="F845" s="128" t="n"/>
      <c r="G845" s="128" t="n"/>
      <c r="H845" s="129" t="n"/>
      <c r="I845" s="38" t="n"/>
      <c r="J845" s="98">
        <f>IF(A845="","",IF(AND(F845&lt;&gt;"",G845&lt;&gt;""),MAX(0,G845-F845),N(H845)))</f>
        <v/>
      </c>
      <c r="K845" s="55">
        <f>IF(A845="","",ROUND(J845*MileRate,2))</f>
        <v/>
      </c>
      <c r="L845" s="51">
        <f>IF(A845="","",DATE(YEAR(A845),MONTH(A845),1))</f>
        <v/>
      </c>
    </row>
    <row r="846">
      <c r="A846" s="47" t="n"/>
      <c r="B846" s="38" t="n"/>
      <c r="C846" s="38" t="n"/>
      <c r="D846" s="38" t="n"/>
      <c r="E846" s="38" t="n"/>
      <c r="F846" s="128" t="n"/>
      <c r="G846" s="128" t="n"/>
      <c r="H846" s="129" t="n"/>
      <c r="I846" s="38" t="n"/>
      <c r="J846" s="98">
        <f>IF(A846="","",IF(AND(F846&lt;&gt;"",G846&lt;&gt;""),MAX(0,G846-F846),N(H846)))</f>
        <v/>
      </c>
      <c r="K846" s="55">
        <f>IF(A846="","",ROUND(J846*MileRate,2))</f>
        <v/>
      </c>
      <c r="L846" s="51">
        <f>IF(A846="","",DATE(YEAR(A846),MONTH(A846),1))</f>
        <v/>
      </c>
    </row>
    <row r="847">
      <c r="A847" s="47" t="n"/>
      <c r="B847" s="38" t="n"/>
      <c r="C847" s="38" t="n"/>
      <c r="D847" s="38" t="n"/>
      <c r="E847" s="38" t="n"/>
      <c r="F847" s="128" t="n"/>
      <c r="G847" s="128" t="n"/>
      <c r="H847" s="129" t="n"/>
      <c r="I847" s="38" t="n"/>
      <c r="J847" s="98">
        <f>IF(A847="","",IF(AND(F847&lt;&gt;"",G847&lt;&gt;""),MAX(0,G847-F847),N(H847)))</f>
        <v/>
      </c>
      <c r="K847" s="55">
        <f>IF(A847="","",ROUND(J847*MileRate,2))</f>
        <v/>
      </c>
      <c r="L847" s="51">
        <f>IF(A847="","",DATE(YEAR(A847),MONTH(A847),1))</f>
        <v/>
      </c>
    </row>
    <row r="848">
      <c r="A848" s="47" t="n"/>
      <c r="B848" s="38" t="n"/>
      <c r="C848" s="38" t="n"/>
      <c r="D848" s="38" t="n"/>
      <c r="E848" s="38" t="n"/>
      <c r="F848" s="128" t="n"/>
      <c r="G848" s="128" t="n"/>
      <c r="H848" s="129" t="n"/>
      <c r="I848" s="38" t="n"/>
      <c r="J848" s="98">
        <f>IF(A848="","",IF(AND(F848&lt;&gt;"",G848&lt;&gt;""),MAX(0,G848-F848),N(H848)))</f>
        <v/>
      </c>
      <c r="K848" s="55">
        <f>IF(A848="","",ROUND(J848*MileRate,2))</f>
        <v/>
      </c>
      <c r="L848" s="51">
        <f>IF(A848="","",DATE(YEAR(A848),MONTH(A848),1))</f>
        <v/>
      </c>
    </row>
    <row r="849">
      <c r="A849" s="47" t="n"/>
      <c r="B849" s="38" t="n"/>
      <c r="C849" s="38" t="n"/>
      <c r="D849" s="38" t="n"/>
      <c r="E849" s="38" t="n"/>
      <c r="F849" s="128" t="n"/>
      <c r="G849" s="128" t="n"/>
      <c r="H849" s="129" t="n"/>
      <c r="I849" s="38" t="n"/>
      <c r="J849" s="98">
        <f>IF(A849="","",IF(AND(F849&lt;&gt;"",G849&lt;&gt;""),MAX(0,G849-F849),N(H849)))</f>
        <v/>
      </c>
      <c r="K849" s="55">
        <f>IF(A849="","",ROUND(J849*MileRate,2))</f>
        <v/>
      </c>
      <c r="L849" s="51">
        <f>IF(A849="","",DATE(YEAR(A849),MONTH(A849),1))</f>
        <v/>
      </c>
    </row>
    <row r="850">
      <c r="A850" s="47" t="n"/>
      <c r="B850" s="38" t="n"/>
      <c r="C850" s="38" t="n"/>
      <c r="D850" s="38" t="n"/>
      <c r="E850" s="38" t="n"/>
      <c r="F850" s="128" t="n"/>
      <c r="G850" s="128" t="n"/>
      <c r="H850" s="129" t="n"/>
      <c r="I850" s="38" t="n"/>
      <c r="J850" s="98">
        <f>IF(A850="","",IF(AND(F850&lt;&gt;"",G850&lt;&gt;""),MAX(0,G850-F850),N(H850)))</f>
        <v/>
      </c>
      <c r="K850" s="55">
        <f>IF(A850="","",ROUND(J850*MileRate,2))</f>
        <v/>
      </c>
      <c r="L850" s="51">
        <f>IF(A850="","",DATE(YEAR(A850),MONTH(A850),1))</f>
        <v/>
      </c>
    </row>
    <row r="851">
      <c r="A851" s="47" t="n"/>
      <c r="B851" s="38" t="n"/>
      <c r="C851" s="38" t="n"/>
      <c r="D851" s="38" t="n"/>
      <c r="E851" s="38" t="n"/>
      <c r="F851" s="128" t="n"/>
      <c r="G851" s="128" t="n"/>
      <c r="H851" s="129" t="n"/>
      <c r="I851" s="38" t="n"/>
      <c r="J851" s="98">
        <f>IF(A851="","",IF(AND(F851&lt;&gt;"",G851&lt;&gt;""),MAX(0,G851-F851),N(H851)))</f>
        <v/>
      </c>
      <c r="K851" s="55">
        <f>IF(A851="","",ROUND(J851*MileRate,2))</f>
        <v/>
      </c>
      <c r="L851" s="51">
        <f>IF(A851="","",DATE(YEAR(A851),MONTH(A851),1))</f>
        <v/>
      </c>
    </row>
    <row r="852">
      <c r="A852" s="47" t="n"/>
      <c r="B852" s="38" t="n"/>
      <c r="C852" s="38" t="n"/>
      <c r="D852" s="38" t="n"/>
      <c r="E852" s="38" t="n"/>
      <c r="F852" s="128" t="n"/>
      <c r="G852" s="128" t="n"/>
      <c r="H852" s="129" t="n"/>
      <c r="I852" s="38" t="n"/>
      <c r="J852" s="98">
        <f>IF(A852="","",IF(AND(F852&lt;&gt;"",G852&lt;&gt;""),MAX(0,G852-F852),N(H852)))</f>
        <v/>
      </c>
      <c r="K852" s="55">
        <f>IF(A852="","",ROUND(J852*MileRate,2))</f>
        <v/>
      </c>
      <c r="L852" s="51">
        <f>IF(A852="","",DATE(YEAR(A852),MONTH(A852),1))</f>
        <v/>
      </c>
    </row>
    <row r="853">
      <c r="A853" s="47" t="n"/>
      <c r="B853" s="38" t="n"/>
      <c r="C853" s="38" t="n"/>
      <c r="D853" s="38" t="n"/>
      <c r="E853" s="38" t="n"/>
      <c r="F853" s="128" t="n"/>
      <c r="G853" s="128" t="n"/>
      <c r="H853" s="129" t="n"/>
      <c r="I853" s="38" t="n"/>
      <c r="J853" s="98">
        <f>IF(A853="","",IF(AND(F853&lt;&gt;"",G853&lt;&gt;""),MAX(0,G853-F853),N(H853)))</f>
        <v/>
      </c>
      <c r="K853" s="55">
        <f>IF(A853="","",ROUND(J853*MileRate,2))</f>
        <v/>
      </c>
      <c r="L853" s="51">
        <f>IF(A853="","",DATE(YEAR(A853),MONTH(A853),1))</f>
        <v/>
      </c>
    </row>
    <row r="854">
      <c r="A854" s="47" t="n"/>
      <c r="B854" s="38" t="n"/>
      <c r="C854" s="38" t="n"/>
      <c r="D854" s="38" t="n"/>
      <c r="E854" s="38" t="n"/>
      <c r="F854" s="128" t="n"/>
      <c r="G854" s="128" t="n"/>
      <c r="H854" s="129" t="n"/>
      <c r="I854" s="38" t="n"/>
      <c r="J854" s="98">
        <f>IF(A854="","",IF(AND(F854&lt;&gt;"",G854&lt;&gt;""),MAX(0,G854-F854),N(H854)))</f>
        <v/>
      </c>
      <c r="K854" s="55">
        <f>IF(A854="","",ROUND(J854*MileRate,2))</f>
        <v/>
      </c>
      <c r="L854" s="51">
        <f>IF(A854="","",DATE(YEAR(A854),MONTH(A854),1))</f>
        <v/>
      </c>
    </row>
    <row r="855">
      <c r="A855" s="47" t="n"/>
      <c r="B855" s="38" t="n"/>
      <c r="C855" s="38" t="n"/>
      <c r="D855" s="38" t="n"/>
      <c r="E855" s="38" t="n"/>
      <c r="F855" s="128" t="n"/>
      <c r="G855" s="128" t="n"/>
      <c r="H855" s="129" t="n"/>
      <c r="I855" s="38" t="n"/>
      <c r="J855" s="98">
        <f>IF(A855="","",IF(AND(F855&lt;&gt;"",G855&lt;&gt;""),MAX(0,G855-F855),N(H855)))</f>
        <v/>
      </c>
      <c r="K855" s="55">
        <f>IF(A855="","",ROUND(J855*MileRate,2))</f>
        <v/>
      </c>
      <c r="L855" s="51">
        <f>IF(A855="","",DATE(YEAR(A855),MONTH(A855),1))</f>
        <v/>
      </c>
    </row>
    <row r="856">
      <c r="A856" s="47" t="n"/>
      <c r="B856" s="38" t="n"/>
      <c r="C856" s="38" t="n"/>
      <c r="D856" s="38" t="n"/>
      <c r="E856" s="38" t="n"/>
      <c r="F856" s="128" t="n"/>
      <c r="G856" s="128" t="n"/>
      <c r="H856" s="129" t="n"/>
      <c r="I856" s="38" t="n"/>
      <c r="J856" s="98">
        <f>IF(A856="","",IF(AND(F856&lt;&gt;"",G856&lt;&gt;""),MAX(0,G856-F856),N(H856)))</f>
        <v/>
      </c>
      <c r="K856" s="55">
        <f>IF(A856="","",ROUND(J856*MileRate,2))</f>
        <v/>
      </c>
      <c r="L856" s="51">
        <f>IF(A856="","",DATE(YEAR(A856),MONTH(A856),1))</f>
        <v/>
      </c>
    </row>
    <row r="857">
      <c r="A857" s="47" t="n"/>
      <c r="B857" s="38" t="n"/>
      <c r="C857" s="38" t="n"/>
      <c r="D857" s="38" t="n"/>
      <c r="E857" s="38" t="n"/>
      <c r="F857" s="128" t="n"/>
      <c r="G857" s="128" t="n"/>
      <c r="H857" s="129" t="n"/>
      <c r="I857" s="38" t="n"/>
      <c r="J857" s="98">
        <f>IF(A857="","",IF(AND(F857&lt;&gt;"",G857&lt;&gt;""),MAX(0,G857-F857),N(H857)))</f>
        <v/>
      </c>
      <c r="K857" s="55">
        <f>IF(A857="","",ROUND(J857*MileRate,2))</f>
        <v/>
      </c>
      <c r="L857" s="51">
        <f>IF(A857="","",DATE(YEAR(A857),MONTH(A857),1))</f>
        <v/>
      </c>
    </row>
    <row r="858">
      <c r="A858" s="47" t="n"/>
      <c r="B858" s="38" t="n"/>
      <c r="C858" s="38" t="n"/>
      <c r="D858" s="38" t="n"/>
      <c r="E858" s="38" t="n"/>
      <c r="F858" s="128" t="n"/>
      <c r="G858" s="128" t="n"/>
      <c r="H858" s="129" t="n"/>
      <c r="I858" s="38" t="n"/>
      <c r="J858" s="98">
        <f>IF(A858="","",IF(AND(F858&lt;&gt;"",G858&lt;&gt;""),MAX(0,G858-F858),N(H858)))</f>
        <v/>
      </c>
      <c r="K858" s="55">
        <f>IF(A858="","",ROUND(J858*MileRate,2))</f>
        <v/>
      </c>
      <c r="L858" s="51">
        <f>IF(A858="","",DATE(YEAR(A858),MONTH(A858),1))</f>
        <v/>
      </c>
    </row>
    <row r="859">
      <c r="A859" s="47" t="n"/>
      <c r="B859" s="38" t="n"/>
      <c r="C859" s="38" t="n"/>
      <c r="D859" s="38" t="n"/>
      <c r="E859" s="38" t="n"/>
      <c r="F859" s="128" t="n"/>
      <c r="G859" s="128" t="n"/>
      <c r="H859" s="129" t="n"/>
      <c r="I859" s="38" t="n"/>
      <c r="J859" s="98">
        <f>IF(A859="","",IF(AND(F859&lt;&gt;"",G859&lt;&gt;""),MAX(0,G859-F859),N(H859)))</f>
        <v/>
      </c>
      <c r="K859" s="55">
        <f>IF(A859="","",ROUND(J859*MileRate,2))</f>
        <v/>
      </c>
      <c r="L859" s="51">
        <f>IF(A859="","",DATE(YEAR(A859),MONTH(A859),1))</f>
        <v/>
      </c>
    </row>
    <row r="860">
      <c r="A860" s="47" t="n"/>
      <c r="B860" s="38" t="n"/>
      <c r="C860" s="38" t="n"/>
      <c r="D860" s="38" t="n"/>
      <c r="E860" s="38" t="n"/>
      <c r="F860" s="128" t="n"/>
      <c r="G860" s="128" t="n"/>
      <c r="H860" s="129" t="n"/>
      <c r="I860" s="38" t="n"/>
      <c r="J860" s="98">
        <f>IF(A860="","",IF(AND(F860&lt;&gt;"",G860&lt;&gt;""),MAX(0,G860-F860),N(H860)))</f>
        <v/>
      </c>
      <c r="K860" s="55">
        <f>IF(A860="","",ROUND(J860*MileRate,2))</f>
        <v/>
      </c>
      <c r="L860" s="51">
        <f>IF(A860="","",DATE(YEAR(A860),MONTH(A860),1))</f>
        <v/>
      </c>
    </row>
    <row r="861">
      <c r="A861" s="47" t="n"/>
      <c r="B861" s="38" t="n"/>
      <c r="C861" s="38" t="n"/>
      <c r="D861" s="38" t="n"/>
      <c r="E861" s="38" t="n"/>
      <c r="F861" s="128" t="n"/>
      <c r="G861" s="128" t="n"/>
      <c r="H861" s="129" t="n"/>
      <c r="I861" s="38" t="n"/>
      <c r="J861" s="98">
        <f>IF(A861="","",IF(AND(F861&lt;&gt;"",G861&lt;&gt;""),MAX(0,G861-F861),N(H861)))</f>
        <v/>
      </c>
      <c r="K861" s="55">
        <f>IF(A861="","",ROUND(J861*MileRate,2))</f>
        <v/>
      </c>
      <c r="L861" s="51">
        <f>IF(A861="","",DATE(YEAR(A861),MONTH(A861),1))</f>
        <v/>
      </c>
    </row>
    <row r="862">
      <c r="A862" s="47" t="n"/>
      <c r="B862" s="38" t="n"/>
      <c r="C862" s="38" t="n"/>
      <c r="D862" s="38" t="n"/>
      <c r="E862" s="38" t="n"/>
      <c r="F862" s="128" t="n"/>
      <c r="G862" s="128" t="n"/>
      <c r="H862" s="129" t="n"/>
      <c r="I862" s="38" t="n"/>
      <c r="J862" s="98">
        <f>IF(A862="","",IF(AND(F862&lt;&gt;"",G862&lt;&gt;""),MAX(0,G862-F862),N(H862)))</f>
        <v/>
      </c>
      <c r="K862" s="55">
        <f>IF(A862="","",ROUND(J862*MileRate,2))</f>
        <v/>
      </c>
      <c r="L862" s="51">
        <f>IF(A862="","",DATE(YEAR(A862),MONTH(A862),1))</f>
        <v/>
      </c>
    </row>
    <row r="863">
      <c r="A863" s="47" t="n"/>
      <c r="B863" s="38" t="n"/>
      <c r="C863" s="38" t="n"/>
      <c r="D863" s="38" t="n"/>
      <c r="E863" s="38" t="n"/>
      <c r="F863" s="128" t="n"/>
      <c r="G863" s="128" t="n"/>
      <c r="H863" s="129" t="n"/>
      <c r="I863" s="38" t="n"/>
      <c r="J863" s="98">
        <f>IF(A863="","",IF(AND(F863&lt;&gt;"",G863&lt;&gt;""),MAX(0,G863-F863),N(H863)))</f>
        <v/>
      </c>
      <c r="K863" s="55">
        <f>IF(A863="","",ROUND(J863*MileRate,2))</f>
        <v/>
      </c>
      <c r="L863" s="51">
        <f>IF(A863="","",DATE(YEAR(A863),MONTH(A863),1))</f>
        <v/>
      </c>
    </row>
    <row r="864">
      <c r="A864" s="47" t="n"/>
      <c r="B864" s="38" t="n"/>
      <c r="C864" s="38" t="n"/>
      <c r="D864" s="38" t="n"/>
      <c r="E864" s="38" t="n"/>
      <c r="F864" s="128" t="n"/>
      <c r="G864" s="128" t="n"/>
      <c r="H864" s="129" t="n"/>
      <c r="I864" s="38" t="n"/>
      <c r="J864" s="98">
        <f>IF(A864="","",IF(AND(F864&lt;&gt;"",G864&lt;&gt;""),MAX(0,G864-F864),N(H864)))</f>
        <v/>
      </c>
      <c r="K864" s="55">
        <f>IF(A864="","",ROUND(J864*MileRate,2))</f>
        <v/>
      </c>
      <c r="L864" s="51">
        <f>IF(A864="","",DATE(YEAR(A864),MONTH(A864),1))</f>
        <v/>
      </c>
    </row>
    <row r="865">
      <c r="A865" s="47" t="n"/>
      <c r="B865" s="38" t="n"/>
      <c r="C865" s="38" t="n"/>
      <c r="D865" s="38" t="n"/>
      <c r="E865" s="38" t="n"/>
      <c r="F865" s="128" t="n"/>
      <c r="G865" s="128" t="n"/>
      <c r="H865" s="129" t="n"/>
      <c r="I865" s="38" t="n"/>
      <c r="J865" s="98">
        <f>IF(A865="","",IF(AND(F865&lt;&gt;"",G865&lt;&gt;""),MAX(0,G865-F865),N(H865)))</f>
        <v/>
      </c>
      <c r="K865" s="55">
        <f>IF(A865="","",ROUND(J865*MileRate,2))</f>
        <v/>
      </c>
      <c r="L865" s="51">
        <f>IF(A865="","",DATE(YEAR(A865),MONTH(A865),1))</f>
        <v/>
      </c>
    </row>
    <row r="866">
      <c r="A866" s="47" t="n"/>
      <c r="B866" s="38" t="n"/>
      <c r="C866" s="38" t="n"/>
      <c r="D866" s="38" t="n"/>
      <c r="E866" s="38" t="n"/>
      <c r="F866" s="128" t="n"/>
      <c r="G866" s="128" t="n"/>
      <c r="H866" s="129" t="n"/>
      <c r="I866" s="38" t="n"/>
      <c r="J866" s="98">
        <f>IF(A866="","",IF(AND(F866&lt;&gt;"",G866&lt;&gt;""),MAX(0,G866-F866),N(H866)))</f>
        <v/>
      </c>
      <c r="K866" s="55">
        <f>IF(A866="","",ROUND(J866*MileRate,2))</f>
        <v/>
      </c>
      <c r="L866" s="51">
        <f>IF(A866="","",DATE(YEAR(A866),MONTH(A866),1))</f>
        <v/>
      </c>
    </row>
    <row r="867">
      <c r="A867" s="47" t="n"/>
      <c r="B867" s="38" t="n"/>
      <c r="C867" s="38" t="n"/>
      <c r="D867" s="38" t="n"/>
      <c r="E867" s="38" t="n"/>
      <c r="F867" s="128" t="n"/>
      <c r="G867" s="128" t="n"/>
      <c r="H867" s="129" t="n"/>
      <c r="I867" s="38" t="n"/>
      <c r="J867" s="98">
        <f>IF(A867="","",IF(AND(F867&lt;&gt;"",G867&lt;&gt;""),MAX(0,G867-F867),N(H867)))</f>
        <v/>
      </c>
      <c r="K867" s="55">
        <f>IF(A867="","",ROUND(J867*MileRate,2))</f>
        <v/>
      </c>
      <c r="L867" s="51">
        <f>IF(A867="","",DATE(YEAR(A867),MONTH(A867),1))</f>
        <v/>
      </c>
    </row>
    <row r="868">
      <c r="A868" s="47" t="n"/>
      <c r="B868" s="38" t="n"/>
      <c r="C868" s="38" t="n"/>
      <c r="D868" s="38" t="n"/>
      <c r="E868" s="38" t="n"/>
      <c r="F868" s="128" t="n"/>
      <c r="G868" s="128" t="n"/>
      <c r="H868" s="129" t="n"/>
      <c r="I868" s="38" t="n"/>
      <c r="J868" s="98">
        <f>IF(A868="","",IF(AND(F868&lt;&gt;"",G868&lt;&gt;""),MAX(0,G868-F868),N(H868)))</f>
        <v/>
      </c>
      <c r="K868" s="55">
        <f>IF(A868="","",ROUND(J868*MileRate,2))</f>
        <v/>
      </c>
      <c r="L868" s="51">
        <f>IF(A868="","",DATE(YEAR(A868),MONTH(A868),1))</f>
        <v/>
      </c>
    </row>
    <row r="869">
      <c r="A869" s="47" t="n"/>
      <c r="B869" s="38" t="n"/>
      <c r="C869" s="38" t="n"/>
      <c r="D869" s="38" t="n"/>
      <c r="E869" s="38" t="n"/>
      <c r="F869" s="128" t="n"/>
      <c r="G869" s="128" t="n"/>
      <c r="H869" s="129" t="n"/>
      <c r="I869" s="38" t="n"/>
      <c r="J869" s="98">
        <f>IF(A869="","",IF(AND(F869&lt;&gt;"",G869&lt;&gt;""),MAX(0,G869-F869),N(H869)))</f>
        <v/>
      </c>
      <c r="K869" s="55">
        <f>IF(A869="","",ROUND(J869*MileRate,2))</f>
        <v/>
      </c>
      <c r="L869" s="51">
        <f>IF(A869="","",DATE(YEAR(A869),MONTH(A869),1))</f>
        <v/>
      </c>
    </row>
    <row r="870">
      <c r="A870" s="47" t="n"/>
      <c r="B870" s="38" t="n"/>
      <c r="C870" s="38" t="n"/>
      <c r="D870" s="38" t="n"/>
      <c r="E870" s="38" t="n"/>
      <c r="F870" s="128" t="n"/>
      <c r="G870" s="128" t="n"/>
      <c r="H870" s="129" t="n"/>
      <c r="I870" s="38" t="n"/>
      <c r="J870" s="98">
        <f>IF(A870="","",IF(AND(F870&lt;&gt;"",G870&lt;&gt;""),MAX(0,G870-F870),N(H870)))</f>
        <v/>
      </c>
      <c r="K870" s="55">
        <f>IF(A870="","",ROUND(J870*MileRate,2))</f>
        <v/>
      </c>
      <c r="L870" s="51">
        <f>IF(A870="","",DATE(YEAR(A870),MONTH(A870),1))</f>
        <v/>
      </c>
    </row>
    <row r="871">
      <c r="A871" s="47" t="n"/>
      <c r="B871" s="38" t="n"/>
      <c r="C871" s="38" t="n"/>
      <c r="D871" s="38" t="n"/>
      <c r="E871" s="38" t="n"/>
      <c r="F871" s="128" t="n"/>
      <c r="G871" s="128" t="n"/>
      <c r="H871" s="129" t="n"/>
      <c r="I871" s="38" t="n"/>
      <c r="J871" s="98">
        <f>IF(A871="","",IF(AND(F871&lt;&gt;"",G871&lt;&gt;""),MAX(0,G871-F871),N(H871)))</f>
        <v/>
      </c>
      <c r="K871" s="55">
        <f>IF(A871="","",ROUND(J871*MileRate,2))</f>
        <v/>
      </c>
      <c r="L871" s="51">
        <f>IF(A871="","",DATE(YEAR(A871),MONTH(A871),1))</f>
        <v/>
      </c>
    </row>
    <row r="872">
      <c r="A872" s="47" t="n"/>
      <c r="B872" s="38" t="n"/>
      <c r="C872" s="38" t="n"/>
      <c r="D872" s="38" t="n"/>
      <c r="E872" s="38" t="n"/>
      <c r="F872" s="128" t="n"/>
      <c r="G872" s="128" t="n"/>
      <c r="H872" s="129" t="n"/>
      <c r="I872" s="38" t="n"/>
      <c r="J872" s="98">
        <f>IF(A872="","",IF(AND(F872&lt;&gt;"",G872&lt;&gt;""),MAX(0,G872-F872),N(H872)))</f>
        <v/>
      </c>
      <c r="K872" s="55">
        <f>IF(A872="","",ROUND(J872*MileRate,2))</f>
        <v/>
      </c>
      <c r="L872" s="51">
        <f>IF(A872="","",DATE(YEAR(A872),MONTH(A872),1))</f>
        <v/>
      </c>
    </row>
    <row r="873">
      <c r="A873" s="47" t="n"/>
      <c r="B873" s="38" t="n"/>
      <c r="C873" s="38" t="n"/>
      <c r="D873" s="38" t="n"/>
      <c r="E873" s="38" t="n"/>
      <c r="F873" s="128" t="n"/>
      <c r="G873" s="128" t="n"/>
      <c r="H873" s="129" t="n"/>
      <c r="I873" s="38" t="n"/>
      <c r="J873" s="98">
        <f>IF(A873="","",IF(AND(F873&lt;&gt;"",G873&lt;&gt;""),MAX(0,G873-F873),N(H873)))</f>
        <v/>
      </c>
      <c r="K873" s="55">
        <f>IF(A873="","",ROUND(J873*MileRate,2))</f>
        <v/>
      </c>
      <c r="L873" s="51">
        <f>IF(A873="","",DATE(YEAR(A873),MONTH(A873),1))</f>
        <v/>
      </c>
    </row>
    <row r="874">
      <c r="A874" s="47" t="n"/>
      <c r="B874" s="38" t="n"/>
      <c r="C874" s="38" t="n"/>
      <c r="D874" s="38" t="n"/>
      <c r="E874" s="38" t="n"/>
      <c r="F874" s="128" t="n"/>
      <c r="G874" s="128" t="n"/>
      <c r="H874" s="129" t="n"/>
      <c r="I874" s="38" t="n"/>
      <c r="J874" s="98">
        <f>IF(A874="","",IF(AND(F874&lt;&gt;"",G874&lt;&gt;""),MAX(0,G874-F874),N(H874)))</f>
        <v/>
      </c>
      <c r="K874" s="55">
        <f>IF(A874="","",ROUND(J874*MileRate,2))</f>
        <v/>
      </c>
      <c r="L874" s="51">
        <f>IF(A874="","",DATE(YEAR(A874),MONTH(A874),1))</f>
        <v/>
      </c>
    </row>
    <row r="875">
      <c r="A875" s="47" t="n"/>
      <c r="B875" s="38" t="n"/>
      <c r="C875" s="38" t="n"/>
      <c r="D875" s="38" t="n"/>
      <c r="E875" s="38" t="n"/>
      <c r="F875" s="128" t="n"/>
      <c r="G875" s="128" t="n"/>
      <c r="H875" s="129" t="n"/>
      <c r="I875" s="38" t="n"/>
      <c r="J875" s="98">
        <f>IF(A875="","",IF(AND(F875&lt;&gt;"",G875&lt;&gt;""),MAX(0,G875-F875),N(H875)))</f>
        <v/>
      </c>
      <c r="K875" s="55">
        <f>IF(A875="","",ROUND(J875*MileRate,2))</f>
        <v/>
      </c>
      <c r="L875" s="51">
        <f>IF(A875="","",DATE(YEAR(A875),MONTH(A875),1))</f>
        <v/>
      </c>
    </row>
    <row r="876">
      <c r="A876" s="47" t="n"/>
      <c r="B876" s="38" t="n"/>
      <c r="C876" s="38" t="n"/>
      <c r="D876" s="38" t="n"/>
      <c r="E876" s="38" t="n"/>
      <c r="F876" s="128" t="n"/>
      <c r="G876" s="128" t="n"/>
      <c r="H876" s="129" t="n"/>
      <c r="I876" s="38" t="n"/>
      <c r="J876" s="98">
        <f>IF(A876="","",IF(AND(F876&lt;&gt;"",G876&lt;&gt;""),MAX(0,G876-F876),N(H876)))</f>
        <v/>
      </c>
      <c r="K876" s="55">
        <f>IF(A876="","",ROUND(J876*MileRate,2))</f>
        <v/>
      </c>
      <c r="L876" s="51">
        <f>IF(A876="","",DATE(YEAR(A876),MONTH(A876),1))</f>
        <v/>
      </c>
    </row>
    <row r="877">
      <c r="A877" s="47" t="n"/>
      <c r="B877" s="38" t="n"/>
      <c r="C877" s="38" t="n"/>
      <c r="D877" s="38" t="n"/>
      <c r="E877" s="38" t="n"/>
      <c r="F877" s="128" t="n"/>
      <c r="G877" s="128" t="n"/>
      <c r="H877" s="129" t="n"/>
      <c r="I877" s="38" t="n"/>
      <c r="J877" s="98">
        <f>IF(A877="","",IF(AND(F877&lt;&gt;"",G877&lt;&gt;""),MAX(0,G877-F877),N(H877)))</f>
        <v/>
      </c>
      <c r="K877" s="55">
        <f>IF(A877="","",ROUND(J877*MileRate,2))</f>
        <v/>
      </c>
      <c r="L877" s="51">
        <f>IF(A877="","",DATE(YEAR(A877),MONTH(A877),1))</f>
        <v/>
      </c>
    </row>
    <row r="878">
      <c r="A878" s="47" t="n"/>
      <c r="B878" s="38" t="n"/>
      <c r="C878" s="38" t="n"/>
      <c r="D878" s="38" t="n"/>
      <c r="E878" s="38" t="n"/>
      <c r="F878" s="128" t="n"/>
      <c r="G878" s="128" t="n"/>
      <c r="H878" s="129" t="n"/>
      <c r="I878" s="38" t="n"/>
      <c r="J878" s="98">
        <f>IF(A878="","",IF(AND(F878&lt;&gt;"",G878&lt;&gt;""),MAX(0,G878-F878),N(H878)))</f>
        <v/>
      </c>
      <c r="K878" s="55">
        <f>IF(A878="","",ROUND(J878*MileRate,2))</f>
        <v/>
      </c>
      <c r="L878" s="51">
        <f>IF(A878="","",DATE(YEAR(A878),MONTH(A878),1))</f>
        <v/>
      </c>
    </row>
    <row r="879">
      <c r="A879" s="47" t="n"/>
      <c r="B879" s="38" t="n"/>
      <c r="C879" s="38" t="n"/>
      <c r="D879" s="38" t="n"/>
      <c r="E879" s="38" t="n"/>
      <c r="F879" s="128" t="n"/>
      <c r="G879" s="128" t="n"/>
      <c r="H879" s="129" t="n"/>
      <c r="I879" s="38" t="n"/>
      <c r="J879" s="98">
        <f>IF(A879="","",IF(AND(F879&lt;&gt;"",G879&lt;&gt;""),MAX(0,G879-F879),N(H879)))</f>
        <v/>
      </c>
      <c r="K879" s="55">
        <f>IF(A879="","",ROUND(J879*MileRate,2))</f>
        <v/>
      </c>
      <c r="L879" s="51">
        <f>IF(A879="","",DATE(YEAR(A879),MONTH(A879),1))</f>
        <v/>
      </c>
    </row>
    <row r="880">
      <c r="A880" s="47" t="n"/>
      <c r="B880" s="38" t="n"/>
      <c r="C880" s="38" t="n"/>
      <c r="D880" s="38" t="n"/>
      <c r="E880" s="38" t="n"/>
      <c r="F880" s="128" t="n"/>
      <c r="G880" s="128" t="n"/>
      <c r="H880" s="129" t="n"/>
      <c r="I880" s="38" t="n"/>
      <c r="J880" s="98">
        <f>IF(A880="","",IF(AND(F880&lt;&gt;"",G880&lt;&gt;""),MAX(0,G880-F880),N(H880)))</f>
        <v/>
      </c>
      <c r="K880" s="55">
        <f>IF(A880="","",ROUND(J880*MileRate,2))</f>
        <v/>
      </c>
      <c r="L880" s="51">
        <f>IF(A880="","",DATE(YEAR(A880),MONTH(A880),1))</f>
        <v/>
      </c>
    </row>
    <row r="881">
      <c r="A881" s="47" t="n"/>
      <c r="B881" s="38" t="n"/>
      <c r="C881" s="38" t="n"/>
      <c r="D881" s="38" t="n"/>
      <c r="E881" s="38" t="n"/>
      <c r="F881" s="128" t="n"/>
      <c r="G881" s="128" t="n"/>
      <c r="H881" s="129" t="n"/>
      <c r="I881" s="38" t="n"/>
      <c r="J881" s="98">
        <f>IF(A881="","",IF(AND(F881&lt;&gt;"",G881&lt;&gt;""),MAX(0,G881-F881),N(H881)))</f>
        <v/>
      </c>
      <c r="K881" s="55">
        <f>IF(A881="","",ROUND(J881*MileRate,2))</f>
        <v/>
      </c>
      <c r="L881" s="51">
        <f>IF(A881="","",DATE(YEAR(A881),MONTH(A881),1))</f>
        <v/>
      </c>
    </row>
    <row r="882">
      <c r="A882" s="47" t="n"/>
      <c r="B882" s="38" t="n"/>
      <c r="C882" s="38" t="n"/>
      <c r="D882" s="38" t="n"/>
      <c r="E882" s="38" t="n"/>
      <c r="F882" s="128" t="n"/>
      <c r="G882" s="128" t="n"/>
      <c r="H882" s="129" t="n"/>
      <c r="I882" s="38" t="n"/>
      <c r="J882" s="98">
        <f>IF(A882="","",IF(AND(F882&lt;&gt;"",G882&lt;&gt;""),MAX(0,G882-F882),N(H882)))</f>
        <v/>
      </c>
      <c r="K882" s="55">
        <f>IF(A882="","",ROUND(J882*MileRate,2))</f>
        <v/>
      </c>
      <c r="L882" s="51">
        <f>IF(A882="","",DATE(YEAR(A882),MONTH(A882),1))</f>
        <v/>
      </c>
    </row>
    <row r="883">
      <c r="A883" s="47" t="n"/>
      <c r="B883" s="38" t="n"/>
      <c r="C883" s="38" t="n"/>
      <c r="D883" s="38" t="n"/>
      <c r="E883" s="38" t="n"/>
      <c r="F883" s="128" t="n"/>
      <c r="G883" s="128" t="n"/>
      <c r="H883" s="129" t="n"/>
      <c r="I883" s="38" t="n"/>
      <c r="J883" s="98">
        <f>IF(A883="","",IF(AND(F883&lt;&gt;"",G883&lt;&gt;""),MAX(0,G883-F883),N(H883)))</f>
        <v/>
      </c>
      <c r="K883" s="55">
        <f>IF(A883="","",ROUND(J883*MileRate,2))</f>
        <v/>
      </c>
      <c r="L883" s="51">
        <f>IF(A883="","",DATE(YEAR(A883),MONTH(A883),1))</f>
        <v/>
      </c>
    </row>
    <row r="884">
      <c r="A884" s="47" t="n"/>
      <c r="B884" s="38" t="n"/>
      <c r="C884" s="38" t="n"/>
      <c r="D884" s="38" t="n"/>
      <c r="E884" s="38" t="n"/>
      <c r="F884" s="128" t="n"/>
      <c r="G884" s="128" t="n"/>
      <c r="H884" s="129" t="n"/>
      <c r="I884" s="38" t="n"/>
      <c r="J884" s="98">
        <f>IF(A884="","",IF(AND(F884&lt;&gt;"",G884&lt;&gt;""),MAX(0,G884-F884),N(H884)))</f>
        <v/>
      </c>
      <c r="K884" s="55">
        <f>IF(A884="","",ROUND(J884*MileRate,2))</f>
        <v/>
      </c>
      <c r="L884" s="51">
        <f>IF(A884="","",DATE(YEAR(A884),MONTH(A884),1))</f>
        <v/>
      </c>
    </row>
    <row r="885">
      <c r="A885" s="47" t="n"/>
      <c r="B885" s="38" t="n"/>
      <c r="C885" s="38" t="n"/>
      <c r="D885" s="38" t="n"/>
      <c r="E885" s="38" t="n"/>
      <c r="F885" s="128" t="n"/>
      <c r="G885" s="128" t="n"/>
      <c r="H885" s="129" t="n"/>
      <c r="I885" s="38" t="n"/>
      <c r="J885" s="98">
        <f>IF(A885="","",IF(AND(F885&lt;&gt;"",G885&lt;&gt;""),MAX(0,G885-F885),N(H885)))</f>
        <v/>
      </c>
      <c r="K885" s="55">
        <f>IF(A885="","",ROUND(J885*MileRate,2))</f>
        <v/>
      </c>
      <c r="L885" s="51">
        <f>IF(A885="","",DATE(YEAR(A885),MONTH(A885),1))</f>
        <v/>
      </c>
    </row>
    <row r="886">
      <c r="A886" s="47" t="n"/>
      <c r="B886" s="38" t="n"/>
      <c r="C886" s="38" t="n"/>
      <c r="D886" s="38" t="n"/>
      <c r="E886" s="38" t="n"/>
      <c r="F886" s="128" t="n"/>
      <c r="G886" s="128" t="n"/>
      <c r="H886" s="129" t="n"/>
      <c r="I886" s="38" t="n"/>
      <c r="J886" s="98">
        <f>IF(A886="","",IF(AND(F886&lt;&gt;"",G886&lt;&gt;""),MAX(0,G886-F886),N(H886)))</f>
        <v/>
      </c>
      <c r="K886" s="55">
        <f>IF(A886="","",ROUND(J886*MileRate,2))</f>
        <v/>
      </c>
      <c r="L886" s="51">
        <f>IF(A886="","",DATE(YEAR(A886),MONTH(A886),1))</f>
        <v/>
      </c>
    </row>
    <row r="887">
      <c r="A887" s="47" t="n"/>
      <c r="B887" s="38" t="n"/>
      <c r="C887" s="38" t="n"/>
      <c r="D887" s="38" t="n"/>
      <c r="E887" s="38" t="n"/>
      <c r="F887" s="128" t="n"/>
      <c r="G887" s="128" t="n"/>
      <c r="H887" s="129" t="n"/>
      <c r="I887" s="38" t="n"/>
      <c r="J887" s="98">
        <f>IF(A887="","",IF(AND(F887&lt;&gt;"",G887&lt;&gt;""),MAX(0,G887-F887),N(H887)))</f>
        <v/>
      </c>
      <c r="K887" s="55">
        <f>IF(A887="","",ROUND(J887*MileRate,2))</f>
        <v/>
      </c>
      <c r="L887" s="51">
        <f>IF(A887="","",DATE(YEAR(A887),MONTH(A887),1))</f>
        <v/>
      </c>
    </row>
    <row r="888">
      <c r="A888" s="47" t="n"/>
      <c r="B888" s="38" t="n"/>
      <c r="C888" s="38" t="n"/>
      <c r="D888" s="38" t="n"/>
      <c r="E888" s="38" t="n"/>
      <c r="F888" s="128" t="n"/>
      <c r="G888" s="128" t="n"/>
      <c r="H888" s="129" t="n"/>
      <c r="I888" s="38" t="n"/>
      <c r="J888" s="98">
        <f>IF(A888="","",IF(AND(F888&lt;&gt;"",G888&lt;&gt;""),MAX(0,G888-F888),N(H888)))</f>
        <v/>
      </c>
      <c r="K888" s="55">
        <f>IF(A888="","",ROUND(J888*MileRate,2))</f>
        <v/>
      </c>
      <c r="L888" s="51">
        <f>IF(A888="","",DATE(YEAR(A888),MONTH(A888),1))</f>
        <v/>
      </c>
    </row>
    <row r="889">
      <c r="A889" s="47" t="n"/>
      <c r="B889" s="38" t="n"/>
      <c r="C889" s="38" t="n"/>
      <c r="D889" s="38" t="n"/>
      <c r="E889" s="38" t="n"/>
      <c r="F889" s="128" t="n"/>
      <c r="G889" s="128" t="n"/>
      <c r="H889" s="129" t="n"/>
      <c r="I889" s="38" t="n"/>
      <c r="J889" s="98">
        <f>IF(A889="","",IF(AND(F889&lt;&gt;"",G889&lt;&gt;""),MAX(0,G889-F889),N(H889)))</f>
        <v/>
      </c>
      <c r="K889" s="55">
        <f>IF(A889="","",ROUND(J889*MileRate,2))</f>
        <v/>
      </c>
      <c r="L889" s="51">
        <f>IF(A889="","",DATE(YEAR(A889),MONTH(A889),1))</f>
        <v/>
      </c>
    </row>
    <row r="890">
      <c r="A890" s="47" t="n"/>
      <c r="B890" s="38" t="n"/>
      <c r="C890" s="38" t="n"/>
      <c r="D890" s="38" t="n"/>
      <c r="E890" s="38" t="n"/>
      <c r="F890" s="128" t="n"/>
      <c r="G890" s="128" t="n"/>
      <c r="H890" s="129" t="n"/>
      <c r="I890" s="38" t="n"/>
      <c r="J890" s="98">
        <f>IF(A890="","",IF(AND(F890&lt;&gt;"",G890&lt;&gt;""),MAX(0,G890-F890),N(H890)))</f>
        <v/>
      </c>
      <c r="K890" s="55">
        <f>IF(A890="","",ROUND(J890*MileRate,2))</f>
        <v/>
      </c>
      <c r="L890" s="51">
        <f>IF(A890="","",DATE(YEAR(A890),MONTH(A890),1))</f>
        <v/>
      </c>
    </row>
    <row r="891">
      <c r="A891" s="47" t="n"/>
      <c r="B891" s="38" t="n"/>
      <c r="C891" s="38" t="n"/>
      <c r="D891" s="38" t="n"/>
      <c r="E891" s="38" t="n"/>
      <c r="F891" s="128" t="n"/>
      <c r="G891" s="128" t="n"/>
      <c r="H891" s="129" t="n"/>
      <c r="I891" s="38" t="n"/>
      <c r="J891" s="98">
        <f>IF(A891="","",IF(AND(F891&lt;&gt;"",G891&lt;&gt;""),MAX(0,G891-F891),N(H891)))</f>
        <v/>
      </c>
      <c r="K891" s="55">
        <f>IF(A891="","",ROUND(J891*MileRate,2))</f>
        <v/>
      </c>
      <c r="L891" s="51">
        <f>IF(A891="","",DATE(YEAR(A891),MONTH(A891),1))</f>
        <v/>
      </c>
    </row>
    <row r="892">
      <c r="A892" s="47" t="n"/>
      <c r="B892" s="38" t="n"/>
      <c r="C892" s="38" t="n"/>
      <c r="D892" s="38" t="n"/>
      <c r="E892" s="38" t="n"/>
      <c r="F892" s="128" t="n"/>
      <c r="G892" s="128" t="n"/>
      <c r="H892" s="129" t="n"/>
      <c r="I892" s="38" t="n"/>
      <c r="J892" s="98">
        <f>IF(A892="","",IF(AND(F892&lt;&gt;"",G892&lt;&gt;""),MAX(0,G892-F892),N(H892)))</f>
        <v/>
      </c>
      <c r="K892" s="55">
        <f>IF(A892="","",ROUND(J892*MileRate,2))</f>
        <v/>
      </c>
      <c r="L892" s="51">
        <f>IF(A892="","",DATE(YEAR(A892),MONTH(A892),1))</f>
        <v/>
      </c>
    </row>
    <row r="893">
      <c r="A893" s="47" t="n"/>
      <c r="B893" s="38" t="n"/>
      <c r="C893" s="38" t="n"/>
      <c r="D893" s="38" t="n"/>
      <c r="E893" s="38" t="n"/>
      <c r="F893" s="128" t="n"/>
      <c r="G893" s="128" t="n"/>
      <c r="H893" s="129" t="n"/>
      <c r="I893" s="38" t="n"/>
      <c r="J893" s="98">
        <f>IF(A893="","",IF(AND(F893&lt;&gt;"",G893&lt;&gt;""),MAX(0,G893-F893),N(H893)))</f>
        <v/>
      </c>
      <c r="K893" s="55">
        <f>IF(A893="","",ROUND(J893*MileRate,2))</f>
        <v/>
      </c>
      <c r="L893" s="51">
        <f>IF(A893="","",DATE(YEAR(A893),MONTH(A893),1))</f>
        <v/>
      </c>
    </row>
    <row r="894">
      <c r="A894" s="47" t="n"/>
      <c r="B894" s="38" t="n"/>
      <c r="C894" s="38" t="n"/>
      <c r="D894" s="38" t="n"/>
      <c r="E894" s="38" t="n"/>
      <c r="F894" s="128" t="n"/>
      <c r="G894" s="128" t="n"/>
      <c r="H894" s="129" t="n"/>
      <c r="I894" s="38" t="n"/>
      <c r="J894" s="98">
        <f>IF(A894="","",IF(AND(F894&lt;&gt;"",G894&lt;&gt;""),MAX(0,G894-F894),N(H894)))</f>
        <v/>
      </c>
      <c r="K894" s="55">
        <f>IF(A894="","",ROUND(J894*MileRate,2))</f>
        <v/>
      </c>
      <c r="L894" s="51">
        <f>IF(A894="","",DATE(YEAR(A894),MONTH(A894),1))</f>
        <v/>
      </c>
    </row>
    <row r="895">
      <c r="A895" s="47" t="n"/>
      <c r="B895" s="38" t="n"/>
      <c r="C895" s="38" t="n"/>
      <c r="D895" s="38" t="n"/>
      <c r="E895" s="38" t="n"/>
      <c r="F895" s="128" t="n"/>
      <c r="G895" s="128" t="n"/>
      <c r="H895" s="129" t="n"/>
      <c r="I895" s="38" t="n"/>
      <c r="J895" s="98">
        <f>IF(A895="","",IF(AND(F895&lt;&gt;"",G895&lt;&gt;""),MAX(0,G895-F895),N(H895)))</f>
        <v/>
      </c>
      <c r="K895" s="55">
        <f>IF(A895="","",ROUND(J895*MileRate,2))</f>
        <v/>
      </c>
      <c r="L895" s="51">
        <f>IF(A895="","",DATE(YEAR(A895),MONTH(A895),1))</f>
        <v/>
      </c>
    </row>
    <row r="896">
      <c r="A896" s="47" t="n"/>
      <c r="B896" s="38" t="n"/>
      <c r="C896" s="38" t="n"/>
      <c r="D896" s="38" t="n"/>
      <c r="E896" s="38" t="n"/>
      <c r="F896" s="128" t="n"/>
      <c r="G896" s="128" t="n"/>
      <c r="H896" s="129" t="n"/>
      <c r="I896" s="38" t="n"/>
      <c r="J896" s="98">
        <f>IF(A896="","",IF(AND(F896&lt;&gt;"",G896&lt;&gt;""),MAX(0,G896-F896),N(H896)))</f>
        <v/>
      </c>
      <c r="K896" s="55">
        <f>IF(A896="","",ROUND(J896*MileRate,2))</f>
        <v/>
      </c>
      <c r="L896" s="51">
        <f>IF(A896="","",DATE(YEAR(A896),MONTH(A896),1))</f>
        <v/>
      </c>
    </row>
    <row r="897">
      <c r="A897" s="47" t="n"/>
      <c r="B897" s="38" t="n"/>
      <c r="C897" s="38" t="n"/>
      <c r="D897" s="38" t="n"/>
      <c r="E897" s="38" t="n"/>
      <c r="F897" s="128" t="n"/>
      <c r="G897" s="128" t="n"/>
      <c r="H897" s="129" t="n"/>
      <c r="I897" s="38" t="n"/>
      <c r="J897" s="98">
        <f>IF(A897="","",IF(AND(F897&lt;&gt;"",G897&lt;&gt;""),MAX(0,G897-F897),N(H897)))</f>
        <v/>
      </c>
      <c r="K897" s="55">
        <f>IF(A897="","",ROUND(J897*MileRate,2))</f>
        <v/>
      </c>
      <c r="L897" s="51">
        <f>IF(A897="","",DATE(YEAR(A897),MONTH(A897),1))</f>
        <v/>
      </c>
    </row>
    <row r="898">
      <c r="A898" s="47" t="n"/>
      <c r="B898" s="38" t="n"/>
      <c r="C898" s="38" t="n"/>
      <c r="D898" s="38" t="n"/>
      <c r="E898" s="38" t="n"/>
      <c r="F898" s="128" t="n"/>
      <c r="G898" s="128" t="n"/>
      <c r="H898" s="129" t="n"/>
      <c r="I898" s="38" t="n"/>
      <c r="J898" s="98">
        <f>IF(A898="","",IF(AND(F898&lt;&gt;"",G898&lt;&gt;""),MAX(0,G898-F898),N(H898)))</f>
        <v/>
      </c>
      <c r="K898" s="55">
        <f>IF(A898="","",ROUND(J898*MileRate,2))</f>
        <v/>
      </c>
      <c r="L898" s="51">
        <f>IF(A898="","",DATE(YEAR(A898),MONTH(A898),1))</f>
        <v/>
      </c>
    </row>
    <row r="899">
      <c r="A899" s="47" t="n"/>
      <c r="B899" s="38" t="n"/>
      <c r="C899" s="38" t="n"/>
      <c r="D899" s="38" t="n"/>
      <c r="E899" s="38" t="n"/>
      <c r="F899" s="128" t="n"/>
      <c r="G899" s="128" t="n"/>
      <c r="H899" s="129" t="n"/>
      <c r="I899" s="38" t="n"/>
      <c r="J899" s="98">
        <f>IF(A899="","",IF(AND(F899&lt;&gt;"",G899&lt;&gt;""),MAX(0,G899-F899),N(H899)))</f>
        <v/>
      </c>
      <c r="K899" s="55">
        <f>IF(A899="","",ROUND(J899*MileRate,2))</f>
        <v/>
      </c>
      <c r="L899" s="51">
        <f>IF(A899="","",DATE(YEAR(A899),MONTH(A899),1))</f>
        <v/>
      </c>
    </row>
    <row r="900">
      <c r="A900" s="47" t="n"/>
      <c r="B900" s="38" t="n"/>
      <c r="C900" s="38" t="n"/>
      <c r="D900" s="38" t="n"/>
      <c r="E900" s="38" t="n"/>
      <c r="F900" s="128" t="n"/>
      <c r="G900" s="128" t="n"/>
      <c r="H900" s="129" t="n"/>
      <c r="I900" s="38" t="n"/>
      <c r="J900" s="98">
        <f>IF(A900="","",IF(AND(F900&lt;&gt;"",G900&lt;&gt;""),MAX(0,G900-F900),N(H900)))</f>
        <v/>
      </c>
      <c r="K900" s="55">
        <f>IF(A900="","",ROUND(J900*MileRate,2))</f>
        <v/>
      </c>
      <c r="L900" s="51">
        <f>IF(A900="","",DATE(YEAR(A900),MONTH(A900),1))</f>
        <v/>
      </c>
    </row>
    <row r="901">
      <c r="A901" s="47" t="n"/>
      <c r="B901" s="38" t="n"/>
      <c r="C901" s="38" t="n"/>
      <c r="D901" s="38" t="n"/>
      <c r="E901" s="38" t="n"/>
      <c r="F901" s="128" t="n"/>
      <c r="G901" s="128" t="n"/>
      <c r="H901" s="129" t="n"/>
      <c r="I901" s="38" t="n"/>
      <c r="J901" s="98">
        <f>IF(A901="","",IF(AND(F901&lt;&gt;"",G901&lt;&gt;""),MAX(0,G901-F901),N(H901)))</f>
        <v/>
      </c>
      <c r="K901" s="55">
        <f>IF(A901="","",ROUND(J901*MileRate,2))</f>
        <v/>
      </c>
      <c r="L901" s="51">
        <f>IF(A901="","",DATE(YEAR(A901),MONTH(A901),1))</f>
        <v/>
      </c>
    </row>
    <row r="902">
      <c r="A902" s="47" t="n"/>
      <c r="B902" s="38" t="n"/>
      <c r="C902" s="38" t="n"/>
      <c r="D902" s="38" t="n"/>
      <c r="E902" s="38" t="n"/>
      <c r="F902" s="128" t="n"/>
      <c r="G902" s="128" t="n"/>
      <c r="H902" s="129" t="n"/>
      <c r="I902" s="38" t="n"/>
      <c r="J902" s="98">
        <f>IF(A902="","",IF(AND(F902&lt;&gt;"",G902&lt;&gt;""),MAX(0,G902-F902),N(H902)))</f>
        <v/>
      </c>
      <c r="K902" s="55">
        <f>IF(A902="","",ROUND(J902*MileRate,2))</f>
        <v/>
      </c>
      <c r="L902" s="51">
        <f>IF(A902="","",DATE(YEAR(A902),MONTH(A902),1))</f>
        <v/>
      </c>
    </row>
    <row r="903">
      <c r="A903" s="47" t="n"/>
      <c r="B903" s="38" t="n"/>
      <c r="C903" s="38" t="n"/>
      <c r="D903" s="38" t="n"/>
      <c r="E903" s="38" t="n"/>
      <c r="F903" s="128" t="n"/>
      <c r="G903" s="128" t="n"/>
      <c r="H903" s="129" t="n"/>
      <c r="I903" s="38" t="n"/>
      <c r="J903" s="98">
        <f>IF(A903="","",IF(AND(F903&lt;&gt;"",G903&lt;&gt;""),MAX(0,G903-F903),N(H903)))</f>
        <v/>
      </c>
      <c r="K903" s="55">
        <f>IF(A903="","",ROUND(J903*MileRate,2))</f>
        <v/>
      </c>
      <c r="L903" s="51">
        <f>IF(A903="","",DATE(YEAR(A903),MONTH(A903),1))</f>
        <v/>
      </c>
    </row>
    <row r="904">
      <c r="A904" s="47" t="n"/>
      <c r="B904" s="38" t="n"/>
      <c r="C904" s="38" t="n"/>
      <c r="D904" s="38" t="n"/>
      <c r="E904" s="38" t="n"/>
      <c r="F904" s="128" t="n"/>
      <c r="G904" s="128" t="n"/>
      <c r="H904" s="129" t="n"/>
      <c r="I904" s="38" t="n"/>
      <c r="J904" s="98">
        <f>IF(A904="","",IF(AND(F904&lt;&gt;"",G904&lt;&gt;""),MAX(0,G904-F904),N(H904)))</f>
        <v/>
      </c>
      <c r="K904" s="55">
        <f>IF(A904="","",ROUND(J904*MileRate,2))</f>
        <v/>
      </c>
      <c r="L904" s="51">
        <f>IF(A904="","",DATE(YEAR(A904),MONTH(A904),1))</f>
        <v/>
      </c>
    </row>
    <row r="905">
      <c r="A905" s="47" t="n"/>
      <c r="B905" s="38" t="n"/>
      <c r="C905" s="38" t="n"/>
      <c r="D905" s="38" t="n"/>
      <c r="E905" s="38" t="n"/>
      <c r="F905" s="128" t="n"/>
      <c r="G905" s="128" t="n"/>
      <c r="H905" s="129" t="n"/>
      <c r="I905" s="38" t="n"/>
      <c r="J905" s="98">
        <f>IF(A905="","",IF(AND(F905&lt;&gt;"",G905&lt;&gt;""),MAX(0,G905-F905),N(H905)))</f>
        <v/>
      </c>
      <c r="K905" s="55">
        <f>IF(A905="","",ROUND(J905*MileRate,2))</f>
        <v/>
      </c>
      <c r="L905" s="51">
        <f>IF(A905="","",DATE(YEAR(A905),MONTH(A905),1))</f>
        <v/>
      </c>
    </row>
    <row r="906">
      <c r="A906" s="47" t="n"/>
      <c r="B906" s="38" t="n"/>
      <c r="C906" s="38" t="n"/>
      <c r="D906" s="38" t="n"/>
      <c r="E906" s="38" t="n"/>
      <c r="F906" s="128" t="n"/>
      <c r="G906" s="128" t="n"/>
      <c r="H906" s="129" t="n"/>
      <c r="I906" s="38" t="n"/>
      <c r="J906" s="98">
        <f>IF(A906="","",IF(AND(F906&lt;&gt;"",G906&lt;&gt;""),MAX(0,G906-F906),N(H906)))</f>
        <v/>
      </c>
      <c r="K906" s="55">
        <f>IF(A906="","",ROUND(J906*MileRate,2))</f>
        <v/>
      </c>
      <c r="L906" s="51">
        <f>IF(A906="","",DATE(YEAR(A906),MONTH(A906),1))</f>
        <v/>
      </c>
    </row>
    <row r="907">
      <c r="A907" s="47" t="n"/>
      <c r="B907" s="38" t="n"/>
      <c r="C907" s="38" t="n"/>
      <c r="D907" s="38" t="n"/>
      <c r="E907" s="38" t="n"/>
      <c r="F907" s="128" t="n"/>
      <c r="G907" s="128" t="n"/>
      <c r="H907" s="129" t="n"/>
      <c r="I907" s="38" t="n"/>
      <c r="J907" s="98">
        <f>IF(A907="","",IF(AND(F907&lt;&gt;"",G907&lt;&gt;""),MAX(0,G907-F907),N(H907)))</f>
        <v/>
      </c>
      <c r="K907" s="55">
        <f>IF(A907="","",ROUND(J907*MileRate,2))</f>
        <v/>
      </c>
      <c r="L907" s="51">
        <f>IF(A907="","",DATE(YEAR(A907),MONTH(A907),1))</f>
        <v/>
      </c>
    </row>
    <row r="908">
      <c r="A908" s="47" t="n"/>
      <c r="B908" s="38" t="n"/>
      <c r="C908" s="38" t="n"/>
      <c r="D908" s="38" t="n"/>
      <c r="E908" s="38" t="n"/>
      <c r="F908" s="128" t="n"/>
      <c r="G908" s="128" t="n"/>
      <c r="H908" s="129" t="n"/>
      <c r="I908" s="38" t="n"/>
      <c r="J908" s="98">
        <f>IF(A908="","",IF(AND(F908&lt;&gt;"",G908&lt;&gt;""),MAX(0,G908-F908),N(H908)))</f>
        <v/>
      </c>
      <c r="K908" s="55">
        <f>IF(A908="","",ROUND(J908*MileRate,2))</f>
        <v/>
      </c>
      <c r="L908" s="51">
        <f>IF(A908="","",DATE(YEAR(A908),MONTH(A908),1))</f>
        <v/>
      </c>
    </row>
    <row r="909">
      <c r="A909" s="47" t="n"/>
      <c r="B909" s="38" t="n"/>
      <c r="C909" s="38" t="n"/>
      <c r="D909" s="38" t="n"/>
      <c r="E909" s="38" t="n"/>
      <c r="F909" s="128" t="n"/>
      <c r="G909" s="128" t="n"/>
      <c r="H909" s="129" t="n"/>
      <c r="I909" s="38" t="n"/>
      <c r="J909" s="98">
        <f>IF(A909="","",IF(AND(F909&lt;&gt;"",G909&lt;&gt;""),MAX(0,G909-F909),N(H909)))</f>
        <v/>
      </c>
      <c r="K909" s="55">
        <f>IF(A909="","",ROUND(J909*MileRate,2))</f>
        <v/>
      </c>
      <c r="L909" s="51">
        <f>IF(A909="","",DATE(YEAR(A909),MONTH(A909),1))</f>
        <v/>
      </c>
    </row>
    <row r="910">
      <c r="A910" s="47" t="n"/>
      <c r="B910" s="38" t="n"/>
      <c r="C910" s="38" t="n"/>
      <c r="D910" s="38" t="n"/>
      <c r="E910" s="38" t="n"/>
      <c r="F910" s="128" t="n"/>
      <c r="G910" s="128" t="n"/>
      <c r="H910" s="129" t="n"/>
      <c r="I910" s="38" t="n"/>
      <c r="J910" s="98">
        <f>IF(A910="","",IF(AND(F910&lt;&gt;"",G910&lt;&gt;""),MAX(0,G910-F910),N(H910)))</f>
        <v/>
      </c>
      <c r="K910" s="55">
        <f>IF(A910="","",ROUND(J910*MileRate,2))</f>
        <v/>
      </c>
      <c r="L910" s="51">
        <f>IF(A910="","",DATE(YEAR(A910),MONTH(A910),1))</f>
        <v/>
      </c>
    </row>
    <row r="911">
      <c r="A911" s="47" t="n"/>
      <c r="B911" s="38" t="n"/>
      <c r="C911" s="38" t="n"/>
      <c r="D911" s="38" t="n"/>
      <c r="E911" s="38" t="n"/>
      <c r="F911" s="128" t="n"/>
      <c r="G911" s="128" t="n"/>
      <c r="H911" s="129" t="n"/>
      <c r="I911" s="38" t="n"/>
      <c r="J911" s="98">
        <f>IF(A911="","",IF(AND(F911&lt;&gt;"",G911&lt;&gt;""),MAX(0,G911-F911),N(H911)))</f>
        <v/>
      </c>
      <c r="K911" s="55">
        <f>IF(A911="","",ROUND(J911*MileRate,2))</f>
        <v/>
      </c>
      <c r="L911" s="51">
        <f>IF(A911="","",DATE(YEAR(A911),MONTH(A911),1))</f>
        <v/>
      </c>
    </row>
    <row r="912">
      <c r="A912" s="47" t="n"/>
      <c r="B912" s="38" t="n"/>
      <c r="C912" s="38" t="n"/>
      <c r="D912" s="38" t="n"/>
      <c r="E912" s="38" t="n"/>
      <c r="F912" s="128" t="n"/>
      <c r="G912" s="128" t="n"/>
      <c r="H912" s="129" t="n"/>
      <c r="I912" s="38" t="n"/>
      <c r="J912" s="98">
        <f>IF(A912="","",IF(AND(F912&lt;&gt;"",G912&lt;&gt;""),MAX(0,G912-F912),N(H912)))</f>
        <v/>
      </c>
      <c r="K912" s="55">
        <f>IF(A912="","",ROUND(J912*MileRate,2))</f>
        <v/>
      </c>
      <c r="L912" s="51">
        <f>IF(A912="","",DATE(YEAR(A912),MONTH(A912),1))</f>
        <v/>
      </c>
    </row>
    <row r="913">
      <c r="A913" s="47" t="n"/>
      <c r="B913" s="38" t="n"/>
      <c r="C913" s="38" t="n"/>
      <c r="D913" s="38" t="n"/>
      <c r="E913" s="38" t="n"/>
      <c r="F913" s="128" t="n"/>
      <c r="G913" s="128" t="n"/>
      <c r="H913" s="129" t="n"/>
      <c r="I913" s="38" t="n"/>
      <c r="J913" s="98">
        <f>IF(A913="","",IF(AND(F913&lt;&gt;"",G913&lt;&gt;""),MAX(0,G913-F913),N(H913)))</f>
        <v/>
      </c>
      <c r="K913" s="55">
        <f>IF(A913="","",ROUND(J913*MileRate,2))</f>
        <v/>
      </c>
      <c r="L913" s="51">
        <f>IF(A913="","",DATE(YEAR(A913),MONTH(A913),1))</f>
        <v/>
      </c>
    </row>
    <row r="914">
      <c r="A914" s="47" t="n"/>
      <c r="B914" s="38" t="n"/>
      <c r="C914" s="38" t="n"/>
      <c r="D914" s="38" t="n"/>
      <c r="E914" s="38" t="n"/>
      <c r="F914" s="128" t="n"/>
      <c r="G914" s="128" t="n"/>
      <c r="H914" s="129" t="n"/>
      <c r="I914" s="38" t="n"/>
      <c r="J914" s="98">
        <f>IF(A914="","",IF(AND(F914&lt;&gt;"",G914&lt;&gt;""),MAX(0,G914-F914),N(H914)))</f>
        <v/>
      </c>
      <c r="K914" s="55">
        <f>IF(A914="","",ROUND(J914*MileRate,2))</f>
        <v/>
      </c>
      <c r="L914" s="51">
        <f>IF(A914="","",DATE(YEAR(A914),MONTH(A914),1))</f>
        <v/>
      </c>
    </row>
    <row r="915">
      <c r="A915" s="47" t="n"/>
      <c r="B915" s="38" t="n"/>
      <c r="C915" s="38" t="n"/>
      <c r="D915" s="38" t="n"/>
      <c r="E915" s="38" t="n"/>
      <c r="F915" s="128" t="n"/>
      <c r="G915" s="128" t="n"/>
      <c r="H915" s="129" t="n"/>
      <c r="I915" s="38" t="n"/>
      <c r="J915" s="98">
        <f>IF(A915="","",IF(AND(F915&lt;&gt;"",G915&lt;&gt;""),MAX(0,G915-F915),N(H915)))</f>
        <v/>
      </c>
      <c r="K915" s="55">
        <f>IF(A915="","",ROUND(J915*MileRate,2))</f>
        <v/>
      </c>
      <c r="L915" s="51">
        <f>IF(A915="","",DATE(YEAR(A915),MONTH(A915),1))</f>
        <v/>
      </c>
    </row>
    <row r="916">
      <c r="A916" s="47" t="n"/>
      <c r="B916" s="38" t="n"/>
      <c r="C916" s="38" t="n"/>
      <c r="D916" s="38" t="n"/>
      <c r="E916" s="38" t="n"/>
      <c r="F916" s="128" t="n"/>
      <c r="G916" s="128" t="n"/>
      <c r="H916" s="129" t="n"/>
      <c r="I916" s="38" t="n"/>
      <c r="J916" s="98">
        <f>IF(A916="","",IF(AND(F916&lt;&gt;"",G916&lt;&gt;""),MAX(0,G916-F916),N(H916)))</f>
        <v/>
      </c>
      <c r="K916" s="55">
        <f>IF(A916="","",ROUND(J916*MileRate,2))</f>
        <v/>
      </c>
      <c r="L916" s="51">
        <f>IF(A916="","",DATE(YEAR(A916),MONTH(A916),1))</f>
        <v/>
      </c>
    </row>
    <row r="917">
      <c r="A917" s="47" t="n"/>
      <c r="B917" s="38" t="n"/>
      <c r="C917" s="38" t="n"/>
      <c r="D917" s="38" t="n"/>
      <c r="E917" s="38" t="n"/>
      <c r="F917" s="128" t="n"/>
      <c r="G917" s="128" t="n"/>
      <c r="H917" s="129" t="n"/>
      <c r="I917" s="38" t="n"/>
      <c r="J917" s="98">
        <f>IF(A917="","",IF(AND(F917&lt;&gt;"",G917&lt;&gt;""),MAX(0,G917-F917),N(H917)))</f>
        <v/>
      </c>
      <c r="K917" s="55">
        <f>IF(A917="","",ROUND(J917*MileRate,2))</f>
        <v/>
      </c>
      <c r="L917" s="51">
        <f>IF(A917="","",DATE(YEAR(A917),MONTH(A917),1))</f>
        <v/>
      </c>
    </row>
    <row r="918">
      <c r="A918" s="47" t="n"/>
      <c r="B918" s="38" t="n"/>
      <c r="C918" s="38" t="n"/>
      <c r="D918" s="38" t="n"/>
      <c r="E918" s="38" t="n"/>
      <c r="F918" s="128" t="n"/>
      <c r="G918" s="128" t="n"/>
      <c r="H918" s="129" t="n"/>
      <c r="I918" s="38" t="n"/>
      <c r="J918" s="98">
        <f>IF(A918="","",IF(AND(F918&lt;&gt;"",G918&lt;&gt;""),MAX(0,G918-F918),N(H918)))</f>
        <v/>
      </c>
      <c r="K918" s="55">
        <f>IF(A918="","",ROUND(J918*MileRate,2))</f>
        <v/>
      </c>
      <c r="L918" s="51">
        <f>IF(A918="","",DATE(YEAR(A918),MONTH(A918),1))</f>
        <v/>
      </c>
    </row>
    <row r="919">
      <c r="A919" s="47" t="n"/>
      <c r="B919" s="38" t="n"/>
      <c r="C919" s="38" t="n"/>
      <c r="D919" s="38" t="n"/>
      <c r="E919" s="38" t="n"/>
      <c r="F919" s="128" t="n"/>
      <c r="G919" s="128" t="n"/>
      <c r="H919" s="129" t="n"/>
      <c r="I919" s="38" t="n"/>
      <c r="J919" s="98">
        <f>IF(A919="","",IF(AND(F919&lt;&gt;"",G919&lt;&gt;""),MAX(0,G919-F919),N(H919)))</f>
        <v/>
      </c>
      <c r="K919" s="55">
        <f>IF(A919="","",ROUND(J919*MileRate,2))</f>
        <v/>
      </c>
      <c r="L919" s="51">
        <f>IF(A919="","",DATE(YEAR(A919),MONTH(A919),1))</f>
        <v/>
      </c>
    </row>
    <row r="920">
      <c r="A920" s="47" t="n"/>
      <c r="B920" s="38" t="n"/>
      <c r="C920" s="38" t="n"/>
      <c r="D920" s="38" t="n"/>
      <c r="E920" s="38" t="n"/>
      <c r="F920" s="128" t="n"/>
      <c r="G920" s="128" t="n"/>
      <c r="H920" s="129" t="n"/>
      <c r="I920" s="38" t="n"/>
      <c r="J920" s="98">
        <f>IF(A920="","",IF(AND(F920&lt;&gt;"",G920&lt;&gt;""),MAX(0,G920-F920),N(H920)))</f>
        <v/>
      </c>
      <c r="K920" s="55">
        <f>IF(A920="","",ROUND(J920*MileRate,2))</f>
        <v/>
      </c>
      <c r="L920" s="51">
        <f>IF(A920="","",DATE(YEAR(A920),MONTH(A920),1))</f>
        <v/>
      </c>
    </row>
    <row r="921">
      <c r="A921" s="47" t="n"/>
      <c r="B921" s="38" t="n"/>
      <c r="C921" s="38" t="n"/>
      <c r="D921" s="38" t="n"/>
      <c r="E921" s="38" t="n"/>
      <c r="F921" s="128" t="n"/>
      <c r="G921" s="128" t="n"/>
      <c r="H921" s="129" t="n"/>
      <c r="I921" s="38" t="n"/>
      <c r="J921" s="98">
        <f>IF(A921="","",IF(AND(F921&lt;&gt;"",G921&lt;&gt;""),MAX(0,G921-F921),N(H921)))</f>
        <v/>
      </c>
      <c r="K921" s="55">
        <f>IF(A921="","",ROUND(J921*MileRate,2))</f>
        <v/>
      </c>
      <c r="L921" s="51">
        <f>IF(A921="","",DATE(YEAR(A921),MONTH(A921),1))</f>
        <v/>
      </c>
    </row>
    <row r="922">
      <c r="A922" s="47" t="n"/>
      <c r="B922" s="38" t="n"/>
      <c r="C922" s="38" t="n"/>
      <c r="D922" s="38" t="n"/>
      <c r="E922" s="38" t="n"/>
      <c r="F922" s="128" t="n"/>
      <c r="G922" s="128" t="n"/>
      <c r="H922" s="129" t="n"/>
      <c r="I922" s="38" t="n"/>
      <c r="J922" s="98">
        <f>IF(A922="","",IF(AND(F922&lt;&gt;"",G922&lt;&gt;""),MAX(0,G922-F922),N(H922)))</f>
        <v/>
      </c>
      <c r="K922" s="55">
        <f>IF(A922="","",ROUND(J922*MileRate,2))</f>
        <v/>
      </c>
      <c r="L922" s="51">
        <f>IF(A922="","",DATE(YEAR(A922),MONTH(A922),1))</f>
        <v/>
      </c>
    </row>
    <row r="923">
      <c r="A923" s="47" t="n"/>
      <c r="B923" s="38" t="n"/>
      <c r="C923" s="38" t="n"/>
      <c r="D923" s="38" t="n"/>
      <c r="E923" s="38" t="n"/>
      <c r="F923" s="128" t="n"/>
      <c r="G923" s="128" t="n"/>
      <c r="H923" s="129" t="n"/>
      <c r="I923" s="38" t="n"/>
      <c r="J923" s="98">
        <f>IF(A923="","",IF(AND(F923&lt;&gt;"",G923&lt;&gt;""),MAX(0,G923-F923),N(H923)))</f>
        <v/>
      </c>
      <c r="K923" s="55">
        <f>IF(A923="","",ROUND(J923*MileRate,2))</f>
        <v/>
      </c>
      <c r="L923" s="51">
        <f>IF(A923="","",DATE(YEAR(A923),MONTH(A923),1))</f>
        <v/>
      </c>
    </row>
    <row r="924">
      <c r="A924" s="47" t="n"/>
      <c r="B924" s="38" t="n"/>
      <c r="C924" s="38" t="n"/>
      <c r="D924" s="38" t="n"/>
      <c r="E924" s="38" t="n"/>
      <c r="F924" s="128" t="n"/>
      <c r="G924" s="128" t="n"/>
      <c r="H924" s="129" t="n"/>
      <c r="I924" s="38" t="n"/>
      <c r="J924" s="98">
        <f>IF(A924="","",IF(AND(F924&lt;&gt;"",G924&lt;&gt;""),MAX(0,G924-F924),N(H924)))</f>
        <v/>
      </c>
      <c r="K924" s="55">
        <f>IF(A924="","",ROUND(J924*MileRate,2))</f>
        <v/>
      </c>
      <c r="L924" s="51">
        <f>IF(A924="","",DATE(YEAR(A924),MONTH(A924),1))</f>
        <v/>
      </c>
    </row>
    <row r="925">
      <c r="A925" s="47" t="n"/>
      <c r="B925" s="38" t="n"/>
      <c r="C925" s="38" t="n"/>
      <c r="D925" s="38" t="n"/>
      <c r="E925" s="38" t="n"/>
      <c r="F925" s="128" t="n"/>
      <c r="G925" s="128" t="n"/>
      <c r="H925" s="129" t="n"/>
      <c r="I925" s="38" t="n"/>
      <c r="J925" s="98">
        <f>IF(A925="","",IF(AND(F925&lt;&gt;"",G925&lt;&gt;""),MAX(0,G925-F925),N(H925)))</f>
        <v/>
      </c>
      <c r="K925" s="55">
        <f>IF(A925="","",ROUND(J925*MileRate,2))</f>
        <v/>
      </c>
      <c r="L925" s="51">
        <f>IF(A925="","",DATE(YEAR(A925),MONTH(A925),1))</f>
        <v/>
      </c>
    </row>
    <row r="926">
      <c r="A926" s="47" t="n"/>
      <c r="B926" s="38" t="n"/>
      <c r="C926" s="38" t="n"/>
      <c r="D926" s="38" t="n"/>
      <c r="E926" s="38" t="n"/>
      <c r="F926" s="128" t="n"/>
      <c r="G926" s="128" t="n"/>
      <c r="H926" s="129" t="n"/>
      <c r="I926" s="38" t="n"/>
      <c r="J926" s="98">
        <f>IF(A926="","",IF(AND(F926&lt;&gt;"",G926&lt;&gt;""),MAX(0,G926-F926),N(H926)))</f>
        <v/>
      </c>
      <c r="K926" s="55">
        <f>IF(A926="","",ROUND(J926*MileRate,2))</f>
        <v/>
      </c>
      <c r="L926" s="51">
        <f>IF(A926="","",DATE(YEAR(A926),MONTH(A926),1))</f>
        <v/>
      </c>
    </row>
    <row r="927">
      <c r="A927" s="47" t="n"/>
      <c r="B927" s="38" t="n"/>
      <c r="C927" s="38" t="n"/>
      <c r="D927" s="38" t="n"/>
      <c r="E927" s="38" t="n"/>
      <c r="F927" s="128" t="n"/>
      <c r="G927" s="128" t="n"/>
      <c r="H927" s="129" t="n"/>
      <c r="I927" s="38" t="n"/>
      <c r="J927" s="98">
        <f>IF(A927="","",IF(AND(F927&lt;&gt;"",G927&lt;&gt;""),MAX(0,G927-F927),N(H927)))</f>
        <v/>
      </c>
      <c r="K927" s="55">
        <f>IF(A927="","",ROUND(J927*MileRate,2))</f>
        <v/>
      </c>
      <c r="L927" s="51">
        <f>IF(A927="","",DATE(YEAR(A927),MONTH(A927),1))</f>
        <v/>
      </c>
    </row>
    <row r="928">
      <c r="A928" s="47" t="n"/>
      <c r="B928" s="38" t="n"/>
      <c r="C928" s="38" t="n"/>
      <c r="D928" s="38" t="n"/>
      <c r="E928" s="38" t="n"/>
      <c r="F928" s="128" t="n"/>
      <c r="G928" s="128" t="n"/>
      <c r="H928" s="129" t="n"/>
      <c r="I928" s="38" t="n"/>
      <c r="J928" s="98">
        <f>IF(A928="","",IF(AND(F928&lt;&gt;"",G928&lt;&gt;""),MAX(0,G928-F928),N(H928)))</f>
        <v/>
      </c>
      <c r="K928" s="55">
        <f>IF(A928="","",ROUND(J928*MileRate,2))</f>
        <v/>
      </c>
      <c r="L928" s="51">
        <f>IF(A928="","",DATE(YEAR(A928),MONTH(A928),1))</f>
        <v/>
      </c>
    </row>
    <row r="929">
      <c r="A929" s="47" t="n"/>
      <c r="B929" s="38" t="n"/>
      <c r="C929" s="38" t="n"/>
      <c r="D929" s="38" t="n"/>
      <c r="E929" s="38" t="n"/>
      <c r="F929" s="128" t="n"/>
      <c r="G929" s="128" t="n"/>
      <c r="H929" s="129" t="n"/>
      <c r="I929" s="38" t="n"/>
      <c r="J929" s="98">
        <f>IF(A929="","",IF(AND(F929&lt;&gt;"",G929&lt;&gt;""),MAX(0,G929-F929),N(H929)))</f>
        <v/>
      </c>
      <c r="K929" s="55">
        <f>IF(A929="","",ROUND(J929*MileRate,2))</f>
        <v/>
      </c>
      <c r="L929" s="51">
        <f>IF(A929="","",DATE(YEAR(A929),MONTH(A929),1))</f>
        <v/>
      </c>
    </row>
    <row r="930">
      <c r="A930" s="47" t="n"/>
      <c r="B930" s="38" t="n"/>
      <c r="C930" s="38" t="n"/>
      <c r="D930" s="38" t="n"/>
      <c r="E930" s="38" t="n"/>
      <c r="F930" s="128" t="n"/>
      <c r="G930" s="128" t="n"/>
      <c r="H930" s="129" t="n"/>
      <c r="I930" s="38" t="n"/>
      <c r="J930" s="98">
        <f>IF(A930="","",IF(AND(F930&lt;&gt;"",G930&lt;&gt;""),MAX(0,G930-F930),N(H930)))</f>
        <v/>
      </c>
      <c r="K930" s="55">
        <f>IF(A930="","",ROUND(J930*MileRate,2))</f>
        <v/>
      </c>
      <c r="L930" s="51">
        <f>IF(A930="","",DATE(YEAR(A930),MONTH(A930),1))</f>
        <v/>
      </c>
    </row>
    <row r="931">
      <c r="A931" s="47" t="n"/>
      <c r="B931" s="38" t="n"/>
      <c r="C931" s="38" t="n"/>
      <c r="D931" s="38" t="n"/>
      <c r="E931" s="38" t="n"/>
      <c r="F931" s="128" t="n"/>
      <c r="G931" s="128" t="n"/>
      <c r="H931" s="129" t="n"/>
      <c r="I931" s="38" t="n"/>
      <c r="J931" s="98">
        <f>IF(A931="","",IF(AND(F931&lt;&gt;"",G931&lt;&gt;""),MAX(0,G931-F931),N(H931)))</f>
        <v/>
      </c>
      <c r="K931" s="55">
        <f>IF(A931="","",ROUND(J931*MileRate,2))</f>
        <v/>
      </c>
      <c r="L931" s="51">
        <f>IF(A931="","",DATE(YEAR(A931),MONTH(A931),1))</f>
        <v/>
      </c>
    </row>
    <row r="932">
      <c r="A932" s="47" t="n"/>
      <c r="B932" s="38" t="n"/>
      <c r="C932" s="38" t="n"/>
      <c r="D932" s="38" t="n"/>
      <c r="E932" s="38" t="n"/>
      <c r="F932" s="128" t="n"/>
      <c r="G932" s="128" t="n"/>
      <c r="H932" s="129" t="n"/>
      <c r="I932" s="38" t="n"/>
      <c r="J932" s="98">
        <f>IF(A932="","",IF(AND(F932&lt;&gt;"",G932&lt;&gt;""),MAX(0,G932-F932),N(H932)))</f>
        <v/>
      </c>
      <c r="K932" s="55">
        <f>IF(A932="","",ROUND(J932*MileRate,2))</f>
        <v/>
      </c>
      <c r="L932" s="51">
        <f>IF(A932="","",DATE(YEAR(A932),MONTH(A932),1))</f>
        <v/>
      </c>
    </row>
    <row r="933">
      <c r="A933" s="47" t="n"/>
      <c r="B933" s="38" t="n"/>
      <c r="C933" s="38" t="n"/>
      <c r="D933" s="38" t="n"/>
      <c r="E933" s="38" t="n"/>
      <c r="F933" s="128" t="n"/>
      <c r="G933" s="128" t="n"/>
      <c r="H933" s="129" t="n"/>
      <c r="I933" s="38" t="n"/>
      <c r="J933" s="98">
        <f>IF(A933="","",IF(AND(F933&lt;&gt;"",G933&lt;&gt;""),MAX(0,G933-F933),N(H933)))</f>
        <v/>
      </c>
      <c r="K933" s="55">
        <f>IF(A933="","",ROUND(J933*MileRate,2))</f>
        <v/>
      </c>
      <c r="L933" s="51">
        <f>IF(A933="","",DATE(YEAR(A933),MONTH(A933),1))</f>
        <v/>
      </c>
    </row>
    <row r="934">
      <c r="A934" s="47" t="n"/>
      <c r="B934" s="38" t="n"/>
      <c r="C934" s="38" t="n"/>
      <c r="D934" s="38" t="n"/>
      <c r="E934" s="38" t="n"/>
      <c r="F934" s="128" t="n"/>
      <c r="G934" s="128" t="n"/>
      <c r="H934" s="129" t="n"/>
      <c r="I934" s="38" t="n"/>
      <c r="J934" s="98">
        <f>IF(A934="","",IF(AND(F934&lt;&gt;"",G934&lt;&gt;""),MAX(0,G934-F934),N(H934)))</f>
        <v/>
      </c>
      <c r="K934" s="55">
        <f>IF(A934="","",ROUND(J934*MileRate,2))</f>
        <v/>
      </c>
      <c r="L934" s="51">
        <f>IF(A934="","",DATE(YEAR(A934),MONTH(A934),1))</f>
        <v/>
      </c>
    </row>
    <row r="935">
      <c r="A935" s="47" t="n"/>
      <c r="B935" s="38" t="n"/>
      <c r="C935" s="38" t="n"/>
      <c r="D935" s="38" t="n"/>
      <c r="E935" s="38" t="n"/>
      <c r="F935" s="128" t="n"/>
      <c r="G935" s="128" t="n"/>
      <c r="H935" s="129" t="n"/>
      <c r="I935" s="38" t="n"/>
      <c r="J935" s="98">
        <f>IF(A935="","",IF(AND(F935&lt;&gt;"",G935&lt;&gt;""),MAX(0,G935-F935),N(H935)))</f>
        <v/>
      </c>
      <c r="K935" s="55">
        <f>IF(A935="","",ROUND(J935*MileRate,2))</f>
        <v/>
      </c>
      <c r="L935" s="51">
        <f>IF(A935="","",DATE(YEAR(A935),MONTH(A935),1))</f>
        <v/>
      </c>
    </row>
    <row r="936">
      <c r="A936" s="47" t="n"/>
      <c r="B936" s="38" t="n"/>
      <c r="C936" s="38" t="n"/>
      <c r="D936" s="38" t="n"/>
      <c r="E936" s="38" t="n"/>
      <c r="F936" s="128" t="n"/>
      <c r="G936" s="128" t="n"/>
      <c r="H936" s="129" t="n"/>
      <c r="I936" s="38" t="n"/>
      <c r="J936" s="98">
        <f>IF(A936="","",IF(AND(F936&lt;&gt;"",G936&lt;&gt;""),MAX(0,G936-F936),N(H936)))</f>
        <v/>
      </c>
      <c r="K936" s="55">
        <f>IF(A936="","",ROUND(J936*MileRate,2))</f>
        <v/>
      </c>
      <c r="L936" s="51">
        <f>IF(A936="","",DATE(YEAR(A936),MONTH(A936),1))</f>
        <v/>
      </c>
    </row>
    <row r="937">
      <c r="A937" s="47" t="n"/>
      <c r="B937" s="38" t="n"/>
      <c r="C937" s="38" t="n"/>
      <c r="D937" s="38" t="n"/>
      <c r="E937" s="38" t="n"/>
      <c r="F937" s="128" t="n"/>
      <c r="G937" s="128" t="n"/>
      <c r="H937" s="129" t="n"/>
      <c r="I937" s="38" t="n"/>
      <c r="J937" s="98">
        <f>IF(A937="","",IF(AND(F937&lt;&gt;"",G937&lt;&gt;""),MAX(0,G937-F937),N(H937)))</f>
        <v/>
      </c>
      <c r="K937" s="55">
        <f>IF(A937="","",ROUND(J937*MileRate,2))</f>
        <v/>
      </c>
      <c r="L937" s="51">
        <f>IF(A937="","",DATE(YEAR(A937),MONTH(A937),1))</f>
        <v/>
      </c>
    </row>
    <row r="938">
      <c r="A938" s="47" t="n"/>
      <c r="B938" s="38" t="n"/>
      <c r="C938" s="38" t="n"/>
      <c r="D938" s="38" t="n"/>
      <c r="E938" s="38" t="n"/>
      <c r="F938" s="128" t="n"/>
      <c r="G938" s="128" t="n"/>
      <c r="H938" s="129" t="n"/>
      <c r="I938" s="38" t="n"/>
      <c r="J938" s="98">
        <f>IF(A938="","",IF(AND(F938&lt;&gt;"",G938&lt;&gt;""),MAX(0,G938-F938),N(H938)))</f>
        <v/>
      </c>
      <c r="K938" s="55">
        <f>IF(A938="","",ROUND(J938*MileRate,2))</f>
        <v/>
      </c>
      <c r="L938" s="51">
        <f>IF(A938="","",DATE(YEAR(A938),MONTH(A938),1))</f>
        <v/>
      </c>
    </row>
    <row r="939">
      <c r="A939" s="47" t="n"/>
      <c r="B939" s="38" t="n"/>
      <c r="C939" s="38" t="n"/>
      <c r="D939" s="38" t="n"/>
      <c r="E939" s="38" t="n"/>
      <c r="F939" s="128" t="n"/>
      <c r="G939" s="128" t="n"/>
      <c r="H939" s="129" t="n"/>
      <c r="I939" s="38" t="n"/>
      <c r="J939" s="98">
        <f>IF(A939="","",IF(AND(F939&lt;&gt;"",G939&lt;&gt;""),MAX(0,G939-F939),N(H939)))</f>
        <v/>
      </c>
      <c r="K939" s="55">
        <f>IF(A939="","",ROUND(J939*MileRate,2))</f>
        <v/>
      </c>
      <c r="L939" s="51">
        <f>IF(A939="","",DATE(YEAR(A939),MONTH(A939),1))</f>
        <v/>
      </c>
    </row>
    <row r="940">
      <c r="A940" s="47" t="n"/>
      <c r="B940" s="38" t="n"/>
      <c r="C940" s="38" t="n"/>
      <c r="D940" s="38" t="n"/>
      <c r="E940" s="38" t="n"/>
      <c r="F940" s="128" t="n"/>
      <c r="G940" s="128" t="n"/>
      <c r="H940" s="129" t="n"/>
      <c r="I940" s="38" t="n"/>
      <c r="J940" s="98">
        <f>IF(A940="","",IF(AND(F940&lt;&gt;"",G940&lt;&gt;""),MAX(0,G940-F940),N(H940)))</f>
        <v/>
      </c>
      <c r="K940" s="55">
        <f>IF(A940="","",ROUND(J940*MileRate,2))</f>
        <v/>
      </c>
      <c r="L940" s="51">
        <f>IF(A940="","",DATE(YEAR(A940),MONTH(A940),1))</f>
        <v/>
      </c>
    </row>
    <row r="941">
      <c r="A941" s="47" t="n"/>
      <c r="B941" s="38" t="n"/>
      <c r="C941" s="38" t="n"/>
      <c r="D941" s="38" t="n"/>
      <c r="E941" s="38" t="n"/>
      <c r="F941" s="128" t="n"/>
      <c r="G941" s="128" t="n"/>
      <c r="H941" s="129" t="n"/>
      <c r="I941" s="38" t="n"/>
      <c r="J941" s="98">
        <f>IF(A941="","",IF(AND(F941&lt;&gt;"",G941&lt;&gt;""),MAX(0,G941-F941),N(H941)))</f>
        <v/>
      </c>
      <c r="K941" s="55">
        <f>IF(A941="","",ROUND(J941*MileRate,2))</f>
        <v/>
      </c>
      <c r="L941" s="51">
        <f>IF(A941="","",DATE(YEAR(A941),MONTH(A941),1))</f>
        <v/>
      </c>
    </row>
    <row r="942">
      <c r="A942" s="47" t="n"/>
      <c r="B942" s="38" t="n"/>
      <c r="C942" s="38" t="n"/>
      <c r="D942" s="38" t="n"/>
      <c r="E942" s="38" t="n"/>
      <c r="F942" s="128" t="n"/>
      <c r="G942" s="128" t="n"/>
      <c r="H942" s="129" t="n"/>
      <c r="I942" s="38" t="n"/>
      <c r="J942" s="98">
        <f>IF(A942="","",IF(AND(F942&lt;&gt;"",G942&lt;&gt;""),MAX(0,G942-F942),N(H942)))</f>
        <v/>
      </c>
      <c r="K942" s="55">
        <f>IF(A942="","",ROUND(J942*MileRate,2))</f>
        <v/>
      </c>
      <c r="L942" s="51">
        <f>IF(A942="","",DATE(YEAR(A942),MONTH(A942),1))</f>
        <v/>
      </c>
    </row>
    <row r="943">
      <c r="A943" s="47" t="n"/>
      <c r="B943" s="38" t="n"/>
      <c r="C943" s="38" t="n"/>
      <c r="D943" s="38" t="n"/>
      <c r="E943" s="38" t="n"/>
      <c r="F943" s="128" t="n"/>
      <c r="G943" s="128" t="n"/>
      <c r="H943" s="129" t="n"/>
      <c r="I943" s="38" t="n"/>
      <c r="J943" s="98">
        <f>IF(A943="","",IF(AND(F943&lt;&gt;"",G943&lt;&gt;""),MAX(0,G943-F943),N(H943)))</f>
        <v/>
      </c>
      <c r="K943" s="55">
        <f>IF(A943="","",ROUND(J943*MileRate,2))</f>
        <v/>
      </c>
      <c r="L943" s="51">
        <f>IF(A943="","",DATE(YEAR(A943),MONTH(A943),1))</f>
        <v/>
      </c>
    </row>
    <row r="944">
      <c r="A944" s="47" t="n"/>
      <c r="B944" s="38" t="n"/>
      <c r="C944" s="38" t="n"/>
      <c r="D944" s="38" t="n"/>
      <c r="E944" s="38" t="n"/>
      <c r="F944" s="128" t="n"/>
      <c r="G944" s="128" t="n"/>
      <c r="H944" s="129" t="n"/>
      <c r="I944" s="38" t="n"/>
      <c r="J944" s="98">
        <f>IF(A944="","",IF(AND(F944&lt;&gt;"",G944&lt;&gt;""),MAX(0,G944-F944),N(H944)))</f>
        <v/>
      </c>
      <c r="K944" s="55">
        <f>IF(A944="","",ROUND(J944*MileRate,2))</f>
        <v/>
      </c>
      <c r="L944" s="51">
        <f>IF(A944="","",DATE(YEAR(A944),MONTH(A944),1))</f>
        <v/>
      </c>
    </row>
    <row r="945">
      <c r="A945" s="47" t="n"/>
      <c r="B945" s="38" t="n"/>
      <c r="C945" s="38" t="n"/>
      <c r="D945" s="38" t="n"/>
      <c r="E945" s="38" t="n"/>
      <c r="F945" s="128" t="n"/>
      <c r="G945" s="128" t="n"/>
      <c r="H945" s="129" t="n"/>
      <c r="I945" s="38" t="n"/>
      <c r="J945" s="98">
        <f>IF(A945="","",IF(AND(F945&lt;&gt;"",G945&lt;&gt;""),MAX(0,G945-F945),N(H945)))</f>
        <v/>
      </c>
      <c r="K945" s="55">
        <f>IF(A945="","",ROUND(J945*MileRate,2))</f>
        <v/>
      </c>
      <c r="L945" s="51">
        <f>IF(A945="","",DATE(YEAR(A945),MONTH(A945),1))</f>
        <v/>
      </c>
    </row>
    <row r="946">
      <c r="A946" s="47" t="n"/>
      <c r="B946" s="38" t="n"/>
      <c r="C946" s="38" t="n"/>
      <c r="D946" s="38" t="n"/>
      <c r="E946" s="38" t="n"/>
      <c r="F946" s="128" t="n"/>
      <c r="G946" s="128" t="n"/>
      <c r="H946" s="129" t="n"/>
      <c r="I946" s="38" t="n"/>
      <c r="J946" s="98">
        <f>IF(A946="","",IF(AND(F946&lt;&gt;"",G946&lt;&gt;""),MAX(0,G946-F946),N(H946)))</f>
        <v/>
      </c>
      <c r="K946" s="55">
        <f>IF(A946="","",ROUND(J946*MileRate,2))</f>
        <v/>
      </c>
      <c r="L946" s="51">
        <f>IF(A946="","",DATE(YEAR(A946),MONTH(A946),1))</f>
        <v/>
      </c>
    </row>
    <row r="947">
      <c r="A947" s="47" t="n"/>
      <c r="B947" s="38" t="n"/>
      <c r="C947" s="38" t="n"/>
      <c r="D947" s="38" t="n"/>
      <c r="E947" s="38" t="n"/>
      <c r="F947" s="128" t="n"/>
      <c r="G947" s="128" t="n"/>
      <c r="H947" s="129" t="n"/>
      <c r="I947" s="38" t="n"/>
      <c r="J947" s="98">
        <f>IF(A947="","",IF(AND(F947&lt;&gt;"",G947&lt;&gt;""),MAX(0,G947-F947),N(H947)))</f>
        <v/>
      </c>
      <c r="K947" s="55">
        <f>IF(A947="","",ROUND(J947*MileRate,2))</f>
        <v/>
      </c>
      <c r="L947" s="51">
        <f>IF(A947="","",DATE(YEAR(A947),MONTH(A947),1))</f>
        <v/>
      </c>
    </row>
    <row r="948">
      <c r="A948" s="47" t="n"/>
      <c r="B948" s="38" t="n"/>
      <c r="C948" s="38" t="n"/>
      <c r="D948" s="38" t="n"/>
      <c r="E948" s="38" t="n"/>
      <c r="F948" s="128" t="n"/>
      <c r="G948" s="128" t="n"/>
      <c r="H948" s="129" t="n"/>
      <c r="I948" s="38" t="n"/>
      <c r="J948" s="98">
        <f>IF(A948="","",IF(AND(F948&lt;&gt;"",G948&lt;&gt;""),MAX(0,G948-F948),N(H948)))</f>
        <v/>
      </c>
      <c r="K948" s="55">
        <f>IF(A948="","",ROUND(J948*MileRate,2))</f>
        <v/>
      </c>
      <c r="L948" s="51">
        <f>IF(A948="","",DATE(YEAR(A948),MONTH(A948),1))</f>
        <v/>
      </c>
    </row>
    <row r="949">
      <c r="A949" s="47" t="n"/>
      <c r="B949" s="38" t="n"/>
      <c r="C949" s="38" t="n"/>
      <c r="D949" s="38" t="n"/>
      <c r="E949" s="38" t="n"/>
      <c r="F949" s="128" t="n"/>
      <c r="G949" s="128" t="n"/>
      <c r="H949" s="129" t="n"/>
      <c r="I949" s="38" t="n"/>
      <c r="J949" s="98">
        <f>IF(A949="","",IF(AND(F949&lt;&gt;"",G949&lt;&gt;""),MAX(0,G949-F949),N(H949)))</f>
        <v/>
      </c>
      <c r="K949" s="55">
        <f>IF(A949="","",ROUND(J949*MileRate,2))</f>
        <v/>
      </c>
      <c r="L949" s="51">
        <f>IF(A949="","",DATE(YEAR(A949),MONTH(A949),1))</f>
        <v/>
      </c>
    </row>
    <row r="950">
      <c r="A950" s="47" t="n"/>
      <c r="B950" s="38" t="n"/>
      <c r="C950" s="38" t="n"/>
      <c r="D950" s="38" t="n"/>
      <c r="E950" s="38" t="n"/>
      <c r="F950" s="128" t="n"/>
      <c r="G950" s="128" t="n"/>
      <c r="H950" s="129" t="n"/>
      <c r="I950" s="38" t="n"/>
      <c r="J950" s="98">
        <f>IF(A950="","",IF(AND(F950&lt;&gt;"",G950&lt;&gt;""),MAX(0,G950-F950),N(H950)))</f>
        <v/>
      </c>
      <c r="K950" s="55">
        <f>IF(A950="","",ROUND(J950*MileRate,2))</f>
        <v/>
      </c>
      <c r="L950" s="51">
        <f>IF(A950="","",DATE(YEAR(A950),MONTH(A950),1))</f>
        <v/>
      </c>
    </row>
    <row r="951">
      <c r="A951" s="47" t="n"/>
      <c r="B951" s="38" t="n"/>
      <c r="C951" s="38" t="n"/>
      <c r="D951" s="38" t="n"/>
      <c r="E951" s="38" t="n"/>
      <c r="F951" s="128" t="n"/>
      <c r="G951" s="128" t="n"/>
      <c r="H951" s="129" t="n"/>
      <c r="I951" s="38" t="n"/>
      <c r="J951" s="98">
        <f>IF(A951="","",IF(AND(F951&lt;&gt;"",G951&lt;&gt;""),MAX(0,G951-F951),N(H951)))</f>
        <v/>
      </c>
      <c r="K951" s="55">
        <f>IF(A951="","",ROUND(J951*MileRate,2))</f>
        <v/>
      </c>
      <c r="L951" s="51">
        <f>IF(A951="","",DATE(YEAR(A951),MONTH(A951),1))</f>
        <v/>
      </c>
    </row>
    <row r="952">
      <c r="A952" s="47" t="n"/>
      <c r="B952" s="38" t="n"/>
      <c r="C952" s="38" t="n"/>
      <c r="D952" s="38" t="n"/>
      <c r="E952" s="38" t="n"/>
      <c r="F952" s="128" t="n"/>
      <c r="G952" s="128" t="n"/>
      <c r="H952" s="129" t="n"/>
      <c r="I952" s="38" t="n"/>
      <c r="J952" s="98">
        <f>IF(A952="","",IF(AND(F952&lt;&gt;"",G952&lt;&gt;""),MAX(0,G952-F952),N(H952)))</f>
        <v/>
      </c>
      <c r="K952" s="55">
        <f>IF(A952="","",ROUND(J952*MileRate,2))</f>
        <v/>
      </c>
      <c r="L952" s="51">
        <f>IF(A952="","",DATE(YEAR(A952),MONTH(A952),1))</f>
        <v/>
      </c>
    </row>
    <row r="953">
      <c r="A953" s="47" t="n"/>
      <c r="B953" s="38" t="n"/>
      <c r="C953" s="38" t="n"/>
      <c r="D953" s="38" t="n"/>
      <c r="E953" s="38" t="n"/>
      <c r="F953" s="128" t="n"/>
      <c r="G953" s="128" t="n"/>
      <c r="H953" s="129" t="n"/>
      <c r="I953" s="38" t="n"/>
      <c r="J953" s="98">
        <f>IF(A953="","",IF(AND(F953&lt;&gt;"",G953&lt;&gt;""),MAX(0,G953-F953),N(H953)))</f>
        <v/>
      </c>
      <c r="K953" s="55">
        <f>IF(A953="","",ROUND(J953*MileRate,2))</f>
        <v/>
      </c>
      <c r="L953" s="51">
        <f>IF(A953="","",DATE(YEAR(A953),MONTH(A953),1))</f>
        <v/>
      </c>
    </row>
    <row r="954">
      <c r="A954" s="47" t="n"/>
      <c r="B954" s="38" t="n"/>
      <c r="C954" s="38" t="n"/>
      <c r="D954" s="38" t="n"/>
      <c r="E954" s="38" t="n"/>
      <c r="F954" s="128" t="n"/>
      <c r="G954" s="128" t="n"/>
      <c r="H954" s="129" t="n"/>
      <c r="I954" s="38" t="n"/>
      <c r="J954" s="98">
        <f>IF(A954="","",IF(AND(F954&lt;&gt;"",G954&lt;&gt;""),MAX(0,G954-F954),N(H954)))</f>
        <v/>
      </c>
      <c r="K954" s="55">
        <f>IF(A954="","",ROUND(J954*MileRate,2))</f>
        <v/>
      </c>
      <c r="L954" s="51">
        <f>IF(A954="","",DATE(YEAR(A954),MONTH(A954),1))</f>
        <v/>
      </c>
    </row>
    <row r="955">
      <c r="A955" s="47" t="n"/>
      <c r="B955" s="38" t="n"/>
      <c r="C955" s="38" t="n"/>
      <c r="D955" s="38" t="n"/>
      <c r="E955" s="38" t="n"/>
      <c r="F955" s="128" t="n"/>
      <c r="G955" s="128" t="n"/>
      <c r="H955" s="129" t="n"/>
      <c r="I955" s="38" t="n"/>
      <c r="J955" s="98">
        <f>IF(A955="","",IF(AND(F955&lt;&gt;"",G955&lt;&gt;""),MAX(0,G955-F955),N(H955)))</f>
        <v/>
      </c>
      <c r="K955" s="55">
        <f>IF(A955="","",ROUND(J955*MileRate,2))</f>
        <v/>
      </c>
      <c r="L955" s="51">
        <f>IF(A955="","",DATE(YEAR(A955),MONTH(A955),1))</f>
        <v/>
      </c>
    </row>
    <row r="956">
      <c r="A956" s="47" t="n"/>
      <c r="B956" s="38" t="n"/>
      <c r="C956" s="38" t="n"/>
      <c r="D956" s="38" t="n"/>
      <c r="E956" s="38" t="n"/>
      <c r="F956" s="128" t="n"/>
      <c r="G956" s="128" t="n"/>
      <c r="H956" s="129" t="n"/>
      <c r="I956" s="38" t="n"/>
      <c r="J956" s="98">
        <f>IF(A956="","",IF(AND(F956&lt;&gt;"",G956&lt;&gt;""),MAX(0,G956-F956),N(H956)))</f>
        <v/>
      </c>
      <c r="K956" s="55">
        <f>IF(A956="","",ROUND(J956*MileRate,2))</f>
        <v/>
      </c>
      <c r="L956" s="51">
        <f>IF(A956="","",DATE(YEAR(A956),MONTH(A956),1))</f>
        <v/>
      </c>
    </row>
    <row r="957">
      <c r="A957" s="47" t="n"/>
      <c r="B957" s="38" t="n"/>
      <c r="C957" s="38" t="n"/>
      <c r="D957" s="38" t="n"/>
      <c r="E957" s="38" t="n"/>
      <c r="F957" s="128" t="n"/>
      <c r="G957" s="128" t="n"/>
      <c r="H957" s="129" t="n"/>
      <c r="I957" s="38" t="n"/>
      <c r="J957" s="98">
        <f>IF(A957="","",IF(AND(F957&lt;&gt;"",G957&lt;&gt;""),MAX(0,G957-F957),N(H957)))</f>
        <v/>
      </c>
      <c r="K957" s="55">
        <f>IF(A957="","",ROUND(J957*MileRate,2))</f>
        <v/>
      </c>
      <c r="L957" s="51">
        <f>IF(A957="","",DATE(YEAR(A957),MONTH(A957),1))</f>
        <v/>
      </c>
    </row>
    <row r="958">
      <c r="A958" s="47" t="n"/>
      <c r="B958" s="38" t="n"/>
      <c r="C958" s="38" t="n"/>
      <c r="D958" s="38" t="n"/>
      <c r="E958" s="38" t="n"/>
      <c r="F958" s="128" t="n"/>
      <c r="G958" s="128" t="n"/>
      <c r="H958" s="129" t="n"/>
      <c r="I958" s="38" t="n"/>
      <c r="J958" s="98">
        <f>IF(A958="","",IF(AND(F958&lt;&gt;"",G958&lt;&gt;""),MAX(0,G958-F958),N(H958)))</f>
        <v/>
      </c>
      <c r="K958" s="55">
        <f>IF(A958="","",ROUND(J958*MileRate,2))</f>
        <v/>
      </c>
      <c r="L958" s="51">
        <f>IF(A958="","",DATE(YEAR(A958),MONTH(A958),1))</f>
        <v/>
      </c>
    </row>
    <row r="959">
      <c r="A959" s="47" t="n"/>
      <c r="B959" s="38" t="n"/>
      <c r="C959" s="38" t="n"/>
      <c r="D959" s="38" t="n"/>
      <c r="E959" s="38" t="n"/>
      <c r="F959" s="128" t="n"/>
      <c r="G959" s="128" t="n"/>
      <c r="H959" s="129" t="n"/>
      <c r="I959" s="38" t="n"/>
      <c r="J959" s="98">
        <f>IF(A959="","",IF(AND(F959&lt;&gt;"",G959&lt;&gt;""),MAX(0,G959-F959),N(H959)))</f>
        <v/>
      </c>
      <c r="K959" s="55">
        <f>IF(A959="","",ROUND(J959*MileRate,2))</f>
        <v/>
      </c>
      <c r="L959" s="51">
        <f>IF(A959="","",DATE(YEAR(A959),MONTH(A959),1))</f>
        <v/>
      </c>
    </row>
    <row r="960">
      <c r="A960" s="47" t="n"/>
      <c r="B960" s="38" t="n"/>
      <c r="C960" s="38" t="n"/>
      <c r="D960" s="38" t="n"/>
      <c r="E960" s="38" t="n"/>
      <c r="F960" s="128" t="n"/>
      <c r="G960" s="128" t="n"/>
      <c r="H960" s="129" t="n"/>
      <c r="I960" s="38" t="n"/>
      <c r="J960" s="98">
        <f>IF(A960="","",IF(AND(F960&lt;&gt;"",G960&lt;&gt;""),MAX(0,G960-F960),N(H960)))</f>
        <v/>
      </c>
      <c r="K960" s="55">
        <f>IF(A960="","",ROUND(J960*MileRate,2))</f>
        <v/>
      </c>
      <c r="L960" s="51">
        <f>IF(A960="","",DATE(YEAR(A960),MONTH(A960),1))</f>
        <v/>
      </c>
    </row>
    <row r="961">
      <c r="A961" s="47" t="n"/>
      <c r="B961" s="38" t="n"/>
      <c r="C961" s="38" t="n"/>
      <c r="D961" s="38" t="n"/>
      <c r="E961" s="38" t="n"/>
      <c r="F961" s="128" t="n"/>
      <c r="G961" s="128" t="n"/>
      <c r="H961" s="129" t="n"/>
      <c r="I961" s="38" t="n"/>
      <c r="J961" s="98">
        <f>IF(A961="","",IF(AND(F961&lt;&gt;"",G961&lt;&gt;""),MAX(0,G961-F961),N(H961)))</f>
        <v/>
      </c>
      <c r="K961" s="55">
        <f>IF(A961="","",ROUND(J961*MileRate,2))</f>
        <v/>
      </c>
      <c r="L961" s="51">
        <f>IF(A961="","",DATE(YEAR(A961),MONTH(A961),1))</f>
        <v/>
      </c>
    </row>
    <row r="962">
      <c r="A962" s="47" t="n"/>
      <c r="B962" s="38" t="n"/>
      <c r="C962" s="38" t="n"/>
      <c r="D962" s="38" t="n"/>
      <c r="E962" s="38" t="n"/>
      <c r="F962" s="128" t="n"/>
      <c r="G962" s="128" t="n"/>
      <c r="H962" s="129" t="n"/>
      <c r="I962" s="38" t="n"/>
      <c r="J962" s="98">
        <f>IF(A962="","",IF(AND(F962&lt;&gt;"",G962&lt;&gt;""),MAX(0,G962-F962),N(H962)))</f>
        <v/>
      </c>
      <c r="K962" s="55">
        <f>IF(A962="","",ROUND(J962*MileRate,2))</f>
        <v/>
      </c>
      <c r="L962" s="51">
        <f>IF(A962="","",DATE(YEAR(A962),MONTH(A962),1))</f>
        <v/>
      </c>
    </row>
    <row r="963">
      <c r="A963" s="47" t="n"/>
      <c r="B963" s="38" t="n"/>
      <c r="C963" s="38" t="n"/>
      <c r="D963" s="38" t="n"/>
      <c r="E963" s="38" t="n"/>
      <c r="F963" s="128" t="n"/>
      <c r="G963" s="128" t="n"/>
      <c r="H963" s="129" t="n"/>
      <c r="I963" s="38" t="n"/>
      <c r="J963" s="98">
        <f>IF(A963="","",IF(AND(F963&lt;&gt;"",G963&lt;&gt;""),MAX(0,G963-F963),N(H963)))</f>
        <v/>
      </c>
      <c r="K963" s="55">
        <f>IF(A963="","",ROUND(J963*MileRate,2))</f>
        <v/>
      </c>
      <c r="L963" s="51">
        <f>IF(A963="","",DATE(YEAR(A963),MONTH(A963),1))</f>
        <v/>
      </c>
    </row>
    <row r="964">
      <c r="A964" s="47" t="n"/>
      <c r="B964" s="38" t="n"/>
      <c r="C964" s="38" t="n"/>
      <c r="D964" s="38" t="n"/>
      <c r="E964" s="38" t="n"/>
      <c r="F964" s="128" t="n"/>
      <c r="G964" s="128" t="n"/>
      <c r="H964" s="129" t="n"/>
      <c r="I964" s="38" t="n"/>
      <c r="J964" s="98">
        <f>IF(A964="","",IF(AND(F964&lt;&gt;"",G964&lt;&gt;""),MAX(0,G964-F964),N(H964)))</f>
        <v/>
      </c>
      <c r="K964" s="55">
        <f>IF(A964="","",ROUND(J964*MileRate,2))</f>
        <v/>
      </c>
      <c r="L964" s="51">
        <f>IF(A964="","",DATE(YEAR(A964),MONTH(A964),1))</f>
        <v/>
      </c>
    </row>
    <row r="965">
      <c r="A965" s="47" t="n"/>
      <c r="B965" s="38" t="n"/>
      <c r="C965" s="38" t="n"/>
      <c r="D965" s="38" t="n"/>
      <c r="E965" s="38" t="n"/>
      <c r="F965" s="128" t="n"/>
      <c r="G965" s="128" t="n"/>
      <c r="H965" s="129" t="n"/>
      <c r="I965" s="38" t="n"/>
      <c r="J965" s="98">
        <f>IF(A965="","",IF(AND(F965&lt;&gt;"",G965&lt;&gt;""),MAX(0,G965-F965),N(H965)))</f>
        <v/>
      </c>
      <c r="K965" s="55">
        <f>IF(A965="","",ROUND(J965*MileRate,2))</f>
        <v/>
      </c>
      <c r="L965" s="51">
        <f>IF(A965="","",DATE(YEAR(A965),MONTH(A965),1))</f>
        <v/>
      </c>
    </row>
    <row r="966">
      <c r="A966" s="47" t="n"/>
      <c r="B966" s="38" t="n"/>
      <c r="C966" s="38" t="n"/>
      <c r="D966" s="38" t="n"/>
      <c r="E966" s="38" t="n"/>
      <c r="F966" s="128" t="n"/>
      <c r="G966" s="128" t="n"/>
      <c r="H966" s="129" t="n"/>
      <c r="I966" s="38" t="n"/>
      <c r="J966" s="98">
        <f>IF(A966="","",IF(AND(F966&lt;&gt;"",G966&lt;&gt;""),MAX(0,G966-F966),N(H966)))</f>
        <v/>
      </c>
      <c r="K966" s="55">
        <f>IF(A966="","",ROUND(J966*MileRate,2))</f>
        <v/>
      </c>
      <c r="L966" s="51">
        <f>IF(A966="","",DATE(YEAR(A966),MONTH(A966),1))</f>
        <v/>
      </c>
    </row>
    <row r="967">
      <c r="A967" s="47" t="n"/>
      <c r="B967" s="38" t="n"/>
      <c r="C967" s="38" t="n"/>
      <c r="D967" s="38" t="n"/>
      <c r="E967" s="38" t="n"/>
      <c r="F967" s="128" t="n"/>
      <c r="G967" s="128" t="n"/>
      <c r="H967" s="129" t="n"/>
      <c r="I967" s="38" t="n"/>
      <c r="J967" s="98">
        <f>IF(A967="","",IF(AND(F967&lt;&gt;"",G967&lt;&gt;""),MAX(0,G967-F967),N(H967)))</f>
        <v/>
      </c>
      <c r="K967" s="55">
        <f>IF(A967="","",ROUND(J967*MileRate,2))</f>
        <v/>
      </c>
      <c r="L967" s="51">
        <f>IF(A967="","",DATE(YEAR(A967),MONTH(A967),1))</f>
        <v/>
      </c>
    </row>
    <row r="968">
      <c r="A968" s="47" t="n"/>
      <c r="B968" s="38" t="n"/>
      <c r="C968" s="38" t="n"/>
      <c r="D968" s="38" t="n"/>
      <c r="E968" s="38" t="n"/>
      <c r="F968" s="128" t="n"/>
      <c r="G968" s="128" t="n"/>
      <c r="H968" s="129" t="n"/>
      <c r="I968" s="38" t="n"/>
      <c r="J968" s="98">
        <f>IF(A968="","",IF(AND(F968&lt;&gt;"",G968&lt;&gt;""),MAX(0,G968-F968),N(H968)))</f>
        <v/>
      </c>
      <c r="K968" s="55">
        <f>IF(A968="","",ROUND(J968*MileRate,2))</f>
        <v/>
      </c>
      <c r="L968" s="51">
        <f>IF(A968="","",DATE(YEAR(A968),MONTH(A968),1))</f>
        <v/>
      </c>
    </row>
    <row r="969">
      <c r="A969" s="47" t="n"/>
      <c r="B969" s="38" t="n"/>
      <c r="C969" s="38" t="n"/>
      <c r="D969" s="38" t="n"/>
      <c r="E969" s="38" t="n"/>
      <c r="F969" s="128" t="n"/>
      <c r="G969" s="128" t="n"/>
      <c r="H969" s="129" t="n"/>
      <c r="I969" s="38" t="n"/>
      <c r="J969" s="98">
        <f>IF(A969="","",IF(AND(F969&lt;&gt;"",G969&lt;&gt;""),MAX(0,G969-F969),N(H969)))</f>
        <v/>
      </c>
      <c r="K969" s="55">
        <f>IF(A969="","",ROUND(J969*MileRate,2))</f>
        <v/>
      </c>
      <c r="L969" s="51">
        <f>IF(A969="","",DATE(YEAR(A969),MONTH(A969),1))</f>
        <v/>
      </c>
    </row>
    <row r="970">
      <c r="A970" s="47" t="n"/>
      <c r="B970" s="38" t="n"/>
      <c r="C970" s="38" t="n"/>
      <c r="D970" s="38" t="n"/>
      <c r="E970" s="38" t="n"/>
      <c r="F970" s="128" t="n"/>
      <c r="G970" s="128" t="n"/>
      <c r="H970" s="129" t="n"/>
      <c r="I970" s="38" t="n"/>
      <c r="J970" s="98">
        <f>IF(A970="","",IF(AND(F970&lt;&gt;"",G970&lt;&gt;""),MAX(0,G970-F970),N(H970)))</f>
        <v/>
      </c>
      <c r="K970" s="55">
        <f>IF(A970="","",ROUND(J970*MileRate,2))</f>
        <v/>
      </c>
      <c r="L970" s="51">
        <f>IF(A970="","",DATE(YEAR(A970),MONTH(A970),1))</f>
        <v/>
      </c>
    </row>
    <row r="971">
      <c r="A971" s="47" t="n"/>
      <c r="B971" s="38" t="n"/>
      <c r="C971" s="38" t="n"/>
      <c r="D971" s="38" t="n"/>
      <c r="E971" s="38" t="n"/>
      <c r="F971" s="128" t="n"/>
      <c r="G971" s="128" t="n"/>
      <c r="H971" s="129" t="n"/>
      <c r="I971" s="38" t="n"/>
      <c r="J971" s="98">
        <f>IF(A971="","",IF(AND(F971&lt;&gt;"",G971&lt;&gt;""),MAX(0,G971-F971),N(H971)))</f>
        <v/>
      </c>
      <c r="K971" s="55">
        <f>IF(A971="","",ROUND(J971*MileRate,2))</f>
        <v/>
      </c>
      <c r="L971" s="51">
        <f>IF(A971="","",DATE(YEAR(A971),MONTH(A971),1))</f>
        <v/>
      </c>
    </row>
    <row r="972">
      <c r="A972" s="47" t="n"/>
      <c r="B972" s="38" t="n"/>
      <c r="C972" s="38" t="n"/>
      <c r="D972" s="38" t="n"/>
      <c r="E972" s="38" t="n"/>
      <c r="F972" s="128" t="n"/>
      <c r="G972" s="128" t="n"/>
      <c r="H972" s="129" t="n"/>
      <c r="I972" s="38" t="n"/>
      <c r="J972" s="98">
        <f>IF(A972="","",IF(AND(F972&lt;&gt;"",G972&lt;&gt;""),MAX(0,G972-F972),N(H972)))</f>
        <v/>
      </c>
      <c r="K972" s="55">
        <f>IF(A972="","",ROUND(J972*MileRate,2))</f>
        <v/>
      </c>
      <c r="L972" s="51">
        <f>IF(A972="","",DATE(YEAR(A972),MONTH(A972),1))</f>
        <v/>
      </c>
    </row>
    <row r="973">
      <c r="A973" s="47" t="n"/>
      <c r="B973" s="38" t="n"/>
      <c r="C973" s="38" t="n"/>
      <c r="D973" s="38" t="n"/>
      <c r="E973" s="38" t="n"/>
      <c r="F973" s="128" t="n"/>
      <c r="G973" s="128" t="n"/>
      <c r="H973" s="129" t="n"/>
      <c r="I973" s="38" t="n"/>
      <c r="J973" s="98">
        <f>IF(A973="","",IF(AND(F973&lt;&gt;"",G973&lt;&gt;""),MAX(0,G973-F973),N(H973)))</f>
        <v/>
      </c>
      <c r="K973" s="55">
        <f>IF(A973="","",ROUND(J973*MileRate,2))</f>
        <v/>
      </c>
      <c r="L973" s="51">
        <f>IF(A973="","",DATE(YEAR(A973),MONTH(A973),1))</f>
        <v/>
      </c>
    </row>
    <row r="974">
      <c r="A974" s="47" t="n"/>
      <c r="B974" s="38" t="n"/>
      <c r="C974" s="38" t="n"/>
      <c r="D974" s="38" t="n"/>
      <c r="E974" s="38" t="n"/>
      <c r="F974" s="128" t="n"/>
      <c r="G974" s="128" t="n"/>
      <c r="H974" s="129" t="n"/>
      <c r="I974" s="38" t="n"/>
      <c r="J974" s="98">
        <f>IF(A974="","",IF(AND(F974&lt;&gt;"",G974&lt;&gt;""),MAX(0,G974-F974),N(H974)))</f>
        <v/>
      </c>
      <c r="K974" s="55">
        <f>IF(A974="","",ROUND(J974*MileRate,2))</f>
        <v/>
      </c>
      <c r="L974" s="51">
        <f>IF(A974="","",DATE(YEAR(A974),MONTH(A974),1))</f>
        <v/>
      </c>
    </row>
    <row r="975">
      <c r="A975" s="47" t="n"/>
      <c r="B975" s="38" t="n"/>
      <c r="C975" s="38" t="n"/>
      <c r="D975" s="38" t="n"/>
      <c r="E975" s="38" t="n"/>
      <c r="F975" s="128" t="n"/>
      <c r="G975" s="128" t="n"/>
      <c r="H975" s="129" t="n"/>
      <c r="I975" s="38" t="n"/>
      <c r="J975" s="98">
        <f>IF(A975="","",IF(AND(F975&lt;&gt;"",G975&lt;&gt;""),MAX(0,G975-F975),N(H975)))</f>
        <v/>
      </c>
      <c r="K975" s="55">
        <f>IF(A975="","",ROUND(J975*MileRate,2))</f>
        <v/>
      </c>
      <c r="L975" s="51">
        <f>IF(A975="","",DATE(YEAR(A975),MONTH(A975),1))</f>
        <v/>
      </c>
    </row>
    <row r="976">
      <c r="A976" s="47" t="n"/>
      <c r="B976" s="38" t="n"/>
      <c r="C976" s="38" t="n"/>
      <c r="D976" s="38" t="n"/>
      <c r="E976" s="38" t="n"/>
      <c r="F976" s="128" t="n"/>
      <c r="G976" s="128" t="n"/>
      <c r="H976" s="129" t="n"/>
      <c r="I976" s="38" t="n"/>
      <c r="J976" s="98">
        <f>IF(A976="","",IF(AND(F976&lt;&gt;"",G976&lt;&gt;""),MAX(0,G976-F976),N(H976)))</f>
        <v/>
      </c>
      <c r="K976" s="55">
        <f>IF(A976="","",ROUND(J976*MileRate,2))</f>
        <v/>
      </c>
      <c r="L976" s="51">
        <f>IF(A976="","",DATE(YEAR(A976),MONTH(A976),1))</f>
        <v/>
      </c>
    </row>
    <row r="977">
      <c r="A977" s="47" t="n"/>
      <c r="B977" s="38" t="n"/>
      <c r="C977" s="38" t="n"/>
      <c r="D977" s="38" t="n"/>
      <c r="E977" s="38" t="n"/>
      <c r="F977" s="128" t="n"/>
      <c r="G977" s="128" t="n"/>
      <c r="H977" s="129" t="n"/>
      <c r="I977" s="38" t="n"/>
      <c r="J977" s="98">
        <f>IF(A977="","",IF(AND(F977&lt;&gt;"",G977&lt;&gt;""),MAX(0,G977-F977),N(H977)))</f>
        <v/>
      </c>
      <c r="K977" s="55">
        <f>IF(A977="","",ROUND(J977*MileRate,2))</f>
        <v/>
      </c>
      <c r="L977" s="51">
        <f>IF(A977="","",DATE(YEAR(A977),MONTH(A977),1))</f>
        <v/>
      </c>
    </row>
    <row r="978">
      <c r="A978" s="47" t="n"/>
      <c r="B978" s="38" t="n"/>
      <c r="C978" s="38" t="n"/>
      <c r="D978" s="38" t="n"/>
      <c r="E978" s="38" t="n"/>
      <c r="F978" s="128" t="n"/>
      <c r="G978" s="128" t="n"/>
      <c r="H978" s="129" t="n"/>
      <c r="I978" s="38" t="n"/>
      <c r="J978" s="98">
        <f>IF(A978="","",IF(AND(F978&lt;&gt;"",G978&lt;&gt;""),MAX(0,G978-F978),N(H978)))</f>
        <v/>
      </c>
      <c r="K978" s="55">
        <f>IF(A978="","",ROUND(J978*MileRate,2))</f>
        <v/>
      </c>
      <c r="L978" s="51">
        <f>IF(A978="","",DATE(YEAR(A978),MONTH(A978),1))</f>
        <v/>
      </c>
    </row>
    <row r="979">
      <c r="A979" s="47" t="n"/>
      <c r="B979" s="38" t="n"/>
      <c r="C979" s="38" t="n"/>
      <c r="D979" s="38" t="n"/>
      <c r="E979" s="38" t="n"/>
      <c r="F979" s="128" t="n"/>
      <c r="G979" s="128" t="n"/>
      <c r="H979" s="129" t="n"/>
      <c r="I979" s="38" t="n"/>
      <c r="J979" s="98">
        <f>IF(A979="","",IF(AND(F979&lt;&gt;"",G979&lt;&gt;""),MAX(0,G979-F979),N(H979)))</f>
        <v/>
      </c>
      <c r="K979" s="55">
        <f>IF(A979="","",ROUND(J979*MileRate,2))</f>
        <v/>
      </c>
      <c r="L979" s="51">
        <f>IF(A979="","",DATE(YEAR(A979),MONTH(A979),1))</f>
        <v/>
      </c>
    </row>
    <row r="980">
      <c r="A980" s="47" t="n"/>
      <c r="B980" s="38" t="n"/>
      <c r="C980" s="38" t="n"/>
      <c r="D980" s="38" t="n"/>
      <c r="E980" s="38" t="n"/>
      <c r="F980" s="128" t="n"/>
      <c r="G980" s="128" t="n"/>
      <c r="H980" s="129" t="n"/>
      <c r="I980" s="38" t="n"/>
      <c r="J980" s="98">
        <f>IF(A980="","",IF(AND(F980&lt;&gt;"",G980&lt;&gt;""),MAX(0,G980-F980),N(H980)))</f>
        <v/>
      </c>
      <c r="K980" s="55">
        <f>IF(A980="","",ROUND(J980*MileRate,2))</f>
        <v/>
      </c>
      <c r="L980" s="51">
        <f>IF(A980="","",DATE(YEAR(A980),MONTH(A980),1))</f>
        <v/>
      </c>
    </row>
    <row r="981">
      <c r="A981" s="47" t="n"/>
      <c r="B981" s="38" t="n"/>
      <c r="C981" s="38" t="n"/>
      <c r="D981" s="38" t="n"/>
      <c r="E981" s="38" t="n"/>
      <c r="F981" s="128" t="n"/>
      <c r="G981" s="128" t="n"/>
      <c r="H981" s="129" t="n"/>
      <c r="I981" s="38" t="n"/>
      <c r="J981" s="98">
        <f>IF(A981="","",IF(AND(F981&lt;&gt;"",G981&lt;&gt;""),MAX(0,G981-F981),N(H981)))</f>
        <v/>
      </c>
      <c r="K981" s="55">
        <f>IF(A981="","",ROUND(J981*MileRate,2))</f>
        <v/>
      </c>
      <c r="L981" s="51">
        <f>IF(A981="","",DATE(YEAR(A981),MONTH(A981),1))</f>
        <v/>
      </c>
    </row>
    <row r="982">
      <c r="A982" s="47" t="n"/>
      <c r="B982" s="38" t="n"/>
      <c r="C982" s="38" t="n"/>
      <c r="D982" s="38" t="n"/>
      <c r="E982" s="38" t="n"/>
      <c r="F982" s="128" t="n"/>
      <c r="G982" s="128" t="n"/>
      <c r="H982" s="129" t="n"/>
      <c r="I982" s="38" t="n"/>
      <c r="J982" s="98">
        <f>IF(A982="","",IF(AND(F982&lt;&gt;"",G982&lt;&gt;""),MAX(0,G982-F982),N(H982)))</f>
        <v/>
      </c>
      <c r="K982" s="55">
        <f>IF(A982="","",ROUND(J982*MileRate,2))</f>
        <v/>
      </c>
      <c r="L982" s="51">
        <f>IF(A982="","",DATE(YEAR(A982),MONTH(A982),1))</f>
        <v/>
      </c>
    </row>
    <row r="983">
      <c r="A983" s="47" t="n"/>
      <c r="B983" s="38" t="n"/>
      <c r="C983" s="38" t="n"/>
      <c r="D983" s="38" t="n"/>
      <c r="E983" s="38" t="n"/>
      <c r="F983" s="128" t="n"/>
      <c r="G983" s="128" t="n"/>
      <c r="H983" s="129" t="n"/>
      <c r="I983" s="38" t="n"/>
      <c r="J983" s="98">
        <f>IF(A983="","",IF(AND(F983&lt;&gt;"",G983&lt;&gt;""),MAX(0,G983-F983),N(H983)))</f>
        <v/>
      </c>
      <c r="K983" s="55">
        <f>IF(A983="","",ROUND(J983*MileRate,2))</f>
        <v/>
      </c>
      <c r="L983" s="51">
        <f>IF(A983="","",DATE(YEAR(A983),MONTH(A983),1))</f>
        <v/>
      </c>
    </row>
    <row r="984">
      <c r="A984" s="47" t="n"/>
      <c r="B984" s="38" t="n"/>
      <c r="C984" s="38" t="n"/>
      <c r="D984" s="38" t="n"/>
      <c r="E984" s="38" t="n"/>
      <c r="F984" s="128" t="n"/>
      <c r="G984" s="128" t="n"/>
      <c r="H984" s="129" t="n"/>
      <c r="I984" s="38" t="n"/>
      <c r="J984" s="98">
        <f>IF(A984="","",IF(AND(F984&lt;&gt;"",G984&lt;&gt;""),MAX(0,G984-F984),N(H984)))</f>
        <v/>
      </c>
      <c r="K984" s="55">
        <f>IF(A984="","",ROUND(J984*MileRate,2))</f>
        <v/>
      </c>
      <c r="L984" s="51">
        <f>IF(A984="","",DATE(YEAR(A984),MONTH(A984),1))</f>
        <v/>
      </c>
    </row>
    <row r="985">
      <c r="A985" s="47" t="n"/>
      <c r="B985" s="38" t="n"/>
      <c r="C985" s="38" t="n"/>
      <c r="D985" s="38" t="n"/>
      <c r="E985" s="38" t="n"/>
      <c r="F985" s="128" t="n"/>
      <c r="G985" s="128" t="n"/>
      <c r="H985" s="129" t="n"/>
      <c r="I985" s="38" t="n"/>
      <c r="J985" s="98">
        <f>IF(A985="","",IF(AND(F985&lt;&gt;"",G985&lt;&gt;""),MAX(0,G985-F985),N(H985)))</f>
        <v/>
      </c>
      <c r="K985" s="55">
        <f>IF(A985="","",ROUND(J985*MileRate,2))</f>
        <v/>
      </c>
      <c r="L985" s="51">
        <f>IF(A985="","",DATE(YEAR(A985),MONTH(A985),1))</f>
        <v/>
      </c>
    </row>
    <row r="986">
      <c r="A986" s="47" t="n"/>
      <c r="B986" s="38" t="n"/>
      <c r="C986" s="38" t="n"/>
      <c r="D986" s="38" t="n"/>
      <c r="E986" s="38" t="n"/>
      <c r="F986" s="128" t="n"/>
      <c r="G986" s="128" t="n"/>
      <c r="H986" s="129" t="n"/>
      <c r="I986" s="38" t="n"/>
      <c r="J986" s="98">
        <f>IF(A986="","",IF(AND(F986&lt;&gt;"",G986&lt;&gt;""),MAX(0,G986-F986),N(H986)))</f>
        <v/>
      </c>
      <c r="K986" s="55">
        <f>IF(A986="","",ROUND(J986*MileRate,2))</f>
        <v/>
      </c>
      <c r="L986" s="51">
        <f>IF(A986="","",DATE(YEAR(A986),MONTH(A986),1))</f>
        <v/>
      </c>
    </row>
    <row r="987">
      <c r="A987" s="47" t="n"/>
      <c r="B987" s="38" t="n"/>
      <c r="C987" s="38" t="n"/>
      <c r="D987" s="38" t="n"/>
      <c r="E987" s="38" t="n"/>
      <c r="F987" s="128" t="n"/>
      <c r="G987" s="128" t="n"/>
      <c r="H987" s="129" t="n"/>
      <c r="I987" s="38" t="n"/>
      <c r="J987" s="98">
        <f>IF(A987="","",IF(AND(F987&lt;&gt;"",G987&lt;&gt;""),MAX(0,G987-F987),N(H987)))</f>
        <v/>
      </c>
      <c r="K987" s="55">
        <f>IF(A987="","",ROUND(J987*MileRate,2))</f>
        <v/>
      </c>
      <c r="L987" s="51">
        <f>IF(A987="","",DATE(YEAR(A987),MONTH(A987),1))</f>
        <v/>
      </c>
    </row>
    <row r="988">
      <c r="A988" s="47" t="n"/>
      <c r="B988" s="38" t="n"/>
      <c r="C988" s="38" t="n"/>
      <c r="D988" s="38" t="n"/>
      <c r="E988" s="38" t="n"/>
      <c r="F988" s="128" t="n"/>
      <c r="G988" s="128" t="n"/>
      <c r="H988" s="129" t="n"/>
      <c r="I988" s="38" t="n"/>
      <c r="J988" s="98">
        <f>IF(A988="","",IF(AND(F988&lt;&gt;"",G988&lt;&gt;""),MAX(0,G988-F988),N(H988)))</f>
        <v/>
      </c>
      <c r="K988" s="55">
        <f>IF(A988="","",ROUND(J988*MileRate,2))</f>
        <v/>
      </c>
      <c r="L988" s="51">
        <f>IF(A988="","",DATE(YEAR(A988),MONTH(A988),1))</f>
        <v/>
      </c>
    </row>
    <row r="989">
      <c r="A989" s="47" t="n"/>
      <c r="B989" s="38" t="n"/>
      <c r="C989" s="38" t="n"/>
      <c r="D989" s="38" t="n"/>
      <c r="E989" s="38" t="n"/>
      <c r="F989" s="128" t="n"/>
      <c r="G989" s="128" t="n"/>
      <c r="H989" s="129" t="n"/>
      <c r="I989" s="38" t="n"/>
      <c r="J989" s="98">
        <f>IF(A989="","",IF(AND(F989&lt;&gt;"",G989&lt;&gt;""),MAX(0,G989-F989),N(H989)))</f>
        <v/>
      </c>
      <c r="K989" s="55">
        <f>IF(A989="","",ROUND(J989*MileRate,2))</f>
        <v/>
      </c>
      <c r="L989" s="51">
        <f>IF(A989="","",DATE(YEAR(A989),MONTH(A989),1))</f>
        <v/>
      </c>
    </row>
    <row r="990">
      <c r="A990" s="47" t="n"/>
      <c r="B990" s="38" t="n"/>
      <c r="C990" s="38" t="n"/>
      <c r="D990" s="38" t="n"/>
      <c r="E990" s="38" t="n"/>
      <c r="F990" s="128" t="n"/>
      <c r="G990" s="128" t="n"/>
      <c r="H990" s="129" t="n"/>
      <c r="I990" s="38" t="n"/>
      <c r="J990" s="98">
        <f>IF(A990="","",IF(AND(F990&lt;&gt;"",G990&lt;&gt;""),MAX(0,G990-F990),N(H990)))</f>
        <v/>
      </c>
      <c r="K990" s="55">
        <f>IF(A990="","",ROUND(J990*MileRate,2))</f>
        <v/>
      </c>
      <c r="L990" s="51">
        <f>IF(A990="","",DATE(YEAR(A990),MONTH(A990),1))</f>
        <v/>
      </c>
    </row>
    <row r="991">
      <c r="A991" s="47" t="n"/>
      <c r="B991" s="38" t="n"/>
      <c r="C991" s="38" t="n"/>
      <c r="D991" s="38" t="n"/>
      <c r="E991" s="38" t="n"/>
      <c r="F991" s="128" t="n"/>
      <c r="G991" s="128" t="n"/>
      <c r="H991" s="129" t="n"/>
      <c r="I991" s="38" t="n"/>
      <c r="J991" s="98">
        <f>IF(A991="","",IF(AND(F991&lt;&gt;"",G991&lt;&gt;""),MAX(0,G991-F991),N(H991)))</f>
        <v/>
      </c>
      <c r="K991" s="55">
        <f>IF(A991="","",ROUND(J991*MileRate,2))</f>
        <v/>
      </c>
      <c r="L991" s="51">
        <f>IF(A991="","",DATE(YEAR(A991),MONTH(A991),1))</f>
        <v/>
      </c>
    </row>
    <row r="992">
      <c r="A992" s="47" t="n"/>
      <c r="B992" s="38" t="n"/>
      <c r="C992" s="38" t="n"/>
      <c r="D992" s="38" t="n"/>
      <c r="E992" s="38" t="n"/>
      <c r="F992" s="128" t="n"/>
      <c r="G992" s="128" t="n"/>
      <c r="H992" s="129" t="n"/>
      <c r="I992" s="38" t="n"/>
      <c r="J992" s="98">
        <f>IF(A992="","",IF(AND(F992&lt;&gt;"",G992&lt;&gt;""),MAX(0,G992-F992),N(H992)))</f>
        <v/>
      </c>
      <c r="K992" s="55">
        <f>IF(A992="","",ROUND(J992*MileRate,2))</f>
        <v/>
      </c>
      <c r="L992" s="51">
        <f>IF(A992="","",DATE(YEAR(A992),MONTH(A992),1))</f>
        <v/>
      </c>
    </row>
    <row r="993">
      <c r="A993" s="47" t="n"/>
      <c r="B993" s="38" t="n"/>
      <c r="C993" s="38" t="n"/>
      <c r="D993" s="38" t="n"/>
      <c r="E993" s="38" t="n"/>
      <c r="F993" s="128" t="n"/>
      <c r="G993" s="128" t="n"/>
      <c r="H993" s="129" t="n"/>
      <c r="I993" s="38" t="n"/>
      <c r="J993" s="98">
        <f>IF(A993="","",IF(AND(F993&lt;&gt;"",G993&lt;&gt;""),MAX(0,G993-F993),N(H993)))</f>
        <v/>
      </c>
      <c r="K993" s="55">
        <f>IF(A993="","",ROUND(J993*MileRate,2))</f>
        <v/>
      </c>
      <c r="L993" s="51">
        <f>IF(A993="","",DATE(YEAR(A993),MONTH(A993),1))</f>
        <v/>
      </c>
    </row>
    <row r="994">
      <c r="A994" s="47" t="n"/>
      <c r="B994" s="38" t="n"/>
      <c r="C994" s="38" t="n"/>
      <c r="D994" s="38" t="n"/>
      <c r="E994" s="38" t="n"/>
      <c r="F994" s="128" t="n"/>
      <c r="G994" s="128" t="n"/>
      <c r="H994" s="129" t="n"/>
      <c r="I994" s="38" t="n"/>
      <c r="J994" s="98">
        <f>IF(A994="","",IF(AND(F994&lt;&gt;"",G994&lt;&gt;""),MAX(0,G994-F994),N(H994)))</f>
        <v/>
      </c>
      <c r="K994" s="55">
        <f>IF(A994="","",ROUND(J994*MileRate,2))</f>
        <v/>
      </c>
      <c r="L994" s="51">
        <f>IF(A994="","",DATE(YEAR(A994),MONTH(A994),1))</f>
        <v/>
      </c>
    </row>
    <row r="995">
      <c r="A995" s="47" t="n"/>
      <c r="B995" s="38" t="n"/>
      <c r="C995" s="38" t="n"/>
      <c r="D995" s="38" t="n"/>
      <c r="E995" s="38" t="n"/>
      <c r="F995" s="128" t="n"/>
      <c r="G995" s="128" t="n"/>
      <c r="H995" s="129" t="n"/>
      <c r="I995" s="38" t="n"/>
      <c r="J995" s="98">
        <f>IF(A995="","",IF(AND(F995&lt;&gt;"",G995&lt;&gt;""),MAX(0,G995-F995),N(H995)))</f>
        <v/>
      </c>
      <c r="K995" s="55">
        <f>IF(A995="","",ROUND(J995*MileRate,2))</f>
        <v/>
      </c>
      <c r="L995" s="51">
        <f>IF(A995="","",DATE(YEAR(A995),MONTH(A995),1))</f>
        <v/>
      </c>
    </row>
    <row r="996">
      <c r="A996" s="47" t="n"/>
      <c r="B996" s="38" t="n"/>
      <c r="C996" s="38" t="n"/>
      <c r="D996" s="38" t="n"/>
      <c r="E996" s="38" t="n"/>
      <c r="F996" s="128" t="n"/>
      <c r="G996" s="128" t="n"/>
      <c r="H996" s="129" t="n"/>
      <c r="I996" s="38" t="n"/>
      <c r="J996" s="98">
        <f>IF(A996="","",IF(AND(F996&lt;&gt;"",G996&lt;&gt;""),MAX(0,G996-F996),N(H996)))</f>
        <v/>
      </c>
      <c r="K996" s="55">
        <f>IF(A996="","",ROUND(J996*MileRate,2))</f>
        <v/>
      </c>
      <c r="L996" s="51">
        <f>IF(A996="","",DATE(YEAR(A996),MONTH(A996),1))</f>
        <v/>
      </c>
    </row>
    <row r="997">
      <c r="A997" s="47" t="n"/>
      <c r="B997" s="38" t="n"/>
      <c r="C997" s="38" t="n"/>
      <c r="D997" s="38" t="n"/>
      <c r="E997" s="38" t="n"/>
      <c r="F997" s="128" t="n"/>
      <c r="G997" s="128" t="n"/>
      <c r="H997" s="129" t="n"/>
      <c r="I997" s="38" t="n"/>
      <c r="J997" s="98">
        <f>IF(A997="","",IF(AND(F997&lt;&gt;"",G997&lt;&gt;""),MAX(0,G997-F997),N(H997)))</f>
        <v/>
      </c>
      <c r="K997" s="55">
        <f>IF(A997="","",ROUND(J997*MileRate,2))</f>
        <v/>
      </c>
      <c r="L997" s="51">
        <f>IF(A997="","",DATE(YEAR(A997),MONTH(A997),1))</f>
        <v/>
      </c>
    </row>
    <row r="998">
      <c r="A998" s="47" t="n"/>
      <c r="B998" s="38" t="n"/>
      <c r="C998" s="38" t="n"/>
      <c r="D998" s="38" t="n"/>
      <c r="E998" s="38" t="n"/>
      <c r="F998" s="128" t="n"/>
      <c r="G998" s="128" t="n"/>
      <c r="H998" s="129" t="n"/>
      <c r="I998" s="38" t="n"/>
      <c r="J998" s="98">
        <f>IF(A998="","",IF(AND(F998&lt;&gt;"",G998&lt;&gt;""),MAX(0,G998-F998),N(H998)))</f>
        <v/>
      </c>
      <c r="K998" s="55">
        <f>IF(A998="","",ROUND(J998*MileRate,2))</f>
        <v/>
      </c>
      <c r="L998" s="51">
        <f>IF(A998="","",DATE(YEAR(A998),MONTH(A998),1))</f>
        <v/>
      </c>
    </row>
    <row r="999">
      <c r="A999" s="47" t="n"/>
      <c r="B999" s="38" t="n"/>
      <c r="C999" s="38" t="n"/>
      <c r="D999" s="38" t="n"/>
      <c r="E999" s="38" t="n"/>
      <c r="F999" s="128" t="n"/>
      <c r="G999" s="128" t="n"/>
      <c r="H999" s="129" t="n"/>
      <c r="I999" s="38" t="n"/>
      <c r="J999" s="98">
        <f>IF(A999="","",IF(AND(F999&lt;&gt;"",G999&lt;&gt;""),MAX(0,G999-F999),N(H999)))</f>
        <v/>
      </c>
      <c r="K999" s="55">
        <f>IF(A999="","",ROUND(J999*MileRate,2))</f>
        <v/>
      </c>
      <c r="L999" s="51">
        <f>IF(A999="","",DATE(YEAR(A999),MONTH(A999),1))</f>
        <v/>
      </c>
    </row>
    <row r="1000">
      <c r="A1000" s="47" t="n"/>
      <c r="B1000" s="38" t="n"/>
      <c r="C1000" s="38" t="n"/>
      <c r="D1000" s="38" t="n"/>
      <c r="E1000" s="38" t="n"/>
      <c r="F1000" s="128" t="n"/>
      <c r="G1000" s="128" t="n"/>
      <c r="H1000" s="129" t="n"/>
      <c r="I1000" s="38" t="n"/>
      <c r="J1000" s="98">
        <f>IF(A1000="","",IF(AND(F1000&lt;&gt;"",G1000&lt;&gt;""),MAX(0,G1000-F1000),N(H1000)))</f>
        <v/>
      </c>
      <c r="K1000" s="55">
        <f>IF(A1000="","",ROUND(J1000*MileRate,2))</f>
        <v/>
      </c>
      <c r="L1000" s="51">
        <f>IF(A1000="","",DATE(YEAR(A1000),MONTH(A1000),1))</f>
        <v/>
      </c>
    </row>
    <row r="1001">
      <c r="A1001" s="47" t="n"/>
      <c r="B1001" s="38" t="n"/>
      <c r="C1001" s="38" t="n"/>
      <c r="D1001" s="38" t="n"/>
      <c r="E1001" s="38" t="n"/>
      <c r="F1001" s="128" t="n"/>
      <c r="G1001" s="128" t="n"/>
      <c r="H1001" s="129" t="n"/>
      <c r="I1001" s="38" t="n"/>
      <c r="J1001" s="98">
        <f>IF(A1001="","",IF(AND(F1001&lt;&gt;"",G1001&lt;&gt;""),MAX(0,G1001-F1001),N(H1001)))</f>
        <v/>
      </c>
      <c r="K1001" s="55">
        <f>IF(A1001="","",ROUND(J1001*MileRate,2))</f>
        <v/>
      </c>
      <c r="L1001" s="51">
        <f>IF(A1001="","",DATE(YEAR(A1001),MONTH(A1001),1))</f>
        <v/>
      </c>
    </row>
    <row r="1002">
      <c r="A1002" s="47" t="n"/>
      <c r="B1002" s="38" t="n"/>
      <c r="C1002" s="38" t="n"/>
      <c r="D1002" s="38" t="n"/>
      <c r="E1002" s="38" t="n"/>
      <c r="F1002" s="128" t="n"/>
      <c r="G1002" s="128" t="n"/>
      <c r="H1002" s="129" t="n"/>
      <c r="I1002" s="38" t="n"/>
      <c r="J1002" s="98">
        <f>IF(A1002="","",IF(AND(F1002&lt;&gt;"",G1002&lt;&gt;""),MAX(0,G1002-F1002),N(H1002)))</f>
        <v/>
      </c>
      <c r="K1002" s="55">
        <f>IF(A1002="","",ROUND(J1002*MileRate,2))</f>
        <v/>
      </c>
      <c r="L1002" s="51">
        <f>IF(A1002="","",DATE(YEAR(A1002),MONTH(A1002),1))</f>
        <v/>
      </c>
    </row>
    <row r="1003">
      <c r="A1003" s="47" t="n"/>
      <c r="B1003" s="38" t="n"/>
      <c r="C1003" s="38" t="n"/>
      <c r="D1003" s="38" t="n"/>
      <c r="E1003" s="38" t="n"/>
      <c r="F1003" s="128" t="n"/>
      <c r="G1003" s="128" t="n"/>
      <c r="H1003" s="129" t="n"/>
      <c r="I1003" s="38" t="n"/>
      <c r="J1003" s="98">
        <f>IF(A1003="","",IF(AND(F1003&lt;&gt;"",G1003&lt;&gt;""),MAX(0,G1003-F1003),N(H1003)))</f>
        <v/>
      </c>
      <c r="K1003" s="55">
        <f>IF(A1003="","",ROUND(J1003*MileRate,2))</f>
        <v/>
      </c>
      <c r="L1003" s="51">
        <f>IF(A1003="","",DATE(YEAR(A1003),MONTH(A1003),1))</f>
        <v/>
      </c>
    </row>
    <row r="1004">
      <c r="A1004" s="47" t="n"/>
      <c r="B1004" s="38" t="n"/>
      <c r="C1004" s="38" t="n"/>
      <c r="D1004" s="38" t="n"/>
      <c r="E1004" s="38" t="n"/>
      <c r="F1004" s="128" t="n"/>
      <c r="G1004" s="128" t="n"/>
      <c r="H1004" s="129" t="n"/>
      <c r="I1004" s="38" t="n"/>
      <c r="J1004" s="98">
        <f>IF(A1004="","",IF(AND(F1004&lt;&gt;"",G1004&lt;&gt;""),MAX(0,G1004-F1004),N(H1004)))</f>
        <v/>
      </c>
      <c r="K1004" s="55">
        <f>IF(A1004="","",ROUND(J1004*MileRate,2))</f>
        <v/>
      </c>
      <c r="L1004" s="51">
        <f>IF(A1004="","",DATE(YEAR(A1004),MONTH(A1004),1))</f>
        <v/>
      </c>
    </row>
    <row r="1005">
      <c r="A1005" s="47" t="n"/>
      <c r="B1005" s="38" t="n"/>
      <c r="C1005" s="38" t="n"/>
      <c r="D1005" s="38" t="n"/>
      <c r="E1005" s="38" t="n"/>
      <c r="F1005" s="128" t="n"/>
      <c r="G1005" s="128" t="n"/>
      <c r="H1005" s="129" t="n"/>
      <c r="I1005" s="38" t="n"/>
      <c r="J1005" s="98">
        <f>IF(A1005="","",IF(AND(F1005&lt;&gt;"",G1005&lt;&gt;""),MAX(0,G1005-F1005),N(H1005)))</f>
        <v/>
      </c>
      <c r="K1005" s="55">
        <f>IF(A1005="","",ROUND(J1005*MileRate,2))</f>
        <v/>
      </c>
      <c r="L1005" s="51">
        <f>IF(A1005="","",DATE(YEAR(A1005),MONTH(A1005),1))</f>
        <v/>
      </c>
    </row>
    <row r="1006">
      <c r="A1006" s="47" t="n"/>
      <c r="B1006" s="38" t="n"/>
      <c r="C1006" s="38" t="n"/>
      <c r="D1006" s="38" t="n"/>
      <c r="E1006" s="38" t="n"/>
      <c r="F1006" s="128" t="n"/>
      <c r="G1006" s="128" t="n"/>
      <c r="H1006" s="129" t="n"/>
      <c r="I1006" s="38" t="n"/>
      <c r="J1006" s="98">
        <f>IF(A1006="","",IF(AND(F1006&lt;&gt;"",G1006&lt;&gt;""),MAX(0,G1006-F1006),N(H1006)))</f>
        <v/>
      </c>
      <c r="K1006" s="55">
        <f>IF(A1006="","",ROUND(J1006*MileRate,2))</f>
        <v/>
      </c>
      <c r="L1006" s="51">
        <f>IF(A1006="","",DATE(YEAR(A1006),MONTH(A1006),1))</f>
        <v/>
      </c>
    </row>
    <row r="1007">
      <c r="A1007" s="47" t="n"/>
      <c r="B1007" s="38" t="n"/>
      <c r="C1007" s="38" t="n"/>
      <c r="D1007" s="38" t="n"/>
      <c r="E1007" s="38" t="n"/>
      <c r="F1007" s="128" t="n"/>
      <c r="G1007" s="128" t="n"/>
      <c r="H1007" s="129" t="n"/>
      <c r="I1007" s="38" t="n"/>
      <c r="J1007" s="98">
        <f>IF(A1007="","",IF(AND(F1007&lt;&gt;"",G1007&lt;&gt;""),MAX(0,G1007-F1007),N(H1007)))</f>
        <v/>
      </c>
      <c r="K1007" s="55">
        <f>IF(A1007="","",ROUND(J1007*MileRate,2))</f>
        <v/>
      </c>
      <c r="L1007" s="51">
        <f>IF(A1007="","",DATE(YEAR(A1007),MONTH(A1007),1))</f>
        <v/>
      </c>
    </row>
    <row r="1008">
      <c r="A1008" s="47" t="n"/>
      <c r="B1008" s="38" t="n"/>
      <c r="C1008" s="38" t="n"/>
      <c r="D1008" s="38" t="n"/>
      <c r="E1008" s="38" t="n"/>
      <c r="F1008" s="128" t="n"/>
      <c r="G1008" s="128" t="n"/>
      <c r="H1008" s="129" t="n"/>
      <c r="I1008" s="38" t="n"/>
      <c r="J1008" s="98">
        <f>IF(A1008="","",IF(AND(F1008&lt;&gt;"",G1008&lt;&gt;""),MAX(0,G1008-F1008),N(H1008)))</f>
        <v/>
      </c>
      <c r="K1008" s="55">
        <f>IF(A1008="","",ROUND(J1008*MileRate,2))</f>
        <v/>
      </c>
      <c r="L1008" s="51">
        <f>IF(A1008="","",DATE(YEAR(A1008),MONTH(A1008),1))</f>
        <v/>
      </c>
    </row>
    <row r="1009">
      <c r="A1009" s="47" t="n"/>
      <c r="B1009" s="38" t="n"/>
      <c r="C1009" s="38" t="n"/>
      <c r="D1009" s="38" t="n"/>
      <c r="E1009" s="38" t="n"/>
      <c r="F1009" s="128" t="n"/>
      <c r="G1009" s="128" t="n"/>
      <c r="H1009" s="129" t="n"/>
      <c r="I1009" s="38" t="n"/>
      <c r="J1009" s="98">
        <f>IF(A1009="","",IF(AND(F1009&lt;&gt;"",G1009&lt;&gt;""),MAX(0,G1009-F1009),N(H1009)))</f>
        <v/>
      </c>
      <c r="K1009" s="55">
        <f>IF(A1009="","",ROUND(J1009*MileRate,2))</f>
        <v/>
      </c>
      <c r="L1009" s="51">
        <f>IF(A1009="","",DATE(YEAR(A1009),MONTH(A1009),1))</f>
        <v/>
      </c>
    </row>
    <row r="1010">
      <c r="A1010" s="47" t="n"/>
      <c r="B1010" s="38" t="n"/>
      <c r="C1010" s="38" t="n"/>
      <c r="D1010" s="38" t="n"/>
      <c r="E1010" s="38" t="n"/>
      <c r="F1010" s="128" t="n"/>
      <c r="G1010" s="128" t="n"/>
      <c r="H1010" s="129" t="n"/>
      <c r="I1010" s="38" t="n"/>
      <c r="J1010" s="98">
        <f>IF(A1010="","",IF(AND(F1010&lt;&gt;"",G1010&lt;&gt;""),MAX(0,G1010-F1010),N(H1010)))</f>
        <v/>
      </c>
      <c r="K1010" s="55">
        <f>IF(A1010="","",ROUND(J1010*MileRate,2))</f>
        <v/>
      </c>
      <c r="L1010" s="51">
        <f>IF(A1010="","",DATE(YEAR(A1010),MONTH(A1010),1))</f>
        <v/>
      </c>
    </row>
    <row r="1011">
      <c r="A1011" s="47" t="n"/>
      <c r="B1011" s="38" t="n"/>
      <c r="C1011" s="38" t="n"/>
      <c r="D1011" s="38" t="n"/>
      <c r="E1011" s="38" t="n"/>
      <c r="F1011" s="128" t="n"/>
      <c r="G1011" s="128" t="n"/>
      <c r="H1011" s="129" t="n"/>
      <c r="I1011" s="38" t="n"/>
      <c r="J1011" s="98">
        <f>IF(A1011="","",IF(AND(F1011&lt;&gt;"",G1011&lt;&gt;""),MAX(0,G1011-F1011),N(H1011)))</f>
        <v/>
      </c>
      <c r="K1011" s="55">
        <f>IF(A1011="","",ROUND(J1011*MileRate,2))</f>
        <v/>
      </c>
      <c r="L1011" s="51">
        <f>IF(A1011="","",DATE(YEAR(A1011),MONTH(A1011),1))</f>
        <v/>
      </c>
    </row>
    <row r="1012">
      <c r="A1012" s="47" t="n"/>
      <c r="B1012" s="38" t="n"/>
      <c r="C1012" s="38" t="n"/>
      <c r="D1012" s="38" t="n"/>
      <c r="E1012" s="38" t="n"/>
      <c r="F1012" s="128" t="n"/>
      <c r="G1012" s="128" t="n"/>
      <c r="H1012" s="129" t="n"/>
      <c r="I1012" s="38" t="n"/>
      <c r="J1012" s="98">
        <f>IF(A1012="","",IF(AND(F1012&lt;&gt;"",G1012&lt;&gt;""),MAX(0,G1012-F1012),N(H1012)))</f>
        <v/>
      </c>
      <c r="K1012" s="55">
        <f>IF(A1012="","",ROUND(J1012*MileRate,2))</f>
        <v/>
      </c>
      <c r="L1012" s="51">
        <f>IF(A1012="","",DATE(YEAR(A1012),MONTH(A1012),1))</f>
        <v/>
      </c>
    </row>
    <row r="1013">
      <c r="A1013" s="47" t="n"/>
      <c r="B1013" s="38" t="n"/>
      <c r="C1013" s="38" t="n"/>
      <c r="D1013" s="38" t="n"/>
      <c r="E1013" s="38" t="n"/>
      <c r="F1013" s="128" t="n"/>
      <c r="G1013" s="128" t="n"/>
      <c r="H1013" s="129" t="n"/>
      <c r="I1013" s="38" t="n"/>
      <c r="J1013" s="98">
        <f>IF(A1013="","",IF(AND(F1013&lt;&gt;"",G1013&lt;&gt;""),MAX(0,G1013-F1013),N(H1013)))</f>
        <v/>
      </c>
      <c r="K1013" s="55">
        <f>IF(A1013="","",ROUND(J1013*MileRate,2))</f>
        <v/>
      </c>
      <c r="L1013" s="51">
        <f>IF(A1013="","",DATE(YEAR(A1013),MONTH(A1013),1))</f>
        <v/>
      </c>
    </row>
    <row r="1014">
      <c r="A1014" s="47" t="n"/>
      <c r="B1014" s="38" t="n"/>
      <c r="C1014" s="38" t="n"/>
      <c r="D1014" s="38" t="n"/>
      <c r="E1014" s="38" t="n"/>
      <c r="F1014" s="128" t="n"/>
      <c r="G1014" s="128" t="n"/>
      <c r="H1014" s="129" t="n"/>
      <c r="I1014" s="38" t="n"/>
      <c r="J1014" s="98">
        <f>IF(A1014="","",IF(AND(F1014&lt;&gt;"",G1014&lt;&gt;""),MAX(0,G1014-F1014),N(H1014)))</f>
        <v/>
      </c>
      <c r="K1014" s="55">
        <f>IF(A1014="","",ROUND(J1014*MileRate,2))</f>
        <v/>
      </c>
      <c r="L1014" s="51">
        <f>IF(A1014="","",DATE(YEAR(A1014),MONTH(A1014),1))</f>
        <v/>
      </c>
    </row>
    <row r="1015">
      <c r="A1015" s="47" t="n"/>
      <c r="B1015" s="38" t="n"/>
      <c r="C1015" s="38" t="n"/>
      <c r="D1015" s="38" t="n"/>
      <c r="E1015" s="38" t="n"/>
      <c r="F1015" s="128" t="n"/>
      <c r="G1015" s="128" t="n"/>
      <c r="H1015" s="129" t="n"/>
      <c r="I1015" s="38" t="n"/>
      <c r="J1015" s="98">
        <f>IF(A1015="","",IF(AND(F1015&lt;&gt;"",G1015&lt;&gt;""),MAX(0,G1015-F1015),N(H1015)))</f>
        <v/>
      </c>
      <c r="K1015" s="55">
        <f>IF(A1015="","",ROUND(J1015*MileRate,2))</f>
        <v/>
      </c>
      <c r="L1015" s="51">
        <f>IF(A1015="","",DATE(YEAR(A1015),MONTH(A1015),1))</f>
        <v/>
      </c>
    </row>
    <row r="1016">
      <c r="A1016" s="47" t="n"/>
      <c r="B1016" s="38" t="n"/>
      <c r="C1016" s="38" t="n"/>
      <c r="D1016" s="38" t="n"/>
      <c r="E1016" s="38" t="n"/>
      <c r="F1016" s="128" t="n"/>
      <c r="G1016" s="128" t="n"/>
      <c r="H1016" s="129" t="n"/>
      <c r="I1016" s="38" t="n"/>
      <c r="J1016" s="98">
        <f>IF(A1016="","",IF(AND(F1016&lt;&gt;"",G1016&lt;&gt;""),MAX(0,G1016-F1016),N(H1016)))</f>
        <v/>
      </c>
      <c r="K1016" s="55">
        <f>IF(A1016="","",ROUND(J1016*MileRate,2))</f>
        <v/>
      </c>
      <c r="L1016" s="51">
        <f>IF(A1016="","",DATE(YEAR(A1016),MONTH(A1016),1))</f>
        <v/>
      </c>
    </row>
    <row r="1017">
      <c r="A1017" s="47" t="n"/>
      <c r="B1017" s="38" t="n"/>
      <c r="C1017" s="38" t="n"/>
      <c r="D1017" s="38" t="n"/>
      <c r="E1017" s="38" t="n"/>
      <c r="F1017" s="128" t="n"/>
      <c r="G1017" s="128" t="n"/>
      <c r="H1017" s="129" t="n"/>
      <c r="I1017" s="38" t="n"/>
      <c r="J1017" s="98">
        <f>IF(A1017="","",IF(AND(F1017&lt;&gt;"",G1017&lt;&gt;""),MAX(0,G1017-F1017),N(H1017)))</f>
        <v/>
      </c>
      <c r="K1017" s="55">
        <f>IF(A1017="","",ROUND(J1017*MileRate,2))</f>
        <v/>
      </c>
      <c r="L1017" s="51">
        <f>IF(A1017="","",DATE(YEAR(A1017),MONTH(A1017),1))</f>
        <v/>
      </c>
    </row>
    <row r="1018">
      <c r="A1018" s="47" t="n"/>
      <c r="B1018" s="38" t="n"/>
      <c r="C1018" s="38" t="n"/>
      <c r="D1018" s="38" t="n"/>
      <c r="E1018" s="38" t="n"/>
      <c r="F1018" s="128" t="n"/>
      <c r="G1018" s="128" t="n"/>
      <c r="H1018" s="129" t="n"/>
      <c r="I1018" s="38" t="n"/>
      <c r="J1018" s="98">
        <f>IF(A1018="","",IF(AND(F1018&lt;&gt;"",G1018&lt;&gt;""),MAX(0,G1018-F1018),N(H1018)))</f>
        <v/>
      </c>
      <c r="K1018" s="55">
        <f>IF(A1018="","",ROUND(J1018*MileRate,2))</f>
        <v/>
      </c>
      <c r="L1018" s="51">
        <f>IF(A1018="","",DATE(YEAR(A1018),MONTH(A1018),1))</f>
        <v/>
      </c>
    </row>
    <row r="1019">
      <c r="A1019" s="47" t="n"/>
      <c r="B1019" s="38" t="n"/>
      <c r="C1019" s="38" t="n"/>
      <c r="D1019" s="38" t="n"/>
      <c r="E1019" s="38" t="n"/>
      <c r="F1019" s="128" t="n"/>
      <c r="G1019" s="128" t="n"/>
      <c r="H1019" s="129" t="n"/>
      <c r="I1019" s="38" t="n"/>
      <c r="J1019" s="98">
        <f>IF(A1019="","",IF(AND(F1019&lt;&gt;"",G1019&lt;&gt;""),MAX(0,G1019-F1019),N(H1019)))</f>
        <v/>
      </c>
      <c r="K1019" s="55">
        <f>IF(A1019="","",ROUND(J1019*MileRate,2))</f>
        <v/>
      </c>
      <c r="L1019" s="51">
        <f>IF(A1019="","",DATE(YEAR(A1019),MONTH(A1019),1))</f>
        <v/>
      </c>
    </row>
    <row r="1020">
      <c r="A1020" s="47" t="n"/>
      <c r="B1020" s="38" t="n"/>
      <c r="C1020" s="38" t="n"/>
      <c r="D1020" s="38" t="n"/>
      <c r="E1020" s="38" t="n"/>
      <c r="F1020" s="128" t="n"/>
      <c r="G1020" s="128" t="n"/>
      <c r="H1020" s="129" t="n"/>
      <c r="I1020" s="38" t="n"/>
      <c r="J1020" s="98">
        <f>IF(A1020="","",IF(AND(F1020&lt;&gt;"",G1020&lt;&gt;""),MAX(0,G1020-F1020),N(H1020)))</f>
        <v/>
      </c>
      <c r="K1020" s="55">
        <f>IF(A1020="","",ROUND(J1020*MileRate,2))</f>
        <v/>
      </c>
      <c r="L1020" s="51">
        <f>IF(A1020="","",DATE(YEAR(A1020),MONTH(A1020),1))</f>
        <v/>
      </c>
    </row>
    <row r="1021">
      <c r="A1021" s="47" t="n"/>
      <c r="B1021" s="38" t="n"/>
      <c r="C1021" s="38" t="n"/>
      <c r="D1021" s="38" t="n"/>
      <c r="E1021" s="38" t="n"/>
      <c r="F1021" s="128" t="n"/>
      <c r="G1021" s="128" t="n"/>
      <c r="H1021" s="129" t="n"/>
      <c r="I1021" s="38" t="n"/>
      <c r="J1021" s="98">
        <f>IF(A1021="","",IF(AND(F1021&lt;&gt;"",G1021&lt;&gt;""),MAX(0,G1021-F1021),N(H1021)))</f>
        <v/>
      </c>
      <c r="K1021" s="55">
        <f>IF(A1021="","",ROUND(J1021*MileRate,2))</f>
        <v/>
      </c>
      <c r="L1021" s="51">
        <f>IF(A1021="","",DATE(YEAR(A1021),MONTH(A1021),1))</f>
        <v/>
      </c>
    </row>
    <row r="1022">
      <c r="A1022" s="47" t="n"/>
      <c r="B1022" s="38" t="n"/>
      <c r="C1022" s="38" t="n"/>
      <c r="D1022" s="38" t="n"/>
      <c r="E1022" s="38" t="n"/>
      <c r="F1022" s="128" t="n"/>
      <c r="G1022" s="128" t="n"/>
      <c r="H1022" s="129" t="n"/>
      <c r="I1022" s="38" t="n"/>
      <c r="J1022" s="98">
        <f>IF(A1022="","",IF(AND(F1022&lt;&gt;"",G1022&lt;&gt;""),MAX(0,G1022-F1022),N(H1022)))</f>
        <v/>
      </c>
      <c r="K1022" s="55">
        <f>IF(A1022="","",ROUND(J1022*MileRate,2))</f>
        <v/>
      </c>
      <c r="L1022" s="51">
        <f>IF(A1022="","",DATE(YEAR(A1022),MONTH(A1022),1))</f>
        <v/>
      </c>
    </row>
    <row r="1023">
      <c r="A1023" s="47" t="n"/>
      <c r="B1023" s="38" t="n"/>
      <c r="C1023" s="38" t="n"/>
      <c r="D1023" s="38" t="n"/>
      <c r="E1023" s="38" t="n"/>
      <c r="F1023" s="128" t="n"/>
      <c r="G1023" s="128" t="n"/>
      <c r="H1023" s="129" t="n"/>
      <c r="I1023" s="38" t="n"/>
      <c r="J1023" s="98">
        <f>IF(A1023="","",IF(AND(F1023&lt;&gt;"",G1023&lt;&gt;""),MAX(0,G1023-F1023),N(H1023)))</f>
        <v/>
      </c>
      <c r="K1023" s="55">
        <f>IF(A1023="","",ROUND(J1023*MileRate,2))</f>
        <v/>
      </c>
      <c r="L1023" s="51">
        <f>IF(A1023="","",DATE(YEAR(A1023),MONTH(A1023),1))</f>
        <v/>
      </c>
    </row>
    <row r="1024">
      <c r="A1024" s="47" t="n"/>
      <c r="B1024" s="38" t="n"/>
      <c r="C1024" s="38" t="n"/>
      <c r="D1024" s="38" t="n"/>
      <c r="E1024" s="38" t="n"/>
      <c r="F1024" s="128" t="n"/>
      <c r="G1024" s="128" t="n"/>
      <c r="H1024" s="129" t="n"/>
      <c r="I1024" s="38" t="n"/>
      <c r="J1024" s="98">
        <f>IF(A1024="","",IF(AND(F1024&lt;&gt;"",G1024&lt;&gt;""),MAX(0,G1024-F1024),N(H1024)))</f>
        <v/>
      </c>
      <c r="K1024" s="55">
        <f>IF(A1024="","",ROUND(J1024*MileRate,2))</f>
        <v/>
      </c>
      <c r="L1024" s="51">
        <f>IF(A1024="","",DATE(YEAR(A1024),MONTH(A1024),1))</f>
        <v/>
      </c>
    </row>
    <row r="1025">
      <c r="A1025" s="47" t="n"/>
      <c r="B1025" s="38" t="n"/>
      <c r="C1025" s="38" t="n"/>
      <c r="D1025" s="38" t="n"/>
      <c r="E1025" s="38" t="n"/>
      <c r="F1025" s="128" t="n"/>
      <c r="G1025" s="128" t="n"/>
      <c r="H1025" s="129" t="n"/>
      <c r="I1025" s="38" t="n"/>
      <c r="J1025" s="98">
        <f>IF(A1025="","",IF(AND(F1025&lt;&gt;"",G1025&lt;&gt;""),MAX(0,G1025-F1025),N(H1025)))</f>
        <v/>
      </c>
      <c r="K1025" s="55">
        <f>IF(A1025="","",ROUND(J1025*MileRate,2))</f>
        <v/>
      </c>
      <c r="L1025" s="51">
        <f>IF(A1025="","",DATE(YEAR(A1025),MONTH(A1025),1))</f>
        <v/>
      </c>
    </row>
    <row r="1026">
      <c r="A1026" s="47" t="n"/>
      <c r="B1026" s="38" t="n"/>
      <c r="C1026" s="38" t="n"/>
      <c r="D1026" s="38" t="n"/>
      <c r="E1026" s="38" t="n"/>
      <c r="F1026" s="128" t="n"/>
      <c r="G1026" s="128" t="n"/>
      <c r="H1026" s="129" t="n"/>
      <c r="I1026" s="38" t="n"/>
      <c r="J1026" s="98">
        <f>IF(A1026="","",IF(AND(F1026&lt;&gt;"",G1026&lt;&gt;""),MAX(0,G1026-F1026),N(H1026)))</f>
        <v/>
      </c>
      <c r="K1026" s="55">
        <f>IF(A1026="","",ROUND(J1026*MileRate,2))</f>
        <v/>
      </c>
      <c r="L1026" s="51">
        <f>IF(A1026="","",DATE(YEAR(A1026),MONTH(A1026),1))</f>
        <v/>
      </c>
    </row>
    <row r="1027">
      <c r="A1027" s="47" t="n"/>
      <c r="B1027" s="38" t="n"/>
      <c r="C1027" s="38" t="n"/>
      <c r="D1027" s="38" t="n"/>
      <c r="E1027" s="38" t="n"/>
      <c r="F1027" s="128" t="n"/>
      <c r="G1027" s="128" t="n"/>
      <c r="H1027" s="129" t="n"/>
      <c r="I1027" s="38" t="n"/>
      <c r="J1027" s="98">
        <f>IF(A1027="","",IF(AND(F1027&lt;&gt;"",G1027&lt;&gt;""),MAX(0,G1027-F1027),N(H1027)))</f>
        <v/>
      </c>
      <c r="K1027" s="55">
        <f>IF(A1027="","",ROUND(J1027*MileRate,2))</f>
        <v/>
      </c>
      <c r="L1027" s="51">
        <f>IF(A1027="","",DATE(YEAR(A1027),MONTH(A1027),1))</f>
        <v/>
      </c>
    </row>
    <row r="1028">
      <c r="A1028" s="47" t="n"/>
      <c r="B1028" s="38" t="n"/>
      <c r="C1028" s="38" t="n"/>
      <c r="D1028" s="38" t="n"/>
      <c r="E1028" s="38" t="n"/>
      <c r="F1028" s="128" t="n"/>
      <c r="G1028" s="128" t="n"/>
      <c r="H1028" s="129" t="n"/>
      <c r="I1028" s="38" t="n"/>
      <c r="J1028" s="98">
        <f>IF(A1028="","",IF(AND(F1028&lt;&gt;"",G1028&lt;&gt;""),MAX(0,G1028-F1028),N(H1028)))</f>
        <v/>
      </c>
      <c r="K1028" s="55">
        <f>IF(A1028="","",ROUND(J1028*MileRate,2))</f>
        <v/>
      </c>
      <c r="L1028" s="51">
        <f>IF(A1028="","",DATE(YEAR(A1028),MONTH(A1028),1))</f>
        <v/>
      </c>
    </row>
    <row r="1029">
      <c r="A1029" s="47" t="n"/>
      <c r="B1029" s="38" t="n"/>
      <c r="C1029" s="38" t="n"/>
      <c r="D1029" s="38" t="n"/>
      <c r="E1029" s="38" t="n"/>
      <c r="F1029" s="128" t="n"/>
      <c r="G1029" s="128" t="n"/>
      <c r="H1029" s="129" t="n"/>
      <c r="I1029" s="38" t="n"/>
      <c r="J1029" s="98">
        <f>IF(A1029="","",IF(AND(F1029&lt;&gt;"",G1029&lt;&gt;""),MAX(0,G1029-F1029),N(H1029)))</f>
        <v/>
      </c>
      <c r="K1029" s="55">
        <f>IF(A1029="","",ROUND(J1029*MileRate,2))</f>
        <v/>
      </c>
      <c r="L1029" s="51">
        <f>IF(A1029="","",DATE(YEAR(A1029),MONTH(A1029),1))</f>
        <v/>
      </c>
    </row>
    <row r="1030">
      <c r="A1030" s="47" t="n"/>
      <c r="B1030" s="38" t="n"/>
      <c r="C1030" s="38" t="n"/>
      <c r="D1030" s="38" t="n"/>
      <c r="E1030" s="38" t="n"/>
      <c r="F1030" s="128" t="n"/>
      <c r="G1030" s="128" t="n"/>
      <c r="H1030" s="129" t="n"/>
      <c r="I1030" s="38" t="n"/>
      <c r="J1030" s="98">
        <f>IF(A1030="","",IF(AND(F1030&lt;&gt;"",G1030&lt;&gt;""),MAX(0,G1030-F1030),N(H1030)))</f>
        <v/>
      </c>
      <c r="K1030" s="55">
        <f>IF(A1030="","",ROUND(J1030*MileRate,2))</f>
        <v/>
      </c>
      <c r="L1030" s="51">
        <f>IF(A1030="","",DATE(YEAR(A1030),MONTH(A1030),1))</f>
        <v/>
      </c>
    </row>
    <row r="1031">
      <c r="A1031" s="47" t="n"/>
      <c r="B1031" s="38" t="n"/>
      <c r="C1031" s="38" t="n"/>
      <c r="D1031" s="38" t="n"/>
      <c r="E1031" s="38" t="n"/>
      <c r="F1031" s="128" t="n"/>
      <c r="G1031" s="128" t="n"/>
      <c r="H1031" s="129" t="n"/>
      <c r="I1031" s="38" t="n"/>
      <c r="J1031" s="98">
        <f>IF(A1031="","",IF(AND(F1031&lt;&gt;"",G1031&lt;&gt;""),MAX(0,G1031-F1031),N(H1031)))</f>
        <v/>
      </c>
      <c r="K1031" s="55">
        <f>IF(A1031="","",ROUND(J1031*MileRate,2))</f>
        <v/>
      </c>
      <c r="L1031" s="51">
        <f>IF(A1031="","",DATE(YEAR(A1031),MONTH(A1031),1))</f>
        <v/>
      </c>
    </row>
    <row r="1032">
      <c r="A1032" s="47" t="n"/>
      <c r="B1032" s="38" t="n"/>
      <c r="C1032" s="38" t="n"/>
      <c r="D1032" s="38" t="n"/>
      <c r="E1032" s="38" t="n"/>
      <c r="F1032" s="128" t="n"/>
      <c r="G1032" s="128" t="n"/>
      <c r="H1032" s="129" t="n"/>
      <c r="I1032" s="38" t="n"/>
      <c r="J1032" s="98">
        <f>IF(A1032="","",IF(AND(F1032&lt;&gt;"",G1032&lt;&gt;""),MAX(0,G1032-F1032),N(H1032)))</f>
        <v/>
      </c>
      <c r="K1032" s="55">
        <f>IF(A1032="","",ROUND(J1032*MileRate,2))</f>
        <v/>
      </c>
      <c r="L1032" s="51">
        <f>IF(A1032="","",DATE(YEAR(A1032),MONTH(A1032),1))</f>
        <v/>
      </c>
    </row>
    <row r="1033">
      <c r="A1033" s="47" t="n"/>
      <c r="B1033" s="38" t="n"/>
      <c r="C1033" s="38" t="n"/>
      <c r="D1033" s="38" t="n"/>
      <c r="E1033" s="38" t="n"/>
      <c r="F1033" s="128" t="n"/>
      <c r="G1033" s="128" t="n"/>
      <c r="H1033" s="129" t="n"/>
      <c r="I1033" s="38" t="n"/>
      <c r="J1033" s="98">
        <f>IF(A1033="","",IF(AND(F1033&lt;&gt;"",G1033&lt;&gt;""),MAX(0,G1033-F1033),N(H1033)))</f>
        <v/>
      </c>
      <c r="K1033" s="55">
        <f>IF(A1033="","",ROUND(J1033*MileRate,2))</f>
        <v/>
      </c>
      <c r="L1033" s="51">
        <f>IF(A1033="","",DATE(YEAR(A1033),MONTH(A1033),1))</f>
        <v/>
      </c>
    </row>
    <row r="1034">
      <c r="A1034" s="47" t="n"/>
      <c r="B1034" s="38" t="n"/>
      <c r="C1034" s="38" t="n"/>
      <c r="D1034" s="38" t="n"/>
      <c r="E1034" s="38" t="n"/>
      <c r="F1034" s="128" t="n"/>
      <c r="G1034" s="128" t="n"/>
      <c r="H1034" s="129" t="n"/>
      <c r="I1034" s="38" t="n"/>
      <c r="J1034" s="98">
        <f>IF(A1034="","",IF(AND(F1034&lt;&gt;"",G1034&lt;&gt;""),MAX(0,G1034-F1034),N(H1034)))</f>
        <v/>
      </c>
      <c r="K1034" s="55">
        <f>IF(A1034="","",ROUND(J1034*MileRate,2))</f>
        <v/>
      </c>
      <c r="L1034" s="51">
        <f>IF(A1034="","",DATE(YEAR(A1034),MONTH(A1034),1))</f>
        <v/>
      </c>
    </row>
    <row r="1035">
      <c r="A1035" s="47" t="n"/>
      <c r="B1035" s="38" t="n"/>
      <c r="C1035" s="38" t="n"/>
      <c r="D1035" s="38" t="n"/>
      <c r="E1035" s="38" t="n"/>
      <c r="F1035" s="128" t="n"/>
      <c r="G1035" s="128" t="n"/>
      <c r="H1035" s="129" t="n"/>
      <c r="I1035" s="38" t="n"/>
      <c r="J1035" s="98">
        <f>IF(A1035="","",IF(AND(F1035&lt;&gt;"",G1035&lt;&gt;""),MAX(0,G1035-F1035),N(H1035)))</f>
        <v/>
      </c>
      <c r="K1035" s="55">
        <f>IF(A1035="","",ROUND(J1035*MileRate,2))</f>
        <v/>
      </c>
      <c r="L1035" s="51">
        <f>IF(A1035="","",DATE(YEAR(A1035),MONTH(A1035),1))</f>
        <v/>
      </c>
    </row>
    <row r="1036">
      <c r="A1036" s="47" t="n"/>
      <c r="B1036" s="38" t="n"/>
      <c r="C1036" s="38" t="n"/>
      <c r="D1036" s="38" t="n"/>
      <c r="E1036" s="38" t="n"/>
      <c r="F1036" s="128" t="n"/>
      <c r="G1036" s="128" t="n"/>
      <c r="H1036" s="129" t="n"/>
      <c r="I1036" s="38" t="n"/>
      <c r="J1036" s="98">
        <f>IF(A1036="","",IF(AND(F1036&lt;&gt;"",G1036&lt;&gt;""),MAX(0,G1036-F1036),N(H1036)))</f>
        <v/>
      </c>
      <c r="K1036" s="55">
        <f>IF(A1036="","",ROUND(J1036*MileRate,2))</f>
        <v/>
      </c>
      <c r="L1036" s="51">
        <f>IF(A1036="","",DATE(YEAR(A1036),MONTH(A1036),1))</f>
        <v/>
      </c>
    </row>
    <row r="1037">
      <c r="A1037" s="47" t="n"/>
      <c r="B1037" s="38" t="n"/>
      <c r="C1037" s="38" t="n"/>
      <c r="D1037" s="38" t="n"/>
      <c r="E1037" s="38" t="n"/>
      <c r="F1037" s="128" t="n"/>
      <c r="G1037" s="128" t="n"/>
      <c r="H1037" s="129" t="n"/>
      <c r="I1037" s="38" t="n"/>
      <c r="J1037" s="98">
        <f>IF(A1037="","",IF(AND(F1037&lt;&gt;"",G1037&lt;&gt;""),MAX(0,G1037-F1037),N(H1037)))</f>
        <v/>
      </c>
      <c r="K1037" s="55">
        <f>IF(A1037="","",ROUND(J1037*MileRate,2))</f>
        <v/>
      </c>
      <c r="L1037" s="51">
        <f>IF(A1037="","",DATE(YEAR(A1037),MONTH(A1037),1))</f>
        <v/>
      </c>
    </row>
    <row r="1038">
      <c r="A1038" s="47" t="n"/>
      <c r="B1038" s="38" t="n"/>
      <c r="C1038" s="38" t="n"/>
      <c r="D1038" s="38" t="n"/>
      <c r="E1038" s="38" t="n"/>
      <c r="F1038" s="128" t="n"/>
      <c r="G1038" s="128" t="n"/>
      <c r="H1038" s="129" t="n"/>
      <c r="I1038" s="38" t="n"/>
      <c r="J1038" s="98">
        <f>IF(A1038="","",IF(AND(F1038&lt;&gt;"",G1038&lt;&gt;""),MAX(0,G1038-F1038),N(H1038)))</f>
        <v/>
      </c>
      <c r="K1038" s="55">
        <f>IF(A1038="","",ROUND(J1038*MileRate,2))</f>
        <v/>
      </c>
      <c r="L1038" s="51">
        <f>IF(A1038="","",DATE(YEAR(A1038),MONTH(A1038),1))</f>
        <v/>
      </c>
    </row>
    <row r="1039">
      <c r="A1039" s="47" t="n"/>
      <c r="B1039" s="38" t="n"/>
      <c r="C1039" s="38" t="n"/>
      <c r="D1039" s="38" t="n"/>
      <c r="E1039" s="38" t="n"/>
      <c r="F1039" s="128" t="n"/>
      <c r="G1039" s="128" t="n"/>
      <c r="H1039" s="129" t="n"/>
      <c r="I1039" s="38" t="n"/>
      <c r="J1039" s="98">
        <f>IF(A1039="","",IF(AND(F1039&lt;&gt;"",G1039&lt;&gt;""),MAX(0,G1039-F1039),N(H1039)))</f>
        <v/>
      </c>
      <c r="K1039" s="55">
        <f>IF(A1039="","",ROUND(J1039*MileRate,2))</f>
        <v/>
      </c>
      <c r="L1039" s="51">
        <f>IF(A1039="","",DATE(YEAR(A1039),MONTH(A1039),1))</f>
        <v/>
      </c>
    </row>
    <row r="1040">
      <c r="A1040" s="47" t="n"/>
      <c r="B1040" s="38" t="n"/>
      <c r="C1040" s="38" t="n"/>
      <c r="D1040" s="38" t="n"/>
      <c r="E1040" s="38" t="n"/>
      <c r="F1040" s="128" t="n"/>
      <c r="G1040" s="128" t="n"/>
      <c r="H1040" s="129" t="n"/>
      <c r="I1040" s="38" t="n"/>
      <c r="J1040" s="98">
        <f>IF(A1040="","",IF(AND(F1040&lt;&gt;"",G1040&lt;&gt;""),MAX(0,G1040-F1040),N(H1040)))</f>
        <v/>
      </c>
      <c r="K1040" s="55">
        <f>IF(A1040="","",ROUND(J1040*MileRate,2))</f>
        <v/>
      </c>
      <c r="L1040" s="51">
        <f>IF(A1040="","",DATE(YEAR(A1040),MONTH(A1040),1))</f>
        <v/>
      </c>
    </row>
    <row r="1041">
      <c r="A1041" s="47" t="n"/>
      <c r="B1041" s="38" t="n"/>
      <c r="C1041" s="38" t="n"/>
      <c r="D1041" s="38" t="n"/>
      <c r="E1041" s="38" t="n"/>
      <c r="F1041" s="128" t="n"/>
      <c r="G1041" s="128" t="n"/>
      <c r="H1041" s="129" t="n"/>
      <c r="I1041" s="38" t="n"/>
      <c r="J1041" s="98">
        <f>IF(A1041="","",IF(AND(F1041&lt;&gt;"",G1041&lt;&gt;""),MAX(0,G1041-F1041),N(H1041)))</f>
        <v/>
      </c>
      <c r="K1041" s="55">
        <f>IF(A1041="","",ROUND(J1041*MileRate,2))</f>
        <v/>
      </c>
      <c r="L1041" s="51">
        <f>IF(A1041="","",DATE(YEAR(A1041),MONTH(A1041),1))</f>
        <v/>
      </c>
    </row>
    <row r="1042">
      <c r="A1042" s="47" t="n"/>
      <c r="B1042" s="38" t="n"/>
      <c r="C1042" s="38" t="n"/>
      <c r="D1042" s="38" t="n"/>
      <c r="E1042" s="38" t="n"/>
      <c r="F1042" s="128" t="n"/>
      <c r="G1042" s="128" t="n"/>
      <c r="H1042" s="129" t="n"/>
      <c r="I1042" s="38" t="n"/>
      <c r="J1042" s="98">
        <f>IF(A1042="","",IF(AND(F1042&lt;&gt;"",G1042&lt;&gt;""),MAX(0,G1042-F1042),N(H1042)))</f>
        <v/>
      </c>
      <c r="K1042" s="55">
        <f>IF(A1042="","",ROUND(J1042*MileRate,2))</f>
        <v/>
      </c>
      <c r="L1042" s="51">
        <f>IF(A1042="","",DATE(YEAR(A1042),MONTH(A1042),1))</f>
        <v/>
      </c>
    </row>
    <row r="1043">
      <c r="A1043" s="47" t="n"/>
      <c r="B1043" s="38" t="n"/>
      <c r="C1043" s="38" t="n"/>
      <c r="D1043" s="38" t="n"/>
      <c r="E1043" s="38" t="n"/>
      <c r="F1043" s="128" t="n"/>
      <c r="G1043" s="128" t="n"/>
      <c r="H1043" s="129" t="n"/>
      <c r="I1043" s="38" t="n"/>
      <c r="J1043" s="98">
        <f>IF(A1043="","",IF(AND(F1043&lt;&gt;"",G1043&lt;&gt;""),MAX(0,G1043-F1043),N(H1043)))</f>
        <v/>
      </c>
      <c r="K1043" s="55">
        <f>IF(A1043="","",ROUND(J1043*MileRate,2))</f>
        <v/>
      </c>
      <c r="L1043" s="51">
        <f>IF(A1043="","",DATE(YEAR(A1043),MONTH(A1043),1))</f>
        <v/>
      </c>
    </row>
    <row r="1044">
      <c r="A1044" s="47" t="n"/>
      <c r="B1044" s="38" t="n"/>
      <c r="C1044" s="38" t="n"/>
      <c r="D1044" s="38" t="n"/>
      <c r="E1044" s="38" t="n"/>
      <c r="F1044" s="128" t="n"/>
      <c r="G1044" s="128" t="n"/>
      <c r="H1044" s="129" t="n"/>
      <c r="I1044" s="38" t="n"/>
      <c r="J1044" s="98">
        <f>IF(A1044="","",IF(AND(F1044&lt;&gt;"",G1044&lt;&gt;""),MAX(0,G1044-F1044),N(H1044)))</f>
        <v/>
      </c>
      <c r="K1044" s="55">
        <f>IF(A1044="","",ROUND(J1044*MileRate,2))</f>
        <v/>
      </c>
      <c r="L1044" s="51">
        <f>IF(A1044="","",DATE(YEAR(A1044),MONTH(A1044),1))</f>
        <v/>
      </c>
    </row>
    <row r="1045">
      <c r="A1045" s="47" t="n"/>
      <c r="B1045" s="38" t="n"/>
      <c r="C1045" s="38" t="n"/>
      <c r="D1045" s="38" t="n"/>
      <c r="E1045" s="38" t="n"/>
      <c r="F1045" s="128" t="n"/>
      <c r="G1045" s="128" t="n"/>
      <c r="H1045" s="129" t="n"/>
      <c r="I1045" s="38" t="n"/>
      <c r="J1045" s="98">
        <f>IF(A1045="","",IF(AND(F1045&lt;&gt;"",G1045&lt;&gt;""),MAX(0,G1045-F1045),N(H1045)))</f>
        <v/>
      </c>
      <c r="K1045" s="55">
        <f>IF(A1045="","",ROUND(J1045*MileRate,2))</f>
        <v/>
      </c>
      <c r="L1045" s="51">
        <f>IF(A1045="","",DATE(YEAR(A1045),MONTH(A1045),1))</f>
        <v/>
      </c>
    </row>
    <row r="1046">
      <c r="A1046" s="47" t="n"/>
      <c r="B1046" s="38" t="n"/>
      <c r="C1046" s="38" t="n"/>
      <c r="D1046" s="38" t="n"/>
      <c r="E1046" s="38" t="n"/>
      <c r="F1046" s="128" t="n"/>
      <c r="G1046" s="128" t="n"/>
      <c r="H1046" s="129" t="n"/>
      <c r="I1046" s="38" t="n"/>
      <c r="J1046" s="98">
        <f>IF(A1046="","",IF(AND(F1046&lt;&gt;"",G1046&lt;&gt;""),MAX(0,G1046-F1046),N(H1046)))</f>
        <v/>
      </c>
      <c r="K1046" s="55">
        <f>IF(A1046="","",ROUND(J1046*MileRate,2))</f>
        <v/>
      </c>
      <c r="L1046" s="51">
        <f>IF(A1046="","",DATE(YEAR(A1046),MONTH(A1046),1))</f>
        <v/>
      </c>
    </row>
    <row r="1047">
      <c r="A1047" s="47" t="n"/>
      <c r="B1047" s="38" t="n"/>
      <c r="C1047" s="38" t="n"/>
      <c r="D1047" s="38" t="n"/>
      <c r="E1047" s="38" t="n"/>
      <c r="F1047" s="128" t="n"/>
      <c r="G1047" s="128" t="n"/>
      <c r="H1047" s="129" t="n"/>
      <c r="I1047" s="38" t="n"/>
      <c r="J1047" s="98">
        <f>IF(A1047="","",IF(AND(F1047&lt;&gt;"",G1047&lt;&gt;""),MAX(0,G1047-F1047),N(H1047)))</f>
        <v/>
      </c>
      <c r="K1047" s="55">
        <f>IF(A1047="","",ROUND(J1047*MileRate,2))</f>
        <v/>
      </c>
      <c r="L1047" s="51">
        <f>IF(A1047="","",DATE(YEAR(A1047),MONTH(A1047),1))</f>
        <v/>
      </c>
    </row>
    <row r="1048">
      <c r="A1048" s="47" t="n"/>
      <c r="B1048" s="38" t="n"/>
      <c r="C1048" s="38" t="n"/>
      <c r="D1048" s="38" t="n"/>
      <c r="E1048" s="38" t="n"/>
      <c r="F1048" s="128" t="n"/>
      <c r="G1048" s="128" t="n"/>
      <c r="H1048" s="129" t="n"/>
      <c r="I1048" s="38" t="n"/>
      <c r="J1048" s="98">
        <f>IF(A1048="","",IF(AND(F1048&lt;&gt;"",G1048&lt;&gt;""),MAX(0,G1048-F1048),N(H1048)))</f>
        <v/>
      </c>
      <c r="K1048" s="55">
        <f>IF(A1048="","",ROUND(J1048*MileRate,2))</f>
        <v/>
      </c>
      <c r="L1048" s="51">
        <f>IF(A1048="","",DATE(YEAR(A1048),MONTH(A1048),1))</f>
        <v/>
      </c>
    </row>
    <row r="1049">
      <c r="A1049" s="47" t="n"/>
      <c r="B1049" s="38" t="n"/>
      <c r="C1049" s="38" t="n"/>
      <c r="D1049" s="38" t="n"/>
      <c r="E1049" s="38" t="n"/>
      <c r="F1049" s="128" t="n"/>
      <c r="G1049" s="128" t="n"/>
      <c r="H1049" s="129" t="n"/>
      <c r="I1049" s="38" t="n"/>
      <c r="J1049" s="98">
        <f>IF(A1049="","",IF(AND(F1049&lt;&gt;"",G1049&lt;&gt;""),MAX(0,G1049-F1049),N(H1049)))</f>
        <v/>
      </c>
      <c r="K1049" s="55">
        <f>IF(A1049="","",ROUND(J1049*MileRate,2))</f>
        <v/>
      </c>
      <c r="L1049" s="51">
        <f>IF(A1049="","",DATE(YEAR(A1049),MONTH(A1049),1))</f>
        <v/>
      </c>
    </row>
    <row r="1050">
      <c r="A1050" s="47" t="n"/>
      <c r="B1050" s="38" t="n"/>
      <c r="C1050" s="38" t="n"/>
      <c r="D1050" s="38" t="n"/>
      <c r="E1050" s="38" t="n"/>
      <c r="F1050" s="128" t="n"/>
      <c r="G1050" s="128" t="n"/>
      <c r="H1050" s="129" t="n"/>
      <c r="I1050" s="38" t="n"/>
      <c r="J1050" s="98">
        <f>IF(A1050="","",IF(AND(F1050&lt;&gt;"",G1050&lt;&gt;""),MAX(0,G1050-F1050),N(H1050)))</f>
        <v/>
      </c>
      <c r="K1050" s="55">
        <f>IF(A1050="","",ROUND(J1050*MileRate,2))</f>
        <v/>
      </c>
      <c r="L1050" s="51">
        <f>IF(A1050="","",DATE(YEAR(A1050),MONTH(A1050),1))</f>
        <v/>
      </c>
    </row>
    <row r="1051">
      <c r="A1051" s="47" t="n"/>
      <c r="B1051" s="38" t="n"/>
      <c r="C1051" s="38" t="n"/>
      <c r="D1051" s="38" t="n"/>
      <c r="E1051" s="38" t="n"/>
      <c r="F1051" s="128" t="n"/>
      <c r="G1051" s="128" t="n"/>
      <c r="H1051" s="129" t="n"/>
      <c r="I1051" s="38" t="n"/>
      <c r="J1051" s="98">
        <f>IF(A1051="","",IF(AND(F1051&lt;&gt;"",G1051&lt;&gt;""),MAX(0,G1051-F1051),N(H1051)))</f>
        <v/>
      </c>
      <c r="K1051" s="55">
        <f>IF(A1051="","",ROUND(J1051*MileRate,2))</f>
        <v/>
      </c>
      <c r="L1051" s="51">
        <f>IF(A1051="","",DATE(YEAR(A1051),MONTH(A1051),1))</f>
        <v/>
      </c>
    </row>
    <row r="1052">
      <c r="A1052" s="47" t="n"/>
      <c r="B1052" s="38" t="n"/>
      <c r="C1052" s="38" t="n"/>
      <c r="D1052" s="38" t="n"/>
      <c r="E1052" s="38" t="n"/>
      <c r="F1052" s="128" t="n"/>
      <c r="G1052" s="128" t="n"/>
      <c r="H1052" s="129" t="n"/>
      <c r="I1052" s="38" t="n"/>
      <c r="J1052" s="98">
        <f>IF(A1052="","",IF(AND(F1052&lt;&gt;"",G1052&lt;&gt;""),MAX(0,G1052-F1052),N(H1052)))</f>
        <v/>
      </c>
      <c r="K1052" s="55">
        <f>IF(A1052="","",ROUND(J1052*MileRate,2))</f>
        <v/>
      </c>
      <c r="L1052" s="51">
        <f>IF(A1052="","",DATE(YEAR(A1052),MONTH(A1052),1))</f>
        <v/>
      </c>
    </row>
    <row r="1053">
      <c r="A1053" s="47" t="n"/>
      <c r="B1053" s="38" t="n"/>
      <c r="C1053" s="38" t="n"/>
      <c r="D1053" s="38" t="n"/>
      <c r="E1053" s="38" t="n"/>
      <c r="F1053" s="128" t="n"/>
      <c r="G1053" s="128" t="n"/>
      <c r="H1053" s="129" t="n"/>
      <c r="I1053" s="38" t="n"/>
      <c r="J1053" s="98">
        <f>IF(A1053="","",IF(AND(F1053&lt;&gt;"",G1053&lt;&gt;""),MAX(0,G1053-F1053),N(H1053)))</f>
        <v/>
      </c>
      <c r="K1053" s="55">
        <f>IF(A1053="","",ROUND(J1053*MileRate,2))</f>
        <v/>
      </c>
      <c r="L1053" s="51">
        <f>IF(A1053="","",DATE(YEAR(A1053),MONTH(A1053),1))</f>
        <v/>
      </c>
    </row>
    <row r="1054">
      <c r="A1054" s="47" t="n"/>
      <c r="B1054" s="38" t="n"/>
      <c r="C1054" s="38" t="n"/>
      <c r="D1054" s="38" t="n"/>
      <c r="E1054" s="38" t="n"/>
      <c r="F1054" s="128" t="n"/>
      <c r="G1054" s="128" t="n"/>
      <c r="H1054" s="129" t="n"/>
      <c r="I1054" s="38" t="n"/>
      <c r="J1054" s="98">
        <f>IF(A1054="","",IF(AND(F1054&lt;&gt;"",G1054&lt;&gt;""),MAX(0,G1054-F1054),N(H1054)))</f>
        <v/>
      </c>
      <c r="K1054" s="55">
        <f>IF(A1054="","",ROUND(J1054*MileRate,2))</f>
        <v/>
      </c>
      <c r="L1054" s="51">
        <f>IF(A1054="","",DATE(YEAR(A1054),MONTH(A1054),1))</f>
        <v/>
      </c>
    </row>
    <row r="1055">
      <c r="A1055" s="47" t="n"/>
      <c r="B1055" s="38" t="n"/>
      <c r="C1055" s="38" t="n"/>
      <c r="D1055" s="38" t="n"/>
      <c r="E1055" s="38" t="n"/>
      <c r="F1055" s="128" t="n"/>
      <c r="G1055" s="128" t="n"/>
      <c r="H1055" s="129" t="n"/>
      <c r="I1055" s="38" t="n"/>
      <c r="J1055" s="98">
        <f>IF(A1055="","",IF(AND(F1055&lt;&gt;"",G1055&lt;&gt;""),MAX(0,G1055-F1055),N(H1055)))</f>
        <v/>
      </c>
      <c r="K1055" s="55">
        <f>IF(A1055="","",ROUND(J1055*MileRate,2))</f>
        <v/>
      </c>
      <c r="L1055" s="51">
        <f>IF(A1055="","",DATE(YEAR(A1055),MONTH(A1055),1))</f>
        <v/>
      </c>
    </row>
    <row r="1056">
      <c r="A1056" s="47" t="n"/>
      <c r="B1056" s="38" t="n"/>
      <c r="C1056" s="38" t="n"/>
      <c r="D1056" s="38" t="n"/>
      <c r="E1056" s="38" t="n"/>
      <c r="F1056" s="128" t="n"/>
      <c r="G1056" s="128" t="n"/>
      <c r="H1056" s="129" t="n"/>
      <c r="I1056" s="38" t="n"/>
      <c r="J1056" s="98">
        <f>IF(A1056="","",IF(AND(F1056&lt;&gt;"",G1056&lt;&gt;""),MAX(0,G1056-F1056),N(H1056)))</f>
        <v/>
      </c>
      <c r="K1056" s="55">
        <f>IF(A1056="","",ROUND(J1056*MileRate,2))</f>
        <v/>
      </c>
      <c r="L1056" s="51">
        <f>IF(A1056="","",DATE(YEAR(A1056),MONTH(A1056),1))</f>
        <v/>
      </c>
    </row>
    <row r="1057">
      <c r="A1057" s="47" t="n"/>
      <c r="B1057" s="38" t="n"/>
      <c r="C1057" s="38" t="n"/>
      <c r="D1057" s="38" t="n"/>
      <c r="E1057" s="38" t="n"/>
      <c r="F1057" s="128" t="n"/>
      <c r="G1057" s="128" t="n"/>
      <c r="H1057" s="129" t="n"/>
      <c r="I1057" s="38" t="n"/>
      <c r="J1057" s="98">
        <f>IF(A1057="","",IF(AND(F1057&lt;&gt;"",G1057&lt;&gt;""),MAX(0,G1057-F1057),N(H1057)))</f>
        <v/>
      </c>
      <c r="K1057" s="55">
        <f>IF(A1057="","",ROUND(J1057*MileRate,2))</f>
        <v/>
      </c>
      <c r="L1057" s="51">
        <f>IF(A1057="","",DATE(YEAR(A1057),MONTH(A1057),1))</f>
        <v/>
      </c>
    </row>
    <row r="1058">
      <c r="A1058" s="47" t="n"/>
      <c r="B1058" s="38" t="n"/>
      <c r="C1058" s="38" t="n"/>
      <c r="D1058" s="38" t="n"/>
      <c r="E1058" s="38" t="n"/>
      <c r="F1058" s="128" t="n"/>
      <c r="G1058" s="128" t="n"/>
      <c r="H1058" s="129" t="n"/>
      <c r="I1058" s="38" t="n"/>
      <c r="J1058" s="98">
        <f>IF(A1058="","",IF(AND(F1058&lt;&gt;"",G1058&lt;&gt;""),MAX(0,G1058-F1058),N(H1058)))</f>
        <v/>
      </c>
      <c r="K1058" s="55">
        <f>IF(A1058="","",ROUND(J1058*MileRate,2))</f>
        <v/>
      </c>
      <c r="L1058" s="51">
        <f>IF(A1058="","",DATE(YEAR(A1058),MONTH(A1058),1))</f>
        <v/>
      </c>
    </row>
    <row r="1059">
      <c r="A1059" s="47" t="n"/>
      <c r="B1059" s="38" t="n"/>
      <c r="C1059" s="38" t="n"/>
      <c r="D1059" s="38" t="n"/>
      <c r="E1059" s="38" t="n"/>
      <c r="F1059" s="128" t="n"/>
      <c r="G1059" s="128" t="n"/>
      <c r="H1059" s="129" t="n"/>
      <c r="I1059" s="38" t="n"/>
      <c r="J1059" s="98">
        <f>IF(A1059="","",IF(AND(F1059&lt;&gt;"",G1059&lt;&gt;""),MAX(0,G1059-F1059),N(H1059)))</f>
        <v/>
      </c>
      <c r="K1059" s="55">
        <f>IF(A1059="","",ROUND(J1059*MileRate,2))</f>
        <v/>
      </c>
      <c r="L1059" s="51">
        <f>IF(A1059="","",DATE(YEAR(A1059),MONTH(A1059),1))</f>
        <v/>
      </c>
    </row>
    <row r="1060">
      <c r="A1060" s="47" t="n"/>
      <c r="B1060" s="38" t="n"/>
      <c r="C1060" s="38" t="n"/>
      <c r="D1060" s="38" t="n"/>
      <c r="E1060" s="38" t="n"/>
      <c r="F1060" s="128" t="n"/>
      <c r="G1060" s="128" t="n"/>
      <c r="H1060" s="129" t="n"/>
      <c r="I1060" s="38" t="n"/>
      <c r="J1060" s="98">
        <f>IF(A1060="","",IF(AND(F1060&lt;&gt;"",G1060&lt;&gt;""),MAX(0,G1060-F1060),N(H1060)))</f>
        <v/>
      </c>
      <c r="K1060" s="55">
        <f>IF(A1060="","",ROUND(J1060*MileRate,2))</f>
        <v/>
      </c>
      <c r="L1060" s="51">
        <f>IF(A1060="","",DATE(YEAR(A1060),MONTH(A1060),1))</f>
        <v/>
      </c>
    </row>
    <row r="1061">
      <c r="A1061" s="47" t="n"/>
      <c r="B1061" s="38" t="n"/>
      <c r="C1061" s="38" t="n"/>
      <c r="D1061" s="38" t="n"/>
      <c r="E1061" s="38" t="n"/>
      <c r="F1061" s="128" t="n"/>
      <c r="G1061" s="128" t="n"/>
      <c r="H1061" s="129" t="n"/>
      <c r="I1061" s="38" t="n"/>
      <c r="J1061" s="98">
        <f>IF(A1061="","",IF(AND(F1061&lt;&gt;"",G1061&lt;&gt;""),MAX(0,G1061-F1061),N(H1061)))</f>
        <v/>
      </c>
      <c r="K1061" s="55">
        <f>IF(A1061="","",ROUND(J1061*MileRate,2))</f>
        <v/>
      </c>
      <c r="L1061" s="51">
        <f>IF(A1061="","",DATE(YEAR(A1061),MONTH(A1061),1))</f>
        <v/>
      </c>
    </row>
    <row r="1062">
      <c r="A1062" s="47" t="n"/>
      <c r="B1062" s="38" t="n"/>
      <c r="C1062" s="38" t="n"/>
      <c r="D1062" s="38" t="n"/>
      <c r="E1062" s="38" t="n"/>
      <c r="F1062" s="128" t="n"/>
      <c r="G1062" s="128" t="n"/>
      <c r="H1062" s="129" t="n"/>
      <c r="I1062" s="38" t="n"/>
      <c r="J1062" s="98">
        <f>IF(A1062="","",IF(AND(F1062&lt;&gt;"",G1062&lt;&gt;""),MAX(0,G1062-F1062),N(H1062)))</f>
        <v/>
      </c>
      <c r="K1062" s="55">
        <f>IF(A1062="","",ROUND(J1062*MileRate,2))</f>
        <v/>
      </c>
      <c r="L1062" s="51">
        <f>IF(A1062="","",DATE(YEAR(A1062),MONTH(A1062),1))</f>
        <v/>
      </c>
    </row>
    <row r="1063">
      <c r="A1063" s="47" t="n"/>
      <c r="B1063" s="38" t="n"/>
      <c r="C1063" s="38" t="n"/>
      <c r="D1063" s="38" t="n"/>
      <c r="E1063" s="38" t="n"/>
      <c r="F1063" s="128" t="n"/>
      <c r="G1063" s="128" t="n"/>
      <c r="H1063" s="129" t="n"/>
      <c r="I1063" s="38" t="n"/>
      <c r="J1063" s="98">
        <f>IF(A1063="","",IF(AND(F1063&lt;&gt;"",G1063&lt;&gt;""),MAX(0,G1063-F1063),N(H1063)))</f>
        <v/>
      </c>
      <c r="K1063" s="55">
        <f>IF(A1063="","",ROUND(J1063*MileRate,2))</f>
        <v/>
      </c>
      <c r="L1063" s="51">
        <f>IF(A1063="","",DATE(YEAR(A1063),MONTH(A1063),1))</f>
        <v/>
      </c>
    </row>
    <row r="1064">
      <c r="A1064" s="47" t="n"/>
      <c r="B1064" s="38" t="n"/>
      <c r="C1064" s="38" t="n"/>
      <c r="D1064" s="38" t="n"/>
      <c r="E1064" s="38" t="n"/>
      <c r="F1064" s="128" t="n"/>
      <c r="G1064" s="128" t="n"/>
      <c r="H1064" s="129" t="n"/>
      <c r="I1064" s="38" t="n"/>
      <c r="J1064" s="98">
        <f>IF(A1064="","",IF(AND(F1064&lt;&gt;"",G1064&lt;&gt;""),MAX(0,G1064-F1064),N(H1064)))</f>
        <v/>
      </c>
      <c r="K1064" s="55">
        <f>IF(A1064="","",ROUND(J1064*MileRate,2))</f>
        <v/>
      </c>
      <c r="L1064" s="51">
        <f>IF(A1064="","",DATE(YEAR(A1064),MONTH(A1064),1))</f>
        <v/>
      </c>
    </row>
    <row r="1065">
      <c r="A1065" s="47" t="n"/>
      <c r="B1065" s="38" t="n"/>
      <c r="C1065" s="38" t="n"/>
      <c r="D1065" s="38" t="n"/>
      <c r="E1065" s="38" t="n"/>
      <c r="F1065" s="128" t="n"/>
      <c r="G1065" s="128" t="n"/>
      <c r="H1065" s="129" t="n"/>
      <c r="I1065" s="38" t="n"/>
      <c r="J1065" s="98">
        <f>IF(A1065="","",IF(AND(F1065&lt;&gt;"",G1065&lt;&gt;""),MAX(0,G1065-F1065),N(H1065)))</f>
        <v/>
      </c>
      <c r="K1065" s="55">
        <f>IF(A1065="","",ROUND(J1065*MileRate,2))</f>
        <v/>
      </c>
      <c r="L1065" s="51">
        <f>IF(A1065="","",DATE(YEAR(A1065),MONTH(A1065),1))</f>
        <v/>
      </c>
    </row>
    <row r="1066">
      <c r="A1066" s="47" t="n"/>
      <c r="B1066" s="38" t="n"/>
      <c r="C1066" s="38" t="n"/>
      <c r="D1066" s="38" t="n"/>
      <c r="E1066" s="38" t="n"/>
      <c r="F1066" s="128" t="n"/>
      <c r="G1066" s="128" t="n"/>
      <c r="H1066" s="129" t="n"/>
      <c r="I1066" s="38" t="n"/>
      <c r="J1066" s="98">
        <f>IF(A1066="","",IF(AND(F1066&lt;&gt;"",G1066&lt;&gt;""),MAX(0,G1066-F1066),N(H1066)))</f>
        <v/>
      </c>
      <c r="K1066" s="55">
        <f>IF(A1066="","",ROUND(J1066*MileRate,2))</f>
        <v/>
      </c>
      <c r="L1066" s="51">
        <f>IF(A1066="","",DATE(YEAR(A1066),MONTH(A1066),1))</f>
        <v/>
      </c>
    </row>
    <row r="1067">
      <c r="A1067" s="47" t="n"/>
      <c r="B1067" s="38" t="n"/>
      <c r="C1067" s="38" t="n"/>
      <c r="D1067" s="38" t="n"/>
      <c r="E1067" s="38" t="n"/>
      <c r="F1067" s="128" t="n"/>
      <c r="G1067" s="128" t="n"/>
      <c r="H1067" s="129" t="n"/>
      <c r="I1067" s="38" t="n"/>
      <c r="J1067" s="98">
        <f>IF(A1067="","",IF(AND(F1067&lt;&gt;"",G1067&lt;&gt;""),MAX(0,G1067-F1067),N(H1067)))</f>
        <v/>
      </c>
      <c r="K1067" s="55">
        <f>IF(A1067="","",ROUND(J1067*MileRate,2))</f>
        <v/>
      </c>
      <c r="L1067" s="51">
        <f>IF(A1067="","",DATE(YEAR(A1067),MONTH(A1067),1))</f>
        <v/>
      </c>
    </row>
    <row r="1068">
      <c r="A1068" s="47" t="n"/>
      <c r="B1068" s="38" t="n"/>
      <c r="C1068" s="38" t="n"/>
      <c r="D1068" s="38" t="n"/>
      <c r="E1068" s="38" t="n"/>
      <c r="F1068" s="128" t="n"/>
      <c r="G1068" s="128" t="n"/>
      <c r="H1068" s="129" t="n"/>
      <c r="I1068" s="38" t="n"/>
      <c r="J1068" s="98">
        <f>IF(A1068="","",IF(AND(F1068&lt;&gt;"",G1068&lt;&gt;""),MAX(0,G1068-F1068),N(H1068)))</f>
        <v/>
      </c>
      <c r="K1068" s="55">
        <f>IF(A1068="","",ROUND(J1068*MileRate,2))</f>
        <v/>
      </c>
      <c r="L1068" s="51">
        <f>IF(A1068="","",DATE(YEAR(A1068),MONTH(A1068),1))</f>
        <v/>
      </c>
    </row>
    <row r="1069">
      <c r="A1069" s="47" t="n"/>
      <c r="B1069" s="38" t="n"/>
      <c r="C1069" s="38" t="n"/>
      <c r="D1069" s="38" t="n"/>
      <c r="E1069" s="38" t="n"/>
      <c r="F1069" s="128" t="n"/>
      <c r="G1069" s="128" t="n"/>
      <c r="H1069" s="129" t="n"/>
      <c r="I1069" s="38" t="n"/>
      <c r="J1069" s="98">
        <f>IF(A1069="","",IF(AND(F1069&lt;&gt;"",G1069&lt;&gt;""),MAX(0,G1069-F1069),N(H1069)))</f>
        <v/>
      </c>
      <c r="K1069" s="55">
        <f>IF(A1069="","",ROUND(J1069*MileRate,2))</f>
        <v/>
      </c>
      <c r="L1069" s="51">
        <f>IF(A1069="","",DATE(YEAR(A1069),MONTH(A1069),1))</f>
        <v/>
      </c>
    </row>
    <row r="1070">
      <c r="A1070" s="47" t="n"/>
      <c r="B1070" s="38" t="n"/>
      <c r="C1070" s="38" t="n"/>
      <c r="D1070" s="38" t="n"/>
      <c r="E1070" s="38" t="n"/>
      <c r="F1070" s="128" t="n"/>
      <c r="G1070" s="128" t="n"/>
      <c r="H1070" s="129" t="n"/>
      <c r="I1070" s="38" t="n"/>
      <c r="J1070" s="98">
        <f>IF(A1070="","",IF(AND(F1070&lt;&gt;"",G1070&lt;&gt;""),MAX(0,G1070-F1070),N(H1070)))</f>
        <v/>
      </c>
      <c r="K1070" s="55">
        <f>IF(A1070="","",ROUND(J1070*MileRate,2))</f>
        <v/>
      </c>
      <c r="L1070" s="51">
        <f>IF(A1070="","",DATE(YEAR(A1070),MONTH(A1070),1))</f>
        <v/>
      </c>
    </row>
    <row r="1071">
      <c r="A1071" s="47" t="n"/>
      <c r="B1071" s="38" t="n"/>
      <c r="C1071" s="38" t="n"/>
      <c r="D1071" s="38" t="n"/>
      <c r="E1071" s="38" t="n"/>
      <c r="F1071" s="128" t="n"/>
      <c r="G1071" s="128" t="n"/>
      <c r="H1071" s="129" t="n"/>
      <c r="I1071" s="38" t="n"/>
      <c r="J1071" s="98">
        <f>IF(A1071="","",IF(AND(F1071&lt;&gt;"",G1071&lt;&gt;""),MAX(0,G1071-F1071),N(H1071)))</f>
        <v/>
      </c>
      <c r="K1071" s="55">
        <f>IF(A1071="","",ROUND(J1071*MileRate,2))</f>
        <v/>
      </c>
      <c r="L1071" s="51">
        <f>IF(A1071="","",DATE(YEAR(A1071),MONTH(A1071),1))</f>
        <v/>
      </c>
    </row>
    <row r="1072">
      <c r="A1072" s="47" t="n"/>
      <c r="B1072" s="38" t="n"/>
      <c r="C1072" s="38" t="n"/>
      <c r="D1072" s="38" t="n"/>
      <c r="E1072" s="38" t="n"/>
      <c r="F1072" s="128" t="n"/>
      <c r="G1072" s="128" t="n"/>
      <c r="H1072" s="129" t="n"/>
      <c r="I1072" s="38" t="n"/>
      <c r="J1072" s="98">
        <f>IF(A1072="","",IF(AND(F1072&lt;&gt;"",G1072&lt;&gt;""),MAX(0,G1072-F1072),N(H1072)))</f>
        <v/>
      </c>
      <c r="K1072" s="55">
        <f>IF(A1072="","",ROUND(J1072*MileRate,2))</f>
        <v/>
      </c>
      <c r="L1072" s="51">
        <f>IF(A1072="","",DATE(YEAR(A1072),MONTH(A1072),1))</f>
        <v/>
      </c>
    </row>
    <row r="1073">
      <c r="A1073" s="47" t="n"/>
      <c r="B1073" s="38" t="n"/>
      <c r="C1073" s="38" t="n"/>
      <c r="D1073" s="38" t="n"/>
      <c r="E1073" s="38" t="n"/>
      <c r="F1073" s="128" t="n"/>
      <c r="G1073" s="128" t="n"/>
      <c r="H1073" s="129" t="n"/>
      <c r="I1073" s="38" t="n"/>
      <c r="J1073" s="98">
        <f>IF(A1073="","",IF(AND(F1073&lt;&gt;"",G1073&lt;&gt;""),MAX(0,G1073-F1073),N(H1073)))</f>
        <v/>
      </c>
      <c r="K1073" s="55">
        <f>IF(A1073="","",ROUND(J1073*MileRate,2))</f>
        <v/>
      </c>
      <c r="L1073" s="51">
        <f>IF(A1073="","",DATE(YEAR(A1073),MONTH(A1073),1))</f>
        <v/>
      </c>
    </row>
    <row r="1074">
      <c r="A1074" s="47" t="n"/>
      <c r="B1074" s="38" t="n"/>
      <c r="C1074" s="38" t="n"/>
      <c r="D1074" s="38" t="n"/>
      <c r="E1074" s="38" t="n"/>
      <c r="F1074" s="128" t="n"/>
      <c r="G1074" s="128" t="n"/>
      <c r="H1074" s="129" t="n"/>
      <c r="I1074" s="38" t="n"/>
      <c r="J1074" s="98">
        <f>IF(A1074="","",IF(AND(F1074&lt;&gt;"",G1074&lt;&gt;""),MAX(0,G1074-F1074),N(H1074)))</f>
        <v/>
      </c>
      <c r="K1074" s="55">
        <f>IF(A1074="","",ROUND(J1074*MileRate,2))</f>
        <v/>
      </c>
      <c r="L1074" s="51">
        <f>IF(A1074="","",DATE(YEAR(A1074),MONTH(A1074),1))</f>
        <v/>
      </c>
    </row>
    <row r="1075">
      <c r="A1075" s="47" t="n"/>
      <c r="B1075" s="38" t="n"/>
      <c r="C1075" s="38" t="n"/>
      <c r="D1075" s="38" t="n"/>
      <c r="E1075" s="38" t="n"/>
      <c r="F1075" s="128" t="n"/>
      <c r="G1075" s="128" t="n"/>
      <c r="H1075" s="129" t="n"/>
      <c r="I1075" s="38" t="n"/>
      <c r="J1075" s="98">
        <f>IF(A1075="","",IF(AND(F1075&lt;&gt;"",G1075&lt;&gt;""),MAX(0,G1075-F1075),N(H1075)))</f>
        <v/>
      </c>
      <c r="K1075" s="55">
        <f>IF(A1075="","",ROUND(J1075*MileRate,2))</f>
        <v/>
      </c>
      <c r="L1075" s="51">
        <f>IF(A1075="","",DATE(YEAR(A1075),MONTH(A1075),1))</f>
        <v/>
      </c>
    </row>
    <row r="1076">
      <c r="A1076" s="47" t="n"/>
      <c r="B1076" s="38" t="n"/>
      <c r="C1076" s="38" t="n"/>
      <c r="D1076" s="38" t="n"/>
      <c r="E1076" s="38" t="n"/>
      <c r="F1076" s="128" t="n"/>
      <c r="G1076" s="128" t="n"/>
      <c r="H1076" s="129" t="n"/>
      <c r="I1076" s="38" t="n"/>
      <c r="J1076" s="98">
        <f>IF(A1076="","",IF(AND(F1076&lt;&gt;"",G1076&lt;&gt;""),MAX(0,G1076-F1076),N(H1076)))</f>
        <v/>
      </c>
      <c r="K1076" s="55">
        <f>IF(A1076="","",ROUND(J1076*MileRate,2))</f>
        <v/>
      </c>
      <c r="L1076" s="51">
        <f>IF(A1076="","",DATE(YEAR(A1076),MONTH(A1076),1))</f>
        <v/>
      </c>
    </row>
    <row r="1077">
      <c r="A1077" s="47" t="n"/>
      <c r="B1077" s="38" t="n"/>
      <c r="C1077" s="38" t="n"/>
      <c r="D1077" s="38" t="n"/>
      <c r="E1077" s="38" t="n"/>
      <c r="F1077" s="128" t="n"/>
      <c r="G1077" s="128" t="n"/>
      <c r="H1077" s="129" t="n"/>
      <c r="I1077" s="38" t="n"/>
      <c r="J1077" s="98">
        <f>IF(A1077="","",IF(AND(F1077&lt;&gt;"",G1077&lt;&gt;""),MAX(0,G1077-F1077),N(H1077)))</f>
        <v/>
      </c>
      <c r="K1077" s="55">
        <f>IF(A1077="","",ROUND(J1077*MileRate,2))</f>
        <v/>
      </c>
      <c r="L1077" s="51">
        <f>IF(A1077="","",DATE(YEAR(A1077),MONTH(A1077),1))</f>
        <v/>
      </c>
    </row>
    <row r="1078">
      <c r="A1078" s="47" t="n"/>
      <c r="B1078" s="38" t="n"/>
      <c r="C1078" s="38" t="n"/>
      <c r="D1078" s="38" t="n"/>
      <c r="E1078" s="38" t="n"/>
      <c r="F1078" s="128" t="n"/>
      <c r="G1078" s="128" t="n"/>
      <c r="H1078" s="129" t="n"/>
      <c r="I1078" s="38" t="n"/>
      <c r="J1078" s="98">
        <f>IF(A1078="","",IF(AND(F1078&lt;&gt;"",G1078&lt;&gt;""),MAX(0,G1078-F1078),N(H1078)))</f>
        <v/>
      </c>
      <c r="K1078" s="55">
        <f>IF(A1078="","",ROUND(J1078*MileRate,2))</f>
        <v/>
      </c>
      <c r="L1078" s="51">
        <f>IF(A1078="","",DATE(YEAR(A1078),MONTH(A1078),1))</f>
        <v/>
      </c>
    </row>
    <row r="1079">
      <c r="A1079" s="47" t="n"/>
      <c r="B1079" s="38" t="n"/>
      <c r="C1079" s="38" t="n"/>
      <c r="D1079" s="38" t="n"/>
      <c r="E1079" s="38" t="n"/>
      <c r="F1079" s="128" t="n"/>
      <c r="G1079" s="128" t="n"/>
      <c r="H1079" s="129" t="n"/>
      <c r="I1079" s="38" t="n"/>
      <c r="J1079" s="98">
        <f>IF(A1079="","",IF(AND(F1079&lt;&gt;"",G1079&lt;&gt;""),MAX(0,G1079-F1079),N(H1079)))</f>
        <v/>
      </c>
      <c r="K1079" s="55">
        <f>IF(A1079="","",ROUND(J1079*MileRate,2))</f>
        <v/>
      </c>
      <c r="L1079" s="51">
        <f>IF(A1079="","",DATE(YEAR(A1079),MONTH(A1079),1))</f>
        <v/>
      </c>
    </row>
    <row r="1080">
      <c r="A1080" s="47" t="n"/>
      <c r="B1080" s="38" t="n"/>
      <c r="C1080" s="38" t="n"/>
      <c r="D1080" s="38" t="n"/>
      <c r="E1080" s="38" t="n"/>
      <c r="F1080" s="128" t="n"/>
      <c r="G1080" s="128" t="n"/>
      <c r="H1080" s="129" t="n"/>
      <c r="I1080" s="38" t="n"/>
      <c r="J1080" s="98">
        <f>IF(A1080="","",IF(AND(F1080&lt;&gt;"",G1080&lt;&gt;""),MAX(0,G1080-F1080),N(H1080)))</f>
        <v/>
      </c>
      <c r="K1080" s="55">
        <f>IF(A1080="","",ROUND(J1080*MileRate,2))</f>
        <v/>
      </c>
      <c r="L1080" s="51">
        <f>IF(A1080="","",DATE(YEAR(A1080),MONTH(A1080),1))</f>
        <v/>
      </c>
    </row>
    <row r="1081">
      <c r="A1081" s="47" t="n"/>
      <c r="B1081" s="38" t="n"/>
      <c r="C1081" s="38" t="n"/>
      <c r="D1081" s="38" t="n"/>
      <c r="E1081" s="38" t="n"/>
      <c r="F1081" s="128" t="n"/>
      <c r="G1081" s="128" t="n"/>
      <c r="H1081" s="129" t="n"/>
      <c r="I1081" s="38" t="n"/>
      <c r="J1081" s="98">
        <f>IF(A1081="","",IF(AND(F1081&lt;&gt;"",G1081&lt;&gt;""),MAX(0,G1081-F1081),N(H1081)))</f>
        <v/>
      </c>
      <c r="K1081" s="55">
        <f>IF(A1081="","",ROUND(J1081*MileRate,2))</f>
        <v/>
      </c>
      <c r="L1081" s="51">
        <f>IF(A1081="","",DATE(YEAR(A1081),MONTH(A1081),1))</f>
        <v/>
      </c>
    </row>
    <row r="1082">
      <c r="A1082" s="47" t="n"/>
      <c r="B1082" s="38" t="n"/>
      <c r="C1082" s="38" t="n"/>
      <c r="D1082" s="38" t="n"/>
      <c r="E1082" s="38" t="n"/>
      <c r="F1082" s="128" t="n"/>
      <c r="G1082" s="128" t="n"/>
      <c r="H1082" s="129" t="n"/>
      <c r="I1082" s="38" t="n"/>
      <c r="J1082" s="98">
        <f>IF(A1082="","",IF(AND(F1082&lt;&gt;"",G1082&lt;&gt;""),MAX(0,G1082-F1082),N(H1082)))</f>
        <v/>
      </c>
      <c r="K1082" s="55">
        <f>IF(A1082="","",ROUND(J1082*MileRate,2))</f>
        <v/>
      </c>
      <c r="L1082" s="51">
        <f>IF(A1082="","",DATE(YEAR(A1082),MONTH(A1082),1))</f>
        <v/>
      </c>
    </row>
    <row r="1083">
      <c r="A1083" s="47" t="n"/>
      <c r="B1083" s="38" t="n"/>
      <c r="C1083" s="38" t="n"/>
      <c r="D1083" s="38" t="n"/>
      <c r="E1083" s="38" t="n"/>
      <c r="F1083" s="128" t="n"/>
      <c r="G1083" s="128" t="n"/>
      <c r="H1083" s="129" t="n"/>
      <c r="I1083" s="38" t="n"/>
      <c r="J1083" s="98">
        <f>IF(A1083="","",IF(AND(F1083&lt;&gt;"",G1083&lt;&gt;""),MAX(0,G1083-F1083),N(H1083)))</f>
        <v/>
      </c>
      <c r="K1083" s="55">
        <f>IF(A1083="","",ROUND(J1083*MileRate,2))</f>
        <v/>
      </c>
      <c r="L1083" s="51">
        <f>IF(A1083="","",DATE(YEAR(A1083),MONTH(A1083),1))</f>
        <v/>
      </c>
    </row>
    <row r="1084">
      <c r="A1084" s="47" t="n"/>
      <c r="B1084" s="38" t="n"/>
      <c r="C1084" s="38" t="n"/>
      <c r="D1084" s="38" t="n"/>
      <c r="E1084" s="38" t="n"/>
      <c r="F1084" s="128" t="n"/>
      <c r="G1084" s="128" t="n"/>
      <c r="H1084" s="129" t="n"/>
      <c r="I1084" s="38" t="n"/>
      <c r="J1084" s="98">
        <f>IF(A1084="","",IF(AND(F1084&lt;&gt;"",G1084&lt;&gt;""),MAX(0,G1084-F1084),N(H1084)))</f>
        <v/>
      </c>
      <c r="K1084" s="55">
        <f>IF(A1084="","",ROUND(J1084*MileRate,2))</f>
        <v/>
      </c>
      <c r="L1084" s="51">
        <f>IF(A1084="","",DATE(YEAR(A1084),MONTH(A1084),1))</f>
        <v/>
      </c>
    </row>
    <row r="1085">
      <c r="A1085" s="47" t="n"/>
      <c r="B1085" s="38" t="n"/>
      <c r="C1085" s="38" t="n"/>
      <c r="D1085" s="38" t="n"/>
      <c r="E1085" s="38" t="n"/>
      <c r="F1085" s="128" t="n"/>
      <c r="G1085" s="128" t="n"/>
      <c r="H1085" s="129" t="n"/>
      <c r="I1085" s="38" t="n"/>
      <c r="J1085" s="98">
        <f>IF(A1085="","",IF(AND(F1085&lt;&gt;"",G1085&lt;&gt;""),MAX(0,G1085-F1085),N(H1085)))</f>
        <v/>
      </c>
      <c r="K1085" s="55">
        <f>IF(A1085="","",ROUND(J1085*MileRate,2))</f>
        <v/>
      </c>
      <c r="L1085" s="51">
        <f>IF(A1085="","",DATE(YEAR(A1085),MONTH(A1085),1))</f>
        <v/>
      </c>
    </row>
    <row r="1086">
      <c r="A1086" s="47" t="n"/>
      <c r="B1086" s="38" t="n"/>
      <c r="C1086" s="38" t="n"/>
      <c r="D1086" s="38" t="n"/>
      <c r="E1086" s="38" t="n"/>
      <c r="F1086" s="128" t="n"/>
      <c r="G1086" s="128" t="n"/>
      <c r="H1086" s="129" t="n"/>
      <c r="I1086" s="38" t="n"/>
      <c r="J1086" s="98">
        <f>IF(A1086="","",IF(AND(F1086&lt;&gt;"",G1086&lt;&gt;""),MAX(0,G1086-F1086),N(H1086)))</f>
        <v/>
      </c>
      <c r="K1086" s="55">
        <f>IF(A1086="","",ROUND(J1086*MileRate,2))</f>
        <v/>
      </c>
      <c r="L1086" s="51">
        <f>IF(A1086="","",DATE(YEAR(A1086),MONTH(A1086),1))</f>
        <v/>
      </c>
    </row>
    <row r="1087">
      <c r="A1087" s="47" t="n"/>
      <c r="B1087" s="38" t="n"/>
      <c r="C1087" s="38" t="n"/>
      <c r="D1087" s="38" t="n"/>
      <c r="E1087" s="38" t="n"/>
      <c r="F1087" s="128" t="n"/>
      <c r="G1087" s="128" t="n"/>
      <c r="H1087" s="129" t="n"/>
      <c r="I1087" s="38" t="n"/>
      <c r="J1087" s="98">
        <f>IF(A1087="","",IF(AND(F1087&lt;&gt;"",G1087&lt;&gt;""),MAX(0,G1087-F1087),N(H1087)))</f>
        <v/>
      </c>
      <c r="K1087" s="55">
        <f>IF(A1087="","",ROUND(J1087*MileRate,2))</f>
        <v/>
      </c>
      <c r="L1087" s="51">
        <f>IF(A1087="","",DATE(YEAR(A1087),MONTH(A1087),1))</f>
        <v/>
      </c>
    </row>
    <row r="1088">
      <c r="A1088" s="47" t="n"/>
      <c r="B1088" s="38" t="n"/>
      <c r="C1088" s="38" t="n"/>
      <c r="D1088" s="38" t="n"/>
      <c r="E1088" s="38" t="n"/>
      <c r="F1088" s="128" t="n"/>
      <c r="G1088" s="128" t="n"/>
      <c r="H1088" s="129" t="n"/>
      <c r="I1088" s="38" t="n"/>
      <c r="J1088" s="98">
        <f>IF(A1088="","",IF(AND(F1088&lt;&gt;"",G1088&lt;&gt;""),MAX(0,G1088-F1088),N(H1088)))</f>
        <v/>
      </c>
      <c r="K1088" s="55">
        <f>IF(A1088="","",ROUND(J1088*MileRate,2))</f>
        <v/>
      </c>
      <c r="L1088" s="51">
        <f>IF(A1088="","",DATE(YEAR(A1088),MONTH(A1088),1))</f>
        <v/>
      </c>
    </row>
    <row r="1089">
      <c r="A1089" s="47" t="n"/>
      <c r="B1089" s="38" t="n"/>
      <c r="C1089" s="38" t="n"/>
      <c r="D1089" s="38" t="n"/>
      <c r="E1089" s="38" t="n"/>
      <c r="F1089" s="128" t="n"/>
      <c r="G1089" s="128" t="n"/>
      <c r="H1089" s="129" t="n"/>
      <c r="I1089" s="38" t="n"/>
      <c r="J1089" s="98">
        <f>IF(A1089="","",IF(AND(F1089&lt;&gt;"",G1089&lt;&gt;""),MAX(0,G1089-F1089),N(H1089)))</f>
        <v/>
      </c>
      <c r="K1089" s="55">
        <f>IF(A1089="","",ROUND(J1089*MileRate,2))</f>
        <v/>
      </c>
      <c r="L1089" s="51">
        <f>IF(A1089="","",DATE(YEAR(A1089),MONTH(A1089),1))</f>
        <v/>
      </c>
    </row>
    <row r="1090">
      <c r="A1090" s="47" t="n"/>
      <c r="B1090" s="38" t="n"/>
      <c r="C1090" s="38" t="n"/>
      <c r="D1090" s="38" t="n"/>
      <c r="E1090" s="38" t="n"/>
      <c r="F1090" s="128" t="n"/>
      <c r="G1090" s="128" t="n"/>
      <c r="H1090" s="129" t="n"/>
      <c r="I1090" s="38" t="n"/>
      <c r="J1090" s="98">
        <f>IF(A1090="","",IF(AND(F1090&lt;&gt;"",G1090&lt;&gt;""),MAX(0,G1090-F1090),N(H1090)))</f>
        <v/>
      </c>
      <c r="K1090" s="55">
        <f>IF(A1090="","",ROUND(J1090*MileRate,2))</f>
        <v/>
      </c>
      <c r="L1090" s="51">
        <f>IF(A1090="","",DATE(YEAR(A1090),MONTH(A1090),1))</f>
        <v/>
      </c>
    </row>
    <row r="1091">
      <c r="A1091" s="47" t="n"/>
      <c r="B1091" s="38" t="n"/>
      <c r="C1091" s="38" t="n"/>
      <c r="D1091" s="38" t="n"/>
      <c r="E1091" s="38" t="n"/>
      <c r="F1091" s="128" t="n"/>
      <c r="G1091" s="128" t="n"/>
      <c r="H1091" s="129" t="n"/>
      <c r="I1091" s="38" t="n"/>
      <c r="J1091" s="98">
        <f>IF(A1091="","",IF(AND(F1091&lt;&gt;"",G1091&lt;&gt;""),MAX(0,G1091-F1091),N(H1091)))</f>
        <v/>
      </c>
      <c r="K1091" s="55">
        <f>IF(A1091="","",ROUND(J1091*MileRate,2))</f>
        <v/>
      </c>
      <c r="L1091" s="51">
        <f>IF(A1091="","",DATE(YEAR(A1091),MONTH(A1091),1))</f>
        <v/>
      </c>
    </row>
    <row r="1092">
      <c r="A1092" s="47" t="n"/>
      <c r="B1092" s="38" t="n"/>
      <c r="C1092" s="38" t="n"/>
      <c r="D1092" s="38" t="n"/>
      <c r="E1092" s="38" t="n"/>
      <c r="F1092" s="128" t="n"/>
      <c r="G1092" s="128" t="n"/>
      <c r="H1092" s="129" t="n"/>
      <c r="I1092" s="38" t="n"/>
      <c r="J1092" s="98">
        <f>IF(A1092="","",IF(AND(F1092&lt;&gt;"",G1092&lt;&gt;""),MAX(0,G1092-F1092),N(H1092)))</f>
        <v/>
      </c>
      <c r="K1092" s="55">
        <f>IF(A1092="","",ROUND(J1092*MileRate,2))</f>
        <v/>
      </c>
      <c r="L1092" s="51">
        <f>IF(A1092="","",DATE(YEAR(A1092),MONTH(A1092),1))</f>
        <v/>
      </c>
    </row>
    <row r="1093">
      <c r="A1093" s="47" t="n"/>
      <c r="B1093" s="38" t="n"/>
      <c r="C1093" s="38" t="n"/>
      <c r="D1093" s="38" t="n"/>
      <c r="E1093" s="38" t="n"/>
      <c r="F1093" s="128" t="n"/>
      <c r="G1093" s="128" t="n"/>
      <c r="H1093" s="129" t="n"/>
      <c r="I1093" s="38" t="n"/>
      <c r="J1093" s="98">
        <f>IF(A1093="","",IF(AND(F1093&lt;&gt;"",G1093&lt;&gt;""),MAX(0,G1093-F1093),N(H1093)))</f>
        <v/>
      </c>
      <c r="K1093" s="55">
        <f>IF(A1093="","",ROUND(J1093*MileRate,2))</f>
        <v/>
      </c>
      <c r="L1093" s="51">
        <f>IF(A1093="","",DATE(YEAR(A1093),MONTH(A1093),1))</f>
        <v/>
      </c>
    </row>
    <row r="1094">
      <c r="A1094" s="47" t="n"/>
      <c r="B1094" s="38" t="n"/>
      <c r="C1094" s="38" t="n"/>
      <c r="D1094" s="38" t="n"/>
      <c r="E1094" s="38" t="n"/>
      <c r="F1094" s="128" t="n"/>
      <c r="G1094" s="128" t="n"/>
      <c r="H1094" s="129" t="n"/>
      <c r="I1094" s="38" t="n"/>
      <c r="J1094" s="98">
        <f>IF(A1094="","",IF(AND(F1094&lt;&gt;"",G1094&lt;&gt;""),MAX(0,G1094-F1094),N(H1094)))</f>
        <v/>
      </c>
      <c r="K1094" s="55">
        <f>IF(A1094="","",ROUND(J1094*MileRate,2))</f>
        <v/>
      </c>
      <c r="L1094" s="51">
        <f>IF(A1094="","",DATE(YEAR(A1094),MONTH(A1094),1))</f>
        <v/>
      </c>
    </row>
    <row r="1095">
      <c r="A1095" s="47" t="n"/>
      <c r="B1095" s="38" t="n"/>
      <c r="C1095" s="38" t="n"/>
      <c r="D1095" s="38" t="n"/>
      <c r="E1095" s="38" t="n"/>
      <c r="F1095" s="128" t="n"/>
      <c r="G1095" s="128" t="n"/>
      <c r="H1095" s="129" t="n"/>
      <c r="I1095" s="38" t="n"/>
      <c r="J1095" s="98">
        <f>IF(A1095="","",IF(AND(F1095&lt;&gt;"",G1095&lt;&gt;""),MAX(0,G1095-F1095),N(H1095)))</f>
        <v/>
      </c>
      <c r="K1095" s="55">
        <f>IF(A1095="","",ROUND(J1095*MileRate,2))</f>
        <v/>
      </c>
      <c r="L1095" s="51">
        <f>IF(A1095="","",DATE(YEAR(A1095),MONTH(A1095),1))</f>
        <v/>
      </c>
    </row>
    <row r="1096">
      <c r="A1096" s="47" t="n"/>
      <c r="B1096" s="38" t="n"/>
      <c r="C1096" s="38" t="n"/>
      <c r="D1096" s="38" t="n"/>
      <c r="E1096" s="38" t="n"/>
      <c r="F1096" s="128" t="n"/>
      <c r="G1096" s="128" t="n"/>
      <c r="H1096" s="129" t="n"/>
      <c r="I1096" s="38" t="n"/>
      <c r="J1096" s="98">
        <f>IF(A1096="","",IF(AND(F1096&lt;&gt;"",G1096&lt;&gt;""),MAX(0,G1096-F1096),N(H1096)))</f>
        <v/>
      </c>
      <c r="K1096" s="55">
        <f>IF(A1096="","",ROUND(J1096*MileRate,2))</f>
        <v/>
      </c>
      <c r="L1096" s="51">
        <f>IF(A1096="","",DATE(YEAR(A1096),MONTH(A1096),1))</f>
        <v/>
      </c>
    </row>
    <row r="1097">
      <c r="A1097" s="47" t="n"/>
      <c r="B1097" s="38" t="n"/>
      <c r="C1097" s="38" t="n"/>
      <c r="D1097" s="38" t="n"/>
      <c r="E1097" s="38" t="n"/>
      <c r="F1097" s="128" t="n"/>
      <c r="G1097" s="128" t="n"/>
      <c r="H1097" s="129" t="n"/>
      <c r="I1097" s="38" t="n"/>
      <c r="J1097" s="98">
        <f>IF(A1097="","",IF(AND(F1097&lt;&gt;"",G1097&lt;&gt;""),MAX(0,G1097-F1097),N(H1097)))</f>
        <v/>
      </c>
      <c r="K1097" s="55">
        <f>IF(A1097="","",ROUND(J1097*MileRate,2))</f>
        <v/>
      </c>
      <c r="L1097" s="51">
        <f>IF(A1097="","",DATE(YEAR(A1097),MONTH(A1097),1))</f>
        <v/>
      </c>
    </row>
    <row r="1098">
      <c r="A1098" s="47" t="n"/>
      <c r="B1098" s="38" t="n"/>
      <c r="C1098" s="38" t="n"/>
      <c r="D1098" s="38" t="n"/>
      <c r="E1098" s="38" t="n"/>
      <c r="F1098" s="128" t="n"/>
      <c r="G1098" s="128" t="n"/>
      <c r="H1098" s="129" t="n"/>
      <c r="I1098" s="38" t="n"/>
      <c r="J1098" s="98">
        <f>IF(A1098="","",IF(AND(F1098&lt;&gt;"",G1098&lt;&gt;""),MAX(0,G1098-F1098),N(H1098)))</f>
        <v/>
      </c>
      <c r="K1098" s="55">
        <f>IF(A1098="","",ROUND(J1098*MileRate,2))</f>
        <v/>
      </c>
      <c r="L1098" s="51">
        <f>IF(A1098="","",DATE(YEAR(A1098),MONTH(A1098),1))</f>
        <v/>
      </c>
    </row>
    <row r="1099">
      <c r="A1099" s="47" t="n"/>
      <c r="B1099" s="38" t="n"/>
      <c r="C1099" s="38" t="n"/>
      <c r="D1099" s="38" t="n"/>
      <c r="E1099" s="38" t="n"/>
      <c r="F1099" s="128" t="n"/>
      <c r="G1099" s="128" t="n"/>
      <c r="H1099" s="129" t="n"/>
      <c r="I1099" s="38" t="n"/>
      <c r="J1099" s="98">
        <f>IF(A1099="","",IF(AND(F1099&lt;&gt;"",G1099&lt;&gt;""),MAX(0,G1099-F1099),N(H1099)))</f>
        <v/>
      </c>
      <c r="K1099" s="55">
        <f>IF(A1099="","",ROUND(J1099*MileRate,2))</f>
        <v/>
      </c>
      <c r="L1099" s="51">
        <f>IF(A1099="","",DATE(YEAR(A1099),MONTH(A1099),1))</f>
        <v/>
      </c>
    </row>
    <row r="1100">
      <c r="A1100" s="47" t="n"/>
      <c r="B1100" s="38" t="n"/>
      <c r="C1100" s="38" t="n"/>
      <c r="D1100" s="38" t="n"/>
      <c r="E1100" s="38" t="n"/>
      <c r="F1100" s="128" t="n"/>
      <c r="G1100" s="128" t="n"/>
      <c r="H1100" s="129" t="n"/>
      <c r="I1100" s="38" t="n"/>
      <c r="J1100" s="98">
        <f>IF(A1100="","",IF(AND(F1100&lt;&gt;"",G1100&lt;&gt;""),MAX(0,G1100-F1100),N(H1100)))</f>
        <v/>
      </c>
      <c r="K1100" s="55">
        <f>IF(A1100="","",ROUND(J1100*MileRate,2))</f>
        <v/>
      </c>
      <c r="L1100" s="51">
        <f>IF(A1100="","",DATE(YEAR(A1100),MONTH(A1100),1))</f>
        <v/>
      </c>
    </row>
    <row r="1101">
      <c r="A1101" s="47" t="n"/>
      <c r="B1101" s="38" t="n"/>
      <c r="C1101" s="38" t="n"/>
      <c r="D1101" s="38" t="n"/>
      <c r="E1101" s="38" t="n"/>
      <c r="F1101" s="128" t="n"/>
      <c r="G1101" s="128" t="n"/>
      <c r="H1101" s="129" t="n"/>
      <c r="I1101" s="38" t="n"/>
      <c r="J1101" s="98">
        <f>IF(A1101="","",IF(AND(F1101&lt;&gt;"",G1101&lt;&gt;""),MAX(0,G1101-F1101),N(H1101)))</f>
        <v/>
      </c>
      <c r="K1101" s="55">
        <f>IF(A1101="","",ROUND(J1101*MileRate,2))</f>
        <v/>
      </c>
      <c r="L1101" s="51">
        <f>IF(A1101="","",DATE(YEAR(A1101),MONTH(A1101),1))</f>
        <v/>
      </c>
    </row>
    <row r="1102">
      <c r="A1102" s="47" t="n"/>
      <c r="B1102" s="38" t="n"/>
      <c r="C1102" s="38" t="n"/>
      <c r="D1102" s="38" t="n"/>
      <c r="E1102" s="38" t="n"/>
      <c r="F1102" s="128" t="n"/>
      <c r="G1102" s="128" t="n"/>
      <c r="H1102" s="129" t="n"/>
      <c r="I1102" s="38" t="n"/>
      <c r="J1102" s="98">
        <f>IF(A1102="","",IF(AND(F1102&lt;&gt;"",G1102&lt;&gt;""),MAX(0,G1102-F1102),N(H1102)))</f>
        <v/>
      </c>
      <c r="K1102" s="55">
        <f>IF(A1102="","",ROUND(J1102*MileRate,2))</f>
        <v/>
      </c>
      <c r="L1102" s="51">
        <f>IF(A1102="","",DATE(YEAR(A1102),MONTH(A1102),1))</f>
        <v/>
      </c>
    </row>
    <row r="1103">
      <c r="A1103" s="47" t="n"/>
      <c r="B1103" s="38" t="n"/>
      <c r="C1103" s="38" t="n"/>
      <c r="D1103" s="38" t="n"/>
      <c r="E1103" s="38" t="n"/>
      <c r="F1103" s="128" t="n"/>
      <c r="G1103" s="128" t="n"/>
      <c r="H1103" s="129" t="n"/>
      <c r="I1103" s="38" t="n"/>
      <c r="J1103" s="98">
        <f>IF(A1103="","",IF(AND(F1103&lt;&gt;"",G1103&lt;&gt;""),MAX(0,G1103-F1103),N(H1103)))</f>
        <v/>
      </c>
      <c r="K1103" s="55">
        <f>IF(A1103="","",ROUND(J1103*MileRate,2))</f>
        <v/>
      </c>
      <c r="L1103" s="51">
        <f>IF(A1103="","",DATE(YEAR(A1103),MONTH(A1103),1))</f>
        <v/>
      </c>
    </row>
    <row r="1104">
      <c r="A1104" s="47" t="n"/>
      <c r="B1104" s="38" t="n"/>
      <c r="C1104" s="38" t="n"/>
      <c r="D1104" s="38" t="n"/>
      <c r="E1104" s="38" t="n"/>
      <c r="F1104" s="128" t="n"/>
      <c r="G1104" s="128" t="n"/>
      <c r="H1104" s="129" t="n"/>
      <c r="I1104" s="38" t="n"/>
      <c r="J1104" s="98">
        <f>IF(A1104="","",IF(AND(F1104&lt;&gt;"",G1104&lt;&gt;""),MAX(0,G1104-F1104),N(H1104)))</f>
        <v/>
      </c>
      <c r="K1104" s="55">
        <f>IF(A1104="","",ROUND(J1104*MileRate,2))</f>
        <v/>
      </c>
      <c r="L1104" s="51">
        <f>IF(A1104="","",DATE(YEAR(A1104),MONTH(A1104),1))</f>
        <v/>
      </c>
    </row>
    <row r="1105">
      <c r="A1105" s="47" t="n"/>
      <c r="B1105" s="38" t="n"/>
      <c r="C1105" s="38" t="n"/>
      <c r="D1105" s="38" t="n"/>
      <c r="E1105" s="38" t="n"/>
      <c r="F1105" s="128" t="n"/>
      <c r="G1105" s="128" t="n"/>
      <c r="H1105" s="129" t="n"/>
      <c r="I1105" s="38" t="n"/>
      <c r="J1105" s="98">
        <f>IF(A1105="","",IF(AND(F1105&lt;&gt;"",G1105&lt;&gt;""),MAX(0,G1105-F1105),N(H1105)))</f>
        <v/>
      </c>
      <c r="K1105" s="55">
        <f>IF(A1105="","",ROUND(J1105*MileRate,2))</f>
        <v/>
      </c>
      <c r="L1105" s="51">
        <f>IF(A1105="","",DATE(YEAR(A1105),MONTH(A1105),1))</f>
        <v/>
      </c>
    </row>
    <row r="1106">
      <c r="A1106" s="47" t="n"/>
      <c r="B1106" s="38" t="n"/>
      <c r="C1106" s="38" t="n"/>
      <c r="D1106" s="38" t="n"/>
      <c r="E1106" s="38" t="n"/>
      <c r="F1106" s="128" t="n"/>
      <c r="G1106" s="128" t="n"/>
      <c r="H1106" s="129" t="n"/>
      <c r="I1106" s="38" t="n"/>
      <c r="J1106" s="98">
        <f>IF(A1106="","",IF(AND(F1106&lt;&gt;"",G1106&lt;&gt;""),MAX(0,G1106-F1106),N(H1106)))</f>
        <v/>
      </c>
      <c r="K1106" s="55">
        <f>IF(A1106="","",ROUND(J1106*MileRate,2))</f>
        <v/>
      </c>
      <c r="L1106" s="51">
        <f>IF(A1106="","",DATE(YEAR(A1106),MONTH(A1106),1))</f>
        <v/>
      </c>
    </row>
    <row r="1107">
      <c r="A1107" s="47" t="n"/>
      <c r="B1107" s="38" t="n"/>
      <c r="C1107" s="38" t="n"/>
      <c r="D1107" s="38" t="n"/>
      <c r="E1107" s="38" t="n"/>
      <c r="F1107" s="128" t="n"/>
      <c r="G1107" s="128" t="n"/>
      <c r="H1107" s="129" t="n"/>
      <c r="I1107" s="38" t="n"/>
      <c r="J1107" s="98">
        <f>IF(A1107="","",IF(AND(F1107&lt;&gt;"",G1107&lt;&gt;""),MAX(0,G1107-F1107),N(H1107)))</f>
        <v/>
      </c>
      <c r="K1107" s="55">
        <f>IF(A1107="","",ROUND(J1107*MileRate,2))</f>
        <v/>
      </c>
      <c r="L1107" s="51">
        <f>IF(A1107="","",DATE(YEAR(A1107),MONTH(A1107),1))</f>
        <v/>
      </c>
    </row>
    <row r="1108">
      <c r="A1108" s="47" t="n"/>
      <c r="B1108" s="38" t="n"/>
      <c r="C1108" s="38" t="n"/>
      <c r="D1108" s="38" t="n"/>
      <c r="E1108" s="38" t="n"/>
      <c r="F1108" s="128" t="n"/>
      <c r="G1108" s="128" t="n"/>
      <c r="H1108" s="129" t="n"/>
      <c r="I1108" s="38" t="n"/>
      <c r="J1108" s="98">
        <f>IF(A1108="","",IF(AND(F1108&lt;&gt;"",G1108&lt;&gt;""),MAX(0,G1108-F1108),N(H1108)))</f>
        <v/>
      </c>
      <c r="K1108" s="55">
        <f>IF(A1108="","",ROUND(J1108*MileRate,2))</f>
        <v/>
      </c>
      <c r="L1108" s="51">
        <f>IF(A1108="","",DATE(YEAR(A1108),MONTH(A1108),1))</f>
        <v/>
      </c>
    </row>
    <row r="1109">
      <c r="A1109" s="47" t="n"/>
      <c r="B1109" s="38" t="n"/>
      <c r="C1109" s="38" t="n"/>
      <c r="D1109" s="38" t="n"/>
      <c r="E1109" s="38" t="n"/>
      <c r="F1109" s="128" t="n"/>
      <c r="G1109" s="128" t="n"/>
      <c r="H1109" s="129" t="n"/>
      <c r="I1109" s="38" t="n"/>
      <c r="J1109" s="98">
        <f>IF(A1109="","",IF(AND(F1109&lt;&gt;"",G1109&lt;&gt;""),MAX(0,G1109-F1109),N(H1109)))</f>
        <v/>
      </c>
      <c r="K1109" s="55">
        <f>IF(A1109="","",ROUND(J1109*MileRate,2))</f>
        <v/>
      </c>
      <c r="L1109" s="51">
        <f>IF(A1109="","",DATE(YEAR(A1109),MONTH(A1109),1))</f>
        <v/>
      </c>
    </row>
    <row r="1110">
      <c r="A1110" s="47" t="n"/>
      <c r="B1110" s="38" t="n"/>
      <c r="C1110" s="38" t="n"/>
      <c r="D1110" s="38" t="n"/>
      <c r="E1110" s="38" t="n"/>
      <c r="F1110" s="128" t="n"/>
      <c r="G1110" s="128" t="n"/>
      <c r="H1110" s="129" t="n"/>
      <c r="I1110" s="38" t="n"/>
      <c r="J1110" s="98">
        <f>IF(A1110="","",IF(AND(F1110&lt;&gt;"",G1110&lt;&gt;""),MAX(0,G1110-F1110),N(H1110)))</f>
        <v/>
      </c>
      <c r="K1110" s="55">
        <f>IF(A1110="","",ROUND(J1110*MileRate,2))</f>
        <v/>
      </c>
      <c r="L1110" s="51">
        <f>IF(A1110="","",DATE(YEAR(A1110),MONTH(A1110),1))</f>
        <v/>
      </c>
    </row>
    <row r="1111">
      <c r="A1111" s="47" t="n"/>
      <c r="B1111" s="38" t="n"/>
      <c r="C1111" s="38" t="n"/>
      <c r="D1111" s="38" t="n"/>
      <c r="E1111" s="38" t="n"/>
      <c r="F1111" s="128" t="n"/>
      <c r="G1111" s="128" t="n"/>
      <c r="H1111" s="129" t="n"/>
      <c r="I1111" s="38" t="n"/>
      <c r="J1111" s="98">
        <f>IF(A1111="","",IF(AND(F1111&lt;&gt;"",G1111&lt;&gt;""),MAX(0,G1111-F1111),N(H1111)))</f>
        <v/>
      </c>
      <c r="K1111" s="55">
        <f>IF(A1111="","",ROUND(J1111*MileRate,2))</f>
        <v/>
      </c>
      <c r="L1111" s="51">
        <f>IF(A1111="","",DATE(YEAR(A1111),MONTH(A1111),1))</f>
        <v/>
      </c>
    </row>
    <row r="1112">
      <c r="A1112" s="47" t="n"/>
      <c r="B1112" s="38" t="n"/>
      <c r="C1112" s="38" t="n"/>
      <c r="D1112" s="38" t="n"/>
      <c r="E1112" s="38" t="n"/>
      <c r="F1112" s="128" t="n"/>
      <c r="G1112" s="128" t="n"/>
      <c r="H1112" s="129" t="n"/>
      <c r="I1112" s="38" t="n"/>
      <c r="J1112" s="98">
        <f>IF(A1112="","",IF(AND(F1112&lt;&gt;"",G1112&lt;&gt;""),MAX(0,G1112-F1112),N(H1112)))</f>
        <v/>
      </c>
      <c r="K1112" s="55">
        <f>IF(A1112="","",ROUND(J1112*MileRate,2))</f>
        <v/>
      </c>
      <c r="L1112" s="51">
        <f>IF(A1112="","",DATE(YEAR(A1112),MONTH(A1112),1))</f>
        <v/>
      </c>
    </row>
    <row r="1113">
      <c r="A1113" s="47" t="n"/>
      <c r="B1113" s="38" t="n"/>
      <c r="C1113" s="38" t="n"/>
      <c r="D1113" s="38" t="n"/>
      <c r="E1113" s="38" t="n"/>
      <c r="F1113" s="128" t="n"/>
      <c r="G1113" s="128" t="n"/>
      <c r="H1113" s="129" t="n"/>
      <c r="I1113" s="38" t="n"/>
      <c r="J1113" s="98">
        <f>IF(A1113="","",IF(AND(F1113&lt;&gt;"",G1113&lt;&gt;""),MAX(0,G1113-F1113),N(H1113)))</f>
        <v/>
      </c>
      <c r="K1113" s="55">
        <f>IF(A1113="","",ROUND(J1113*MileRate,2))</f>
        <v/>
      </c>
      <c r="L1113" s="51">
        <f>IF(A1113="","",DATE(YEAR(A1113),MONTH(A1113),1))</f>
        <v/>
      </c>
    </row>
    <row r="1114">
      <c r="A1114" s="47" t="n"/>
      <c r="B1114" s="38" t="n"/>
      <c r="C1114" s="38" t="n"/>
      <c r="D1114" s="38" t="n"/>
      <c r="E1114" s="38" t="n"/>
      <c r="F1114" s="128" t="n"/>
      <c r="G1114" s="128" t="n"/>
      <c r="H1114" s="129" t="n"/>
      <c r="I1114" s="38" t="n"/>
      <c r="J1114" s="98">
        <f>IF(A1114="","",IF(AND(F1114&lt;&gt;"",G1114&lt;&gt;""),MAX(0,G1114-F1114),N(H1114)))</f>
        <v/>
      </c>
      <c r="K1114" s="55">
        <f>IF(A1114="","",ROUND(J1114*MileRate,2))</f>
        <v/>
      </c>
      <c r="L1114" s="51">
        <f>IF(A1114="","",DATE(YEAR(A1114),MONTH(A1114),1))</f>
        <v/>
      </c>
    </row>
    <row r="1115">
      <c r="A1115" s="47" t="n"/>
      <c r="B1115" s="38" t="n"/>
      <c r="C1115" s="38" t="n"/>
      <c r="D1115" s="38" t="n"/>
      <c r="E1115" s="38" t="n"/>
      <c r="F1115" s="128" t="n"/>
      <c r="G1115" s="128" t="n"/>
      <c r="H1115" s="129" t="n"/>
      <c r="I1115" s="38" t="n"/>
      <c r="J1115" s="98">
        <f>IF(A1115="","",IF(AND(F1115&lt;&gt;"",G1115&lt;&gt;""),MAX(0,G1115-F1115),N(H1115)))</f>
        <v/>
      </c>
      <c r="K1115" s="55">
        <f>IF(A1115="","",ROUND(J1115*MileRate,2))</f>
        <v/>
      </c>
      <c r="L1115" s="51">
        <f>IF(A1115="","",DATE(YEAR(A1115),MONTH(A1115),1))</f>
        <v/>
      </c>
    </row>
    <row r="1116">
      <c r="A1116" s="47" t="n"/>
      <c r="B1116" s="38" t="n"/>
      <c r="C1116" s="38" t="n"/>
      <c r="D1116" s="38" t="n"/>
      <c r="E1116" s="38" t="n"/>
      <c r="F1116" s="128" t="n"/>
      <c r="G1116" s="128" t="n"/>
      <c r="H1116" s="129" t="n"/>
      <c r="I1116" s="38" t="n"/>
      <c r="J1116" s="98">
        <f>IF(A1116="","",IF(AND(F1116&lt;&gt;"",G1116&lt;&gt;""),MAX(0,G1116-F1116),N(H1116)))</f>
        <v/>
      </c>
      <c r="K1116" s="55">
        <f>IF(A1116="","",ROUND(J1116*MileRate,2))</f>
        <v/>
      </c>
      <c r="L1116" s="51">
        <f>IF(A1116="","",DATE(YEAR(A1116),MONTH(A1116),1))</f>
        <v/>
      </c>
    </row>
    <row r="1117">
      <c r="A1117" s="47" t="n"/>
      <c r="B1117" s="38" t="n"/>
      <c r="C1117" s="38" t="n"/>
      <c r="D1117" s="38" t="n"/>
      <c r="E1117" s="38" t="n"/>
      <c r="F1117" s="128" t="n"/>
      <c r="G1117" s="128" t="n"/>
      <c r="H1117" s="129" t="n"/>
      <c r="I1117" s="38" t="n"/>
      <c r="J1117" s="98">
        <f>IF(A1117="","",IF(AND(F1117&lt;&gt;"",G1117&lt;&gt;""),MAX(0,G1117-F1117),N(H1117)))</f>
        <v/>
      </c>
      <c r="K1117" s="55">
        <f>IF(A1117="","",ROUND(J1117*MileRate,2))</f>
        <v/>
      </c>
      <c r="L1117" s="51">
        <f>IF(A1117="","",DATE(YEAR(A1117),MONTH(A1117),1))</f>
        <v/>
      </c>
    </row>
    <row r="1118">
      <c r="A1118" s="47" t="n"/>
      <c r="B1118" s="38" t="n"/>
      <c r="C1118" s="38" t="n"/>
      <c r="D1118" s="38" t="n"/>
      <c r="E1118" s="38" t="n"/>
      <c r="F1118" s="128" t="n"/>
      <c r="G1118" s="128" t="n"/>
      <c r="H1118" s="129" t="n"/>
      <c r="I1118" s="38" t="n"/>
      <c r="J1118" s="98">
        <f>IF(A1118="","",IF(AND(F1118&lt;&gt;"",G1118&lt;&gt;""),MAX(0,G1118-F1118),N(H1118)))</f>
        <v/>
      </c>
      <c r="K1118" s="55">
        <f>IF(A1118="","",ROUND(J1118*MileRate,2))</f>
        <v/>
      </c>
      <c r="L1118" s="51">
        <f>IF(A1118="","",DATE(YEAR(A1118),MONTH(A1118),1))</f>
        <v/>
      </c>
    </row>
    <row r="1119">
      <c r="A1119" s="47" t="n"/>
      <c r="B1119" s="38" t="n"/>
      <c r="C1119" s="38" t="n"/>
      <c r="D1119" s="38" t="n"/>
      <c r="E1119" s="38" t="n"/>
      <c r="F1119" s="128" t="n"/>
      <c r="G1119" s="128" t="n"/>
      <c r="H1119" s="129" t="n"/>
      <c r="I1119" s="38" t="n"/>
      <c r="J1119" s="98">
        <f>IF(A1119="","",IF(AND(F1119&lt;&gt;"",G1119&lt;&gt;""),MAX(0,G1119-F1119),N(H1119)))</f>
        <v/>
      </c>
      <c r="K1119" s="55">
        <f>IF(A1119="","",ROUND(J1119*MileRate,2))</f>
        <v/>
      </c>
      <c r="L1119" s="51">
        <f>IF(A1119="","",DATE(YEAR(A1119),MONTH(A1119),1))</f>
        <v/>
      </c>
    </row>
    <row r="1120">
      <c r="A1120" s="47" t="n"/>
      <c r="B1120" s="38" t="n"/>
      <c r="C1120" s="38" t="n"/>
      <c r="D1120" s="38" t="n"/>
      <c r="E1120" s="38" t="n"/>
      <c r="F1120" s="128" t="n"/>
      <c r="G1120" s="128" t="n"/>
      <c r="H1120" s="129" t="n"/>
      <c r="I1120" s="38" t="n"/>
      <c r="J1120" s="98">
        <f>IF(A1120="","",IF(AND(F1120&lt;&gt;"",G1120&lt;&gt;""),MAX(0,G1120-F1120),N(H1120)))</f>
        <v/>
      </c>
      <c r="K1120" s="55">
        <f>IF(A1120="","",ROUND(J1120*MileRate,2))</f>
        <v/>
      </c>
      <c r="L1120" s="51">
        <f>IF(A1120="","",DATE(YEAR(A1120),MONTH(A1120),1))</f>
        <v/>
      </c>
    </row>
    <row r="1121">
      <c r="A1121" s="47" t="n"/>
      <c r="B1121" s="38" t="n"/>
      <c r="C1121" s="38" t="n"/>
      <c r="D1121" s="38" t="n"/>
      <c r="E1121" s="38" t="n"/>
      <c r="F1121" s="128" t="n"/>
      <c r="G1121" s="128" t="n"/>
      <c r="H1121" s="129" t="n"/>
      <c r="I1121" s="38" t="n"/>
      <c r="J1121" s="98">
        <f>IF(A1121="","",IF(AND(F1121&lt;&gt;"",G1121&lt;&gt;""),MAX(0,G1121-F1121),N(H1121)))</f>
        <v/>
      </c>
      <c r="K1121" s="55">
        <f>IF(A1121="","",ROUND(J1121*MileRate,2))</f>
        <v/>
      </c>
      <c r="L1121" s="51">
        <f>IF(A1121="","",DATE(YEAR(A1121),MONTH(A1121),1))</f>
        <v/>
      </c>
    </row>
    <row r="1122">
      <c r="A1122" s="47" t="n"/>
      <c r="B1122" s="38" t="n"/>
      <c r="C1122" s="38" t="n"/>
      <c r="D1122" s="38" t="n"/>
      <c r="E1122" s="38" t="n"/>
      <c r="F1122" s="128" t="n"/>
      <c r="G1122" s="128" t="n"/>
      <c r="H1122" s="129" t="n"/>
      <c r="I1122" s="38" t="n"/>
      <c r="J1122" s="98">
        <f>IF(A1122="","",IF(AND(F1122&lt;&gt;"",G1122&lt;&gt;""),MAX(0,G1122-F1122),N(H1122)))</f>
        <v/>
      </c>
      <c r="K1122" s="55">
        <f>IF(A1122="","",ROUND(J1122*MileRate,2))</f>
        <v/>
      </c>
      <c r="L1122" s="51">
        <f>IF(A1122="","",DATE(YEAR(A1122),MONTH(A1122),1))</f>
        <v/>
      </c>
    </row>
    <row r="1123">
      <c r="A1123" s="47" t="n"/>
      <c r="B1123" s="38" t="n"/>
      <c r="C1123" s="38" t="n"/>
      <c r="D1123" s="38" t="n"/>
      <c r="E1123" s="38" t="n"/>
      <c r="F1123" s="128" t="n"/>
      <c r="G1123" s="128" t="n"/>
      <c r="H1123" s="129" t="n"/>
      <c r="I1123" s="38" t="n"/>
      <c r="J1123" s="98">
        <f>IF(A1123="","",IF(AND(F1123&lt;&gt;"",G1123&lt;&gt;""),MAX(0,G1123-F1123),N(H1123)))</f>
        <v/>
      </c>
      <c r="K1123" s="55">
        <f>IF(A1123="","",ROUND(J1123*MileRate,2))</f>
        <v/>
      </c>
      <c r="L1123" s="51">
        <f>IF(A1123="","",DATE(YEAR(A1123),MONTH(A1123),1))</f>
        <v/>
      </c>
    </row>
    <row r="1124">
      <c r="A1124" s="47" t="n"/>
      <c r="B1124" s="38" t="n"/>
      <c r="C1124" s="38" t="n"/>
      <c r="D1124" s="38" t="n"/>
      <c r="E1124" s="38" t="n"/>
      <c r="F1124" s="128" t="n"/>
      <c r="G1124" s="128" t="n"/>
      <c r="H1124" s="129" t="n"/>
      <c r="I1124" s="38" t="n"/>
      <c r="J1124" s="98">
        <f>IF(A1124="","",IF(AND(F1124&lt;&gt;"",G1124&lt;&gt;""),MAX(0,G1124-F1124),N(H1124)))</f>
        <v/>
      </c>
      <c r="K1124" s="55">
        <f>IF(A1124="","",ROUND(J1124*MileRate,2))</f>
        <v/>
      </c>
      <c r="L1124" s="51">
        <f>IF(A1124="","",DATE(YEAR(A1124),MONTH(A1124),1))</f>
        <v/>
      </c>
    </row>
    <row r="1125">
      <c r="A1125" s="47" t="n"/>
      <c r="B1125" s="38" t="n"/>
      <c r="C1125" s="38" t="n"/>
      <c r="D1125" s="38" t="n"/>
      <c r="E1125" s="38" t="n"/>
      <c r="F1125" s="128" t="n"/>
      <c r="G1125" s="128" t="n"/>
      <c r="H1125" s="129" t="n"/>
      <c r="I1125" s="38" t="n"/>
      <c r="J1125" s="98">
        <f>IF(A1125="","",IF(AND(F1125&lt;&gt;"",G1125&lt;&gt;""),MAX(0,G1125-F1125),N(H1125)))</f>
        <v/>
      </c>
      <c r="K1125" s="55">
        <f>IF(A1125="","",ROUND(J1125*MileRate,2))</f>
        <v/>
      </c>
      <c r="L1125" s="51">
        <f>IF(A1125="","",DATE(YEAR(A1125),MONTH(A1125),1))</f>
        <v/>
      </c>
    </row>
    <row r="1126">
      <c r="A1126" s="47" t="n"/>
      <c r="B1126" s="38" t="n"/>
      <c r="C1126" s="38" t="n"/>
      <c r="D1126" s="38" t="n"/>
      <c r="E1126" s="38" t="n"/>
      <c r="F1126" s="128" t="n"/>
      <c r="G1126" s="128" t="n"/>
      <c r="H1126" s="129" t="n"/>
      <c r="I1126" s="38" t="n"/>
      <c r="J1126" s="98">
        <f>IF(A1126="","",IF(AND(F1126&lt;&gt;"",G1126&lt;&gt;""),MAX(0,G1126-F1126),N(H1126)))</f>
        <v/>
      </c>
      <c r="K1126" s="55">
        <f>IF(A1126="","",ROUND(J1126*MileRate,2))</f>
        <v/>
      </c>
      <c r="L1126" s="51">
        <f>IF(A1126="","",DATE(YEAR(A1126),MONTH(A1126),1))</f>
        <v/>
      </c>
    </row>
    <row r="1127">
      <c r="A1127" s="47" t="n"/>
      <c r="B1127" s="38" t="n"/>
      <c r="C1127" s="38" t="n"/>
      <c r="D1127" s="38" t="n"/>
      <c r="E1127" s="38" t="n"/>
      <c r="F1127" s="128" t="n"/>
      <c r="G1127" s="128" t="n"/>
      <c r="H1127" s="129" t="n"/>
      <c r="I1127" s="38" t="n"/>
      <c r="J1127" s="98">
        <f>IF(A1127="","",IF(AND(F1127&lt;&gt;"",G1127&lt;&gt;""),MAX(0,G1127-F1127),N(H1127)))</f>
        <v/>
      </c>
      <c r="K1127" s="55">
        <f>IF(A1127="","",ROUND(J1127*MileRate,2))</f>
        <v/>
      </c>
      <c r="L1127" s="51">
        <f>IF(A1127="","",DATE(YEAR(A1127),MONTH(A1127),1))</f>
        <v/>
      </c>
    </row>
    <row r="1128">
      <c r="A1128" s="47" t="n"/>
      <c r="B1128" s="38" t="n"/>
      <c r="C1128" s="38" t="n"/>
      <c r="D1128" s="38" t="n"/>
      <c r="E1128" s="38" t="n"/>
      <c r="F1128" s="128" t="n"/>
      <c r="G1128" s="128" t="n"/>
      <c r="H1128" s="129" t="n"/>
      <c r="I1128" s="38" t="n"/>
      <c r="J1128" s="98">
        <f>IF(A1128="","",IF(AND(F1128&lt;&gt;"",G1128&lt;&gt;""),MAX(0,G1128-F1128),N(H1128)))</f>
        <v/>
      </c>
      <c r="K1128" s="55">
        <f>IF(A1128="","",ROUND(J1128*MileRate,2))</f>
        <v/>
      </c>
      <c r="L1128" s="51">
        <f>IF(A1128="","",DATE(YEAR(A1128),MONTH(A1128),1))</f>
        <v/>
      </c>
    </row>
    <row r="1129">
      <c r="A1129" s="47" t="n"/>
      <c r="B1129" s="38" t="n"/>
      <c r="C1129" s="38" t="n"/>
      <c r="D1129" s="38" t="n"/>
      <c r="E1129" s="38" t="n"/>
      <c r="F1129" s="128" t="n"/>
      <c r="G1129" s="128" t="n"/>
      <c r="H1129" s="129" t="n"/>
      <c r="I1129" s="38" t="n"/>
      <c r="J1129" s="98">
        <f>IF(A1129="","",IF(AND(F1129&lt;&gt;"",G1129&lt;&gt;""),MAX(0,G1129-F1129),N(H1129)))</f>
        <v/>
      </c>
      <c r="K1129" s="55">
        <f>IF(A1129="","",ROUND(J1129*MileRate,2))</f>
        <v/>
      </c>
      <c r="L1129" s="51">
        <f>IF(A1129="","",DATE(YEAR(A1129),MONTH(A1129),1))</f>
        <v/>
      </c>
    </row>
    <row r="1130">
      <c r="A1130" s="47" t="n"/>
      <c r="B1130" s="38" t="n"/>
      <c r="C1130" s="38" t="n"/>
      <c r="D1130" s="38" t="n"/>
      <c r="E1130" s="38" t="n"/>
      <c r="F1130" s="128" t="n"/>
      <c r="G1130" s="128" t="n"/>
      <c r="H1130" s="129" t="n"/>
      <c r="I1130" s="38" t="n"/>
      <c r="J1130" s="98">
        <f>IF(A1130="","",IF(AND(F1130&lt;&gt;"",G1130&lt;&gt;""),MAX(0,G1130-F1130),N(H1130)))</f>
        <v/>
      </c>
      <c r="K1130" s="55">
        <f>IF(A1130="","",ROUND(J1130*MileRate,2))</f>
        <v/>
      </c>
      <c r="L1130" s="51">
        <f>IF(A1130="","",DATE(YEAR(A1130),MONTH(A1130),1))</f>
        <v/>
      </c>
    </row>
    <row r="1131">
      <c r="A1131" s="47" t="n"/>
      <c r="B1131" s="38" t="n"/>
      <c r="C1131" s="38" t="n"/>
      <c r="D1131" s="38" t="n"/>
      <c r="E1131" s="38" t="n"/>
      <c r="F1131" s="128" t="n"/>
      <c r="G1131" s="128" t="n"/>
      <c r="H1131" s="129" t="n"/>
      <c r="I1131" s="38" t="n"/>
      <c r="J1131" s="98">
        <f>IF(A1131="","",IF(AND(F1131&lt;&gt;"",G1131&lt;&gt;""),MAX(0,G1131-F1131),N(H1131)))</f>
        <v/>
      </c>
      <c r="K1131" s="55">
        <f>IF(A1131="","",ROUND(J1131*MileRate,2))</f>
        <v/>
      </c>
      <c r="L1131" s="51">
        <f>IF(A1131="","",DATE(YEAR(A1131),MONTH(A1131),1))</f>
        <v/>
      </c>
    </row>
    <row r="1132">
      <c r="A1132" s="47" t="n"/>
      <c r="B1132" s="38" t="n"/>
      <c r="C1132" s="38" t="n"/>
      <c r="D1132" s="38" t="n"/>
      <c r="E1132" s="38" t="n"/>
      <c r="F1132" s="128" t="n"/>
      <c r="G1132" s="128" t="n"/>
      <c r="H1132" s="129" t="n"/>
      <c r="I1132" s="38" t="n"/>
      <c r="J1132" s="98">
        <f>IF(A1132="","",IF(AND(F1132&lt;&gt;"",G1132&lt;&gt;""),MAX(0,G1132-F1132),N(H1132)))</f>
        <v/>
      </c>
      <c r="K1132" s="55">
        <f>IF(A1132="","",ROUND(J1132*MileRate,2))</f>
        <v/>
      </c>
      <c r="L1132" s="51">
        <f>IF(A1132="","",DATE(YEAR(A1132),MONTH(A1132),1))</f>
        <v/>
      </c>
    </row>
    <row r="1133">
      <c r="A1133" s="47" t="n"/>
      <c r="B1133" s="38" t="n"/>
      <c r="C1133" s="38" t="n"/>
      <c r="D1133" s="38" t="n"/>
      <c r="E1133" s="38" t="n"/>
      <c r="F1133" s="128" t="n"/>
      <c r="G1133" s="128" t="n"/>
      <c r="H1133" s="129" t="n"/>
      <c r="I1133" s="38" t="n"/>
      <c r="J1133" s="98">
        <f>IF(A1133="","",IF(AND(F1133&lt;&gt;"",G1133&lt;&gt;""),MAX(0,G1133-F1133),N(H1133)))</f>
        <v/>
      </c>
      <c r="K1133" s="55">
        <f>IF(A1133="","",ROUND(J1133*MileRate,2))</f>
        <v/>
      </c>
      <c r="L1133" s="51">
        <f>IF(A1133="","",DATE(YEAR(A1133),MONTH(A1133),1))</f>
        <v/>
      </c>
    </row>
    <row r="1134">
      <c r="A1134" s="47" t="n"/>
      <c r="B1134" s="38" t="n"/>
      <c r="C1134" s="38" t="n"/>
      <c r="D1134" s="38" t="n"/>
      <c r="E1134" s="38" t="n"/>
      <c r="F1134" s="128" t="n"/>
      <c r="G1134" s="128" t="n"/>
      <c r="H1134" s="129" t="n"/>
      <c r="I1134" s="38" t="n"/>
      <c r="J1134" s="98">
        <f>IF(A1134="","",IF(AND(F1134&lt;&gt;"",G1134&lt;&gt;""),MAX(0,G1134-F1134),N(H1134)))</f>
        <v/>
      </c>
      <c r="K1134" s="55">
        <f>IF(A1134="","",ROUND(J1134*MileRate,2))</f>
        <v/>
      </c>
      <c r="L1134" s="51">
        <f>IF(A1134="","",DATE(YEAR(A1134),MONTH(A1134),1))</f>
        <v/>
      </c>
    </row>
    <row r="1135">
      <c r="A1135" s="47" t="n"/>
      <c r="B1135" s="38" t="n"/>
      <c r="C1135" s="38" t="n"/>
      <c r="D1135" s="38" t="n"/>
      <c r="E1135" s="38" t="n"/>
      <c r="F1135" s="128" t="n"/>
      <c r="G1135" s="128" t="n"/>
      <c r="H1135" s="129" t="n"/>
      <c r="I1135" s="38" t="n"/>
      <c r="J1135" s="98">
        <f>IF(A1135="","",IF(AND(F1135&lt;&gt;"",G1135&lt;&gt;""),MAX(0,G1135-F1135),N(H1135)))</f>
        <v/>
      </c>
      <c r="K1135" s="55">
        <f>IF(A1135="","",ROUND(J1135*MileRate,2))</f>
        <v/>
      </c>
      <c r="L1135" s="51">
        <f>IF(A1135="","",DATE(YEAR(A1135),MONTH(A1135),1))</f>
        <v/>
      </c>
    </row>
    <row r="1136">
      <c r="A1136" s="47" t="n"/>
      <c r="B1136" s="38" t="n"/>
      <c r="C1136" s="38" t="n"/>
      <c r="D1136" s="38" t="n"/>
      <c r="E1136" s="38" t="n"/>
      <c r="F1136" s="128" t="n"/>
      <c r="G1136" s="128" t="n"/>
      <c r="H1136" s="129" t="n"/>
      <c r="I1136" s="38" t="n"/>
      <c r="J1136" s="98">
        <f>IF(A1136="","",IF(AND(F1136&lt;&gt;"",G1136&lt;&gt;""),MAX(0,G1136-F1136),N(H1136)))</f>
        <v/>
      </c>
      <c r="K1136" s="55">
        <f>IF(A1136="","",ROUND(J1136*MileRate,2))</f>
        <v/>
      </c>
      <c r="L1136" s="51">
        <f>IF(A1136="","",DATE(YEAR(A1136),MONTH(A1136),1))</f>
        <v/>
      </c>
    </row>
    <row r="1137">
      <c r="A1137" s="47" t="n"/>
      <c r="B1137" s="38" t="n"/>
      <c r="C1137" s="38" t="n"/>
      <c r="D1137" s="38" t="n"/>
      <c r="E1137" s="38" t="n"/>
      <c r="F1137" s="128" t="n"/>
      <c r="G1137" s="128" t="n"/>
      <c r="H1137" s="129" t="n"/>
      <c r="I1137" s="38" t="n"/>
      <c r="J1137" s="98">
        <f>IF(A1137="","",IF(AND(F1137&lt;&gt;"",G1137&lt;&gt;""),MAX(0,G1137-F1137),N(H1137)))</f>
        <v/>
      </c>
      <c r="K1137" s="55">
        <f>IF(A1137="","",ROUND(J1137*MileRate,2))</f>
        <v/>
      </c>
      <c r="L1137" s="51">
        <f>IF(A1137="","",DATE(YEAR(A1137),MONTH(A1137),1))</f>
        <v/>
      </c>
    </row>
    <row r="1138">
      <c r="A1138" s="47" t="n"/>
      <c r="B1138" s="38" t="n"/>
      <c r="C1138" s="38" t="n"/>
      <c r="D1138" s="38" t="n"/>
      <c r="E1138" s="38" t="n"/>
      <c r="F1138" s="128" t="n"/>
      <c r="G1138" s="128" t="n"/>
      <c r="H1138" s="129" t="n"/>
      <c r="I1138" s="38" t="n"/>
      <c r="J1138" s="98">
        <f>IF(A1138="","",IF(AND(F1138&lt;&gt;"",G1138&lt;&gt;""),MAX(0,G1138-F1138),N(H1138)))</f>
        <v/>
      </c>
      <c r="K1138" s="55">
        <f>IF(A1138="","",ROUND(J1138*MileRate,2))</f>
        <v/>
      </c>
      <c r="L1138" s="51">
        <f>IF(A1138="","",DATE(YEAR(A1138),MONTH(A1138),1))</f>
        <v/>
      </c>
    </row>
    <row r="1139">
      <c r="A1139" s="47" t="n"/>
      <c r="B1139" s="38" t="n"/>
      <c r="C1139" s="38" t="n"/>
      <c r="D1139" s="38" t="n"/>
      <c r="E1139" s="38" t="n"/>
      <c r="F1139" s="128" t="n"/>
      <c r="G1139" s="128" t="n"/>
      <c r="H1139" s="129" t="n"/>
      <c r="I1139" s="38" t="n"/>
      <c r="J1139" s="98">
        <f>IF(A1139="","",IF(AND(F1139&lt;&gt;"",G1139&lt;&gt;""),MAX(0,G1139-F1139),N(H1139)))</f>
        <v/>
      </c>
      <c r="K1139" s="55">
        <f>IF(A1139="","",ROUND(J1139*MileRate,2))</f>
        <v/>
      </c>
      <c r="L1139" s="51">
        <f>IF(A1139="","",DATE(YEAR(A1139),MONTH(A1139),1))</f>
        <v/>
      </c>
    </row>
    <row r="1140">
      <c r="A1140" s="47" t="n"/>
      <c r="B1140" s="38" t="n"/>
      <c r="C1140" s="38" t="n"/>
      <c r="D1140" s="38" t="n"/>
      <c r="E1140" s="38" t="n"/>
      <c r="F1140" s="128" t="n"/>
      <c r="G1140" s="128" t="n"/>
      <c r="H1140" s="129" t="n"/>
      <c r="I1140" s="38" t="n"/>
      <c r="J1140" s="98">
        <f>IF(A1140="","",IF(AND(F1140&lt;&gt;"",G1140&lt;&gt;""),MAX(0,G1140-F1140),N(H1140)))</f>
        <v/>
      </c>
      <c r="K1140" s="55">
        <f>IF(A1140="","",ROUND(J1140*MileRate,2))</f>
        <v/>
      </c>
      <c r="L1140" s="51">
        <f>IF(A1140="","",DATE(YEAR(A1140),MONTH(A1140),1))</f>
        <v/>
      </c>
    </row>
    <row r="1141">
      <c r="A1141" s="47" t="n"/>
      <c r="B1141" s="38" t="n"/>
      <c r="C1141" s="38" t="n"/>
      <c r="D1141" s="38" t="n"/>
      <c r="E1141" s="38" t="n"/>
      <c r="F1141" s="128" t="n"/>
      <c r="G1141" s="128" t="n"/>
      <c r="H1141" s="129" t="n"/>
      <c r="I1141" s="38" t="n"/>
      <c r="J1141" s="98">
        <f>IF(A1141="","",IF(AND(F1141&lt;&gt;"",G1141&lt;&gt;""),MAX(0,G1141-F1141),N(H1141)))</f>
        <v/>
      </c>
      <c r="K1141" s="55">
        <f>IF(A1141="","",ROUND(J1141*MileRate,2))</f>
        <v/>
      </c>
      <c r="L1141" s="51">
        <f>IF(A1141="","",DATE(YEAR(A1141),MONTH(A1141),1))</f>
        <v/>
      </c>
    </row>
    <row r="1142">
      <c r="A1142" s="47" t="n"/>
      <c r="B1142" s="38" t="n"/>
      <c r="C1142" s="38" t="n"/>
      <c r="D1142" s="38" t="n"/>
      <c r="E1142" s="38" t="n"/>
      <c r="F1142" s="128" t="n"/>
      <c r="G1142" s="128" t="n"/>
      <c r="H1142" s="129" t="n"/>
      <c r="I1142" s="38" t="n"/>
      <c r="J1142" s="98">
        <f>IF(A1142="","",IF(AND(F1142&lt;&gt;"",G1142&lt;&gt;""),MAX(0,G1142-F1142),N(H1142)))</f>
        <v/>
      </c>
      <c r="K1142" s="55">
        <f>IF(A1142="","",ROUND(J1142*MileRate,2))</f>
        <v/>
      </c>
      <c r="L1142" s="51">
        <f>IF(A1142="","",DATE(YEAR(A1142),MONTH(A1142),1))</f>
        <v/>
      </c>
    </row>
    <row r="1143">
      <c r="A1143" s="47" t="n"/>
      <c r="B1143" s="38" t="n"/>
      <c r="C1143" s="38" t="n"/>
      <c r="D1143" s="38" t="n"/>
      <c r="E1143" s="38" t="n"/>
      <c r="F1143" s="128" t="n"/>
      <c r="G1143" s="128" t="n"/>
      <c r="H1143" s="129" t="n"/>
      <c r="I1143" s="38" t="n"/>
      <c r="J1143" s="98">
        <f>IF(A1143="","",IF(AND(F1143&lt;&gt;"",G1143&lt;&gt;""),MAX(0,G1143-F1143),N(H1143)))</f>
        <v/>
      </c>
      <c r="K1143" s="55">
        <f>IF(A1143="","",ROUND(J1143*MileRate,2))</f>
        <v/>
      </c>
      <c r="L1143" s="51">
        <f>IF(A1143="","",DATE(YEAR(A1143),MONTH(A1143),1))</f>
        <v/>
      </c>
    </row>
    <row r="1144">
      <c r="A1144" s="47" t="n"/>
      <c r="B1144" s="38" t="n"/>
      <c r="C1144" s="38" t="n"/>
      <c r="D1144" s="38" t="n"/>
      <c r="E1144" s="38" t="n"/>
      <c r="F1144" s="128" t="n"/>
      <c r="G1144" s="128" t="n"/>
      <c r="H1144" s="129" t="n"/>
      <c r="I1144" s="38" t="n"/>
      <c r="J1144" s="98">
        <f>IF(A1144="","",IF(AND(F1144&lt;&gt;"",G1144&lt;&gt;""),MAX(0,G1144-F1144),N(H1144)))</f>
        <v/>
      </c>
      <c r="K1144" s="55">
        <f>IF(A1144="","",ROUND(J1144*MileRate,2))</f>
        <v/>
      </c>
      <c r="L1144" s="51">
        <f>IF(A1144="","",DATE(YEAR(A1144),MONTH(A1144),1))</f>
        <v/>
      </c>
    </row>
    <row r="1145">
      <c r="A1145" s="47" t="n"/>
      <c r="B1145" s="38" t="n"/>
      <c r="C1145" s="38" t="n"/>
      <c r="D1145" s="38" t="n"/>
      <c r="E1145" s="38" t="n"/>
      <c r="F1145" s="128" t="n"/>
      <c r="G1145" s="128" t="n"/>
      <c r="H1145" s="129" t="n"/>
      <c r="I1145" s="38" t="n"/>
      <c r="J1145" s="98">
        <f>IF(A1145="","",IF(AND(F1145&lt;&gt;"",G1145&lt;&gt;""),MAX(0,G1145-F1145),N(H1145)))</f>
        <v/>
      </c>
      <c r="K1145" s="55">
        <f>IF(A1145="","",ROUND(J1145*MileRate,2))</f>
        <v/>
      </c>
      <c r="L1145" s="51">
        <f>IF(A1145="","",DATE(YEAR(A1145),MONTH(A1145),1))</f>
        <v/>
      </c>
    </row>
    <row r="1146">
      <c r="A1146" s="47" t="n"/>
      <c r="B1146" s="38" t="n"/>
      <c r="C1146" s="38" t="n"/>
      <c r="D1146" s="38" t="n"/>
      <c r="E1146" s="38" t="n"/>
      <c r="F1146" s="128" t="n"/>
      <c r="G1146" s="128" t="n"/>
      <c r="H1146" s="129" t="n"/>
      <c r="I1146" s="38" t="n"/>
      <c r="J1146" s="98">
        <f>IF(A1146="","",IF(AND(F1146&lt;&gt;"",G1146&lt;&gt;""),MAX(0,G1146-F1146),N(H1146)))</f>
        <v/>
      </c>
      <c r="K1146" s="55">
        <f>IF(A1146="","",ROUND(J1146*MileRate,2))</f>
        <v/>
      </c>
      <c r="L1146" s="51">
        <f>IF(A1146="","",DATE(YEAR(A1146),MONTH(A1146),1))</f>
        <v/>
      </c>
    </row>
    <row r="1147">
      <c r="A1147" s="47" t="n"/>
      <c r="B1147" s="38" t="n"/>
      <c r="C1147" s="38" t="n"/>
      <c r="D1147" s="38" t="n"/>
      <c r="E1147" s="38" t="n"/>
      <c r="F1147" s="128" t="n"/>
      <c r="G1147" s="128" t="n"/>
      <c r="H1147" s="129" t="n"/>
      <c r="I1147" s="38" t="n"/>
      <c r="J1147" s="98">
        <f>IF(A1147="","",IF(AND(F1147&lt;&gt;"",G1147&lt;&gt;""),MAX(0,G1147-F1147),N(H1147)))</f>
        <v/>
      </c>
      <c r="K1147" s="55">
        <f>IF(A1147="","",ROUND(J1147*MileRate,2))</f>
        <v/>
      </c>
      <c r="L1147" s="51">
        <f>IF(A1147="","",DATE(YEAR(A1147),MONTH(A1147),1))</f>
        <v/>
      </c>
    </row>
    <row r="1148">
      <c r="A1148" s="47" t="n"/>
      <c r="B1148" s="38" t="n"/>
      <c r="C1148" s="38" t="n"/>
      <c r="D1148" s="38" t="n"/>
      <c r="E1148" s="38" t="n"/>
      <c r="F1148" s="128" t="n"/>
      <c r="G1148" s="128" t="n"/>
      <c r="H1148" s="129" t="n"/>
      <c r="I1148" s="38" t="n"/>
      <c r="J1148" s="98">
        <f>IF(A1148="","",IF(AND(F1148&lt;&gt;"",G1148&lt;&gt;""),MAX(0,G1148-F1148),N(H1148)))</f>
        <v/>
      </c>
      <c r="K1148" s="55">
        <f>IF(A1148="","",ROUND(J1148*MileRate,2))</f>
        <v/>
      </c>
      <c r="L1148" s="51">
        <f>IF(A1148="","",DATE(YEAR(A1148),MONTH(A1148),1))</f>
        <v/>
      </c>
    </row>
    <row r="1149">
      <c r="A1149" s="47" t="n"/>
      <c r="B1149" s="38" t="n"/>
      <c r="C1149" s="38" t="n"/>
      <c r="D1149" s="38" t="n"/>
      <c r="E1149" s="38" t="n"/>
      <c r="F1149" s="128" t="n"/>
      <c r="G1149" s="128" t="n"/>
      <c r="H1149" s="129" t="n"/>
      <c r="I1149" s="38" t="n"/>
      <c r="J1149" s="98">
        <f>IF(A1149="","",IF(AND(F1149&lt;&gt;"",G1149&lt;&gt;""),MAX(0,G1149-F1149),N(H1149)))</f>
        <v/>
      </c>
      <c r="K1149" s="55">
        <f>IF(A1149="","",ROUND(J1149*MileRate,2))</f>
        <v/>
      </c>
      <c r="L1149" s="51">
        <f>IF(A1149="","",DATE(YEAR(A1149),MONTH(A1149),1))</f>
        <v/>
      </c>
    </row>
    <row r="1150">
      <c r="A1150" s="47" t="n"/>
      <c r="B1150" s="38" t="n"/>
      <c r="C1150" s="38" t="n"/>
      <c r="D1150" s="38" t="n"/>
      <c r="E1150" s="38" t="n"/>
      <c r="F1150" s="128" t="n"/>
      <c r="G1150" s="128" t="n"/>
      <c r="H1150" s="129" t="n"/>
      <c r="I1150" s="38" t="n"/>
      <c r="J1150" s="98">
        <f>IF(A1150="","",IF(AND(F1150&lt;&gt;"",G1150&lt;&gt;""),MAX(0,G1150-F1150),N(H1150)))</f>
        <v/>
      </c>
      <c r="K1150" s="55">
        <f>IF(A1150="","",ROUND(J1150*MileRate,2))</f>
        <v/>
      </c>
      <c r="L1150" s="51">
        <f>IF(A1150="","",DATE(YEAR(A1150),MONTH(A1150),1))</f>
        <v/>
      </c>
    </row>
    <row r="1151">
      <c r="A1151" s="47" t="n"/>
      <c r="B1151" s="38" t="n"/>
      <c r="C1151" s="38" t="n"/>
      <c r="D1151" s="38" t="n"/>
      <c r="E1151" s="38" t="n"/>
      <c r="F1151" s="128" t="n"/>
      <c r="G1151" s="128" t="n"/>
      <c r="H1151" s="129" t="n"/>
      <c r="I1151" s="38" t="n"/>
      <c r="J1151" s="98">
        <f>IF(A1151="","",IF(AND(F1151&lt;&gt;"",G1151&lt;&gt;""),MAX(0,G1151-F1151),N(H1151)))</f>
        <v/>
      </c>
      <c r="K1151" s="55">
        <f>IF(A1151="","",ROUND(J1151*MileRate,2))</f>
        <v/>
      </c>
      <c r="L1151" s="51">
        <f>IF(A1151="","",DATE(YEAR(A1151),MONTH(A1151),1))</f>
        <v/>
      </c>
    </row>
    <row r="1152">
      <c r="A1152" s="47" t="n"/>
      <c r="B1152" s="38" t="n"/>
      <c r="C1152" s="38" t="n"/>
      <c r="D1152" s="38" t="n"/>
      <c r="E1152" s="38" t="n"/>
      <c r="F1152" s="128" t="n"/>
      <c r="G1152" s="128" t="n"/>
      <c r="H1152" s="129" t="n"/>
      <c r="I1152" s="38" t="n"/>
      <c r="J1152" s="98">
        <f>IF(A1152="","",IF(AND(F1152&lt;&gt;"",G1152&lt;&gt;""),MAX(0,G1152-F1152),N(H1152)))</f>
        <v/>
      </c>
      <c r="K1152" s="55">
        <f>IF(A1152="","",ROUND(J1152*MileRate,2))</f>
        <v/>
      </c>
      <c r="L1152" s="51">
        <f>IF(A1152="","",DATE(YEAR(A1152),MONTH(A1152),1))</f>
        <v/>
      </c>
    </row>
    <row r="1153">
      <c r="A1153" s="47" t="n"/>
      <c r="B1153" s="38" t="n"/>
      <c r="C1153" s="38" t="n"/>
      <c r="D1153" s="38" t="n"/>
      <c r="E1153" s="38" t="n"/>
      <c r="F1153" s="128" t="n"/>
      <c r="G1153" s="128" t="n"/>
      <c r="H1153" s="129" t="n"/>
      <c r="I1153" s="38" t="n"/>
      <c r="J1153" s="98">
        <f>IF(A1153="","",IF(AND(F1153&lt;&gt;"",G1153&lt;&gt;""),MAX(0,G1153-F1153),N(H1153)))</f>
        <v/>
      </c>
      <c r="K1153" s="55">
        <f>IF(A1153="","",ROUND(J1153*MileRate,2))</f>
        <v/>
      </c>
      <c r="L1153" s="51">
        <f>IF(A1153="","",DATE(YEAR(A1153),MONTH(A1153),1))</f>
        <v/>
      </c>
    </row>
    <row r="1154">
      <c r="A1154" s="47" t="n"/>
      <c r="B1154" s="38" t="n"/>
      <c r="C1154" s="38" t="n"/>
      <c r="D1154" s="38" t="n"/>
      <c r="E1154" s="38" t="n"/>
      <c r="F1154" s="128" t="n"/>
      <c r="G1154" s="128" t="n"/>
      <c r="H1154" s="129" t="n"/>
      <c r="I1154" s="38" t="n"/>
      <c r="J1154" s="98">
        <f>IF(A1154="","",IF(AND(F1154&lt;&gt;"",G1154&lt;&gt;""),MAX(0,G1154-F1154),N(H1154)))</f>
        <v/>
      </c>
      <c r="K1154" s="55">
        <f>IF(A1154="","",ROUND(J1154*MileRate,2))</f>
        <v/>
      </c>
      <c r="L1154" s="51">
        <f>IF(A1154="","",DATE(YEAR(A1154),MONTH(A1154),1))</f>
        <v/>
      </c>
    </row>
    <row r="1155">
      <c r="A1155" s="47" t="n"/>
      <c r="B1155" s="38" t="n"/>
      <c r="C1155" s="38" t="n"/>
      <c r="D1155" s="38" t="n"/>
      <c r="E1155" s="38" t="n"/>
      <c r="F1155" s="128" t="n"/>
      <c r="G1155" s="128" t="n"/>
      <c r="H1155" s="129" t="n"/>
      <c r="I1155" s="38" t="n"/>
      <c r="J1155" s="98">
        <f>IF(A1155="","",IF(AND(F1155&lt;&gt;"",G1155&lt;&gt;""),MAX(0,G1155-F1155),N(H1155)))</f>
        <v/>
      </c>
      <c r="K1155" s="55">
        <f>IF(A1155="","",ROUND(J1155*MileRate,2))</f>
        <v/>
      </c>
      <c r="L1155" s="51">
        <f>IF(A1155="","",DATE(YEAR(A1155),MONTH(A1155),1))</f>
        <v/>
      </c>
    </row>
    <row r="1156">
      <c r="A1156" s="47" t="n"/>
      <c r="B1156" s="38" t="n"/>
      <c r="C1156" s="38" t="n"/>
      <c r="D1156" s="38" t="n"/>
      <c r="E1156" s="38" t="n"/>
      <c r="F1156" s="128" t="n"/>
      <c r="G1156" s="128" t="n"/>
      <c r="H1156" s="129" t="n"/>
      <c r="I1156" s="38" t="n"/>
      <c r="J1156" s="98">
        <f>IF(A1156="","",IF(AND(F1156&lt;&gt;"",G1156&lt;&gt;""),MAX(0,G1156-F1156),N(H1156)))</f>
        <v/>
      </c>
      <c r="K1156" s="55">
        <f>IF(A1156="","",ROUND(J1156*MileRate,2))</f>
        <v/>
      </c>
      <c r="L1156" s="51">
        <f>IF(A1156="","",DATE(YEAR(A1156),MONTH(A1156),1))</f>
        <v/>
      </c>
    </row>
    <row r="1157">
      <c r="A1157" s="47" t="n"/>
      <c r="B1157" s="38" t="n"/>
      <c r="C1157" s="38" t="n"/>
      <c r="D1157" s="38" t="n"/>
      <c r="E1157" s="38" t="n"/>
      <c r="F1157" s="128" t="n"/>
      <c r="G1157" s="128" t="n"/>
      <c r="H1157" s="129" t="n"/>
      <c r="I1157" s="38" t="n"/>
      <c r="J1157" s="98">
        <f>IF(A1157="","",IF(AND(F1157&lt;&gt;"",G1157&lt;&gt;""),MAX(0,G1157-F1157),N(H1157)))</f>
        <v/>
      </c>
      <c r="K1157" s="55">
        <f>IF(A1157="","",ROUND(J1157*MileRate,2))</f>
        <v/>
      </c>
      <c r="L1157" s="51">
        <f>IF(A1157="","",DATE(YEAR(A1157),MONTH(A1157),1))</f>
        <v/>
      </c>
    </row>
    <row r="1158">
      <c r="A1158" s="47" t="n"/>
      <c r="B1158" s="38" t="n"/>
      <c r="C1158" s="38" t="n"/>
      <c r="D1158" s="38" t="n"/>
      <c r="E1158" s="38" t="n"/>
      <c r="F1158" s="128" t="n"/>
      <c r="G1158" s="128" t="n"/>
      <c r="H1158" s="129" t="n"/>
      <c r="I1158" s="38" t="n"/>
      <c r="J1158" s="98">
        <f>IF(A1158="","",IF(AND(F1158&lt;&gt;"",G1158&lt;&gt;""),MAX(0,G1158-F1158),N(H1158)))</f>
        <v/>
      </c>
      <c r="K1158" s="55">
        <f>IF(A1158="","",ROUND(J1158*MileRate,2))</f>
        <v/>
      </c>
      <c r="L1158" s="51">
        <f>IF(A1158="","",DATE(YEAR(A1158),MONTH(A1158),1))</f>
        <v/>
      </c>
    </row>
    <row r="1159">
      <c r="A1159" s="47" t="n"/>
      <c r="B1159" s="38" t="n"/>
      <c r="C1159" s="38" t="n"/>
      <c r="D1159" s="38" t="n"/>
      <c r="E1159" s="38" t="n"/>
      <c r="F1159" s="128" t="n"/>
      <c r="G1159" s="128" t="n"/>
      <c r="H1159" s="129" t="n"/>
      <c r="I1159" s="38" t="n"/>
      <c r="J1159" s="98">
        <f>IF(A1159="","",IF(AND(F1159&lt;&gt;"",G1159&lt;&gt;""),MAX(0,G1159-F1159),N(H1159)))</f>
        <v/>
      </c>
      <c r="K1159" s="55">
        <f>IF(A1159="","",ROUND(J1159*MileRate,2))</f>
        <v/>
      </c>
      <c r="L1159" s="51">
        <f>IF(A1159="","",DATE(YEAR(A1159),MONTH(A1159),1))</f>
        <v/>
      </c>
    </row>
    <row r="1160">
      <c r="A1160" s="47" t="n"/>
      <c r="B1160" s="38" t="n"/>
      <c r="C1160" s="38" t="n"/>
      <c r="D1160" s="38" t="n"/>
      <c r="E1160" s="38" t="n"/>
      <c r="F1160" s="128" t="n"/>
      <c r="G1160" s="128" t="n"/>
      <c r="H1160" s="129" t="n"/>
      <c r="I1160" s="38" t="n"/>
      <c r="J1160" s="98">
        <f>IF(A1160="","",IF(AND(F1160&lt;&gt;"",G1160&lt;&gt;""),MAX(0,G1160-F1160),N(H1160)))</f>
        <v/>
      </c>
      <c r="K1160" s="55">
        <f>IF(A1160="","",ROUND(J1160*MileRate,2))</f>
        <v/>
      </c>
      <c r="L1160" s="51">
        <f>IF(A1160="","",DATE(YEAR(A1160),MONTH(A1160),1))</f>
        <v/>
      </c>
    </row>
    <row r="1161">
      <c r="A1161" s="47" t="n"/>
      <c r="B1161" s="38" t="n"/>
      <c r="C1161" s="38" t="n"/>
      <c r="D1161" s="38" t="n"/>
      <c r="E1161" s="38" t="n"/>
      <c r="F1161" s="128" t="n"/>
      <c r="G1161" s="128" t="n"/>
      <c r="H1161" s="129" t="n"/>
      <c r="I1161" s="38" t="n"/>
      <c r="J1161" s="98">
        <f>IF(A1161="","",IF(AND(F1161&lt;&gt;"",G1161&lt;&gt;""),MAX(0,G1161-F1161),N(H1161)))</f>
        <v/>
      </c>
      <c r="K1161" s="55">
        <f>IF(A1161="","",ROUND(J1161*MileRate,2))</f>
        <v/>
      </c>
      <c r="L1161" s="51">
        <f>IF(A1161="","",DATE(YEAR(A1161),MONTH(A1161),1))</f>
        <v/>
      </c>
    </row>
    <row r="1162">
      <c r="A1162" s="47" t="n"/>
      <c r="B1162" s="38" t="n"/>
      <c r="C1162" s="38" t="n"/>
      <c r="D1162" s="38" t="n"/>
      <c r="E1162" s="38" t="n"/>
      <c r="F1162" s="128" t="n"/>
      <c r="G1162" s="128" t="n"/>
      <c r="H1162" s="129" t="n"/>
      <c r="I1162" s="38" t="n"/>
      <c r="J1162" s="98">
        <f>IF(A1162="","",IF(AND(F1162&lt;&gt;"",G1162&lt;&gt;""),MAX(0,G1162-F1162),N(H1162)))</f>
        <v/>
      </c>
      <c r="K1162" s="55">
        <f>IF(A1162="","",ROUND(J1162*MileRate,2))</f>
        <v/>
      </c>
      <c r="L1162" s="51">
        <f>IF(A1162="","",DATE(YEAR(A1162),MONTH(A1162),1))</f>
        <v/>
      </c>
    </row>
    <row r="1163">
      <c r="A1163" s="47" t="n"/>
      <c r="B1163" s="38" t="n"/>
      <c r="C1163" s="38" t="n"/>
      <c r="D1163" s="38" t="n"/>
      <c r="E1163" s="38" t="n"/>
      <c r="F1163" s="128" t="n"/>
      <c r="G1163" s="128" t="n"/>
      <c r="H1163" s="129" t="n"/>
      <c r="I1163" s="38" t="n"/>
      <c r="J1163" s="98">
        <f>IF(A1163="","",IF(AND(F1163&lt;&gt;"",G1163&lt;&gt;""),MAX(0,G1163-F1163),N(H1163)))</f>
        <v/>
      </c>
      <c r="K1163" s="55">
        <f>IF(A1163="","",ROUND(J1163*MileRate,2))</f>
        <v/>
      </c>
      <c r="L1163" s="51">
        <f>IF(A1163="","",DATE(YEAR(A1163),MONTH(A1163),1))</f>
        <v/>
      </c>
    </row>
    <row r="1164">
      <c r="A1164" s="47" t="n"/>
      <c r="B1164" s="38" t="n"/>
      <c r="C1164" s="38" t="n"/>
      <c r="D1164" s="38" t="n"/>
      <c r="E1164" s="38" t="n"/>
      <c r="F1164" s="128" t="n"/>
      <c r="G1164" s="128" t="n"/>
      <c r="H1164" s="129" t="n"/>
      <c r="I1164" s="38" t="n"/>
      <c r="J1164" s="98">
        <f>IF(A1164="","",IF(AND(F1164&lt;&gt;"",G1164&lt;&gt;""),MAX(0,G1164-F1164),N(H1164)))</f>
        <v/>
      </c>
      <c r="K1164" s="55">
        <f>IF(A1164="","",ROUND(J1164*MileRate,2))</f>
        <v/>
      </c>
      <c r="L1164" s="51">
        <f>IF(A1164="","",DATE(YEAR(A1164),MONTH(A1164),1))</f>
        <v/>
      </c>
    </row>
    <row r="1165">
      <c r="A1165" s="47" t="n"/>
      <c r="B1165" s="38" t="n"/>
      <c r="C1165" s="38" t="n"/>
      <c r="D1165" s="38" t="n"/>
      <c r="E1165" s="38" t="n"/>
      <c r="F1165" s="128" t="n"/>
      <c r="G1165" s="128" t="n"/>
      <c r="H1165" s="129" t="n"/>
      <c r="I1165" s="38" t="n"/>
      <c r="J1165" s="98">
        <f>IF(A1165="","",IF(AND(F1165&lt;&gt;"",G1165&lt;&gt;""),MAX(0,G1165-F1165),N(H1165)))</f>
        <v/>
      </c>
      <c r="K1165" s="55">
        <f>IF(A1165="","",ROUND(J1165*MileRate,2))</f>
        <v/>
      </c>
      <c r="L1165" s="51">
        <f>IF(A1165="","",DATE(YEAR(A1165),MONTH(A1165),1))</f>
        <v/>
      </c>
    </row>
    <row r="1166">
      <c r="A1166" s="47" t="n"/>
      <c r="B1166" s="38" t="n"/>
      <c r="C1166" s="38" t="n"/>
      <c r="D1166" s="38" t="n"/>
      <c r="E1166" s="38" t="n"/>
      <c r="F1166" s="128" t="n"/>
      <c r="G1166" s="128" t="n"/>
      <c r="H1166" s="129" t="n"/>
      <c r="I1166" s="38" t="n"/>
      <c r="J1166" s="98">
        <f>IF(A1166="","",IF(AND(F1166&lt;&gt;"",G1166&lt;&gt;""),MAX(0,G1166-F1166),N(H1166)))</f>
        <v/>
      </c>
      <c r="K1166" s="55">
        <f>IF(A1166="","",ROUND(J1166*MileRate,2))</f>
        <v/>
      </c>
      <c r="L1166" s="51">
        <f>IF(A1166="","",DATE(YEAR(A1166),MONTH(A1166),1))</f>
        <v/>
      </c>
    </row>
    <row r="1167">
      <c r="A1167" s="47" t="n"/>
      <c r="B1167" s="38" t="n"/>
      <c r="C1167" s="38" t="n"/>
      <c r="D1167" s="38" t="n"/>
      <c r="E1167" s="38" t="n"/>
      <c r="F1167" s="128" t="n"/>
      <c r="G1167" s="128" t="n"/>
      <c r="H1167" s="129" t="n"/>
      <c r="I1167" s="38" t="n"/>
      <c r="J1167" s="98">
        <f>IF(A1167="","",IF(AND(F1167&lt;&gt;"",G1167&lt;&gt;""),MAX(0,G1167-F1167),N(H1167)))</f>
        <v/>
      </c>
      <c r="K1167" s="55">
        <f>IF(A1167="","",ROUND(J1167*MileRate,2))</f>
        <v/>
      </c>
      <c r="L1167" s="51">
        <f>IF(A1167="","",DATE(YEAR(A1167),MONTH(A1167),1))</f>
        <v/>
      </c>
    </row>
    <row r="1168">
      <c r="A1168" s="47" t="n"/>
      <c r="B1168" s="38" t="n"/>
      <c r="C1168" s="38" t="n"/>
      <c r="D1168" s="38" t="n"/>
      <c r="E1168" s="38" t="n"/>
      <c r="F1168" s="128" t="n"/>
      <c r="G1168" s="128" t="n"/>
      <c r="H1168" s="129" t="n"/>
      <c r="I1168" s="38" t="n"/>
      <c r="J1168" s="98">
        <f>IF(A1168="","",IF(AND(F1168&lt;&gt;"",G1168&lt;&gt;""),MAX(0,G1168-F1168),N(H1168)))</f>
        <v/>
      </c>
      <c r="K1168" s="55">
        <f>IF(A1168="","",ROUND(J1168*MileRate,2))</f>
        <v/>
      </c>
      <c r="L1168" s="51">
        <f>IF(A1168="","",DATE(YEAR(A1168),MONTH(A1168),1))</f>
        <v/>
      </c>
    </row>
    <row r="1169">
      <c r="A1169" s="47" t="n"/>
      <c r="B1169" s="38" t="n"/>
      <c r="C1169" s="38" t="n"/>
      <c r="D1169" s="38" t="n"/>
      <c r="E1169" s="38" t="n"/>
      <c r="F1169" s="128" t="n"/>
      <c r="G1169" s="128" t="n"/>
      <c r="H1169" s="129" t="n"/>
      <c r="I1169" s="38" t="n"/>
      <c r="J1169" s="98">
        <f>IF(A1169="","",IF(AND(F1169&lt;&gt;"",G1169&lt;&gt;""),MAX(0,G1169-F1169),N(H1169)))</f>
        <v/>
      </c>
      <c r="K1169" s="55">
        <f>IF(A1169="","",ROUND(J1169*MileRate,2))</f>
        <v/>
      </c>
      <c r="L1169" s="51">
        <f>IF(A1169="","",DATE(YEAR(A1169),MONTH(A1169),1))</f>
        <v/>
      </c>
    </row>
    <row r="1170">
      <c r="A1170" s="47" t="n"/>
      <c r="B1170" s="38" t="n"/>
      <c r="C1170" s="38" t="n"/>
      <c r="D1170" s="38" t="n"/>
      <c r="E1170" s="38" t="n"/>
      <c r="F1170" s="128" t="n"/>
      <c r="G1170" s="128" t="n"/>
      <c r="H1170" s="129" t="n"/>
      <c r="I1170" s="38" t="n"/>
      <c r="J1170" s="98">
        <f>IF(A1170="","",IF(AND(F1170&lt;&gt;"",G1170&lt;&gt;""),MAX(0,G1170-F1170),N(H1170)))</f>
        <v/>
      </c>
      <c r="K1170" s="55">
        <f>IF(A1170="","",ROUND(J1170*MileRate,2))</f>
        <v/>
      </c>
      <c r="L1170" s="51">
        <f>IF(A1170="","",DATE(YEAR(A1170),MONTH(A1170),1))</f>
        <v/>
      </c>
    </row>
    <row r="1171">
      <c r="A1171" s="47" t="n"/>
      <c r="B1171" s="38" t="n"/>
      <c r="C1171" s="38" t="n"/>
      <c r="D1171" s="38" t="n"/>
      <c r="E1171" s="38" t="n"/>
      <c r="F1171" s="128" t="n"/>
      <c r="G1171" s="128" t="n"/>
      <c r="H1171" s="129" t="n"/>
      <c r="I1171" s="38" t="n"/>
      <c r="J1171" s="98">
        <f>IF(A1171="","",IF(AND(F1171&lt;&gt;"",G1171&lt;&gt;""),MAX(0,G1171-F1171),N(H1171)))</f>
        <v/>
      </c>
      <c r="K1171" s="55">
        <f>IF(A1171="","",ROUND(J1171*MileRate,2))</f>
        <v/>
      </c>
      <c r="L1171" s="51">
        <f>IF(A1171="","",DATE(YEAR(A1171),MONTH(A1171),1))</f>
        <v/>
      </c>
    </row>
    <row r="1172">
      <c r="A1172" s="47" t="n"/>
      <c r="B1172" s="38" t="n"/>
      <c r="C1172" s="38" t="n"/>
      <c r="D1172" s="38" t="n"/>
      <c r="E1172" s="38" t="n"/>
      <c r="F1172" s="128" t="n"/>
      <c r="G1172" s="128" t="n"/>
      <c r="H1172" s="129" t="n"/>
      <c r="I1172" s="38" t="n"/>
      <c r="J1172" s="98">
        <f>IF(A1172="","",IF(AND(F1172&lt;&gt;"",G1172&lt;&gt;""),MAX(0,G1172-F1172),N(H1172)))</f>
        <v/>
      </c>
      <c r="K1172" s="55">
        <f>IF(A1172="","",ROUND(J1172*MileRate,2))</f>
        <v/>
      </c>
      <c r="L1172" s="51">
        <f>IF(A1172="","",DATE(YEAR(A1172),MONTH(A1172),1))</f>
        <v/>
      </c>
    </row>
    <row r="1173">
      <c r="A1173" s="47" t="n"/>
      <c r="B1173" s="38" t="n"/>
      <c r="C1173" s="38" t="n"/>
      <c r="D1173" s="38" t="n"/>
      <c r="E1173" s="38" t="n"/>
      <c r="F1173" s="128" t="n"/>
      <c r="G1173" s="128" t="n"/>
      <c r="H1173" s="129" t="n"/>
      <c r="I1173" s="38" t="n"/>
      <c r="J1173" s="98">
        <f>IF(A1173="","",IF(AND(F1173&lt;&gt;"",G1173&lt;&gt;""),MAX(0,G1173-F1173),N(H1173)))</f>
        <v/>
      </c>
      <c r="K1173" s="55">
        <f>IF(A1173="","",ROUND(J1173*MileRate,2))</f>
        <v/>
      </c>
      <c r="L1173" s="51">
        <f>IF(A1173="","",DATE(YEAR(A1173),MONTH(A1173),1))</f>
        <v/>
      </c>
    </row>
    <row r="1174">
      <c r="A1174" s="47" t="n"/>
      <c r="B1174" s="38" t="n"/>
      <c r="C1174" s="38" t="n"/>
      <c r="D1174" s="38" t="n"/>
      <c r="E1174" s="38" t="n"/>
      <c r="F1174" s="128" t="n"/>
      <c r="G1174" s="128" t="n"/>
      <c r="H1174" s="129" t="n"/>
      <c r="I1174" s="38" t="n"/>
      <c r="J1174" s="98">
        <f>IF(A1174="","",IF(AND(F1174&lt;&gt;"",G1174&lt;&gt;""),MAX(0,G1174-F1174),N(H1174)))</f>
        <v/>
      </c>
      <c r="K1174" s="55">
        <f>IF(A1174="","",ROUND(J1174*MileRate,2))</f>
        <v/>
      </c>
      <c r="L1174" s="51">
        <f>IF(A1174="","",DATE(YEAR(A1174),MONTH(A1174),1))</f>
        <v/>
      </c>
    </row>
    <row r="1175">
      <c r="A1175" s="47" t="n"/>
      <c r="B1175" s="38" t="n"/>
      <c r="C1175" s="38" t="n"/>
      <c r="D1175" s="38" t="n"/>
      <c r="E1175" s="38" t="n"/>
      <c r="F1175" s="128" t="n"/>
      <c r="G1175" s="128" t="n"/>
      <c r="H1175" s="129" t="n"/>
      <c r="I1175" s="38" t="n"/>
      <c r="J1175" s="98">
        <f>IF(A1175="","",IF(AND(F1175&lt;&gt;"",G1175&lt;&gt;""),MAX(0,G1175-F1175),N(H1175)))</f>
        <v/>
      </c>
      <c r="K1175" s="55">
        <f>IF(A1175="","",ROUND(J1175*MileRate,2))</f>
        <v/>
      </c>
      <c r="L1175" s="51">
        <f>IF(A1175="","",DATE(YEAR(A1175),MONTH(A1175),1))</f>
        <v/>
      </c>
    </row>
    <row r="1176">
      <c r="A1176" s="47" t="n"/>
      <c r="B1176" s="38" t="n"/>
      <c r="C1176" s="38" t="n"/>
      <c r="D1176" s="38" t="n"/>
      <c r="E1176" s="38" t="n"/>
      <c r="F1176" s="128" t="n"/>
      <c r="G1176" s="128" t="n"/>
      <c r="H1176" s="129" t="n"/>
      <c r="I1176" s="38" t="n"/>
      <c r="J1176" s="98">
        <f>IF(A1176="","",IF(AND(F1176&lt;&gt;"",G1176&lt;&gt;""),MAX(0,G1176-F1176),N(H1176)))</f>
        <v/>
      </c>
      <c r="K1176" s="55">
        <f>IF(A1176="","",ROUND(J1176*MileRate,2))</f>
        <v/>
      </c>
      <c r="L1176" s="51">
        <f>IF(A1176="","",DATE(YEAR(A1176),MONTH(A1176),1))</f>
        <v/>
      </c>
    </row>
    <row r="1177">
      <c r="A1177" s="47" t="n"/>
      <c r="B1177" s="38" t="n"/>
      <c r="C1177" s="38" t="n"/>
      <c r="D1177" s="38" t="n"/>
      <c r="E1177" s="38" t="n"/>
      <c r="F1177" s="128" t="n"/>
      <c r="G1177" s="128" t="n"/>
      <c r="H1177" s="129" t="n"/>
      <c r="I1177" s="38" t="n"/>
      <c r="J1177" s="98">
        <f>IF(A1177="","",IF(AND(F1177&lt;&gt;"",G1177&lt;&gt;""),MAX(0,G1177-F1177),N(H1177)))</f>
        <v/>
      </c>
      <c r="K1177" s="55">
        <f>IF(A1177="","",ROUND(J1177*MileRate,2))</f>
        <v/>
      </c>
      <c r="L1177" s="51">
        <f>IF(A1177="","",DATE(YEAR(A1177),MONTH(A1177),1))</f>
        <v/>
      </c>
    </row>
    <row r="1178">
      <c r="A1178" s="47" t="n"/>
      <c r="B1178" s="38" t="n"/>
      <c r="C1178" s="38" t="n"/>
      <c r="D1178" s="38" t="n"/>
      <c r="E1178" s="38" t="n"/>
      <c r="F1178" s="128" t="n"/>
      <c r="G1178" s="128" t="n"/>
      <c r="H1178" s="129" t="n"/>
      <c r="I1178" s="38" t="n"/>
      <c r="J1178" s="98">
        <f>IF(A1178="","",IF(AND(F1178&lt;&gt;"",G1178&lt;&gt;""),MAX(0,G1178-F1178),N(H1178)))</f>
        <v/>
      </c>
      <c r="K1178" s="55">
        <f>IF(A1178="","",ROUND(J1178*MileRate,2))</f>
        <v/>
      </c>
      <c r="L1178" s="51">
        <f>IF(A1178="","",DATE(YEAR(A1178),MONTH(A1178),1))</f>
        <v/>
      </c>
    </row>
    <row r="1179">
      <c r="A1179" s="47" t="n"/>
      <c r="B1179" s="38" t="n"/>
      <c r="C1179" s="38" t="n"/>
      <c r="D1179" s="38" t="n"/>
      <c r="E1179" s="38" t="n"/>
      <c r="F1179" s="128" t="n"/>
      <c r="G1179" s="128" t="n"/>
      <c r="H1179" s="129" t="n"/>
      <c r="I1179" s="38" t="n"/>
      <c r="J1179" s="98">
        <f>IF(A1179="","",IF(AND(F1179&lt;&gt;"",G1179&lt;&gt;""),MAX(0,G1179-F1179),N(H1179)))</f>
        <v/>
      </c>
      <c r="K1179" s="55">
        <f>IF(A1179="","",ROUND(J1179*MileRate,2))</f>
        <v/>
      </c>
      <c r="L1179" s="51">
        <f>IF(A1179="","",DATE(YEAR(A1179),MONTH(A1179),1))</f>
        <v/>
      </c>
    </row>
    <row r="1180">
      <c r="A1180" s="47" t="n"/>
      <c r="B1180" s="38" t="n"/>
      <c r="C1180" s="38" t="n"/>
      <c r="D1180" s="38" t="n"/>
      <c r="E1180" s="38" t="n"/>
      <c r="F1180" s="128" t="n"/>
      <c r="G1180" s="128" t="n"/>
      <c r="H1180" s="129" t="n"/>
      <c r="I1180" s="38" t="n"/>
      <c r="J1180" s="98">
        <f>IF(A1180="","",IF(AND(F1180&lt;&gt;"",G1180&lt;&gt;""),MAX(0,G1180-F1180),N(H1180)))</f>
        <v/>
      </c>
      <c r="K1180" s="55">
        <f>IF(A1180="","",ROUND(J1180*MileRate,2))</f>
        <v/>
      </c>
      <c r="L1180" s="51">
        <f>IF(A1180="","",DATE(YEAR(A1180),MONTH(A1180),1))</f>
        <v/>
      </c>
    </row>
    <row r="1181">
      <c r="A1181" s="47" t="n"/>
      <c r="B1181" s="38" t="n"/>
      <c r="C1181" s="38" t="n"/>
      <c r="D1181" s="38" t="n"/>
      <c r="E1181" s="38" t="n"/>
      <c r="F1181" s="128" t="n"/>
      <c r="G1181" s="128" t="n"/>
      <c r="H1181" s="129" t="n"/>
      <c r="I1181" s="38" t="n"/>
      <c r="J1181" s="98">
        <f>IF(A1181="","",IF(AND(F1181&lt;&gt;"",G1181&lt;&gt;""),MAX(0,G1181-F1181),N(H1181)))</f>
        <v/>
      </c>
      <c r="K1181" s="55">
        <f>IF(A1181="","",ROUND(J1181*MileRate,2))</f>
        <v/>
      </c>
      <c r="L1181" s="51">
        <f>IF(A1181="","",DATE(YEAR(A1181),MONTH(A1181),1))</f>
        <v/>
      </c>
    </row>
    <row r="1182">
      <c r="A1182" s="47" t="n"/>
      <c r="B1182" s="38" t="n"/>
      <c r="C1182" s="38" t="n"/>
      <c r="D1182" s="38" t="n"/>
      <c r="E1182" s="38" t="n"/>
      <c r="F1182" s="128" t="n"/>
      <c r="G1182" s="128" t="n"/>
      <c r="H1182" s="129" t="n"/>
      <c r="I1182" s="38" t="n"/>
      <c r="J1182" s="98">
        <f>IF(A1182="","",IF(AND(F1182&lt;&gt;"",G1182&lt;&gt;""),MAX(0,G1182-F1182),N(H1182)))</f>
        <v/>
      </c>
      <c r="K1182" s="55">
        <f>IF(A1182="","",ROUND(J1182*MileRate,2))</f>
        <v/>
      </c>
      <c r="L1182" s="51">
        <f>IF(A1182="","",DATE(YEAR(A1182),MONTH(A1182),1))</f>
        <v/>
      </c>
    </row>
    <row r="1183">
      <c r="A1183" s="47" t="n"/>
      <c r="B1183" s="38" t="n"/>
      <c r="C1183" s="38" t="n"/>
      <c r="D1183" s="38" t="n"/>
      <c r="E1183" s="38" t="n"/>
      <c r="F1183" s="128" t="n"/>
      <c r="G1183" s="128" t="n"/>
      <c r="H1183" s="129" t="n"/>
      <c r="I1183" s="38" t="n"/>
      <c r="J1183" s="98">
        <f>IF(A1183="","",IF(AND(F1183&lt;&gt;"",G1183&lt;&gt;""),MAX(0,G1183-F1183),N(H1183)))</f>
        <v/>
      </c>
      <c r="K1183" s="55">
        <f>IF(A1183="","",ROUND(J1183*MileRate,2))</f>
        <v/>
      </c>
      <c r="L1183" s="51">
        <f>IF(A1183="","",DATE(YEAR(A1183),MONTH(A1183),1))</f>
        <v/>
      </c>
    </row>
    <row r="1184">
      <c r="A1184" s="47" t="n"/>
      <c r="B1184" s="38" t="n"/>
      <c r="C1184" s="38" t="n"/>
      <c r="D1184" s="38" t="n"/>
      <c r="E1184" s="38" t="n"/>
      <c r="F1184" s="128" t="n"/>
      <c r="G1184" s="128" t="n"/>
      <c r="H1184" s="129" t="n"/>
      <c r="I1184" s="38" t="n"/>
      <c r="J1184" s="98">
        <f>IF(A1184="","",IF(AND(F1184&lt;&gt;"",G1184&lt;&gt;""),MAX(0,G1184-F1184),N(H1184)))</f>
        <v/>
      </c>
      <c r="K1184" s="55">
        <f>IF(A1184="","",ROUND(J1184*MileRate,2))</f>
        <v/>
      </c>
      <c r="L1184" s="51">
        <f>IF(A1184="","",DATE(YEAR(A1184),MONTH(A1184),1))</f>
        <v/>
      </c>
    </row>
    <row r="1185">
      <c r="A1185" s="47" t="n"/>
      <c r="B1185" s="38" t="n"/>
      <c r="C1185" s="38" t="n"/>
      <c r="D1185" s="38" t="n"/>
      <c r="E1185" s="38" t="n"/>
      <c r="F1185" s="128" t="n"/>
      <c r="G1185" s="128" t="n"/>
      <c r="H1185" s="129" t="n"/>
      <c r="I1185" s="38" t="n"/>
      <c r="J1185" s="98">
        <f>IF(A1185="","",IF(AND(F1185&lt;&gt;"",G1185&lt;&gt;""),MAX(0,G1185-F1185),N(H1185)))</f>
        <v/>
      </c>
      <c r="K1185" s="55">
        <f>IF(A1185="","",ROUND(J1185*MileRate,2))</f>
        <v/>
      </c>
      <c r="L1185" s="51">
        <f>IF(A1185="","",DATE(YEAR(A1185),MONTH(A1185),1))</f>
        <v/>
      </c>
    </row>
    <row r="1186">
      <c r="A1186" s="47" t="n"/>
      <c r="B1186" s="38" t="n"/>
      <c r="C1186" s="38" t="n"/>
      <c r="D1186" s="38" t="n"/>
      <c r="E1186" s="38" t="n"/>
      <c r="F1186" s="128" t="n"/>
      <c r="G1186" s="128" t="n"/>
      <c r="H1186" s="129" t="n"/>
      <c r="I1186" s="38" t="n"/>
      <c r="J1186" s="98">
        <f>IF(A1186="","",IF(AND(F1186&lt;&gt;"",G1186&lt;&gt;""),MAX(0,G1186-F1186),N(H1186)))</f>
        <v/>
      </c>
      <c r="K1186" s="55">
        <f>IF(A1186="","",ROUND(J1186*MileRate,2))</f>
        <v/>
      </c>
      <c r="L1186" s="51">
        <f>IF(A1186="","",DATE(YEAR(A1186),MONTH(A1186),1))</f>
        <v/>
      </c>
    </row>
    <row r="1187">
      <c r="A1187" s="47" t="n"/>
      <c r="B1187" s="38" t="n"/>
      <c r="C1187" s="38" t="n"/>
      <c r="D1187" s="38" t="n"/>
      <c r="E1187" s="38" t="n"/>
      <c r="F1187" s="128" t="n"/>
      <c r="G1187" s="128" t="n"/>
      <c r="H1187" s="129" t="n"/>
      <c r="I1187" s="38" t="n"/>
      <c r="J1187" s="98">
        <f>IF(A1187="","",IF(AND(F1187&lt;&gt;"",G1187&lt;&gt;""),MAX(0,G1187-F1187),N(H1187)))</f>
        <v/>
      </c>
      <c r="K1187" s="55">
        <f>IF(A1187="","",ROUND(J1187*MileRate,2))</f>
        <v/>
      </c>
      <c r="L1187" s="51">
        <f>IF(A1187="","",DATE(YEAR(A1187),MONTH(A1187),1))</f>
        <v/>
      </c>
    </row>
    <row r="1188">
      <c r="A1188" s="47" t="n"/>
      <c r="B1188" s="38" t="n"/>
      <c r="C1188" s="38" t="n"/>
      <c r="D1188" s="38" t="n"/>
      <c r="E1188" s="38" t="n"/>
      <c r="F1188" s="128" t="n"/>
      <c r="G1188" s="128" t="n"/>
      <c r="H1188" s="129" t="n"/>
      <c r="I1188" s="38" t="n"/>
      <c r="J1188" s="98">
        <f>IF(A1188="","",IF(AND(F1188&lt;&gt;"",G1188&lt;&gt;""),MAX(0,G1188-F1188),N(H1188)))</f>
        <v/>
      </c>
      <c r="K1188" s="55">
        <f>IF(A1188="","",ROUND(J1188*MileRate,2))</f>
        <v/>
      </c>
      <c r="L1188" s="51">
        <f>IF(A1188="","",DATE(YEAR(A1188),MONTH(A1188),1))</f>
        <v/>
      </c>
    </row>
    <row r="1189">
      <c r="A1189" s="47" t="n"/>
      <c r="B1189" s="38" t="n"/>
      <c r="C1189" s="38" t="n"/>
      <c r="D1189" s="38" t="n"/>
      <c r="E1189" s="38" t="n"/>
      <c r="F1189" s="128" t="n"/>
      <c r="G1189" s="128" t="n"/>
      <c r="H1189" s="129" t="n"/>
      <c r="I1189" s="38" t="n"/>
      <c r="J1189" s="98">
        <f>IF(A1189="","",IF(AND(F1189&lt;&gt;"",G1189&lt;&gt;""),MAX(0,G1189-F1189),N(H1189)))</f>
        <v/>
      </c>
      <c r="K1189" s="55">
        <f>IF(A1189="","",ROUND(J1189*MileRate,2))</f>
        <v/>
      </c>
      <c r="L1189" s="51">
        <f>IF(A1189="","",DATE(YEAR(A1189),MONTH(A1189),1))</f>
        <v/>
      </c>
    </row>
    <row r="1190">
      <c r="A1190" s="47" t="n"/>
      <c r="B1190" s="38" t="n"/>
      <c r="C1190" s="38" t="n"/>
      <c r="D1190" s="38" t="n"/>
      <c r="E1190" s="38" t="n"/>
      <c r="F1190" s="128" t="n"/>
      <c r="G1190" s="128" t="n"/>
      <c r="H1190" s="129" t="n"/>
      <c r="I1190" s="38" t="n"/>
      <c r="J1190" s="98">
        <f>IF(A1190="","",IF(AND(F1190&lt;&gt;"",G1190&lt;&gt;""),MAX(0,G1190-F1190),N(H1190)))</f>
        <v/>
      </c>
      <c r="K1190" s="55">
        <f>IF(A1190="","",ROUND(J1190*MileRate,2))</f>
        <v/>
      </c>
      <c r="L1190" s="51">
        <f>IF(A1190="","",DATE(YEAR(A1190),MONTH(A1190),1))</f>
        <v/>
      </c>
    </row>
    <row r="1191">
      <c r="A1191" s="47" t="n"/>
      <c r="B1191" s="38" t="n"/>
      <c r="C1191" s="38" t="n"/>
      <c r="D1191" s="38" t="n"/>
      <c r="E1191" s="38" t="n"/>
      <c r="F1191" s="128" t="n"/>
      <c r="G1191" s="128" t="n"/>
      <c r="H1191" s="129" t="n"/>
      <c r="I1191" s="38" t="n"/>
      <c r="J1191" s="98">
        <f>IF(A1191="","",IF(AND(F1191&lt;&gt;"",G1191&lt;&gt;""),MAX(0,G1191-F1191),N(H1191)))</f>
        <v/>
      </c>
      <c r="K1191" s="55">
        <f>IF(A1191="","",ROUND(J1191*MileRate,2))</f>
        <v/>
      </c>
      <c r="L1191" s="51">
        <f>IF(A1191="","",DATE(YEAR(A1191),MONTH(A1191),1))</f>
        <v/>
      </c>
    </row>
    <row r="1192">
      <c r="A1192" s="47" t="n"/>
      <c r="B1192" s="38" t="n"/>
      <c r="C1192" s="38" t="n"/>
      <c r="D1192" s="38" t="n"/>
      <c r="E1192" s="38" t="n"/>
      <c r="F1192" s="128" t="n"/>
      <c r="G1192" s="128" t="n"/>
      <c r="H1192" s="129" t="n"/>
      <c r="I1192" s="38" t="n"/>
      <c r="J1192" s="98">
        <f>IF(A1192="","",IF(AND(F1192&lt;&gt;"",G1192&lt;&gt;""),MAX(0,G1192-F1192),N(H1192)))</f>
        <v/>
      </c>
      <c r="K1192" s="55">
        <f>IF(A1192="","",ROUND(J1192*MileRate,2))</f>
        <v/>
      </c>
      <c r="L1192" s="51">
        <f>IF(A1192="","",DATE(YEAR(A1192),MONTH(A1192),1))</f>
        <v/>
      </c>
    </row>
    <row r="1193">
      <c r="A1193" s="47" t="n"/>
      <c r="B1193" s="38" t="n"/>
      <c r="C1193" s="38" t="n"/>
      <c r="D1193" s="38" t="n"/>
      <c r="E1193" s="38" t="n"/>
      <c r="F1193" s="128" t="n"/>
      <c r="G1193" s="128" t="n"/>
      <c r="H1193" s="129" t="n"/>
      <c r="I1193" s="38" t="n"/>
      <c r="J1193" s="98">
        <f>IF(A1193="","",IF(AND(F1193&lt;&gt;"",G1193&lt;&gt;""),MAX(0,G1193-F1193),N(H1193)))</f>
        <v/>
      </c>
      <c r="K1193" s="55">
        <f>IF(A1193="","",ROUND(J1193*MileRate,2))</f>
        <v/>
      </c>
      <c r="L1193" s="51">
        <f>IF(A1193="","",DATE(YEAR(A1193),MONTH(A1193),1))</f>
        <v/>
      </c>
    </row>
    <row r="1194">
      <c r="A1194" s="47" t="n"/>
      <c r="B1194" s="38" t="n"/>
      <c r="C1194" s="38" t="n"/>
      <c r="D1194" s="38" t="n"/>
      <c r="E1194" s="38" t="n"/>
      <c r="F1194" s="128" t="n"/>
      <c r="G1194" s="128" t="n"/>
      <c r="H1194" s="129" t="n"/>
      <c r="I1194" s="38" t="n"/>
      <c r="J1194" s="98">
        <f>IF(A1194="","",IF(AND(F1194&lt;&gt;"",G1194&lt;&gt;""),MAX(0,G1194-F1194),N(H1194)))</f>
        <v/>
      </c>
      <c r="K1194" s="55">
        <f>IF(A1194="","",ROUND(J1194*MileRate,2))</f>
        <v/>
      </c>
      <c r="L1194" s="51">
        <f>IF(A1194="","",DATE(YEAR(A1194),MONTH(A1194),1))</f>
        <v/>
      </c>
    </row>
    <row r="1195">
      <c r="A1195" s="47" t="n"/>
      <c r="B1195" s="38" t="n"/>
      <c r="C1195" s="38" t="n"/>
      <c r="D1195" s="38" t="n"/>
      <c r="E1195" s="38" t="n"/>
      <c r="F1195" s="128" t="n"/>
      <c r="G1195" s="128" t="n"/>
      <c r="H1195" s="129" t="n"/>
      <c r="I1195" s="38" t="n"/>
      <c r="J1195" s="98">
        <f>IF(A1195="","",IF(AND(F1195&lt;&gt;"",G1195&lt;&gt;""),MAX(0,G1195-F1195),N(H1195)))</f>
        <v/>
      </c>
      <c r="K1195" s="55">
        <f>IF(A1195="","",ROUND(J1195*MileRate,2))</f>
        <v/>
      </c>
      <c r="L1195" s="51">
        <f>IF(A1195="","",DATE(YEAR(A1195),MONTH(A1195),1))</f>
        <v/>
      </c>
    </row>
    <row r="1196">
      <c r="A1196" s="47" t="n"/>
      <c r="B1196" s="38" t="n"/>
      <c r="C1196" s="38" t="n"/>
      <c r="D1196" s="38" t="n"/>
      <c r="E1196" s="38" t="n"/>
      <c r="F1196" s="128" t="n"/>
      <c r="G1196" s="128" t="n"/>
      <c r="H1196" s="129" t="n"/>
      <c r="I1196" s="38" t="n"/>
      <c r="J1196" s="98">
        <f>IF(A1196="","",IF(AND(F1196&lt;&gt;"",G1196&lt;&gt;""),MAX(0,G1196-F1196),N(H1196)))</f>
        <v/>
      </c>
      <c r="K1196" s="55">
        <f>IF(A1196="","",ROUND(J1196*MileRate,2))</f>
        <v/>
      </c>
      <c r="L1196" s="51">
        <f>IF(A1196="","",DATE(YEAR(A1196),MONTH(A1196),1))</f>
        <v/>
      </c>
    </row>
    <row r="1197">
      <c r="A1197" s="47" t="n"/>
      <c r="B1197" s="38" t="n"/>
      <c r="C1197" s="38" t="n"/>
      <c r="D1197" s="38" t="n"/>
      <c r="E1197" s="38" t="n"/>
      <c r="F1197" s="128" t="n"/>
      <c r="G1197" s="128" t="n"/>
      <c r="H1197" s="129" t="n"/>
      <c r="I1197" s="38" t="n"/>
      <c r="J1197" s="98">
        <f>IF(A1197="","",IF(AND(F1197&lt;&gt;"",G1197&lt;&gt;""),MAX(0,G1197-F1197),N(H1197)))</f>
        <v/>
      </c>
      <c r="K1197" s="55">
        <f>IF(A1197="","",ROUND(J1197*MileRate,2))</f>
        <v/>
      </c>
      <c r="L1197" s="51">
        <f>IF(A1197="","",DATE(YEAR(A1197),MONTH(A1197),1))</f>
        <v/>
      </c>
    </row>
    <row r="1198">
      <c r="A1198" s="47" t="n"/>
      <c r="B1198" s="38" t="n"/>
      <c r="C1198" s="38" t="n"/>
      <c r="D1198" s="38" t="n"/>
      <c r="E1198" s="38" t="n"/>
      <c r="F1198" s="128" t="n"/>
      <c r="G1198" s="128" t="n"/>
      <c r="H1198" s="129" t="n"/>
      <c r="I1198" s="38" t="n"/>
      <c r="J1198" s="98">
        <f>IF(A1198="","",IF(AND(F1198&lt;&gt;"",G1198&lt;&gt;""),MAX(0,G1198-F1198),N(H1198)))</f>
        <v/>
      </c>
      <c r="K1198" s="55">
        <f>IF(A1198="","",ROUND(J1198*MileRate,2))</f>
        <v/>
      </c>
      <c r="L1198" s="51">
        <f>IF(A1198="","",DATE(YEAR(A1198),MONTH(A1198),1))</f>
        <v/>
      </c>
    </row>
    <row r="1199">
      <c r="A1199" s="47" t="n"/>
      <c r="B1199" s="38" t="n"/>
      <c r="C1199" s="38" t="n"/>
      <c r="D1199" s="38" t="n"/>
      <c r="E1199" s="38" t="n"/>
      <c r="F1199" s="128" t="n"/>
      <c r="G1199" s="128" t="n"/>
      <c r="H1199" s="129" t="n"/>
      <c r="I1199" s="38" t="n"/>
      <c r="J1199" s="98">
        <f>IF(A1199="","",IF(AND(F1199&lt;&gt;"",G1199&lt;&gt;""),MAX(0,G1199-F1199),N(H1199)))</f>
        <v/>
      </c>
      <c r="K1199" s="55">
        <f>IF(A1199="","",ROUND(J1199*MileRate,2))</f>
        <v/>
      </c>
      <c r="L1199" s="51">
        <f>IF(A1199="","",DATE(YEAR(A1199),MONTH(A1199),1))</f>
        <v/>
      </c>
    </row>
    <row r="1200">
      <c r="A1200" s="47" t="n"/>
      <c r="B1200" s="38" t="n"/>
      <c r="C1200" s="38" t="n"/>
      <c r="D1200" s="38" t="n"/>
      <c r="E1200" s="38" t="n"/>
      <c r="F1200" s="128" t="n"/>
      <c r="G1200" s="128" t="n"/>
      <c r="H1200" s="129" t="n"/>
      <c r="I1200" s="38" t="n"/>
      <c r="J1200" s="98">
        <f>IF(A1200="","",IF(AND(F1200&lt;&gt;"",G1200&lt;&gt;""),MAX(0,G1200-F1200),N(H1200)))</f>
        <v/>
      </c>
      <c r="K1200" s="55">
        <f>IF(A1200="","",ROUND(J1200*MileRate,2))</f>
        <v/>
      </c>
      <c r="L1200" s="51">
        <f>IF(A1200="","",DATE(YEAR(A1200),MONTH(A1200),1))</f>
        <v/>
      </c>
    </row>
    <row r="1201">
      <c r="A1201" s="47" t="n"/>
      <c r="B1201" s="38" t="n"/>
      <c r="C1201" s="38" t="n"/>
      <c r="D1201" s="38" t="n"/>
      <c r="E1201" s="38" t="n"/>
      <c r="F1201" s="128" t="n"/>
      <c r="G1201" s="128" t="n"/>
      <c r="H1201" s="129" t="n"/>
      <c r="I1201" s="38" t="n"/>
      <c r="J1201" s="98">
        <f>IF(A1201="","",IF(AND(F1201&lt;&gt;"",G1201&lt;&gt;""),MAX(0,G1201-F1201),N(H1201)))</f>
        <v/>
      </c>
      <c r="K1201" s="55">
        <f>IF(A1201="","",ROUND(J1201*MileRate,2))</f>
        <v/>
      </c>
      <c r="L1201" s="51">
        <f>IF(A1201="","",DATE(YEAR(A1201),MONTH(A1201),1))</f>
        <v/>
      </c>
    </row>
    <row r="1202">
      <c r="A1202" s="47" t="n"/>
      <c r="B1202" s="38" t="n"/>
      <c r="C1202" s="38" t="n"/>
      <c r="D1202" s="38" t="n"/>
      <c r="E1202" s="38" t="n"/>
      <c r="F1202" s="128" t="n"/>
      <c r="G1202" s="128" t="n"/>
      <c r="H1202" s="129" t="n"/>
      <c r="I1202" s="38" t="n"/>
      <c r="J1202" s="98">
        <f>IF(A1202="","",IF(AND(F1202&lt;&gt;"",G1202&lt;&gt;""),MAX(0,G1202-F1202),N(H1202)))</f>
        <v/>
      </c>
      <c r="K1202" s="55">
        <f>IF(A1202="","",ROUND(J1202*MileRate,2))</f>
        <v/>
      </c>
      <c r="L1202" s="51">
        <f>IF(A1202="","",DATE(YEAR(A1202),MONTH(A1202),1))</f>
        <v/>
      </c>
    </row>
    <row r="1203">
      <c r="A1203" s="47" t="n"/>
      <c r="B1203" s="38" t="n"/>
      <c r="C1203" s="38" t="n"/>
      <c r="D1203" s="38" t="n"/>
      <c r="E1203" s="38" t="n"/>
      <c r="F1203" s="128" t="n"/>
      <c r="G1203" s="128" t="n"/>
      <c r="H1203" s="129" t="n"/>
      <c r="I1203" s="38" t="n"/>
      <c r="J1203" s="98">
        <f>IF(A1203="","",IF(AND(F1203&lt;&gt;"",G1203&lt;&gt;""),MAX(0,G1203-F1203),N(H1203)))</f>
        <v/>
      </c>
      <c r="K1203" s="55">
        <f>IF(A1203="","",ROUND(J1203*MileRate,2))</f>
        <v/>
      </c>
      <c r="L1203" s="51">
        <f>IF(A1203="","",DATE(YEAR(A1203),MONTH(A1203),1))</f>
        <v/>
      </c>
    </row>
    <row r="1204">
      <c r="A1204" s="47" t="n"/>
      <c r="B1204" s="38" t="n"/>
      <c r="C1204" s="38" t="n"/>
      <c r="D1204" s="38" t="n"/>
      <c r="E1204" s="38" t="n"/>
      <c r="F1204" s="128" t="n"/>
      <c r="G1204" s="128" t="n"/>
      <c r="H1204" s="129" t="n"/>
      <c r="I1204" s="38" t="n"/>
      <c r="J1204" s="98">
        <f>IF(A1204="","",IF(AND(F1204&lt;&gt;"",G1204&lt;&gt;""),MAX(0,G1204-F1204),N(H1204)))</f>
        <v/>
      </c>
      <c r="K1204" s="55">
        <f>IF(A1204="","",ROUND(J1204*MileRate,2))</f>
        <v/>
      </c>
      <c r="L1204" s="51">
        <f>IF(A1204="","",DATE(YEAR(A1204),MONTH(A1204),1))</f>
        <v/>
      </c>
    </row>
    <row r="1205">
      <c r="A1205" s="47" t="n"/>
      <c r="B1205" s="38" t="n"/>
      <c r="C1205" s="38" t="n"/>
      <c r="D1205" s="38" t="n"/>
      <c r="E1205" s="38" t="n"/>
      <c r="F1205" s="128" t="n"/>
      <c r="G1205" s="128" t="n"/>
      <c r="H1205" s="129" t="n"/>
      <c r="I1205" s="38" t="n"/>
      <c r="J1205" s="98">
        <f>IF(A1205="","",IF(AND(F1205&lt;&gt;"",G1205&lt;&gt;""),MAX(0,G1205-F1205),N(H1205)))</f>
        <v/>
      </c>
      <c r="K1205" s="55">
        <f>IF(A1205="","",ROUND(J1205*MileRate,2))</f>
        <v/>
      </c>
      <c r="L1205" s="51">
        <f>IF(A1205="","",DATE(YEAR(A1205),MONTH(A1205),1))</f>
        <v/>
      </c>
    </row>
    <row r="1206">
      <c r="A1206" s="47" t="n"/>
      <c r="B1206" s="38" t="n"/>
      <c r="C1206" s="38" t="n"/>
      <c r="D1206" s="38" t="n"/>
      <c r="E1206" s="38" t="n"/>
      <c r="F1206" s="128" t="n"/>
      <c r="G1206" s="128" t="n"/>
      <c r="H1206" s="129" t="n"/>
      <c r="I1206" s="38" t="n"/>
      <c r="J1206" s="98">
        <f>IF(A1206="","",IF(AND(F1206&lt;&gt;"",G1206&lt;&gt;""),MAX(0,G1206-F1206),N(H1206)))</f>
        <v/>
      </c>
      <c r="K1206" s="55">
        <f>IF(A1206="","",ROUND(J1206*MileRate,2))</f>
        <v/>
      </c>
      <c r="L1206" s="51">
        <f>IF(A1206="","",DATE(YEAR(A1206),MONTH(A1206),1))</f>
        <v/>
      </c>
    </row>
    <row r="1207">
      <c r="A1207" s="47" t="n"/>
      <c r="B1207" s="38" t="n"/>
      <c r="C1207" s="38" t="n"/>
      <c r="D1207" s="38" t="n"/>
      <c r="E1207" s="38" t="n"/>
      <c r="F1207" s="128" t="n"/>
      <c r="G1207" s="128" t="n"/>
      <c r="H1207" s="129" t="n"/>
      <c r="I1207" s="38" t="n"/>
      <c r="J1207" s="98">
        <f>IF(A1207="","",IF(AND(F1207&lt;&gt;"",G1207&lt;&gt;""),MAX(0,G1207-F1207),N(H1207)))</f>
        <v/>
      </c>
      <c r="K1207" s="55">
        <f>IF(A1207="","",ROUND(J1207*MileRate,2))</f>
        <v/>
      </c>
      <c r="L1207" s="51">
        <f>IF(A1207="","",DATE(YEAR(A1207),MONTH(A1207),1))</f>
        <v/>
      </c>
    </row>
    <row r="1208">
      <c r="A1208" s="47" t="n"/>
      <c r="B1208" s="38" t="n"/>
      <c r="C1208" s="38" t="n"/>
      <c r="D1208" s="38" t="n"/>
      <c r="E1208" s="38" t="n"/>
      <c r="F1208" s="128" t="n"/>
      <c r="G1208" s="128" t="n"/>
      <c r="H1208" s="129" t="n"/>
      <c r="I1208" s="38" t="n"/>
      <c r="J1208" s="98">
        <f>IF(A1208="","",IF(AND(F1208&lt;&gt;"",G1208&lt;&gt;""),MAX(0,G1208-F1208),N(H1208)))</f>
        <v/>
      </c>
      <c r="K1208" s="55">
        <f>IF(A1208="","",ROUND(J1208*MileRate,2))</f>
        <v/>
      </c>
      <c r="L1208" s="51">
        <f>IF(A1208="","",DATE(YEAR(A1208),MONTH(A1208),1))</f>
        <v/>
      </c>
    </row>
    <row r="1209">
      <c r="A1209" s="47" t="n"/>
      <c r="B1209" s="38" t="n"/>
      <c r="C1209" s="38" t="n"/>
      <c r="D1209" s="38" t="n"/>
      <c r="E1209" s="38" t="n"/>
      <c r="F1209" s="128" t="n"/>
      <c r="G1209" s="128" t="n"/>
      <c r="H1209" s="129" t="n"/>
      <c r="I1209" s="38" t="n"/>
      <c r="J1209" s="98">
        <f>IF(A1209="","",IF(AND(F1209&lt;&gt;"",G1209&lt;&gt;""),MAX(0,G1209-F1209),N(H1209)))</f>
        <v/>
      </c>
      <c r="K1209" s="55">
        <f>IF(A1209="","",ROUND(J1209*MileRate,2))</f>
        <v/>
      </c>
      <c r="L1209" s="51">
        <f>IF(A1209="","",DATE(YEAR(A1209),MONTH(A1209),1))</f>
        <v/>
      </c>
    </row>
    <row r="1210">
      <c r="A1210" s="47" t="n"/>
      <c r="B1210" s="38" t="n"/>
      <c r="C1210" s="38" t="n"/>
      <c r="D1210" s="38" t="n"/>
      <c r="E1210" s="38" t="n"/>
      <c r="F1210" s="128" t="n"/>
      <c r="G1210" s="128" t="n"/>
      <c r="H1210" s="129" t="n"/>
      <c r="I1210" s="38" t="n"/>
      <c r="J1210" s="98">
        <f>IF(A1210="","",IF(AND(F1210&lt;&gt;"",G1210&lt;&gt;""),MAX(0,G1210-F1210),N(H1210)))</f>
        <v/>
      </c>
      <c r="K1210" s="55">
        <f>IF(A1210="","",ROUND(J1210*MileRate,2))</f>
        <v/>
      </c>
      <c r="L1210" s="51">
        <f>IF(A1210="","",DATE(YEAR(A1210),MONTH(A1210),1))</f>
        <v/>
      </c>
    </row>
    <row r="1211">
      <c r="A1211" s="47" t="n"/>
      <c r="B1211" s="38" t="n"/>
      <c r="C1211" s="38" t="n"/>
      <c r="D1211" s="38" t="n"/>
      <c r="E1211" s="38" t="n"/>
      <c r="F1211" s="128" t="n"/>
      <c r="G1211" s="128" t="n"/>
      <c r="H1211" s="129" t="n"/>
      <c r="I1211" s="38" t="n"/>
      <c r="J1211" s="98">
        <f>IF(A1211="","",IF(AND(F1211&lt;&gt;"",G1211&lt;&gt;""),MAX(0,G1211-F1211),N(H1211)))</f>
        <v/>
      </c>
      <c r="K1211" s="55">
        <f>IF(A1211="","",ROUND(J1211*MileRate,2))</f>
        <v/>
      </c>
      <c r="L1211" s="51">
        <f>IF(A1211="","",DATE(YEAR(A1211),MONTH(A1211),1))</f>
        <v/>
      </c>
    </row>
    <row r="1212">
      <c r="A1212" s="47" t="n"/>
      <c r="B1212" s="38" t="n"/>
      <c r="C1212" s="38" t="n"/>
      <c r="D1212" s="38" t="n"/>
      <c r="E1212" s="38" t="n"/>
      <c r="F1212" s="128" t="n"/>
      <c r="G1212" s="128" t="n"/>
      <c r="H1212" s="129" t="n"/>
      <c r="I1212" s="38" t="n"/>
      <c r="J1212" s="98">
        <f>IF(A1212="","",IF(AND(F1212&lt;&gt;"",G1212&lt;&gt;""),MAX(0,G1212-F1212),N(H1212)))</f>
        <v/>
      </c>
      <c r="K1212" s="55">
        <f>IF(A1212="","",ROUND(J1212*MileRate,2))</f>
        <v/>
      </c>
      <c r="L1212" s="51">
        <f>IF(A1212="","",DATE(YEAR(A1212),MONTH(A1212),1))</f>
        <v/>
      </c>
    </row>
    <row r="1213">
      <c r="A1213" s="47" t="n"/>
      <c r="B1213" s="38" t="n"/>
      <c r="C1213" s="38" t="n"/>
      <c r="D1213" s="38" t="n"/>
      <c r="E1213" s="38" t="n"/>
      <c r="F1213" s="128" t="n"/>
      <c r="G1213" s="128" t="n"/>
      <c r="H1213" s="129" t="n"/>
      <c r="I1213" s="38" t="n"/>
      <c r="J1213" s="98">
        <f>IF(A1213="","",IF(AND(F1213&lt;&gt;"",G1213&lt;&gt;""),MAX(0,G1213-F1213),N(H1213)))</f>
        <v/>
      </c>
      <c r="K1213" s="55">
        <f>IF(A1213="","",ROUND(J1213*MileRate,2))</f>
        <v/>
      </c>
      <c r="L1213" s="51">
        <f>IF(A1213="","",DATE(YEAR(A1213),MONTH(A1213),1))</f>
        <v/>
      </c>
    </row>
    <row r="1214">
      <c r="A1214" s="47" t="n"/>
      <c r="B1214" s="38" t="n"/>
      <c r="C1214" s="38" t="n"/>
      <c r="D1214" s="38" t="n"/>
      <c r="E1214" s="38" t="n"/>
      <c r="F1214" s="128" t="n"/>
      <c r="G1214" s="128" t="n"/>
      <c r="H1214" s="129" t="n"/>
      <c r="I1214" s="38" t="n"/>
      <c r="J1214" s="98">
        <f>IF(A1214="","",IF(AND(F1214&lt;&gt;"",G1214&lt;&gt;""),MAX(0,G1214-F1214),N(H1214)))</f>
        <v/>
      </c>
      <c r="K1214" s="55">
        <f>IF(A1214="","",ROUND(J1214*MileRate,2))</f>
        <v/>
      </c>
      <c r="L1214" s="51">
        <f>IF(A1214="","",DATE(YEAR(A1214),MONTH(A1214),1))</f>
        <v/>
      </c>
    </row>
    <row r="1215">
      <c r="A1215" s="47" t="n"/>
      <c r="B1215" s="38" t="n"/>
      <c r="C1215" s="38" t="n"/>
      <c r="D1215" s="38" t="n"/>
      <c r="E1215" s="38" t="n"/>
      <c r="F1215" s="128" t="n"/>
      <c r="G1215" s="128" t="n"/>
      <c r="H1215" s="129" t="n"/>
      <c r="I1215" s="38" t="n"/>
      <c r="J1215" s="98">
        <f>IF(A1215="","",IF(AND(F1215&lt;&gt;"",G1215&lt;&gt;""),MAX(0,G1215-F1215),N(H1215)))</f>
        <v/>
      </c>
      <c r="K1215" s="55">
        <f>IF(A1215="","",ROUND(J1215*MileRate,2))</f>
        <v/>
      </c>
      <c r="L1215" s="51">
        <f>IF(A1215="","",DATE(YEAR(A1215),MONTH(A1215),1))</f>
        <v/>
      </c>
    </row>
    <row r="1216">
      <c r="A1216" s="47" t="n"/>
      <c r="B1216" s="38" t="n"/>
      <c r="C1216" s="38" t="n"/>
      <c r="D1216" s="38" t="n"/>
      <c r="E1216" s="38" t="n"/>
      <c r="F1216" s="128" t="n"/>
      <c r="G1216" s="128" t="n"/>
      <c r="H1216" s="129" t="n"/>
      <c r="I1216" s="38" t="n"/>
      <c r="J1216" s="98">
        <f>IF(A1216="","",IF(AND(F1216&lt;&gt;"",G1216&lt;&gt;""),MAX(0,G1216-F1216),N(H1216)))</f>
        <v/>
      </c>
      <c r="K1216" s="55">
        <f>IF(A1216="","",ROUND(J1216*MileRate,2))</f>
        <v/>
      </c>
      <c r="L1216" s="51">
        <f>IF(A1216="","",DATE(YEAR(A1216),MONTH(A1216),1))</f>
        <v/>
      </c>
    </row>
    <row r="1217">
      <c r="A1217" s="47" t="n"/>
      <c r="B1217" s="38" t="n"/>
      <c r="C1217" s="38" t="n"/>
      <c r="D1217" s="38" t="n"/>
      <c r="E1217" s="38" t="n"/>
      <c r="F1217" s="128" t="n"/>
      <c r="G1217" s="128" t="n"/>
      <c r="H1217" s="129" t="n"/>
      <c r="I1217" s="38" t="n"/>
      <c r="J1217" s="98">
        <f>IF(A1217="","",IF(AND(F1217&lt;&gt;"",G1217&lt;&gt;""),MAX(0,G1217-F1217),N(H1217)))</f>
        <v/>
      </c>
      <c r="K1217" s="55">
        <f>IF(A1217="","",ROUND(J1217*MileRate,2))</f>
        <v/>
      </c>
      <c r="L1217" s="51">
        <f>IF(A1217="","",DATE(YEAR(A1217),MONTH(A1217),1))</f>
        <v/>
      </c>
    </row>
    <row r="1218">
      <c r="A1218" s="47" t="n"/>
      <c r="B1218" s="38" t="n"/>
      <c r="C1218" s="38" t="n"/>
      <c r="D1218" s="38" t="n"/>
      <c r="E1218" s="38" t="n"/>
      <c r="F1218" s="128" t="n"/>
      <c r="G1218" s="128" t="n"/>
      <c r="H1218" s="129" t="n"/>
      <c r="I1218" s="38" t="n"/>
      <c r="J1218" s="98">
        <f>IF(A1218="","",IF(AND(F1218&lt;&gt;"",G1218&lt;&gt;""),MAX(0,G1218-F1218),N(H1218)))</f>
        <v/>
      </c>
      <c r="K1218" s="55">
        <f>IF(A1218="","",ROUND(J1218*MileRate,2))</f>
        <v/>
      </c>
      <c r="L1218" s="51">
        <f>IF(A1218="","",DATE(YEAR(A1218),MONTH(A1218),1))</f>
        <v/>
      </c>
    </row>
    <row r="1219">
      <c r="A1219" s="47" t="n"/>
      <c r="B1219" s="38" t="n"/>
      <c r="C1219" s="38" t="n"/>
      <c r="D1219" s="38" t="n"/>
      <c r="E1219" s="38" t="n"/>
      <c r="F1219" s="128" t="n"/>
      <c r="G1219" s="128" t="n"/>
      <c r="H1219" s="129" t="n"/>
      <c r="I1219" s="38" t="n"/>
      <c r="J1219" s="98">
        <f>IF(A1219="","",IF(AND(F1219&lt;&gt;"",G1219&lt;&gt;""),MAX(0,G1219-F1219),N(H1219)))</f>
        <v/>
      </c>
      <c r="K1219" s="55">
        <f>IF(A1219="","",ROUND(J1219*MileRate,2))</f>
        <v/>
      </c>
      <c r="L1219" s="51">
        <f>IF(A1219="","",DATE(YEAR(A1219),MONTH(A1219),1))</f>
        <v/>
      </c>
    </row>
    <row r="1220">
      <c r="A1220" s="47" t="n"/>
      <c r="B1220" s="38" t="n"/>
      <c r="C1220" s="38" t="n"/>
      <c r="D1220" s="38" t="n"/>
      <c r="E1220" s="38" t="n"/>
      <c r="F1220" s="128" t="n"/>
      <c r="G1220" s="128" t="n"/>
      <c r="H1220" s="129" t="n"/>
      <c r="I1220" s="38" t="n"/>
      <c r="J1220" s="98">
        <f>IF(A1220="","",IF(AND(F1220&lt;&gt;"",G1220&lt;&gt;""),MAX(0,G1220-F1220),N(H1220)))</f>
        <v/>
      </c>
      <c r="K1220" s="55">
        <f>IF(A1220="","",ROUND(J1220*MileRate,2))</f>
        <v/>
      </c>
      <c r="L1220" s="51">
        <f>IF(A1220="","",DATE(YEAR(A1220),MONTH(A1220),1))</f>
        <v/>
      </c>
    </row>
    <row r="1221">
      <c r="A1221" s="47" t="n"/>
      <c r="B1221" s="38" t="n"/>
      <c r="C1221" s="38" t="n"/>
      <c r="D1221" s="38" t="n"/>
      <c r="E1221" s="38" t="n"/>
      <c r="F1221" s="128" t="n"/>
      <c r="G1221" s="128" t="n"/>
      <c r="H1221" s="129" t="n"/>
      <c r="I1221" s="38" t="n"/>
      <c r="J1221" s="98">
        <f>IF(A1221="","",IF(AND(F1221&lt;&gt;"",G1221&lt;&gt;""),MAX(0,G1221-F1221),N(H1221)))</f>
        <v/>
      </c>
      <c r="K1221" s="55">
        <f>IF(A1221="","",ROUND(J1221*MileRate,2))</f>
        <v/>
      </c>
      <c r="L1221" s="51">
        <f>IF(A1221="","",DATE(YEAR(A1221),MONTH(A1221),1))</f>
        <v/>
      </c>
    </row>
    <row r="1222">
      <c r="A1222" s="47" t="n"/>
      <c r="B1222" s="38" t="n"/>
      <c r="C1222" s="38" t="n"/>
      <c r="D1222" s="38" t="n"/>
      <c r="E1222" s="38" t="n"/>
      <c r="F1222" s="128" t="n"/>
      <c r="G1222" s="128" t="n"/>
      <c r="H1222" s="129" t="n"/>
      <c r="I1222" s="38" t="n"/>
      <c r="J1222" s="98">
        <f>IF(A1222="","",IF(AND(F1222&lt;&gt;"",G1222&lt;&gt;""),MAX(0,G1222-F1222),N(H1222)))</f>
        <v/>
      </c>
      <c r="K1222" s="55">
        <f>IF(A1222="","",ROUND(J1222*MileRate,2))</f>
        <v/>
      </c>
      <c r="L1222" s="51">
        <f>IF(A1222="","",DATE(YEAR(A1222),MONTH(A1222),1))</f>
        <v/>
      </c>
    </row>
    <row r="1223">
      <c r="A1223" s="47" t="n"/>
      <c r="B1223" s="38" t="n"/>
      <c r="C1223" s="38" t="n"/>
      <c r="D1223" s="38" t="n"/>
      <c r="E1223" s="38" t="n"/>
      <c r="F1223" s="128" t="n"/>
      <c r="G1223" s="128" t="n"/>
      <c r="H1223" s="129" t="n"/>
      <c r="I1223" s="38" t="n"/>
      <c r="J1223" s="98">
        <f>IF(A1223="","",IF(AND(F1223&lt;&gt;"",G1223&lt;&gt;""),MAX(0,G1223-F1223),N(H1223)))</f>
        <v/>
      </c>
      <c r="K1223" s="55">
        <f>IF(A1223="","",ROUND(J1223*MileRate,2))</f>
        <v/>
      </c>
      <c r="L1223" s="51">
        <f>IF(A1223="","",DATE(YEAR(A1223),MONTH(A1223),1))</f>
        <v/>
      </c>
    </row>
    <row r="1224">
      <c r="A1224" s="47" t="n"/>
      <c r="B1224" s="38" t="n"/>
      <c r="C1224" s="38" t="n"/>
      <c r="D1224" s="38" t="n"/>
      <c r="E1224" s="38" t="n"/>
      <c r="F1224" s="128" t="n"/>
      <c r="G1224" s="128" t="n"/>
      <c r="H1224" s="129" t="n"/>
      <c r="I1224" s="38" t="n"/>
      <c r="J1224" s="98">
        <f>IF(A1224="","",IF(AND(F1224&lt;&gt;"",G1224&lt;&gt;""),MAX(0,G1224-F1224),N(H1224)))</f>
        <v/>
      </c>
      <c r="K1224" s="55">
        <f>IF(A1224="","",ROUND(J1224*MileRate,2))</f>
        <v/>
      </c>
      <c r="L1224" s="51">
        <f>IF(A1224="","",DATE(YEAR(A1224),MONTH(A1224),1))</f>
        <v/>
      </c>
    </row>
    <row r="1225">
      <c r="A1225" s="47" t="n"/>
      <c r="B1225" s="38" t="n"/>
      <c r="C1225" s="38" t="n"/>
      <c r="D1225" s="38" t="n"/>
      <c r="E1225" s="38" t="n"/>
      <c r="F1225" s="128" t="n"/>
      <c r="G1225" s="128" t="n"/>
      <c r="H1225" s="129" t="n"/>
      <c r="I1225" s="38" t="n"/>
      <c r="J1225" s="98">
        <f>IF(A1225="","",IF(AND(F1225&lt;&gt;"",G1225&lt;&gt;""),MAX(0,G1225-F1225),N(H1225)))</f>
        <v/>
      </c>
      <c r="K1225" s="55">
        <f>IF(A1225="","",ROUND(J1225*MileRate,2))</f>
        <v/>
      </c>
      <c r="L1225" s="51">
        <f>IF(A1225="","",DATE(YEAR(A1225),MONTH(A1225),1))</f>
        <v/>
      </c>
    </row>
    <row r="1226">
      <c r="A1226" s="47" t="n"/>
      <c r="B1226" s="38" t="n"/>
      <c r="C1226" s="38" t="n"/>
      <c r="D1226" s="38" t="n"/>
      <c r="E1226" s="38" t="n"/>
      <c r="F1226" s="128" t="n"/>
      <c r="G1226" s="128" t="n"/>
      <c r="H1226" s="129" t="n"/>
      <c r="I1226" s="38" t="n"/>
      <c r="J1226" s="98">
        <f>IF(A1226="","",IF(AND(F1226&lt;&gt;"",G1226&lt;&gt;""),MAX(0,G1226-F1226),N(H1226)))</f>
        <v/>
      </c>
      <c r="K1226" s="55">
        <f>IF(A1226="","",ROUND(J1226*MileRate,2))</f>
        <v/>
      </c>
      <c r="L1226" s="51">
        <f>IF(A1226="","",DATE(YEAR(A1226),MONTH(A1226),1))</f>
        <v/>
      </c>
    </row>
    <row r="1227">
      <c r="A1227" s="47" t="n"/>
      <c r="B1227" s="38" t="n"/>
      <c r="C1227" s="38" t="n"/>
      <c r="D1227" s="38" t="n"/>
      <c r="E1227" s="38" t="n"/>
      <c r="F1227" s="128" t="n"/>
      <c r="G1227" s="128" t="n"/>
      <c r="H1227" s="129" t="n"/>
      <c r="I1227" s="38" t="n"/>
      <c r="J1227" s="98">
        <f>IF(A1227="","",IF(AND(F1227&lt;&gt;"",G1227&lt;&gt;""),MAX(0,G1227-F1227),N(H1227)))</f>
        <v/>
      </c>
      <c r="K1227" s="55">
        <f>IF(A1227="","",ROUND(J1227*MileRate,2))</f>
        <v/>
      </c>
      <c r="L1227" s="51">
        <f>IF(A1227="","",DATE(YEAR(A1227),MONTH(A1227),1))</f>
        <v/>
      </c>
    </row>
    <row r="1228">
      <c r="A1228" s="47" t="n"/>
      <c r="B1228" s="38" t="n"/>
      <c r="C1228" s="38" t="n"/>
      <c r="D1228" s="38" t="n"/>
      <c r="E1228" s="38" t="n"/>
      <c r="F1228" s="128" t="n"/>
      <c r="G1228" s="128" t="n"/>
      <c r="H1228" s="129" t="n"/>
      <c r="I1228" s="38" t="n"/>
      <c r="J1228" s="98">
        <f>IF(A1228="","",IF(AND(F1228&lt;&gt;"",G1228&lt;&gt;""),MAX(0,G1228-F1228),N(H1228)))</f>
        <v/>
      </c>
      <c r="K1228" s="55">
        <f>IF(A1228="","",ROUND(J1228*MileRate,2))</f>
        <v/>
      </c>
      <c r="L1228" s="51">
        <f>IF(A1228="","",DATE(YEAR(A1228),MONTH(A1228),1))</f>
        <v/>
      </c>
    </row>
    <row r="1229">
      <c r="A1229" s="47" t="n"/>
      <c r="B1229" s="38" t="n"/>
      <c r="C1229" s="38" t="n"/>
      <c r="D1229" s="38" t="n"/>
      <c r="E1229" s="38" t="n"/>
      <c r="F1229" s="128" t="n"/>
      <c r="G1229" s="128" t="n"/>
      <c r="H1229" s="129" t="n"/>
      <c r="I1229" s="38" t="n"/>
      <c r="J1229" s="98">
        <f>IF(A1229="","",IF(AND(F1229&lt;&gt;"",G1229&lt;&gt;""),MAX(0,G1229-F1229),N(H1229)))</f>
        <v/>
      </c>
      <c r="K1229" s="55">
        <f>IF(A1229="","",ROUND(J1229*MileRate,2))</f>
        <v/>
      </c>
      <c r="L1229" s="51">
        <f>IF(A1229="","",DATE(YEAR(A1229),MONTH(A1229),1))</f>
        <v/>
      </c>
    </row>
    <row r="1230">
      <c r="A1230" s="47" t="n"/>
      <c r="B1230" s="38" t="n"/>
      <c r="C1230" s="38" t="n"/>
      <c r="D1230" s="38" t="n"/>
      <c r="E1230" s="38" t="n"/>
      <c r="F1230" s="128" t="n"/>
      <c r="G1230" s="128" t="n"/>
      <c r="H1230" s="129" t="n"/>
      <c r="I1230" s="38" t="n"/>
      <c r="J1230" s="98">
        <f>IF(A1230="","",IF(AND(F1230&lt;&gt;"",G1230&lt;&gt;""),MAX(0,G1230-F1230),N(H1230)))</f>
        <v/>
      </c>
      <c r="K1230" s="55">
        <f>IF(A1230="","",ROUND(J1230*MileRate,2))</f>
        <v/>
      </c>
      <c r="L1230" s="51">
        <f>IF(A1230="","",DATE(YEAR(A1230),MONTH(A1230),1))</f>
        <v/>
      </c>
    </row>
    <row r="1231">
      <c r="A1231" s="47" t="n"/>
      <c r="B1231" s="38" t="n"/>
      <c r="C1231" s="38" t="n"/>
      <c r="D1231" s="38" t="n"/>
      <c r="E1231" s="38" t="n"/>
      <c r="F1231" s="128" t="n"/>
      <c r="G1231" s="128" t="n"/>
      <c r="H1231" s="129" t="n"/>
      <c r="I1231" s="38" t="n"/>
      <c r="J1231" s="98">
        <f>IF(A1231="","",IF(AND(F1231&lt;&gt;"",G1231&lt;&gt;""),MAX(0,G1231-F1231),N(H1231)))</f>
        <v/>
      </c>
      <c r="K1231" s="55">
        <f>IF(A1231="","",ROUND(J1231*MileRate,2))</f>
        <v/>
      </c>
      <c r="L1231" s="51">
        <f>IF(A1231="","",DATE(YEAR(A1231),MONTH(A1231),1))</f>
        <v/>
      </c>
    </row>
    <row r="1232">
      <c r="A1232" s="47" t="n"/>
      <c r="B1232" s="38" t="n"/>
      <c r="C1232" s="38" t="n"/>
      <c r="D1232" s="38" t="n"/>
      <c r="E1232" s="38" t="n"/>
      <c r="F1232" s="128" t="n"/>
      <c r="G1232" s="128" t="n"/>
      <c r="H1232" s="129" t="n"/>
      <c r="I1232" s="38" t="n"/>
      <c r="J1232" s="98">
        <f>IF(A1232="","",IF(AND(F1232&lt;&gt;"",G1232&lt;&gt;""),MAX(0,G1232-F1232),N(H1232)))</f>
        <v/>
      </c>
      <c r="K1232" s="55">
        <f>IF(A1232="","",ROUND(J1232*MileRate,2))</f>
        <v/>
      </c>
      <c r="L1232" s="51">
        <f>IF(A1232="","",DATE(YEAR(A1232),MONTH(A1232),1))</f>
        <v/>
      </c>
    </row>
    <row r="1233">
      <c r="A1233" s="47" t="n"/>
      <c r="B1233" s="38" t="n"/>
      <c r="C1233" s="38" t="n"/>
      <c r="D1233" s="38" t="n"/>
      <c r="E1233" s="38" t="n"/>
      <c r="F1233" s="128" t="n"/>
      <c r="G1233" s="128" t="n"/>
      <c r="H1233" s="129" t="n"/>
      <c r="I1233" s="38" t="n"/>
      <c r="J1233" s="98">
        <f>IF(A1233="","",IF(AND(F1233&lt;&gt;"",G1233&lt;&gt;""),MAX(0,G1233-F1233),N(H1233)))</f>
        <v/>
      </c>
      <c r="K1233" s="55">
        <f>IF(A1233="","",ROUND(J1233*MileRate,2))</f>
        <v/>
      </c>
      <c r="L1233" s="51">
        <f>IF(A1233="","",DATE(YEAR(A1233),MONTH(A1233),1))</f>
        <v/>
      </c>
    </row>
    <row r="1234">
      <c r="A1234" s="47" t="n"/>
      <c r="B1234" s="38" t="n"/>
      <c r="C1234" s="38" t="n"/>
      <c r="D1234" s="38" t="n"/>
      <c r="E1234" s="38" t="n"/>
      <c r="F1234" s="128" t="n"/>
      <c r="G1234" s="128" t="n"/>
      <c r="H1234" s="129" t="n"/>
      <c r="I1234" s="38" t="n"/>
      <c r="J1234" s="98">
        <f>IF(A1234="","",IF(AND(F1234&lt;&gt;"",G1234&lt;&gt;""),MAX(0,G1234-F1234),N(H1234)))</f>
        <v/>
      </c>
      <c r="K1234" s="55">
        <f>IF(A1234="","",ROUND(J1234*MileRate,2))</f>
        <v/>
      </c>
      <c r="L1234" s="51">
        <f>IF(A1234="","",DATE(YEAR(A1234),MONTH(A1234),1))</f>
        <v/>
      </c>
    </row>
    <row r="1235">
      <c r="A1235" s="47" t="n"/>
      <c r="B1235" s="38" t="n"/>
      <c r="C1235" s="38" t="n"/>
      <c r="D1235" s="38" t="n"/>
      <c r="E1235" s="38" t="n"/>
      <c r="F1235" s="128" t="n"/>
      <c r="G1235" s="128" t="n"/>
      <c r="H1235" s="129" t="n"/>
      <c r="I1235" s="38" t="n"/>
      <c r="J1235" s="98">
        <f>IF(A1235="","",IF(AND(F1235&lt;&gt;"",G1235&lt;&gt;""),MAX(0,G1235-F1235),N(H1235)))</f>
        <v/>
      </c>
      <c r="K1235" s="55">
        <f>IF(A1235="","",ROUND(J1235*MileRate,2))</f>
        <v/>
      </c>
      <c r="L1235" s="51">
        <f>IF(A1235="","",DATE(YEAR(A1235),MONTH(A1235),1))</f>
        <v/>
      </c>
    </row>
    <row r="1236">
      <c r="A1236" s="47" t="n"/>
      <c r="B1236" s="38" t="n"/>
      <c r="C1236" s="38" t="n"/>
      <c r="D1236" s="38" t="n"/>
      <c r="E1236" s="38" t="n"/>
      <c r="F1236" s="128" t="n"/>
      <c r="G1236" s="128" t="n"/>
      <c r="H1236" s="129" t="n"/>
      <c r="I1236" s="38" t="n"/>
      <c r="J1236" s="98">
        <f>IF(A1236="","",IF(AND(F1236&lt;&gt;"",G1236&lt;&gt;""),MAX(0,G1236-F1236),N(H1236)))</f>
        <v/>
      </c>
      <c r="K1236" s="55">
        <f>IF(A1236="","",ROUND(J1236*MileRate,2))</f>
        <v/>
      </c>
      <c r="L1236" s="51">
        <f>IF(A1236="","",DATE(YEAR(A1236),MONTH(A1236),1))</f>
        <v/>
      </c>
    </row>
    <row r="1237">
      <c r="A1237" s="47" t="n"/>
      <c r="B1237" s="38" t="n"/>
      <c r="C1237" s="38" t="n"/>
      <c r="D1237" s="38" t="n"/>
      <c r="E1237" s="38" t="n"/>
      <c r="F1237" s="128" t="n"/>
      <c r="G1237" s="128" t="n"/>
      <c r="H1237" s="129" t="n"/>
      <c r="I1237" s="38" t="n"/>
      <c r="J1237" s="98">
        <f>IF(A1237="","",IF(AND(F1237&lt;&gt;"",G1237&lt;&gt;""),MAX(0,G1237-F1237),N(H1237)))</f>
        <v/>
      </c>
      <c r="K1237" s="55">
        <f>IF(A1237="","",ROUND(J1237*MileRate,2))</f>
        <v/>
      </c>
      <c r="L1237" s="51">
        <f>IF(A1237="","",DATE(YEAR(A1237),MONTH(A1237),1))</f>
        <v/>
      </c>
    </row>
    <row r="1238">
      <c r="A1238" s="47" t="n"/>
      <c r="B1238" s="38" t="n"/>
      <c r="C1238" s="38" t="n"/>
      <c r="D1238" s="38" t="n"/>
      <c r="E1238" s="38" t="n"/>
      <c r="F1238" s="128" t="n"/>
      <c r="G1238" s="128" t="n"/>
      <c r="H1238" s="129" t="n"/>
      <c r="I1238" s="38" t="n"/>
      <c r="J1238" s="98">
        <f>IF(A1238="","",IF(AND(F1238&lt;&gt;"",G1238&lt;&gt;""),MAX(0,G1238-F1238),N(H1238)))</f>
        <v/>
      </c>
      <c r="K1238" s="55">
        <f>IF(A1238="","",ROUND(J1238*MileRate,2))</f>
        <v/>
      </c>
      <c r="L1238" s="51">
        <f>IF(A1238="","",DATE(YEAR(A1238),MONTH(A1238),1))</f>
        <v/>
      </c>
    </row>
    <row r="1239">
      <c r="A1239" s="47" t="n"/>
      <c r="B1239" s="38" t="n"/>
      <c r="C1239" s="38" t="n"/>
      <c r="D1239" s="38" t="n"/>
      <c r="E1239" s="38" t="n"/>
      <c r="F1239" s="128" t="n"/>
      <c r="G1239" s="128" t="n"/>
      <c r="H1239" s="129" t="n"/>
      <c r="I1239" s="38" t="n"/>
      <c r="J1239" s="98">
        <f>IF(A1239="","",IF(AND(F1239&lt;&gt;"",G1239&lt;&gt;""),MAX(0,G1239-F1239),N(H1239)))</f>
        <v/>
      </c>
      <c r="K1239" s="55">
        <f>IF(A1239="","",ROUND(J1239*MileRate,2))</f>
        <v/>
      </c>
      <c r="L1239" s="51">
        <f>IF(A1239="","",DATE(YEAR(A1239),MONTH(A1239),1))</f>
        <v/>
      </c>
    </row>
    <row r="1240">
      <c r="A1240" s="47" t="n"/>
      <c r="B1240" s="38" t="n"/>
      <c r="C1240" s="38" t="n"/>
      <c r="D1240" s="38" t="n"/>
      <c r="E1240" s="38" t="n"/>
      <c r="F1240" s="128" t="n"/>
      <c r="G1240" s="128" t="n"/>
      <c r="H1240" s="129" t="n"/>
      <c r="I1240" s="38" t="n"/>
      <c r="J1240" s="98">
        <f>IF(A1240="","",IF(AND(F1240&lt;&gt;"",G1240&lt;&gt;""),MAX(0,G1240-F1240),N(H1240)))</f>
        <v/>
      </c>
      <c r="K1240" s="55">
        <f>IF(A1240="","",ROUND(J1240*MileRate,2))</f>
        <v/>
      </c>
      <c r="L1240" s="51">
        <f>IF(A1240="","",DATE(YEAR(A1240),MONTH(A1240),1))</f>
        <v/>
      </c>
    </row>
    <row r="1241">
      <c r="A1241" s="47" t="n"/>
      <c r="B1241" s="38" t="n"/>
      <c r="C1241" s="38" t="n"/>
      <c r="D1241" s="38" t="n"/>
      <c r="E1241" s="38" t="n"/>
      <c r="F1241" s="128" t="n"/>
      <c r="G1241" s="128" t="n"/>
      <c r="H1241" s="129" t="n"/>
      <c r="I1241" s="38" t="n"/>
      <c r="J1241" s="98">
        <f>IF(A1241="","",IF(AND(F1241&lt;&gt;"",G1241&lt;&gt;""),MAX(0,G1241-F1241),N(H1241)))</f>
        <v/>
      </c>
      <c r="K1241" s="55">
        <f>IF(A1241="","",ROUND(J1241*MileRate,2))</f>
        <v/>
      </c>
      <c r="L1241" s="51">
        <f>IF(A1241="","",DATE(YEAR(A1241),MONTH(A1241),1))</f>
        <v/>
      </c>
    </row>
    <row r="1242">
      <c r="A1242" s="47" t="n"/>
      <c r="B1242" s="38" t="n"/>
      <c r="C1242" s="38" t="n"/>
      <c r="D1242" s="38" t="n"/>
      <c r="E1242" s="38" t="n"/>
      <c r="F1242" s="128" t="n"/>
      <c r="G1242" s="128" t="n"/>
      <c r="H1242" s="129" t="n"/>
      <c r="I1242" s="38" t="n"/>
      <c r="J1242" s="98">
        <f>IF(A1242="","",IF(AND(F1242&lt;&gt;"",G1242&lt;&gt;""),MAX(0,G1242-F1242),N(H1242)))</f>
        <v/>
      </c>
      <c r="K1242" s="55">
        <f>IF(A1242="","",ROUND(J1242*MileRate,2))</f>
        <v/>
      </c>
      <c r="L1242" s="51">
        <f>IF(A1242="","",DATE(YEAR(A1242),MONTH(A1242),1))</f>
        <v/>
      </c>
    </row>
    <row r="1243">
      <c r="A1243" s="47" t="n"/>
      <c r="B1243" s="38" t="n"/>
      <c r="C1243" s="38" t="n"/>
      <c r="D1243" s="38" t="n"/>
      <c r="E1243" s="38" t="n"/>
      <c r="F1243" s="128" t="n"/>
      <c r="G1243" s="128" t="n"/>
      <c r="H1243" s="129" t="n"/>
      <c r="I1243" s="38" t="n"/>
      <c r="J1243" s="98">
        <f>IF(A1243="","",IF(AND(F1243&lt;&gt;"",G1243&lt;&gt;""),MAX(0,G1243-F1243),N(H1243)))</f>
        <v/>
      </c>
      <c r="K1243" s="55">
        <f>IF(A1243="","",ROUND(J1243*MileRate,2))</f>
        <v/>
      </c>
      <c r="L1243" s="51">
        <f>IF(A1243="","",DATE(YEAR(A1243),MONTH(A1243),1))</f>
        <v/>
      </c>
    </row>
    <row r="1244">
      <c r="A1244" s="47" t="n"/>
      <c r="B1244" s="38" t="n"/>
      <c r="C1244" s="38" t="n"/>
      <c r="D1244" s="38" t="n"/>
      <c r="E1244" s="38" t="n"/>
      <c r="F1244" s="128" t="n"/>
      <c r="G1244" s="128" t="n"/>
      <c r="H1244" s="129" t="n"/>
      <c r="I1244" s="38" t="n"/>
      <c r="J1244" s="98">
        <f>IF(A1244="","",IF(AND(F1244&lt;&gt;"",G1244&lt;&gt;""),MAX(0,G1244-F1244),N(H1244)))</f>
        <v/>
      </c>
      <c r="K1244" s="55">
        <f>IF(A1244="","",ROUND(J1244*MileRate,2))</f>
        <v/>
      </c>
      <c r="L1244" s="51">
        <f>IF(A1244="","",DATE(YEAR(A1244),MONTH(A1244),1))</f>
        <v/>
      </c>
    </row>
    <row r="1245">
      <c r="A1245" s="47" t="n"/>
      <c r="B1245" s="38" t="n"/>
      <c r="C1245" s="38" t="n"/>
      <c r="D1245" s="38" t="n"/>
      <c r="E1245" s="38" t="n"/>
      <c r="F1245" s="128" t="n"/>
      <c r="G1245" s="128" t="n"/>
      <c r="H1245" s="129" t="n"/>
      <c r="I1245" s="38" t="n"/>
      <c r="J1245" s="98">
        <f>IF(A1245="","",IF(AND(F1245&lt;&gt;"",G1245&lt;&gt;""),MAX(0,G1245-F1245),N(H1245)))</f>
        <v/>
      </c>
      <c r="K1245" s="55">
        <f>IF(A1245="","",ROUND(J1245*MileRate,2))</f>
        <v/>
      </c>
      <c r="L1245" s="51">
        <f>IF(A1245="","",DATE(YEAR(A1245),MONTH(A1245),1))</f>
        <v/>
      </c>
    </row>
    <row r="1246">
      <c r="A1246" s="47" t="n"/>
      <c r="B1246" s="38" t="n"/>
      <c r="C1246" s="38" t="n"/>
      <c r="D1246" s="38" t="n"/>
      <c r="E1246" s="38" t="n"/>
      <c r="F1246" s="128" t="n"/>
      <c r="G1246" s="128" t="n"/>
      <c r="H1246" s="129" t="n"/>
      <c r="I1246" s="38" t="n"/>
      <c r="J1246" s="98">
        <f>IF(A1246="","",IF(AND(F1246&lt;&gt;"",G1246&lt;&gt;""),MAX(0,G1246-F1246),N(H1246)))</f>
        <v/>
      </c>
      <c r="K1246" s="55">
        <f>IF(A1246="","",ROUND(J1246*MileRate,2))</f>
        <v/>
      </c>
      <c r="L1246" s="51">
        <f>IF(A1246="","",DATE(YEAR(A1246),MONTH(A1246),1))</f>
        <v/>
      </c>
    </row>
    <row r="1247">
      <c r="A1247" s="47" t="n"/>
      <c r="B1247" s="38" t="n"/>
      <c r="C1247" s="38" t="n"/>
      <c r="D1247" s="38" t="n"/>
      <c r="E1247" s="38" t="n"/>
      <c r="F1247" s="128" t="n"/>
      <c r="G1247" s="128" t="n"/>
      <c r="H1247" s="129" t="n"/>
      <c r="I1247" s="38" t="n"/>
      <c r="J1247" s="98">
        <f>IF(A1247="","",IF(AND(F1247&lt;&gt;"",G1247&lt;&gt;""),MAX(0,G1247-F1247),N(H1247)))</f>
        <v/>
      </c>
      <c r="K1247" s="55">
        <f>IF(A1247="","",ROUND(J1247*MileRate,2))</f>
        <v/>
      </c>
      <c r="L1247" s="51">
        <f>IF(A1247="","",DATE(YEAR(A1247),MONTH(A1247),1))</f>
        <v/>
      </c>
    </row>
    <row r="1248">
      <c r="A1248" s="47" t="n"/>
      <c r="B1248" s="38" t="n"/>
      <c r="C1248" s="38" t="n"/>
      <c r="D1248" s="38" t="n"/>
      <c r="E1248" s="38" t="n"/>
      <c r="F1248" s="128" t="n"/>
      <c r="G1248" s="128" t="n"/>
      <c r="H1248" s="129" t="n"/>
      <c r="I1248" s="38" t="n"/>
      <c r="J1248" s="98">
        <f>IF(A1248="","",IF(AND(F1248&lt;&gt;"",G1248&lt;&gt;""),MAX(0,G1248-F1248),N(H1248)))</f>
        <v/>
      </c>
      <c r="K1248" s="55">
        <f>IF(A1248="","",ROUND(J1248*MileRate,2))</f>
        <v/>
      </c>
      <c r="L1248" s="51">
        <f>IF(A1248="","",DATE(YEAR(A1248),MONTH(A1248),1))</f>
        <v/>
      </c>
    </row>
    <row r="1249">
      <c r="A1249" s="47" t="n"/>
      <c r="B1249" s="38" t="n"/>
      <c r="C1249" s="38" t="n"/>
      <c r="D1249" s="38" t="n"/>
      <c r="E1249" s="38" t="n"/>
      <c r="F1249" s="128" t="n"/>
      <c r="G1249" s="128" t="n"/>
      <c r="H1249" s="129" t="n"/>
      <c r="I1249" s="38" t="n"/>
      <c r="J1249" s="98">
        <f>IF(A1249="","",IF(AND(F1249&lt;&gt;"",G1249&lt;&gt;""),MAX(0,G1249-F1249),N(H1249)))</f>
        <v/>
      </c>
      <c r="K1249" s="55">
        <f>IF(A1249="","",ROUND(J1249*MileRate,2))</f>
        <v/>
      </c>
      <c r="L1249" s="51">
        <f>IF(A1249="","",DATE(YEAR(A1249),MONTH(A1249),1))</f>
        <v/>
      </c>
    </row>
    <row r="1250">
      <c r="A1250" s="47" t="n"/>
      <c r="B1250" s="38" t="n"/>
      <c r="C1250" s="38" t="n"/>
      <c r="D1250" s="38" t="n"/>
      <c r="E1250" s="38" t="n"/>
      <c r="F1250" s="128" t="n"/>
      <c r="G1250" s="128" t="n"/>
      <c r="H1250" s="129" t="n"/>
      <c r="I1250" s="38" t="n"/>
      <c r="J1250" s="98">
        <f>IF(A1250="","",IF(AND(F1250&lt;&gt;"",G1250&lt;&gt;""),MAX(0,G1250-F1250),N(H1250)))</f>
        <v/>
      </c>
      <c r="K1250" s="55">
        <f>IF(A1250="","",ROUND(J1250*MileRate,2))</f>
        <v/>
      </c>
      <c r="L1250" s="51">
        <f>IF(A1250="","",DATE(YEAR(A1250),MONTH(A1250),1))</f>
        <v/>
      </c>
    </row>
    <row r="1251">
      <c r="A1251" s="47" t="n"/>
      <c r="B1251" s="38" t="n"/>
      <c r="C1251" s="38" t="n"/>
      <c r="D1251" s="38" t="n"/>
      <c r="E1251" s="38" t="n"/>
      <c r="F1251" s="128" t="n"/>
      <c r="G1251" s="128" t="n"/>
      <c r="H1251" s="129" t="n"/>
      <c r="I1251" s="38" t="n"/>
      <c r="J1251" s="98">
        <f>IF(A1251="","",IF(AND(F1251&lt;&gt;"",G1251&lt;&gt;""),MAX(0,G1251-F1251),N(H1251)))</f>
        <v/>
      </c>
      <c r="K1251" s="55">
        <f>IF(A1251="","",ROUND(J1251*MileRate,2))</f>
        <v/>
      </c>
      <c r="L1251" s="51">
        <f>IF(A1251="","",DATE(YEAR(A1251),MONTH(A1251),1))</f>
        <v/>
      </c>
    </row>
    <row r="1252">
      <c r="A1252" s="47" t="n"/>
      <c r="B1252" s="38" t="n"/>
      <c r="C1252" s="38" t="n"/>
      <c r="D1252" s="38" t="n"/>
      <c r="E1252" s="38" t="n"/>
      <c r="F1252" s="128" t="n"/>
      <c r="G1252" s="128" t="n"/>
      <c r="H1252" s="129" t="n"/>
      <c r="I1252" s="38" t="n"/>
      <c r="J1252" s="98">
        <f>IF(A1252="","",IF(AND(F1252&lt;&gt;"",G1252&lt;&gt;""),MAX(0,G1252-F1252),N(H1252)))</f>
        <v/>
      </c>
      <c r="K1252" s="55">
        <f>IF(A1252="","",ROUND(J1252*MileRate,2))</f>
        <v/>
      </c>
      <c r="L1252" s="51">
        <f>IF(A1252="","",DATE(YEAR(A1252),MONTH(A1252),1))</f>
        <v/>
      </c>
    </row>
    <row r="1253">
      <c r="A1253" s="47" t="n"/>
      <c r="B1253" s="38" t="n"/>
      <c r="C1253" s="38" t="n"/>
      <c r="D1253" s="38" t="n"/>
      <c r="E1253" s="38" t="n"/>
      <c r="F1253" s="128" t="n"/>
      <c r="G1253" s="128" t="n"/>
      <c r="H1253" s="129" t="n"/>
      <c r="I1253" s="38" t="n"/>
      <c r="J1253" s="98">
        <f>IF(A1253="","",IF(AND(F1253&lt;&gt;"",G1253&lt;&gt;""),MAX(0,G1253-F1253),N(H1253)))</f>
        <v/>
      </c>
      <c r="K1253" s="55">
        <f>IF(A1253="","",ROUND(J1253*MileRate,2))</f>
        <v/>
      </c>
      <c r="L1253" s="51">
        <f>IF(A1253="","",DATE(YEAR(A1253),MONTH(A1253),1))</f>
        <v/>
      </c>
    </row>
    <row r="1254">
      <c r="A1254" s="47" t="n"/>
      <c r="B1254" s="38" t="n"/>
      <c r="C1254" s="38" t="n"/>
      <c r="D1254" s="38" t="n"/>
      <c r="E1254" s="38" t="n"/>
      <c r="F1254" s="128" t="n"/>
      <c r="G1254" s="128" t="n"/>
      <c r="H1254" s="129" t="n"/>
      <c r="I1254" s="38" t="n"/>
      <c r="J1254" s="98">
        <f>IF(A1254="","",IF(AND(F1254&lt;&gt;"",G1254&lt;&gt;""),MAX(0,G1254-F1254),N(H1254)))</f>
        <v/>
      </c>
      <c r="K1254" s="55">
        <f>IF(A1254="","",ROUND(J1254*MileRate,2))</f>
        <v/>
      </c>
      <c r="L1254" s="51">
        <f>IF(A1254="","",DATE(YEAR(A1254),MONTH(A1254),1))</f>
        <v/>
      </c>
    </row>
    <row r="1255">
      <c r="A1255" s="47" t="n"/>
      <c r="B1255" s="38" t="n"/>
      <c r="C1255" s="38" t="n"/>
      <c r="D1255" s="38" t="n"/>
      <c r="E1255" s="38" t="n"/>
      <c r="F1255" s="128" t="n"/>
      <c r="G1255" s="128" t="n"/>
      <c r="H1255" s="129" t="n"/>
      <c r="I1255" s="38" t="n"/>
      <c r="J1255" s="98">
        <f>IF(A1255="","",IF(AND(F1255&lt;&gt;"",G1255&lt;&gt;""),MAX(0,G1255-F1255),N(H1255)))</f>
        <v/>
      </c>
      <c r="K1255" s="55">
        <f>IF(A1255="","",ROUND(J1255*MileRate,2))</f>
        <v/>
      </c>
      <c r="L1255" s="51">
        <f>IF(A1255="","",DATE(YEAR(A1255),MONTH(A1255),1))</f>
        <v/>
      </c>
    </row>
    <row r="1256">
      <c r="A1256" s="47" t="n"/>
      <c r="B1256" s="38" t="n"/>
      <c r="C1256" s="38" t="n"/>
      <c r="D1256" s="38" t="n"/>
      <c r="E1256" s="38" t="n"/>
      <c r="F1256" s="128" t="n"/>
      <c r="G1256" s="128" t="n"/>
      <c r="H1256" s="129" t="n"/>
      <c r="I1256" s="38" t="n"/>
      <c r="J1256" s="98">
        <f>IF(A1256="","",IF(AND(F1256&lt;&gt;"",G1256&lt;&gt;""),MAX(0,G1256-F1256),N(H1256)))</f>
        <v/>
      </c>
      <c r="K1256" s="55">
        <f>IF(A1256="","",ROUND(J1256*MileRate,2))</f>
        <v/>
      </c>
      <c r="L1256" s="51">
        <f>IF(A1256="","",DATE(YEAR(A1256),MONTH(A1256),1))</f>
        <v/>
      </c>
    </row>
    <row r="1257">
      <c r="A1257" s="47" t="n"/>
      <c r="B1257" s="38" t="n"/>
      <c r="C1257" s="38" t="n"/>
      <c r="D1257" s="38" t="n"/>
      <c r="E1257" s="38" t="n"/>
      <c r="F1257" s="128" t="n"/>
      <c r="G1257" s="128" t="n"/>
      <c r="H1257" s="129" t="n"/>
      <c r="I1257" s="38" t="n"/>
      <c r="J1257" s="98">
        <f>IF(A1257="","",IF(AND(F1257&lt;&gt;"",G1257&lt;&gt;""),MAX(0,G1257-F1257),N(H1257)))</f>
        <v/>
      </c>
      <c r="K1257" s="55">
        <f>IF(A1257="","",ROUND(J1257*MileRate,2))</f>
        <v/>
      </c>
      <c r="L1257" s="51">
        <f>IF(A1257="","",DATE(YEAR(A1257),MONTH(A1257),1))</f>
        <v/>
      </c>
    </row>
    <row r="1258">
      <c r="A1258" s="47" t="n"/>
      <c r="B1258" s="38" t="n"/>
      <c r="C1258" s="38" t="n"/>
      <c r="D1258" s="38" t="n"/>
      <c r="E1258" s="38" t="n"/>
      <c r="F1258" s="128" t="n"/>
      <c r="G1258" s="128" t="n"/>
      <c r="H1258" s="129" t="n"/>
      <c r="I1258" s="38" t="n"/>
      <c r="J1258" s="98">
        <f>IF(A1258="","",IF(AND(F1258&lt;&gt;"",G1258&lt;&gt;""),MAX(0,G1258-F1258),N(H1258)))</f>
        <v/>
      </c>
      <c r="K1258" s="55">
        <f>IF(A1258="","",ROUND(J1258*MileRate,2))</f>
        <v/>
      </c>
      <c r="L1258" s="51">
        <f>IF(A1258="","",DATE(YEAR(A1258),MONTH(A1258),1))</f>
        <v/>
      </c>
    </row>
    <row r="1259">
      <c r="A1259" s="47" t="n"/>
      <c r="B1259" s="38" t="n"/>
      <c r="C1259" s="38" t="n"/>
      <c r="D1259" s="38" t="n"/>
      <c r="E1259" s="38" t="n"/>
      <c r="F1259" s="128" t="n"/>
      <c r="G1259" s="128" t="n"/>
      <c r="H1259" s="129" t="n"/>
      <c r="I1259" s="38" t="n"/>
      <c r="J1259" s="98">
        <f>IF(A1259="","",IF(AND(F1259&lt;&gt;"",G1259&lt;&gt;""),MAX(0,G1259-F1259),N(H1259)))</f>
        <v/>
      </c>
      <c r="K1259" s="55">
        <f>IF(A1259="","",ROUND(J1259*MileRate,2))</f>
        <v/>
      </c>
      <c r="L1259" s="51">
        <f>IF(A1259="","",DATE(YEAR(A1259),MONTH(A1259),1))</f>
        <v/>
      </c>
    </row>
    <row r="1260">
      <c r="A1260" s="47" t="n"/>
      <c r="B1260" s="38" t="n"/>
      <c r="C1260" s="38" t="n"/>
      <c r="D1260" s="38" t="n"/>
      <c r="E1260" s="38" t="n"/>
      <c r="F1260" s="128" t="n"/>
      <c r="G1260" s="128" t="n"/>
      <c r="H1260" s="129" t="n"/>
      <c r="I1260" s="38" t="n"/>
      <c r="J1260" s="98">
        <f>IF(A1260="","",IF(AND(F1260&lt;&gt;"",G1260&lt;&gt;""),MAX(0,G1260-F1260),N(H1260)))</f>
        <v/>
      </c>
      <c r="K1260" s="55">
        <f>IF(A1260="","",ROUND(J1260*MileRate,2))</f>
        <v/>
      </c>
      <c r="L1260" s="51">
        <f>IF(A1260="","",DATE(YEAR(A1260),MONTH(A1260),1))</f>
        <v/>
      </c>
    </row>
    <row r="1261">
      <c r="A1261" s="47" t="n"/>
      <c r="B1261" s="38" t="n"/>
      <c r="C1261" s="38" t="n"/>
      <c r="D1261" s="38" t="n"/>
      <c r="E1261" s="38" t="n"/>
      <c r="F1261" s="128" t="n"/>
      <c r="G1261" s="128" t="n"/>
      <c r="H1261" s="129" t="n"/>
      <c r="I1261" s="38" t="n"/>
      <c r="J1261" s="98">
        <f>IF(A1261="","",IF(AND(F1261&lt;&gt;"",G1261&lt;&gt;""),MAX(0,G1261-F1261),N(H1261)))</f>
        <v/>
      </c>
      <c r="K1261" s="55">
        <f>IF(A1261="","",ROUND(J1261*MileRate,2))</f>
        <v/>
      </c>
      <c r="L1261" s="51">
        <f>IF(A1261="","",DATE(YEAR(A1261),MONTH(A1261),1))</f>
        <v/>
      </c>
    </row>
    <row r="1262">
      <c r="A1262" s="47" t="n"/>
      <c r="B1262" s="38" t="n"/>
      <c r="C1262" s="38" t="n"/>
      <c r="D1262" s="38" t="n"/>
      <c r="E1262" s="38" t="n"/>
      <c r="F1262" s="128" t="n"/>
      <c r="G1262" s="128" t="n"/>
      <c r="H1262" s="129" t="n"/>
      <c r="I1262" s="38" t="n"/>
      <c r="J1262" s="98">
        <f>IF(A1262="","",IF(AND(F1262&lt;&gt;"",G1262&lt;&gt;""),MAX(0,G1262-F1262),N(H1262)))</f>
        <v/>
      </c>
      <c r="K1262" s="55">
        <f>IF(A1262="","",ROUND(J1262*MileRate,2))</f>
        <v/>
      </c>
      <c r="L1262" s="51">
        <f>IF(A1262="","",DATE(YEAR(A1262),MONTH(A1262),1))</f>
        <v/>
      </c>
    </row>
    <row r="1263">
      <c r="A1263" s="47" t="n"/>
      <c r="B1263" s="38" t="n"/>
      <c r="C1263" s="38" t="n"/>
      <c r="D1263" s="38" t="n"/>
      <c r="E1263" s="38" t="n"/>
      <c r="F1263" s="128" t="n"/>
      <c r="G1263" s="128" t="n"/>
      <c r="H1263" s="129" t="n"/>
      <c r="I1263" s="38" t="n"/>
      <c r="J1263" s="98">
        <f>IF(A1263="","",IF(AND(F1263&lt;&gt;"",G1263&lt;&gt;""),MAX(0,G1263-F1263),N(H1263)))</f>
        <v/>
      </c>
      <c r="K1263" s="55">
        <f>IF(A1263="","",ROUND(J1263*MileRate,2))</f>
        <v/>
      </c>
      <c r="L1263" s="51">
        <f>IF(A1263="","",DATE(YEAR(A1263),MONTH(A1263),1))</f>
        <v/>
      </c>
    </row>
    <row r="1264">
      <c r="A1264" s="47" t="n"/>
      <c r="B1264" s="38" t="n"/>
      <c r="C1264" s="38" t="n"/>
      <c r="D1264" s="38" t="n"/>
      <c r="E1264" s="38" t="n"/>
      <c r="F1264" s="128" t="n"/>
      <c r="G1264" s="128" t="n"/>
      <c r="H1264" s="129" t="n"/>
      <c r="I1264" s="38" t="n"/>
      <c r="J1264" s="98">
        <f>IF(A1264="","",IF(AND(F1264&lt;&gt;"",G1264&lt;&gt;""),MAX(0,G1264-F1264),N(H1264)))</f>
        <v/>
      </c>
      <c r="K1264" s="55">
        <f>IF(A1264="","",ROUND(J1264*MileRate,2))</f>
        <v/>
      </c>
      <c r="L1264" s="51">
        <f>IF(A1264="","",DATE(YEAR(A1264),MONTH(A1264),1))</f>
        <v/>
      </c>
    </row>
    <row r="1265">
      <c r="A1265" s="47" t="n"/>
      <c r="B1265" s="38" t="n"/>
      <c r="C1265" s="38" t="n"/>
      <c r="D1265" s="38" t="n"/>
      <c r="E1265" s="38" t="n"/>
      <c r="F1265" s="128" t="n"/>
      <c r="G1265" s="128" t="n"/>
      <c r="H1265" s="129" t="n"/>
      <c r="I1265" s="38" t="n"/>
      <c r="J1265" s="98">
        <f>IF(A1265="","",IF(AND(F1265&lt;&gt;"",G1265&lt;&gt;""),MAX(0,G1265-F1265),N(H1265)))</f>
        <v/>
      </c>
      <c r="K1265" s="55">
        <f>IF(A1265="","",ROUND(J1265*MileRate,2))</f>
        <v/>
      </c>
      <c r="L1265" s="51">
        <f>IF(A1265="","",DATE(YEAR(A1265),MONTH(A1265),1))</f>
        <v/>
      </c>
    </row>
    <row r="1266">
      <c r="A1266" s="47" t="n"/>
      <c r="B1266" s="38" t="n"/>
      <c r="C1266" s="38" t="n"/>
      <c r="D1266" s="38" t="n"/>
      <c r="E1266" s="38" t="n"/>
      <c r="F1266" s="128" t="n"/>
      <c r="G1266" s="128" t="n"/>
      <c r="H1266" s="129" t="n"/>
      <c r="I1266" s="38" t="n"/>
      <c r="J1266" s="98">
        <f>IF(A1266="","",IF(AND(F1266&lt;&gt;"",G1266&lt;&gt;""),MAX(0,G1266-F1266),N(H1266)))</f>
        <v/>
      </c>
      <c r="K1266" s="55">
        <f>IF(A1266="","",ROUND(J1266*MileRate,2))</f>
        <v/>
      </c>
      <c r="L1266" s="51">
        <f>IF(A1266="","",DATE(YEAR(A1266),MONTH(A1266),1))</f>
        <v/>
      </c>
    </row>
    <row r="1267">
      <c r="A1267" s="47" t="n"/>
      <c r="B1267" s="38" t="n"/>
      <c r="C1267" s="38" t="n"/>
      <c r="D1267" s="38" t="n"/>
      <c r="E1267" s="38" t="n"/>
      <c r="F1267" s="128" t="n"/>
      <c r="G1267" s="128" t="n"/>
      <c r="H1267" s="129" t="n"/>
      <c r="I1267" s="38" t="n"/>
      <c r="J1267" s="98">
        <f>IF(A1267="","",IF(AND(F1267&lt;&gt;"",G1267&lt;&gt;""),MAX(0,G1267-F1267),N(H1267)))</f>
        <v/>
      </c>
      <c r="K1267" s="55">
        <f>IF(A1267="","",ROUND(J1267*MileRate,2))</f>
        <v/>
      </c>
      <c r="L1267" s="51">
        <f>IF(A1267="","",DATE(YEAR(A1267),MONTH(A1267),1))</f>
        <v/>
      </c>
    </row>
    <row r="1268">
      <c r="A1268" s="47" t="n"/>
      <c r="B1268" s="38" t="n"/>
      <c r="C1268" s="38" t="n"/>
      <c r="D1268" s="38" t="n"/>
      <c r="E1268" s="38" t="n"/>
      <c r="F1268" s="128" t="n"/>
      <c r="G1268" s="128" t="n"/>
      <c r="H1268" s="129" t="n"/>
      <c r="I1268" s="38" t="n"/>
      <c r="J1268" s="98">
        <f>IF(A1268="","",IF(AND(F1268&lt;&gt;"",G1268&lt;&gt;""),MAX(0,G1268-F1268),N(H1268)))</f>
        <v/>
      </c>
      <c r="K1268" s="55">
        <f>IF(A1268="","",ROUND(J1268*MileRate,2))</f>
        <v/>
      </c>
      <c r="L1268" s="51">
        <f>IF(A1268="","",DATE(YEAR(A1268),MONTH(A1268),1))</f>
        <v/>
      </c>
    </row>
    <row r="1269">
      <c r="A1269" s="47" t="n"/>
      <c r="B1269" s="38" t="n"/>
      <c r="C1269" s="38" t="n"/>
      <c r="D1269" s="38" t="n"/>
      <c r="E1269" s="38" t="n"/>
      <c r="F1269" s="128" t="n"/>
      <c r="G1269" s="128" t="n"/>
      <c r="H1269" s="129" t="n"/>
      <c r="I1269" s="38" t="n"/>
      <c r="J1269" s="98">
        <f>IF(A1269="","",IF(AND(F1269&lt;&gt;"",G1269&lt;&gt;""),MAX(0,G1269-F1269),N(H1269)))</f>
        <v/>
      </c>
      <c r="K1269" s="55">
        <f>IF(A1269="","",ROUND(J1269*MileRate,2))</f>
        <v/>
      </c>
      <c r="L1269" s="51">
        <f>IF(A1269="","",DATE(YEAR(A1269),MONTH(A1269),1))</f>
        <v/>
      </c>
    </row>
    <row r="1270">
      <c r="A1270" s="47" t="n"/>
      <c r="B1270" s="38" t="n"/>
      <c r="C1270" s="38" t="n"/>
      <c r="D1270" s="38" t="n"/>
      <c r="E1270" s="38" t="n"/>
      <c r="F1270" s="128" t="n"/>
      <c r="G1270" s="128" t="n"/>
      <c r="H1270" s="129" t="n"/>
      <c r="I1270" s="38" t="n"/>
      <c r="J1270" s="98">
        <f>IF(A1270="","",IF(AND(F1270&lt;&gt;"",G1270&lt;&gt;""),MAX(0,G1270-F1270),N(H1270)))</f>
        <v/>
      </c>
      <c r="K1270" s="55">
        <f>IF(A1270="","",ROUND(J1270*MileRate,2))</f>
        <v/>
      </c>
      <c r="L1270" s="51">
        <f>IF(A1270="","",DATE(YEAR(A1270),MONTH(A1270),1))</f>
        <v/>
      </c>
    </row>
    <row r="1271">
      <c r="A1271" s="47" t="n"/>
      <c r="B1271" s="38" t="n"/>
      <c r="C1271" s="38" t="n"/>
      <c r="D1271" s="38" t="n"/>
      <c r="E1271" s="38" t="n"/>
      <c r="F1271" s="128" t="n"/>
      <c r="G1271" s="128" t="n"/>
      <c r="H1271" s="129" t="n"/>
      <c r="I1271" s="38" t="n"/>
      <c r="J1271" s="98">
        <f>IF(A1271="","",IF(AND(F1271&lt;&gt;"",G1271&lt;&gt;""),MAX(0,G1271-F1271),N(H1271)))</f>
        <v/>
      </c>
      <c r="K1271" s="55">
        <f>IF(A1271="","",ROUND(J1271*MileRate,2))</f>
        <v/>
      </c>
      <c r="L1271" s="51">
        <f>IF(A1271="","",DATE(YEAR(A1271),MONTH(A1271),1))</f>
        <v/>
      </c>
    </row>
    <row r="1272">
      <c r="A1272" s="47" t="n"/>
      <c r="B1272" s="38" t="n"/>
      <c r="C1272" s="38" t="n"/>
      <c r="D1272" s="38" t="n"/>
      <c r="E1272" s="38" t="n"/>
      <c r="F1272" s="128" t="n"/>
      <c r="G1272" s="128" t="n"/>
      <c r="H1272" s="129" t="n"/>
      <c r="I1272" s="38" t="n"/>
      <c r="J1272" s="98">
        <f>IF(A1272="","",IF(AND(F1272&lt;&gt;"",G1272&lt;&gt;""),MAX(0,G1272-F1272),N(H1272)))</f>
        <v/>
      </c>
      <c r="K1272" s="55">
        <f>IF(A1272="","",ROUND(J1272*MileRate,2))</f>
        <v/>
      </c>
      <c r="L1272" s="51">
        <f>IF(A1272="","",DATE(YEAR(A1272),MONTH(A1272),1))</f>
        <v/>
      </c>
    </row>
    <row r="1273">
      <c r="A1273" s="47" t="n"/>
      <c r="B1273" s="38" t="n"/>
      <c r="C1273" s="38" t="n"/>
      <c r="D1273" s="38" t="n"/>
      <c r="E1273" s="38" t="n"/>
      <c r="F1273" s="128" t="n"/>
      <c r="G1273" s="128" t="n"/>
      <c r="H1273" s="129" t="n"/>
      <c r="I1273" s="38" t="n"/>
      <c r="J1273" s="98">
        <f>IF(A1273="","",IF(AND(F1273&lt;&gt;"",G1273&lt;&gt;""),MAX(0,G1273-F1273),N(H1273)))</f>
        <v/>
      </c>
      <c r="K1273" s="55">
        <f>IF(A1273="","",ROUND(J1273*MileRate,2))</f>
        <v/>
      </c>
      <c r="L1273" s="51">
        <f>IF(A1273="","",DATE(YEAR(A1273),MONTH(A1273),1))</f>
        <v/>
      </c>
    </row>
    <row r="1274">
      <c r="A1274" s="47" t="n"/>
      <c r="B1274" s="38" t="n"/>
      <c r="C1274" s="38" t="n"/>
      <c r="D1274" s="38" t="n"/>
      <c r="E1274" s="38" t="n"/>
      <c r="F1274" s="128" t="n"/>
      <c r="G1274" s="128" t="n"/>
      <c r="H1274" s="129" t="n"/>
      <c r="I1274" s="38" t="n"/>
      <c r="J1274" s="98">
        <f>IF(A1274="","",IF(AND(F1274&lt;&gt;"",G1274&lt;&gt;""),MAX(0,G1274-F1274),N(H1274)))</f>
        <v/>
      </c>
      <c r="K1274" s="55">
        <f>IF(A1274="","",ROUND(J1274*MileRate,2))</f>
        <v/>
      </c>
      <c r="L1274" s="51">
        <f>IF(A1274="","",DATE(YEAR(A1274),MONTH(A1274),1))</f>
        <v/>
      </c>
    </row>
    <row r="1275">
      <c r="A1275" s="47" t="n"/>
      <c r="B1275" s="38" t="n"/>
      <c r="C1275" s="38" t="n"/>
      <c r="D1275" s="38" t="n"/>
      <c r="E1275" s="38" t="n"/>
      <c r="F1275" s="128" t="n"/>
      <c r="G1275" s="128" t="n"/>
      <c r="H1275" s="129" t="n"/>
      <c r="I1275" s="38" t="n"/>
      <c r="J1275" s="98">
        <f>IF(A1275="","",IF(AND(F1275&lt;&gt;"",G1275&lt;&gt;""),MAX(0,G1275-F1275),N(H1275)))</f>
        <v/>
      </c>
      <c r="K1275" s="55">
        <f>IF(A1275="","",ROUND(J1275*MileRate,2))</f>
        <v/>
      </c>
      <c r="L1275" s="51">
        <f>IF(A1275="","",DATE(YEAR(A1275),MONTH(A1275),1))</f>
        <v/>
      </c>
    </row>
    <row r="1276">
      <c r="A1276" s="47" t="n"/>
      <c r="B1276" s="38" t="n"/>
      <c r="C1276" s="38" t="n"/>
      <c r="D1276" s="38" t="n"/>
      <c r="E1276" s="38" t="n"/>
      <c r="F1276" s="128" t="n"/>
      <c r="G1276" s="128" t="n"/>
      <c r="H1276" s="129" t="n"/>
      <c r="I1276" s="38" t="n"/>
      <c r="J1276" s="98">
        <f>IF(A1276="","",IF(AND(F1276&lt;&gt;"",G1276&lt;&gt;""),MAX(0,G1276-F1276),N(H1276)))</f>
        <v/>
      </c>
      <c r="K1276" s="55">
        <f>IF(A1276="","",ROUND(J1276*MileRate,2))</f>
        <v/>
      </c>
      <c r="L1276" s="51">
        <f>IF(A1276="","",DATE(YEAR(A1276),MONTH(A1276),1))</f>
        <v/>
      </c>
    </row>
    <row r="1277">
      <c r="A1277" s="47" t="n"/>
      <c r="B1277" s="38" t="n"/>
      <c r="C1277" s="38" t="n"/>
      <c r="D1277" s="38" t="n"/>
      <c r="E1277" s="38" t="n"/>
      <c r="F1277" s="128" t="n"/>
      <c r="G1277" s="128" t="n"/>
      <c r="H1277" s="129" t="n"/>
      <c r="I1277" s="38" t="n"/>
      <c r="J1277" s="98">
        <f>IF(A1277="","",IF(AND(F1277&lt;&gt;"",G1277&lt;&gt;""),MAX(0,G1277-F1277),N(H1277)))</f>
        <v/>
      </c>
      <c r="K1277" s="55">
        <f>IF(A1277="","",ROUND(J1277*MileRate,2))</f>
        <v/>
      </c>
      <c r="L1277" s="51">
        <f>IF(A1277="","",DATE(YEAR(A1277),MONTH(A1277),1))</f>
        <v/>
      </c>
    </row>
    <row r="1278">
      <c r="A1278" s="47" t="n"/>
      <c r="B1278" s="38" t="n"/>
      <c r="C1278" s="38" t="n"/>
      <c r="D1278" s="38" t="n"/>
      <c r="E1278" s="38" t="n"/>
      <c r="F1278" s="128" t="n"/>
      <c r="G1278" s="128" t="n"/>
      <c r="H1278" s="129" t="n"/>
      <c r="I1278" s="38" t="n"/>
      <c r="J1278" s="98">
        <f>IF(A1278="","",IF(AND(F1278&lt;&gt;"",G1278&lt;&gt;""),MAX(0,G1278-F1278),N(H1278)))</f>
        <v/>
      </c>
      <c r="K1278" s="55">
        <f>IF(A1278="","",ROUND(J1278*MileRate,2))</f>
        <v/>
      </c>
      <c r="L1278" s="51">
        <f>IF(A1278="","",DATE(YEAR(A1278),MONTH(A1278),1))</f>
        <v/>
      </c>
    </row>
    <row r="1279">
      <c r="A1279" s="47" t="n"/>
      <c r="B1279" s="38" t="n"/>
      <c r="C1279" s="38" t="n"/>
      <c r="D1279" s="38" t="n"/>
      <c r="E1279" s="38" t="n"/>
      <c r="F1279" s="128" t="n"/>
      <c r="G1279" s="128" t="n"/>
      <c r="H1279" s="129" t="n"/>
      <c r="I1279" s="38" t="n"/>
      <c r="J1279" s="98">
        <f>IF(A1279="","",IF(AND(F1279&lt;&gt;"",G1279&lt;&gt;""),MAX(0,G1279-F1279),N(H1279)))</f>
        <v/>
      </c>
      <c r="K1279" s="55">
        <f>IF(A1279="","",ROUND(J1279*MileRate,2))</f>
        <v/>
      </c>
      <c r="L1279" s="51">
        <f>IF(A1279="","",DATE(YEAR(A1279),MONTH(A1279),1))</f>
        <v/>
      </c>
    </row>
    <row r="1280">
      <c r="A1280" s="47" t="n"/>
      <c r="B1280" s="38" t="n"/>
      <c r="C1280" s="38" t="n"/>
      <c r="D1280" s="38" t="n"/>
      <c r="E1280" s="38" t="n"/>
      <c r="F1280" s="128" t="n"/>
      <c r="G1280" s="128" t="n"/>
      <c r="H1280" s="129" t="n"/>
      <c r="I1280" s="38" t="n"/>
      <c r="J1280" s="98">
        <f>IF(A1280="","",IF(AND(F1280&lt;&gt;"",G1280&lt;&gt;""),MAX(0,G1280-F1280),N(H1280)))</f>
        <v/>
      </c>
      <c r="K1280" s="55">
        <f>IF(A1280="","",ROUND(J1280*MileRate,2))</f>
        <v/>
      </c>
      <c r="L1280" s="51">
        <f>IF(A1280="","",DATE(YEAR(A1280),MONTH(A1280),1))</f>
        <v/>
      </c>
    </row>
    <row r="1281">
      <c r="A1281" s="47" t="n"/>
      <c r="B1281" s="38" t="n"/>
      <c r="C1281" s="38" t="n"/>
      <c r="D1281" s="38" t="n"/>
      <c r="E1281" s="38" t="n"/>
      <c r="F1281" s="128" t="n"/>
      <c r="G1281" s="128" t="n"/>
      <c r="H1281" s="129" t="n"/>
      <c r="I1281" s="38" t="n"/>
      <c r="J1281" s="98">
        <f>IF(A1281="","",IF(AND(F1281&lt;&gt;"",G1281&lt;&gt;""),MAX(0,G1281-F1281),N(H1281)))</f>
        <v/>
      </c>
      <c r="K1281" s="55">
        <f>IF(A1281="","",ROUND(J1281*MileRate,2))</f>
        <v/>
      </c>
      <c r="L1281" s="51">
        <f>IF(A1281="","",DATE(YEAR(A1281),MONTH(A1281),1))</f>
        <v/>
      </c>
    </row>
    <row r="1282">
      <c r="A1282" s="47" t="n"/>
      <c r="B1282" s="38" t="n"/>
      <c r="C1282" s="38" t="n"/>
      <c r="D1282" s="38" t="n"/>
      <c r="E1282" s="38" t="n"/>
      <c r="F1282" s="128" t="n"/>
      <c r="G1282" s="128" t="n"/>
      <c r="H1282" s="129" t="n"/>
      <c r="I1282" s="38" t="n"/>
      <c r="J1282" s="98">
        <f>IF(A1282="","",IF(AND(F1282&lt;&gt;"",G1282&lt;&gt;""),MAX(0,G1282-F1282),N(H1282)))</f>
        <v/>
      </c>
      <c r="K1282" s="55">
        <f>IF(A1282="","",ROUND(J1282*MileRate,2))</f>
        <v/>
      </c>
      <c r="L1282" s="51">
        <f>IF(A1282="","",DATE(YEAR(A1282),MONTH(A1282),1))</f>
        <v/>
      </c>
    </row>
    <row r="1283">
      <c r="A1283" s="47" t="n"/>
      <c r="B1283" s="38" t="n"/>
      <c r="C1283" s="38" t="n"/>
      <c r="D1283" s="38" t="n"/>
      <c r="E1283" s="38" t="n"/>
      <c r="F1283" s="128" t="n"/>
      <c r="G1283" s="128" t="n"/>
      <c r="H1283" s="129" t="n"/>
      <c r="I1283" s="38" t="n"/>
      <c r="J1283" s="98">
        <f>IF(A1283="","",IF(AND(F1283&lt;&gt;"",G1283&lt;&gt;""),MAX(0,G1283-F1283),N(H1283)))</f>
        <v/>
      </c>
      <c r="K1283" s="55">
        <f>IF(A1283="","",ROUND(J1283*MileRate,2))</f>
        <v/>
      </c>
      <c r="L1283" s="51">
        <f>IF(A1283="","",DATE(YEAR(A1283),MONTH(A1283),1))</f>
        <v/>
      </c>
    </row>
    <row r="1284">
      <c r="A1284" s="47" t="n"/>
      <c r="B1284" s="38" t="n"/>
      <c r="C1284" s="38" t="n"/>
      <c r="D1284" s="38" t="n"/>
      <c r="E1284" s="38" t="n"/>
      <c r="F1284" s="128" t="n"/>
      <c r="G1284" s="128" t="n"/>
      <c r="H1284" s="129" t="n"/>
      <c r="I1284" s="38" t="n"/>
      <c r="J1284" s="98">
        <f>IF(A1284="","",IF(AND(F1284&lt;&gt;"",G1284&lt;&gt;""),MAX(0,G1284-F1284),N(H1284)))</f>
        <v/>
      </c>
      <c r="K1284" s="55">
        <f>IF(A1284="","",ROUND(J1284*MileRate,2))</f>
        <v/>
      </c>
      <c r="L1284" s="51">
        <f>IF(A1284="","",DATE(YEAR(A1284),MONTH(A1284),1))</f>
        <v/>
      </c>
    </row>
    <row r="1285">
      <c r="A1285" s="47" t="n"/>
      <c r="B1285" s="38" t="n"/>
      <c r="C1285" s="38" t="n"/>
      <c r="D1285" s="38" t="n"/>
      <c r="E1285" s="38" t="n"/>
      <c r="F1285" s="128" t="n"/>
      <c r="G1285" s="128" t="n"/>
      <c r="H1285" s="129" t="n"/>
      <c r="I1285" s="38" t="n"/>
      <c r="J1285" s="98">
        <f>IF(A1285="","",IF(AND(F1285&lt;&gt;"",G1285&lt;&gt;""),MAX(0,G1285-F1285),N(H1285)))</f>
        <v/>
      </c>
      <c r="K1285" s="55">
        <f>IF(A1285="","",ROUND(J1285*MileRate,2))</f>
        <v/>
      </c>
      <c r="L1285" s="51">
        <f>IF(A1285="","",DATE(YEAR(A1285),MONTH(A1285),1))</f>
        <v/>
      </c>
    </row>
    <row r="1286">
      <c r="A1286" s="47" t="n"/>
      <c r="B1286" s="38" t="n"/>
      <c r="C1286" s="38" t="n"/>
      <c r="D1286" s="38" t="n"/>
      <c r="E1286" s="38" t="n"/>
      <c r="F1286" s="128" t="n"/>
      <c r="G1286" s="128" t="n"/>
      <c r="H1286" s="129" t="n"/>
      <c r="I1286" s="38" t="n"/>
      <c r="J1286" s="98">
        <f>IF(A1286="","",IF(AND(F1286&lt;&gt;"",G1286&lt;&gt;""),MAX(0,G1286-F1286),N(H1286)))</f>
        <v/>
      </c>
      <c r="K1286" s="55">
        <f>IF(A1286="","",ROUND(J1286*MileRate,2))</f>
        <v/>
      </c>
      <c r="L1286" s="51">
        <f>IF(A1286="","",DATE(YEAR(A1286),MONTH(A1286),1))</f>
        <v/>
      </c>
    </row>
    <row r="1287">
      <c r="A1287" s="47" t="n"/>
      <c r="B1287" s="38" t="n"/>
      <c r="C1287" s="38" t="n"/>
      <c r="D1287" s="38" t="n"/>
      <c r="E1287" s="38" t="n"/>
      <c r="F1287" s="128" t="n"/>
      <c r="G1287" s="128" t="n"/>
      <c r="H1287" s="129" t="n"/>
      <c r="I1287" s="38" t="n"/>
      <c r="J1287" s="98">
        <f>IF(A1287="","",IF(AND(F1287&lt;&gt;"",G1287&lt;&gt;""),MAX(0,G1287-F1287),N(H1287)))</f>
        <v/>
      </c>
      <c r="K1287" s="55">
        <f>IF(A1287="","",ROUND(J1287*MileRate,2))</f>
        <v/>
      </c>
      <c r="L1287" s="51">
        <f>IF(A1287="","",DATE(YEAR(A1287),MONTH(A1287),1))</f>
        <v/>
      </c>
    </row>
    <row r="1288">
      <c r="A1288" s="47" t="n"/>
      <c r="B1288" s="38" t="n"/>
      <c r="C1288" s="38" t="n"/>
      <c r="D1288" s="38" t="n"/>
      <c r="E1288" s="38" t="n"/>
      <c r="F1288" s="128" t="n"/>
      <c r="G1288" s="128" t="n"/>
      <c r="H1288" s="129" t="n"/>
      <c r="I1288" s="38" t="n"/>
      <c r="J1288" s="98">
        <f>IF(A1288="","",IF(AND(F1288&lt;&gt;"",G1288&lt;&gt;""),MAX(0,G1288-F1288),N(H1288)))</f>
        <v/>
      </c>
      <c r="K1288" s="55">
        <f>IF(A1288="","",ROUND(J1288*MileRate,2))</f>
        <v/>
      </c>
      <c r="L1288" s="51">
        <f>IF(A1288="","",DATE(YEAR(A1288),MONTH(A1288),1))</f>
        <v/>
      </c>
    </row>
    <row r="1289">
      <c r="A1289" s="47" t="n"/>
      <c r="B1289" s="38" t="n"/>
      <c r="C1289" s="38" t="n"/>
      <c r="D1289" s="38" t="n"/>
      <c r="E1289" s="38" t="n"/>
      <c r="F1289" s="128" t="n"/>
      <c r="G1289" s="128" t="n"/>
      <c r="H1289" s="129" t="n"/>
      <c r="I1289" s="38" t="n"/>
      <c r="J1289" s="98">
        <f>IF(A1289="","",IF(AND(F1289&lt;&gt;"",G1289&lt;&gt;""),MAX(0,G1289-F1289),N(H1289)))</f>
        <v/>
      </c>
      <c r="K1289" s="55">
        <f>IF(A1289="","",ROUND(J1289*MileRate,2))</f>
        <v/>
      </c>
      <c r="L1289" s="51">
        <f>IF(A1289="","",DATE(YEAR(A1289),MONTH(A1289),1))</f>
        <v/>
      </c>
    </row>
    <row r="1290">
      <c r="A1290" s="47" t="n"/>
      <c r="B1290" s="38" t="n"/>
      <c r="C1290" s="38" t="n"/>
      <c r="D1290" s="38" t="n"/>
      <c r="E1290" s="38" t="n"/>
      <c r="F1290" s="128" t="n"/>
      <c r="G1290" s="128" t="n"/>
      <c r="H1290" s="129" t="n"/>
      <c r="I1290" s="38" t="n"/>
      <c r="J1290" s="98">
        <f>IF(A1290="","",IF(AND(F1290&lt;&gt;"",G1290&lt;&gt;""),MAX(0,G1290-F1290),N(H1290)))</f>
        <v/>
      </c>
      <c r="K1290" s="55">
        <f>IF(A1290="","",ROUND(J1290*MileRate,2))</f>
        <v/>
      </c>
      <c r="L1290" s="51">
        <f>IF(A1290="","",DATE(YEAR(A1290),MONTH(A1290),1))</f>
        <v/>
      </c>
    </row>
    <row r="1291">
      <c r="A1291" s="47" t="n"/>
      <c r="B1291" s="38" t="n"/>
      <c r="C1291" s="38" t="n"/>
      <c r="D1291" s="38" t="n"/>
      <c r="E1291" s="38" t="n"/>
      <c r="F1291" s="128" t="n"/>
      <c r="G1291" s="128" t="n"/>
      <c r="H1291" s="129" t="n"/>
      <c r="I1291" s="38" t="n"/>
      <c r="J1291" s="98">
        <f>IF(A1291="","",IF(AND(F1291&lt;&gt;"",G1291&lt;&gt;""),MAX(0,G1291-F1291),N(H1291)))</f>
        <v/>
      </c>
      <c r="K1291" s="55">
        <f>IF(A1291="","",ROUND(J1291*MileRate,2))</f>
        <v/>
      </c>
      <c r="L1291" s="51">
        <f>IF(A1291="","",DATE(YEAR(A1291),MONTH(A1291),1))</f>
        <v/>
      </c>
    </row>
    <row r="1292">
      <c r="A1292" s="47" t="n"/>
      <c r="B1292" s="38" t="n"/>
      <c r="C1292" s="38" t="n"/>
      <c r="D1292" s="38" t="n"/>
      <c r="E1292" s="38" t="n"/>
      <c r="F1292" s="128" t="n"/>
      <c r="G1292" s="128" t="n"/>
      <c r="H1292" s="129" t="n"/>
      <c r="I1292" s="38" t="n"/>
      <c r="J1292" s="98">
        <f>IF(A1292="","",IF(AND(F1292&lt;&gt;"",G1292&lt;&gt;""),MAX(0,G1292-F1292),N(H1292)))</f>
        <v/>
      </c>
      <c r="K1292" s="55">
        <f>IF(A1292="","",ROUND(J1292*MileRate,2))</f>
        <v/>
      </c>
      <c r="L1292" s="51">
        <f>IF(A1292="","",DATE(YEAR(A1292),MONTH(A1292),1))</f>
        <v/>
      </c>
    </row>
    <row r="1293">
      <c r="A1293" s="47" t="n"/>
      <c r="B1293" s="38" t="n"/>
      <c r="C1293" s="38" t="n"/>
      <c r="D1293" s="38" t="n"/>
      <c r="E1293" s="38" t="n"/>
      <c r="F1293" s="128" t="n"/>
      <c r="G1293" s="128" t="n"/>
      <c r="H1293" s="129" t="n"/>
      <c r="I1293" s="38" t="n"/>
      <c r="J1293" s="98">
        <f>IF(A1293="","",IF(AND(F1293&lt;&gt;"",G1293&lt;&gt;""),MAX(0,G1293-F1293),N(H1293)))</f>
        <v/>
      </c>
      <c r="K1293" s="55">
        <f>IF(A1293="","",ROUND(J1293*MileRate,2))</f>
        <v/>
      </c>
      <c r="L1293" s="51">
        <f>IF(A1293="","",DATE(YEAR(A1293),MONTH(A1293),1))</f>
        <v/>
      </c>
    </row>
    <row r="1294">
      <c r="A1294" s="47" t="n"/>
      <c r="B1294" s="38" t="n"/>
      <c r="C1294" s="38" t="n"/>
      <c r="D1294" s="38" t="n"/>
      <c r="E1294" s="38" t="n"/>
      <c r="F1294" s="128" t="n"/>
      <c r="G1294" s="128" t="n"/>
      <c r="H1294" s="129" t="n"/>
      <c r="I1294" s="38" t="n"/>
      <c r="J1294" s="98">
        <f>IF(A1294="","",IF(AND(F1294&lt;&gt;"",G1294&lt;&gt;""),MAX(0,G1294-F1294),N(H1294)))</f>
        <v/>
      </c>
      <c r="K1294" s="55">
        <f>IF(A1294="","",ROUND(J1294*MileRate,2))</f>
        <v/>
      </c>
      <c r="L1294" s="51">
        <f>IF(A1294="","",DATE(YEAR(A1294),MONTH(A1294),1))</f>
        <v/>
      </c>
    </row>
    <row r="1295">
      <c r="A1295" s="47" t="n"/>
      <c r="B1295" s="38" t="n"/>
      <c r="C1295" s="38" t="n"/>
      <c r="D1295" s="38" t="n"/>
      <c r="E1295" s="38" t="n"/>
      <c r="F1295" s="128" t="n"/>
      <c r="G1295" s="128" t="n"/>
      <c r="H1295" s="129" t="n"/>
      <c r="I1295" s="38" t="n"/>
      <c r="J1295" s="98">
        <f>IF(A1295="","",IF(AND(F1295&lt;&gt;"",G1295&lt;&gt;""),MAX(0,G1295-F1295),N(H1295)))</f>
        <v/>
      </c>
      <c r="K1295" s="55">
        <f>IF(A1295="","",ROUND(J1295*MileRate,2))</f>
        <v/>
      </c>
      <c r="L1295" s="51">
        <f>IF(A1295="","",DATE(YEAR(A1295),MONTH(A1295),1))</f>
        <v/>
      </c>
    </row>
    <row r="1296">
      <c r="A1296" s="47" t="n"/>
      <c r="B1296" s="38" t="n"/>
      <c r="C1296" s="38" t="n"/>
      <c r="D1296" s="38" t="n"/>
      <c r="E1296" s="38" t="n"/>
      <c r="F1296" s="128" t="n"/>
      <c r="G1296" s="128" t="n"/>
      <c r="H1296" s="129" t="n"/>
      <c r="I1296" s="38" t="n"/>
      <c r="J1296" s="98">
        <f>IF(A1296="","",IF(AND(F1296&lt;&gt;"",G1296&lt;&gt;""),MAX(0,G1296-F1296),N(H1296)))</f>
        <v/>
      </c>
      <c r="K1296" s="55">
        <f>IF(A1296="","",ROUND(J1296*MileRate,2))</f>
        <v/>
      </c>
      <c r="L1296" s="51">
        <f>IF(A1296="","",DATE(YEAR(A1296),MONTH(A1296),1))</f>
        <v/>
      </c>
    </row>
    <row r="1297">
      <c r="A1297" s="47" t="n"/>
      <c r="B1297" s="38" t="n"/>
      <c r="C1297" s="38" t="n"/>
      <c r="D1297" s="38" t="n"/>
      <c r="E1297" s="38" t="n"/>
      <c r="F1297" s="128" t="n"/>
      <c r="G1297" s="128" t="n"/>
      <c r="H1297" s="129" t="n"/>
      <c r="I1297" s="38" t="n"/>
      <c r="J1297" s="98">
        <f>IF(A1297="","",IF(AND(F1297&lt;&gt;"",G1297&lt;&gt;""),MAX(0,G1297-F1297),N(H1297)))</f>
        <v/>
      </c>
      <c r="K1297" s="55">
        <f>IF(A1297="","",ROUND(J1297*MileRate,2))</f>
        <v/>
      </c>
      <c r="L1297" s="51">
        <f>IF(A1297="","",DATE(YEAR(A1297),MONTH(A1297),1))</f>
        <v/>
      </c>
    </row>
    <row r="1298">
      <c r="A1298" s="47" t="n"/>
      <c r="B1298" s="38" t="n"/>
      <c r="C1298" s="38" t="n"/>
      <c r="D1298" s="38" t="n"/>
      <c r="E1298" s="38" t="n"/>
      <c r="F1298" s="128" t="n"/>
      <c r="G1298" s="128" t="n"/>
      <c r="H1298" s="129" t="n"/>
      <c r="I1298" s="38" t="n"/>
      <c r="J1298" s="98">
        <f>IF(A1298="","",IF(AND(F1298&lt;&gt;"",G1298&lt;&gt;""),MAX(0,G1298-F1298),N(H1298)))</f>
        <v/>
      </c>
      <c r="K1298" s="55">
        <f>IF(A1298="","",ROUND(J1298*MileRate,2))</f>
        <v/>
      </c>
      <c r="L1298" s="51">
        <f>IF(A1298="","",DATE(YEAR(A1298),MONTH(A1298),1))</f>
        <v/>
      </c>
    </row>
    <row r="1299">
      <c r="A1299" s="47" t="n"/>
      <c r="B1299" s="38" t="n"/>
      <c r="C1299" s="38" t="n"/>
      <c r="D1299" s="38" t="n"/>
      <c r="E1299" s="38" t="n"/>
      <c r="F1299" s="128" t="n"/>
      <c r="G1299" s="128" t="n"/>
      <c r="H1299" s="129" t="n"/>
      <c r="I1299" s="38" t="n"/>
      <c r="J1299" s="98">
        <f>IF(A1299="","",IF(AND(F1299&lt;&gt;"",G1299&lt;&gt;""),MAX(0,G1299-F1299),N(H1299)))</f>
        <v/>
      </c>
      <c r="K1299" s="55">
        <f>IF(A1299="","",ROUND(J1299*MileRate,2))</f>
        <v/>
      </c>
      <c r="L1299" s="51">
        <f>IF(A1299="","",DATE(YEAR(A1299),MONTH(A1299),1))</f>
        <v/>
      </c>
    </row>
    <row r="1300">
      <c r="A1300" s="47" t="n"/>
      <c r="B1300" s="38" t="n"/>
      <c r="C1300" s="38" t="n"/>
      <c r="D1300" s="38" t="n"/>
      <c r="E1300" s="38" t="n"/>
      <c r="F1300" s="128" t="n"/>
      <c r="G1300" s="128" t="n"/>
      <c r="H1300" s="129" t="n"/>
      <c r="I1300" s="38" t="n"/>
      <c r="J1300" s="98">
        <f>IF(A1300="","",IF(AND(F1300&lt;&gt;"",G1300&lt;&gt;""),MAX(0,G1300-F1300),N(H1300)))</f>
        <v/>
      </c>
      <c r="K1300" s="55">
        <f>IF(A1300="","",ROUND(J1300*MileRate,2))</f>
        <v/>
      </c>
      <c r="L1300" s="51">
        <f>IF(A1300="","",DATE(YEAR(A1300),MONTH(A1300),1))</f>
        <v/>
      </c>
    </row>
    <row r="1301">
      <c r="A1301" s="47" t="n"/>
      <c r="B1301" s="38" t="n"/>
      <c r="C1301" s="38" t="n"/>
      <c r="D1301" s="38" t="n"/>
      <c r="E1301" s="38" t="n"/>
      <c r="F1301" s="128" t="n"/>
      <c r="G1301" s="128" t="n"/>
      <c r="H1301" s="129" t="n"/>
      <c r="I1301" s="38" t="n"/>
      <c r="J1301" s="98">
        <f>IF(A1301="","",IF(AND(F1301&lt;&gt;"",G1301&lt;&gt;""),MAX(0,G1301-F1301),N(H1301)))</f>
        <v/>
      </c>
      <c r="K1301" s="55">
        <f>IF(A1301="","",ROUND(J1301*MileRate,2))</f>
        <v/>
      </c>
      <c r="L1301" s="51">
        <f>IF(A1301="","",DATE(YEAR(A1301),MONTH(A1301),1))</f>
        <v/>
      </c>
    </row>
    <row r="1302">
      <c r="A1302" s="47" t="n"/>
      <c r="B1302" s="38" t="n"/>
      <c r="C1302" s="38" t="n"/>
      <c r="D1302" s="38" t="n"/>
      <c r="E1302" s="38" t="n"/>
      <c r="F1302" s="128" t="n"/>
      <c r="G1302" s="128" t="n"/>
      <c r="H1302" s="129" t="n"/>
      <c r="I1302" s="38" t="n"/>
      <c r="J1302" s="98">
        <f>IF(A1302="","",IF(AND(F1302&lt;&gt;"",G1302&lt;&gt;""),MAX(0,G1302-F1302),N(H1302)))</f>
        <v/>
      </c>
      <c r="K1302" s="55">
        <f>IF(A1302="","",ROUND(J1302*MileRate,2))</f>
        <v/>
      </c>
      <c r="L1302" s="51">
        <f>IF(A1302="","",DATE(YEAR(A1302),MONTH(A1302),1))</f>
        <v/>
      </c>
    </row>
    <row r="1303">
      <c r="A1303" s="47" t="n"/>
      <c r="B1303" s="38" t="n"/>
      <c r="C1303" s="38" t="n"/>
      <c r="D1303" s="38" t="n"/>
      <c r="E1303" s="38" t="n"/>
      <c r="F1303" s="128" t="n"/>
      <c r="G1303" s="128" t="n"/>
      <c r="H1303" s="129" t="n"/>
      <c r="I1303" s="38" t="n"/>
      <c r="J1303" s="98">
        <f>IF(A1303="","",IF(AND(F1303&lt;&gt;"",G1303&lt;&gt;""),MAX(0,G1303-F1303),N(H1303)))</f>
        <v/>
      </c>
      <c r="K1303" s="55">
        <f>IF(A1303="","",ROUND(J1303*MileRate,2))</f>
        <v/>
      </c>
      <c r="L1303" s="51">
        <f>IF(A1303="","",DATE(YEAR(A1303),MONTH(A1303),1))</f>
        <v/>
      </c>
    </row>
    <row r="1304">
      <c r="A1304" s="47" t="n"/>
      <c r="B1304" s="38" t="n"/>
      <c r="C1304" s="38" t="n"/>
      <c r="D1304" s="38" t="n"/>
      <c r="E1304" s="38" t="n"/>
      <c r="F1304" s="128" t="n"/>
      <c r="G1304" s="128" t="n"/>
      <c r="H1304" s="129" t="n"/>
      <c r="I1304" s="38" t="n"/>
      <c r="J1304" s="98">
        <f>IF(A1304="","",IF(AND(F1304&lt;&gt;"",G1304&lt;&gt;""),MAX(0,G1304-F1304),N(H1304)))</f>
        <v/>
      </c>
      <c r="K1304" s="55">
        <f>IF(A1304="","",ROUND(J1304*MileRate,2))</f>
        <v/>
      </c>
      <c r="L1304" s="51">
        <f>IF(A1304="","",DATE(YEAR(A1304),MONTH(A1304),1))</f>
        <v/>
      </c>
    </row>
    <row r="1305">
      <c r="A1305" s="47" t="n"/>
      <c r="B1305" s="38" t="n"/>
      <c r="C1305" s="38" t="n"/>
      <c r="D1305" s="38" t="n"/>
      <c r="E1305" s="38" t="n"/>
      <c r="F1305" s="128" t="n"/>
      <c r="G1305" s="128" t="n"/>
      <c r="H1305" s="129" t="n"/>
      <c r="I1305" s="38" t="n"/>
      <c r="J1305" s="98">
        <f>IF(A1305="","",IF(AND(F1305&lt;&gt;"",G1305&lt;&gt;""),MAX(0,G1305-F1305),N(H1305)))</f>
        <v/>
      </c>
      <c r="K1305" s="55">
        <f>IF(A1305="","",ROUND(J1305*MileRate,2))</f>
        <v/>
      </c>
      <c r="L1305" s="51">
        <f>IF(A1305="","",DATE(YEAR(A1305),MONTH(A1305),1))</f>
        <v/>
      </c>
    </row>
    <row r="1306">
      <c r="A1306" s="47" t="n"/>
      <c r="B1306" s="38" t="n"/>
      <c r="C1306" s="38" t="n"/>
      <c r="D1306" s="38" t="n"/>
      <c r="E1306" s="38" t="n"/>
      <c r="F1306" s="128" t="n"/>
      <c r="G1306" s="128" t="n"/>
      <c r="H1306" s="129" t="n"/>
      <c r="I1306" s="38" t="n"/>
      <c r="J1306" s="98">
        <f>IF(A1306="","",IF(AND(F1306&lt;&gt;"",G1306&lt;&gt;""),MAX(0,G1306-F1306),N(H1306)))</f>
        <v/>
      </c>
      <c r="K1306" s="55">
        <f>IF(A1306="","",ROUND(J1306*MileRate,2))</f>
        <v/>
      </c>
      <c r="L1306" s="51">
        <f>IF(A1306="","",DATE(YEAR(A1306),MONTH(A1306),1))</f>
        <v/>
      </c>
    </row>
    <row r="1307">
      <c r="A1307" s="47" t="n"/>
      <c r="B1307" s="38" t="n"/>
      <c r="C1307" s="38" t="n"/>
      <c r="D1307" s="38" t="n"/>
      <c r="E1307" s="38" t="n"/>
      <c r="F1307" s="128" t="n"/>
      <c r="G1307" s="128" t="n"/>
      <c r="H1307" s="129" t="n"/>
      <c r="I1307" s="38" t="n"/>
      <c r="J1307" s="98">
        <f>IF(A1307="","",IF(AND(F1307&lt;&gt;"",G1307&lt;&gt;""),MAX(0,G1307-F1307),N(H1307)))</f>
        <v/>
      </c>
      <c r="K1307" s="55">
        <f>IF(A1307="","",ROUND(J1307*MileRate,2))</f>
        <v/>
      </c>
      <c r="L1307" s="51">
        <f>IF(A1307="","",DATE(YEAR(A1307),MONTH(A1307),1))</f>
        <v/>
      </c>
    </row>
    <row r="1308">
      <c r="A1308" s="47" t="n"/>
      <c r="B1308" s="38" t="n"/>
      <c r="C1308" s="38" t="n"/>
      <c r="D1308" s="38" t="n"/>
      <c r="E1308" s="38" t="n"/>
      <c r="F1308" s="128" t="n"/>
      <c r="G1308" s="128" t="n"/>
      <c r="H1308" s="129" t="n"/>
      <c r="I1308" s="38" t="n"/>
      <c r="J1308" s="98">
        <f>IF(A1308="","",IF(AND(F1308&lt;&gt;"",G1308&lt;&gt;""),MAX(0,G1308-F1308),N(H1308)))</f>
        <v/>
      </c>
      <c r="K1308" s="55">
        <f>IF(A1308="","",ROUND(J1308*MileRate,2))</f>
        <v/>
      </c>
      <c r="L1308" s="51">
        <f>IF(A1308="","",DATE(YEAR(A1308),MONTH(A1308),1))</f>
        <v/>
      </c>
    </row>
    <row r="1309">
      <c r="A1309" s="47" t="n"/>
      <c r="B1309" s="38" t="n"/>
      <c r="C1309" s="38" t="n"/>
      <c r="D1309" s="38" t="n"/>
      <c r="E1309" s="38" t="n"/>
      <c r="F1309" s="128" t="n"/>
      <c r="G1309" s="128" t="n"/>
      <c r="H1309" s="129" t="n"/>
      <c r="I1309" s="38" t="n"/>
      <c r="J1309" s="98">
        <f>IF(A1309="","",IF(AND(F1309&lt;&gt;"",G1309&lt;&gt;""),MAX(0,G1309-F1309),N(H1309)))</f>
        <v/>
      </c>
      <c r="K1309" s="55">
        <f>IF(A1309="","",ROUND(J1309*MileRate,2))</f>
        <v/>
      </c>
      <c r="L1309" s="51">
        <f>IF(A1309="","",DATE(YEAR(A1309),MONTH(A1309),1))</f>
        <v/>
      </c>
    </row>
    <row r="1310">
      <c r="A1310" s="47" t="n"/>
      <c r="B1310" s="38" t="n"/>
      <c r="C1310" s="38" t="n"/>
      <c r="D1310" s="38" t="n"/>
      <c r="E1310" s="38" t="n"/>
      <c r="F1310" s="128" t="n"/>
      <c r="G1310" s="128" t="n"/>
      <c r="H1310" s="129" t="n"/>
      <c r="I1310" s="38" t="n"/>
      <c r="J1310" s="98">
        <f>IF(A1310="","",IF(AND(F1310&lt;&gt;"",G1310&lt;&gt;""),MAX(0,G1310-F1310),N(H1310)))</f>
        <v/>
      </c>
      <c r="K1310" s="55">
        <f>IF(A1310="","",ROUND(J1310*MileRate,2))</f>
        <v/>
      </c>
      <c r="L1310" s="51">
        <f>IF(A1310="","",DATE(YEAR(A1310),MONTH(A1310),1))</f>
        <v/>
      </c>
    </row>
    <row r="1311">
      <c r="A1311" s="47" t="n"/>
      <c r="B1311" s="38" t="n"/>
      <c r="C1311" s="38" t="n"/>
      <c r="D1311" s="38" t="n"/>
      <c r="E1311" s="38" t="n"/>
      <c r="F1311" s="128" t="n"/>
      <c r="G1311" s="128" t="n"/>
      <c r="H1311" s="129" t="n"/>
      <c r="I1311" s="38" t="n"/>
      <c r="J1311" s="98">
        <f>IF(A1311="","",IF(AND(F1311&lt;&gt;"",G1311&lt;&gt;""),MAX(0,G1311-F1311),N(H1311)))</f>
        <v/>
      </c>
      <c r="K1311" s="55">
        <f>IF(A1311="","",ROUND(J1311*MileRate,2))</f>
        <v/>
      </c>
      <c r="L1311" s="51">
        <f>IF(A1311="","",DATE(YEAR(A1311),MONTH(A1311),1))</f>
        <v/>
      </c>
    </row>
    <row r="1312">
      <c r="A1312" s="47" t="n"/>
      <c r="B1312" s="38" t="n"/>
      <c r="C1312" s="38" t="n"/>
      <c r="D1312" s="38" t="n"/>
      <c r="E1312" s="38" t="n"/>
      <c r="F1312" s="128" t="n"/>
      <c r="G1312" s="128" t="n"/>
      <c r="H1312" s="129" t="n"/>
      <c r="I1312" s="38" t="n"/>
      <c r="J1312" s="98">
        <f>IF(A1312="","",IF(AND(F1312&lt;&gt;"",G1312&lt;&gt;""),MAX(0,G1312-F1312),N(H1312)))</f>
        <v/>
      </c>
      <c r="K1312" s="55">
        <f>IF(A1312="","",ROUND(J1312*MileRate,2))</f>
        <v/>
      </c>
      <c r="L1312" s="51">
        <f>IF(A1312="","",DATE(YEAR(A1312),MONTH(A1312),1))</f>
        <v/>
      </c>
    </row>
    <row r="1313">
      <c r="A1313" s="47" t="n"/>
      <c r="B1313" s="38" t="n"/>
      <c r="C1313" s="38" t="n"/>
      <c r="D1313" s="38" t="n"/>
      <c r="E1313" s="38" t="n"/>
      <c r="F1313" s="128" t="n"/>
      <c r="G1313" s="128" t="n"/>
      <c r="H1313" s="129" t="n"/>
      <c r="I1313" s="38" t="n"/>
      <c r="J1313" s="98">
        <f>IF(A1313="","",IF(AND(F1313&lt;&gt;"",G1313&lt;&gt;""),MAX(0,G1313-F1313),N(H1313)))</f>
        <v/>
      </c>
      <c r="K1313" s="55">
        <f>IF(A1313="","",ROUND(J1313*MileRate,2))</f>
        <v/>
      </c>
      <c r="L1313" s="51">
        <f>IF(A1313="","",DATE(YEAR(A1313),MONTH(A1313),1))</f>
        <v/>
      </c>
    </row>
    <row r="1314">
      <c r="A1314" s="47" t="n"/>
      <c r="B1314" s="38" t="n"/>
      <c r="C1314" s="38" t="n"/>
      <c r="D1314" s="38" t="n"/>
      <c r="E1314" s="38" t="n"/>
      <c r="F1314" s="128" t="n"/>
      <c r="G1314" s="128" t="n"/>
      <c r="H1314" s="129" t="n"/>
      <c r="I1314" s="38" t="n"/>
      <c r="J1314" s="98">
        <f>IF(A1314="","",IF(AND(F1314&lt;&gt;"",G1314&lt;&gt;""),MAX(0,G1314-F1314),N(H1314)))</f>
        <v/>
      </c>
      <c r="K1314" s="55">
        <f>IF(A1314="","",ROUND(J1314*MileRate,2))</f>
        <v/>
      </c>
      <c r="L1314" s="51">
        <f>IF(A1314="","",DATE(YEAR(A1314),MONTH(A1314),1))</f>
        <v/>
      </c>
    </row>
    <row r="1315">
      <c r="A1315" s="47" t="n"/>
      <c r="B1315" s="38" t="n"/>
      <c r="C1315" s="38" t="n"/>
      <c r="D1315" s="38" t="n"/>
      <c r="E1315" s="38" t="n"/>
      <c r="F1315" s="128" t="n"/>
      <c r="G1315" s="128" t="n"/>
      <c r="H1315" s="129" t="n"/>
      <c r="I1315" s="38" t="n"/>
      <c r="J1315" s="98">
        <f>IF(A1315="","",IF(AND(F1315&lt;&gt;"",G1315&lt;&gt;""),MAX(0,G1315-F1315),N(H1315)))</f>
        <v/>
      </c>
      <c r="K1315" s="55">
        <f>IF(A1315="","",ROUND(J1315*MileRate,2))</f>
        <v/>
      </c>
      <c r="L1315" s="51">
        <f>IF(A1315="","",DATE(YEAR(A1315),MONTH(A1315),1))</f>
        <v/>
      </c>
    </row>
    <row r="1316">
      <c r="A1316" s="47" t="n"/>
      <c r="B1316" s="38" t="n"/>
      <c r="C1316" s="38" t="n"/>
      <c r="D1316" s="38" t="n"/>
      <c r="E1316" s="38" t="n"/>
      <c r="F1316" s="128" t="n"/>
      <c r="G1316" s="128" t="n"/>
      <c r="H1316" s="129" t="n"/>
      <c r="I1316" s="38" t="n"/>
      <c r="J1316" s="98">
        <f>IF(A1316="","",IF(AND(F1316&lt;&gt;"",G1316&lt;&gt;""),MAX(0,G1316-F1316),N(H1316)))</f>
        <v/>
      </c>
      <c r="K1316" s="55">
        <f>IF(A1316="","",ROUND(J1316*MileRate,2))</f>
        <v/>
      </c>
      <c r="L1316" s="51">
        <f>IF(A1316="","",DATE(YEAR(A1316),MONTH(A1316),1))</f>
        <v/>
      </c>
    </row>
    <row r="1317">
      <c r="A1317" s="47" t="n"/>
      <c r="B1317" s="38" t="n"/>
      <c r="C1317" s="38" t="n"/>
      <c r="D1317" s="38" t="n"/>
      <c r="E1317" s="38" t="n"/>
      <c r="F1317" s="128" t="n"/>
      <c r="G1317" s="128" t="n"/>
      <c r="H1317" s="129" t="n"/>
      <c r="I1317" s="38" t="n"/>
      <c r="J1317" s="98">
        <f>IF(A1317="","",IF(AND(F1317&lt;&gt;"",G1317&lt;&gt;""),MAX(0,G1317-F1317),N(H1317)))</f>
        <v/>
      </c>
      <c r="K1317" s="55">
        <f>IF(A1317="","",ROUND(J1317*MileRate,2))</f>
        <v/>
      </c>
      <c r="L1317" s="51">
        <f>IF(A1317="","",DATE(YEAR(A1317),MONTH(A1317),1))</f>
        <v/>
      </c>
    </row>
    <row r="1318">
      <c r="A1318" s="47" t="n"/>
      <c r="B1318" s="38" t="n"/>
      <c r="C1318" s="38" t="n"/>
      <c r="D1318" s="38" t="n"/>
      <c r="E1318" s="38" t="n"/>
      <c r="F1318" s="128" t="n"/>
      <c r="G1318" s="128" t="n"/>
      <c r="H1318" s="129" t="n"/>
      <c r="I1318" s="38" t="n"/>
      <c r="J1318" s="98">
        <f>IF(A1318="","",IF(AND(F1318&lt;&gt;"",G1318&lt;&gt;""),MAX(0,G1318-F1318),N(H1318)))</f>
        <v/>
      </c>
      <c r="K1318" s="55">
        <f>IF(A1318="","",ROUND(J1318*MileRate,2))</f>
        <v/>
      </c>
      <c r="L1318" s="51">
        <f>IF(A1318="","",DATE(YEAR(A1318),MONTH(A1318),1))</f>
        <v/>
      </c>
    </row>
    <row r="1319">
      <c r="A1319" s="47" t="n"/>
      <c r="B1319" s="38" t="n"/>
      <c r="C1319" s="38" t="n"/>
      <c r="D1319" s="38" t="n"/>
      <c r="E1319" s="38" t="n"/>
      <c r="F1319" s="128" t="n"/>
      <c r="G1319" s="128" t="n"/>
      <c r="H1319" s="129" t="n"/>
      <c r="I1319" s="38" t="n"/>
      <c r="J1319" s="98">
        <f>IF(A1319="","",IF(AND(F1319&lt;&gt;"",G1319&lt;&gt;""),MAX(0,G1319-F1319),N(H1319)))</f>
        <v/>
      </c>
      <c r="K1319" s="55">
        <f>IF(A1319="","",ROUND(J1319*MileRate,2))</f>
        <v/>
      </c>
      <c r="L1319" s="51">
        <f>IF(A1319="","",DATE(YEAR(A1319),MONTH(A1319),1))</f>
        <v/>
      </c>
    </row>
    <row r="1320">
      <c r="A1320" s="47" t="n"/>
      <c r="B1320" s="38" t="n"/>
      <c r="C1320" s="38" t="n"/>
      <c r="D1320" s="38" t="n"/>
      <c r="E1320" s="38" t="n"/>
      <c r="F1320" s="128" t="n"/>
      <c r="G1320" s="128" t="n"/>
      <c r="H1320" s="129" t="n"/>
      <c r="I1320" s="38" t="n"/>
      <c r="J1320" s="98">
        <f>IF(A1320="","",IF(AND(F1320&lt;&gt;"",G1320&lt;&gt;""),MAX(0,G1320-F1320),N(H1320)))</f>
        <v/>
      </c>
      <c r="K1320" s="55">
        <f>IF(A1320="","",ROUND(J1320*MileRate,2))</f>
        <v/>
      </c>
      <c r="L1320" s="51">
        <f>IF(A1320="","",DATE(YEAR(A1320),MONTH(A1320),1))</f>
        <v/>
      </c>
    </row>
    <row r="1321">
      <c r="A1321" s="47" t="n"/>
      <c r="B1321" s="38" t="n"/>
      <c r="C1321" s="38" t="n"/>
      <c r="D1321" s="38" t="n"/>
      <c r="E1321" s="38" t="n"/>
      <c r="F1321" s="128" t="n"/>
      <c r="G1321" s="128" t="n"/>
      <c r="H1321" s="129" t="n"/>
      <c r="I1321" s="38" t="n"/>
      <c r="J1321" s="98">
        <f>IF(A1321="","",IF(AND(F1321&lt;&gt;"",G1321&lt;&gt;""),MAX(0,G1321-F1321),N(H1321)))</f>
        <v/>
      </c>
      <c r="K1321" s="55">
        <f>IF(A1321="","",ROUND(J1321*MileRate,2))</f>
        <v/>
      </c>
      <c r="L1321" s="51">
        <f>IF(A1321="","",DATE(YEAR(A1321),MONTH(A1321),1))</f>
        <v/>
      </c>
    </row>
    <row r="1322">
      <c r="A1322" s="47" t="n"/>
      <c r="B1322" s="38" t="n"/>
      <c r="C1322" s="38" t="n"/>
      <c r="D1322" s="38" t="n"/>
      <c r="E1322" s="38" t="n"/>
      <c r="F1322" s="128" t="n"/>
      <c r="G1322" s="128" t="n"/>
      <c r="H1322" s="129" t="n"/>
      <c r="I1322" s="38" t="n"/>
      <c r="J1322" s="98">
        <f>IF(A1322="","",IF(AND(F1322&lt;&gt;"",G1322&lt;&gt;""),MAX(0,G1322-F1322),N(H1322)))</f>
        <v/>
      </c>
      <c r="K1322" s="55">
        <f>IF(A1322="","",ROUND(J1322*MileRate,2))</f>
        <v/>
      </c>
      <c r="L1322" s="51">
        <f>IF(A1322="","",DATE(YEAR(A1322),MONTH(A1322),1))</f>
        <v/>
      </c>
    </row>
    <row r="1323">
      <c r="A1323" s="47" t="n"/>
      <c r="B1323" s="38" t="n"/>
      <c r="C1323" s="38" t="n"/>
      <c r="D1323" s="38" t="n"/>
      <c r="E1323" s="38" t="n"/>
      <c r="F1323" s="128" t="n"/>
      <c r="G1323" s="128" t="n"/>
      <c r="H1323" s="129" t="n"/>
      <c r="I1323" s="38" t="n"/>
      <c r="J1323" s="98">
        <f>IF(A1323="","",IF(AND(F1323&lt;&gt;"",G1323&lt;&gt;""),MAX(0,G1323-F1323),N(H1323)))</f>
        <v/>
      </c>
      <c r="K1323" s="55">
        <f>IF(A1323="","",ROUND(J1323*MileRate,2))</f>
        <v/>
      </c>
      <c r="L1323" s="51">
        <f>IF(A1323="","",DATE(YEAR(A1323),MONTH(A1323),1))</f>
        <v/>
      </c>
    </row>
    <row r="1324">
      <c r="A1324" s="47" t="n"/>
      <c r="B1324" s="38" t="n"/>
      <c r="C1324" s="38" t="n"/>
      <c r="D1324" s="38" t="n"/>
      <c r="E1324" s="38" t="n"/>
      <c r="F1324" s="128" t="n"/>
      <c r="G1324" s="128" t="n"/>
      <c r="H1324" s="129" t="n"/>
      <c r="I1324" s="38" t="n"/>
      <c r="J1324" s="98">
        <f>IF(A1324="","",IF(AND(F1324&lt;&gt;"",G1324&lt;&gt;""),MAX(0,G1324-F1324),N(H1324)))</f>
        <v/>
      </c>
      <c r="K1324" s="55">
        <f>IF(A1324="","",ROUND(J1324*MileRate,2))</f>
        <v/>
      </c>
      <c r="L1324" s="51">
        <f>IF(A1324="","",DATE(YEAR(A1324),MONTH(A1324),1))</f>
        <v/>
      </c>
    </row>
    <row r="1325">
      <c r="A1325" s="47" t="n"/>
      <c r="B1325" s="38" t="n"/>
      <c r="C1325" s="38" t="n"/>
      <c r="D1325" s="38" t="n"/>
      <c r="E1325" s="38" t="n"/>
      <c r="F1325" s="128" t="n"/>
      <c r="G1325" s="128" t="n"/>
      <c r="H1325" s="129" t="n"/>
      <c r="I1325" s="38" t="n"/>
      <c r="J1325" s="98">
        <f>IF(A1325="","",IF(AND(F1325&lt;&gt;"",G1325&lt;&gt;""),MAX(0,G1325-F1325),N(H1325)))</f>
        <v/>
      </c>
      <c r="K1325" s="55">
        <f>IF(A1325="","",ROUND(J1325*MileRate,2))</f>
        <v/>
      </c>
      <c r="L1325" s="51">
        <f>IF(A1325="","",DATE(YEAR(A1325),MONTH(A1325),1))</f>
        <v/>
      </c>
    </row>
    <row r="1326">
      <c r="A1326" s="47" t="n"/>
      <c r="B1326" s="38" t="n"/>
      <c r="C1326" s="38" t="n"/>
      <c r="D1326" s="38" t="n"/>
      <c r="E1326" s="38" t="n"/>
      <c r="F1326" s="128" t="n"/>
      <c r="G1326" s="128" t="n"/>
      <c r="H1326" s="129" t="n"/>
      <c r="I1326" s="38" t="n"/>
      <c r="J1326" s="98">
        <f>IF(A1326="","",IF(AND(F1326&lt;&gt;"",G1326&lt;&gt;""),MAX(0,G1326-F1326),N(H1326)))</f>
        <v/>
      </c>
      <c r="K1326" s="55">
        <f>IF(A1326="","",ROUND(J1326*MileRate,2))</f>
        <v/>
      </c>
      <c r="L1326" s="51">
        <f>IF(A1326="","",DATE(YEAR(A1326),MONTH(A1326),1))</f>
        <v/>
      </c>
    </row>
    <row r="1327">
      <c r="A1327" s="47" t="n"/>
      <c r="B1327" s="38" t="n"/>
      <c r="C1327" s="38" t="n"/>
      <c r="D1327" s="38" t="n"/>
      <c r="E1327" s="38" t="n"/>
      <c r="F1327" s="128" t="n"/>
      <c r="G1327" s="128" t="n"/>
      <c r="H1327" s="129" t="n"/>
      <c r="I1327" s="38" t="n"/>
      <c r="J1327" s="98">
        <f>IF(A1327="","",IF(AND(F1327&lt;&gt;"",G1327&lt;&gt;""),MAX(0,G1327-F1327),N(H1327)))</f>
        <v/>
      </c>
      <c r="K1327" s="55">
        <f>IF(A1327="","",ROUND(J1327*MileRate,2))</f>
        <v/>
      </c>
      <c r="L1327" s="51">
        <f>IF(A1327="","",DATE(YEAR(A1327),MONTH(A1327),1))</f>
        <v/>
      </c>
    </row>
    <row r="1328">
      <c r="A1328" s="47" t="n"/>
      <c r="B1328" s="38" t="n"/>
      <c r="C1328" s="38" t="n"/>
      <c r="D1328" s="38" t="n"/>
      <c r="E1328" s="38" t="n"/>
      <c r="F1328" s="128" t="n"/>
      <c r="G1328" s="128" t="n"/>
      <c r="H1328" s="129" t="n"/>
      <c r="I1328" s="38" t="n"/>
      <c r="J1328" s="98">
        <f>IF(A1328="","",IF(AND(F1328&lt;&gt;"",G1328&lt;&gt;""),MAX(0,G1328-F1328),N(H1328)))</f>
        <v/>
      </c>
      <c r="K1328" s="55">
        <f>IF(A1328="","",ROUND(J1328*MileRate,2))</f>
        <v/>
      </c>
      <c r="L1328" s="51">
        <f>IF(A1328="","",DATE(YEAR(A1328),MONTH(A1328),1))</f>
        <v/>
      </c>
    </row>
    <row r="1329">
      <c r="A1329" s="47" t="n"/>
      <c r="B1329" s="38" t="n"/>
      <c r="C1329" s="38" t="n"/>
      <c r="D1329" s="38" t="n"/>
      <c r="E1329" s="38" t="n"/>
      <c r="F1329" s="128" t="n"/>
      <c r="G1329" s="128" t="n"/>
      <c r="H1329" s="129" t="n"/>
      <c r="I1329" s="38" t="n"/>
      <c r="J1329" s="98">
        <f>IF(A1329="","",IF(AND(F1329&lt;&gt;"",G1329&lt;&gt;""),MAX(0,G1329-F1329),N(H1329)))</f>
        <v/>
      </c>
      <c r="K1329" s="55">
        <f>IF(A1329="","",ROUND(J1329*MileRate,2))</f>
        <v/>
      </c>
      <c r="L1329" s="51">
        <f>IF(A1329="","",DATE(YEAR(A1329),MONTH(A1329),1))</f>
        <v/>
      </c>
    </row>
    <row r="1330">
      <c r="A1330" s="47" t="n"/>
      <c r="B1330" s="38" t="n"/>
      <c r="C1330" s="38" t="n"/>
      <c r="D1330" s="38" t="n"/>
      <c r="E1330" s="38" t="n"/>
      <c r="F1330" s="128" t="n"/>
      <c r="G1330" s="128" t="n"/>
      <c r="H1330" s="129" t="n"/>
      <c r="I1330" s="38" t="n"/>
      <c r="J1330" s="98">
        <f>IF(A1330="","",IF(AND(F1330&lt;&gt;"",G1330&lt;&gt;""),MAX(0,G1330-F1330),N(H1330)))</f>
        <v/>
      </c>
      <c r="K1330" s="55">
        <f>IF(A1330="","",ROUND(J1330*MileRate,2))</f>
        <v/>
      </c>
      <c r="L1330" s="51">
        <f>IF(A1330="","",DATE(YEAR(A1330),MONTH(A1330),1))</f>
        <v/>
      </c>
    </row>
    <row r="1331">
      <c r="A1331" s="47" t="n"/>
      <c r="B1331" s="38" t="n"/>
      <c r="C1331" s="38" t="n"/>
      <c r="D1331" s="38" t="n"/>
      <c r="E1331" s="38" t="n"/>
      <c r="F1331" s="128" t="n"/>
      <c r="G1331" s="128" t="n"/>
      <c r="H1331" s="129" t="n"/>
      <c r="I1331" s="38" t="n"/>
      <c r="J1331" s="98">
        <f>IF(A1331="","",IF(AND(F1331&lt;&gt;"",G1331&lt;&gt;""),MAX(0,G1331-F1331),N(H1331)))</f>
        <v/>
      </c>
      <c r="K1331" s="55">
        <f>IF(A1331="","",ROUND(J1331*MileRate,2))</f>
        <v/>
      </c>
      <c r="L1331" s="51">
        <f>IF(A1331="","",DATE(YEAR(A1331),MONTH(A1331),1))</f>
        <v/>
      </c>
    </row>
    <row r="1332">
      <c r="A1332" s="47" t="n"/>
      <c r="B1332" s="38" t="n"/>
      <c r="C1332" s="38" t="n"/>
      <c r="D1332" s="38" t="n"/>
      <c r="E1332" s="38" t="n"/>
      <c r="F1332" s="128" t="n"/>
      <c r="G1332" s="128" t="n"/>
      <c r="H1332" s="129" t="n"/>
      <c r="I1332" s="38" t="n"/>
      <c r="J1332" s="98">
        <f>IF(A1332="","",IF(AND(F1332&lt;&gt;"",G1332&lt;&gt;""),MAX(0,G1332-F1332),N(H1332)))</f>
        <v/>
      </c>
      <c r="K1332" s="55">
        <f>IF(A1332="","",ROUND(J1332*MileRate,2))</f>
        <v/>
      </c>
      <c r="L1332" s="51">
        <f>IF(A1332="","",DATE(YEAR(A1332),MONTH(A1332),1))</f>
        <v/>
      </c>
    </row>
    <row r="1333">
      <c r="A1333" s="47" t="n"/>
      <c r="B1333" s="38" t="n"/>
      <c r="C1333" s="38" t="n"/>
      <c r="D1333" s="38" t="n"/>
      <c r="E1333" s="38" t="n"/>
      <c r="F1333" s="128" t="n"/>
      <c r="G1333" s="128" t="n"/>
      <c r="H1333" s="129" t="n"/>
      <c r="I1333" s="38" t="n"/>
      <c r="J1333" s="98">
        <f>IF(A1333="","",IF(AND(F1333&lt;&gt;"",G1333&lt;&gt;""),MAX(0,G1333-F1333),N(H1333)))</f>
        <v/>
      </c>
      <c r="K1333" s="55">
        <f>IF(A1333="","",ROUND(J1333*MileRate,2))</f>
        <v/>
      </c>
      <c r="L1333" s="51">
        <f>IF(A1333="","",DATE(YEAR(A1333),MONTH(A1333),1))</f>
        <v/>
      </c>
    </row>
    <row r="1334">
      <c r="A1334" s="47" t="n"/>
      <c r="B1334" s="38" t="n"/>
      <c r="C1334" s="38" t="n"/>
      <c r="D1334" s="38" t="n"/>
      <c r="E1334" s="38" t="n"/>
      <c r="F1334" s="128" t="n"/>
      <c r="G1334" s="128" t="n"/>
      <c r="H1334" s="129" t="n"/>
      <c r="I1334" s="38" t="n"/>
      <c r="J1334" s="98">
        <f>IF(A1334="","",IF(AND(F1334&lt;&gt;"",G1334&lt;&gt;""),MAX(0,G1334-F1334),N(H1334)))</f>
        <v/>
      </c>
      <c r="K1334" s="55">
        <f>IF(A1334="","",ROUND(J1334*MileRate,2))</f>
        <v/>
      </c>
      <c r="L1334" s="51">
        <f>IF(A1334="","",DATE(YEAR(A1334),MONTH(A1334),1))</f>
        <v/>
      </c>
    </row>
    <row r="1335">
      <c r="A1335" s="47" t="n"/>
      <c r="B1335" s="38" t="n"/>
      <c r="C1335" s="38" t="n"/>
      <c r="D1335" s="38" t="n"/>
      <c r="E1335" s="38" t="n"/>
      <c r="F1335" s="128" t="n"/>
      <c r="G1335" s="128" t="n"/>
      <c r="H1335" s="129" t="n"/>
      <c r="I1335" s="38" t="n"/>
      <c r="J1335" s="98">
        <f>IF(A1335="","",IF(AND(F1335&lt;&gt;"",G1335&lt;&gt;""),MAX(0,G1335-F1335),N(H1335)))</f>
        <v/>
      </c>
      <c r="K1335" s="55">
        <f>IF(A1335="","",ROUND(J1335*MileRate,2))</f>
        <v/>
      </c>
      <c r="L1335" s="51">
        <f>IF(A1335="","",DATE(YEAR(A1335),MONTH(A1335),1))</f>
        <v/>
      </c>
    </row>
    <row r="1336">
      <c r="A1336" s="47" t="n"/>
      <c r="B1336" s="38" t="n"/>
      <c r="C1336" s="38" t="n"/>
      <c r="D1336" s="38" t="n"/>
      <c r="E1336" s="38" t="n"/>
      <c r="F1336" s="128" t="n"/>
      <c r="G1336" s="128" t="n"/>
      <c r="H1336" s="129" t="n"/>
      <c r="I1336" s="38" t="n"/>
      <c r="J1336" s="98">
        <f>IF(A1336="","",IF(AND(F1336&lt;&gt;"",G1336&lt;&gt;""),MAX(0,G1336-F1336),N(H1336)))</f>
        <v/>
      </c>
      <c r="K1336" s="55">
        <f>IF(A1336="","",ROUND(J1336*MileRate,2))</f>
        <v/>
      </c>
      <c r="L1336" s="51">
        <f>IF(A1336="","",DATE(YEAR(A1336),MONTH(A1336),1))</f>
        <v/>
      </c>
    </row>
    <row r="1337">
      <c r="A1337" s="47" t="n"/>
      <c r="B1337" s="38" t="n"/>
      <c r="C1337" s="38" t="n"/>
      <c r="D1337" s="38" t="n"/>
      <c r="E1337" s="38" t="n"/>
      <c r="F1337" s="128" t="n"/>
      <c r="G1337" s="128" t="n"/>
      <c r="H1337" s="129" t="n"/>
      <c r="I1337" s="38" t="n"/>
      <c r="J1337" s="98">
        <f>IF(A1337="","",IF(AND(F1337&lt;&gt;"",G1337&lt;&gt;""),MAX(0,G1337-F1337),N(H1337)))</f>
        <v/>
      </c>
      <c r="K1337" s="55">
        <f>IF(A1337="","",ROUND(J1337*MileRate,2))</f>
        <v/>
      </c>
      <c r="L1337" s="51">
        <f>IF(A1337="","",DATE(YEAR(A1337),MONTH(A1337),1))</f>
        <v/>
      </c>
    </row>
    <row r="1338">
      <c r="A1338" s="47" t="n"/>
      <c r="B1338" s="38" t="n"/>
      <c r="C1338" s="38" t="n"/>
      <c r="D1338" s="38" t="n"/>
      <c r="E1338" s="38" t="n"/>
      <c r="F1338" s="128" t="n"/>
      <c r="G1338" s="128" t="n"/>
      <c r="H1338" s="129" t="n"/>
      <c r="I1338" s="38" t="n"/>
      <c r="J1338" s="98">
        <f>IF(A1338="","",IF(AND(F1338&lt;&gt;"",G1338&lt;&gt;""),MAX(0,G1338-F1338),N(H1338)))</f>
        <v/>
      </c>
      <c r="K1338" s="55">
        <f>IF(A1338="","",ROUND(J1338*MileRate,2))</f>
        <v/>
      </c>
      <c r="L1338" s="51">
        <f>IF(A1338="","",DATE(YEAR(A1338),MONTH(A1338),1))</f>
        <v/>
      </c>
    </row>
    <row r="1339">
      <c r="A1339" s="47" t="n"/>
      <c r="B1339" s="38" t="n"/>
      <c r="C1339" s="38" t="n"/>
      <c r="D1339" s="38" t="n"/>
      <c r="E1339" s="38" t="n"/>
      <c r="F1339" s="128" t="n"/>
      <c r="G1339" s="128" t="n"/>
      <c r="H1339" s="129" t="n"/>
      <c r="I1339" s="38" t="n"/>
      <c r="J1339" s="98">
        <f>IF(A1339="","",IF(AND(F1339&lt;&gt;"",G1339&lt;&gt;""),MAX(0,G1339-F1339),N(H1339)))</f>
        <v/>
      </c>
      <c r="K1339" s="55">
        <f>IF(A1339="","",ROUND(J1339*MileRate,2))</f>
        <v/>
      </c>
      <c r="L1339" s="51">
        <f>IF(A1339="","",DATE(YEAR(A1339),MONTH(A1339),1))</f>
        <v/>
      </c>
    </row>
    <row r="1340">
      <c r="A1340" s="47" t="n"/>
      <c r="B1340" s="38" t="n"/>
      <c r="C1340" s="38" t="n"/>
      <c r="D1340" s="38" t="n"/>
      <c r="E1340" s="38" t="n"/>
      <c r="F1340" s="128" t="n"/>
      <c r="G1340" s="128" t="n"/>
      <c r="H1340" s="129" t="n"/>
      <c r="I1340" s="38" t="n"/>
      <c r="J1340" s="98">
        <f>IF(A1340="","",IF(AND(F1340&lt;&gt;"",G1340&lt;&gt;""),MAX(0,G1340-F1340),N(H1340)))</f>
        <v/>
      </c>
      <c r="K1340" s="55">
        <f>IF(A1340="","",ROUND(J1340*MileRate,2))</f>
        <v/>
      </c>
      <c r="L1340" s="51">
        <f>IF(A1340="","",DATE(YEAR(A1340),MONTH(A1340),1))</f>
        <v/>
      </c>
    </row>
    <row r="1341">
      <c r="A1341" s="47" t="n"/>
      <c r="B1341" s="38" t="n"/>
      <c r="C1341" s="38" t="n"/>
      <c r="D1341" s="38" t="n"/>
      <c r="E1341" s="38" t="n"/>
      <c r="F1341" s="128" t="n"/>
      <c r="G1341" s="128" t="n"/>
      <c r="H1341" s="129" t="n"/>
      <c r="I1341" s="38" t="n"/>
      <c r="J1341" s="98">
        <f>IF(A1341="","",IF(AND(F1341&lt;&gt;"",G1341&lt;&gt;""),MAX(0,G1341-F1341),N(H1341)))</f>
        <v/>
      </c>
      <c r="K1341" s="55">
        <f>IF(A1341="","",ROUND(J1341*MileRate,2))</f>
        <v/>
      </c>
      <c r="L1341" s="51">
        <f>IF(A1341="","",DATE(YEAR(A1341),MONTH(A1341),1))</f>
        <v/>
      </c>
    </row>
    <row r="1342">
      <c r="A1342" s="47" t="n"/>
      <c r="B1342" s="38" t="n"/>
      <c r="C1342" s="38" t="n"/>
      <c r="D1342" s="38" t="n"/>
      <c r="E1342" s="38" t="n"/>
      <c r="F1342" s="128" t="n"/>
      <c r="G1342" s="128" t="n"/>
      <c r="H1342" s="129" t="n"/>
      <c r="I1342" s="38" t="n"/>
      <c r="J1342" s="98">
        <f>IF(A1342="","",IF(AND(F1342&lt;&gt;"",G1342&lt;&gt;""),MAX(0,G1342-F1342),N(H1342)))</f>
        <v/>
      </c>
      <c r="K1342" s="55">
        <f>IF(A1342="","",ROUND(J1342*MileRate,2))</f>
        <v/>
      </c>
      <c r="L1342" s="51">
        <f>IF(A1342="","",DATE(YEAR(A1342),MONTH(A1342),1))</f>
        <v/>
      </c>
    </row>
    <row r="1343">
      <c r="A1343" s="47" t="n"/>
      <c r="B1343" s="38" t="n"/>
      <c r="C1343" s="38" t="n"/>
      <c r="D1343" s="38" t="n"/>
      <c r="E1343" s="38" t="n"/>
      <c r="F1343" s="128" t="n"/>
      <c r="G1343" s="128" t="n"/>
      <c r="H1343" s="129" t="n"/>
      <c r="I1343" s="38" t="n"/>
      <c r="J1343" s="98">
        <f>IF(A1343="","",IF(AND(F1343&lt;&gt;"",G1343&lt;&gt;""),MAX(0,G1343-F1343),N(H1343)))</f>
        <v/>
      </c>
      <c r="K1343" s="55">
        <f>IF(A1343="","",ROUND(J1343*MileRate,2))</f>
        <v/>
      </c>
      <c r="L1343" s="51">
        <f>IF(A1343="","",DATE(YEAR(A1343),MONTH(A1343),1))</f>
        <v/>
      </c>
    </row>
    <row r="1344">
      <c r="A1344" s="47" t="n"/>
      <c r="B1344" s="38" t="n"/>
      <c r="C1344" s="38" t="n"/>
      <c r="D1344" s="38" t="n"/>
      <c r="E1344" s="38" t="n"/>
      <c r="F1344" s="128" t="n"/>
      <c r="G1344" s="128" t="n"/>
      <c r="H1344" s="129" t="n"/>
      <c r="I1344" s="38" t="n"/>
      <c r="J1344" s="98">
        <f>IF(A1344="","",IF(AND(F1344&lt;&gt;"",G1344&lt;&gt;""),MAX(0,G1344-F1344),N(H1344)))</f>
        <v/>
      </c>
      <c r="K1344" s="55">
        <f>IF(A1344="","",ROUND(J1344*MileRate,2))</f>
        <v/>
      </c>
      <c r="L1344" s="51">
        <f>IF(A1344="","",DATE(YEAR(A1344),MONTH(A1344),1))</f>
        <v/>
      </c>
    </row>
    <row r="1345">
      <c r="A1345" s="47" t="n"/>
      <c r="B1345" s="38" t="n"/>
      <c r="C1345" s="38" t="n"/>
      <c r="D1345" s="38" t="n"/>
      <c r="E1345" s="38" t="n"/>
      <c r="F1345" s="128" t="n"/>
      <c r="G1345" s="128" t="n"/>
      <c r="H1345" s="129" t="n"/>
      <c r="I1345" s="38" t="n"/>
      <c r="J1345" s="98">
        <f>IF(A1345="","",IF(AND(F1345&lt;&gt;"",G1345&lt;&gt;""),MAX(0,G1345-F1345),N(H1345)))</f>
        <v/>
      </c>
      <c r="K1345" s="55">
        <f>IF(A1345="","",ROUND(J1345*MileRate,2))</f>
        <v/>
      </c>
      <c r="L1345" s="51">
        <f>IF(A1345="","",DATE(YEAR(A1345),MONTH(A1345),1))</f>
        <v/>
      </c>
    </row>
    <row r="1346">
      <c r="A1346" s="47" t="n"/>
      <c r="B1346" s="38" t="n"/>
      <c r="C1346" s="38" t="n"/>
      <c r="D1346" s="38" t="n"/>
      <c r="E1346" s="38" t="n"/>
      <c r="F1346" s="128" t="n"/>
      <c r="G1346" s="128" t="n"/>
      <c r="H1346" s="129" t="n"/>
      <c r="I1346" s="38" t="n"/>
      <c r="J1346" s="98">
        <f>IF(A1346="","",IF(AND(F1346&lt;&gt;"",G1346&lt;&gt;""),MAX(0,G1346-F1346),N(H1346)))</f>
        <v/>
      </c>
      <c r="K1346" s="55">
        <f>IF(A1346="","",ROUND(J1346*MileRate,2))</f>
        <v/>
      </c>
      <c r="L1346" s="51">
        <f>IF(A1346="","",DATE(YEAR(A1346),MONTH(A1346),1))</f>
        <v/>
      </c>
    </row>
    <row r="1347">
      <c r="A1347" s="47" t="n"/>
      <c r="B1347" s="38" t="n"/>
      <c r="C1347" s="38" t="n"/>
      <c r="D1347" s="38" t="n"/>
      <c r="E1347" s="38" t="n"/>
      <c r="F1347" s="128" t="n"/>
      <c r="G1347" s="128" t="n"/>
      <c r="H1347" s="129" t="n"/>
      <c r="I1347" s="38" t="n"/>
      <c r="J1347" s="98">
        <f>IF(A1347="","",IF(AND(F1347&lt;&gt;"",G1347&lt;&gt;""),MAX(0,G1347-F1347),N(H1347)))</f>
        <v/>
      </c>
      <c r="K1347" s="55">
        <f>IF(A1347="","",ROUND(J1347*MileRate,2))</f>
        <v/>
      </c>
      <c r="L1347" s="51">
        <f>IF(A1347="","",DATE(YEAR(A1347),MONTH(A1347),1))</f>
        <v/>
      </c>
    </row>
    <row r="1348">
      <c r="A1348" s="47" t="n"/>
      <c r="B1348" s="38" t="n"/>
      <c r="C1348" s="38" t="n"/>
      <c r="D1348" s="38" t="n"/>
      <c r="E1348" s="38" t="n"/>
      <c r="F1348" s="128" t="n"/>
      <c r="G1348" s="128" t="n"/>
      <c r="H1348" s="129" t="n"/>
      <c r="I1348" s="38" t="n"/>
      <c r="J1348" s="98">
        <f>IF(A1348="","",IF(AND(F1348&lt;&gt;"",G1348&lt;&gt;""),MAX(0,G1348-F1348),N(H1348)))</f>
        <v/>
      </c>
      <c r="K1348" s="55">
        <f>IF(A1348="","",ROUND(J1348*MileRate,2))</f>
        <v/>
      </c>
      <c r="L1348" s="51">
        <f>IF(A1348="","",DATE(YEAR(A1348),MONTH(A1348),1))</f>
        <v/>
      </c>
    </row>
    <row r="1349">
      <c r="A1349" s="47" t="n"/>
      <c r="B1349" s="38" t="n"/>
      <c r="C1349" s="38" t="n"/>
      <c r="D1349" s="38" t="n"/>
      <c r="E1349" s="38" t="n"/>
      <c r="F1349" s="128" t="n"/>
      <c r="G1349" s="128" t="n"/>
      <c r="H1349" s="129" t="n"/>
      <c r="I1349" s="38" t="n"/>
      <c r="J1349" s="98">
        <f>IF(A1349="","",IF(AND(F1349&lt;&gt;"",G1349&lt;&gt;""),MAX(0,G1349-F1349),N(H1349)))</f>
        <v/>
      </c>
      <c r="K1349" s="55">
        <f>IF(A1349="","",ROUND(J1349*MileRate,2))</f>
        <v/>
      </c>
      <c r="L1349" s="51">
        <f>IF(A1349="","",DATE(YEAR(A1349),MONTH(A1349),1))</f>
        <v/>
      </c>
    </row>
    <row r="1350">
      <c r="A1350" s="47" t="n"/>
      <c r="B1350" s="38" t="n"/>
      <c r="C1350" s="38" t="n"/>
      <c r="D1350" s="38" t="n"/>
      <c r="E1350" s="38" t="n"/>
      <c r="F1350" s="128" t="n"/>
      <c r="G1350" s="128" t="n"/>
      <c r="H1350" s="129" t="n"/>
      <c r="I1350" s="38" t="n"/>
      <c r="J1350" s="98">
        <f>IF(A1350="","",IF(AND(F1350&lt;&gt;"",G1350&lt;&gt;""),MAX(0,G1350-F1350),N(H1350)))</f>
        <v/>
      </c>
      <c r="K1350" s="55">
        <f>IF(A1350="","",ROUND(J1350*MileRate,2))</f>
        <v/>
      </c>
      <c r="L1350" s="51">
        <f>IF(A1350="","",DATE(YEAR(A1350),MONTH(A1350),1))</f>
        <v/>
      </c>
    </row>
    <row r="1351">
      <c r="A1351" s="47" t="n"/>
      <c r="B1351" s="38" t="n"/>
      <c r="C1351" s="38" t="n"/>
      <c r="D1351" s="38" t="n"/>
      <c r="E1351" s="38" t="n"/>
      <c r="F1351" s="128" t="n"/>
      <c r="G1351" s="128" t="n"/>
      <c r="H1351" s="129" t="n"/>
      <c r="I1351" s="38" t="n"/>
      <c r="J1351" s="98">
        <f>IF(A1351="","",IF(AND(F1351&lt;&gt;"",G1351&lt;&gt;""),MAX(0,G1351-F1351),N(H1351)))</f>
        <v/>
      </c>
      <c r="K1351" s="55">
        <f>IF(A1351="","",ROUND(J1351*MileRate,2))</f>
        <v/>
      </c>
      <c r="L1351" s="51">
        <f>IF(A1351="","",DATE(YEAR(A1351),MONTH(A1351),1))</f>
        <v/>
      </c>
    </row>
    <row r="1352">
      <c r="A1352" s="47" t="n"/>
      <c r="B1352" s="38" t="n"/>
      <c r="C1352" s="38" t="n"/>
      <c r="D1352" s="38" t="n"/>
      <c r="E1352" s="38" t="n"/>
      <c r="F1352" s="128" t="n"/>
      <c r="G1352" s="128" t="n"/>
      <c r="H1352" s="129" t="n"/>
      <c r="I1352" s="38" t="n"/>
      <c r="J1352" s="98">
        <f>IF(A1352="","",IF(AND(F1352&lt;&gt;"",G1352&lt;&gt;""),MAX(0,G1352-F1352),N(H1352)))</f>
        <v/>
      </c>
      <c r="K1352" s="55">
        <f>IF(A1352="","",ROUND(J1352*MileRate,2))</f>
        <v/>
      </c>
      <c r="L1352" s="51">
        <f>IF(A1352="","",DATE(YEAR(A1352),MONTH(A1352),1))</f>
        <v/>
      </c>
    </row>
    <row r="1353">
      <c r="A1353" s="47" t="n"/>
      <c r="B1353" s="38" t="n"/>
      <c r="C1353" s="38" t="n"/>
      <c r="D1353" s="38" t="n"/>
      <c r="E1353" s="38" t="n"/>
      <c r="F1353" s="128" t="n"/>
      <c r="G1353" s="128" t="n"/>
      <c r="H1353" s="129" t="n"/>
      <c r="I1353" s="38" t="n"/>
      <c r="J1353" s="98">
        <f>IF(A1353="","",IF(AND(F1353&lt;&gt;"",G1353&lt;&gt;""),MAX(0,G1353-F1353),N(H1353)))</f>
        <v/>
      </c>
      <c r="K1353" s="55">
        <f>IF(A1353="","",ROUND(J1353*MileRate,2))</f>
        <v/>
      </c>
      <c r="L1353" s="51">
        <f>IF(A1353="","",DATE(YEAR(A1353),MONTH(A1353),1))</f>
        <v/>
      </c>
    </row>
    <row r="1354">
      <c r="A1354" s="47" t="n"/>
      <c r="B1354" s="38" t="n"/>
      <c r="C1354" s="38" t="n"/>
      <c r="D1354" s="38" t="n"/>
      <c r="E1354" s="38" t="n"/>
      <c r="F1354" s="128" t="n"/>
      <c r="G1354" s="128" t="n"/>
      <c r="H1354" s="129" t="n"/>
      <c r="I1354" s="38" t="n"/>
      <c r="J1354" s="98">
        <f>IF(A1354="","",IF(AND(F1354&lt;&gt;"",G1354&lt;&gt;""),MAX(0,G1354-F1354),N(H1354)))</f>
        <v/>
      </c>
      <c r="K1354" s="55">
        <f>IF(A1354="","",ROUND(J1354*MileRate,2))</f>
        <v/>
      </c>
      <c r="L1354" s="51">
        <f>IF(A1354="","",DATE(YEAR(A1354),MONTH(A1354),1))</f>
        <v/>
      </c>
    </row>
    <row r="1355">
      <c r="A1355" s="47" t="n"/>
      <c r="B1355" s="38" t="n"/>
      <c r="C1355" s="38" t="n"/>
      <c r="D1355" s="38" t="n"/>
      <c r="E1355" s="38" t="n"/>
      <c r="F1355" s="128" t="n"/>
      <c r="G1355" s="128" t="n"/>
      <c r="H1355" s="129" t="n"/>
      <c r="I1355" s="38" t="n"/>
      <c r="J1355" s="98">
        <f>IF(A1355="","",IF(AND(F1355&lt;&gt;"",G1355&lt;&gt;""),MAX(0,G1355-F1355),N(H1355)))</f>
        <v/>
      </c>
      <c r="K1355" s="55">
        <f>IF(A1355="","",ROUND(J1355*MileRate,2))</f>
        <v/>
      </c>
      <c r="L1355" s="51">
        <f>IF(A1355="","",DATE(YEAR(A1355),MONTH(A1355),1))</f>
        <v/>
      </c>
    </row>
    <row r="1356">
      <c r="A1356" s="47" t="n"/>
      <c r="B1356" s="38" t="n"/>
      <c r="C1356" s="38" t="n"/>
      <c r="D1356" s="38" t="n"/>
      <c r="E1356" s="38" t="n"/>
      <c r="F1356" s="128" t="n"/>
      <c r="G1356" s="128" t="n"/>
      <c r="H1356" s="129" t="n"/>
      <c r="I1356" s="38" t="n"/>
      <c r="J1356" s="98">
        <f>IF(A1356="","",IF(AND(F1356&lt;&gt;"",G1356&lt;&gt;""),MAX(0,G1356-F1356),N(H1356)))</f>
        <v/>
      </c>
      <c r="K1356" s="55">
        <f>IF(A1356="","",ROUND(J1356*MileRate,2))</f>
        <v/>
      </c>
      <c r="L1356" s="51">
        <f>IF(A1356="","",DATE(YEAR(A1356),MONTH(A1356),1))</f>
        <v/>
      </c>
    </row>
    <row r="1357">
      <c r="A1357" s="47" t="n"/>
      <c r="B1357" s="38" t="n"/>
      <c r="C1357" s="38" t="n"/>
      <c r="D1357" s="38" t="n"/>
      <c r="E1357" s="38" t="n"/>
      <c r="F1357" s="128" t="n"/>
      <c r="G1357" s="128" t="n"/>
      <c r="H1357" s="129" t="n"/>
      <c r="I1357" s="38" t="n"/>
      <c r="J1357" s="98">
        <f>IF(A1357="","",IF(AND(F1357&lt;&gt;"",G1357&lt;&gt;""),MAX(0,G1357-F1357),N(H1357)))</f>
        <v/>
      </c>
      <c r="K1357" s="55">
        <f>IF(A1357="","",ROUND(J1357*MileRate,2))</f>
        <v/>
      </c>
      <c r="L1357" s="51">
        <f>IF(A1357="","",DATE(YEAR(A1357),MONTH(A1357),1))</f>
        <v/>
      </c>
    </row>
    <row r="1358">
      <c r="A1358" s="47" t="n"/>
      <c r="B1358" s="38" t="n"/>
      <c r="C1358" s="38" t="n"/>
      <c r="D1358" s="38" t="n"/>
      <c r="E1358" s="38" t="n"/>
      <c r="F1358" s="128" t="n"/>
      <c r="G1358" s="128" t="n"/>
      <c r="H1358" s="129" t="n"/>
      <c r="I1358" s="38" t="n"/>
      <c r="J1358" s="98">
        <f>IF(A1358="","",IF(AND(F1358&lt;&gt;"",G1358&lt;&gt;""),MAX(0,G1358-F1358),N(H1358)))</f>
        <v/>
      </c>
      <c r="K1358" s="55">
        <f>IF(A1358="","",ROUND(J1358*MileRate,2))</f>
        <v/>
      </c>
      <c r="L1358" s="51">
        <f>IF(A1358="","",DATE(YEAR(A1358),MONTH(A1358),1))</f>
        <v/>
      </c>
    </row>
    <row r="1359">
      <c r="A1359" s="47" t="n"/>
      <c r="B1359" s="38" t="n"/>
      <c r="C1359" s="38" t="n"/>
      <c r="D1359" s="38" t="n"/>
      <c r="E1359" s="38" t="n"/>
      <c r="F1359" s="128" t="n"/>
      <c r="G1359" s="128" t="n"/>
      <c r="H1359" s="129" t="n"/>
      <c r="I1359" s="38" t="n"/>
      <c r="J1359" s="98">
        <f>IF(A1359="","",IF(AND(F1359&lt;&gt;"",G1359&lt;&gt;""),MAX(0,G1359-F1359),N(H1359)))</f>
        <v/>
      </c>
      <c r="K1359" s="55">
        <f>IF(A1359="","",ROUND(J1359*MileRate,2))</f>
        <v/>
      </c>
      <c r="L1359" s="51">
        <f>IF(A1359="","",DATE(YEAR(A1359),MONTH(A1359),1))</f>
        <v/>
      </c>
    </row>
    <row r="1360">
      <c r="A1360" s="47" t="n"/>
      <c r="B1360" s="38" t="n"/>
      <c r="C1360" s="38" t="n"/>
      <c r="D1360" s="38" t="n"/>
      <c r="E1360" s="38" t="n"/>
      <c r="F1360" s="128" t="n"/>
      <c r="G1360" s="128" t="n"/>
      <c r="H1360" s="129" t="n"/>
      <c r="I1360" s="38" t="n"/>
      <c r="J1360" s="98">
        <f>IF(A1360="","",IF(AND(F1360&lt;&gt;"",G1360&lt;&gt;""),MAX(0,G1360-F1360),N(H1360)))</f>
        <v/>
      </c>
      <c r="K1360" s="55">
        <f>IF(A1360="","",ROUND(J1360*MileRate,2))</f>
        <v/>
      </c>
      <c r="L1360" s="51">
        <f>IF(A1360="","",DATE(YEAR(A1360),MONTH(A1360),1))</f>
        <v/>
      </c>
    </row>
    <row r="1361">
      <c r="A1361" s="47" t="n"/>
      <c r="B1361" s="38" t="n"/>
      <c r="C1361" s="38" t="n"/>
      <c r="D1361" s="38" t="n"/>
      <c r="E1361" s="38" t="n"/>
      <c r="F1361" s="128" t="n"/>
      <c r="G1361" s="128" t="n"/>
      <c r="H1361" s="129" t="n"/>
      <c r="I1361" s="38" t="n"/>
      <c r="J1361" s="98">
        <f>IF(A1361="","",IF(AND(F1361&lt;&gt;"",G1361&lt;&gt;""),MAX(0,G1361-F1361),N(H1361)))</f>
        <v/>
      </c>
      <c r="K1361" s="55">
        <f>IF(A1361="","",ROUND(J1361*MileRate,2))</f>
        <v/>
      </c>
      <c r="L1361" s="51">
        <f>IF(A1361="","",DATE(YEAR(A1361),MONTH(A1361),1))</f>
        <v/>
      </c>
    </row>
    <row r="1362">
      <c r="A1362" s="47" t="n"/>
      <c r="B1362" s="38" t="n"/>
      <c r="C1362" s="38" t="n"/>
      <c r="D1362" s="38" t="n"/>
      <c r="E1362" s="38" t="n"/>
      <c r="F1362" s="128" t="n"/>
      <c r="G1362" s="128" t="n"/>
      <c r="H1362" s="129" t="n"/>
      <c r="I1362" s="38" t="n"/>
      <c r="J1362" s="98">
        <f>IF(A1362="","",IF(AND(F1362&lt;&gt;"",G1362&lt;&gt;""),MAX(0,G1362-F1362),N(H1362)))</f>
        <v/>
      </c>
      <c r="K1362" s="55">
        <f>IF(A1362="","",ROUND(J1362*MileRate,2))</f>
        <v/>
      </c>
      <c r="L1362" s="51">
        <f>IF(A1362="","",DATE(YEAR(A1362),MONTH(A1362),1))</f>
        <v/>
      </c>
    </row>
    <row r="1363">
      <c r="A1363" s="47" t="n"/>
      <c r="B1363" s="38" t="n"/>
      <c r="C1363" s="38" t="n"/>
      <c r="D1363" s="38" t="n"/>
      <c r="E1363" s="38" t="n"/>
      <c r="F1363" s="128" t="n"/>
      <c r="G1363" s="128" t="n"/>
      <c r="H1363" s="129" t="n"/>
      <c r="I1363" s="38" t="n"/>
      <c r="J1363" s="98">
        <f>IF(A1363="","",IF(AND(F1363&lt;&gt;"",G1363&lt;&gt;""),MAX(0,G1363-F1363),N(H1363)))</f>
        <v/>
      </c>
      <c r="K1363" s="55">
        <f>IF(A1363="","",ROUND(J1363*MileRate,2))</f>
        <v/>
      </c>
      <c r="L1363" s="51">
        <f>IF(A1363="","",DATE(YEAR(A1363),MONTH(A1363),1))</f>
        <v/>
      </c>
    </row>
    <row r="1364">
      <c r="A1364" s="47" t="n"/>
      <c r="B1364" s="38" t="n"/>
      <c r="C1364" s="38" t="n"/>
      <c r="D1364" s="38" t="n"/>
      <c r="E1364" s="38" t="n"/>
      <c r="F1364" s="128" t="n"/>
      <c r="G1364" s="128" t="n"/>
      <c r="H1364" s="129" t="n"/>
      <c r="I1364" s="38" t="n"/>
      <c r="J1364" s="98">
        <f>IF(A1364="","",IF(AND(F1364&lt;&gt;"",G1364&lt;&gt;""),MAX(0,G1364-F1364),N(H1364)))</f>
        <v/>
      </c>
      <c r="K1364" s="55">
        <f>IF(A1364="","",ROUND(J1364*MileRate,2))</f>
        <v/>
      </c>
      <c r="L1364" s="51">
        <f>IF(A1364="","",DATE(YEAR(A1364),MONTH(A1364),1))</f>
        <v/>
      </c>
    </row>
    <row r="1365">
      <c r="A1365" s="47" t="n"/>
      <c r="B1365" s="38" t="n"/>
      <c r="C1365" s="38" t="n"/>
      <c r="D1365" s="38" t="n"/>
      <c r="E1365" s="38" t="n"/>
      <c r="F1365" s="128" t="n"/>
      <c r="G1365" s="128" t="n"/>
      <c r="H1365" s="129" t="n"/>
      <c r="I1365" s="38" t="n"/>
      <c r="J1365" s="98">
        <f>IF(A1365="","",IF(AND(F1365&lt;&gt;"",G1365&lt;&gt;""),MAX(0,G1365-F1365),N(H1365)))</f>
        <v/>
      </c>
      <c r="K1365" s="55">
        <f>IF(A1365="","",ROUND(J1365*MileRate,2))</f>
        <v/>
      </c>
      <c r="L1365" s="51">
        <f>IF(A1365="","",DATE(YEAR(A1365),MONTH(A1365),1))</f>
        <v/>
      </c>
    </row>
    <row r="1366">
      <c r="A1366" s="47" t="n"/>
      <c r="B1366" s="38" t="n"/>
      <c r="C1366" s="38" t="n"/>
      <c r="D1366" s="38" t="n"/>
      <c r="E1366" s="38" t="n"/>
      <c r="F1366" s="128" t="n"/>
      <c r="G1366" s="128" t="n"/>
      <c r="H1366" s="129" t="n"/>
      <c r="I1366" s="38" t="n"/>
      <c r="J1366" s="98">
        <f>IF(A1366="","",IF(AND(F1366&lt;&gt;"",G1366&lt;&gt;""),MAX(0,G1366-F1366),N(H1366)))</f>
        <v/>
      </c>
      <c r="K1366" s="55">
        <f>IF(A1366="","",ROUND(J1366*MileRate,2))</f>
        <v/>
      </c>
      <c r="L1366" s="51">
        <f>IF(A1366="","",DATE(YEAR(A1366),MONTH(A1366),1))</f>
        <v/>
      </c>
    </row>
    <row r="1367">
      <c r="A1367" s="47" t="n"/>
      <c r="B1367" s="38" t="n"/>
      <c r="C1367" s="38" t="n"/>
      <c r="D1367" s="38" t="n"/>
      <c r="E1367" s="38" t="n"/>
      <c r="F1367" s="128" t="n"/>
      <c r="G1367" s="128" t="n"/>
      <c r="H1367" s="129" t="n"/>
      <c r="I1367" s="38" t="n"/>
      <c r="J1367" s="98">
        <f>IF(A1367="","",IF(AND(F1367&lt;&gt;"",G1367&lt;&gt;""),MAX(0,G1367-F1367),N(H1367)))</f>
        <v/>
      </c>
      <c r="K1367" s="55">
        <f>IF(A1367="","",ROUND(J1367*MileRate,2))</f>
        <v/>
      </c>
      <c r="L1367" s="51">
        <f>IF(A1367="","",DATE(YEAR(A1367),MONTH(A1367),1))</f>
        <v/>
      </c>
    </row>
    <row r="1368">
      <c r="A1368" s="47" t="n"/>
      <c r="B1368" s="38" t="n"/>
      <c r="C1368" s="38" t="n"/>
      <c r="D1368" s="38" t="n"/>
      <c r="E1368" s="38" t="n"/>
      <c r="F1368" s="128" t="n"/>
      <c r="G1368" s="128" t="n"/>
      <c r="H1368" s="129" t="n"/>
      <c r="I1368" s="38" t="n"/>
      <c r="J1368" s="98">
        <f>IF(A1368="","",IF(AND(F1368&lt;&gt;"",G1368&lt;&gt;""),MAX(0,G1368-F1368),N(H1368)))</f>
        <v/>
      </c>
      <c r="K1368" s="55">
        <f>IF(A1368="","",ROUND(J1368*MileRate,2))</f>
        <v/>
      </c>
      <c r="L1368" s="51">
        <f>IF(A1368="","",DATE(YEAR(A1368),MONTH(A1368),1))</f>
        <v/>
      </c>
    </row>
    <row r="1369">
      <c r="A1369" s="47" t="n"/>
      <c r="B1369" s="38" t="n"/>
      <c r="C1369" s="38" t="n"/>
      <c r="D1369" s="38" t="n"/>
      <c r="E1369" s="38" t="n"/>
      <c r="F1369" s="128" t="n"/>
      <c r="G1369" s="128" t="n"/>
      <c r="H1369" s="129" t="n"/>
      <c r="I1369" s="38" t="n"/>
      <c r="J1369" s="98">
        <f>IF(A1369="","",IF(AND(F1369&lt;&gt;"",G1369&lt;&gt;""),MAX(0,G1369-F1369),N(H1369)))</f>
        <v/>
      </c>
      <c r="K1369" s="55">
        <f>IF(A1369="","",ROUND(J1369*MileRate,2))</f>
        <v/>
      </c>
      <c r="L1369" s="51">
        <f>IF(A1369="","",DATE(YEAR(A1369),MONTH(A1369),1))</f>
        <v/>
      </c>
    </row>
    <row r="1370">
      <c r="A1370" s="47" t="n"/>
      <c r="B1370" s="38" t="n"/>
      <c r="C1370" s="38" t="n"/>
      <c r="D1370" s="38" t="n"/>
      <c r="E1370" s="38" t="n"/>
      <c r="F1370" s="128" t="n"/>
      <c r="G1370" s="128" t="n"/>
      <c r="H1370" s="129" t="n"/>
      <c r="I1370" s="38" t="n"/>
      <c r="J1370" s="98">
        <f>IF(A1370="","",IF(AND(F1370&lt;&gt;"",G1370&lt;&gt;""),MAX(0,G1370-F1370),N(H1370)))</f>
        <v/>
      </c>
      <c r="K1370" s="55">
        <f>IF(A1370="","",ROUND(J1370*MileRate,2))</f>
        <v/>
      </c>
      <c r="L1370" s="51">
        <f>IF(A1370="","",DATE(YEAR(A1370),MONTH(A1370),1))</f>
        <v/>
      </c>
    </row>
    <row r="1371">
      <c r="A1371" s="47" t="n"/>
      <c r="B1371" s="38" t="n"/>
      <c r="C1371" s="38" t="n"/>
      <c r="D1371" s="38" t="n"/>
      <c r="E1371" s="38" t="n"/>
      <c r="F1371" s="128" t="n"/>
      <c r="G1371" s="128" t="n"/>
      <c r="H1371" s="129" t="n"/>
      <c r="I1371" s="38" t="n"/>
      <c r="J1371" s="98">
        <f>IF(A1371="","",IF(AND(F1371&lt;&gt;"",G1371&lt;&gt;""),MAX(0,G1371-F1371),N(H1371)))</f>
        <v/>
      </c>
      <c r="K1371" s="55">
        <f>IF(A1371="","",ROUND(J1371*MileRate,2))</f>
        <v/>
      </c>
      <c r="L1371" s="51">
        <f>IF(A1371="","",DATE(YEAR(A1371),MONTH(A1371),1))</f>
        <v/>
      </c>
    </row>
    <row r="1372">
      <c r="A1372" s="47" t="n"/>
      <c r="B1372" s="38" t="n"/>
      <c r="C1372" s="38" t="n"/>
      <c r="D1372" s="38" t="n"/>
      <c r="E1372" s="38" t="n"/>
      <c r="F1372" s="128" t="n"/>
      <c r="G1372" s="128" t="n"/>
      <c r="H1372" s="129" t="n"/>
      <c r="I1372" s="38" t="n"/>
      <c r="J1372" s="98">
        <f>IF(A1372="","",IF(AND(F1372&lt;&gt;"",G1372&lt;&gt;""),MAX(0,G1372-F1372),N(H1372)))</f>
        <v/>
      </c>
      <c r="K1372" s="55">
        <f>IF(A1372="","",ROUND(J1372*MileRate,2))</f>
        <v/>
      </c>
      <c r="L1372" s="51">
        <f>IF(A1372="","",DATE(YEAR(A1372),MONTH(A1372),1))</f>
        <v/>
      </c>
    </row>
    <row r="1373">
      <c r="A1373" s="47" t="n"/>
      <c r="B1373" s="38" t="n"/>
      <c r="C1373" s="38" t="n"/>
      <c r="D1373" s="38" t="n"/>
      <c r="E1373" s="38" t="n"/>
      <c r="F1373" s="128" t="n"/>
      <c r="G1373" s="128" t="n"/>
      <c r="H1373" s="129" t="n"/>
      <c r="I1373" s="38" t="n"/>
      <c r="J1373" s="98">
        <f>IF(A1373="","",IF(AND(F1373&lt;&gt;"",G1373&lt;&gt;""),MAX(0,G1373-F1373),N(H1373)))</f>
        <v/>
      </c>
      <c r="K1373" s="55">
        <f>IF(A1373="","",ROUND(J1373*MileRate,2))</f>
        <v/>
      </c>
      <c r="L1373" s="51">
        <f>IF(A1373="","",DATE(YEAR(A1373),MONTH(A1373),1))</f>
        <v/>
      </c>
    </row>
    <row r="1374">
      <c r="A1374" s="47" t="n"/>
      <c r="B1374" s="38" t="n"/>
      <c r="C1374" s="38" t="n"/>
      <c r="D1374" s="38" t="n"/>
      <c r="E1374" s="38" t="n"/>
      <c r="F1374" s="128" t="n"/>
      <c r="G1374" s="128" t="n"/>
      <c r="H1374" s="129" t="n"/>
      <c r="I1374" s="38" t="n"/>
      <c r="J1374" s="98">
        <f>IF(A1374="","",IF(AND(F1374&lt;&gt;"",G1374&lt;&gt;""),MAX(0,G1374-F1374),N(H1374)))</f>
        <v/>
      </c>
      <c r="K1374" s="55">
        <f>IF(A1374="","",ROUND(J1374*MileRate,2))</f>
        <v/>
      </c>
      <c r="L1374" s="51">
        <f>IF(A1374="","",DATE(YEAR(A1374),MONTH(A1374),1))</f>
        <v/>
      </c>
    </row>
    <row r="1375">
      <c r="A1375" s="47" t="n"/>
      <c r="B1375" s="38" t="n"/>
      <c r="C1375" s="38" t="n"/>
      <c r="D1375" s="38" t="n"/>
      <c r="E1375" s="38" t="n"/>
      <c r="F1375" s="128" t="n"/>
      <c r="G1375" s="128" t="n"/>
      <c r="H1375" s="129" t="n"/>
      <c r="I1375" s="38" t="n"/>
      <c r="J1375" s="98">
        <f>IF(A1375="","",IF(AND(F1375&lt;&gt;"",G1375&lt;&gt;""),MAX(0,G1375-F1375),N(H1375)))</f>
        <v/>
      </c>
      <c r="K1375" s="55">
        <f>IF(A1375="","",ROUND(J1375*MileRate,2))</f>
        <v/>
      </c>
      <c r="L1375" s="51">
        <f>IF(A1375="","",DATE(YEAR(A1375),MONTH(A1375),1))</f>
        <v/>
      </c>
    </row>
    <row r="1376">
      <c r="A1376" s="47" t="n"/>
      <c r="B1376" s="38" t="n"/>
      <c r="C1376" s="38" t="n"/>
      <c r="D1376" s="38" t="n"/>
      <c r="E1376" s="38" t="n"/>
      <c r="F1376" s="128" t="n"/>
      <c r="G1376" s="128" t="n"/>
      <c r="H1376" s="129" t="n"/>
      <c r="I1376" s="38" t="n"/>
      <c r="J1376" s="98">
        <f>IF(A1376="","",IF(AND(F1376&lt;&gt;"",G1376&lt;&gt;""),MAX(0,G1376-F1376),N(H1376)))</f>
        <v/>
      </c>
      <c r="K1376" s="55">
        <f>IF(A1376="","",ROUND(J1376*MileRate,2))</f>
        <v/>
      </c>
      <c r="L1376" s="51">
        <f>IF(A1376="","",DATE(YEAR(A1376),MONTH(A1376),1))</f>
        <v/>
      </c>
    </row>
    <row r="1377">
      <c r="A1377" s="47" t="n"/>
      <c r="B1377" s="38" t="n"/>
      <c r="C1377" s="38" t="n"/>
      <c r="D1377" s="38" t="n"/>
      <c r="E1377" s="38" t="n"/>
      <c r="F1377" s="128" t="n"/>
      <c r="G1377" s="128" t="n"/>
      <c r="H1377" s="129" t="n"/>
      <c r="I1377" s="38" t="n"/>
      <c r="J1377" s="98">
        <f>IF(A1377="","",IF(AND(F1377&lt;&gt;"",G1377&lt;&gt;""),MAX(0,G1377-F1377),N(H1377)))</f>
        <v/>
      </c>
      <c r="K1377" s="55">
        <f>IF(A1377="","",ROUND(J1377*MileRate,2))</f>
        <v/>
      </c>
      <c r="L1377" s="51">
        <f>IF(A1377="","",DATE(YEAR(A1377),MONTH(A1377),1))</f>
        <v/>
      </c>
    </row>
    <row r="1378">
      <c r="A1378" s="47" t="n"/>
      <c r="B1378" s="38" t="n"/>
      <c r="C1378" s="38" t="n"/>
      <c r="D1378" s="38" t="n"/>
      <c r="E1378" s="38" t="n"/>
      <c r="F1378" s="128" t="n"/>
      <c r="G1378" s="128" t="n"/>
      <c r="H1378" s="129" t="n"/>
      <c r="I1378" s="38" t="n"/>
      <c r="J1378" s="98">
        <f>IF(A1378="","",IF(AND(F1378&lt;&gt;"",G1378&lt;&gt;""),MAX(0,G1378-F1378),N(H1378)))</f>
        <v/>
      </c>
      <c r="K1378" s="55">
        <f>IF(A1378="","",ROUND(J1378*MileRate,2))</f>
        <v/>
      </c>
      <c r="L1378" s="51">
        <f>IF(A1378="","",DATE(YEAR(A1378),MONTH(A1378),1))</f>
        <v/>
      </c>
    </row>
    <row r="1379">
      <c r="A1379" s="47" t="n"/>
      <c r="B1379" s="38" t="n"/>
      <c r="C1379" s="38" t="n"/>
      <c r="D1379" s="38" t="n"/>
      <c r="E1379" s="38" t="n"/>
      <c r="F1379" s="128" t="n"/>
      <c r="G1379" s="128" t="n"/>
      <c r="H1379" s="129" t="n"/>
      <c r="I1379" s="38" t="n"/>
      <c r="J1379" s="98">
        <f>IF(A1379="","",IF(AND(F1379&lt;&gt;"",G1379&lt;&gt;""),MAX(0,G1379-F1379),N(H1379)))</f>
        <v/>
      </c>
      <c r="K1379" s="55">
        <f>IF(A1379="","",ROUND(J1379*MileRate,2))</f>
        <v/>
      </c>
      <c r="L1379" s="51">
        <f>IF(A1379="","",DATE(YEAR(A1379),MONTH(A1379),1))</f>
        <v/>
      </c>
    </row>
    <row r="1380">
      <c r="A1380" s="47" t="n"/>
      <c r="B1380" s="38" t="n"/>
      <c r="C1380" s="38" t="n"/>
      <c r="D1380" s="38" t="n"/>
      <c r="E1380" s="38" t="n"/>
      <c r="F1380" s="128" t="n"/>
      <c r="G1380" s="128" t="n"/>
      <c r="H1380" s="129" t="n"/>
      <c r="I1380" s="38" t="n"/>
      <c r="J1380" s="98">
        <f>IF(A1380="","",IF(AND(F1380&lt;&gt;"",G1380&lt;&gt;""),MAX(0,G1380-F1380),N(H1380)))</f>
        <v/>
      </c>
      <c r="K1380" s="55">
        <f>IF(A1380="","",ROUND(J1380*MileRate,2))</f>
        <v/>
      </c>
      <c r="L1380" s="51">
        <f>IF(A1380="","",DATE(YEAR(A1380),MONTH(A1380),1))</f>
        <v/>
      </c>
    </row>
    <row r="1381">
      <c r="A1381" s="47" t="n"/>
      <c r="B1381" s="38" t="n"/>
      <c r="C1381" s="38" t="n"/>
      <c r="D1381" s="38" t="n"/>
      <c r="E1381" s="38" t="n"/>
      <c r="F1381" s="128" t="n"/>
      <c r="G1381" s="128" t="n"/>
      <c r="H1381" s="129" t="n"/>
      <c r="I1381" s="38" t="n"/>
      <c r="J1381" s="98">
        <f>IF(A1381="","",IF(AND(F1381&lt;&gt;"",G1381&lt;&gt;""),MAX(0,G1381-F1381),N(H1381)))</f>
        <v/>
      </c>
      <c r="K1381" s="55">
        <f>IF(A1381="","",ROUND(J1381*MileRate,2))</f>
        <v/>
      </c>
      <c r="L1381" s="51">
        <f>IF(A1381="","",DATE(YEAR(A1381),MONTH(A1381),1))</f>
        <v/>
      </c>
    </row>
    <row r="1382">
      <c r="A1382" s="47" t="n"/>
      <c r="B1382" s="38" t="n"/>
      <c r="C1382" s="38" t="n"/>
      <c r="D1382" s="38" t="n"/>
      <c r="E1382" s="38" t="n"/>
      <c r="F1382" s="128" t="n"/>
      <c r="G1382" s="128" t="n"/>
      <c r="H1382" s="129" t="n"/>
      <c r="I1382" s="38" t="n"/>
      <c r="J1382" s="98">
        <f>IF(A1382="","",IF(AND(F1382&lt;&gt;"",G1382&lt;&gt;""),MAX(0,G1382-F1382),N(H1382)))</f>
        <v/>
      </c>
      <c r="K1382" s="55">
        <f>IF(A1382="","",ROUND(J1382*MileRate,2))</f>
        <v/>
      </c>
      <c r="L1382" s="51">
        <f>IF(A1382="","",DATE(YEAR(A1382),MONTH(A1382),1))</f>
        <v/>
      </c>
    </row>
    <row r="1383">
      <c r="A1383" s="47" t="n"/>
      <c r="B1383" s="38" t="n"/>
      <c r="C1383" s="38" t="n"/>
      <c r="D1383" s="38" t="n"/>
      <c r="E1383" s="38" t="n"/>
      <c r="F1383" s="128" t="n"/>
      <c r="G1383" s="128" t="n"/>
      <c r="H1383" s="129" t="n"/>
      <c r="I1383" s="38" t="n"/>
      <c r="J1383" s="98">
        <f>IF(A1383="","",IF(AND(F1383&lt;&gt;"",G1383&lt;&gt;""),MAX(0,G1383-F1383),N(H1383)))</f>
        <v/>
      </c>
      <c r="K1383" s="55">
        <f>IF(A1383="","",ROUND(J1383*MileRate,2))</f>
        <v/>
      </c>
      <c r="L1383" s="51">
        <f>IF(A1383="","",DATE(YEAR(A1383),MONTH(A1383),1))</f>
        <v/>
      </c>
    </row>
    <row r="1384">
      <c r="A1384" s="47" t="n"/>
      <c r="B1384" s="38" t="n"/>
      <c r="C1384" s="38" t="n"/>
      <c r="D1384" s="38" t="n"/>
      <c r="E1384" s="38" t="n"/>
      <c r="F1384" s="128" t="n"/>
      <c r="G1384" s="128" t="n"/>
      <c r="H1384" s="129" t="n"/>
      <c r="I1384" s="38" t="n"/>
      <c r="J1384" s="98">
        <f>IF(A1384="","",IF(AND(F1384&lt;&gt;"",G1384&lt;&gt;""),MAX(0,G1384-F1384),N(H1384)))</f>
        <v/>
      </c>
      <c r="K1384" s="55">
        <f>IF(A1384="","",ROUND(J1384*MileRate,2))</f>
        <v/>
      </c>
      <c r="L1384" s="51">
        <f>IF(A1384="","",DATE(YEAR(A1384),MONTH(A1384),1))</f>
        <v/>
      </c>
    </row>
    <row r="1385">
      <c r="A1385" s="47" t="n"/>
      <c r="B1385" s="38" t="n"/>
      <c r="C1385" s="38" t="n"/>
      <c r="D1385" s="38" t="n"/>
      <c r="E1385" s="38" t="n"/>
      <c r="F1385" s="128" t="n"/>
      <c r="G1385" s="128" t="n"/>
      <c r="H1385" s="129" t="n"/>
      <c r="I1385" s="38" t="n"/>
      <c r="J1385" s="98">
        <f>IF(A1385="","",IF(AND(F1385&lt;&gt;"",G1385&lt;&gt;""),MAX(0,G1385-F1385),N(H1385)))</f>
        <v/>
      </c>
      <c r="K1385" s="55">
        <f>IF(A1385="","",ROUND(J1385*MileRate,2))</f>
        <v/>
      </c>
      <c r="L1385" s="51">
        <f>IF(A1385="","",DATE(YEAR(A1385),MONTH(A1385),1))</f>
        <v/>
      </c>
    </row>
    <row r="1386">
      <c r="A1386" s="47" t="n"/>
      <c r="B1386" s="38" t="n"/>
      <c r="C1386" s="38" t="n"/>
      <c r="D1386" s="38" t="n"/>
      <c r="E1386" s="38" t="n"/>
      <c r="F1386" s="128" t="n"/>
      <c r="G1386" s="128" t="n"/>
      <c r="H1386" s="129" t="n"/>
      <c r="I1386" s="38" t="n"/>
      <c r="J1386" s="98">
        <f>IF(A1386="","",IF(AND(F1386&lt;&gt;"",G1386&lt;&gt;""),MAX(0,G1386-F1386),N(H1386)))</f>
        <v/>
      </c>
      <c r="K1386" s="55">
        <f>IF(A1386="","",ROUND(J1386*MileRate,2))</f>
        <v/>
      </c>
      <c r="L1386" s="51">
        <f>IF(A1386="","",DATE(YEAR(A1386),MONTH(A1386),1))</f>
        <v/>
      </c>
    </row>
    <row r="1387">
      <c r="A1387" s="47" t="n"/>
      <c r="B1387" s="38" t="n"/>
      <c r="C1387" s="38" t="n"/>
      <c r="D1387" s="38" t="n"/>
      <c r="E1387" s="38" t="n"/>
      <c r="F1387" s="128" t="n"/>
      <c r="G1387" s="128" t="n"/>
      <c r="H1387" s="129" t="n"/>
      <c r="I1387" s="38" t="n"/>
      <c r="J1387" s="98">
        <f>IF(A1387="","",IF(AND(F1387&lt;&gt;"",G1387&lt;&gt;""),MAX(0,G1387-F1387),N(H1387)))</f>
        <v/>
      </c>
      <c r="K1387" s="55">
        <f>IF(A1387="","",ROUND(J1387*MileRate,2))</f>
        <v/>
      </c>
      <c r="L1387" s="51">
        <f>IF(A1387="","",DATE(YEAR(A1387),MONTH(A1387),1))</f>
        <v/>
      </c>
    </row>
    <row r="1388">
      <c r="A1388" s="47" t="n"/>
      <c r="B1388" s="38" t="n"/>
      <c r="C1388" s="38" t="n"/>
      <c r="D1388" s="38" t="n"/>
      <c r="E1388" s="38" t="n"/>
      <c r="F1388" s="128" t="n"/>
      <c r="G1388" s="128" t="n"/>
      <c r="H1388" s="129" t="n"/>
      <c r="I1388" s="38" t="n"/>
      <c r="J1388" s="98">
        <f>IF(A1388="","",IF(AND(F1388&lt;&gt;"",G1388&lt;&gt;""),MAX(0,G1388-F1388),N(H1388)))</f>
        <v/>
      </c>
      <c r="K1388" s="55">
        <f>IF(A1388="","",ROUND(J1388*MileRate,2))</f>
        <v/>
      </c>
      <c r="L1388" s="51">
        <f>IF(A1388="","",DATE(YEAR(A1388),MONTH(A1388),1))</f>
        <v/>
      </c>
    </row>
    <row r="1389">
      <c r="A1389" s="47" t="n"/>
      <c r="B1389" s="38" t="n"/>
      <c r="C1389" s="38" t="n"/>
      <c r="D1389" s="38" t="n"/>
      <c r="E1389" s="38" t="n"/>
      <c r="F1389" s="128" t="n"/>
      <c r="G1389" s="128" t="n"/>
      <c r="H1389" s="129" t="n"/>
      <c r="I1389" s="38" t="n"/>
      <c r="J1389" s="98">
        <f>IF(A1389="","",IF(AND(F1389&lt;&gt;"",G1389&lt;&gt;""),MAX(0,G1389-F1389),N(H1389)))</f>
        <v/>
      </c>
      <c r="K1389" s="55">
        <f>IF(A1389="","",ROUND(J1389*MileRate,2))</f>
        <v/>
      </c>
      <c r="L1389" s="51">
        <f>IF(A1389="","",DATE(YEAR(A1389),MONTH(A1389),1))</f>
        <v/>
      </c>
    </row>
    <row r="1390">
      <c r="A1390" s="47" t="n"/>
      <c r="B1390" s="38" t="n"/>
      <c r="C1390" s="38" t="n"/>
      <c r="D1390" s="38" t="n"/>
      <c r="E1390" s="38" t="n"/>
      <c r="F1390" s="128" t="n"/>
      <c r="G1390" s="128" t="n"/>
      <c r="H1390" s="129" t="n"/>
      <c r="I1390" s="38" t="n"/>
      <c r="J1390" s="98">
        <f>IF(A1390="","",IF(AND(F1390&lt;&gt;"",G1390&lt;&gt;""),MAX(0,G1390-F1390),N(H1390)))</f>
        <v/>
      </c>
      <c r="K1390" s="55">
        <f>IF(A1390="","",ROUND(J1390*MileRate,2))</f>
        <v/>
      </c>
      <c r="L1390" s="51">
        <f>IF(A1390="","",DATE(YEAR(A1390),MONTH(A1390),1))</f>
        <v/>
      </c>
    </row>
    <row r="1391">
      <c r="A1391" s="47" t="n"/>
      <c r="B1391" s="38" t="n"/>
      <c r="C1391" s="38" t="n"/>
      <c r="D1391" s="38" t="n"/>
      <c r="E1391" s="38" t="n"/>
      <c r="F1391" s="128" t="n"/>
      <c r="G1391" s="128" t="n"/>
      <c r="H1391" s="129" t="n"/>
      <c r="I1391" s="38" t="n"/>
      <c r="J1391" s="98">
        <f>IF(A1391="","",IF(AND(F1391&lt;&gt;"",G1391&lt;&gt;""),MAX(0,G1391-F1391),N(H1391)))</f>
        <v/>
      </c>
      <c r="K1391" s="55">
        <f>IF(A1391="","",ROUND(J1391*MileRate,2))</f>
        <v/>
      </c>
      <c r="L1391" s="51">
        <f>IF(A1391="","",DATE(YEAR(A1391),MONTH(A1391),1))</f>
        <v/>
      </c>
    </row>
    <row r="1392">
      <c r="A1392" s="47" t="n"/>
      <c r="B1392" s="38" t="n"/>
      <c r="C1392" s="38" t="n"/>
      <c r="D1392" s="38" t="n"/>
      <c r="E1392" s="38" t="n"/>
      <c r="F1392" s="128" t="n"/>
      <c r="G1392" s="128" t="n"/>
      <c r="H1392" s="129" t="n"/>
      <c r="I1392" s="38" t="n"/>
      <c r="J1392" s="98">
        <f>IF(A1392="","",IF(AND(F1392&lt;&gt;"",G1392&lt;&gt;""),MAX(0,G1392-F1392),N(H1392)))</f>
        <v/>
      </c>
      <c r="K1392" s="55">
        <f>IF(A1392="","",ROUND(J1392*MileRate,2))</f>
        <v/>
      </c>
      <c r="L1392" s="51">
        <f>IF(A1392="","",DATE(YEAR(A1392),MONTH(A1392),1))</f>
        <v/>
      </c>
    </row>
    <row r="1393">
      <c r="A1393" s="47" t="n"/>
      <c r="B1393" s="38" t="n"/>
      <c r="C1393" s="38" t="n"/>
      <c r="D1393" s="38" t="n"/>
      <c r="E1393" s="38" t="n"/>
      <c r="F1393" s="128" t="n"/>
      <c r="G1393" s="128" t="n"/>
      <c r="H1393" s="129" t="n"/>
      <c r="I1393" s="38" t="n"/>
      <c r="J1393" s="98">
        <f>IF(A1393="","",IF(AND(F1393&lt;&gt;"",G1393&lt;&gt;""),MAX(0,G1393-F1393),N(H1393)))</f>
        <v/>
      </c>
      <c r="K1393" s="55">
        <f>IF(A1393="","",ROUND(J1393*MileRate,2))</f>
        <v/>
      </c>
      <c r="L1393" s="51">
        <f>IF(A1393="","",DATE(YEAR(A1393),MONTH(A1393),1))</f>
        <v/>
      </c>
    </row>
    <row r="1394">
      <c r="A1394" s="47" t="n"/>
      <c r="B1394" s="38" t="n"/>
      <c r="C1394" s="38" t="n"/>
      <c r="D1394" s="38" t="n"/>
      <c r="E1394" s="38" t="n"/>
      <c r="F1394" s="128" t="n"/>
      <c r="G1394" s="128" t="n"/>
      <c r="H1394" s="129" t="n"/>
      <c r="I1394" s="38" t="n"/>
      <c r="J1394" s="98">
        <f>IF(A1394="","",IF(AND(F1394&lt;&gt;"",G1394&lt;&gt;""),MAX(0,G1394-F1394),N(H1394)))</f>
        <v/>
      </c>
      <c r="K1394" s="55">
        <f>IF(A1394="","",ROUND(J1394*MileRate,2))</f>
        <v/>
      </c>
      <c r="L1394" s="51">
        <f>IF(A1394="","",DATE(YEAR(A1394),MONTH(A1394),1))</f>
        <v/>
      </c>
    </row>
    <row r="1395">
      <c r="A1395" s="47" t="n"/>
      <c r="B1395" s="38" t="n"/>
      <c r="C1395" s="38" t="n"/>
      <c r="D1395" s="38" t="n"/>
      <c r="E1395" s="38" t="n"/>
      <c r="F1395" s="128" t="n"/>
      <c r="G1395" s="128" t="n"/>
      <c r="H1395" s="129" t="n"/>
      <c r="I1395" s="38" t="n"/>
      <c r="J1395" s="98">
        <f>IF(A1395="","",IF(AND(F1395&lt;&gt;"",G1395&lt;&gt;""),MAX(0,G1395-F1395),N(H1395)))</f>
        <v/>
      </c>
      <c r="K1395" s="55">
        <f>IF(A1395="","",ROUND(J1395*MileRate,2))</f>
        <v/>
      </c>
      <c r="L1395" s="51">
        <f>IF(A1395="","",DATE(YEAR(A1395),MONTH(A1395),1))</f>
        <v/>
      </c>
    </row>
    <row r="1396">
      <c r="A1396" s="47" t="n"/>
      <c r="B1396" s="38" t="n"/>
      <c r="C1396" s="38" t="n"/>
      <c r="D1396" s="38" t="n"/>
      <c r="E1396" s="38" t="n"/>
      <c r="F1396" s="128" t="n"/>
      <c r="G1396" s="128" t="n"/>
      <c r="H1396" s="129" t="n"/>
      <c r="I1396" s="38" t="n"/>
      <c r="J1396" s="98">
        <f>IF(A1396="","",IF(AND(F1396&lt;&gt;"",G1396&lt;&gt;""),MAX(0,G1396-F1396),N(H1396)))</f>
        <v/>
      </c>
      <c r="K1396" s="55">
        <f>IF(A1396="","",ROUND(J1396*MileRate,2))</f>
        <v/>
      </c>
      <c r="L1396" s="51">
        <f>IF(A1396="","",DATE(YEAR(A1396),MONTH(A1396),1))</f>
        <v/>
      </c>
    </row>
    <row r="1397">
      <c r="A1397" s="47" t="n"/>
      <c r="B1397" s="38" t="n"/>
      <c r="C1397" s="38" t="n"/>
      <c r="D1397" s="38" t="n"/>
      <c r="E1397" s="38" t="n"/>
      <c r="F1397" s="128" t="n"/>
      <c r="G1397" s="128" t="n"/>
      <c r="H1397" s="129" t="n"/>
      <c r="I1397" s="38" t="n"/>
      <c r="J1397" s="98">
        <f>IF(A1397="","",IF(AND(F1397&lt;&gt;"",G1397&lt;&gt;""),MAX(0,G1397-F1397),N(H1397)))</f>
        <v/>
      </c>
      <c r="K1397" s="55">
        <f>IF(A1397="","",ROUND(J1397*MileRate,2))</f>
        <v/>
      </c>
      <c r="L1397" s="51">
        <f>IF(A1397="","",DATE(YEAR(A1397),MONTH(A1397),1))</f>
        <v/>
      </c>
    </row>
    <row r="1398">
      <c r="A1398" s="47" t="n"/>
      <c r="B1398" s="38" t="n"/>
      <c r="C1398" s="38" t="n"/>
      <c r="D1398" s="38" t="n"/>
      <c r="E1398" s="38" t="n"/>
      <c r="F1398" s="128" t="n"/>
      <c r="G1398" s="128" t="n"/>
      <c r="H1398" s="129" t="n"/>
      <c r="I1398" s="38" t="n"/>
      <c r="J1398" s="98">
        <f>IF(A1398="","",IF(AND(F1398&lt;&gt;"",G1398&lt;&gt;""),MAX(0,G1398-F1398),N(H1398)))</f>
        <v/>
      </c>
      <c r="K1398" s="55">
        <f>IF(A1398="","",ROUND(J1398*MileRate,2))</f>
        <v/>
      </c>
      <c r="L1398" s="51">
        <f>IF(A1398="","",DATE(YEAR(A1398),MONTH(A1398),1))</f>
        <v/>
      </c>
    </row>
    <row r="1399">
      <c r="A1399" s="47" t="n"/>
      <c r="B1399" s="38" t="n"/>
      <c r="C1399" s="38" t="n"/>
      <c r="D1399" s="38" t="n"/>
      <c r="E1399" s="38" t="n"/>
      <c r="F1399" s="128" t="n"/>
      <c r="G1399" s="128" t="n"/>
      <c r="H1399" s="129" t="n"/>
      <c r="I1399" s="38" t="n"/>
      <c r="J1399" s="98">
        <f>IF(A1399="","",IF(AND(F1399&lt;&gt;"",G1399&lt;&gt;""),MAX(0,G1399-F1399),N(H1399)))</f>
        <v/>
      </c>
      <c r="K1399" s="55">
        <f>IF(A1399="","",ROUND(J1399*MileRate,2))</f>
        <v/>
      </c>
      <c r="L1399" s="51">
        <f>IF(A1399="","",DATE(YEAR(A1399),MONTH(A1399),1))</f>
        <v/>
      </c>
    </row>
    <row r="1400">
      <c r="A1400" s="47" t="n"/>
      <c r="B1400" s="38" t="n"/>
      <c r="C1400" s="38" t="n"/>
      <c r="D1400" s="38" t="n"/>
      <c r="E1400" s="38" t="n"/>
      <c r="F1400" s="128" t="n"/>
      <c r="G1400" s="128" t="n"/>
      <c r="H1400" s="129" t="n"/>
      <c r="I1400" s="38" t="n"/>
      <c r="J1400" s="98">
        <f>IF(A1400="","",IF(AND(F1400&lt;&gt;"",G1400&lt;&gt;""),MAX(0,G1400-F1400),N(H1400)))</f>
        <v/>
      </c>
      <c r="K1400" s="55">
        <f>IF(A1400="","",ROUND(J1400*MileRate,2))</f>
        <v/>
      </c>
      <c r="L1400" s="51">
        <f>IF(A1400="","",DATE(YEAR(A1400),MONTH(A1400),1))</f>
        <v/>
      </c>
    </row>
    <row r="1401">
      <c r="A1401" s="47" t="n"/>
      <c r="B1401" s="38" t="n"/>
      <c r="C1401" s="38" t="n"/>
      <c r="D1401" s="38" t="n"/>
      <c r="E1401" s="38" t="n"/>
      <c r="F1401" s="128" t="n"/>
      <c r="G1401" s="128" t="n"/>
      <c r="H1401" s="129" t="n"/>
      <c r="I1401" s="38" t="n"/>
      <c r="J1401" s="98">
        <f>IF(A1401="","",IF(AND(F1401&lt;&gt;"",G1401&lt;&gt;""),MAX(0,G1401-F1401),N(H1401)))</f>
        <v/>
      </c>
      <c r="K1401" s="55">
        <f>IF(A1401="","",ROUND(J1401*MileRate,2))</f>
        <v/>
      </c>
      <c r="L1401" s="51">
        <f>IF(A1401="","",DATE(YEAR(A1401),MONTH(A1401),1))</f>
        <v/>
      </c>
    </row>
    <row r="1402">
      <c r="A1402" s="47" t="n"/>
      <c r="B1402" s="38" t="n"/>
      <c r="C1402" s="38" t="n"/>
      <c r="D1402" s="38" t="n"/>
      <c r="E1402" s="38" t="n"/>
      <c r="F1402" s="128" t="n"/>
      <c r="G1402" s="128" t="n"/>
      <c r="H1402" s="129" t="n"/>
      <c r="I1402" s="38" t="n"/>
      <c r="J1402" s="98">
        <f>IF(A1402="","",IF(AND(F1402&lt;&gt;"",G1402&lt;&gt;""),MAX(0,G1402-F1402),N(H1402)))</f>
        <v/>
      </c>
      <c r="K1402" s="55">
        <f>IF(A1402="","",ROUND(J1402*MileRate,2))</f>
        <v/>
      </c>
      <c r="L1402" s="51">
        <f>IF(A1402="","",DATE(YEAR(A1402),MONTH(A1402),1))</f>
        <v/>
      </c>
    </row>
    <row r="1403">
      <c r="A1403" s="47" t="n"/>
      <c r="B1403" s="38" t="n"/>
      <c r="C1403" s="38" t="n"/>
      <c r="D1403" s="38" t="n"/>
      <c r="E1403" s="38" t="n"/>
      <c r="F1403" s="128" t="n"/>
      <c r="G1403" s="128" t="n"/>
      <c r="H1403" s="129" t="n"/>
      <c r="I1403" s="38" t="n"/>
      <c r="J1403" s="98">
        <f>IF(A1403="","",IF(AND(F1403&lt;&gt;"",G1403&lt;&gt;""),MAX(0,G1403-F1403),N(H1403)))</f>
        <v/>
      </c>
      <c r="K1403" s="55">
        <f>IF(A1403="","",ROUND(J1403*MileRate,2))</f>
        <v/>
      </c>
      <c r="L1403" s="51">
        <f>IF(A1403="","",DATE(YEAR(A1403),MONTH(A1403),1))</f>
        <v/>
      </c>
    </row>
    <row r="1404">
      <c r="A1404" s="47" t="n"/>
      <c r="B1404" s="38" t="n"/>
      <c r="C1404" s="38" t="n"/>
      <c r="D1404" s="38" t="n"/>
      <c r="E1404" s="38" t="n"/>
      <c r="F1404" s="128" t="n"/>
      <c r="G1404" s="128" t="n"/>
      <c r="H1404" s="129" t="n"/>
      <c r="I1404" s="38" t="n"/>
      <c r="J1404" s="98">
        <f>IF(A1404="","",IF(AND(F1404&lt;&gt;"",G1404&lt;&gt;""),MAX(0,G1404-F1404),N(H1404)))</f>
        <v/>
      </c>
      <c r="K1404" s="55">
        <f>IF(A1404="","",ROUND(J1404*MileRate,2))</f>
        <v/>
      </c>
      <c r="L1404" s="51">
        <f>IF(A1404="","",DATE(YEAR(A1404),MONTH(A1404),1))</f>
        <v/>
      </c>
    </row>
    <row r="1405">
      <c r="A1405" s="47" t="n"/>
      <c r="B1405" s="38" t="n"/>
      <c r="C1405" s="38" t="n"/>
      <c r="D1405" s="38" t="n"/>
      <c r="E1405" s="38" t="n"/>
      <c r="F1405" s="128" t="n"/>
      <c r="G1405" s="128" t="n"/>
      <c r="H1405" s="129" t="n"/>
      <c r="I1405" s="38" t="n"/>
      <c r="J1405" s="98">
        <f>IF(A1405="","",IF(AND(F1405&lt;&gt;"",G1405&lt;&gt;""),MAX(0,G1405-F1405),N(H1405)))</f>
        <v/>
      </c>
      <c r="K1405" s="55">
        <f>IF(A1405="","",ROUND(J1405*MileRate,2))</f>
        <v/>
      </c>
      <c r="L1405" s="51">
        <f>IF(A1405="","",DATE(YEAR(A1405),MONTH(A1405),1))</f>
        <v/>
      </c>
    </row>
    <row r="1406">
      <c r="A1406" s="47" t="n"/>
      <c r="B1406" s="38" t="n"/>
      <c r="C1406" s="38" t="n"/>
      <c r="D1406" s="38" t="n"/>
      <c r="E1406" s="38" t="n"/>
      <c r="F1406" s="128" t="n"/>
      <c r="G1406" s="128" t="n"/>
      <c r="H1406" s="129" t="n"/>
      <c r="I1406" s="38" t="n"/>
      <c r="J1406" s="98">
        <f>IF(A1406="","",IF(AND(F1406&lt;&gt;"",G1406&lt;&gt;""),MAX(0,G1406-F1406),N(H1406)))</f>
        <v/>
      </c>
      <c r="K1406" s="55">
        <f>IF(A1406="","",ROUND(J1406*MileRate,2))</f>
        <v/>
      </c>
      <c r="L1406" s="51">
        <f>IF(A1406="","",DATE(YEAR(A1406),MONTH(A1406),1))</f>
        <v/>
      </c>
    </row>
    <row r="1407">
      <c r="A1407" s="47" t="n"/>
      <c r="B1407" s="38" t="n"/>
      <c r="C1407" s="38" t="n"/>
      <c r="D1407" s="38" t="n"/>
      <c r="E1407" s="38" t="n"/>
      <c r="F1407" s="128" t="n"/>
      <c r="G1407" s="128" t="n"/>
      <c r="H1407" s="129" t="n"/>
      <c r="I1407" s="38" t="n"/>
      <c r="J1407" s="98">
        <f>IF(A1407="","",IF(AND(F1407&lt;&gt;"",G1407&lt;&gt;""),MAX(0,G1407-F1407),N(H1407)))</f>
        <v/>
      </c>
      <c r="K1407" s="55">
        <f>IF(A1407="","",ROUND(J1407*MileRate,2))</f>
        <v/>
      </c>
      <c r="L1407" s="51">
        <f>IF(A1407="","",DATE(YEAR(A1407),MONTH(A1407),1))</f>
        <v/>
      </c>
    </row>
    <row r="1408">
      <c r="A1408" s="47" t="n"/>
      <c r="B1408" s="38" t="n"/>
      <c r="C1408" s="38" t="n"/>
      <c r="D1408" s="38" t="n"/>
      <c r="E1408" s="38" t="n"/>
      <c r="F1408" s="128" t="n"/>
      <c r="G1408" s="128" t="n"/>
      <c r="H1408" s="129" t="n"/>
      <c r="I1408" s="38" t="n"/>
      <c r="J1408" s="98">
        <f>IF(A1408="","",IF(AND(F1408&lt;&gt;"",G1408&lt;&gt;""),MAX(0,G1408-F1408),N(H1408)))</f>
        <v/>
      </c>
      <c r="K1408" s="55">
        <f>IF(A1408="","",ROUND(J1408*MileRate,2))</f>
        <v/>
      </c>
      <c r="L1408" s="51">
        <f>IF(A1408="","",DATE(YEAR(A1408),MONTH(A1408),1))</f>
        <v/>
      </c>
    </row>
    <row r="1409">
      <c r="A1409" s="47" t="n"/>
      <c r="B1409" s="38" t="n"/>
      <c r="C1409" s="38" t="n"/>
      <c r="D1409" s="38" t="n"/>
      <c r="E1409" s="38" t="n"/>
      <c r="F1409" s="128" t="n"/>
      <c r="G1409" s="128" t="n"/>
      <c r="H1409" s="129" t="n"/>
      <c r="I1409" s="38" t="n"/>
      <c r="J1409" s="98">
        <f>IF(A1409="","",IF(AND(F1409&lt;&gt;"",G1409&lt;&gt;""),MAX(0,G1409-F1409),N(H1409)))</f>
        <v/>
      </c>
      <c r="K1409" s="55">
        <f>IF(A1409="","",ROUND(J1409*MileRate,2))</f>
        <v/>
      </c>
      <c r="L1409" s="51">
        <f>IF(A1409="","",DATE(YEAR(A1409),MONTH(A1409),1))</f>
        <v/>
      </c>
    </row>
    <row r="1410">
      <c r="A1410" s="47" t="n"/>
      <c r="B1410" s="38" t="n"/>
      <c r="C1410" s="38" t="n"/>
      <c r="D1410" s="38" t="n"/>
      <c r="E1410" s="38" t="n"/>
      <c r="F1410" s="128" t="n"/>
      <c r="G1410" s="128" t="n"/>
      <c r="H1410" s="129" t="n"/>
      <c r="I1410" s="38" t="n"/>
      <c r="J1410" s="98">
        <f>IF(A1410="","",IF(AND(F1410&lt;&gt;"",G1410&lt;&gt;""),MAX(0,G1410-F1410),N(H1410)))</f>
        <v/>
      </c>
      <c r="K1410" s="55">
        <f>IF(A1410="","",ROUND(J1410*MileRate,2))</f>
        <v/>
      </c>
      <c r="L1410" s="51">
        <f>IF(A1410="","",DATE(YEAR(A1410),MONTH(A1410),1))</f>
        <v/>
      </c>
    </row>
    <row r="1411">
      <c r="A1411" s="47" t="n"/>
      <c r="B1411" s="38" t="n"/>
      <c r="C1411" s="38" t="n"/>
      <c r="D1411" s="38" t="n"/>
      <c r="E1411" s="38" t="n"/>
      <c r="F1411" s="128" t="n"/>
      <c r="G1411" s="128" t="n"/>
      <c r="H1411" s="129" t="n"/>
      <c r="I1411" s="38" t="n"/>
      <c r="J1411" s="98">
        <f>IF(A1411="","",IF(AND(F1411&lt;&gt;"",G1411&lt;&gt;""),MAX(0,G1411-F1411),N(H1411)))</f>
        <v/>
      </c>
      <c r="K1411" s="55">
        <f>IF(A1411="","",ROUND(J1411*MileRate,2))</f>
        <v/>
      </c>
      <c r="L1411" s="51">
        <f>IF(A1411="","",DATE(YEAR(A1411),MONTH(A1411),1))</f>
        <v/>
      </c>
    </row>
    <row r="1412">
      <c r="A1412" s="47" t="n"/>
      <c r="B1412" s="38" t="n"/>
      <c r="C1412" s="38" t="n"/>
      <c r="D1412" s="38" t="n"/>
      <c r="E1412" s="38" t="n"/>
      <c r="F1412" s="128" t="n"/>
      <c r="G1412" s="128" t="n"/>
      <c r="H1412" s="129" t="n"/>
      <c r="I1412" s="38" t="n"/>
      <c r="J1412" s="98">
        <f>IF(A1412="","",IF(AND(F1412&lt;&gt;"",G1412&lt;&gt;""),MAX(0,G1412-F1412),N(H1412)))</f>
        <v/>
      </c>
      <c r="K1412" s="55">
        <f>IF(A1412="","",ROUND(J1412*MileRate,2))</f>
        <v/>
      </c>
      <c r="L1412" s="51">
        <f>IF(A1412="","",DATE(YEAR(A1412),MONTH(A1412),1))</f>
        <v/>
      </c>
    </row>
    <row r="1413">
      <c r="A1413" s="47" t="n"/>
      <c r="B1413" s="38" t="n"/>
      <c r="C1413" s="38" t="n"/>
      <c r="D1413" s="38" t="n"/>
      <c r="E1413" s="38" t="n"/>
      <c r="F1413" s="128" t="n"/>
      <c r="G1413" s="128" t="n"/>
      <c r="H1413" s="129" t="n"/>
      <c r="I1413" s="38" t="n"/>
      <c r="J1413" s="98">
        <f>IF(A1413="","",IF(AND(F1413&lt;&gt;"",G1413&lt;&gt;""),MAX(0,G1413-F1413),N(H1413)))</f>
        <v/>
      </c>
      <c r="K1413" s="55">
        <f>IF(A1413="","",ROUND(J1413*MileRate,2))</f>
        <v/>
      </c>
      <c r="L1413" s="51">
        <f>IF(A1413="","",DATE(YEAR(A1413),MONTH(A1413),1))</f>
        <v/>
      </c>
    </row>
    <row r="1414">
      <c r="A1414" s="47" t="n"/>
      <c r="B1414" s="38" t="n"/>
      <c r="C1414" s="38" t="n"/>
      <c r="D1414" s="38" t="n"/>
      <c r="E1414" s="38" t="n"/>
      <c r="F1414" s="128" t="n"/>
      <c r="G1414" s="128" t="n"/>
      <c r="H1414" s="129" t="n"/>
      <c r="I1414" s="38" t="n"/>
      <c r="J1414" s="98">
        <f>IF(A1414="","",IF(AND(F1414&lt;&gt;"",G1414&lt;&gt;""),MAX(0,G1414-F1414),N(H1414)))</f>
        <v/>
      </c>
      <c r="K1414" s="55">
        <f>IF(A1414="","",ROUND(J1414*MileRate,2))</f>
        <v/>
      </c>
      <c r="L1414" s="51">
        <f>IF(A1414="","",DATE(YEAR(A1414),MONTH(A1414),1))</f>
        <v/>
      </c>
    </row>
    <row r="1415">
      <c r="A1415" s="47" t="n"/>
      <c r="B1415" s="38" t="n"/>
      <c r="C1415" s="38" t="n"/>
      <c r="D1415" s="38" t="n"/>
      <c r="E1415" s="38" t="n"/>
      <c r="F1415" s="128" t="n"/>
      <c r="G1415" s="128" t="n"/>
      <c r="H1415" s="129" t="n"/>
      <c r="I1415" s="38" t="n"/>
      <c r="J1415" s="98">
        <f>IF(A1415="","",IF(AND(F1415&lt;&gt;"",G1415&lt;&gt;""),MAX(0,G1415-F1415),N(H1415)))</f>
        <v/>
      </c>
      <c r="K1415" s="55">
        <f>IF(A1415="","",ROUND(J1415*MileRate,2))</f>
        <v/>
      </c>
      <c r="L1415" s="51">
        <f>IF(A1415="","",DATE(YEAR(A1415),MONTH(A1415),1))</f>
        <v/>
      </c>
    </row>
    <row r="1416">
      <c r="A1416" s="47" t="n"/>
      <c r="B1416" s="38" t="n"/>
      <c r="C1416" s="38" t="n"/>
      <c r="D1416" s="38" t="n"/>
      <c r="E1416" s="38" t="n"/>
      <c r="F1416" s="128" t="n"/>
      <c r="G1416" s="128" t="n"/>
      <c r="H1416" s="129" t="n"/>
      <c r="I1416" s="38" t="n"/>
      <c r="J1416" s="98">
        <f>IF(A1416="","",IF(AND(F1416&lt;&gt;"",G1416&lt;&gt;""),MAX(0,G1416-F1416),N(H1416)))</f>
        <v/>
      </c>
      <c r="K1416" s="55">
        <f>IF(A1416="","",ROUND(J1416*MileRate,2))</f>
        <v/>
      </c>
      <c r="L1416" s="51">
        <f>IF(A1416="","",DATE(YEAR(A1416),MONTH(A1416),1))</f>
        <v/>
      </c>
    </row>
    <row r="1417">
      <c r="A1417" s="47" t="n"/>
      <c r="B1417" s="38" t="n"/>
      <c r="C1417" s="38" t="n"/>
      <c r="D1417" s="38" t="n"/>
      <c r="E1417" s="38" t="n"/>
      <c r="F1417" s="128" t="n"/>
      <c r="G1417" s="128" t="n"/>
      <c r="H1417" s="129" t="n"/>
      <c r="I1417" s="38" t="n"/>
      <c r="J1417" s="98">
        <f>IF(A1417="","",IF(AND(F1417&lt;&gt;"",G1417&lt;&gt;""),MAX(0,G1417-F1417),N(H1417)))</f>
        <v/>
      </c>
      <c r="K1417" s="55">
        <f>IF(A1417="","",ROUND(J1417*MileRate,2))</f>
        <v/>
      </c>
      <c r="L1417" s="51">
        <f>IF(A1417="","",DATE(YEAR(A1417),MONTH(A1417),1))</f>
        <v/>
      </c>
    </row>
    <row r="1418">
      <c r="A1418" s="47" t="n"/>
      <c r="B1418" s="38" t="n"/>
      <c r="C1418" s="38" t="n"/>
      <c r="D1418" s="38" t="n"/>
      <c r="E1418" s="38" t="n"/>
      <c r="F1418" s="128" t="n"/>
      <c r="G1418" s="128" t="n"/>
      <c r="H1418" s="129" t="n"/>
      <c r="I1418" s="38" t="n"/>
      <c r="J1418" s="98">
        <f>IF(A1418="","",IF(AND(F1418&lt;&gt;"",G1418&lt;&gt;""),MAX(0,G1418-F1418),N(H1418)))</f>
        <v/>
      </c>
      <c r="K1418" s="55">
        <f>IF(A1418="","",ROUND(J1418*MileRate,2))</f>
        <v/>
      </c>
      <c r="L1418" s="51">
        <f>IF(A1418="","",DATE(YEAR(A1418),MONTH(A1418),1))</f>
        <v/>
      </c>
    </row>
    <row r="1419">
      <c r="A1419" s="47" t="n"/>
      <c r="B1419" s="38" t="n"/>
      <c r="C1419" s="38" t="n"/>
      <c r="D1419" s="38" t="n"/>
      <c r="E1419" s="38" t="n"/>
      <c r="F1419" s="128" t="n"/>
      <c r="G1419" s="128" t="n"/>
      <c r="H1419" s="129" t="n"/>
      <c r="I1419" s="38" t="n"/>
      <c r="J1419" s="98">
        <f>IF(A1419="","",IF(AND(F1419&lt;&gt;"",G1419&lt;&gt;""),MAX(0,G1419-F1419),N(H1419)))</f>
        <v/>
      </c>
      <c r="K1419" s="55">
        <f>IF(A1419="","",ROUND(J1419*MileRate,2))</f>
        <v/>
      </c>
      <c r="L1419" s="51">
        <f>IF(A1419="","",DATE(YEAR(A1419),MONTH(A1419),1))</f>
        <v/>
      </c>
    </row>
    <row r="1420">
      <c r="A1420" s="47" t="n"/>
      <c r="B1420" s="38" t="n"/>
      <c r="C1420" s="38" t="n"/>
      <c r="D1420" s="38" t="n"/>
      <c r="E1420" s="38" t="n"/>
      <c r="F1420" s="128" t="n"/>
      <c r="G1420" s="128" t="n"/>
      <c r="H1420" s="129" t="n"/>
      <c r="I1420" s="38" t="n"/>
      <c r="J1420" s="98">
        <f>IF(A1420="","",IF(AND(F1420&lt;&gt;"",G1420&lt;&gt;""),MAX(0,G1420-F1420),N(H1420)))</f>
        <v/>
      </c>
      <c r="K1420" s="55">
        <f>IF(A1420="","",ROUND(J1420*MileRate,2))</f>
        <v/>
      </c>
      <c r="L1420" s="51">
        <f>IF(A1420="","",DATE(YEAR(A1420),MONTH(A1420),1))</f>
        <v/>
      </c>
    </row>
    <row r="1421">
      <c r="A1421" s="47" t="n"/>
      <c r="B1421" s="38" t="n"/>
      <c r="C1421" s="38" t="n"/>
      <c r="D1421" s="38" t="n"/>
      <c r="E1421" s="38" t="n"/>
      <c r="F1421" s="128" t="n"/>
      <c r="G1421" s="128" t="n"/>
      <c r="H1421" s="129" t="n"/>
      <c r="I1421" s="38" t="n"/>
      <c r="J1421" s="98">
        <f>IF(A1421="","",IF(AND(F1421&lt;&gt;"",G1421&lt;&gt;""),MAX(0,G1421-F1421),N(H1421)))</f>
        <v/>
      </c>
      <c r="K1421" s="55">
        <f>IF(A1421="","",ROUND(J1421*MileRate,2))</f>
        <v/>
      </c>
      <c r="L1421" s="51">
        <f>IF(A1421="","",DATE(YEAR(A1421),MONTH(A1421),1))</f>
        <v/>
      </c>
    </row>
    <row r="1422">
      <c r="A1422" s="47" t="n"/>
      <c r="B1422" s="38" t="n"/>
      <c r="C1422" s="38" t="n"/>
      <c r="D1422" s="38" t="n"/>
      <c r="E1422" s="38" t="n"/>
      <c r="F1422" s="128" t="n"/>
      <c r="G1422" s="128" t="n"/>
      <c r="H1422" s="129" t="n"/>
      <c r="I1422" s="38" t="n"/>
      <c r="J1422" s="98">
        <f>IF(A1422="","",IF(AND(F1422&lt;&gt;"",G1422&lt;&gt;""),MAX(0,G1422-F1422),N(H1422)))</f>
        <v/>
      </c>
      <c r="K1422" s="55">
        <f>IF(A1422="","",ROUND(J1422*MileRate,2))</f>
        <v/>
      </c>
      <c r="L1422" s="51">
        <f>IF(A1422="","",DATE(YEAR(A1422),MONTH(A1422),1))</f>
        <v/>
      </c>
    </row>
    <row r="1423">
      <c r="A1423" s="47" t="n"/>
      <c r="B1423" s="38" t="n"/>
      <c r="C1423" s="38" t="n"/>
      <c r="D1423" s="38" t="n"/>
      <c r="E1423" s="38" t="n"/>
      <c r="F1423" s="128" t="n"/>
      <c r="G1423" s="128" t="n"/>
      <c r="H1423" s="129" t="n"/>
      <c r="I1423" s="38" t="n"/>
      <c r="J1423" s="98">
        <f>IF(A1423="","",IF(AND(F1423&lt;&gt;"",G1423&lt;&gt;""),MAX(0,G1423-F1423),N(H1423)))</f>
        <v/>
      </c>
      <c r="K1423" s="55">
        <f>IF(A1423="","",ROUND(J1423*MileRate,2))</f>
        <v/>
      </c>
      <c r="L1423" s="51">
        <f>IF(A1423="","",DATE(YEAR(A1423),MONTH(A1423),1))</f>
        <v/>
      </c>
    </row>
    <row r="1424">
      <c r="A1424" s="47" t="n"/>
      <c r="B1424" s="38" t="n"/>
      <c r="C1424" s="38" t="n"/>
      <c r="D1424" s="38" t="n"/>
      <c r="E1424" s="38" t="n"/>
      <c r="F1424" s="128" t="n"/>
      <c r="G1424" s="128" t="n"/>
      <c r="H1424" s="129" t="n"/>
      <c r="I1424" s="38" t="n"/>
      <c r="J1424" s="98">
        <f>IF(A1424="","",IF(AND(F1424&lt;&gt;"",G1424&lt;&gt;""),MAX(0,G1424-F1424),N(H1424)))</f>
        <v/>
      </c>
      <c r="K1424" s="55">
        <f>IF(A1424="","",ROUND(J1424*MileRate,2))</f>
        <v/>
      </c>
      <c r="L1424" s="51">
        <f>IF(A1424="","",DATE(YEAR(A1424),MONTH(A1424),1))</f>
        <v/>
      </c>
    </row>
    <row r="1425">
      <c r="A1425" s="47" t="n"/>
      <c r="B1425" s="38" t="n"/>
      <c r="C1425" s="38" t="n"/>
      <c r="D1425" s="38" t="n"/>
      <c r="E1425" s="38" t="n"/>
      <c r="F1425" s="128" t="n"/>
      <c r="G1425" s="128" t="n"/>
      <c r="H1425" s="129" t="n"/>
      <c r="I1425" s="38" t="n"/>
      <c r="J1425" s="98">
        <f>IF(A1425="","",IF(AND(F1425&lt;&gt;"",G1425&lt;&gt;""),MAX(0,G1425-F1425),N(H1425)))</f>
        <v/>
      </c>
      <c r="K1425" s="55">
        <f>IF(A1425="","",ROUND(J1425*MileRate,2))</f>
        <v/>
      </c>
      <c r="L1425" s="51">
        <f>IF(A1425="","",DATE(YEAR(A1425),MONTH(A1425),1))</f>
        <v/>
      </c>
    </row>
    <row r="1426">
      <c r="A1426" s="47" t="n"/>
      <c r="B1426" s="38" t="n"/>
      <c r="C1426" s="38" t="n"/>
      <c r="D1426" s="38" t="n"/>
      <c r="E1426" s="38" t="n"/>
      <c r="F1426" s="128" t="n"/>
      <c r="G1426" s="128" t="n"/>
      <c r="H1426" s="129" t="n"/>
      <c r="I1426" s="38" t="n"/>
      <c r="J1426" s="98">
        <f>IF(A1426="","",IF(AND(F1426&lt;&gt;"",G1426&lt;&gt;""),MAX(0,G1426-F1426),N(H1426)))</f>
        <v/>
      </c>
      <c r="K1426" s="55">
        <f>IF(A1426="","",ROUND(J1426*MileRate,2))</f>
        <v/>
      </c>
      <c r="L1426" s="51">
        <f>IF(A1426="","",DATE(YEAR(A1426),MONTH(A1426),1))</f>
        <v/>
      </c>
    </row>
    <row r="1427">
      <c r="A1427" s="47" t="n"/>
      <c r="B1427" s="38" t="n"/>
      <c r="C1427" s="38" t="n"/>
      <c r="D1427" s="38" t="n"/>
      <c r="E1427" s="38" t="n"/>
      <c r="F1427" s="128" t="n"/>
      <c r="G1427" s="128" t="n"/>
      <c r="H1427" s="129" t="n"/>
      <c r="I1427" s="38" t="n"/>
      <c r="J1427" s="98">
        <f>IF(A1427="","",IF(AND(F1427&lt;&gt;"",G1427&lt;&gt;""),MAX(0,G1427-F1427),N(H1427)))</f>
        <v/>
      </c>
      <c r="K1427" s="55">
        <f>IF(A1427="","",ROUND(J1427*MileRate,2))</f>
        <v/>
      </c>
      <c r="L1427" s="51">
        <f>IF(A1427="","",DATE(YEAR(A1427),MONTH(A1427),1))</f>
        <v/>
      </c>
    </row>
    <row r="1428">
      <c r="A1428" s="47" t="n"/>
      <c r="B1428" s="38" t="n"/>
      <c r="C1428" s="38" t="n"/>
      <c r="D1428" s="38" t="n"/>
      <c r="E1428" s="38" t="n"/>
      <c r="F1428" s="128" t="n"/>
      <c r="G1428" s="128" t="n"/>
      <c r="H1428" s="129" t="n"/>
      <c r="I1428" s="38" t="n"/>
      <c r="J1428" s="98">
        <f>IF(A1428="","",IF(AND(F1428&lt;&gt;"",G1428&lt;&gt;""),MAX(0,G1428-F1428),N(H1428)))</f>
        <v/>
      </c>
      <c r="K1428" s="55">
        <f>IF(A1428="","",ROUND(J1428*MileRate,2))</f>
        <v/>
      </c>
      <c r="L1428" s="51">
        <f>IF(A1428="","",DATE(YEAR(A1428),MONTH(A1428),1))</f>
        <v/>
      </c>
    </row>
    <row r="1429">
      <c r="A1429" s="47" t="n"/>
      <c r="B1429" s="38" t="n"/>
      <c r="C1429" s="38" t="n"/>
      <c r="D1429" s="38" t="n"/>
      <c r="E1429" s="38" t="n"/>
      <c r="F1429" s="128" t="n"/>
      <c r="G1429" s="128" t="n"/>
      <c r="H1429" s="129" t="n"/>
      <c r="I1429" s="38" t="n"/>
      <c r="J1429" s="98">
        <f>IF(A1429="","",IF(AND(F1429&lt;&gt;"",G1429&lt;&gt;""),MAX(0,G1429-F1429),N(H1429)))</f>
        <v/>
      </c>
      <c r="K1429" s="55">
        <f>IF(A1429="","",ROUND(J1429*MileRate,2))</f>
        <v/>
      </c>
      <c r="L1429" s="51">
        <f>IF(A1429="","",DATE(YEAR(A1429),MONTH(A1429),1))</f>
        <v/>
      </c>
    </row>
    <row r="1430">
      <c r="A1430" s="47" t="n"/>
      <c r="B1430" s="38" t="n"/>
      <c r="C1430" s="38" t="n"/>
      <c r="D1430" s="38" t="n"/>
      <c r="E1430" s="38" t="n"/>
      <c r="F1430" s="128" t="n"/>
      <c r="G1430" s="128" t="n"/>
      <c r="H1430" s="129" t="n"/>
      <c r="I1430" s="38" t="n"/>
      <c r="J1430" s="98">
        <f>IF(A1430="","",IF(AND(F1430&lt;&gt;"",G1430&lt;&gt;""),MAX(0,G1430-F1430),N(H1430)))</f>
        <v/>
      </c>
      <c r="K1430" s="55">
        <f>IF(A1430="","",ROUND(J1430*MileRate,2))</f>
        <v/>
      </c>
      <c r="L1430" s="51">
        <f>IF(A1430="","",DATE(YEAR(A1430),MONTH(A1430),1))</f>
        <v/>
      </c>
    </row>
    <row r="1431">
      <c r="A1431" s="47" t="n"/>
      <c r="B1431" s="38" t="n"/>
      <c r="C1431" s="38" t="n"/>
      <c r="D1431" s="38" t="n"/>
      <c r="E1431" s="38" t="n"/>
      <c r="F1431" s="128" t="n"/>
      <c r="G1431" s="128" t="n"/>
      <c r="H1431" s="129" t="n"/>
      <c r="I1431" s="38" t="n"/>
      <c r="J1431" s="98">
        <f>IF(A1431="","",IF(AND(F1431&lt;&gt;"",G1431&lt;&gt;""),MAX(0,G1431-F1431),N(H1431)))</f>
        <v/>
      </c>
      <c r="K1431" s="55">
        <f>IF(A1431="","",ROUND(J1431*MileRate,2))</f>
        <v/>
      </c>
      <c r="L1431" s="51">
        <f>IF(A1431="","",DATE(YEAR(A1431),MONTH(A1431),1))</f>
        <v/>
      </c>
    </row>
    <row r="1432">
      <c r="A1432" s="47" t="n"/>
      <c r="B1432" s="38" t="n"/>
      <c r="C1432" s="38" t="n"/>
      <c r="D1432" s="38" t="n"/>
      <c r="E1432" s="38" t="n"/>
      <c r="F1432" s="128" t="n"/>
      <c r="G1432" s="128" t="n"/>
      <c r="H1432" s="129" t="n"/>
      <c r="I1432" s="38" t="n"/>
      <c r="J1432" s="98">
        <f>IF(A1432="","",IF(AND(F1432&lt;&gt;"",G1432&lt;&gt;""),MAX(0,G1432-F1432),N(H1432)))</f>
        <v/>
      </c>
      <c r="K1432" s="55">
        <f>IF(A1432="","",ROUND(J1432*MileRate,2))</f>
        <v/>
      </c>
      <c r="L1432" s="51">
        <f>IF(A1432="","",DATE(YEAR(A1432),MONTH(A1432),1))</f>
        <v/>
      </c>
    </row>
    <row r="1433">
      <c r="A1433" s="47" t="n"/>
      <c r="B1433" s="38" t="n"/>
      <c r="C1433" s="38" t="n"/>
      <c r="D1433" s="38" t="n"/>
      <c r="E1433" s="38" t="n"/>
      <c r="F1433" s="128" t="n"/>
      <c r="G1433" s="128" t="n"/>
      <c r="H1433" s="129" t="n"/>
      <c r="I1433" s="38" t="n"/>
      <c r="J1433" s="98">
        <f>IF(A1433="","",IF(AND(F1433&lt;&gt;"",G1433&lt;&gt;""),MAX(0,G1433-F1433),N(H1433)))</f>
        <v/>
      </c>
      <c r="K1433" s="55">
        <f>IF(A1433="","",ROUND(J1433*MileRate,2))</f>
        <v/>
      </c>
      <c r="L1433" s="51">
        <f>IF(A1433="","",DATE(YEAR(A1433),MONTH(A1433),1))</f>
        <v/>
      </c>
    </row>
    <row r="1434">
      <c r="A1434" s="47" t="n"/>
      <c r="B1434" s="38" t="n"/>
      <c r="C1434" s="38" t="n"/>
      <c r="D1434" s="38" t="n"/>
      <c r="E1434" s="38" t="n"/>
      <c r="F1434" s="128" t="n"/>
      <c r="G1434" s="128" t="n"/>
      <c r="H1434" s="129" t="n"/>
      <c r="I1434" s="38" t="n"/>
      <c r="J1434" s="98">
        <f>IF(A1434="","",IF(AND(F1434&lt;&gt;"",G1434&lt;&gt;""),MAX(0,G1434-F1434),N(H1434)))</f>
        <v/>
      </c>
      <c r="K1434" s="55">
        <f>IF(A1434="","",ROUND(J1434*MileRate,2))</f>
        <v/>
      </c>
      <c r="L1434" s="51">
        <f>IF(A1434="","",DATE(YEAR(A1434),MONTH(A1434),1))</f>
        <v/>
      </c>
    </row>
    <row r="1435">
      <c r="A1435" s="47" t="n"/>
      <c r="B1435" s="38" t="n"/>
      <c r="C1435" s="38" t="n"/>
      <c r="D1435" s="38" t="n"/>
      <c r="E1435" s="38" t="n"/>
      <c r="F1435" s="128" t="n"/>
      <c r="G1435" s="128" t="n"/>
      <c r="H1435" s="129" t="n"/>
      <c r="I1435" s="38" t="n"/>
      <c r="J1435" s="98">
        <f>IF(A1435="","",IF(AND(F1435&lt;&gt;"",G1435&lt;&gt;""),MAX(0,G1435-F1435),N(H1435)))</f>
        <v/>
      </c>
      <c r="K1435" s="55">
        <f>IF(A1435="","",ROUND(J1435*MileRate,2))</f>
        <v/>
      </c>
      <c r="L1435" s="51">
        <f>IF(A1435="","",DATE(YEAR(A1435),MONTH(A1435),1))</f>
        <v/>
      </c>
    </row>
    <row r="1436">
      <c r="A1436" s="47" t="n"/>
      <c r="B1436" s="38" t="n"/>
      <c r="C1436" s="38" t="n"/>
      <c r="D1436" s="38" t="n"/>
      <c r="E1436" s="38" t="n"/>
      <c r="F1436" s="128" t="n"/>
      <c r="G1436" s="128" t="n"/>
      <c r="H1436" s="129" t="n"/>
      <c r="I1436" s="38" t="n"/>
      <c r="J1436" s="98">
        <f>IF(A1436="","",IF(AND(F1436&lt;&gt;"",G1436&lt;&gt;""),MAX(0,G1436-F1436),N(H1436)))</f>
        <v/>
      </c>
      <c r="K1436" s="55">
        <f>IF(A1436="","",ROUND(J1436*MileRate,2))</f>
        <v/>
      </c>
      <c r="L1436" s="51">
        <f>IF(A1436="","",DATE(YEAR(A1436),MONTH(A1436),1))</f>
        <v/>
      </c>
    </row>
    <row r="1437">
      <c r="A1437" s="47" t="n"/>
      <c r="B1437" s="38" t="n"/>
      <c r="C1437" s="38" t="n"/>
      <c r="D1437" s="38" t="n"/>
      <c r="E1437" s="38" t="n"/>
      <c r="F1437" s="128" t="n"/>
      <c r="G1437" s="128" t="n"/>
      <c r="H1437" s="129" t="n"/>
      <c r="I1437" s="38" t="n"/>
      <c r="J1437" s="98">
        <f>IF(A1437="","",IF(AND(F1437&lt;&gt;"",G1437&lt;&gt;""),MAX(0,G1437-F1437),N(H1437)))</f>
        <v/>
      </c>
      <c r="K1437" s="55">
        <f>IF(A1437="","",ROUND(J1437*MileRate,2))</f>
        <v/>
      </c>
      <c r="L1437" s="51">
        <f>IF(A1437="","",DATE(YEAR(A1437),MONTH(A1437),1))</f>
        <v/>
      </c>
    </row>
    <row r="1438">
      <c r="A1438" s="47" t="n"/>
      <c r="B1438" s="38" t="n"/>
      <c r="C1438" s="38" t="n"/>
      <c r="D1438" s="38" t="n"/>
      <c r="E1438" s="38" t="n"/>
      <c r="F1438" s="128" t="n"/>
      <c r="G1438" s="128" t="n"/>
      <c r="H1438" s="129" t="n"/>
      <c r="I1438" s="38" t="n"/>
      <c r="J1438" s="98">
        <f>IF(A1438="","",IF(AND(F1438&lt;&gt;"",G1438&lt;&gt;""),MAX(0,G1438-F1438),N(H1438)))</f>
        <v/>
      </c>
      <c r="K1438" s="55">
        <f>IF(A1438="","",ROUND(J1438*MileRate,2))</f>
        <v/>
      </c>
      <c r="L1438" s="51">
        <f>IF(A1438="","",DATE(YEAR(A1438),MONTH(A1438),1))</f>
        <v/>
      </c>
    </row>
    <row r="1439">
      <c r="A1439" s="47" t="n"/>
      <c r="B1439" s="38" t="n"/>
      <c r="C1439" s="38" t="n"/>
      <c r="D1439" s="38" t="n"/>
      <c r="E1439" s="38" t="n"/>
      <c r="F1439" s="128" t="n"/>
      <c r="G1439" s="128" t="n"/>
      <c r="H1439" s="129" t="n"/>
      <c r="I1439" s="38" t="n"/>
      <c r="J1439" s="98">
        <f>IF(A1439="","",IF(AND(F1439&lt;&gt;"",G1439&lt;&gt;""),MAX(0,G1439-F1439),N(H1439)))</f>
        <v/>
      </c>
      <c r="K1439" s="55">
        <f>IF(A1439="","",ROUND(J1439*MileRate,2))</f>
        <v/>
      </c>
      <c r="L1439" s="51">
        <f>IF(A1439="","",DATE(YEAR(A1439),MONTH(A1439),1))</f>
        <v/>
      </c>
    </row>
    <row r="1440">
      <c r="A1440" s="47" t="n"/>
      <c r="B1440" s="38" t="n"/>
      <c r="C1440" s="38" t="n"/>
      <c r="D1440" s="38" t="n"/>
      <c r="E1440" s="38" t="n"/>
      <c r="F1440" s="128" t="n"/>
      <c r="G1440" s="128" t="n"/>
      <c r="H1440" s="129" t="n"/>
      <c r="I1440" s="38" t="n"/>
      <c r="J1440" s="98">
        <f>IF(A1440="","",IF(AND(F1440&lt;&gt;"",G1440&lt;&gt;""),MAX(0,G1440-F1440),N(H1440)))</f>
        <v/>
      </c>
      <c r="K1440" s="55">
        <f>IF(A1440="","",ROUND(J1440*MileRate,2))</f>
        <v/>
      </c>
      <c r="L1440" s="51">
        <f>IF(A1440="","",DATE(YEAR(A1440),MONTH(A1440),1))</f>
        <v/>
      </c>
    </row>
    <row r="1441">
      <c r="A1441" s="47" t="n"/>
      <c r="B1441" s="38" t="n"/>
      <c r="C1441" s="38" t="n"/>
      <c r="D1441" s="38" t="n"/>
      <c r="E1441" s="38" t="n"/>
      <c r="F1441" s="128" t="n"/>
      <c r="G1441" s="128" t="n"/>
      <c r="H1441" s="129" t="n"/>
      <c r="I1441" s="38" t="n"/>
      <c r="J1441" s="98">
        <f>IF(A1441="","",IF(AND(F1441&lt;&gt;"",G1441&lt;&gt;""),MAX(0,G1441-F1441),N(H1441)))</f>
        <v/>
      </c>
      <c r="K1441" s="55">
        <f>IF(A1441="","",ROUND(J1441*MileRate,2))</f>
        <v/>
      </c>
      <c r="L1441" s="51">
        <f>IF(A1441="","",DATE(YEAR(A1441),MONTH(A1441),1))</f>
        <v/>
      </c>
    </row>
    <row r="1442">
      <c r="A1442" s="47" t="n"/>
      <c r="B1442" s="38" t="n"/>
      <c r="C1442" s="38" t="n"/>
      <c r="D1442" s="38" t="n"/>
      <c r="E1442" s="38" t="n"/>
      <c r="F1442" s="128" t="n"/>
      <c r="G1442" s="128" t="n"/>
      <c r="H1442" s="129" t="n"/>
      <c r="I1442" s="38" t="n"/>
      <c r="J1442" s="98">
        <f>IF(A1442="","",IF(AND(F1442&lt;&gt;"",G1442&lt;&gt;""),MAX(0,G1442-F1442),N(H1442)))</f>
        <v/>
      </c>
      <c r="K1442" s="55">
        <f>IF(A1442="","",ROUND(J1442*MileRate,2))</f>
        <v/>
      </c>
      <c r="L1442" s="51">
        <f>IF(A1442="","",DATE(YEAR(A1442),MONTH(A1442),1))</f>
        <v/>
      </c>
    </row>
    <row r="1443">
      <c r="A1443" s="47" t="n"/>
      <c r="B1443" s="38" t="n"/>
      <c r="C1443" s="38" t="n"/>
      <c r="D1443" s="38" t="n"/>
      <c r="E1443" s="38" t="n"/>
      <c r="F1443" s="128" t="n"/>
      <c r="G1443" s="128" t="n"/>
      <c r="H1443" s="129" t="n"/>
      <c r="I1443" s="38" t="n"/>
      <c r="J1443" s="98">
        <f>IF(A1443="","",IF(AND(F1443&lt;&gt;"",G1443&lt;&gt;""),MAX(0,G1443-F1443),N(H1443)))</f>
        <v/>
      </c>
      <c r="K1443" s="55">
        <f>IF(A1443="","",ROUND(J1443*MileRate,2))</f>
        <v/>
      </c>
      <c r="L1443" s="51">
        <f>IF(A1443="","",DATE(YEAR(A1443),MONTH(A1443),1))</f>
        <v/>
      </c>
    </row>
    <row r="1444">
      <c r="A1444" s="47" t="n"/>
      <c r="B1444" s="38" t="n"/>
      <c r="C1444" s="38" t="n"/>
      <c r="D1444" s="38" t="n"/>
      <c r="E1444" s="38" t="n"/>
      <c r="F1444" s="128" t="n"/>
      <c r="G1444" s="128" t="n"/>
      <c r="H1444" s="129" t="n"/>
      <c r="I1444" s="38" t="n"/>
      <c r="J1444" s="98">
        <f>IF(A1444="","",IF(AND(F1444&lt;&gt;"",G1444&lt;&gt;""),MAX(0,G1444-F1444),N(H1444)))</f>
        <v/>
      </c>
      <c r="K1444" s="55">
        <f>IF(A1444="","",ROUND(J1444*MileRate,2))</f>
        <v/>
      </c>
      <c r="L1444" s="51">
        <f>IF(A1444="","",DATE(YEAR(A1444),MONTH(A1444),1))</f>
        <v/>
      </c>
    </row>
    <row r="1445">
      <c r="A1445" s="47" t="n"/>
      <c r="B1445" s="38" t="n"/>
      <c r="C1445" s="38" t="n"/>
      <c r="D1445" s="38" t="n"/>
      <c r="E1445" s="38" t="n"/>
      <c r="F1445" s="128" t="n"/>
      <c r="G1445" s="128" t="n"/>
      <c r="H1445" s="129" t="n"/>
      <c r="I1445" s="38" t="n"/>
      <c r="J1445" s="98">
        <f>IF(A1445="","",IF(AND(F1445&lt;&gt;"",G1445&lt;&gt;""),MAX(0,G1445-F1445),N(H1445)))</f>
        <v/>
      </c>
      <c r="K1445" s="55">
        <f>IF(A1445="","",ROUND(J1445*MileRate,2))</f>
        <v/>
      </c>
      <c r="L1445" s="51">
        <f>IF(A1445="","",DATE(YEAR(A1445),MONTH(A1445),1))</f>
        <v/>
      </c>
    </row>
    <row r="1446">
      <c r="A1446" s="47" t="n"/>
      <c r="B1446" s="38" t="n"/>
      <c r="C1446" s="38" t="n"/>
      <c r="D1446" s="38" t="n"/>
      <c r="E1446" s="38" t="n"/>
      <c r="F1446" s="128" t="n"/>
      <c r="G1446" s="128" t="n"/>
      <c r="H1446" s="129" t="n"/>
      <c r="I1446" s="38" t="n"/>
      <c r="J1446" s="98">
        <f>IF(A1446="","",IF(AND(F1446&lt;&gt;"",G1446&lt;&gt;""),MAX(0,G1446-F1446),N(H1446)))</f>
        <v/>
      </c>
      <c r="K1446" s="55">
        <f>IF(A1446="","",ROUND(J1446*MileRate,2))</f>
        <v/>
      </c>
      <c r="L1446" s="51">
        <f>IF(A1446="","",DATE(YEAR(A1446),MONTH(A1446),1))</f>
        <v/>
      </c>
    </row>
    <row r="1447">
      <c r="A1447" s="47" t="n"/>
      <c r="B1447" s="38" t="n"/>
      <c r="C1447" s="38" t="n"/>
      <c r="D1447" s="38" t="n"/>
      <c r="E1447" s="38" t="n"/>
      <c r="F1447" s="128" t="n"/>
      <c r="G1447" s="128" t="n"/>
      <c r="H1447" s="129" t="n"/>
      <c r="I1447" s="38" t="n"/>
      <c r="J1447" s="98">
        <f>IF(A1447="","",IF(AND(F1447&lt;&gt;"",G1447&lt;&gt;""),MAX(0,G1447-F1447),N(H1447)))</f>
        <v/>
      </c>
      <c r="K1447" s="55">
        <f>IF(A1447="","",ROUND(J1447*MileRate,2))</f>
        <v/>
      </c>
      <c r="L1447" s="51">
        <f>IF(A1447="","",DATE(YEAR(A1447),MONTH(A1447),1))</f>
        <v/>
      </c>
    </row>
    <row r="1448">
      <c r="A1448" s="47" t="n"/>
      <c r="B1448" s="38" t="n"/>
      <c r="C1448" s="38" t="n"/>
      <c r="D1448" s="38" t="n"/>
      <c r="E1448" s="38" t="n"/>
      <c r="F1448" s="128" t="n"/>
      <c r="G1448" s="128" t="n"/>
      <c r="H1448" s="129" t="n"/>
      <c r="I1448" s="38" t="n"/>
      <c r="J1448" s="98">
        <f>IF(A1448="","",IF(AND(F1448&lt;&gt;"",G1448&lt;&gt;""),MAX(0,G1448-F1448),N(H1448)))</f>
        <v/>
      </c>
      <c r="K1448" s="55">
        <f>IF(A1448="","",ROUND(J1448*MileRate,2))</f>
        <v/>
      </c>
      <c r="L1448" s="51">
        <f>IF(A1448="","",DATE(YEAR(A1448),MONTH(A1448),1))</f>
        <v/>
      </c>
    </row>
    <row r="1449">
      <c r="A1449" s="47" t="n"/>
      <c r="B1449" s="38" t="n"/>
      <c r="C1449" s="38" t="n"/>
      <c r="D1449" s="38" t="n"/>
      <c r="E1449" s="38" t="n"/>
      <c r="F1449" s="128" t="n"/>
      <c r="G1449" s="128" t="n"/>
      <c r="H1449" s="129" t="n"/>
      <c r="I1449" s="38" t="n"/>
      <c r="J1449" s="98">
        <f>IF(A1449="","",IF(AND(F1449&lt;&gt;"",G1449&lt;&gt;""),MAX(0,G1449-F1449),N(H1449)))</f>
        <v/>
      </c>
      <c r="K1449" s="55">
        <f>IF(A1449="","",ROUND(J1449*MileRate,2))</f>
        <v/>
      </c>
      <c r="L1449" s="51">
        <f>IF(A1449="","",DATE(YEAR(A1449),MONTH(A1449),1))</f>
        <v/>
      </c>
    </row>
    <row r="1450">
      <c r="A1450" s="47" t="n"/>
      <c r="B1450" s="38" t="n"/>
      <c r="C1450" s="38" t="n"/>
      <c r="D1450" s="38" t="n"/>
      <c r="E1450" s="38" t="n"/>
      <c r="F1450" s="128" t="n"/>
      <c r="G1450" s="128" t="n"/>
      <c r="H1450" s="129" t="n"/>
      <c r="I1450" s="38" t="n"/>
      <c r="J1450" s="98">
        <f>IF(A1450="","",IF(AND(F1450&lt;&gt;"",G1450&lt;&gt;""),MAX(0,G1450-F1450),N(H1450)))</f>
        <v/>
      </c>
      <c r="K1450" s="55">
        <f>IF(A1450="","",ROUND(J1450*MileRate,2))</f>
        <v/>
      </c>
      <c r="L1450" s="51">
        <f>IF(A1450="","",DATE(YEAR(A1450),MONTH(A1450),1))</f>
        <v/>
      </c>
    </row>
    <row r="1451">
      <c r="A1451" s="47" t="n"/>
      <c r="B1451" s="38" t="n"/>
      <c r="C1451" s="38" t="n"/>
      <c r="D1451" s="38" t="n"/>
      <c r="E1451" s="38" t="n"/>
      <c r="F1451" s="128" t="n"/>
      <c r="G1451" s="128" t="n"/>
      <c r="H1451" s="129" t="n"/>
      <c r="I1451" s="38" t="n"/>
      <c r="J1451" s="98">
        <f>IF(A1451="","",IF(AND(F1451&lt;&gt;"",G1451&lt;&gt;""),MAX(0,G1451-F1451),N(H1451)))</f>
        <v/>
      </c>
      <c r="K1451" s="55">
        <f>IF(A1451="","",ROUND(J1451*MileRate,2))</f>
        <v/>
      </c>
      <c r="L1451" s="51">
        <f>IF(A1451="","",DATE(YEAR(A1451),MONTH(A1451),1))</f>
        <v/>
      </c>
    </row>
    <row r="1452">
      <c r="A1452" s="47" t="n"/>
      <c r="B1452" s="38" t="n"/>
      <c r="C1452" s="38" t="n"/>
      <c r="D1452" s="38" t="n"/>
      <c r="E1452" s="38" t="n"/>
      <c r="F1452" s="128" t="n"/>
      <c r="G1452" s="128" t="n"/>
      <c r="H1452" s="129" t="n"/>
      <c r="I1452" s="38" t="n"/>
      <c r="J1452" s="98">
        <f>IF(A1452="","",IF(AND(F1452&lt;&gt;"",G1452&lt;&gt;""),MAX(0,G1452-F1452),N(H1452)))</f>
        <v/>
      </c>
      <c r="K1452" s="55">
        <f>IF(A1452="","",ROUND(J1452*MileRate,2))</f>
        <v/>
      </c>
      <c r="L1452" s="51">
        <f>IF(A1452="","",DATE(YEAR(A1452),MONTH(A1452),1))</f>
        <v/>
      </c>
    </row>
    <row r="1453">
      <c r="A1453" s="47" t="n"/>
      <c r="B1453" s="38" t="n"/>
      <c r="C1453" s="38" t="n"/>
      <c r="D1453" s="38" t="n"/>
      <c r="E1453" s="38" t="n"/>
      <c r="F1453" s="128" t="n"/>
      <c r="G1453" s="128" t="n"/>
      <c r="H1453" s="129" t="n"/>
      <c r="I1453" s="38" t="n"/>
      <c r="J1453" s="98">
        <f>IF(A1453="","",IF(AND(F1453&lt;&gt;"",G1453&lt;&gt;""),MAX(0,G1453-F1453),N(H1453)))</f>
        <v/>
      </c>
      <c r="K1453" s="55">
        <f>IF(A1453="","",ROUND(J1453*MileRate,2))</f>
        <v/>
      </c>
      <c r="L1453" s="51">
        <f>IF(A1453="","",DATE(YEAR(A1453),MONTH(A1453),1))</f>
        <v/>
      </c>
    </row>
    <row r="1454">
      <c r="A1454" s="47" t="n"/>
      <c r="B1454" s="38" t="n"/>
      <c r="C1454" s="38" t="n"/>
      <c r="D1454" s="38" t="n"/>
      <c r="E1454" s="38" t="n"/>
      <c r="F1454" s="128" t="n"/>
      <c r="G1454" s="128" t="n"/>
      <c r="H1454" s="129" t="n"/>
      <c r="I1454" s="38" t="n"/>
      <c r="J1454" s="98">
        <f>IF(A1454="","",IF(AND(F1454&lt;&gt;"",G1454&lt;&gt;""),MAX(0,G1454-F1454),N(H1454)))</f>
        <v/>
      </c>
      <c r="K1454" s="55">
        <f>IF(A1454="","",ROUND(J1454*MileRate,2))</f>
        <v/>
      </c>
      <c r="L1454" s="51">
        <f>IF(A1454="","",DATE(YEAR(A1454),MONTH(A1454),1))</f>
        <v/>
      </c>
    </row>
    <row r="1455">
      <c r="A1455" s="47" t="n"/>
      <c r="B1455" s="38" t="n"/>
      <c r="C1455" s="38" t="n"/>
      <c r="D1455" s="38" t="n"/>
      <c r="E1455" s="38" t="n"/>
      <c r="F1455" s="128" t="n"/>
      <c r="G1455" s="128" t="n"/>
      <c r="H1455" s="129" t="n"/>
      <c r="I1455" s="38" t="n"/>
      <c r="J1455" s="98">
        <f>IF(A1455="","",IF(AND(F1455&lt;&gt;"",G1455&lt;&gt;""),MAX(0,G1455-F1455),N(H1455)))</f>
        <v/>
      </c>
      <c r="K1455" s="55">
        <f>IF(A1455="","",ROUND(J1455*MileRate,2))</f>
        <v/>
      </c>
      <c r="L1455" s="51">
        <f>IF(A1455="","",DATE(YEAR(A1455),MONTH(A1455),1))</f>
        <v/>
      </c>
    </row>
    <row r="1456">
      <c r="A1456" s="47" t="n"/>
      <c r="B1456" s="38" t="n"/>
      <c r="C1456" s="38" t="n"/>
      <c r="D1456" s="38" t="n"/>
      <c r="E1456" s="38" t="n"/>
      <c r="F1456" s="128" t="n"/>
      <c r="G1456" s="128" t="n"/>
      <c r="H1456" s="129" t="n"/>
      <c r="I1456" s="38" t="n"/>
      <c r="J1456" s="98">
        <f>IF(A1456="","",IF(AND(F1456&lt;&gt;"",G1456&lt;&gt;""),MAX(0,G1456-F1456),N(H1456)))</f>
        <v/>
      </c>
      <c r="K1456" s="55">
        <f>IF(A1456="","",ROUND(J1456*MileRate,2))</f>
        <v/>
      </c>
      <c r="L1456" s="51">
        <f>IF(A1456="","",DATE(YEAR(A1456),MONTH(A1456),1))</f>
        <v/>
      </c>
    </row>
    <row r="1457">
      <c r="A1457" s="47" t="n"/>
      <c r="B1457" s="38" t="n"/>
      <c r="C1457" s="38" t="n"/>
      <c r="D1457" s="38" t="n"/>
      <c r="E1457" s="38" t="n"/>
      <c r="F1457" s="128" t="n"/>
      <c r="G1457" s="128" t="n"/>
      <c r="H1457" s="129" t="n"/>
      <c r="I1457" s="38" t="n"/>
      <c r="J1457" s="98">
        <f>IF(A1457="","",IF(AND(F1457&lt;&gt;"",G1457&lt;&gt;""),MAX(0,G1457-F1457),N(H1457)))</f>
        <v/>
      </c>
      <c r="K1457" s="55">
        <f>IF(A1457="","",ROUND(J1457*MileRate,2))</f>
        <v/>
      </c>
      <c r="L1457" s="51">
        <f>IF(A1457="","",DATE(YEAR(A1457),MONTH(A1457),1))</f>
        <v/>
      </c>
    </row>
    <row r="1458">
      <c r="A1458" s="47" t="n"/>
      <c r="B1458" s="38" t="n"/>
      <c r="C1458" s="38" t="n"/>
      <c r="D1458" s="38" t="n"/>
      <c r="E1458" s="38" t="n"/>
      <c r="F1458" s="128" t="n"/>
      <c r="G1458" s="128" t="n"/>
      <c r="H1458" s="129" t="n"/>
      <c r="I1458" s="38" t="n"/>
      <c r="J1458" s="98">
        <f>IF(A1458="","",IF(AND(F1458&lt;&gt;"",G1458&lt;&gt;""),MAX(0,G1458-F1458),N(H1458)))</f>
        <v/>
      </c>
      <c r="K1458" s="55">
        <f>IF(A1458="","",ROUND(J1458*MileRate,2))</f>
        <v/>
      </c>
      <c r="L1458" s="51">
        <f>IF(A1458="","",DATE(YEAR(A1458),MONTH(A1458),1))</f>
        <v/>
      </c>
    </row>
    <row r="1459">
      <c r="A1459" s="47" t="n"/>
      <c r="B1459" s="38" t="n"/>
      <c r="C1459" s="38" t="n"/>
      <c r="D1459" s="38" t="n"/>
      <c r="E1459" s="38" t="n"/>
      <c r="F1459" s="128" t="n"/>
      <c r="G1459" s="128" t="n"/>
      <c r="H1459" s="129" t="n"/>
      <c r="I1459" s="38" t="n"/>
      <c r="J1459" s="98">
        <f>IF(A1459="","",IF(AND(F1459&lt;&gt;"",G1459&lt;&gt;""),MAX(0,G1459-F1459),N(H1459)))</f>
        <v/>
      </c>
      <c r="K1459" s="55">
        <f>IF(A1459="","",ROUND(J1459*MileRate,2))</f>
        <v/>
      </c>
      <c r="L1459" s="51">
        <f>IF(A1459="","",DATE(YEAR(A1459),MONTH(A1459),1))</f>
        <v/>
      </c>
    </row>
    <row r="1460">
      <c r="A1460" s="47" t="n"/>
      <c r="B1460" s="38" t="n"/>
      <c r="C1460" s="38" t="n"/>
      <c r="D1460" s="38" t="n"/>
      <c r="E1460" s="38" t="n"/>
      <c r="F1460" s="128" t="n"/>
      <c r="G1460" s="128" t="n"/>
      <c r="H1460" s="129" t="n"/>
      <c r="I1460" s="38" t="n"/>
      <c r="J1460" s="98">
        <f>IF(A1460="","",IF(AND(F1460&lt;&gt;"",G1460&lt;&gt;""),MAX(0,G1460-F1460),N(H1460)))</f>
        <v/>
      </c>
      <c r="K1460" s="55">
        <f>IF(A1460="","",ROUND(J1460*MileRate,2))</f>
        <v/>
      </c>
      <c r="L1460" s="51">
        <f>IF(A1460="","",DATE(YEAR(A1460),MONTH(A1460),1))</f>
        <v/>
      </c>
    </row>
    <row r="1461">
      <c r="A1461" s="47" t="n"/>
      <c r="B1461" s="38" t="n"/>
      <c r="C1461" s="38" t="n"/>
      <c r="D1461" s="38" t="n"/>
      <c r="E1461" s="38" t="n"/>
      <c r="F1461" s="128" t="n"/>
      <c r="G1461" s="128" t="n"/>
      <c r="H1461" s="129" t="n"/>
      <c r="I1461" s="38" t="n"/>
      <c r="J1461" s="98">
        <f>IF(A1461="","",IF(AND(F1461&lt;&gt;"",G1461&lt;&gt;""),MAX(0,G1461-F1461),N(H1461)))</f>
        <v/>
      </c>
      <c r="K1461" s="55">
        <f>IF(A1461="","",ROUND(J1461*MileRate,2))</f>
        <v/>
      </c>
      <c r="L1461" s="51">
        <f>IF(A1461="","",DATE(YEAR(A1461),MONTH(A1461),1))</f>
        <v/>
      </c>
    </row>
    <row r="1462">
      <c r="A1462" s="47" t="n"/>
      <c r="B1462" s="38" t="n"/>
      <c r="C1462" s="38" t="n"/>
      <c r="D1462" s="38" t="n"/>
      <c r="E1462" s="38" t="n"/>
      <c r="F1462" s="128" t="n"/>
      <c r="G1462" s="128" t="n"/>
      <c r="H1462" s="129" t="n"/>
      <c r="I1462" s="38" t="n"/>
      <c r="J1462" s="98">
        <f>IF(A1462="","",IF(AND(F1462&lt;&gt;"",G1462&lt;&gt;""),MAX(0,G1462-F1462),N(H1462)))</f>
        <v/>
      </c>
      <c r="K1462" s="55">
        <f>IF(A1462="","",ROUND(J1462*MileRate,2))</f>
        <v/>
      </c>
      <c r="L1462" s="51">
        <f>IF(A1462="","",DATE(YEAR(A1462),MONTH(A1462),1))</f>
        <v/>
      </c>
    </row>
    <row r="1463">
      <c r="A1463" s="47" t="n"/>
      <c r="B1463" s="38" t="n"/>
      <c r="C1463" s="38" t="n"/>
      <c r="D1463" s="38" t="n"/>
      <c r="E1463" s="38" t="n"/>
      <c r="F1463" s="128" t="n"/>
      <c r="G1463" s="128" t="n"/>
      <c r="H1463" s="129" t="n"/>
      <c r="I1463" s="38" t="n"/>
      <c r="J1463" s="98">
        <f>IF(A1463="","",IF(AND(F1463&lt;&gt;"",G1463&lt;&gt;""),MAX(0,G1463-F1463),N(H1463)))</f>
        <v/>
      </c>
      <c r="K1463" s="55">
        <f>IF(A1463="","",ROUND(J1463*MileRate,2))</f>
        <v/>
      </c>
      <c r="L1463" s="51">
        <f>IF(A1463="","",DATE(YEAR(A1463),MONTH(A1463),1))</f>
        <v/>
      </c>
    </row>
    <row r="1464">
      <c r="A1464" s="47" t="n"/>
      <c r="B1464" s="38" t="n"/>
      <c r="C1464" s="38" t="n"/>
      <c r="D1464" s="38" t="n"/>
      <c r="E1464" s="38" t="n"/>
      <c r="F1464" s="128" t="n"/>
      <c r="G1464" s="128" t="n"/>
      <c r="H1464" s="129" t="n"/>
      <c r="I1464" s="38" t="n"/>
      <c r="J1464" s="98">
        <f>IF(A1464="","",IF(AND(F1464&lt;&gt;"",G1464&lt;&gt;""),MAX(0,G1464-F1464),N(H1464)))</f>
        <v/>
      </c>
      <c r="K1464" s="55">
        <f>IF(A1464="","",ROUND(J1464*MileRate,2))</f>
        <v/>
      </c>
      <c r="L1464" s="51">
        <f>IF(A1464="","",DATE(YEAR(A1464),MONTH(A1464),1))</f>
        <v/>
      </c>
    </row>
    <row r="1465">
      <c r="A1465" s="47" t="n"/>
      <c r="B1465" s="38" t="n"/>
      <c r="C1465" s="38" t="n"/>
      <c r="D1465" s="38" t="n"/>
      <c r="E1465" s="38" t="n"/>
      <c r="F1465" s="128" t="n"/>
      <c r="G1465" s="128" t="n"/>
      <c r="H1465" s="129" t="n"/>
      <c r="I1465" s="38" t="n"/>
      <c r="J1465" s="98">
        <f>IF(A1465="","",IF(AND(F1465&lt;&gt;"",G1465&lt;&gt;""),MAX(0,G1465-F1465),N(H1465)))</f>
        <v/>
      </c>
      <c r="K1465" s="55">
        <f>IF(A1465="","",ROUND(J1465*MileRate,2))</f>
        <v/>
      </c>
      <c r="L1465" s="51">
        <f>IF(A1465="","",DATE(YEAR(A1465),MONTH(A1465),1))</f>
        <v/>
      </c>
    </row>
    <row r="1466">
      <c r="A1466" s="47" t="n"/>
      <c r="B1466" s="38" t="n"/>
      <c r="C1466" s="38" t="n"/>
      <c r="D1466" s="38" t="n"/>
      <c r="E1466" s="38" t="n"/>
      <c r="F1466" s="128" t="n"/>
      <c r="G1466" s="128" t="n"/>
      <c r="H1466" s="129" t="n"/>
      <c r="I1466" s="38" t="n"/>
      <c r="J1466" s="98">
        <f>IF(A1466="","",IF(AND(F1466&lt;&gt;"",G1466&lt;&gt;""),MAX(0,G1466-F1466),N(H1466)))</f>
        <v/>
      </c>
      <c r="K1466" s="55">
        <f>IF(A1466="","",ROUND(J1466*MileRate,2))</f>
        <v/>
      </c>
      <c r="L1466" s="51">
        <f>IF(A1466="","",DATE(YEAR(A1466),MONTH(A1466),1))</f>
        <v/>
      </c>
    </row>
    <row r="1467">
      <c r="A1467" s="47" t="n"/>
      <c r="B1467" s="38" t="n"/>
      <c r="C1467" s="38" t="n"/>
      <c r="D1467" s="38" t="n"/>
      <c r="E1467" s="38" t="n"/>
      <c r="F1467" s="128" t="n"/>
      <c r="G1467" s="128" t="n"/>
      <c r="H1467" s="129" t="n"/>
      <c r="I1467" s="38" t="n"/>
      <c r="J1467" s="98">
        <f>IF(A1467="","",IF(AND(F1467&lt;&gt;"",G1467&lt;&gt;""),MAX(0,G1467-F1467),N(H1467)))</f>
        <v/>
      </c>
      <c r="K1467" s="55">
        <f>IF(A1467="","",ROUND(J1467*MileRate,2))</f>
        <v/>
      </c>
      <c r="L1467" s="51">
        <f>IF(A1467="","",DATE(YEAR(A1467),MONTH(A1467),1))</f>
        <v/>
      </c>
    </row>
    <row r="1468">
      <c r="A1468" s="47" t="n"/>
      <c r="B1468" s="38" t="n"/>
      <c r="C1468" s="38" t="n"/>
      <c r="D1468" s="38" t="n"/>
      <c r="E1468" s="38" t="n"/>
      <c r="F1468" s="128" t="n"/>
      <c r="G1468" s="128" t="n"/>
      <c r="H1468" s="129" t="n"/>
      <c r="I1468" s="38" t="n"/>
      <c r="J1468" s="98">
        <f>IF(A1468="","",IF(AND(F1468&lt;&gt;"",G1468&lt;&gt;""),MAX(0,G1468-F1468),N(H1468)))</f>
        <v/>
      </c>
      <c r="K1468" s="55">
        <f>IF(A1468="","",ROUND(J1468*MileRate,2))</f>
        <v/>
      </c>
      <c r="L1468" s="51">
        <f>IF(A1468="","",DATE(YEAR(A1468),MONTH(A1468),1))</f>
        <v/>
      </c>
    </row>
    <row r="1469">
      <c r="A1469" s="47" t="n"/>
      <c r="B1469" s="38" t="n"/>
      <c r="C1469" s="38" t="n"/>
      <c r="D1469" s="38" t="n"/>
      <c r="E1469" s="38" t="n"/>
      <c r="F1469" s="128" t="n"/>
      <c r="G1469" s="128" t="n"/>
      <c r="H1469" s="129" t="n"/>
      <c r="I1469" s="38" t="n"/>
      <c r="J1469" s="98">
        <f>IF(A1469="","",IF(AND(F1469&lt;&gt;"",G1469&lt;&gt;""),MAX(0,G1469-F1469),N(H1469)))</f>
        <v/>
      </c>
      <c r="K1469" s="55">
        <f>IF(A1469="","",ROUND(J1469*MileRate,2))</f>
        <v/>
      </c>
      <c r="L1469" s="51">
        <f>IF(A1469="","",DATE(YEAR(A1469),MONTH(A1469),1))</f>
        <v/>
      </c>
    </row>
    <row r="1470">
      <c r="A1470" s="47" t="n"/>
      <c r="B1470" s="38" t="n"/>
      <c r="C1470" s="38" t="n"/>
      <c r="D1470" s="38" t="n"/>
      <c r="E1470" s="38" t="n"/>
      <c r="F1470" s="128" t="n"/>
      <c r="G1470" s="128" t="n"/>
      <c r="H1470" s="129" t="n"/>
      <c r="I1470" s="38" t="n"/>
      <c r="J1470" s="98">
        <f>IF(A1470="","",IF(AND(F1470&lt;&gt;"",G1470&lt;&gt;""),MAX(0,G1470-F1470),N(H1470)))</f>
        <v/>
      </c>
      <c r="K1470" s="55">
        <f>IF(A1470="","",ROUND(J1470*MileRate,2))</f>
        <v/>
      </c>
      <c r="L1470" s="51">
        <f>IF(A1470="","",DATE(YEAR(A1470),MONTH(A1470),1))</f>
        <v/>
      </c>
    </row>
    <row r="1471">
      <c r="A1471" s="47" t="n"/>
      <c r="B1471" s="38" t="n"/>
      <c r="C1471" s="38" t="n"/>
      <c r="D1471" s="38" t="n"/>
      <c r="E1471" s="38" t="n"/>
      <c r="F1471" s="128" t="n"/>
      <c r="G1471" s="128" t="n"/>
      <c r="H1471" s="129" t="n"/>
      <c r="I1471" s="38" t="n"/>
      <c r="J1471" s="98">
        <f>IF(A1471="","",IF(AND(F1471&lt;&gt;"",G1471&lt;&gt;""),MAX(0,G1471-F1471),N(H1471)))</f>
        <v/>
      </c>
      <c r="K1471" s="55">
        <f>IF(A1471="","",ROUND(J1471*MileRate,2))</f>
        <v/>
      </c>
      <c r="L1471" s="51">
        <f>IF(A1471="","",DATE(YEAR(A1471),MONTH(A1471),1))</f>
        <v/>
      </c>
    </row>
    <row r="1472">
      <c r="A1472" s="47" t="n"/>
      <c r="B1472" s="38" t="n"/>
      <c r="C1472" s="38" t="n"/>
      <c r="D1472" s="38" t="n"/>
      <c r="E1472" s="38" t="n"/>
      <c r="F1472" s="128" t="n"/>
      <c r="G1472" s="128" t="n"/>
      <c r="H1472" s="129" t="n"/>
      <c r="I1472" s="38" t="n"/>
      <c r="J1472" s="98">
        <f>IF(A1472="","",IF(AND(F1472&lt;&gt;"",G1472&lt;&gt;""),MAX(0,G1472-F1472),N(H1472)))</f>
        <v/>
      </c>
      <c r="K1472" s="55">
        <f>IF(A1472="","",ROUND(J1472*MileRate,2))</f>
        <v/>
      </c>
      <c r="L1472" s="51">
        <f>IF(A1472="","",DATE(YEAR(A1472),MONTH(A1472),1))</f>
        <v/>
      </c>
    </row>
    <row r="1473">
      <c r="A1473" s="47" t="n"/>
      <c r="B1473" s="38" t="n"/>
      <c r="C1473" s="38" t="n"/>
      <c r="D1473" s="38" t="n"/>
      <c r="E1473" s="38" t="n"/>
      <c r="F1473" s="128" t="n"/>
      <c r="G1473" s="128" t="n"/>
      <c r="H1473" s="129" t="n"/>
      <c r="I1473" s="38" t="n"/>
      <c r="J1473" s="98">
        <f>IF(A1473="","",IF(AND(F1473&lt;&gt;"",G1473&lt;&gt;""),MAX(0,G1473-F1473),N(H1473)))</f>
        <v/>
      </c>
      <c r="K1473" s="55">
        <f>IF(A1473="","",ROUND(J1473*MileRate,2))</f>
        <v/>
      </c>
      <c r="L1473" s="51">
        <f>IF(A1473="","",DATE(YEAR(A1473),MONTH(A1473),1))</f>
        <v/>
      </c>
    </row>
    <row r="1474">
      <c r="A1474" s="47" t="n"/>
      <c r="B1474" s="38" t="n"/>
      <c r="C1474" s="38" t="n"/>
      <c r="D1474" s="38" t="n"/>
      <c r="E1474" s="38" t="n"/>
      <c r="F1474" s="128" t="n"/>
      <c r="G1474" s="128" t="n"/>
      <c r="H1474" s="129" t="n"/>
      <c r="I1474" s="38" t="n"/>
      <c r="J1474" s="98">
        <f>IF(A1474="","",IF(AND(F1474&lt;&gt;"",G1474&lt;&gt;""),MAX(0,G1474-F1474),N(H1474)))</f>
        <v/>
      </c>
      <c r="K1474" s="55">
        <f>IF(A1474="","",ROUND(J1474*MileRate,2))</f>
        <v/>
      </c>
      <c r="L1474" s="51">
        <f>IF(A1474="","",DATE(YEAR(A1474),MONTH(A1474),1))</f>
        <v/>
      </c>
    </row>
    <row r="1475">
      <c r="A1475" s="47" t="n"/>
      <c r="B1475" s="38" t="n"/>
      <c r="C1475" s="38" t="n"/>
      <c r="D1475" s="38" t="n"/>
      <c r="E1475" s="38" t="n"/>
      <c r="F1475" s="128" t="n"/>
      <c r="G1475" s="128" t="n"/>
      <c r="H1475" s="129" t="n"/>
      <c r="I1475" s="38" t="n"/>
      <c r="J1475" s="98">
        <f>IF(A1475="","",IF(AND(F1475&lt;&gt;"",G1475&lt;&gt;""),MAX(0,G1475-F1475),N(H1475)))</f>
        <v/>
      </c>
      <c r="K1475" s="55">
        <f>IF(A1475="","",ROUND(J1475*MileRate,2))</f>
        <v/>
      </c>
      <c r="L1475" s="51">
        <f>IF(A1475="","",DATE(YEAR(A1475),MONTH(A1475),1))</f>
        <v/>
      </c>
    </row>
    <row r="1476">
      <c r="A1476" s="47" t="n"/>
      <c r="B1476" s="38" t="n"/>
      <c r="C1476" s="38" t="n"/>
      <c r="D1476" s="38" t="n"/>
      <c r="E1476" s="38" t="n"/>
      <c r="F1476" s="128" t="n"/>
      <c r="G1476" s="128" t="n"/>
      <c r="H1476" s="129" t="n"/>
      <c r="I1476" s="38" t="n"/>
      <c r="J1476" s="98">
        <f>IF(A1476="","",IF(AND(F1476&lt;&gt;"",G1476&lt;&gt;""),MAX(0,G1476-F1476),N(H1476)))</f>
        <v/>
      </c>
      <c r="K1476" s="55">
        <f>IF(A1476="","",ROUND(J1476*MileRate,2))</f>
        <v/>
      </c>
      <c r="L1476" s="51">
        <f>IF(A1476="","",DATE(YEAR(A1476),MONTH(A1476),1))</f>
        <v/>
      </c>
    </row>
    <row r="1477">
      <c r="A1477" s="47" t="n"/>
      <c r="B1477" s="38" t="n"/>
      <c r="C1477" s="38" t="n"/>
      <c r="D1477" s="38" t="n"/>
      <c r="E1477" s="38" t="n"/>
      <c r="F1477" s="128" t="n"/>
      <c r="G1477" s="128" t="n"/>
      <c r="H1477" s="129" t="n"/>
      <c r="I1477" s="38" t="n"/>
      <c r="J1477" s="98">
        <f>IF(A1477="","",IF(AND(F1477&lt;&gt;"",G1477&lt;&gt;""),MAX(0,G1477-F1477),N(H1477)))</f>
        <v/>
      </c>
      <c r="K1477" s="55">
        <f>IF(A1477="","",ROUND(J1477*MileRate,2))</f>
        <v/>
      </c>
      <c r="L1477" s="51">
        <f>IF(A1477="","",DATE(YEAR(A1477),MONTH(A1477),1))</f>
        <v/>
      </c>
    </row>
    <row r="1478">
      <c r="A1478" s="47" t="n"/>
      <c r="B1478" s="38" t="n"/>
      <c r="C1478" s="38" t="n"/>
      <c r="D1478" s="38" t="n"/>
      <c r="E1478" s="38" t="n"/>
      <c r="F1478" s="128" t="n"/>
      <c r="G1478" s="128" t="n"/>
      <c r="H1478" s="129" t="n"/>
      <c r="I1478" s="38" t="n"/>
      <c r="J1478" s="98">
        <f>IF(A1478="","",IF(AND(F1478&lt;&gt;"",G1478&lt;&gt;""),MAX(0,G1478-F1478),N(H1478)))</f>
        <v/>
      </c>
      <c r="K1478" s="55">
        <f>IF(A1478="","",ROUND(J1478*MileRate,2))</f>
        <v/>
      </c>
      <c r="L1478" s="51">
        <f>IF(A1478="","",DATE(YEAR(A1478),MONTH(A1478),1))</f>
        <v/>
      </c>
    </row>
    <row r="1479">
      <c r="A1479" s="47" t="n"/>
      <c r="B1479" s="38" t="n"/>
      <c r="C1479" s="38" t="n"/>
      <c r="D1479" s="38" t="n"/>
      <c r="E1479" s="38" t="n"/>
      <c r="F1479" s="128" t="n"/>
      <c r="G1479" s="128" t="n"/>
      <c r="H1479" s="129" t="n"/>
      <c r="I1479" s="38" t="n"/>
      <c r="J1479" s="98">
        <f>IF(A1479="","",IF(AND(F1479&lt;&gt;"",G1479&lt;&gt;""),MAX(0,G1479-F1479),N(H1479)))</f>
        <v/>
      </c>
      <c r="K1479" s="55">
        <f>IF(A1479="","",ROUND(J1479*MileRate,2))</f>
        <v/>
      </c>
      <c r="L1479" s="51">
        <f>IF(A1479="","",DATE(YEAR(A1479),MONTH(A1479),1))</f>
        <v/>
      </c>
    </row>
    <row r="1480">
      <c r="A1480" s="47" t="n"/>
      <c r="B1480" s="38" t="n"/>
      <c r="C1480" s="38" t="n"/>
      <c r="D1480" s="38" t="n"/>
      <c r="E1480" s="38" t="n"/>
      <c r="F1480" s="128" t="n"/>
      <c r="G1480" s="128" t="n"/>
      <c r="H1480" s="129" t="n"/>
      <c r="I1480" s="38" t="n"/>
      <c r="J1480" s="98">
        <f>IF(A1480="","",IF(AND(F1480&lt;&gt;"",G1480&lt;&gt;""),MAX(0,G1480-F1480),N(H1480)))</f>
        <v/>
      </c>
      <c r="K1480" s="55">
        <f>IF(A1480="","",ROUND(J1480*MileRate,2))</f>
        <v/>
      </c>
      <c r="L1480" s="51">
        <f>IF(A1480="","",DATE(YEAR(A1480),MONTH(A1480),1))</f>
        <v/>
      </c>
    </row>
    <row r="1481">
      <c r="A1481" s="47" t="n"/>
      <c r="B1481" s="38" t="n"/>
      <c r="C1481" s="38" t="n"/>
      <c r="D1481" s="38" t="n"/>
      <c r="E1481" s="38" t="n"/>
      <c r="F1481" s="128" t="n"/>
      <c r="G1481" s="128" t="n"/>
      <c r="H1481" s="129" t="n"/>
      <c r="I1481" s="38" t="n"/>
      <c r="J1481" s="98">
        <f>IF(A1481="","",IF(AND(F1481&lt;&gt;"",G1481&lt;&gt;""),MAX(0,G1481-F1481),N(H1481)))</f>
        <v/>
      </c>
      <c r="K1481" s="55">
        <f>IF(A1481="","",ROUND(J1481*MileRate,2))</f>
        <v/>
      </c>
      <c r="L1481" s="51">
        <f>IF(A1481="","",DATE(YEAR(A1481),MONTH(A1481),1))</f>
        <v/>
      </c>
    </row>
    <row r="1482">
      <c r="A1482" s="47" t="n"/>
      <c r="B1482" s="38" t="n"/>
      <c r="C1482" s="38" t="n"/>
      <c r="D1482" s="38" t="n"/>
      <c r="E1482" s="38" t="n"/>
      <c r="F1482" s="128" t="n"/>
      <c r="G1482" s="128" t="n"/>
      <c r="H1482" s="129" t="n"/>
      <c r="I1482" s="38" t="n"/>
      <c r="J1482" s="98">
        <f>IF(A1482="","",IF(AND(F1482&lt;&gt;"",G1482&lt;&gt;""),MAX(0,G1482-F1482),N(H1482)))</f>
        <v/>
      </c>
      <c r="K1482" s="55">
        <f>IF(A1482="","",ROUND(J1482*MileRate,2))</f>
        <v/>
      </c>
      <c r="L1482" s="51">
        <f>IF(A1482="","",DATE(YEAR(A1482),MONTH(A1482),1))</f>
        <v/>
      </c>
    </row>
    <row r="1483">
      <c r="A1483" s="47" t="n"/>
      <c r="B1483" s="38" t="n"/>
      <c r="C1483" s="38" t="n"/>
      <c r="D1483" s="38" t="n"/>
      <c r="E1483" s="38" t="n"/>
      <c r="F1483" s="128" t="n"/>
      <c r="G1483" s="128" t="n"/>
      <c r="H1483" s="129" t="n"/>
      <c r="I1483" s="38" t="n"/>
      <c r="J1483" s="98">
        <f>IF(A1483="","",IF(AND(F1483&lt;&gt;"",G1483&lt;&gt;""),MAX(0,G1483-F1483),N(H1483)))</f>
        <v/>
      </c>
      <c r="K1483" s="55">
        <f>IF(A1483="","",ROUND(J1483*MileRate,2))</f>
        <v/>
      </c>
      <c r="L1483" s="51">
        <f>IF(A1483="","",DATE(YEAR(A1483),MONTH(A1483),1))</f>
        <v/>
      </c>
    </row>
    <row r="1484">
      <c r="A1484" s="47" t="n"/>
      <c r="B1484" s="38" t="n"/>
      <c r="C1484" s="38" t="n"/>
      <c r="D1484" s="38" t="n"/>
      <c r="E1484" s="38" t="n"/>
      <c r="F1484" s="128" t="n"/>
      <c r="G1484" s="128" t="n"/>
      <c r="H1484" s="129" t="n"/>
      <c r="I1484" s="38" t="n"/>
      <c r="J1484" s="98">
        <f>IF(A1484="","",IF(AND(F1484&lt;&gt;"",G1484&lt;&gt;""),MAX(0,G1484-F1484),N(H1484)))</f>
        <v/>
      </c>
      <c r="K1484" s="55">
        <f>IF(A1484="","",ROUND(J1484*MileRate,2))</f>
        <v/>
      </c>
      <c r="L1484" s="51">
        <f>IF(A1484="","",DATE(YEAR(A1484),MONTH(A1484),1))</f>
        <v/>
      </c>
    </row>
    <row r="1485">
      <c r="A1485" s="47" t="n"/>
      <c r="B1485" s="38" t="n"/>
      <c r="C1485" s="38" t="n"/>
      <c r="D1485" s="38" t="n"/>
      <c r="E1485" s="38" t="n"/>
      <c r="F1485" s="128" t="n"/>
      <c r="G1485" s="128" t="n"/>
      <c r="H1485" s="129" t="n"/>
      <c r="I1485" s="38" t="n"/>
      <c r="J1485" s="98">
        <f>IF(A1485="","",IF(AND(F1485&lt;&gt;"",G1485&lt;&gt;""),MAX(0,G1485-F1485),N(H1485)))</f>
        <v/>
      </c>
      <c r="K1485" s="55">
        <f>IF(A1485="","",ROUND(J1485*MileRate,2))</f>
        <v/>
      </c>
      <c r="L1485" s="51">
        <f>IF(A1485="","",DATE(YEAR(A1485),MONTH(A1485),1))</f>
        <v/>
      </c>
    </row>
    <row r="1486">
      <c r="A1486" s="47" t="n"/>
      <c r="B1486" s="38" t="n"/>
      <c r="C1486" s="38" t="n"/>
      <c r="D1486" s="38" t="n"/>
      <c r="E1486" s="38" t="n"/>
      <c r="F1486" s="128" t="n"/>
      <c r="G1486" s="128" t="n"/>
      <c r="H1486" s="129" t="n"/>
      <c r="I1486" s="38" t="n"/>
      <c r="J1486" s="98">
        <f>IF(A1486="","",IF(AND(F1486&lt;&gt;"",G1486&lt;&gt;""),MAX(0,G1486-F1486),N(H1486)))</f>
        <v/>
      </c>
      <c r="K1486" s="55">
        <f>IF(A1486="","",ROUND(J1486*MileRate,2))</f>
        <v/>
      </c>
      <c r="L1486" s="51">
        <f>IF(A1486="","",DATE(YEAR(A1486),MONTH(A1486),1))</f>
        <v/>
      </c>
    </row>
    <row r="1487">
      <c r="A1487" s="47" t="n"/>
      <c r="B1487" s="38" t="n"/>
      <c r="C1487" s="38" t="n"/>
      <c r="D1487" s="38" t="n"/>
      <c r="E1487" s="38" t="n"/>
      <c r="F1487" s="128" t="n"/>
      <c r="G1487" s="128" t="n"/>
      <c r="H1487" s="129" t="n"/>
      <c r="I1487" s="38" t="n"/>
      <c r="J1487" s="98">
        <f>IF(A1487="","",IF(AND(F1487&lt;&gt;"",G1487&lt;&gt;""),MAX(0,G1487-F1487),N(H1487)))</f>
        <v/>
      </c>
      <c r="K1487" s="55">
        <f>IF(A1487="","",ROUND(J1487*MileRate,2))</f>
        <v/>
      </c>
      <c r="L1487" s="51">
        <f>IF(A1487="","",DATE(YEAR(A1487),MONTH(A1487),1))</f>
        <v/>
      </c>
    </row>
    <row r="1488">
      <c r="A1488" s="47" t="n"/>
      <c r="B1488" s="38" t="n"/>
      <c r="C1488" s="38" t="n"/>
      <c r="D1488" s="38" t="n"/>
      <c r="E1488" s="38" t="n"/>
      <c r="F1488" s="128" t="n"/>
      <c r="G1488" s="128" t="n"/>
      <c r="H1488" s="129" t="n"/>
      <c r="I1488" s="38" t="n"/>
      <c r="J1488" s="98">
        <f>IF(A1488="","",IF(AND(F1488&lt;&gt;"",G1488&lt;&gt;""),MAX(0,G1488-F1488),N(H1488)))</f>
        <v/>
      </c>
      <c r="K1488" s="55">
        <f>IF(A1488="","",ROUND(J1488*MileRate,2))</f>
        <v/>
      </c>
      <c r="L1488" s="51">
        <f>IF(A1488="","",DATE(YEAR(A1488),MONTH(A1488),1))</f>
        <v/>
      </c>
    </row>
    <row r="1489">
      <c r="A1489" s="47" t="n"/>
      <c r="B1489" s="38" t="n"/>
      <c r="C1489" s="38" t="n"/>
      <c r="D1489" s="38" t="n"/>
      <c r="E1489" s="38" t="n"/>
      <c r="F1489" s="128" t="n"/>
      <c r="G1489" s="128" t="n"/>
      <c r="H1489" s="129" t="n"/>
      <c r="I1489" s="38" t="n"/>
      <c r="J1489" s="98">
        <f>IF(A1489="","",IF(AND(F1489&lt;&gt;"",G1489&lt;&gt;""),MAX(0,G1489-F1489),N(H1489)))</f>
        <v/>
      </c>
      <c r="K1489" s="55">
        <f>IF(A1489="","",ROUND(J1489*MileRate,2))</f>
        <v/>
      </c>
      <c r="L1489" s="51">
        <f>IF(A1489="","",DATE(YEAR(A1489),MONTH(A1489),1))</f>
        <v/>
      </c>
    </row>
    <row r="1490">
      <c r="A1490" s="47" t="n"/>
      <c r="B1490" s="38" t="n"/>
      <c r="C1490" s="38" t="n"/>
      <c r="D1490" s="38" t="n"/>
      <c r="E1490" s="38" t="n"/>
      <c r="F1490" s="128" t="n"/>
      <c r="G1490" s="128" t="n"/>
      <c r="H1490" s="129" t="n"/>
      <c r="I1490" s="38" t="n"/>
      <c r="J1490" s="98">
        <f>IF(A1490="","",IF(AND(F1490&lt;&gt;"",G1490&lt;&gt;""),MAX(0,G1490-F1490),N(H1490)))</f>
        <v/>
      </c>
      <c r="K1490" s="55">
        <f>IF(A1490="","",ROUND(J1490*MileRate,2))</f>
        <v/>
      </c>
      <c r="L1490" s="51">
        <f>IF(A1490="","",DATE(YEAR(A1490),MONTH(A1490),1))</f>
        <v/>
      </c>
    </row>
    <row r="1491">
      <c r="A1491" s="47" t="n"/>
      <c r="B1491" s="38" t="n"/>
      <c r="C1491" s="38" t="n"/>
      <c r="D1491" s="38" t="n"/>
      <c r="E1491" s="38" t="n"/>
      <c r="F1491" s="128" t="n"/>
      <c r="G1491" s="128" t="n"/>
      <c r="H1491" s="129" t="n"/>
      <c r="I1491" s="38" t="n"/>
      <c r="J1491" s="98">
        <f>IF(A1491="","",IF(AND(F1491&lt;&gt;"",G1491&lt;&gt;""),MAX(0,G1491-F1491),N(H1491)))</f>
        <v/>
      </c>
      <c r="K1491" s="55">
        <f>IF(A1491="","",ROUND(J1491*MileRate,2))</f>
        <v/>
      </c>
      <c r="L1491" s="51">
        <f>IF(A1491="","",DATE(YEAR(A1491),MONTH(A1491),1))</f>
        <v/>
      </c>
    </row>
    <row r="1492">
      <c r="A1492" s="47" t="n"/>
      <c r="B1492" s="38" t="n"/>
      <c r="C1492" s="38" t="n"/>
      <c r="D1492" s="38" t="n"/>
      <c r="E1492" s="38" t="n"/>
      <c r="F1492" s="128" t="n"/>
      <c r="G1492" s="128" t="n"/>
      <c r="H1492" s="129" t="n"/>
      <c r="I1492" s="38" t="n"/>
      <c r="J1492" s="98">
        <f>IF(A1492="","",IF(AND(F1492&lt;&gt;"",G1492&lt;&gt;""),MAX(0,G1492-F1492),N(H1492)))</f>
        <v/>
      </c>
      <c r="K1492" s="55">
        <f>IF(A1492="","",ROUND(J1492*MileRate,2))</f>
        <v/>
      </c>
      <c r="L1492" s="51">
        <f>IF(A1492="","",DATE(YEAR(A1492),MONTH(A1492),1))</f>
        <v/>
      </c>
    </row>
    <row r="1493">
      <c r="A1493" s="47" t="n"/>
      <c r="B1493" s="38" t="n"/>
      <c r="C1493" s="38" t="n"/>
      <c r="D1493" s="38" t="n"/>
      <c r="E1493" s="38" t="n"/>
      <c r="F1493" s="128" t="n"/>
      <c r="G1493" s="128" t="n"/>
      <c r="H1493" s="129" t="n"/>
      <c r="I1493" s="38" t="n"/>
      <c r="J1493" s="98">
        <f>IF(A1493="","",IF(AND(F1493&lt;&gt;"",G1493&lt;&gt;""),MAX(0,G1493-F1493),N(H1493)))</f>
        <v/>
      </c>
      <c r="K1493" s="55">
        <f>IF(A1493="","",ROUND(J1493*MileRate,2))</f>
        <v/>
      </c>
      <c r="L1493" s="51">
        <f>IF(A1493="","",DATE(YEAR(A1493),MONTH(A1493),1))</f>
        <v/>
      </c>
    </row>
    <row r="1494">
      <c r="A1494" s="47" t="n"/>
      <c r="B1494" s="38" t="n"/>
      <c r="C1494" s="38" t="n"/>
      <c r="D1494" s="38" t="n"/>
      <c r="E1494" s="38" t="n"/>
      <c r="F1494" s="128" t="n"/>
      <c r="G1494" s="128" t="n"/>
      <c r="H1494" s="129" t="n"/>
      <c r="I1494" s="38" t="n"/>
      <c r="J1494" s="98">
        <f>IF(A1494="","",IF(AND(F1494&lt;&gt;"",G1494&lt;&gt;""),MAX(0,G1494-F1494),N(H1494)))</f>
        <v/>
      </c>
      <c r="K1494" s="55">
        <f>IF(A1494="","",ROUND(J1494*MileRate,2))</f>
        <v/>
      </c>
      <c r="L1494" s="51">
        <f>IF(A1494="","",DATE(YEAR(A1494),MONTH(A1494),1))</f>
        <v/>
      </c>
    </row>
    <row r="1495">
      <c r="A1495" s="47" t="n"/>
      <c r="B1495" s="38" t="n"/>
      <c r="C1495" s="38" t="n"/>
      <c r="D1495" s="38" t="n"/>
      <c r="E1495" s="38" t="n"/>
      <c r="F1495" s="128" t="n"/>
      <c r="G1495" s="128" t="n"/>
      <c r="H1495" s="129" t="n"/>
      <c r="I1495" s="38" t="n"/>
      <c r="J1495" s="98">
        <f>IF(A1495="","",IF(AND(F1495&lt;&gt;"",G1495&lt;&gt;""),MAX(0,G1495-F1495),N(H1495)))</f>
        <v/>
      </c>
      <c r="K1495" s="55">
        <f>IF(A1495="","",ROUND(J1495*MileRate,2))</f>
        <v/>
      </c>
      <c r="L1495" s="51">
        <f>IF(A1495="","",DATE(YEAR(A1495),MONTH(A1495),1))</f>
        <v/>
      </c>
    </row>
    <row r="1496">
      <c r="A1496" s="47" t="n"/>
      <c r="B1496" s="38" t="n"/>
      <c r="C1496" s="38" t="n"/>
      <c r="D1496" s="38" t="n"/>
      <c r="E1496" s="38" t="n"/>
      <c r="F1496" s="128" t="n"/>
      <c r="G1496" s="128" t="n"/>
      <c r="H1496" s="129" t="n"/>
      <c r="I1496" s="38" t="n"/>
      <c r="J1496" s="98">
        <f>IF(A1496="","",IF(AND(F1496&lt;&gt;"",G1496&lt;&gt;""),MAX(0,G1496-F1496),N(H1496)))</f>
        <v/>
      </c>
      <c r="K1496" s="55">
        <f>IF(A1496="","",ROUND(J1496*MileRate,2))</f>
        <v/>
      </c>
      <c r="L1496" s="51">
        <f>IF(A1496="","",DATE(YEAR(A1496),MONTH(A1496),1))</f>
        <v/>
      </c>
    </row>
    <row r="1497">
      <c r="A1497" s="47" t="n"/>
      <c r="B1497" s="38" t="n"/>
      <c r="C1497" s="38" t="n"/>
      <c r="D1497" s="38" t="n"/>
      <c r="E1497" s="38" t="n"/>
      <c r="F1497" s="128" t="n"/>
      <c r="G1497" s="128" t="n"/>
      <c r="H1497" s="129" t="n"/>
      <c r="I1497" s="38" t="n"/>
      <c r="J1497" s="98">
        <f>IF(A1497="","",IF(AND(F1497&lt;&gt;"",G1497&lt;&gt;""),MAX(0,G1497-F1497),N(H1497)))</f>
        <v/>
      </c>
      <c r="K1497" s="55">
        <f>IF(A1497="","",ROUND(J1497*MileRate,2))</f>
        <v/>
      </c>
      <c r="L1497" s="51">
        <f>IF(A1497="","",DATE(YEAR(A1497),MONTH(A1497),1))</f>
        <v/>
      </c>
    </row>
    <row r="1498">
      <c r="A1498" s="47" t="n"/>
      <c r="B1498" s="38" t="n"/>
      <c r="C1498" s="38" t="n"/>
      <c r="D1498" s="38" t="n"/>
      <c r="E1498" s="38" t="n"/>
      <c r="F1498" s="128" t="n"/>
      <c r="G1498" s="128" t="n"/>
      <c r="H1498" s="129" t="n"/>
      <c r="I1498" s="38" t="n"/>
      <c r="J1498" s="98">
        <f>IF(A1498="","",IF(AND(F1498&lt;&gt;"",G1498&lt;&gt;""),MAX(0,G1498-F1498),N(H1498)))</f>
        <v/>
      </c>
      <c r="K1498" s="55">
        <f>IF(A1498="","",ROUND(J1498*MileRate,2))</f>
        <v/>
      </c>
      <c r="L1498" s="51">
        <f>IF(A1498="","",DATE(YEAR(A1498),MONTH(A1498),1))</f>
        <v/>
      </c>
    </row>
    <row r="1499">
      <c r="A1499" s="47" t="n"/>
      <c r="B1499" s="38" t="n"/>
      <c r="C1499" s="38" t="n"/>
      <c r="D1499" s="38" t="n"/>
      <c r="E1499" s="38" t="n"/>
      <c r="F1499" s="128" t="n"/>
      <c r="G1499" s="128" t="n"/>
      <c r="H1499" s="129" t="n"/>
      <c r="I1499" s="38" t="n"/>
      <c r="J1499" s="98">
        <f>IF(A1499="","",IF(AND(F1499&lt;&gt;"",G1499&lt;&gt;""),MAX(0,G1499-F1499),N(H1499)))</f>
        <v/>
      </c>
      <c r="K1499" s="55">
        <f>IF(A1499="","",ROUND(J1499*MileRate,2))</f>
        <v/>
      </c>
      <c r="L1499" s="51">
        <f>IF(A1499="","",DATE(YEAR(A1499),MONTH(A1499),1))</f>
        <v/>
      </c>
    </row>
    <row r="1500">
      <c r="A1500" s="47" t="n"/>
      <c r="B1500" s="38" t="n"/>
      <c r="C1500" s="38" t="n"/>
      <c r="D1500" s="38" t="n"/>
      <c r="E1500" s="38" t="n"/>
      <c r="F1500" s="128" t="n"/>
      <c r="G1500" s="128" t="n"/>
      <c r="H1500" s="129" t="n"/>
      <c r="I1500" s="38" t="n"/>
      <c r="J1500" s="98">
        <f>IF(A1500="","",IF(AND(F1500&lt;&gt;"",G1500&lt;&gt;""),MAX(0,G1500-F1500),N(H1500)))</f>
        <v/>
      </c>
      <c r="K1500" s="55">
        <f>IF(A1500="","",ROUND(J1500*MileRate,2))</f>
        <v/>
      </c>
      <c r="L1500" s="51">
        <f>IF(A1500="","",DATE(YEAR(A1500),MONTH(A1500),1))</f>
        <v/>
      </c>
    </row>
    <row r="1501">
      <c r="A1501" s="47" t="n"/>
      <c r="B1501" s="38" t="n"/>
      <c r="C1501" s="38" t="n"/>
      <c r="D1501" s="38" t="n"/>
      <c r="E1501" s="38" t="n"/>
      <c r="F1501" s="128" t="n"/>
      <c r="G1501" s="128" t="n"/>
      <c r="H1501" s="129" t="n"/>
      <c r="I1501" s="38" t="n"/>
      <c r="J1501" s="98">
        <f>IF(A1501="","",IF(AND(F1501&lt;&gt;"",G1501&lt;&gt;""),MAX(0,G1501-F1501),N(H1501)))</f>
        <v/>
      </c>
      <c r="K1501" s="55">
        <f>IF(A1501="","",ROUND(J1501*MileRate,2))</f>
        <v/>
      </c>
      <c r="L1501" s="51">
        <f>IF(A1501="","",DATE(YEAR(A1501),MONTH(A1501),1))</f>
        <v/>
      </c>
    </row>
    <row r="1502">
      <c r="A1502" s="47" t="n"/>
      <c r="B1502" s="38" t="n"/>
      <c r="C1502" s="38" t="n"/>
      <c r="D1502" s="38" t="n"/>
      <c r="E1502" s="38" t="n"/>
      <c r="F1502" s="128" t="n"/>
      <c r="G1502" s="128" t="n"/>
      <c r="H1502" s="129" t="n"/>
      <c r="I1502" s="38" t="n"/>
      <c r="J1502" s="98">
        <f>IF(A1502="","",IF(AND(F1502&lt;&gt;"",G1502&lt;&gt;""),MAX(0,G1502-F1502),N(H1502)))</f>
        <v/>
      </c>
      <c r="K1502" s="55">
        <f>IF(A1502="","",ROUND(J1502*MileRate,2))</f>
        <v/>
      </c>
      <c r="L1502" s="51">
        <f>IF(A1502="","",DATE(YEAR(A1502),MONTH(A1502),1))</f>
        <v/>
      </c>
    </row>
    <row r="1503">
      <c r="A1503" s="47" t="n"/>
      <c r="B1503" s="38" t="n"/>
      <c r="C1503" s="38" t="n"/>
      <c r="D1503" s="38" t="n"/>
      <c r="E1503" s="38" t="n"/>
      <c r="F1503" s="128" t="n"/>
      <c r="G1503" s="128" t="n"/>
      <c r="H1503" s="129" t="n"/>
      <c r="I1503" s="38" t="n"/>
      <c r="J1503" s="98">
        <f>IF(A1503="","",IF(AND(F1503&lt;&gt;"",G1503&lt;&gt;""),MAX(0,G1503-F1503),N(H1503)))</f>
        <v/>
      </c>
      <c r="K1503" s="55">
        <f>IF(A1503="","",ROUND(J1503*MileRate,2))</f>
        <v/>
      </c>
      <c r="L1503" s="51">
        <f>IF(A1503="","",DATE(YEAR(A1503),MONTH(A1503),1))</f>
        <v/>
      </c>
    </row>
    <row r="1504">
      <c r="A1504" s="47" t="n"/>
      <c r="B1504" s="38" t="n"/>
      <c r="C1504" s="38" t="n"/>
      <c r="D1504" s="38" t="n"/>
      <c r="E1504" s="38" t="n"/>
      <c r="F1504" s="128" t="n"/>
      <c r="G1504" s="128" t="n"/>
      <c r="H1504" s="129" t="n"/>
      <c r="I1504" s="38" t="n"/>
      <c r="J1504" s="98">
        <f>IF(A1504="","",IF(AND(F1504&lt;&gt;"",G1504&lt;&gt;""),MAX(0,G1504-F1504),N(H1504)))</f>
        <v/>
      </c>
      <c r="K1504" s="55">
        <f>IF(A1504="","",ROUND(J1504*MileRate,2))</f>
        <v/>
      </c>
      <c r="L1504" s="51">
        <f>IF(A1504="","",DATE(YEAR(A1504),MONTH(A1504),1))</f>
        <v/>
      </c>
    </row>
  </sheetData>
  <autoFilter ref="A4:L1504"/>
  <mergeCells count="2">
    <mergeCell ref="A2:L2"/>
    <mergeCell ref="A1:L1"/>
  </mergeCells>
  <dataValidations count="1">
    <dataValidation sqref="B5:B1504" showDropDown="0" showInputMessage="0" showErrorMessage="0" allowBlank="1" type="list">
      <formula1>='JOBS'!$A$5:$A$1504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6.xml><?xml version="1.0" encoding="utf-8"?>
<worksheet xmlns="http://schemas.openxmlformats.org/spreadsheetml/2006/main">
  <sheetPr>
    <tabColor rgb="002BB3A3"/>
    <outlinePr summaryBelow="1" summaryRight="1"/>
    <pageSetUpPr fitToPage="1"/>
  </sheetPr>
  <dimension ref="A1:K1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3" customWidth="1" min="3" max="3"/>
    <col width="13" customWidth="1" min="4" max="4"/>
    <col width="13" customWidth="1" min="5" max="5"/>
    <col width="13" customWidth="1" min="6" max="6"/>
    <col width="18" customWidth="1" min="7" max="7"/>
    <col width="13" customWidth="1" min="8" max="8"/>
    <col width="30" customWidth="1" min="9" max="9"/>
    <col width="13" customWidth="1" min="10" max="10"/>
    <col width="13" customWidth="1" min="11" max="11"/>
  </cols>
  <sheetData>
    <row r="1" ht="34" customHeight="1">
      <c r="A1" s="42" t="inlineStr">
        <is>
          <t>SUPPLIES &amp; INVENTORY</t>
        </is>
      </c>
      <c r="B1" s="1" t="n"/>
      <c r="C1" s="1" t="n"/>
      <c r="D1" s="1" t="n"/>
      <c r="E1" s="1" t="n"/>
      <c r="F1" s="1" t="n"/>
      <c r="G1" s="1" t="n"/>
      <c r="H1" s="1" t="n"/>
      <c r="I1" s="1" t="n"/>
      <c r="J1" s="1" t="n"/>
      <c r="K1" s="1" t="n"/>
    </row>
    <row r="2" ht="30" customHeight="1">
      <c r="A2" s="43" t="inlineStr">
        <is>
          <t>Track what you have and when to reorder. Always follow product labels and safety data sheets.</t>
        </is>
      </c>
    </row>
    <row r="3" ht="18" customHeight="1">
      <c r="A3" s="24" t="inlineStr">
        <is>
          <t>← Start Here</t>
        </is>
      </c>
      <c r="B3" s="24" t="inlineStr">
        <is>
          <t>Dashboard →</t>
        </is>
      </c>
    </row>
    <row r="4" ht="42" customHeight="1">
      <c r="A4" s="44" t="inlineStr">
        <is>
          <t>Item</t>
        </is>
      </c>
      <c r="B4" s="44" t="inlineStr">
        <is>
          <t>Category</t>
        </is>
      </c>
      <c r="C4" s="44" t="inlineStr">
        <is>
          <t>Unit</t>
        </is>
      </c>
      <c r="D4" s="44" t="inlineStr">
        <is>
          <t>Unit Cost ($)</t>
        </is>
      </c>
      <c r="E4" s="44" t="inlineStr">
        <is>
          <t>On Hand</t>
        </is>
      </c>
      <c r="F4" s="44" t="inlineStr">
        <is>
          <t>Reorder Level</t>
        </is>
      </c>
      <c r="G4" s="44" t="inlineStr">
        <is>
          <t>Preferred Supplier</t>
        </is>
      </c>
      <c r="H4" s="44" t="inlineStr">
        <is>
          <t>Last Purchased</t>
        </is>
      </c>
      <c r="I4" s="44" t="inlineStr">
        <is>
          <t>Notes (dilution, storage, SDS location)</t>
        </is>
      </c>
      <c r="J4" s="45" t="inlineStr">
        <is>
          <t>Stock Value ⚙</t>
        </is>
      </c>
      <c r="K4" s="45" t="inlineStr">
        <is>
          <t>Reorder? ⚙</t>
        </is>
      </c>
    </row>
    <row r="5">
      <c r="A5" s="38" t="inlineStr">
        <is>
          <t>All-purpose cleaner concentrate</t>
        </is>
      </c>
      <c r="B5" s="38" t="inlineStr">
        <is>
          <t>Chemicals</t>
        </is>
      </c>
      <c r="C5" s="38" t="inlineStr">
        <is>
          <t>1 gal</t>
        </is>
      </c>
      <c r="D5" s="48" t="n">
        <v>18.5</v>
      </c>
      <c r="E5" s="57" t="n">
        <v>3</v>
      </c>
      <c r="F5" s="57" t="n">
        <v>2</v>
      </c>
      <c r="G5" s="38" t="inlineStr">
        <is>
          <t>Janitorial supplier (sample)</t>
        </is>
      </c>
      <c r="H5" s="47" t="n">
        <v>46275</v>
      </c>
      <c r="I5" s="38" t="inlineStr">
        <is>
          <t>Follow label directions; SDS binder in van</t>
        </is>
      </c>
      <c r="J5" s="55">
        <f>IF(A5="","",N(D5)*N(E5))</f>
        <v/>
      </c>
      <c r="K5" s="49">
        <f>IF(A5="","",IF(F5="","",IF(N(E5)&lt;=F5,"Reorder","OK")))</f>
        <v/>
      </c>
    </row>
    <row r="6">
      <c r="A6" s="38" t="inlineStr">
        <is>
          <t>Glass cleaner</t>
        </is>
      </c>
      <c r="B6" s="38" t="inlineStr">
        <is>
          <t>Chemicals</t>
        </is>
      </c>
      <c r="C6" s="38" t="inlineStr">
        <is>
          <t>32 oz</t>
        </is>
      </c>
      <c r="D6" s="48" t="n">
        <v>4.25</v>
      </c>
      <c r="E6" s="57" t="n">
        <v>5</v>
      </c>
      <c r="F6" s="57" t="n">
        <v>6</v>
      </c>
      <c r="G6" s="38" t="inlineStr">
        <is>
          <t>Janitorial supplier (sample)</t>
        </is>
      </c>
      <c r="H6" s="47" t="n">
        <v>46275</v>
      </c>
      <c r="I6" s="38" t="inlineStr">
        <is>
          <t>Follow label directions; SDS binder in van</t>
        </is>
      </c>
      <c r="J6" s="55">
        <f>IF(A6="","",N(D6)*N(E6))</f>
        <v/>
      </c>
      <c r="K6" s="49">
        <f>IF(A6="","",IF(F6="","",IF(N(E6)&lt;=F6,"Reorder","OK")))</f>
        <v/>
      </c>
    </row>
    <row r="7">
      <c r="A7" s="38" t="inlineStr">
        <is>
          <t>Bathroom cleaner</t>
        </is>
      </c>
      <c r="B7" s="38" t="inlineStr">
        <is>
          <t>Chemicals</t>
        </is>
      </c>
      <c r="C7" s="38" t="inlineStr">
        <is>
          <t>32 oz</t>
        </is>
      </c>
      <c r="D7" s="48" t="n">
        <v>5.1</v>
      </c>
      <c r="E7" s="57" t="n">
        <v>8</v>
      </c>
      <c r="F7" s="57" t="n">
        <v>6</v>
      </c>
      <c r="G7" s="38" t="inlineStr">
        <is>
          <t>Janitorial supplier (sample)</t>
        </is>
      </c>
      <c r="H7" s="47" t="n">
        <v>46275</v>
      </c>
      <c r="I7" s="38" t="inlineStr">
        <is>
          <t>Follow label directions; SDS binder in van</t>
        </is>
      </c>
      <c r="J7" s="55">
        <f>IF(A7="","",N(D7)*N(E7))</f>
        <v/>
      </c>
      <c r="K7" s="49">
        <f>IF(A7="","",IF(F7="","",IF(N(E7)&lt;=F7,"Reorder","OK")))</f>
        <v/>
      </c>
    </row>
    <row r="8">
      <c r="A8" s="38" t="inlineStr">
        <is>
          <t>Degreaser</t>
        </is>
      </c>
      <c r="B8" s="38" t="inlineStr">
        <is>
          <t>Chemicals</t>
        </is>
      </c>
      <c r="C8" s="38" t="inlineStr">
        <is>
          <t>32 oz</t>
        </is>
      </c>
      <c r="D8" s="48" t="n">
        <v>6.75</v>
      </c>
      <c r="E8" s="57" t="n">
        <v>2</v>
      </c>
      <c r="F8" s="57" t="n">
        <v>3</v>
      </c>
      <c r="G8" s="38" t="inlineStr">
        <is>
          <t>Janitorial supplier (sample)</t>
        </is>
      </c>
      <c r="H8" s="47" t="n">
        <v>46275</v>
      </c>
      <c r="I8" s="38" t="inlineStr">
        <is>
          <t>Follow label directions; SDS binder in van</t>
        </is>
      </c>
      <c r="J8" s="55">
        <f>IF(A8="","",N(D8)*N(E8))</f>
        <v/>
      </c>
      <c r="K8" s="49">
        <f>IF(A8="","",IF(F8="","",IF(N(E8)&lt;=F8,"Reorder","OK")))</f>
        <v/>
      </c>
    </row>
    <row r="9">
      <c r="A9" s="38" t="inlineStr">
        <is>
          <t>Neutral floor cleaner</t>
        </is>
      </c>
      <c r="B9" s="38" t="inlineStr">
        <is>
          <t>Chemicals</t>
        </is>
      </c>
      <c r="C9" s="38" t="inlineStr">
        <is>
          <t>1 gal</t>
        </is>
      </c>
      <c r="D9" s="48" t="n">
        <v>16</v>
      </c>
      <c r="E9" s="57" t="n">
        <v>2</v>
      </c>
      <c r="F9" s="57" t="n">
        <v>1</v>
      </c>
      <c r="G9" s="38" t="inlineStr">
        <is>
          <t>Janitorial supplier (sample)</t>
        </is>
      </c>
      <c r="H9" s="47" t="n">
        <v>46275</v>
      </c>
      <c r="I9" s="38" t="inlineStr">
        <is>
          <t>Follow label directions; SDS binder in van</t>
        </is>
      </c>
      <c r="J9" s="55">
        <f>IF(A9="","",N(D9)*N(E9))</f>
        <v/>
      </c>
      <c r="K9" s="49">
        <f>IF(A9="","",IF(F9="","",IF(N(E9)&lt;=F9,"Reorder","OK")))</f>
        <v/>
      </c>
    </row>
    <row r="10">
      <c r="A10" s="38" t="inlineStr">
        <is>
          <t>Microfiber cloths (24 pk)</t>
        </is>
      </c>
      <c r="B10" s="38" t="inlineStr">
        <is>
          <t>Tools</t>
        </is>
      </c>
      <c r="C10" s="38" t="inlineStr">
        <is>
          <t>pack</t>
        </is>
      </c>
      <c r="D10" s="48" t="n">
        <v>21</v>
      </c>
      <c r="E10" s="57" t="n">
        <v>4</v>
      </c>
      <c r="F10" s="57" t="n">
        <v>2</v>
      </c>
      <c r="G10" s="38" t="inlineStr">
        <is>
          <t>Janitorial supplier (sample)</t>
        </is>
      </c>
      <c r="H10" s="47" t="n">
        <v>46275</v>
      </c>
      <c r="I10" s="38" t="inlineStr"/>
      <c r="J10" s="55">
        <f>IF(A10="","",N(D10)*N(E10))</f>
        <v/>
      </c>
      <c r="K10" s="49">
        <f>IF(A10="","",IF(F10="","",IF(N(E10)&lt;=F10,"Reorder","OK")))</f>
        <v/>
      </c>
    </row>
    <row r="11">
      <c r="A11" s="38" t="inlineStr">
        <is>
          <t>Scrub brushes</t>
        </is>
      </c>
      <c r="B11" s="38" t="inlineStr">
        <is>
          <t>Tools</t>
        </is>
      </c>
      <c r="C11" s="38" t="inlineStr">
        <is>
          <t>each</t>
        </is>
      </c>
      <c r="D11" s="48" t="n">
        <v>3.5</v>
      </c>
      <c r="E11" s="57" t="n">
        <v>10</v>
      </c>
      <c r="F11" s="57" t="n">
        <v>6</v>
      </c>
      <c r="G11" s="38" t="inlineStr">
        <is>
          <t>Janitorial supplier (sample)</t>
        </is>
      </c>
      <c r="H11" s="47" t="n">
        <v>46275</v>
      </c>
      <c r="I11" s="38" t="inlineStr"/>
      <c r="J11" s="55">
        <f>IF(A11="","",N(D11)*N(E11))</f>
        <v/>
      </c>
      <c r="K11" s="49">
        <f>IF(A11="","",IF(F11="","",IF(N(E11)&lt;=F11,"Reorder","OK")))</f>
        <v/>
      </c>
    </row>
    <row r="12">
      <c r="A12" s="38" t="inlineStr">
        <is>
          <t>Mop pads</t>
        </is>
      </c>
      <c r="B12" s="38" t="inlineStr">
        <is>
          <t>Tools</t>
        </is>
      </c>
      <c r="C12" s="38" t="inlineStr">
        <is>
          <t>each</t>
        </is>
      </c>
      <c r="D12" s="48" t="n">
        <v>6</v>
      </c>
      <c r="E12" s="57" t="n">
        <v>12</v>
      </c>
      <c r="F12" s="57" t="n">
        <v>8</v>
      </c>
      <c r="G12" s="38" t="inlineStr">
        <is>
          <t>Janitorial supplier (sample)</t>
        </is>
      </c>
      <c r="H12" s="47" t="n">
        <v>46275</v>
      </c>
      <c r="I12" s="38" t="inlineStr"/>
      <c r="J12" s="55">
        <f>IF(A12="","",N(D12)*N(E12))</f>
        <v/>
      </c>
      <c r="K12" s="49">
        <f>IF(A12="","",IF(F12="","",IF(N(E12)&lt;=F12,"Reorder","OK")))</f>
        <v/>
      </c>
    </row>
    <row r="13">
      <c r="A13" s="38" t="inlineStr">
        <is>
          <t>Trash liners 13 gal (200)</t>
        </is>
      </c>
      <c r="B13" s="38" t="inlineStr">
        <is>
          <t>Paper &amp; Liners</t>
        </is>
      </c>
      <c r="C13" s="38" t="inlineStr">
        <is>
          <t>box</t>
        </is>
      </c>
      <c r="D13" s="48" t="n">
        <v>24</v>
      </c>
      <c r="E13" s="57" t="n">
        <v>1</v>
      </c>
      <c r="F13" s="57" t="n">
        <v>2</v>
      </c>
      <c r="G13" s="38" t="inlineStr">
        <is>
          <t>Janitorial supplier (sample)</t>
        </is>
      </c>
      <c r="H13" s="47" t="n">
        <v>46275</v>
      </c>
      <c r="I13" s="38" t="inlineStr"/>
      <c r="J13" s="55">
        <f>IF(A13="","",N(D13)*N(E13))</f>
        <v/>
      </c>
      <c r="K13" s="49">
        <f>IF(A13="","",IF(F13="","",IF(N(E13)&lt;=F13,"Reorder","OK")))</f>
        <v/>
      </c>
    </row>
    <row r="14">
      <c r="A14" s="38" t="inlineStr">
        <is>
          <t>Paper towels (12 rolls)</t>
        </is>
      </c>
      <c r="B14" s="38" t="inlineStr">
        <is>
          <t>Paper &amp; Liners</t>
        </is>
      </c>
      <c r="C14" s="38" t="inlineStr">
        <is>
          <t>case</t>
        </is>
      </c>
      <c r="D14" s="48" t="n">
        <v>19</v>
      </c>
      <c r="E14" s="57" t="n">
        <v>3</v>
      </c>
      <c r="F14" s="57" t="n">
        <v>2</v>
      </c>
      <c r="G14" s="38" t="inlineStr">
        <is>
          <t>Janitorial supplier (sample)</t>
        </is>
      </c>
      <c r="H14" s="47" t="n">
        <v>46275</v>
      </c>
      <c r="I14" s="38" t="inlineStr"/>
      <c r="J14" s="55">
        <f>IF(A14="","",N(D14)*N(E14))</f>
        <v/>
      </c>
      <c r="K14" s="49">
        <f>IF(A14="","",IF(F14="","",IF(N(E14)&lt;=F14,"Reorder","OK")))</f>
        <v/>
      </c>
    </row>
    <row r="15">
      <c r="A15" s="38" t="inlineStr">
        <is>
          <t>Laundry detergent</t>
        </is>
      </c>
      <c r="B15" s="38" t="inlineStr">
        <is>
          <t>Laundry</t>
        </is>
      </c>
      <c r="C15" s="38" t="inlineStr">
        <is>
          <t>bottle</t>
        </is>
      </c>
      <c r="D15" s="48" t="n">
        <v>12.5</v>
      </c>
      <c r="E15" s="57" t="n">
        <v>2</v>
      </c>
      <c r="F15" s="57" t="n">
        <v>2</v>
      </c>
      <c r="G15" s="38" t="inlineStr">
        <is>
          <t>Janitorial supplier (sample)</t>
        </is>
      </c>
      <c r="H15" s="47" t="n">
        <v>46275</v>
      </c>
      <c r="I15" s="38" t="inlineStr"/>
      <c r="J15" s="55">
        <f>IF(A15="","",N(D15)*N(E15))</f>
        <v/>
      </c>
      <c r="K15" s="49">
        <f>IF(A15="","",IF(F15="","",IF(N(E15)&lt;=F15,"Reorder","OK")))</f>
        <v/>
      </c>
    </row>
    <row r="16">
      <c r="A16" s="38" t="inlineStr">
        <is>
          <t>Nitrile gloves (100)</t>
        </is>
      </c>
      <c r="B16" s="38" t="inlineStr">
        <is>
          <t>Protective Gear</t>
        </is>
      </c>
      <c r="C16" s="38" t="inlineStr">
        <is>
          <t>box</t>
        </is>
      </c>
      <c r="D16" s="48" t="n">
        <v>11</v>
      </c>
      <c r="E16" s="57" t="n">
        <v>5</v>
      </c>
      <c r="F16" s="57" t="n">
        <v>3</v>
      </c>
      <c r="G16" s="38" t="inlineStr">
        <is>
          <t>Janitorial supplier (sample)</t>
        </is>
      </c>
      <c r="H16" s="47" t="n">
        <v>46275</v>
      </c>
      <c r="I16" s="38" t="inlineStr"/>
      <c r="J16" s="55">
        <f>IF(A16="","",N(D16)*N(E16))</f>
        <v/>
      </c>
      <c r="K16" s="49">
        <f>IF(A16="","",IF(F16="","",IF(N(E16)&lt;=F16,"Reorder","OK")))</f>
        <v/>
      </c>
    </row>
    <row r="17">
      <c r="A17" s="38" t="inlineStr">
        <is>
          <t>Shoe covers (100)</t>
        </is>
      </c>
      <c r="B17" s="38" t="inlineStr">
        <is>
          <t>Protective Gear</t>
        </is>
      </c>
      <c r="C17" s="38" t="inlineStr">
        <is>
          <t>box</t>
        </is>
      </c>
      <c r="D17" s="48" t="n">
        <v>9.5</v>
      </c>
      <c r="E17" s="57" t="n">
        <v>2</v>
      </c>
      <c r="F17" s="57" t="n">
        <v>2</v>
      </c>
      <c r="G17" s="38" t="inlineStr">
        <is>
          <t>Janitorial supplier (sample)</t>
        </is>
      </c>
      <c r="H17" s="47" t="n">
        <v>46275</v>
      </c>
      <c r="I17" s="38" t="inlineStr"/>
      <c r="J17" s="55">
        <f>IF(A17="","",N(D17)*N(E17))</f>
        <v/>
      </c>
      <c r="K17" s="49">
        <f>IF(A17="","",IF(F17="","",IF(N(E17)&lt;=F17,"Reorder","OK")))</f>
        <v/>
      </c>
    </row>
    <row r="18">
      <c r="A18" s="38" t="inlineStr">
        <is>
          <t>HEPA vacuum bags (5)</t>
        </is>
      </c>
      <c r="B18" s="38" t="inlineStr">
        <is>
          <t>Equipment</t>
        </is>
      </c>
      <c r="C18" s="38" t="inlineStr">
        <is>
          <t>pack</t>
        </is>
      </c>
      <c r="D18" s="48" t="n">
        <v>17</v>
      </c>
      <c r="E18" s="57" t="n">
        <v>3</v>
      </c>
      <c r="F18" s="57" t="n">
        <v>2</v>
      </c>
      <c r="G18" s="38" t="inlineStr">
        <is>
          <t>Janitorial supplier (sample)</t>
        </is>
      </c>
      <c r="H18" s="47" t="n">
        <v>46275</v>
      </c>
      <c r="I18" s="38" t="inlineStr"/>
      <c r="J18" s="55">
        <f>IF(A18="","",N(D18)*N(E18))</f>
        <v/>
      </c>
      <c r="K18" s="49">
        <f>IF(A18="","",IF(F18="","",IF(N(E18)&lt;=F18,"Reorder","OK")))</f>
        <v/>
      </c>
    </row>
    <row r="19">
      <c r="A19" s="38" t="inlineStr">
        <is>
          <t>Extension pole</t>
        </is>
      </c>
      <c r="B19" s="38" t="inlineStr">
        <is>
          <t>Equipment</t>
        </is>
      </c>
      <c r="C19" s="38" t="inlineStr">
        <is>
          <t>each</t>
        </is>
      </c>
      <c r="D19" s="48" t="n">
        <v>28</v>
      </c>
      <c r="E19" s="57" t="n">
        <v>2</v>
      </c>
      <c r="F19" s="57" t="n">
        <v>1</v>
      </c>
      <c r="G19" s="38" t="inlineStr">
        <is>
          <t>Janitorial supplier (sample)</t>
        </is>
      </c>
      <c r="H19" s="47" t="n">
        <v>46275</v>
      </c>
      <c r="I19" s="38" t="inlineStr"/>
      <c r="J19" s="55">
        <f>IF(A19="","",N(D19)*N(E19))</f>
        <v/>
      </c>
      <c r="K19" s="49">
        <f>IF(A19="","",IF(F19="","",IF(N(E19)&lt;=F19,"Reorder","OK")))</f>
        <v/>
      </c>
    </row>
    <row r="20">
      <c r="A20" s="38" t="inlineStr">
        <is>
          <t>Spray bottles (labeled)</t>
        </is>
      </c>
      <c r="B20" s="38" t="inlineStr">
        <is>
          <t>Tools</t>
        </is>
      </c>
      <c r="C20" s="38" t="inlineStr">
        <is>
          <t>each</t>
        </is>
      </c>
      <c r="D20" s="48" t="n">
        <v>1.8</v>
      </c>
      <c r="E20" s="57" t="n">
        <v>20</v>
      </c>
      <c r="F20" s="57" t="n">
        <v>10</v>
      </c>
      <c r="G20" s="38" t="inlineStr">
        <is>
          <t>Janitorial supplier (sample)</t>
        </is>
      </c>
      <c r="H20" s="47" t="n">
        <v>46275</v>
      </c>
      <c r="I20" s="38" t="inlineStr"/>
      <c r="J20" s="55">
        <f>IF(A20="","",N(D20)*N(E20))</f>
        <v/>
      </c>
      <c r="K20" s="49">
        <f>IF(A20="","",IF(F20="","",IF(N(E20)&lt;=F20,"Reorder","OK")))</f>
        <v/>
      </c>
    </row>
    <row r="21">
      <c r="A21" s="38" t="n"/>
      <c r="B21" s="38" t="n"/>
      <c r="C21" s="38" t="n"/>
      <c r="D21" s="48" t="n"/>
      <c r="E21" s="57" t="n"/>
      <c r="F21" s="57" t="n"/>
      <c r="G21" s="38" t="n"/>
      <c r="H21" s="47" t="n"/>
      <c r="I21" s="38" t="n"/>
      <c r="J21" s="55">
        <f>IF(A21="","",N(D21)*N(E21))</f>
        <v/>
      </c>
      <c r="K21" s="49">
        <f>IF(A21="","",IF(F21="","",IF(N(E21)&lt;=F21,"Reorder","OK")))</f>
        <v/>
      </c>
    </row>
    <row r="22">
      <c r="A22" s="38" t="n"/>
      <c r="B22" s="38" t="n"/>
      <c r="C22" s="38" t="n"/>
      <c r="D22" s="48" t="n"/>
      <c r="E22" s="57" t="n"/>
      <c r="F22" s="57" t="n"/>
      <c r="G22" s="38" t="n"/>
      <c r="H22" s="47" t="n"/>
      <c r="I22" s="38" t="n"/>
      <c r="J22" s="55">
        <f>IF(A22="","",N(D22)*N(E22))</f>
        <v/>
      </c>
      <c r="K22" s="49">
        <f>IF(A22="","",IF(F22="","",IF(N(E22)&lt;=F22,"Reorder","OK")))</f>
        <v/>
      </c>
    </row>
    <row r="23">
      <c r="A23" s="38" t="n"/>
      <c r="B23" s="38" t="n"/>
      <c r="C23" s="38" t="n"/>
      <c r="D23" s="48" t="n"/>
      <c r="E23" s="57" t="n"/>
      <c r="F23" s="57" t="n"/>
      <c r="G23" s="38" t="n"/>
      <c r="H23" s="47" t="n"/>
      <c r="I23" s="38" t="n"/>
      <c r="J23" s="55">
        <f>IF(A23="","",N(D23)*N(E23))</f>
        <v/>
      </c>
      <c r="K23" s="49">
        <f>IF(A23="","",IF(F23="","",IF(N(E23)&lt;=F23,"Reorder","OK")))</f>
        <v/>
      </c>
    </row>
    <row r="24">
      <c r="A24" s="38" t="n"/>
      <c r="B24" s="38" t="n"/>
      <c r="C24" s="38" t="n"/>
      <c r="D24" s="48" t="n"/>
      <c r="E24" s="57" t="n"/>
      <c r="F24" s="57" t="n"/>
      <c r="G24" s="38" t="n"/>
      <c r="H24" s="47" t="n"/>
      <c r="I24" s="38" t="n"/>
      <c r="J24" s="55">
        <f>IF(A24="","",N(D24)*N(E24))</f>
        <v/>
      </c>
      <c r="K24" s="49">
        <f>IF(A24="","",IF(F24="","",IF(N(E24)&lt;=F24,"Reorder","OK")))</f>
        <v/>
      </c>
    </row>
    <row r="25">
      <c r="A25" s="38" t="n"/>
      <c r="B25" s="38" t="n"/>
      <c r="C25" s="38" t="n"/>
      <c r="D25" s="48" t="n"/>
      <c r="E25" s="57" t="n"/>
      <c r="F25" s="57" t="n"/>
      <c r="G25" s="38" t="n"/>
      <c r="H25" s="47" t="n"/>
      <c r="I25" s="38" t="n"/>
      <c r="J25" s="55">
        <f>IF(A25="","",N(D25)*N(E25))</f>
        <v/>
      </c>
      <c r="K25" s="49">
        <f>IF(A25="","",IF(F25="","",IF(N(E25)&lt;=F25,"Reorder","OK")))</f>
        <v/>
      </c>
    </row>
    <row r="26">
      <c r="A26" s="38" t="n"/>
      <c r="B26" s="38" t="n"/>
      <c r="C26" s="38" t="n"/>
      <c r="D26" s="48" t="n"/>
      <c r="E26" s="57" t="n"/>
      <c r="F26" s="57" t="n"/>
      <c r="G26" s="38" t="n"/>
      <c r="H26" s="47" t="n"/>
      <c r="I26" s="38" t="n"/>
      <c r="J26" s="55">
        <f>IF(A26="","",N(D26)*N(E26))</f>
        <v/>
      </c>
      <c r="K26" s="49">
        <f>IF(A26="","",IF(F26="","",IF(N(E26)&lt;=F26,"Reorder","OK")))</f>
        <v/>
      </c>
    </row>
    <row r="27">
      <c r="A27" s="38" t="n"/>
      <c r="B27" s="38" t="n"/>
      <c r="C27" s="38" t="n"/>
      <c r="D27" s="48" t="n"/>
      <c r="E27" s="57" t="n"/>
      <c r="F27" s="57" t="n"/>
      <c r="G27" s="38" t="n"/>
      <c r="H27" s="47" t="n"/>
      <c r="I27" s="38" t="n"/>
      <c r="J27" s="55">
        <f>IF(A27="","",N(D27)*N(E27))</f>
        <v/>
      </c>
      <c r="K27" s="49">
        <f>IF(A27="","",IF(F27="","",IF(N(E27)&lt;=F27,"Reorder","OK")))</f>
        <v/>
      </c>
    </row>
    <row r="28">
      <c r="A28" s="38" t="n"/>
      <c r="B28" s="38" t="n"/>
      <c r="C28" s="38" t="n"/>
      <c r="D28" s="48" t="n"/>
      <c r="E28" s="57" t="n"/>
      <c r="F28" s="57" t="n"/>
      <c r="G28" s="38" t="n"/>
      <c r="H28" s="47" t="n"/>
      <c r="I28" s="38" t="n"/>
      <c r="J28" s="55">
        <f>IF(A28="","",N(D28)*N(E28))</f>
        <v/>
      </c>
      <c r="K28" s="49">
        <f>IF(A28="","",IF(F28="","",IF(N(E28)&lt;=F28,"Reorder","OK")))</f>
        <v/>
      </c>
    </row>
    <row r="29">
      <c r="A29" s="38" t="n"/>
      <c r="B29" s="38" t="n"/>
      <c r="C29" s="38" t="n"/>
      <c r="D29" s="48" t="n"/>
      <c r="E29" s="57" t="n"/>
      <c r="F29" s="57" t="n"/>
      <c r="G29" s="38" t="n"/>
      <c r="H29" s="47" t="n"/>
      <c r="I29" s="38" t="n"/>
      <c r="J29" s="55">
        <f>IF(A29="","",N(D29)*N(E29))</f>
        <v/>
      </c>
      <c r="K29" s="49">
        <f>IF(A29="","",IF(F29="","",IF(N(E29)&lt;=F29,"Reorder","OK")))</f>
        <v/>
      </c>
    </row>
    <row r="30">
      <c r="A30" s="38" t="n"/>
      <c r="B30" s="38" t="n"/>
      <c r="C30" s="38" t="n"/>
      <c r="D30" s="48" t="n"/>
      <c r="E30" s="57" t="n"/>
      <c r="F30" s="57" t="n"/>
      <c r="G30" s="38" t="n"/>
      <c r="H30" s="47" t="n"/>
      <c r="I30" s="38" t="n"/>
      <c r="J30" s="55">
        <f>IF(A30="","",N(D30)*N(E30))</f>
        <v/>
      </c>
      <c r="K30" s="49">
        <f>IF(A30="","",IF(F30="","",IF(N(E30)&lt;=F30,"Reorder","OK")))</f>
        <v/>
      </c>
    </row>
    <row r="31">
      <c r="A31" s="38" t="n"/>
      <c r="B31" s="38" t="n"/>
      <c r="C31" s="38" t="n"/>
      <c r="D31" s="48" t="n"/>
      <c r="E31" s="57" t="n"/>
      <c r="F31" s="57" t="n"/>
      <c r="G31" s="38" t="n"/>
      <c r="H31" s="47" t="n"/>
      <c r="I31" s="38" t="n"/>
      <c r="J31" s="55">
        <f>IF(A31="","",N(D31)*N(E31))</f>
        <v/>
      </c>
      <c r="K31" s="49">
        <f>IF(A31="","",IF(F31="","",IF(N(E31)&lt;=F31,"Reorder","OK")))</f>
        <v/>
      </c>
    </row>
    <row r="32">
      <c r="A32" s="38" t="n"/>
      <c r="B32" s="38" t="n"/>
      <c r="C32" s="38" t="n"/>
      <c r="D32" s="48" t="n"/>
      <c r="E32" s="57" t="n"/>
      <c r="F32" s="57" t="n"/>
      <c r="G32" s="38" t="n"/>
      <c r="H32" s="47" t="n"/>
      <c r="I32" s="38" t="n"/>
      <c r="J32" s="55">
        <f>IF(A32="","",N(D32)*N(E32))</f>
        <v/>
      </c>
      <c r="K32" s="49">
        <f>IF(A32="","",IF(F32="","",IF(N(E32)&lt;=F32,"Reorder","OK")))</f>
        <v/>
      </c>
    </row>
    <row r="33">
      <c r="A33" s="38" t="n"/>
      <c r="B33" s="38" t="n"/>
      <c r="C33" s="38" t="n"/>
      <c r="D33" s="48" t="n"/>
      <c r="E33" s="57" t="n"/>
      <c r="F33" s="57" t="n"/>
      <c r="G33" s="38" t="n"/>
      <c r="H33" s="47" t="n"/>
      <c r="I33" s="38" t="n"/>
      <c r="J33" s="55">
        <f>IF(A33="","",N(D33)*N(E33))</f>
        <v/>
      </c>
      <c r="K33" s="49">
        <f>IF(A33="","",IF(F33="","",IF(N(E33)&lt;=F33,"Reorder","OK")))</f>
        <v/>
      </c>
    </row>
    <row r="34">
      <c r="A34" s="38" t="n"/>
      <c r="B34" s="38" t="n"/>
      <c r="C34" s="38" t="n"/>
      <c r="D34" s="48" t="n"/>
      <c r="E34" s="57" t="n"/>
      <c r="F34" s="57" t="n"/>
      <c r="G34" s="38" t="n"/>
      <c r="H34" s="47" t="n"/>
      <c r="I34" s="38" t="n"/>
      <c r="J34" s="55">
        <f>IF(A34="","",N(D34)*N(E34))</f>
        <v/>
      </c>
      <c r="K34" s="49">
        <f>IF(A34="","",IF(F34="","",IF(N(E34)&lt;=F34,"Reorder","OK")))</f>
        <v/>
      </c>
    </row>
    <row r="35">
      <c r="A35" s="38" t="n"/>
      <c r="B35" s="38" t="n"/>
      <c r="C35" s="38" t="n"/>
      <c r="D35" s="48" t="n"/>
      <c r="E35" s="57" t="n"/>
      <c r="F35" s="57" t="n"/>
      <c r="G35" s="38" t="n"/>
      <c r="H35" s="47" t="n"/>
      <c r="I35" s="38" t="n"/>
      <c r="J35" s="55">
        <f>IF(A35="","",N(D35)*N(E35))</f>
        <v/>
      </c>
      <c r="K35" s="49">
        <f>IF(A35="","",IF(F35="","",IF(N(E35)&lt;=F35,"Reorder","OK")))</f>
        <v/>
      </c>
    </row>
    <row r="36">
      <c r="A36" s="38" t="n"/>
      <c r="B36" s="38" t="n"/>
      <c r="C36" s="38" t="n"/>
      <c r="D36" s="48" t="n"/>
      <c r="E36" s="57" t="n"/>
      <c r="F36" s="57" t="n"/>
      <c r="G36" s="38" t="n"/>
      <c r="H36" s="47" t="n"/>
      <c r="I36" s="38" t="n"/>
      <c r="J36" s="55">
        <f>IF(A36="","",N(D36)*N(E36))</f>
        <v/>
      </c>
      <c r="K36" s="49">
        <f>IF(A36="","",IF(F36="","",IF(N(E36)&lt;=F36,"Reorder","OK")))</f>
        <v/>
      </c>
    </row>
    <row r="37">
      <c r="A37" s="38" t="n"/>
      <c r="B37" s="38" t="n"/>
      <c r="C37" s="38" t="n"/>
      <c r="D37" s="48" t="n"/>
      <c r="E37" s="57" t="n"/>
      <c r="F37" s="57" t="n"/>
      <c r="G37" s="38" t="n"/>
      <c r="H37" s="47" t="n"/>
      <c r="I37" s="38" t="n"/>
      <c r="J37" s="55">
        <f>IF(A37="","",N(D37)*N(E37))</f>
        <v/>
      </c>
      <c r="K37" s="49">
        <f>IF(A37="","",IF(F37="","",IF(N(E37)&lt;=F37,"Reorder","OK")))</f>
        <v/>
      </c>
    </row>
    <row r="38">
      <c r="A38" s="38" t="n"/>
      <c r="B38" s="38" t="n"/>
      <c r="C38" s="38" t="n"/>
      <c r="D38" s="48" t="n"/>
      <c r="E38" s="57" t="n"/>
      <c r="F38" s="57" t="n"/>
      <c r="G38" s="38" t="n"/>
      <c r="H38" s="47" t="n"/>
      <c r="I38" s="38" t="n"/>
      <c r="J38" s="55">
        <f>IF(A38="","",N(D38)*N(E38))</f>
        <v/>
      </c>
      <c r="K38" s="49">
        <f>IF(A38="","",IF(F38="","",IF(N(E38)&lt;=F38,"Reorder","OK")))</f>
        <v/>
      </c>
    </row>
    <row r="39">
      <c r="A39" s="38" t="n"/>
      <c r="B39" s="38" t="n"/>
      <c r="C39" s="38" t="n"/>
      <c r="D39" s="48" t="n"/>
      <c r="E39" s="57" t="n"/>
      <c r="F39" s="57" t="n"/>
      <c r="G39" s="38" t="n"/>
      <c r="H39" s="47" t="n"/>
      <c r="I39" s="38" t="n"/>
      <c r="J39" s="55">
        <f>IF(A39="","",N(D39)*N(E39))</f>
        <v/>
      </c>
      <c r="K39" s="49">
        <f>IF(A39="","",IF(F39="","",IF(N(E39)&lt;=F39,"Reorder","OK")))</f>
        <v/>
      </c>
    </row>
    <row r="40">
      <c r="A40" s="38" t="n"/>
      <c r="B40" s="38" t="n"/>
      <c r="C40" s="38" t="n"/>
      <c r="D40" s="48" t="n"/>
      <c r="E40" s="57" t="n"/>
      <c r="F40" s="57" t="n"/>
      <c r="G40" s="38" t="n"/>
      <c r="H40" s="47" t="n"/>
      <c r="I40" s="38" t="n"/>
      <c r="J40" s="55">
        <f>IF(A40="","",N(D40)*N(E40))</f>
        <v/>
      </c>
      <c r="K40" s="49">
        <f>IF(A40="","",IF(F40="","",IF(N(E40)&lt;=F40,"Reorder","OK")))</f>
        <v/>
      </c>
    </row>
    <row r="41">
      <c r="A41" s="38" t="n"/>
      <c r="B41" s="38" t="n"/>
      <c r="C41" s="38" t="n"/>
      <c r="D41" s="48" t="n"/>
      <c r="E41" s="57" t="n"/>
      <c r="F41" s="57" t="n"/>
      <c r="G41" s="38" t="n"/>
      <c r="H41" s="47" t="n"/>
      <c r="I41" s="38" t="n"/>
      <c r="J41" s="55">
        <f>IF(A41="","",N(D41)*N(E41))</f>
        <v/>
      </c>
      <c r="K41" s="49">
        <f>IF(A41="","",IF(F41="","",IF(N(E41)&lt;=F41,"Reorder","OK")))</f>
        <v/>
      </c>
    </row>
    <row r="42">
      <c r="A42" s="38" t="n"/>
      <c r="B42" s="38" t="n"/>
      <c r="C42" s="38" t="n"/>
      <c r="D42" s="48" t="n"/>
      <c r="E42" s="57" t="n"/>
      <c r="F42" s="57" t="n"/>
      <c r="G42" s="38" t="n"/>
      <c r="H42" s="47" t="n"/>
      <c r="I42" s="38" t="n"/>
      <c r="J42" s="55">
        <f>IF(A42="","",N(D42)*N(E42))</f>
        <v/>
      </c>
      <c r="K42" s="49">
        <f>IF(A42="","",IF(F42="","",IF(N(E42)&lt;=F42,"Reorder","OK")))</f>
        <v/>
      </c>
    </row>
    <row r="43">
      <c r="A43" s="38" t="n"/>
      <c r="B43" s="38" t="n"/>
      <c r="C43" s="38" t="n"/>
      <c r="D43" s="48" t="n"/>
      <c r="E43" s="57" t="n"/>
      <c r="F43" s="57" t="n"/>
      <c r="G43" s="38" t="n"/>
      <c r="H43" s="47" t="n"/>
      <c r="I43" s="38" t="n"/>
      <c r="J43" s="55">
        <f>IF(A43="","",N(D43)*N(E43))</f>
        <v/>
      </c>
      <c r="K43" s="49">
        <f>IF(A43="","",IF(F43="","",IF(N(E43)&lt;=F43,"Reorder","OK")))</f>
        <v/>
      </c>
    </row>
    <row r="44">
      <c r="A44" s="38" t="n"/>
      <c r="B44" s="38" t="n"/>
      <c r="C44" s="38" t="n"/>
      <c r="D44" s="48" t="n"/>
      <c r="E44" s="57" t="n"/>
      <c r="F44" s="57" t="n"/>
      <c r="G44" s="38" t="n"/>
      <c r="H44" s="47" t="n"/>
      <c r="I44" s="38" t="n"/>
      <c r="J44" s="55">
        <f>IF(A44="","",N(D44)*N(E44))</f>
        <v/>
      </c>
      <c r="K44" s="49">
        <f>IF(A44="","",IF(F44="","",IF(N(E44)&lt;=F44,"Reorder","OK")))</f>
        <v/>
      </c>
    </row>
    <row r="45">
      <c r="A45" s="38" t="n"/>
      <c r="B45" s="38" t="n"/>
      <c r="C45" s="38" t="n"/>
      <c r="D45" s="48" t="n"/>
      <c r="E45" s="57" t="n"/>
      <c r="F45" s="57" t="n"/>
      <c r="G45" s="38" t="n"/>
      <c r="H45" s="47" t="n"/>
      <c r="I45" s="38" t="n"/>
      <c r="J45" s="55">
        <f>IF(A45="","",N(D45)*N(E45))</f>
        <v/>
      </c>
      <c r="K45" s="49">
        <f>IF(A45="","",IF(F45="","",IF(N(E45)&lt;=F45,"Reorder","OK")))</f>
        <v/>
      </c>
    </row>
    <row r="46">
      <c r="A46" s="38" t="n"/>
      <c r="B46" s="38" t="n"/>
      <c r="C46" s="38" t="n"/>
      <c r="D46" s="48" t="n"/>
      <c r="E46" s="57" t="n"/>
      <c r="F46" s="57" t="n"/>
      <c r="G46" s="38" t="n"/>
      <c r="H46" s="47" t="n"/>
      <c r="I46" s="38" t="n"/>
      <c r="J46" s="55">
        <f>IF(A46="","",N(D46)*N(E46))</f>
        <v/>
      </c>
      <c r="K46" s="49">
        <f>IF(A46="","",IF(F46="","",IF(N(E46)&lt;=F46,"Reorder","OK")))</f>
        <v/>
      </c>
    </row>
    <row r="47">
      <c r="A47" s="38" t="n"/>
      <c r="B47" s="38" t="n"/>
      <c r="C47" s="38" t="n"/>
      <c r="D47" s="48" t="n"/>
      <c r="E47" s="57" t="n"/>
      <c r="F47" s="57" t="n"/>
      <c r="G47" s="38" t="n"/>
      <c r="H47" s="47" t="n"/>
      <c r="I47" s="38" t="n"/>
      <c r="J47" s="55">
        <f>IF(A47="","",N(D47)*N(E47))</f>
        <v/>
      </c>
      <c r="K47" s="49">
        <f>IF(A47="","",IF(F47="","",IF(N(E47)&lt;=F47,"Reorder","OK")))</f>
        <v/>
      </c>
    </row>
    <row r="48">
      <c r="A48" s="38" t="n"/>
      <c r="B48" s="38" t="n"/>
      <c r="C48" s="38" t="n"/>
      <c r="D48" s="48" t="n"/>
      <c r="E48" s="57" t="n"/>
      <c r="F48" s="57" t="n"/>
      <c r="G48" s="38" t="n"/>
      <c r="H48" s="47" t="n"/>
      <c r="I48" s="38" t="n"/>
      <c r="J48" s="55">
        <f>IF(A48="","",N(D48)*N(E48))</f>
        <v/>
      </c>
      <c r="K48" s="49">
        <f>IF(A48="","",IF(F48="","",IF(N(E48)&lt;=F48,"Reorder","OK")))</f>
        <v/>
      </c>
    </row>
    <row r="49">
      <c r="A49" s="38" t="n"/>
      <c r="B49" s="38" t="n"/>
      <c r="C49" s="38" t="n"/>
      <c r="D49" s="48" t="n"/>
      <c r="E49" s="57" t="n"/>
      <c r="F49" s="57" t="n"/>
      <c r="G49" s="38" t="n"/>
      <c r="H49" s="47" t="n"/>
      <c r="I49" s="38" t="n"/>
      <c r="J49" s="55">
        <f>IF(A49="","",N(D49)*N(E49))</f>
        <v/>
      </c>
      <c r="K49" s="49">
        <f>IF(A49="","",IF(F49="","",IF(N(E49)&lt;=F49,"Reorder","OK")))</f>
        <v/>
      </c>
    </row>
    <row r="50">
      <c r="A50" s="38" t="n"/>
      <c r="B50" s="38" t="n"/>
      <c r="C50" s="38" t="n"/>
      <c r="D50" s="48" t="n"/>
      <c r="E50" s="57" t="n"/>
      <c r="F50" s="57" t="n"/>
      <c r="G50" s="38" t="n"/>
      <c r="H50" s="47" t="n"/>
      <c r="I50" s="38" t="n"/>
      <c r="J50" s="55">
        <f>IF(A50="","",N(D50)*N(E50))</f>
        <v/>
      </c>
      <c r="K50" s="49">
        <f>IF(A50="","",IF(F50="","",IF(N(E50)&lt;=F50,"Reorder","OK")))</f>
        <v/>
      </c>
    </row>
    <row r="51">
      <c r="A51" s="38" t="n"/>
      <c r="B51" s="38" t="n"/>
      <c r="C51" s="38" t="n"/>
      <c r="D51" s="48" t="n"/>
      <c r="E51" s="57" t="n"/>
      <c r="F51" s="57" t="n"/>
      <c r="G51" s="38" t="n"/>
      <c r="H51" s="47" t="n"/>
      <c r="I51" s="38" t="n"/>
      <c r="J51" s="55">
        <f>IF(A51="","",N(D51)*N(E51))</f>
        <v/>
      </c>
      <c r="K51" s="49">
        <f>IF(A51="","",IF(F51="","",IF(N(E51)&lt;=F51,"Reorder","OK")))</f>
        <v/>
      </c>
    </row>
    <row r="52">
      <c r="A52" s="38" t="n"/>
      <c r="B52" s="38" t="n"/>
      <c r="C52" s="38" t="n"/>
      <c r="D52" s="48" t="n"/>
      <c r="E52" s="57" t="n"/>
      <c r="F52" s="57" t="n"/>
      <c r="G52" s="38" t="n"/>
      <c r="H52" s="47" t="n"/>
      <c r="I52" s="38" t="n"/>
      <c r="J52" s="55">
        <f>IF(A52="","",N(D52)*N(E52))</f>
        <v/>
      </c>
      <c r="K52" s="49">
        <f>IF(A52="","",IF(F52="","",IF(N(E52)&lt;=F52,"Reorder","OK")))</f>
        <v/>
      </c>
    </row>
    <row r="53">
      <c r="A53" s="38" t="n"/>
      <c r="B53" s="38" t="n"/>
      <c r="C53" s="38" t="n"/>
      <c r="D53" s="48" t="n"/>
      <c r="E53" s="57" t="n"/>
      <c r="F53" s="57" t="n"/>
      <c r="G53" s="38" t="n"/>
      <c r="H53" s="47" t="n"/>
      <c r="I53" s="38" t="n"/>
      <c r="J53" s="55">
        <f>IF(A53="","",N(D53)*N(E53))</f>
        <v/>
      </c>
      <c r="K53" s="49">
        <f>IF(A53="","",IF(F53="","",IF(N(E53)&lt;=F53,"Reorder","OK")))</f>
        <v/>
      </c>
    </row>
    <row r="54">
      <c r="A54" s="38" t="n"/>
      <c r="B54" s="38" t="n"/>
      <c r="C54" s="38" t="n"/>
      <c r="D54" s="48" t="n"/>
      <c r="E54" s="57" t="n"/>
      <c r="F54" s="57" t="n"/>
      <c r="G54" s="38" t="n"/>
      <c r="H54" s="47" t="n"/>
      <c r="I54" s="38" t="n"/>
      <c r="J54" s="55">
        <f>IF(A54="","",N(D54)*N(E54))</f>
        <v/>
      </c>
      <c r="K54" s="49">
        <f>IF(A54="","",IF(F54="","",IF(N(E54)&lt;=F54,"Reorder","OK")))</f>
        <v/>
      </c>
    </row>
    <row r="55">
      <c r="A55" s="38" t="n"/>
      <c r="B55" s="38" t="n"/>
      <c r="C55" s="38" t="n"/>
      <c r="D55" s="48" t="n"/>
      <c r="E55" s="57" t="n"/>
      <c r="F55" s="57" t="n"/>
      <c r="G55" s="38" t="n"/>
      <c r="H55" s="47" t="n"/>
      <c r="I55" s="38" t="n"/>
      <c r="J55" s="55">
        <f>IF(A55="","",N(D55)*N(E55))</f>
        <v/>
      </c>
      <c r="K55" s="49">
        <f>IF(A55="","",IF(F55="","",IF(N(E55)&lt;=F55,"Reorder","OK")))</f>
        <v/>
      </c>
    </row>
    <row r="56">
      <c r="A56" s="38" t="n"/>
      <c r="B56" s="38" t="n"/>
      <c r="C56" s="38" t="n"/>
      <c r="D56" s="48" t="n"/>
      <c r="E56" s="57" t="n"/>
      <c r="F56" s="57" t="n"/>
      <c r="G56" s="38" t="n"/>
      <c r="H56" s="47" t="n"/>
      <c r="I56" s="38" t="n"/>
      <c r="J56" s="55">
        <f>IF(A56="","",N(D56)*N(E56))</f>
        <v/>
      </c>
      <c r="K56" s="49">
        <f>IF(A56="","",IF(F56="","",IF(N(E56)&lt;=F56,"Reorder","OK")))</f>
        <v/>
      </c>
    </row>
    <row r="57">
      <c r="A57" s="38" t="n"/>
      <c r="B57" s="38" t="n"/>
      <c r="C57" s="38" t="n"/>
      <c r="D57" s="48" t="n"/>
      <c r="E57" s="57" t="n"/>
      <c r="F57" s="57" t="n"/>
      <c r="G57" s="38" t="n"/>
      <c r="H57" s="47" t="n"/>
      <c r="I57" s="38" t="n"/>
      <c r="J57" s="55">
        <f>IF(A57="","",N(D57)*N(E57))</f>
        <v/>
      </c>
      <c r="K57" s="49">
        <f>IF(A57="","",IF(F57="","",IF(N(E57)&lt;=F57,"Reorder","OK")))</f>
        <v/>
      </c>
    </row>
    <row r="58">
      <c r="A58" s="38" t="n"/>
      <c r="B58" s="38" t="n"/>
      <c r="C58" s="38" t="n"/>
      <c r="D58" s="48" t="n"/>
      <c r="E58" s="57" t="n"/>
      <c r="F58" s="57" t="n"/>
      <c r="G58" s="38" t="n"/>
      <c r="H58" s="47" t="n"/>
      <c r="I58" s="38" t="n"/>
      <c r="J58" s="55">
        <f>IF(A58="","",N(D58)*N(E58))</f>
        <v/>
      </c>
      <c r="K58" s="49">
        <f>IF(A58="","",IF(F58="","",IF(N(E58)&lt;=F58,"Reorder","OK")))</f>
        <v/>
      </c>
    </row>
    <row r="59">
      <c r="A59" s="38" t="n"/>
      <c r="B59" s="38" t="n"/>
      <c r="C59" s="38" t="n"/>
      <c r="D59" s="48" t="n"/>
      <c r="E59" s="57" t="n"/>
      <c r="F59" s="57" t="n"/>
      <c r="G59" s="38" t="n"/>
      <c r="H59" s="47" t="n"/>
      <c r="I59" s="38" t="n"/>
      <c r="J59" s="55">
        <f>IF(A59="","",N(D59)*N(E59))</f>
        <v/>
      </c>
      <c r="K59" s="49">
        <f>IF(A59="","",IF(F59="","",IF(N(E59)&lt;=F59,"Reorder","OK")))</f>
        <v/>
      </c>
    </row>
    <row r="60">
      <c r="A60" s="38" t="n"/>
      <c r="B60" s="38" t="n"/>
      <c r="C60" s="38" t="n"/>
      <c r="D60" s="48" t="n"/>
      <c r="E60" s="57" t="n"/>
      <c r="F60" s="57" t="n"/>
      <c r="G60" s="38" t="n"/>
      <c r="H60" s="47" t="n"/>
      <c r="I60" s="38" t="n"/>
      <c r="J60" s="55">
        <f>IF(A60="","",N(D60)*N(E60))</f>
        <v/>
      </c>
      <c r="K60" s="49">
        <f>IF(A60="","",IF(F60="","",IF(N(E60)&lt;=F60,"Reorder","OK")))</f>
        <v/>
      </c>
    </row>
    <row r="61">
      <c r="A61" s="38" t="n"/>
      <c r="B61" s="38" t="n"/>
      <c r="C61" s="38" t="n"/>
      <c r="D61" s="48" t="n"/>
      <c r="E61" s="57" t="n"/>
      <c r="F61" s="57" t="n"/>
      <c r="G61" s="38" t="n"/>
      <c r="H61" s="47" t="n"/>
      <c r="I61" s="38" t="n"/>
      <c r="J61" s="55">
        <f>IF(A61="","",N(D61)*N(E61))</f>
        <v/>
      </c>
      <c r="K61" s="49">
        <f>IF(A61="","",IF(F61="","",IF(N(E61)&lt;=F61,"Reorder","OK")))</f>
        <v/>
      </c>
    </row>
    <row r="62">
      <c r="A62" s="38" t="n"/>
      <c r="B62" s="38" t="n"/>
      <c r="C62" s="38" t="n"/>
      <c r="D62" s="48" t="n"/>
      <c r="E62" s="57" t="n"/>
      <c r="F62" s="57" t="n"/>
      <c r="G62" s="38" t="n"/>
      <c r="H62" s="47" t="n"/>
      <c r="I62" s="38" t="n"/>
      <c r="J62" s="55">
        <f>IF(A62="","",N(D62)*N(E62))</f>
        <v/>
      </c>
      <c r="K62" s="49">
        <f>IF(A62="","",IF(F62="","",IF(N(E62)&lt;=F62,"Reorder","OK")))</f>
        <v/>
      </c>
    </row>
    <row r="63">
      <c r="A63" s="38" t="n"/>
      <c r="B63" s="38" t="n"/>
      <c r="C63" s="38" t="n"/>
      <c r="D63" s="48" t="n"/>
      <c r="E63" s="57" t="n"/>
      <c r="F63" s="57" t="n"/>
      <c r="G63" s="38" t="n"/>
      <c r="H63" s="47" t="n"/>
      <c r="I63" s="38" t="n"/>
      <c r="J63" s="55">
        <f>IF(A63="","",N(D63)*N(E63))</f>
        <v/>
      </c>
      <c r="K63" s="49">
        <f>IF(A63="","",IF(F63="","",IF(N(E63)&lt;=F63,"Reorder","OK")))</f>
        <v/>
      </c>
    </row>
    <row r="64">
      <c r="A64" s="38" t="n"/>
      <c r="B64" s="38" t="n"/>
      <c r="C64" s="38" t="n"/>
      <c r="D64" s="48" t="n"/>
      <c r="E64" s="57" t="n"/>
      <c r="F64" s="57" t="n"/>
      <c r="G64" s="38" t="n"/>
      <c r="H64" s="47" t="n"/>
      <c r="I64" s="38" t="n"/>
      <c r="J64" s="55">
        <f>IF(A64="","",N(D64)*N(E64))</f>
        <v/>
      </c>
      <c r="K64" s="49">
        <f>IF(A64="","",IF(F64="","",IF(N(E64)&lt;=F64,"Reorder","OK")))</f>
        <v/>
      </c>
    </row>
    <row r="65">
      <c r="A65" s="38" t="n"/>
      <c r="B65" s="38" t="n"/>
      <c r="C65" s="38" t="n"/>
      <c r="D65" s="48" t="n"/>
      <c r="E65" s="57" t="n"/>
      <c r="F65" s="57" t="n"/>
      <c r="G65" s="38" t="n"/>
      <c r="H65" s="47" t="n"/>
      <c r="I65" s="38" t="n"/>
      <c r="J65" s="55">
        <f>IF(A65="","",N(D65)*N(E65))</f>
        <v/>
      </c>
      <c r="K65" s="49">
        <f>IF(A65="","",IF(F65="","",IF(N(E65)&lt;=F65,"Reorder","OK")))</f>
        <v/>
      </c>
    </row>
    <row r="66">
      <c r="A66" s="38" t="n"/>
      <c r="B66" s="38" t="n"/>
      <c r="C66" s="38" t="n"/>
      <c r="D66" s="48" t="n"/>
      <c r="E66" s="57" t="n"/>
      <c r="F66" s="57" t="n"/>
      <c r="G66" s="38" t="n"/>
      <c r="H66" s="47" t="n"/>
      <c r="I66" s="38" t="n"/>
      <c r="J66" s="55">
        <f>IF(A66="","",N(D66)*N(E66))</f>
        <v/>
      </c>
      <c r="K66" s="49">
        <f>IF(A66="","",IF(F66="","",IF(N(E66)&lt;=F66,"Reorder","OK")))</f>
        <v/>
      </c>
    </row>
    <row r="67">
      <c r="A67" s="38" t="n"/>
      <c r="B67" s="38" t="n"/>
      <c r="C67" s="38" t="n"/>
      <c r="D67" s="48" t="n"/>
      <c r="E67" s="57" t="n"/>
      <c r="F67" s="57" t="n"/>
      <c r="G67" s="38" t="n"/>
      <c r="H67" s="47" t="n"/>
      <c r="I67" s="38" t="n"/>
      <c r="J67" s="55">
        <f>IF(A67="","",N(D67)*N(E67))</f>
        <v/>
      </c>
      <c r="K67" s="49">
        <f>IF(A67="","",IF(F67="","",IF(N(E67)&lt;=F67,"Reorder","OK")))</f>
        <v/>
      </c>
    </row>
    <row r="68">
      <c r="A68" s="38" t="n"/>
      <c r="B68" s="38" t="n"/>
      <c r="C68" s="38" t="n"/>
      <c r="D68" s="48" t="n"/>
      <c r="E68" s="57" t="n"/>
      <c r="F68" s="57" t="n"/>
      <c r="G68" s="38" t="n"/>
      <c r="H68" s="47" t="n"/>
      <c r="I68" s="38" t="n"/>
      <c r="J68" s="55">
        <f>IF(A68="","",N(D68)*N(E68))</f>
        <v/>
      </c>
      <c r="K68" s="49">
        <f>IF(A68="","",IF(F68="","",IF(N(E68)&lt;=F68,"Reorder","OK")))</f>
        <v/>
      </c>
    </row>
    <row r="69">
      <c r="A69" s="38" t="n"/>
      <c r="B69" s="38" t="n"/>
      <c r="C69" s="38" t="n"/>
      <c r="D69" s="48" t="n"/>
      <c r="E69" s="57" t="n"/>
      <c r="F69" s="57" t="n"/>
      <c r="G69" s="38" t="n"/>
      <c r="H69" s="47" t="n"/>
      <c r="I69" s="38" t="n"/>
      <c r="J69" s="55">
        <f>IF(A69="","",N(D69)*N(E69))</f>
        <v/>
      </c>
      <c r="K69" s="49">
        <f>IF(A69="","",IF(F69="","",IF(N(E69)&lt;=F69,"Reorder","OK")))</f>
        <v/>
      </c>
    </row>
    <row r="70">
      <c r="A70" s="38" t="n"/>
      <c r="B70" s="38" t="n"/>
      <c r="C70" s="38" t="n"/>
      <c r="D70" s="48" t="n"/>
      <c r="E70" s="57" t="n"/>
      <c r="F70" s="57" t="n"/>
      <c r="G70" s="38" t="n"/>
      <c r="H70" s="47" t="n"/>
      <c r="I70" s="38" t="n"/>
      <c r="J70" s="55">
        <f>IF(A70="","",N(D70)*N(E70))</f>
        <v/>
      </c>
      <c r="K70" s="49">
        <f>IF(A70="","",IF(F70="","",IF(N(E70)&lt;=F70,"Reorder","OK")))</f>
        <v/>
      </c>
    </row>
    <row r="71">
      <c r="A71" s="38" t="n"/>
      <c r="B71" s="38" t="n"/>
      <c r="C71" s="38" t="n"/>
      <c r="D71" s="48" t="n"/>
      <c r="E71" s="57" t="n"/>
      <c r="F71" s="57" t="n"/>
      <c r="G71" s="38" t="n"/>
      <c r="H71" s="47" t="n"/>
      <c r="I71" s="38" t="n"/>
      <c r="J71" s="55">
        <f>IF(A71="","",N(D71)*N(E71))</f>
        <v/>
      </c>
      <c r="K71" s="49">
        <f>IF(A71="","",IF(F71="","",IF(N(E71)&lt;=F71,"Reorder","OK")))</f>
        <v/>
      </c>
    </row>
    <row r="72">
      <c r="A72" s="38" t="n"/>
      <c r="B72" s="38" t="n"/>
      <c r="C72" s="38" t="n"/>
      <c r="D72" s="48" t="n"/>
      <c r="E72" s="57" t="n"/>
      <c r="F72" s="57" t="n"/>
      <c r="G72" s="38" t="n"/>
      <c r="H72" s="47" t="n"/>
      <c r="I72" s="38" t="n"/>
      <c r="J72" s="55">
        <f>IF(A72="","",N(D72)*N(E72))</f>
        <v/>
      </c>
      <c r="K72" s="49">
        <f>IF(A72="","",IF(F72="","",IF(N(E72)&lt;=F72,"Reorder","OK")))</f>
        <v/>
      </c>
    </row>
    <row r="73">
      <c r="A73" s="38" t="n"/>
      <c r="B73" s="38" t="n"/>
      <c r="C73" s="38" t="n"/>
      <c r="D73" s="48" t="n"/>
      <c r="E73" s="57" t="n"/>
      <c r="F73" s="57" t="n"/>
      <c r="G73" s="38" t="n"/>
      <c r="H73" s="47" t="n"/>
      <c r="I73" s="38" t="n"/>
      <c r="J73" s="55">
        <f>IF(A73="","",N(D73)*N(E73))</f>
        <v/>
      </c>
      <c r="K73" s="49">
        <f>IF(A73="","",IF(F73="","",IF(N(E73)&lt;=F73,"Reorder","OK")))</f>
        <v/>
      </c>
    </row>
    <row r="74">
      <c r="A74" s="38" t="n"/>
      <c r="B74" s="38" t="n"/>
      <c r="C74" s="38" t="n"/>
      <c r="D74" s="48" t="n"/>
      <c r="E74" s="57" t="n"/>
      <c r="F74" s="57" t="n"/>
      <c r="G74" s="38" t="n"/>
      <c r="H74" s="47" t="n"/>
      <c r="I74" s="38" t="n"/>
      <c r="J74" s="55">
        <f>IF(A74="","",N(D74)*N(E74))</f>
        <v/>
      </c>
      <c r="K74" s="49">
        <f>IF(A74="","",IF(F74="","",IF(N(E74)&lt;=F74,"Reorder","OK")))</f>
        <v/>
      </c>
    </row>
    <row r="75">
      <c r="A75" s="38" t="n"/>
      <c r="B75" s="38" t="n"/>
      <c r="C75" s="38" t="n"/>
      <c r="D75" s="48" t="n"/>
      <c r="E75" s="57" t="n"/>
      <c r="F75" s="57" t="n"/>
      <c r="G75" s="38" t="n"/>
      <c r="H75" s="47" t="n"/>
      <c r="I75" s="38" t="n"/>
      <c r="J75" s="55">
        <f>IF(A75="","",N(D75)*N(E75))</f>
        <v/>
      </c>
      <c r="K75" s="49">
        <f>IF(A75="","",IF(F75="","",IF(N(E75)&lt;=F75,"Reorder","OK")))</f>
        <v/>
      </c>
    </row>
    <row r="76">
      <c r="A76" s="38" t="n"/>
      <c r="B76" s="38" t="n"/>
      <c r="C76" s="38" t="n"/>
      <c r="D76" s="48" t="n"/>
      <c r="E76" s="57" t="n"/>
      <c r="F76" s="57" t="n"/>
      <c r="G76" s="38" t="n"/>
      <c r="H76" s="47" t="n"/>
      <c r="I76" s="38" t="n"/>
      <c r="J76" s="55">
        <f>IF(A76="","",N(D76)*N(E76))</f>
        <v/>
      </c>
      <c r="K76" s="49">
        <f>IF(A76="","",IF(F76="","",IF(N(E76)&lt;=F76,"Reorder","OK")))</f>
        <v/>
      </c>
    </row>
    <row r="77">
      <c r="A77" s="38" t="n"/>
      <c r="B77" s="38" t="n"/>
      <c r="C77" s="38" t="n"/>
      <c r="D77" s="48" t="n"/>
      <c r="E77" s="57" t="n"/>
      <c r="F77" s="57" t="n"/>
      <c r="G77" s="38" t="n"/>
      <c r="H77" s="47" t="n"/>
      <c r="I77" s="38" t="n"/>
      <c r="J77" s="55">
        <f>IF(A77="","",N(D77)*N(E77))</f>
        <v/>
      </c>
      <c r="K77" s="49">
        <f>IF(A77="","",IF(F77="","",IF(N(E77)&lt;=F77,"Reorder","OK")))</f>
        <v/>
      </c>
    </row>
    <row r="78">
      <c r="A78" s="38" t="n"/>
      <c r="B78" s="38" t="n"/>
      <c r="C78" s="38" t="n"/>
      <c r="D78" s="48" t="n"/>
      <c r="E78" s="57" t="n"/>
      <c r="F78" s="57" t="n"/>
      <c r="G78" s="38" t="n"/>
      <c r="H78" s="47" t="n"/>
      <c r="I78" s="38" t="n"/>
      <c r="J78" s="55">
        <f>IF(A78="","",N(D78)*N(E78))</f>
        <v/>
      </c>
      <c r="K78" s="49">
        <f>IF(A78="","",IF(F78="","",IF(N(E78)&lt;=F78,"Reorder","OK")))</f>
        <v/>
      </c>
    </row>
    <row r="79">
      <c r="A79" s="38" t="n"/>
      <c r="B79" s="38" t="n"/>
      <c r="C79" s="38" t="n"/>
      <c r="D79" s="48" t="n"/>
      <c r="E79" s="57" t="n"/>
      <c r="F79" s="57" t="n"/>
      <c r="G79" s="38" t="n"/>
      <c r="H79" s="47" t="n"/>
      <c r="I79" s="38" t="n"/>
      <c r="J79" s="55">
        <f>IF(A79="","",N(D79)*N(E79))</f>
        <v/>
      </c>
      <c r="K79" s="49">
        <f>IF(A79="","",IF(F79="","",IF(N(E79)&lt;=F79,"Reorder","OK")))</f>
        <v/>
      </c>
    </row>
    <row r="80">
      <c r="A80" s="38" t="n"/>
      <c r="B80" s="38" t="n"/>
      <c r="C80" s="38" t="n"/>
      <c r="D80" s="48" t="n"/>
      <c r="E80" s="57" t="n"/>
      <c r="F80" s="57" t="n"/>
      <c r="G80" s="38" t="n"/>
      <c r="H80" s="47" t="n"/>
      <c r="I80" s="38" t="n"/>
      <c r="J80" s="55">
        <f>IF(A80="","",N(D80)*N(E80))</f>
        <v/>
      </c>
      <c r="K80" s="49">
        <f>IF(A80="","",IF(F80="","",IF(N(E80)&lt;=F80,"Reorder","OK")))</f>
        <v/>
      </c>
    </row>
    <row r="81">
      <c r="A81" s="38" t="n"/>
      <c r="B81" s="38" t="n"/>
      <c r="C81" s="38" t="n"/>
      <c r="D81" s="48" t="n"/>
      <c r="E81" s="57" t="n"/>
      <c r="F81" s="57" t="n"/>
      <c r="G81" s="38" t="n"/>
      <c r="H81" s="47" t="n"/>
      <c r="I81" s="38" t="n"/>
      <c r="J81" s="55">
        <f>IF(A81="","",N(D81)*N(E81))</f>
        <v/>
      </c>
      <c r="K81" s="49">
        <f>IF(A81="","",IF(F81="","",IF(N(E81)&lt;=F81,"Reorder","OK")))</f>
        <v/>
      </c>
    </row>
    <row r="82">
      <c r="A82" s="38" t="n"/>
      <c r="B82" s="38" t="n"/>
      <c r="C82" s="38" t="n"/>
      <c r="D82" s="48" t="n"/>
      <c r="E82" s="57" t="n"/>
      <c r="F82" s="57" t="n"/>
      <c r="G82" s="38" t="n"/>
      <c r="H82" s="47" t="n"/>
      <c r="I82" s="38" t="n"/>
      <c r="J82" s="55">
        <f>IF(A82="","",N(D82)*N(E82))</f>
        <v/>
      </c>
      <c r="K82" s="49">
        <f>IF(A82="","",IF(F82="","",IF(N(E82)&lt;=F82,"Reorder","OK")))</f>
        <v/>
      </c>
    </row>
    <row r="83">
      <c r="A83" s="38" t="n"/>
      <c r="B83" s="38" t="n"/>
      <c r="C83" s="38" t="n"/>
      <c r="D83" s="48" t="n"/>
      <c r="E83" s="57" t="n"/>
      <c r="F83" s="57" t="n"/>
      <c r="G83" s="38" t="n"/>
      <c r="H83" s="47" t="n"/>
      <c r="I83" s="38" t="n"/>
      <c r="J83" s="55">
        <f>IF(A83="","",N(D83)*N(E83))</f>
        <v/>
      </c>
      <c r="K83" s="49">
        <f>IF(A83="","",IF(F83="","",IF(N(E83)&lt;=F83,"Reorder","OK")))</f>
        <v/>
      </c>
    </row>
    <row r="84">
      <c r="A84" s="38" t="n"/>
      <c r="B84" s="38" t="n"/>
      <c r="C84" s="38" t="n"/>
      <c r="D84" s="48" t="n"/>
      <c r="E84" s="57" t="n"/>
      <c r="F84" s="57" t="n"/>
      <c r="G84" s="38" t="n"/>
      <c r="H84" s="47" t="n"/>
      <c r="I84" s="38" t="n"/>
      <c r="J84" s="55">
        <f>IF(A84="","",N(D84)*N(E84))</f>
        <v/>
      </c>
      <c r="K84" s="49">
        <f>IF(A84="","",IF(F84="","",IF(N(E84)&lt;=F84,"Reorder","OK")))</f>
        <v/>
      </c>
    </row>
    <row r="85">
      <c r="A85" s="38" t="n"/>
      <c r="B85" s="38" t="n"/>
      <c r="C85" s="38" t="n"/>
      <c r="D85" s="48" t="n"/>
      <c r="E85" s="57" t="n"/>
      <c r="F85" s="57" t="n"/>
      <c r="G85" s="38" t="n"/>
      <c r="H85" s="47" t="n"/>
      <c r="I85" s="38" t="n"/>
      <c r="J85" s="55">
        <f>IF(A85="","",N(D85)*N(E85))</f>
        <v/>
      </c>
      <c r="K85" s="49">
        <f>IF(A85="","",IF(F85="","",IF(N(E85)&lt;=F85,"Reorder","OK")))</f>
        <v/>
      </c>
    </row>
    <row r="86">
      <c r="A86" s="38" t="n"/>
      <c r="B86" s="38" t="n"/>
      <c r="C86" s="38" t="n"/>
      <c r="D86" s="48" t="n"/>
      <c r="E86" s="57" t="n"/>
      <c r="F86" s="57" t="n"/>
      <c r="G86" s="38" t="n"/>
      <c r="H86" s="47" t="n"/>
      <c r="I86" s="38" t="n"/>
      <c r="J86" s="55">
        <f>IF(A86="","",N(D86)*N(E86))</f>
        <v/>
      </c>
      <c r="K86" s="49">
        <f>IF(A86="","",IF(F86="","",IF(N(E86)&lt;=F86,"Reorder","OK")))</f>
        <v/>
      </c>
    </row>
    <row r="87">
      <c r="A87" s="38" t="n"/>
      <c r="B87" s="38" t="n"/>
      <c r="C87" s="38" t="n"/>
      <c r="D87" s="48" t="n"/>
      <c r="E87" s="57" t="n"/>
      <c r="F87" s="57" t="n"/>
      <c r="G87" s="38" t="n"/>
      <c r="H87" s="47" t="n"/>
      <c r="I87" s="38" t="n"/>
      <c r="J87" s="55">
        <f>IF(A87="","",N(D87)*N(E87))</f>
        <v/>
      </c>
      <c r="K87" s="49">
        <f>IF(A87="","",IF(F87="","",IF(N(E87)&lt;=F87,"Reorder","OK")))</f>
        <v/>
      </c>
    </row>
    <row r="88">
      <c r="A88" s="38" t="n"/>
      <c r="B88" s="38" t="n"/>
      <c r="C88" s="38" t="n"/>
      <c r="D88" s="48" t="n"/>
      <c r="E88" s="57" t="n"/>
      <c r="F88" s="57" t="n"/>
      <c r="G88" s="38" t="n"/>
      <c r="H88" s="47" t="n"/>
      <c r="I88" s="38" t="n"/>
      <c r="J88" s="55">
        <f>IF(A88="","",N(D88)*N(E88))</f>
        <v/>
      </c>
      <c r="K88" s="49">
        <f>IF(A88="","",IF(F88="","",IF(N(E88)&lt;=F88,"Reorder","OK")))</f>
        <v/>
      </c>
    </row>
    <row r="89">
      <c r="A89" s="38" t="n"/>
      <c r="B89" s="38" t="n"/>
      <c r="C89" s="38" t="n"/>
      <c r="D89" s="48" t="n"/>
      <c r="E89" s="57" t="n"/>
      <c r="F89" s="57" t="n"/>
      <c r="G89" s="38" t="n"/>
      <c r="H89" s="47" t="n"/>
      <c r="I89" s="38" t="n"/>
      <c r="J89" s="55">
        <f>IF(A89="","",N(D89)*N(E89))</f>
        <v/>
      </c>
      <c r="K89" s="49">
        <f>IF(A89="","",IF(F89="","",IF(N(E89)&lt;=F89,"Reorder","OK")))</f>
        <v/>
      </c>
    </row>
    <row r="90">
      <c r="A90" s="38" t="n"/>
      <c r="B90" s="38" t="n"/>
      <c r="C90" s="38" t="n"/>
      <c r="D90" s="48" t="n"/>
      <c r="E90" s="57" t="n"/>
      <c r="F90" s="57" t="n"/>
      <c r="G90" s="38" t="n"/>
      <c r="H90" s="47" t="n"/>
      <c r="I90" s="38" t="n"/>
      <c r="J90" s="55">
        <f>IF(A90="","",N(D90)*N(E90))</f>
        <v/>
      </c>
      <c r="K90" s="49">
        <f>IF(A90="","",IF(F90="","",IF(N(E90)&lt;=F90,"Reorder","OK")))</f>
        <v/>
      </c>
    </row>
    <row r="91">
      <c r="A91" s="38" t="n"/>
      <c r="B91" s="38" t="n"/>
      <c r="C91" s="38" t="n"/>
      <c r="D91" s="48" t="n"/>
      <c r="E91" s="57" t="n"/>
      <c r="F91" s="57" t="n"/>
      <c r="G91" s="38" t="n"/>
      <c r="H91" s="47" t="n"/>
      <c r="I91" s="38" t="n"/>
      <c r="J91" s="55">
        <f>IF(A91="","",N(D91)*N(E91))</f>
        <v/>
      </c>
      <c r="K91" s="49">
        <f>IF(A91="","",IF(F91="","",IF(N(E91)&lt;=F91,"Reorder","OK")))</f>
        <v/>
      </c>
    </row>
    <row r="92">
      <c r="A92" s="38" t="n"/>
      <c r="B92" s="38" t="n"/>
      <c r="C92" s="38" t="n"/>
      <c r="D92" s="48" t="n"/>
      <c r="E92" s="57" t="n"/>
      <c r="F92" s="57" t="n"/>
      <c r="G92" s="38" t="n"/>
      <c r="H92" s="47" t="n"/>
      <c r="I92" s="38" t="n"/>
      <c r="J92" s="55">
        <f>IF(A92="","",N(D92)*N(E92))</f>
        <v/>
      </c>
      <c r="K92" s="49">
        <f>IF(A92="","",IF(F92="","",IF(N(E92)&lt;=F92,"Reorder","OK")))</f>
        <v/>
      </c>
    </row>
    <row r="93">
      <c r="A93" s="38" t="n"/>
      <c r="B93" s="38" t="n"/>
      <c r="C93" s="38" t="n"/>
      <c r="D93" s="48" t="n"/>
      <c r="E93" s="57" t="n"/>
      <c r="F93" s="57" t="n"/>
      <c r="G93" s="38" t="n"/>
      <c r="H93" s="47" t="n"/>
      <c r="I93" s="38" t="n"/>
      <c r="J93" s="55">
        <f>IF(A93="","",N(D93)*N(E93))</f>
        <v/>
      </c>
      <c r="K93" s="49">
        <f>IF(A93="","",IF(F93="","",IF(N(E93)&lt;=F93,"Reorder","OK")))</f>
        <v/>
      </c>
    </row>
    <row r="94">
      <c r="A94" s="38" t="n"/>
      <c r="B94" s="38" t="n"/>
      <c r="C94" s="38" t="n"/>
      <c r="D94" s="48" t="n"/>
      <c r="E94" s="57" t="n"/>
      <c r="F94" s="57" t="n"/>
      <c r="G94" s="38" t="n"/>
      <c r="H94" s="47" t="n"/>
      <c r="I94" s="38" t="n"/>
      <c r="J94" s="55">
        <f>IF(A94="","",N(D94)*N(E94))</f>
        <v/>
      </c>
      <c r="K94" s="49">
        <f>IF(A94="","",IF(F94="","",IF(N(E94)&lt;=F94,"Reorder","OK")))</f>
        <v/>
      </c>
    </row>
    <row r="95">
      <c r="A95" s="38" t="n"/>
      <c r="B95" s="38" t="n"/>
      <c r="C95" s="38" t="n"/>
      <c r="D95" s="48" t="n"/>
      <c r="E95" s="57" t="n"/>
      <c r="F95" s="57" t="n"/>
      <c r="G95" s="38" t="n"/>
      <c r="H95" s="47" t="n"/>
      <c r="I95" s="38" t="n"/>
      <c r="J95" s="55">
        <f>IF(A95="","",N(D95)*N(E95))</f>
        <v/>
      </c>
      <c r="K95" s="49">
        <f>IF(A95="","",IF(F95="","",IF(N(E95)&lt;=F95,"Reorder","OK")))</f>
        <v/>
      </c>
    </row>
    <row r="96">
      <c r="A96" s="38" t="n"/>
      <c r="B96" s="38" t="n"/>
      <c r="C96" s="38" t="n"/>
      <c r="D96" s="48" t="n"/>
      <c r="E96" s="57" t="n"/>
      <c r="F96" s="57" t="n"/>
      <c r="G96" s="38" t="n"/>
      <c r="H96" s="47" t="n"/>
      <c r="I96" s="38" t="n"/>
      <c r="J96" s="55">
        <f>IF(A96="","",N(D96)*N(E96))</f>
        <v/>
      </c>
      <c r="K96" s="49">
        <f>IF(A96="","",IF(F96="","",IF(N(E96)&lt;=F96,"Reorder","OK")))</f>
        <v/>
      </c>
    </row>
    <row r="97">
      <c r="A97" s="38" t="n"/>
      <c r="B97" s="38" t="n"/>
      <c r="C97" s="38" t="n"/>
      <c r="D97" s="48" t="n"/>
      <c r="E97" s="57" t="n"/>
      <c r="F97" s="57" t="n"/>
      <c r="G97" s="38" t="n"/>
      <c r="H97" s="47" t="n"/>
      <c r="I97" s="38" t="n"/>
      <c r="J97" s="55">
        <f>IF(A97="","",N(D97)*N(E97))</f>
        <v/>
      </c>
      <c r="K97" s="49">
        <f>IF(A97="","",IF(F97="","",IF(N(E97)&lt;=F97,"Reorder","OK")))</f>
        <v/>
      </c>
    </row>
    <row r="98">
      <c r="A98" s="38" t="n"/>
      <c r="B98" s="38" t="n"/>
      <c r="C98" s="38" t="n"/>
      <c r="D98" s="48" t="n"/>
      <c r="E98" s="57" t="n"/>
      <c r="F98" s="57" t="n"/>
      <c r="G98" s="38" t="n"/>
      <c r="H98" s="47" t="n"/>
      <c r="I98" s="38" t="n"/>
      <c r="J98" s="55">
        <f>IF(A98="","",N(D98)*N(E98))</f>
        <v/>
      </c>
      <c r="K98" s="49">
        <f>IF(A98="","",IF(F98="","",IF(N(E98)&lt;=F98,"Reorder","OK")))</f>
        <v/>
      </c>
    </row>
    <row r="99">
      <c r="A99" s="38" t="n"/>
      <c r="B99" s="38" t="n"/>
      <c r="C99" s="38" t="n"/>
      <c r="D99" s="48" t="n"/>
      <c r="E99" s="57" t="n"/>
      <c r="F99" s="57" t="n"/>
      <c r="G99" s="38" t="n"/>
      <c r="H99" s="47" t="n"/>
      <c r="I99" s="38" t="n"/>
      <c r="J99" s="55">
        <f>IF(A99="","",N(D99)*N(E99))</f>
        <v/>
      </c>
      <c r="K99" s="49">
        <f>IF(A99="","",IF(F99="","",IF(N(E99)&lt;=F99,"Reorder","OK")))</f>
        <v/>
      </c>
    </row>
    <row r="100">
      <c r="A100" s="38" t="n"/>
      <c r="B100" s="38" t="n"/>
      <c r="C100" s="38" t="n"/>
      <c r="D100" s="48" t="n"/>
      <c r="E100" s="57" t="n"/>
      <c r="F100" s="57" t="n"/>
      <c r="G100" s="38" t="n"/>
      <c r="H100" s="47" t="n"/>
      <c r="I100" s="38" t="n"/>
      <c r="J100" s="55">
        <f>IF(A100="","",N(D100)*N(E100))</f>
        <v/>
      </c>
      <c r="K100" s="49">
        <f>IF(A100="","",IF(F100="","",IF(N(E100)&lt;=F100,"Reorder","OK")))</f>
        <v/>
      </c>
    </row>
    <row r="101">
      <c r="A101" s="38" t="n"/>
      <c r="B101" s="38" t="n"/>
      <c r="C101" s="38" t="n"/>
      <c r="D101" s="48" t="n"/>
      <c r="E101" s="57" t="n"/>
      <c r="F101" s="57" t="n"/>
      <c r="G101" s="38" t="n"/>
      <c r="H101" s="47" t="n"/>
      <c r="I101" s="38" t="n"/>
      <c r="J101" s="55">
        <f>IF(A101="","",N(D101)*N(E101))</f>
        <v/>
      </c>
      <c r="K101" s="49">
        <f>IF(A101="","",IF(F101="","",IF(N(E101)&lt;=F101,"Reorder","OK")))</f>
        <v/>
      </c>
    </row>
    <row r="102">
      <c r="A102" s="38" t="n"/>
      <c r="B102" s="38" t="n"/>
      <c r="C102" s="38" t="n"/>
      <c r="D102" s="48" t="n"/>
      <c r="E102" s="57" t="n"/>
      <c r="F102" s="57" t="n"/>
      <c r="G102" s="38" t="n"/>
      <c r="H102" s="47" t="n"/>
      <c r="I102" s="38" t="n"/>
      <c r="J102" s="55">
        <f>IF(A102="","",N(D102)*N(E102))</f>
        <v/>
      </c>
      <c r="K102" s="49">
        <f>IF(A102="","",IF(F102="","",IF(N(E102)&lt;=F102,"Reorder","OK")))</f>
        <v/>
      </c>
    </row>
    <row r="103">
      <c r="A103" s="38" t="n"/>
      <c r="B103" s="38" t="n"/>
      <c r="C103" s="38" t="n"/>
      <c r="D103" s="48" t="n"/>
      <c r="E103" s="57" t="n"/>
      <c r="F103" s="57" t="n"/>
      <c r="G103" s="38" t="n"/>
      <c r="H103" s="47" t="n"/>
      <c r="I103" s="38" t="n"/>
      <c r="J103" s="55">
        <f>IF(A103="","",N(D103)*N(E103))</f>
        <v/>
      </c>
      <c r="K103" s="49">
        <f>IF(A103="","",IF(F103="","",IF(N(E103)&lt;=F103,"Reorder","OK")))</f>
        <v/>
      </c>
    </row>
    <row r="104">
      <c r="A104" s="38" t="n"/>
      <c r="B104" s="38" t="n"/>
      <c r="C104" s="38" t="n"/>
      <c r="D104" s="48" t="n"/>
      <c r="E104" s="57" t="n"/>
      <c r="F104" s="57" t="n"/>
      <c r="G104" s="38" t="n"/>
      <c r="H104" s="47" t="n"/>
      <c r="I104" s="38" t="n"/>
      <c r="J104" s="55">
        <f>IF(A104="","",N(D104)*N(E104))</f>
        <v/>
      </c>
      <c r="K104" s="49">
        <f>IF(A104="","",IF(F104="","",IF(N(E104)&lt;=F104,"Reorder","OK")))</f>
        <v/>
      </c>
    </row>
  </sheetData>
  <autoFilter ref="A4:K104"/>
  <mergeCells count="2">
    <mergeCell ref="A2:K2"/>
    <mergeCell ref="A1:K1"/>
  </mergeCells>
  <conditionalFormatting sqref="K5:K104">
    <cfRule type="expression" priority="1" dxfId="0">
      <formula>K5="Reorder"</formula>
    </cfRule>
    <cfRule type="expression" priority="2" dxfId="3">
      <formula>K5="OK"</formula>
    </cfRule>
  </conditionalFormatting>
  <dataValidations count="1">
    <dataValidation sqref="B5:B104" showDropDown="0" showInputMessage="0" showErrorMessage="0" allowBlank="1" type="list">
      <formula1>='SETTINGS'!$W$5:$W$24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7.xml><?xml version="1.0" encoding="utf-8"?>
<worksheet xmlns="http://schemas.openxmlformats.org/spreadsheetml/2006/main">
  <sheetPr>
    <tabColor rgb="00E08E2B"/>
    <outlinePr summaryBelow="1" summaryRight="1"/>
    <pageSetUpPr fitToPage="1"/>
  </sheetPr>
  <dimension ref="A1:K324"/>
  <sheetViews>
    <sheetView showGridLines="0" workbookViewId="0">
      <selection pane="bottomLeft" activeCell="A1" sqref="A1"/>
    </sheetView>
  </sheetViews>
  <sheetFormatPr baseColWidth="8" defaultRowHeight="15"/>
  <cols>
    <col width="13" customWidth="1" min="1" max="1"/>
    <col width="20" customWidth="1" min="2" max="2"/>
    <col width="13" customWidth="1" min="3" max="3"/>
    <col width="13" customWidth="1" min="4" max="4"/>
    <col width="13" customWidth="1" min="5" max="5"/>
    <col width="24" customWidth="1" min="6" max="6"/>
    <col width="13" customWidth="1" min="7" max="7"/>
    <col width="30" customWidth="1" min="8" max="8"/>
    <col width="13" customWidth="1" min="9" max="9"/>
  </cols>
  <sheetData>
    <row r="1" ht="34" customHeight="1">
      <c r="A1" s="42" t="inlineStr">
        <is>
          <t>FOLLOW-UPS</t>
        </is>
      </c>
      <c r="B1" s="1" t="n"/>
      <c r="C1" s="1" t="n"/>
      <c r="D1" s="1" t="n"/>
      <c r="E1" s="1" t="n"/>
      <c r="F1" s="1" t="n"/>
      <c r="G1" s="1" t="n"/>
      <c r="H1" s="1" t="n"/>
      <c r="I1" s="1" t="n"/>
    </row>
    <row r="2" ht="30" customHeight="1">
      <c r="A2" s="43" t="inlineStr">
        <is>
          <t>Top: automatic lists of leads to chase and unpaid jobs. Bottom: your own follow-up log for anything else (reviews, reactivation, complaints). Pick an AI workflow to draft the message.</t>
        </is>
      </c>
    </row>
    <row r="3" ht="18" customHeight="1">
      <c r="A3" s="24" t="inlineStr">
        <is>
          <t>← Start Here</t>
        </is>
      </c>
      <c r="B3" s="24" t="inlineStr">
        <is>
          <t>Dashboard →</t>
        </is>
      </c>
    </row>
    <row r="4">
      <c r="A4" s="5" t="inlineStr">
        <is>
          <t>LEADS TO FOLLOW UP  (soonest first, open leads only)</t>
        </is>
      </c>
      <c r="B4" s="6" t="n"/>
      <c r="C4" s="6" t="n"/>
      <c r="D4" s="6" t="n"/>
      <c r="E4" s="6" t="n"/>
      <c r="G4" s="5" t="inlineStr">
        <is>
          <t>UNPAID COMPLETED JOBS  (oldest first)</t>
        </is>
      </c>
      <c r="H4" s="6" t="n"/>
      <c r="I4" s="6" t="n"/>
      <c r="J4" s="6" t="n"/>
      <c r="K4" s="6" t="n"/>
    </row>
    <row r="5">
      <c r="A5" s="13" t="inlineStr">
        <is>
          <t>#</t>
        </is>
      </c>
      <c r="B5" s="13" t="inlineStr">
        <is>
          <t>Lead</t>
        </is>
      </c>
      <c r="C5" s="13" t="inlineStr">
        <is>
          <t>Stage</t>
        </is>
      </c>
      <c r="D5" s="13" t="inlineStr">
        <is>
          <t>Next Follow-Up</t>
        </is>
      </c>
      <c r="E5" s="13" t="inlineStr">
        <is>
          <t>Status</t>
        </is>
      </c>
      <c r="G5" s="13" t="inlineStr">
        <is>
          <t>#</t>
        </is>
      </c>
      <c r="H5" s="13" t="inlineStr">
        <is>
          <t>Job ID</t>
        </is>
      </c>
      <c r="I5" s="13" t="inlineStr">
        <is>
          <t>Customer</t>
        </is>
      </c>
      <c r="J5" s="13" t="inlineStr">
        <is>
          <t>Job Date</t>
        </is>
      </c>
      <c r="K5" s="13" t="inlineStr">
        <is>
          <t>Balance Due</t>
        </is>
      </c>
    </row>
    <row r="6">
      <c r="A6" s="114" t="n">
        <v>1</v>
      </c>
      <c r="B6" s="38">
        <f>IFERROR(INDEX('LEADS'!$C$5:$C$504,MATCH($A6,'LEADS'!$U$5:$U$504,0)),"")</f>
        <v/>
      </c>
      <c r="C6" s="38">
        <f>IFERROR(INDEX('LEADS'!$J$5:$J$504,MATCH($A6,'LEADS'!$U$5:$U$504,0)),"")</f>
        <v/>
      </c>
      <c r="D6" s="47">
        <f>IFERROR(INDEX('LEADS'!$L$5:$L$504,MATCH($A6,'LEADS'!$U$5:$U$504,0)),"")</f>
        <v/>
      </c>
      <c r="E6" s="38">
        <f>IFERROR(INDEX('LEADS'!$P$5:$P$504,MATCH($A6,'LEADS'!$U$5:$U$504,0)),"")</f>
        <v/>
      </c>
      <c r="G6" s="114" t="n">
        <v>1</v>
      </c>
      <c r="H6" s="38">
        <f>IFERROR(INDEX('JOBS'!$A$5:$A$1504,MATCH($G6,'JOBS'!$AL$5:$AL$1504,0)),"")</f>
        <v/>
      </c>
      <c r="I6" s="38">
        <f>IFERROR(INDEX('JOBS'!$D$5:$D$1504,MATCH($G6,'JOBS'!$AL$5:$AL$1504,0)),"")</f>
        <v/>
      </c>
      <c r="J6" s="47">
        <f>IFERROR(INDEX('JOBS'!$B$5:$B$1504,MATCH($G6,'JOBS'!$AL$5:$AL$1504,0)),"")</f>
        <v/>
      </c>
      <c r="K6" s="48">
        <f>IFERROR(INDEX('JOBS'!$U$5:$U$1504,MATCH($G6,'JOBS'!$AL$5:$AL$1504,0)),"")</f>
        <v/>
      </c>
    </row>
    <row r="7">
      <c r="A7" s="114" t="n">
        <v>2</v>
      </c>
      <c r="B7" s="38">
        <f>IFERROR(INDEX('LEADS'!$C$5:$C$504,MATCH($A7,'LEADS'!$U$5:$U$504,0)),"")</f>
        <v/>
      </c>
      <c r="C7" s="38">
        <f>IFERROR(INDEX('LEADS'!$J$5:$J$504,MATCH($A7,'LEADS'!$U$5:$U$504,0)),"")</f>
        <v/>
      </c>
      <c r="D7" s="47">
        <f>IFERROR(INDEX('LEADS'!$L$5:$L$504,MATCH($A7,'LEADS'!$U$5:$U$504,0)),"")</f>
        <v/>
      </c>
      <c r="E7" s="38">
        <f>IFERROR(INDEX('LEADS'!$P$5:$P$504,MATCH($A7,'LEADS'!$U$5:$U$504,0)),"")</f>
        <v/>
      </c>
      <c r="G7" s="114" t="n">
        <v>2</v>
      </c>
      <c r="H7" s="38">
        <f>IFERROR(INDEX('JOBS'!$A$5:$A$1504,MATCH($G7,'JOBS'!$AL$5:$AL$1504,0)),"")</f>
        <v/>
      </c>
      <c r="I7" s="38">
        <f>IFERROR(INDEX('JOBS'!$D$5:$D$1504,MATCH($G7,'JOBS'!$AL$5:$AL$1504,0)),"")</f>
        <v/>
      </c>
      <c r="J7" s="47">
        <f>IFERROR(INDEX('JOBS'!$B$5:$B$1504,MATCH($G7,'JOBS'!$AL$5:$AL$1504,0)),"")</f>
        <v/>
      </c>
      <c r="K7" s="48">
        <f>IFERROR(INDEX('JOBS'!$U$5:$U$1504,MATCH($G7,'JOBS'!$AL$5:$AL$1504,0)),"")</f>
        <v/>
      </c>
    </row>
    <row r="8">
      <c r="A8" s="114" t="n">
        <v>3</v>
      </c>
      <c r="B8" s="38">
        <f>IFERROR(INDEX('LEADS'!$C$5:$C$504,MATCH($A8,'LEADS'!$U$5:$U$504,0)),"")</f>
        <v/>
      </c>
      <c r="C8" s="38">
        <f>IFERROR(INDEX('LEADS'!$J$5:$J$504,MATCH($A8,'LEADS'!$U$5:$U$504,0)),"")</f>
        <v/>
      </c>
      <c r="D8" s="47">
        <f>IFERROR(INDEX('LEADS'!$L$5:$L$504,MATCH($A8,'LEADS'!$U$5:$U$504,0)),"")</f>
        <v/>
      </c>
      <c r="E8" s="38">
        <f>IFERROR(INDEX('LEADS'!$P$5:$P$504,MATCH($A8,'LEADS'!$U$5:$U$504,0)),"")</f>
        <v/>
      </c>
      <c r="G8" s="114" t="n">
        <v>3</v>
      </c>
      <c r="H8" s="38">
        <f>IFERROR(INDEX('JOBS'!$A$5:$A$1504,MATCH($G8,'JOBS'!$AL$5:$AL$1504,0)),"")</f>
        <v/>
      </c>
      <c r="I8" s="38">
        <f>IFERROR(INDEX('JOBS'!$D$5:$D$1504,MATCH($G8,'JOBS'!$AL$5:$AL$1504,0)),"")</f>
        <v/>
      </c>
      <c r="J8" s="47">
        <f>IFERROR(INDEX('JOBS'!$B$5:$B$1504,MATCH($G8,'JOBS'!$AL$5:$AL$1504,0)),"")</f>
        <v/>
      </c>
      <c r="K8" s="48">
        <f>IFERROR(INDEX('JOBS'!$U$5:$U$1504,MATCH($G8,'JOBS'!$AL$5:$AL$1504,0)),"")</f>
        <v/>
      </c>
    </row>
    <row r="9">
      <c r="A9" s="114" t="n">
        <v>4</v>
      </c>
      <c r="B9" s="38">
        <f>IFERROR(INDEX('LEADS'!$C$5:$C$504,MATCH($A9,'LEADS'!$U$5:$U$504,0)),"")</f>
        <v/>
      </c>
      <c r="C9" s="38">
        <f>IFERROR(INDEX('LEADS'!$J$5:$J$504,MATCH($A9,'LEADS'!$U$5:$U$504,0)),"")</f>
        <v/>
      </c>
      <c r="D9" s="47">
        <f>IFERROR(INDEX('LEADS'!$L$5:$L$504,MATCH($A9,'LEADS'!$U$5:$U$504,0)),"")</f>
        <v/>
      </c>
      <c r="E9" s="38">
        <f>IFERROR(INDEX('LEADS'!$P$5:$P$504,MATCH($A9,'LEADS'!$U$5:$U$504,0)),"")</f>
        <v/>
      </c>
      <c r="G9" s="114" t="n">
        <v>4</v>
      </c>
      <c r="H9" s="38">
        <f>IFERROR(INDEX('JOBS'!$A$5:$A$1504,MATCH($G9,'JOBS'!$AL$5:$AL$1504,0)),"")</f>
        <v/>
      </c>
      <c r="I9" s="38">
        <f>IFERROR(INDEX('JOBS'!$D$5:$D$1504,MATCH($G9,'JOBS'!$AL$5:$AL$1504,0)),"")</f>
        <v/>
      </c>
      <c r="J9" s="47">
        <f>IFERROR(INDEX('JOBS'!$B$5:$B$1504,MATCH($G9,'JOBS'!$AL$5:$AL$1504,0)),"")</f>
        <v/>
      </c>
      <c r="K9" s="48">
        <f>IFERROR(INDEX('JOBS'!$U$5:$U$1504,MATCH($G9,'JOBS'!$AL$5:$AL$1504,0)),"")</f>
        <v/>
      </c>
    </row>
    <row r="10">
      <c r="A10" s="114" t="n">
        <v>5</v>
      </c>
      <c r="B10" s="38">
        <f>IFERROR(INDEX('LEADS'!$C$5:$C$504,MATCH($A10,'LEADS'!$U$5:$U$504,0)),"")</f>
        <v/>
      </c>
      <c r="C10" s="38">
        <f>IFERROR(INDEX('LEADS'!$J$5:$J$504,MATCH($A10,'LEADS'!$U$5:$U$504,0)),"")</f>
        <v/>
      </c>
      <c r="D10" s="47">
        <f>IFERROR(INDEX('LEADS'!$L$5:$L$504,MATCH($A10,'LEADS'!$U$5:$U$504,0)),"")</f>
        <v/>
      </c>
      <c r="E10" s="38">
        <f>IFERROR(INDEX('LEADS'!$P$5:$P$504,MATCH($A10,'LEADS'!$U$5:$U$504,0)),"")</f>
        <v/>
      </c>
      <c r="G10" s="114" t="n">
        <v>5</v>
      </c>
      <c r="H10" s="38">
        <f>IFERROR(INDEX('JOBS'!$A$5:$A$1504,MATCH($G10,'JOBS'!$AL$5:$AL$1504,0)),"")</f>
        <v/>
      </c>
      <c r="I10" s="38">
        <f>IFERROR(INDEX('JOBS'!$D$5:$D$1504,MATCH($G10,'JOBS'!$AL$5:$AL$1504,0)),"")</f>
        <v/>
      </c>
      <c r="J10" s="47">
        <f>IFERROR(INDEX('JOBS'!$B$5:$B$1504,MATCH($G10,'JOBS'!$AL$5:$AL$1504,0)),"")</f>
        <v/>
      </c>
      <c r="K10" s="48">
        <f>IFERROR(INDEX('JOBS'!$U$5:$U$1504,MATCH($G10,'JOBS'!$AL$5:$AL$1504,0)),"")</f>
        <v/>
      </c>
    </row>
    <row r="11">
      <c r="A11" s="114" t="n">
        <v>6</v>
      </c>
      <c r="B11" s="38">
        <f>IFERROR(INDEX('LEADS'!$C$5:$C$504,MATCH($A11,'LEADS'!$U$5:$U$504,0)),"")</f>
        <v/>
      </c>
      <c r="C11" s="38">
        <f>IFERROR(INDEX('LEADS'!$J$5:$J$504,MATCH($A11,'LEADS'!$U$5:$U$504,0)),"")</f>
        <v/>
      </c>
      <c r="D11" s="47">
        <f>IFERROR(INDEX('LEADS'!$L$5:$L$504,MATCH($A11,'LEADS'!$U$5:$U$504,0)),"")</f>
        <v/>
      </c>
      <c r="E11" s="38">
        <f>IFERROR(INDEX('LEADS'!$P$5:$P$504,MATCH($A11,'LEADS'!$U$5:$U$504,0)),"")</f>
        <v/>
      </c>
      <c r="G11" s="114" t="n">
        <v>6</v>
      </c>
      <c r="H11" s="38">
        <f>IFERROR(INDEX('JOBS'!$A$5:$A$1504,MATCH($G11,'JOBS'!$AL$5:$AL$1504,0)),"")</f>
        <v/>
      </c>
      <c r="I11" s="38">
        <f>IFERROR(INDEX('JOBS'!$D$5:$D$1504,MATCH($G11,'JOBS'!$AL$5:$AL$1504,0)),"")</f>
        <v/>
      </c>
      <c r="J11" s="47">
        <f>IFERROR(INDEX('JOBS'!$B$5:$B$1504,MATCH($G11,'JOBS'!$AL$5:$AL$1504,0)),"")</f>
        <v/>
      </c>
      <c r="K11" s="48">
        <f>IFERROR(INDEX('JOBS'!$U$5:$U$1504,MATCH($G11,'JOBS'!$AL$5:$AL$1504,0)),"")</f>
        <v/>
      </c>
    </row>
    <row r="12">
      <c r="A12" s="114" t="n">
        <v>7</v>
      </c>
      <c r="B12" s="38">
        <f>IFERROR(INDEX('LEADS'!$C$5:$C$504,MATCH($A12,'LEADS'!$U$5:$U$504,0)),"")</f>
        <v/>
      </c>
      <c r="C12" s="38">
        <f>IFERROR(INDEX('LEADS'!$J$5:$J$504,MATCH($A12,'LEADS'!$U$5:$U$504,0)),"")</f>
        <v/>
      </c>
      <c r="D12" s="47">
        <f>IFERROR(INDEX('LEADS'!$L$5:$L$504,MATCH($A12,'LEADS'!$U$5:$U$504,0)),"")</f>
        <v/>
      </c>
      <c r="E12" s="38">
        <f>IFERROR(INDEX('LEADS'!$P$5:$P$504,MATCH($A12,'LEADS'!$U$5:$U$504,0)),"")</f>
        <v/>
      </c>
      <c r="G12" s="114" t="n">
        <v>7</v>
      </c>
      <c r="H12" s="38">
        <f>IFERROR(INDEX('JOBS'!$A$5:$A$1504,MATCH($G12,'JOBS'!$AL$5:$AL$1504,0)),"")</f>
        <v/>
      </c>
      <c r="I12" s="38">
        <f>IFERROR(INDEX('JOBS'!$D$5:$D$1504,MATCH($G12,'JOBS'!$AL$5:$AL$1504,0)),"")</f>
        <v/>
      </c>
      <c r="J12" s="47">
        <f>IFERROR(INDEX('JOBS'!$B$5:$B$1504,MATCH($G12,'JOBS'!$AL$5:$AL$1504,0)),"")</f>
        <v/>
      </c>
      <c r="K12" s="48">
        <f>IFERROR(INDEX('JOBS'!$U$5:$U$1504,MATCH($G12,'JOBS'!$AL$5:$AL$1504,0)),"")</f>
        <v/>
      </c>
    </row>
    <row r="13">
      <c r="A13" s="114" t="n">
        <v>8</v>
      </c>
      <c r="B13" s="38">
        <f>IFERROR(INDEX('LEADS'!$C$5:$C$504,MATCH($A13,'LEADS'!$U$5:$U$504,0)),"")</f>
        <v/>
      </c>
      <c r="C13" s="38">
        <f>IFERROR(INDEX('LEADS'!$J$5:$J$504,MATCH($A13,'LEADS'!$U$5:$U$504,0)),"")</f>
        <v/>
      </c>
      <c r="D13" s="47">
        <f>IFERROR(INDEX('LEADS'!$L$5:$L$504,MATCH($A13,'LEADS'!$U$5:$U$504,0)),"")</f>
        <v/>
      </c>
      <c r="E13" s="38">
        <f>IFERROR(INDEX('LEADS'!$P$5:$P$504,MATCH($A13,'LEADS'!$U$5:$U$504,0)),"")</f>
        <v/>
      </c>
      <c r="G13" s="114" t="n">
        <v>8</v>
      </c>
      <c r="H13" s="38">
        <f>IFERROR(INDEX('JOBS'!$A$5:$A$1504,MATCH($G13,'JOBS'!$AL$5:$AL$1504,0)),"")</f>
        <v/>
      </c>
      <c r="I13" s="38">
        <f>IFERROR(INDEX('JOBS'!$D$5:$D$1504,MATCH($G13,'JOBS'!$AL$5:$AL$1504,0)),"")</f>
        <v/>
      </c>
      <c r="J13" s="47">
        <f>IFERROR(INDEX('JOBS'!$B$5:$B$1504,MATCH($G13,'JOBS'!$AL$5:$AL$1504,0)),"")</f>
        <v/>
      </c>
      <c r="K13" s="48">
        <f>IFERROR(INDEX('JOBS'!$U$5:$U$1504,MATCH($G13,'JOBS'!$AL$5:$AL$1504,0)),"")</f>
        <v/>
      </c>
    </row>
    <row r="14">
      <c r="A14" s="114" t="n">
        <v>9</v>
      </c>
      <c r="B14" s="38">
        <f>IFERROR(INDEX('LEADS'!$C$5:$C$504,MATCH($A14,'LEADS'!$U$5:$U$504,0)),"")</f>
        <v/>
      </c>
      <c r="C14" s="38">
        <f>IFERROR(INDEX('LEADS'!$J$5:$J$504,MATCH($A14,'LEADS'!$U$5:$U$504,0)),"")</f>
        <v/>
      </c>
      <c r="D14" s="47">
        <f>IFERROR(INDEX('LEADS'!$L$5:$L$504,MATCH($A14,'LEADS'!$U$5:$U$504,0)),"")</f>
        <v/>
      </c>
      <c r="E14" s="38">
        <f>IFERROR(INDEX('LEADS'!$P$5:$P$504,MATCH($A14,'LEADS'!$U$5:$U$504,0)),"")</f>
        <v/>
      </c>
      <c r="G14" s="114" t="n">
        <v>9</v>
      </c>
      <c r="H14" s="38">
        <f>IFERROR(INDEX('JOBS'!$A$5:$A$1504,MATCH($G14,'JOBS'!$AL$5:$AL$1504,0)),"")</f>
        <v/>
      </c>
      <c r="I14" s="38">
        <f>IFERROR(INDEX('JOBS'!$D$5:$D$1504,MATCH($G14,'JOBS'!$AL$5:$AL$1504,0)),"")</f>
        <v/>
      </c>
      <c r="J14" s="47">
        <f>IFERROR(INDEX('JOBS'!$B$5:$B$1504,MATCH($G14,'JOBS'!$AL$5:$AL$1504,0)),"")</f>
        <v/>
      </c>
      <c r="K14" s="48">
        <f>IFERROR(INDEX('JOBS'!$U$5:$U$1504,MATCH($G14,'JOBS'!$AL$5:$AL$1504,0)),"")</f>
        <v/>
      </c>
    </row>
    <row r="15">
      <c r="A15" s="114" t="n">
        <v>10</v>
      </c>
      <c r="B15" s="38">
        <f>IFERROR(INDEX('LEADS'!$C$5:$C$504,MATCH($A15,'LEADS'!$U$5:$U$504,0)),"")</f>
        <v/>
      </c>
      <c r="C15" s="38">
        <f>IFERROR(INDEX('LEADS'!$J$5:$J$504,MATCH($A15,'LEADS'!$U$5:$U$504,0)),"")</f>
        <v/>
      </c>
      <c r="D15" s="47">
        <f>IFERROR(INDEX('LEADS'!$L$5:$L$504,MATCH($A15,'LEADS'!$U$5:$U$504,0)),"")</f>
        <v/>
      </c>
      <c r="E15" s="38">
        <f>IFERROR(INDEX('LEADS'!$P$5:$P$504,MATCH($A15,'LEADS'!$U$5:$U$504,0)),"")</f>
        <v/>
      </c>
      <c r="G15" s="114" t="n">
        <v>10</v>
      </c>
      <c r="H15" s="38">
        <f>IFERROR(INDEX('JOBS'!$A$5:$A$1504,MATCH($G15,'JOBS'!$AL$5:$AL$1504,0)),"")</f>
        <v/>
      </c>
      <c r="I15" s="38">
        <f>IFERROR(INDEX('JOBS'!$D$5:$D$1504,MATCH($G15,'JOBS'!$AL$5:$AL$1504,0)),"")</f>
        <v/>
      </c>
      <c r="J15" s="47">
        <f>IFERROR(INDEX('JOBS'!$B$5:$B$1504,MATCH($G15,'JOBS'!$AL$5:$AL$1504,0)),"")</f>
        <v/>
      </c>
      <c r="K15" s="48">
        <f>IFERROR(INDEX('JOBS'!$U$5:$U$1504,MATCH($G15,'JOBS'!$AL$5:$AL$1504,0)),"")</f>
        <v/>
      </c>
    </row>
    <row r="16">
      <c r="A16" s="114" t="n">
        <v>11</v>
      </c>
      <c r="B16" s="38">
        <f>IFERROR(INDEX('LEADS'!$C$5:$C$504,MATCH($A16,'LEADS'!$U$5:$U$504,0)),"")</f>
        <v/>
      </c>
      <c r="C16" s="38">
        <f>IFERROR(INDEX('LEADS'!$J$5:$J$504,MATCH($A16,'LEADS'!$U$5:$U$504,0)),"")</f>
        <v/>
      </c>
      <c r="D16" s="47">
        <f>IFERROR(INDEX('LEADS'!$L$5:$L$504,MATCH($A16,'LEADS'!$U$5:$U$504,0)),"")</f>
        <v/>
      </c>
      <c r="E16" s="38">
        <f>IFERROR(INDEX('LEADS'!$P$5:$P$504,MATCH($A16,'LEADS'!$U$5:$U$504,0)),"")</f>
        <v/>
      </c>
      <c r="G16" s="114" t="n">
        <v>11</v>
      </c>
      <c r="H16" s="38">
        <f>IFERROR(INDEX('JOBS'!$A$5:$A$1504,MATCH($G16,'JOBS'!$AL$5:$AL$1504,0)),"")</f>
        <v/>
      </c>
      <c r="I16" s="38">
        <f>IFERROR(INDEX('JOBS'!$D$5:$D$1504,MATCH($G16,'JOBS'!$AL$5:$AL$1504,0)),"")</f>
        <v/>
      </c>
      <c r="J16" s="47">
        <f>IFERROR(INDEX('JOBS'!$B$5:$B$1504,MATCH($G16,'JOBS'!$AL$5:$AL$1504,0)),"")</f>
        <v/>
      </c>
      <c r="K16" s="48">
        <f>IFERROR(INDEX('JOBS'!$U$5:$U$1504,MATCH($G16,'JOBS'!$AL$5:$AL$1504,0)),"")</f>
        <v/>
      </c>
    </row>
    <row r="17">
      <c r="A17" s="114" t="n">
        <v>12</v>
      </c>
      <c r="B17" s="38">
        <f>IFERROR(INDEX('LEADS'!$C$5:$C$504,MATCH($A17,'LEADS'!$U$5:$U$504,0)),"")</f>
        <v/>
      </c>
      <c r="C17" s="38">
        <f>IFERROR(INDEX('LEADS'!$J$5:$J$504,MATCH($A17,'LEADS'!$U$5:$U$504,0)),"")</f>
        <v/>
      </c>
      <c r="D17" s="47">
        <f>IFERROR(INDEX('LEADS'!$L$5:$L$504,MATCH($A17,'LEADS'!$U$5:$U$504,0)),"")</f>
        <v/>
      </c>
      <c r="E17" s="38">
        <f>IFERROR(INDEX('LEADS'!$P$5:$P$504,MATCH($A17,'LEADS'!$U$5:$U$504,0)),"")</f>
        <v/>
      </c>
      <c r="G17" s="114" t="n">
        <v>12</v>
      </c>
      <c r="H17" s="38">
        <f>IFERROR(INDEX('JOBS'!$A$5:$A$1504,MATCH($G17,'JOBS'!$AL$5:$AL$1504,0)),"")</f>
        <v/>
      </c>
      <c r="I17" s="38">
        <f>IFERROR(INDEX('JOBS'!$D$5:$D$1504,MATCH($G17,'JOBS'!$AL$5:$AL$1504,0)),"")</f>
        <v/>
      </c>
      <c r="J17" s="47">
        <f>IFERROR(INDEX('JOBS'!$B$5:$B$1504,MATCH($G17,'JOBS'!$AL$5:$AL$1504,0)),"")</f>
        <v/>
      </c>
      <c r="K17" s="48">
        <f>IFERROR(INDEX('JOBS'!$U$5:$U$1504,MATCH($G17,'JOBS'!$AL$5:$AL$1504,0)),"")</f>
        <v/>
      </c>
    </row>
    <row r="18">
      <c r="A18" s="114" t="n">
        <v>13</v>
      </c>
      <c r="B18" s="38">
        <f>IFERROR(INDEX('LEADS'!$C$5:$C$504,MATCH($A18,'LEADS'!$U$5:$U$504,0)),"")</f>
        <v/>
      </c>
      <c r="C18" s="38">
        <f>IFERROR(INDEX('LEADS'!$J$5:$J$504,MATCH($A18,'LEADS'!$U$5:$U$504,0)),"")</f>
        <v/>
      </c>
      <c r="D18" s="47">
        <f>IFERROR(INDEX('LEADS'!$L$5:$L$504,MATCH($A18,'LEADS'!$U$5:$U$504,0)),"")</f>
        <v/>
      </c>
      <c r="E18" s="38">
        <f>IFERROR(INDEX('LEADS'!$P$5:$P$504,MATCH($A18,'LEADS'!$U$5:$U$504,0)),"")</f>
        <v/>
      </c>
      <c r="G18" s="114" t="n">
        <v>13</v>
      </c>
      <c r="H18" s="38">
        <f>IFERROR(INDEX('JOBS'!$A$5:$A$1504,MATCH($G18,'JOBS'!$AL$5:$AL$1504,0)),"")</f>
        <v/>
      </c>
      <c r="I18" s="38">
        <f>IFERROR(INDEX('JOBS'!$D$5:$D$1504,MATCH($G18,'JOBS'!$AL$5:$AL$1504,0)),"")</f>
        <v/>
      </c>
      <c r="J18" s="47">
        <f>IFERROR(INDEX('JOBS'!$B$5:$B$1504,MATCH($G18,'JOBS'!$AL$5:$AL$1504,0)),"")</f>
        <v/>
      </c>
      <c r="K18" s="48">
        <f>IFERROR(INDEX('JOBS'!$U$5:$U$1504,MATCH($G18,'JOBS'!$AL$5:$AL$1504,0)),"")</f>
        <v/>
      </c>
    </row>
    <row r="19">
      <c r="A19" s="114" t="n">
        <v>14</v>
      </c>
      <c r="B19" s="38">
        <f>IFERROR(INDEX('LEADS'!$C$5:$C$504,MATCH($A19,'LEADS'!$U$5:$U$504,0)),"")</f>
        <v/>
      </c>
      <c r="C19" s="38">
        <f>IFERROR(INDEX('LEADS'!$J$5:$J$504,MATCH($A19,'LEADS'!$U$5:$U$504,0)),"")</f>
        <v/>
      </c>
      <c r="D19" s="47">
        <f>IFERROR(INDEX('LEADS'!$L$5:$L$504,MATCH($A19,'LEADS'!$U$5:$U$504,0)),"")</f>
        <v/>
      </c>
      <c r="E19" s="38">
        <f>IFERROR(INDEX('LEADS'!$P$5:$P$504,MATCH($A19,'LEADS'!$U$5:$U$504,0)),"")</f>
        <v/>
      </c>
      <c r="G19" s="114" t="n">
        <v>14</v>
      </c>
      <c r="H19" s="38">
        <f>IFERROR(INDEX('JOBS'!$A$5:$A$1504,MATCH($G19,'JOBS'!$AL$5:$AL$1504,0)),"")</f>
        <v/>
      </c>
      <c r="I19" s="38">
        <f>IFERROR(INDEX('JOBS'!$D$5:$D$1504,MATCH($G19,'JOBS'!$AL$5:$AL$1504,0)),"")</f>
        <v/>
      </c>
      <c r="J19" s="47">
        <f>IFERROR(INDEX('JOBS'!$B$5:$B$1504,MATCH($G19,'JOBS'!$AL$5:$AL$1504,0)),"")</f>
        <v/>
      </c>
      <c r="K19" s="48">
        <f>IFERROR(INDEX('JOBS'!$U$5:$U$1504,MATCH($G19,'JOBS'!$AL$5:$AL$1504,0)),"")</f>
        <v/>
      </c>
    </row>
    <row r="20">
      <c r="A20" s="114" t="n">
        <v>15</v>
      </c>
      <c r="B20" s="38">
        <f>IFERROR(INDEX('LEADS'!$C$5:$C$504,MATCH($A20,'LEADS'!$U$5:$U$504,0)),"")</f>
        <v/>
      </c>
      <c r="C20" s="38">
        <f>IFERROR(INDEX('LEADS'!$J$5:$J$504,MATCH($A20,'LEADS'!$U$5:$U$504,0)),"")</f>
        <v/>
      </c>
      <c r="D20" s="47">
        <f>IFERROR(INDEX('LEADS'!$L$5:$L$504,MATCH($A20,'LEADS'!$U$5:$U$504,0)),"")</f>
        <v/>
      </c>
      <c r="E20" s="38">
        <f>IFERROR(INDEX('LEADS'!$P$5:$P$504,MATCH($A20,'LEADS'!$U$5:$U$504,0)),"")</f>
        <v/>
      </c>
      <c r="G20" s="114" t="n">
        <v>15</v>
      </c>
      <c r="H20" s="38">
        <f>IFERROR(INDEX('JOBS'!$A$5:$A$1504,MATCH($G20,'JOBS'!$AL$5:$AL$1504,0)),"")</f>
        <v/>
      </c>
      <c r="I20" s="38">
        <f>IFERROR(INDEX('JOBS'!$D$5:$D$1504,MATCH($G20,'JOBS'!$AL$5:$AL$1504,0)),"")</f>
        <v/>
      </c>
      <c r="J20" s="47">
        <f>IFERROR(INDEX('JOBS'!$B$5:$B$1504,MATCH($G20,'JOBS'!$AL$5:$AL$1504,0)),"")</f>
        <v/>
      </c>
      <c r="K20" s="48">
        <f>IFERROR(INDEX('JOBS'!$U$5:$U$1504,MATCH($G20,'JOBS'!$AL$5:$AL$1504,0)),"")</f>
        <v/>
      </c>
    </row>
    <row r="22">
      <c r="A22" s="115" t="inlineStr">
        <is>
          <t>YOUR FOLLOW-UP LOG</t>
        </is>
      </c>
    </row>
    <row r="23">
      <c r="A23" s="41" t="inlineStr">
        <is>
          <t>Log any follow-up here. The Due Flag turns red when it is overdue. Mark Status 'Done' when finished.</t>
        </is>
      </c>
    </row>
    <row r="24" ht="42" customHeight="1">
      <c r="A24" s="44" t="inlineStr">
        <is>
          <t>Due Date</t>
        </is>
      </c>
      <c r="B24" s="44" t="inlineStr">
        <is>
          <t>Contact Name</t>
        </is>
      </c>
      <c r="C24" s="44" t="inlineStr">
        <is>
          <t>Type</t>
        </is>
      </c>
      <c r="D24" s="44" t="inlineStr">
        <is>
          <t>Related ID</t>
        </is>
      </c>
      <c r="E24" s="44" t="inlineStr">
        <is>
          <t>Channel</t>
        </is>
      </c>
      <c r="F24" s="44" t="inlineStr">
        <is>
          <t>AI Workflow to Use</t>
        </is>
      </c>
      <c r="G24" s="44" t="inlineStr">
        <is>
          <t>Status</t>
        </is>
      </c>
      <c r="H24" s="44" t="inlineStr">
        <is>
          <t>Notes / Outcome</t>
        </is>
      </c>
      <c r="I24" s="45" t="inlineStr">
        <is>
          <t>Due Flag ⚙</t>
        </is>
      </c>
    </row>
    <row r="25">
      <c r="A25" s="47" t="n">
        <v>46294</v>
      </c>
      <c r="B25" s="38" t="inlineStr">
        <is>
          <t>Parker Lockhart</t>
        </is>
      </c>
      <c r="C25" s="38" t="inlineStr">
        <is>
          <t>Invoice</t>
        </is>
      </c>
      <c r="D25" s="38" t="inlineStr">
        <is>
          <t>J-0273</t>
        </is>
      </c>
      <c r="E25" s="38" t="inlineStr">
        <is>
          <t>Text</t>
        </is>
      </c>
      <c r="F25" s="38" t="inlineStr">
        <is>
          <t>03 Quote follow-up</t>
        </is>
      </c>
      <c r="G25" s="38" t="inlineStr">
        <is>
          <t>Open</t>
        </is>
      </c>
      <c r="H25" s="38" t="inlineStr">
        <is>
          <t>Send friendly payment reminder</t>
        </is>
      </c>
      <c r="I25" s="49">
        <f>IF(A25="","",IF(G25&lt;&gt;"Open","—",IF(A25&lt;AsOf,"Overdue",IF(A25=AsOf,"Due today","Upcoming"))))</f>
        <v/>
      </c>
    </row>
    <row r="26">
      <c r="A26" s="47" t="n">
        <v>46294</v>
      </c>
      <c r="B26" s="38" t="inlineStr">
        <is>
          <t>Harbor Yoga Loft (sample)</t>
        </is>
      </c>
      <c r="C26" s="38" t="inlineStr">
        <is>
          <t>Invoice</t>
        </is>
      </c>
      <c r="D26" s="38" t="inlineStr">
        <is>
          <t>J-0275</t>
        </is>
      </c>
      <c r="E26" s="38" t="inlineStr">
        <is>
          <t>Text</t>
        </is>
      </c>
      <c r="F26" s="38" t="inlineStr">
        <is>
          <t>03 Quote follow-up</t>
        </is>
      </c>
      <c r="G26" s="38" t="inlineStr">
        <is>
          <t>Open</t>
        </is>
      </c>
      <c r="H26" s="38" t="inlineStr">
        <is>
          <t>Send friendly payment reminder</t>
        </is>
      </c>
      <c r="I26" s="49">
        <f>IF(A26="","",IF(G26&lt;&gt;"Open","—",IF(A26&lt;AsOf,"Overdue",IF(A26=AsOf,"Due today","Upcoming"))))</f>
        <v/>
      </c>
    </row>
    <row r="27">
      <c r="A27" s="47" t="n">
        <v>46295</v>
      </c>
      <c r="B27" s="38" t="inlineStr">
        <is>
          <t>Wren Delgado</t>
        </is>
      </c>
      <c r="C27" s="38" t="inlineStr">
        <is>
          <t>Reactivation</t>
        </is>
      </c>
      <c r="D27" s="38" t="inlineStr"/>
      <c r="E27" s="38" t="inlineStr">
        <is>
          <t>Email</t>
        </is>
      </c>
      <c r="F27" s="38" t="inlineStr">
        <is>
          <t>10 Reactivation</t>
        </is>
      </c>
      <c r="G27" s="38" t="inlineStr">
        <is>
          <t>Open</t>
        </is>
      </c>
      <c r="H27" s="38" t="inlineStr"/>
      <c r="I27" s="49">
        <f>IF(A27="","",IF(G27&lt;&gt;"Open","—",IF(A27&lt;AsOf,"Overdue",IF(A27=AsOf,"Due today","Upcoming"))))</f>
        <v/>
      </c>
    </row>
    <row r="28">
      <c r="A28" s="47" t="n">
        <v>46297</v>
      </c>
      <c r="B28" s="38" t="inlineStr">
        <is>
          <t>Dana Collins</t>
        </is>
      </c>
      <c r="C28" s="38" t="inlineStr">
        <is>
          <t>Referral</t>
        </is>
      </c>
      <c r="D28" s="38" t="inlineStr"/>
      <c r="E28" s="38" t="inlineStr">
        <is>
          <t>Text</t>
        </is>
      </c>
      <c r="F28" s="38" t="inlineStr">
        <is>
          <t>09 Referral request</t>
        </is>
      </c>
      <c r="G28" s="38" t="inlineStr">
        <is>
          <t>Open</t>
        </is>
      </c>
      <c r="H28" s="38" t="inlineStr">
        <is>
          <t>Loves the service — ask for a referral</t>
        </is>
      </c>
      <c r="I28" s="49">
        <f>IF(A28="","",IF(G28&lt;&gt;"Open","—",IF(A28&lt;AsOf,"Overdue",IF(A28=AsOf,"Due today","Upcoming"))))</f>
        <v/>
      </c>
    </row>
    <row r="29">
      <c r="A29" s="47" t="n">
        <v>46289</v>
      </c>
      <c r="B29" s="38" t="inlineStr">
        <is>
          <t>Devon Hayes</t>
        </is>
      </c>
      <c r="C29" s="38" t="inlineStr">
        <is>
          <t>Review</t>
        </is>
      </c>
      <c r="D29" s="38" t="inlineStr"/>
      <c r="E29" s="38" t="inlineStr">
        <is>
          <t>Text</t>
        </is>
      </c>
      <c r="F29" s="38" t="inlineStr">
        <is>
          <t>07 Review request</t>
        </is>
      </c>
      <c r="G29" s="38" t="inlineStr">
        <is>
          <t>Done</t>
        </is>
      </c>
      <c r="H29" s="38" t="inlineStr">
        <is>
          <t>Left 5 stars</t>
        </is>
      </c>
      <c r="I29" s="49">
        <f>IF(A29="","",IF(G29&lt;&gt;"Open","—",IF(A29&lt;AsOf,"Overdue",IF(A29=AsOf,"Due today","Upcoming"))))</f>
        <v/>
      </c>
    </row>
    <row r="30">
      <c r="A30" s="47" t="n">
        <v>46300</v>
      </c>
      <c r="B30" s="38" t="inlineStr">
        <is>
          <t>Oakview Office Suites (sample)</t>
        </is>
      </c>
      <c r="C30" s="38" t="inlineStr">
        <is>
          <t>Other</t>
        </is>
      </c>
      <c r="D30" s="38" t="inlineStr"/>
      <c r="E30" s="38" t="inlineStr">
        <is>
          <t>Email</t>
        </is>
      </c>
      <c r="F30" s="38" t="inlineStr">
        <is>
          <t>15 Commercial proposal</t>
        </is>
      </c>
      <c r="G30" s="38" t="inlineStr">
        <is>
          <t>Open</t>
        </is>
      </c>
      <c r="H30" s="38" t="inlineStr">
        <is>
          <t>Propose adding window service</t>
        </is>
      </c>
      <c r="I30" s="49">
        <f>IF(A30="","",IF(G30&lt;&gt;"Open","—",IF(A30&lt;AsOf,"Overdue",IF(A30=AsOf,"Due today","Upcoming"))))</f>
        <v/>
      </c>
    </row>
    <row r="31">
      <c r="A31" s="47" t="n">
        <v>46292</v>
      </c>
      <c r="B31" s="38" t="inlineStr">
        <is>
          <t>Noel Collins</t>
        </is>
      </c>
      <c r="C31" s="38" t="inlineStr">
        <is>
          <t>Complaint</t>
        </is>
      </c>
      <c r="D31" s="38" t="inlineStr">
        <is>
          <t>J-0214</t>
        </is>
      </c>
      <c r="E31" s="38" t="inlineStr">
        <is>
          <t>Call</t>
        </is>
      </c>
      <c r="F31" s="38" t="inlineStr">
        <is>
          <t>17 Complaint response</t>
        </is>
      </c>
      <c r="G31" s="38" t="inlineStr">
        <is>
          <t>Open</t>
        </is>
      </c>
      <c r="H31" s="38" t="inlineStr">
        <is>
          <t>Billing question — call back</t>
        </is>
      </c>
      <c r="I31" s="49">
        <f>IF(A31="","",IF(G31&lt;&gt;"Open","—",IF(A31&lt;AsOf,"Overdue",IF(A31=AsOf,"Due today","Upcoming"))))</f>
        <v/>
      </c>
    </row>
    <row r="32">
      <c r="A32" s="47" t="n">
        <v>46280</v>
      </c>
      <c r="B32" s="38" t="inlineStr">
        <is>
          <t>Taylor Quigley</t>
        </is>
      </c>
      <c r="C32" s="38" t="inlineStr">
        <is>
          <t>Quote</t>
        </is>
      </c>
      <c r="D32" s="38" t="inlineStr"/>
      <c r="E32" s="38" t="inlineStr">
        <is>
          <t>Text</t>
        </is>
      </c>
      <c r="F32" s="38" t="inlineStr">
        <is>
          <t>03 Quote follow-up</t>
        </is>
      </c>
      <c r="G32" s="38" t="inlineStr">
        <is>
          <t>Skipped</t>
        </is>
      </c>
      <c r="H32" s="38" t="inlineStr">
        <is>
          <t>Customer said not this season</t>
        </is>
      </c>
      <c r="I32" s="49">
        <f>IF(A32="","",IF(G32&lt;&gt;"Open","—",IF(A32&lt;AsOf,"Overdue",IF(A32=AsOf,"Due today","Upcoming"))))</f>
        <v/>
      </c>
    </row>
    <row r="33">
      <c r="A33" s="47" t="n"/>
      <c r="B33" s="38" t="n"/>
      <c r="C33" s="38" t="n"/>
      <c r="D33" s="38" t="n"/>
      <c r="E33" s="38" t="n"/>
      <c r="F33" s="38" t="n"/>
      <c r="G33" s="38" t="n"/>
      <c r="H33" s="38" t="n"/>
      <c r="I33" s="49">
        <f>IF(A33="","",IF(G33&lt;&gt;"Open","—",IF(A33&lt;AsOf,"Overdue",IF(A33=AsOf,"Due today","Upcoming"))))</f>
        <v/>
      </c>
    </row>
    <row r="34">
      <c r="A34" s="47" t="n"/>
      <c r="B34" s="38" t="n"/>
      <c r="C34" s="38" t="n"/>
      <c r="D34" s="38" t="n"/>
      <c r="E34" s="38" t="n"/>
      <c r="F34" s="38" t="n"/>
      <c r="G34" s="38" t="n"/>
      <c r="H34" s="38" t="n"/>
      <c r="I34" s="49">
        <f>IF(A34="","",IF(G34&lt;&gt;"Open","—",IF(A34&lt;AsOf,"Overdue",IF(A34=AsOf,"Due today","Upcoming"))))</f>
        <v/>
      </c>
    </row>
    <row r="35">
      <c r="A35" s="47" t="n"/>
      <c r="B35" s="38" t="n"/>
      <c r="C35" s="38" t="n"/>
      <c r="D35" s="38" t="n"/>
      <c r="E35" s="38" t="n"/>
      <c r="F35" s="38" t="n"/>
      <c r="G35" s="38" t="n"/>
      <c r="H35" s="38" t="n"/>
      <c r="I35" s="49">
        <f>IF(A35="","",IF(G35&lt;&gt;"Open","—",IF(A35&lt;AsOf,"Overdue",IF(A35=AsOf,"Due today","Upcoming"))))</f>
        <v/>
      </c>
    </row>
    <row r="36">
      <c r="A36" s="47" t="n"/>
      <c r="B36" s="38" t="n"/>
      <c r="C36" s="38" t="n"/>
      <c r="D36" s="38" t="n"/>
      <c r="E36" s="38" t="n"/>
      <c r="F36" s="38" t="n"/>
      <c r="G36" s="38" t="n"/>
      <c r="H36" s="38" t="n"/>
      <c r="I36" s="49">
        <f>IF(A36="","",IF(G36&lt;&gt;"Open","—",IF(A36&lt;AsOf,"Overdue",IF(A36=AsOf,"Due today","Upcoming"))))</f>
        <v/>
      </c>
    </row>
    <row r="37">
      <c r="A37" s="47" t="n"/>
      <c r="B37" s="38" t="n"/>
      <c r="C37" s="38" t="n"/>
      <c r="D37" s="38" t="n"/>
      <c r="E37" s="38" t="n"/>
      <c r="F37" s="38" t="n"/>
      <c r="G37" s="38" t="n"/>
      <c r="H37" s="38" t="n"/>
      <c r="I37" s="49">
        <f>IF(A37="","",IF(G37&lt;&gt;"Open","—",IF(A37&lt;AsOf,"Overdue",IF(A37=AsOf,"Due today","Upcoming"))))</f>
        <v/>
      </c>
    </row>
    <row r="38">
      <c r="A38" s="47" t="n"/>
      <c r="B38" s="38" t="n"/>
      <c r="C38" s="38" t="n"/>
      <c r="D38" s="38" t="n"/>
      <c r="E38" s="38" t="n"/>
      <c r="F38" s="38" t="n"/>
      <c r="G38" s="38" t="n"/>
      <c r="H38" s="38" t="n"/>
      <c r="I38" s="49">
        <f>IF(A38="","",IF(G38&lt;&gt;"Open","—",IF(A38&lt;AsOf,"Overdue",IF(A38=AsOf,"Due today","Upcoming"))))</f>
        <v/>
      </c>
    </row>
    <row r="39">
      <c r="A39" s="47" t="n"/>
      <c r="B39" s="38" t="n"/>
      <c r="C39" s="38" t="n"/>
      <c r="D39" s="38" t="n"/>
      <c r="E39" s="38" t="n"/>
      <c r="F39" s="38" t="n"/>
      <c r="G39" s="38" t="n"/>
      <c r="H39" s="38" t="n"/>
      <c r="I39" s="49">
        <f>IF(A39="","",IF(G39&lt;&gt;"Open","—",IF(A39&lt;AsOf,"Overdue",IF(A39=AsOf,"Due today","Upcoming"))))</f>
        <v/>
      </c>
    </row>
    <row r="40">
      <c r="A40" s="47" t="n"/>
      <c r="B40" s="38" t="n"/>
      <c r="C40" s="38" t="n"/>
      <c r="D40" s="38" t="n"/>
      <c r="E40" s="38" t="n"/>
      <c r="F40" s="38" t="n"/>
      <c r="G40" s="38" t="n"/>
      <c r="H40" s="38" t="n"/>
      <c r="I40" s="49">
        <f>IF(A40="","",IF(G40&lt;&gt;"Open","—",IF(A40&lt;AsOf,"Overdue",IF(A40=AsOf,"Due today","Upcoming"))))</f>
        <v/>
      </c>
    </row>
    <row r="41">
      <c r="A41" s="47" t="n"/>
      <c r="B41" s="38" t="n"/>
      <c r="C41" s="38" t="n"/>
      <c r="D41" s="38" t="n"/>
      <c r="E41" s="38" t="n"/>
      <c r="F41" s="38" t="n"/>
      <c r="G41" s="38" t="n"/>
      <c r="H41" s="38" t="n"/>
      <c r="I41" s="49">
        <f>IF(A41="","",IF(G41&lt;&gt;"Open","—",IF(A41&lt;AsOf,"Overdue",IF(A41=AsOf,"Due today","Upcoming"))))</f>
        <v/>
      </c>
    </row>
    <row r="42">
      <c r="A42" s="47" t="n"/>
      <c r="B42" s="38" t="n"/>
      <c r="C42" s="38" t="n"/>
      <c r="D42" s="38" t="n"/>
      <c r="E42" s="38" t="n"/>
      <c r="F42" s="38" t="n"/>
      <c r="G42" s="38" t="n"/>
      <c r="H42" s="38" t="n"/>
      <c r="I42" s="49">
        <f>IF(A42="","",IF(G42&lt;&gt;"Open","—",IF(A42&lt;AsOf,"Overdue",IF(A42=AsOf,"Due today","Upcoming"))))</f>
        <v/>
      </c>
    </row>
    <row r="43">
      <c r="A43" s="47" t="n"/>
      <c r="B43" s="38" t="n"/>
      <c r="C43" s="38" t="n"/>
      <c r="D43" s="38" t="n"/>
      <c r="E43" s="38" t="n"/>
      <c r="F43" s="38" t="n"/>
      <c r="G43" s="38" t="n"/>
      <c r="H43" s="38" t="n"/>
      <c r="I43" s="49">
        <f>IF(A43="","",IF(G43&lt;&gt;"Open","—",IF(A43&lt;AsOf,"Overdue",IF(A43=AsOf,"Due today","Upcoming"))))</f>
        <v/>
      </c>
    </row>
    <row r="44">
      <c r="A44" s="47" t="n"/>
      <c r="B44" s="38" t="n"/>
      <c r="C44" s="38" t="n"/>
      <c r="D44" s="38" t="n"/>
      <c r="E44" s="38" t="n"/>
      <c r="F44" s="38" t="n"/>
      <c r="G44" s="38" t="n"/>
      <c r="H44" s="38" t="n"/>
      <c r="I44" s="49">
        <f>IF(A44="","",IF(G44&lt;&gt;"Open","—",IF(A44&lt;AsOf,"Overdue",IF(A44=AsOf,"Due today","Upcoming"))))</f>
        <v/>
      </c>
    </row>
    <row r="45">
      <c r="A45" s="47" t="n"/>
      <c r="B45" s="38" t="n"/>
      <c r="C45" s="38" t="n"/>
      <c r="D45" s="38" t="n"/>
      <c r="E45" s="38" t="n"/>
      <c r="F45" s="38" t="n"/>
      <c r="G45" s="38" t="n"/>
      <c r="H45" s="38" t="n"/>
      <c r="I45" s="49">
        <f>IF(A45="","",IF(G45&lt;&gt;"Open","—",IF(A45&lt;AsOf,"Overdue",IF(A45=AsOf,"Due today","Upcoming"))))</f>
        <v/>
      </c>
    </row>
    <row r="46">
      <c r="A46" s="47" t="n"/>
      <c r="B46" s="38" t="n"/>
      <c r="C46" s="38" t="n"/>
      <c r="D46" s="38" t="n"/>
      <c r="E46" s="38" t="n"/>
      <c r="F46" s="38" t="n"/>
      <c r="G46" s="38" t="n"/>
      <c r="H46" s="38" t="n"/>
      <c r="I46" s="49">
        <f>IF(A46="","",IF(G46&lt;&gt;"Open","—",IF(A46&lt;AsOf,"Overdue",IF(A46=AsOf,"Due today","Upcoming"))))</f>
        <v/>
      </c>
    </row>
    <row r="47">
      <c r="A47" s="47" t="n"/>
      <c r="B47" s="38" t="n"/>
      <c r="C47" s="38" t="n"/>
      <c r="D47" s="38" t="n"/>
      <c r="E47" s="38" t="n"/>
      <c r="F47" s="38" t="n"/>
      <c r="G47" s="38" t="n"/>
      <c r="H47" s="38" t="n"/>
      <c r="I47" s="49">
        <f>IF(A47="","",IF(G47&lt;&gt;"Open","—",IF(A47&lt;AsOf,"Overdue",IF(A47=AsOf,"Due today","Upcoming"))))</f>
        <v/>
      </c>
    </row>
    <row r="48">
      <c r="A48" s="47" t="n"/>
      <c r="B48" s="38" t="n"/>
      <c r="C48" s="38" t="n"/>
      <c r="D48" s="38" t="n"/>
      <c r="E48" s="38" t="n"/>
      <c r="F48" s="38" t="n"/>
      <c r="G48" s="38" t="n"/>
      <c r="H48" s="38" t="n"/>
      <c r="I48" s="49">
        <f>IF(A48="","",IF(G48&lt;&gt;"Open","—",IF(A48&lt;AsOf,"Overdue",IF(A48=AsOf,"Due today","Upcoming"))))</f>
        <v/>
      </c>
    </row>
    <row r="49">
      <c r="A49" s="47" t="n"/>
      <c r="B49" s="38" t="n"/>
      <c r="C49" s="38" t="n"/>
      <c r="D49" s="38" t="n"/>
      <c r="E49" s="38" t="n"/>
      <c r="F49" s="38" t="n"/>
      <c r="G49" s="38" t="n"/>
      <c r="H49" s="38" t="n"/>
      <c r="I49" s="49">
        <f>IF(A49="","",IF(G49&lt;&gt;"Open","—",IF(A49&lt;AsOf,"Overdue",IF(A49=AsOf,"Due today","Upcoming"))))</f>
        <v/>
      </c>
    </row>
    <row r="50">
      <c r="A50" s="47" t="n"/>
      <c r="B50" s="38" t="n"/>
      <c r="C50" s="38" t="n"/>
      <c r="D50" s="38" t="n"/>
      <c r="E50" s="38" t="n"/>
      <c r="F50" s="38" t="n"/>
      <c r="G50" s="38" t="n"/>
      <c r="H50" s="38" t="n"/>
      <c r="I50" s="49">
        <f>IF(A50="","",IF(G50&lt;&gt;"Open","—",IF(A50&lt;AsOf,"Overdue",IF(A50=AsOf,"Due today","Upcoming"))))</f>
        <v/>
      </c>
    </row>
    <row r="51">
      <c r="A51" s="47" t="n"/>
      <c r="B51" s="38" t="n"/>
      <c r="C51" s="38" t="n"/>
      <c r="D51" s="38" t="n"/>
      <c r="E51" s="38" t="n"/>
      <c r="F51" s="38" t="n"/>
      <c r="G51" s="38" t="n"/>
      <c r="H51" s="38" t="n"/>
      <c r="I51" s="49">
        <f>IF(A51="","",IF(G51&lt;&gt;"Open","—",IF(A51&lt;AsOf,"Overdue",IF(A51=AsOf,"Due today","Upcoming"))))</f>
        <v/>
      </c>
    </row>
    <row r="52">
      <c r="A52" s="47" t="n"/>
      <c r="B52" s="38" t="n"/>
      <c r="C52" s="38" t="n"/>
      <c r="D52" s="38" t="n"/>
      <c r="E52" s="38" t="n"/>
      <c r="F52" s="38" t="n"/>
      <c r="G52" s="38" t="n"/>
      <c r="H52" s="38" t="n"/>
      <c r="I52" s="49">
        <f>IF(A52="","",IF(G52&lt;&gt;"Open","—",IF(A52&lt;AsOf,"Overdue",IF(A52=AsOf,"Due today","Upcoming"))))</f>
        <v/>
      </c>
    </row>
    <row r="53">
      <c r="A53" s="47" t="n"/>
      <c r="B53" s="38" t="n"/>
      <c r="C53" s="38" t="n"/>
      <c r="D53" s="38" t="n"/>
      <c r="E53" s="38" t="n"/>
      <c r="F53" s="38" t="n"/>
      <c r="G53" s="38" t="n"/>
      <c r="H53" s="38" t="n"/>
      <c r="I53" s="49">
        <f>IF(A53="","",IF(G53&lt;&gt;"Open","—",IF(A53&lt;AsOf,"Overdue",IF(A53=AsOf,"Due today","Upcoming"))))</f>
        <v/>
      </c>
    </row>
    <row r="54">
      <c r="A54" s="47" t="n"/>
      <c r="B54" s="38" t="n"/>
      <c r="C54" s="38" t="n"/>
      <c r="D54" s="38" t="n"/>
      <c r="E54" s="38" t="n"/>
      <c r="F54" s="38" t="n"/>
      <c r="G54" s="38" t="n"/>
      <c r="H54" s="38" t="n"/>
      <c r="I54" s="49">
        <f>IF(A54="","",IF(G54&lt;&gt;"Open","—",IF(A54&lt;AsOf,"Overdue",IF(A54=AsOf,"Due today","Upcoming"))))</f>
        <v/>
      </c>
    </row>
    <row r="55">
      <c r="A55" s="47" t="n"/>
      <c r="B55" s="38" t="n"/>
      <c r="C55" s="38" t="n"/>
      <c r="D55" s="38" t="n"/>
      <c r="E55" s="38" t="n"/>
      <c r="F55" s="38" t="n"/>
      <c r="G55" s="38" t="n"/>
      <c r="H55" s="38" t="n"/>
      <c r="I55" s="49">
        <f>IF(A55="","",IF(G55&lt;&gt;"Open","—",IF(A55&lt;AsOf,"Overdue",IF(A55=AsOf,"Due today","Upcoming"))))</f>
        <v/>
      </c>
    </row>
    <row r="56">
      <c r="A56" s="47" t="n"/>
      <c r="B56" s="38" t="n"/>
      <c r="C56" s="38" t="n"/>
      <c r="D56" s="38" t="n"/>
      <c r="E56" s="38" t="n"/>
      <c r="F56" s="38" t="n"/>
      <c r="G56" s="38" t="n"/>
      <c r="H56" s="38" t="n"/>
      <c r="I56" s="49">
        <f>IF(A56="","",IF(G56&lt;&gt;"Open","—",IF(A56&lt;AsOf,"Overdue",IF(A56=AsOf,"Due today","Upcoming"))))</f>
        <v/>
      </c>
    </row>
    <row r="57">
      <c r="A57" s="47" t="n"/>
      <c r="B57" s="38" t="n"/>
      <c r="C57" s="38" t="n"/>
      <c r="D57" s="38" t="n"/>
      <c r="E57" s="38" t="n"/>
      <c r="F57" s="38" t="n"/>
      <c r="G57" s="38" t="n"/>
      <c r="H57" s="38" t="n"/>
      <c r="I57" s="49">
        <f>IF(A57="","",IF(G57&lt;&gt;"Open","—",IF(A57&lt;AsOf,"Overdue",IF(A57=AsOf,"Due today","Upcoming"))))</f>
        <v/>
      </c>
    </row>
    <row r="58">
      <c r="A58" s="47" t="n"/>
      <c r="B58" s="38" t="n"/>
      <c r="C58" s="38" t="n"/>
      <c r="D58" s="38" t="n"/>
      <c r="E58" s="38" t="n"/>
      <c r="F58" s="38" t="n"/>
      <c r="G58" s="38" t="n"/>
      <c r="H58" s="38" t="n"/>
      <c r="I58" s="49">
        <f>IF(A58="","",IF(G58&lt;&gt;"Open","—",IF(A58&lt;AsOf,"Overdue",IF(A58=AsOf,"Due today","Upcoming"))))</f>
        <v/>
      </c>
    </row>
    <row r="59">
      <c r="A59" s="47" t="n"/>
      <c r="B59" s="38" t="n"/>
      <c r="C59" s="38" t="n"/>
      <c r="D59" s="38" t="n"/>
      <c r="E59" s="38" t="n"/>
      <c r="F59" s="38" t="n"/>
      <c r="G59" s="38" t="n"/>
      <c r="H59" s="38" t="n"/>
      <c r="I59" s="49">
        <f>IF(A59="","",IF(G59&lt;&gt;"Open","—",IF(A59&lt;AsOf,"Overdue",IF(A59=AsOf,"Due today","Upcoming"))))</f>
        <v/>
      </c>
    </row>
    <row r="60">
      <c r="A60" s="47" t="n"/>
      <c r="B60" s="38" t="n"/>
      <c r="C60" s="38" t="n"/>
      <c r="D60" s="38" t="n"/>
      <c r="E60" s="38" t="n"/>
      <c r="F60" s="38" t="n"/>
      <c r="G60" s="38" t="n"/>
      <c r="H60" s="38" t="n"/>
      <c r="I60" s="49">
        <f>IF(A60="","",IF(G60&lt;&gt;"Open","—",IF(A60&lt;AsOf,"Overdue",IF(A60=AsOf,"Due today","Upcoming"))))</f>
        <v/>
      </c>
    </row>
    <row r="61">
      <c r="A61" s="47" t="n"/>
      <c r="B61" s="38" t="n"/>
      <c r="C61" s="38" t="n"/>
      <c r="D61" s="38" t="n"/>
      <c r="E61" s="38" t="n"/>
      <c r="F61" s="38" t="n"/>
      <c r="G61" s="38" t="n"/>
      <c r="H61" s="38" t="n"/>
      <c r="I61" s="49">
        <f>IF(A61="","",IF(G61&lt;&gt;"Open","—",IF(A61&lt;AsOf,"Overdue",IF(A61=AsOf,"Due today","Upcoming"))))</f>
        <v/>
      </c>
    </row>
    <row r="62">
      <c r="A62" s="47" t="n"/>
      <c r="B62" s="38" t="n"/>
      <c r="C62" s="38" t="n"/>
      <c r="D62" s="38" t="n"/>
      <c r="E62" s="38" t="n"/>
      <c r="F62" s="38" t="n"/>
      <c r="G62" s="38" t="n"/>
      <c r="H62" s="38" t="n"/>
      <c r="I62" s="49">
        <f>IF(A62="","",IF(G62&lt;&gt;"Open","—",IF(A62&lt;AsOf,"Overdue",IF(A62=AsOf,"Due today","Upcoming"))))</f>
        <v/>
      </c>
    </row>
    <row r="63">
      <c r="A63" s="47" t="n"/>
      <c r="B63" s="38" t="n"/>
      <c r="C63" s="38" t="n"/>
      <c r="D63" s="38" t="n"/>
      <c r="E63" s="38" t="n"/>
      <c r="F63" s="38" t="n"/>
      <c r="G63" s="38" t="n"/>
      <c r="H63" s="38" t="n"/>
      <c r="I63" s="49">
        <f>IF(A63="","",IF(G63&lt;&gt;"Open","—",IF(A63&lt;AsOf,"Overdue",IF(A63=AsOf,"Due today","Upcoming"))))</f>
        <v/>
      </c>
    </row>
    <row r="64">
      <c r="A64" s="47" t="n"/>
      <c r="B64" s="38" t="n"/>
      <c r="C64" s="38" t="n"/>
      <c r="D64" s="38" t="n"/>
      <c r="E64" s="38" t="n"/>
      <c r="F64" s="38" t="n"/>
      <c r="G64" s="38" t="n"/>
      <c r="H64" s="38" t="n"/>
      <c r="I64" s="49">
        <f>IF(A64="","",IF(G64&lt;&gt;"Open","—",IF(A64&lt;AsOf,"Overdue",IF(A64=AsOf,"Due today","Upcoming"))))</f>
        <v/>
      </c>
    </row>
    <row r="65">
      <c r="A65" s="47" t="n"/>
      <c r="B65" s="38" t="n"/>
      <c r="C65" s="38" t="n"/>
      <c r="D65" s="38" t="n"/>
      <c r="E65" s="38" t="n"/>
      <c r="F65" s="38" t="n"/>
      <c r="G65" s="38" t="n"/>
      <c r="H65" s="38" t="n"/>
      <c r="I65" s="49">
        <f>IF(A65="","",IF(G65&lt;&gt;"Open","—",IF(A65&lt;AsOf,"Overdue",IF(A65=AsOf,"Due today","Upcoming"))))</f>
        <v/>
      </c>
    </row>
    <row r="66">
      <c r="A66" s="47" t="n"/>
      <c r="B66" s="38" t="n"/>
      <c r="C66" s="38" t="n"/>
      <c r="D66" s="38" t="n"/>
      <c r="E66" s="38" t="n"/>
      <c r="F66" s="38" t="n"/>
      <c r="G66" s="38" t="n"/>
      <c r="H66" s="38" t="n"/>
      <c r="I66" s="49">
        <f>IF(A66="","",IF(G66&lt;&gt;"Open","—",IF(A66&lt;AsOf,"Overdue",IF(A66=AsOf,"Due today","Upcoming"))))</f>
        <v/>
      </c>
    </row>
    <row r="67">
      <c r="A67" s="47" t="n"/>
      <c r="B67" s="38" t="n"/>
      <c r="C67" s="38" t="n"/>
      <c r="D67" s="38" t="n"/>
      <c r="E67" s="38" t="n"/>
      <c r="F67" s="38" t="n"/>
      <c r="G67" s="38" t="n"/>
      <c r="H67" s="38" t="n"/>
      <c r="I67" s="49">
        <f>IF(A67="","",IF(G67&lt;&gt;"Open","—",IF(A67&lt;AsOf,"Overdue",IF(A67=AsOf,"Due today","Upcoming"))))</f>
        <v/>
      </c>
    </row>
    <row r="68">
      <c r="A68" s="47" t="n"/>
      <c r="B68" s="38" t="n"/>
      <c r="C68" s="38" t="n"/>
      <c r="D68" s="38" t="n"/>
      <c r="E68" s="38" t="n"/>
      <c r="F68" s="38" t="n"/>
      <c r="G68" s="38" t="n"/>
      <c r="H68" s="38" t="n"/>
      <c r="I68" s="49">
        <f>IF(A68="","",IF(G68&lt;&gt;"Open","—",IF(A68&lt;AsOf,"Overdue",IF(A68=AsOf,"Due today","Upcoming"))))</f>
        <v/>
      </c>
    </row>
    <row r="69">
      <c r="A69" s="47" t="n"/>
      <c r="B69" s="38" t="n"/>
      <c r="C69" s="38" t="n"/>
      <c r="D69" s="38" t="n"/>
      <c r="E69" s="38" t="n"/>
      <c r="F69" s="38" t="n"/>
      <c r="G69" s="38" t="n"/>
      <c r="H69" s="38" t="n"/>
      <c r="I69" s="49">
        <f>IF(A69="","",IF(G69&lt;&gt;"Open","—",IF(A69&lt;AsOf,"Overdue",IF(A69=AsOf,"Due today","Upcoming"))))</f>
        <v/>
      </c>
    </row>
    <row r="70">
      <c r="A70" s="47" t="n"/>
      <c r="B70" s="38" t="n"/>
      <c r="C70" s="38" t="n"/>
      <c r="D70" s="38" t="n"/>
      <c r="E70" s="38" t="n"/>
      <c r="F70" s="38" t="n"/>
      <c r="G70" s="38" t="n"/>
      <c r="H70" s="38" t="n"/>
      <c r="I70" s="49">
        <f>IF(A70="","",IF(G70&lt;&gt;"Open","—",IF(A70&lt;AsOf,"Overdue",IF(A70=AsOf,"Due today","Upcoming"))))</f>
        <v/>
      </c>
    </row>
    <row r="71">
      <c r="A71" s="47" t="n"/>
      <c r="B71" s="38" t="n"/>
      <c r="C71" s="38" t="n"/>
      <c r="D71" s="38" t="n"/>
      <c r="E71" s="38" t="n"/>
      <c r="F71" s="38" t="n"/>
      <c r="G71" s="38" t="n"/>
      <c r="H71" s="38" t="n"/>
      <c r="I71" s="49">
        <f>IF(A71="","",IF(G71&lt;&gt;"Open","—",IF(A71&lt;AsOf,"Overdue",IF(A71=AsOf,"Due today","Upcoming"))))</f>
        <v/>
      </c>
    </row>
    <row r="72">
      <c r="A72" s="47" t="n"/>
      <c r="B72" s="38" t="n"/>
      <c r="C72" s="38" t="n"/>
      <c r="D72" s="38" t="n"/>
      <c r="E72" s="38" t="n"/>
      <c r="F72" s="38" t="n"/>
      <c r="G72" s="38" t="n"/>
      <c r="H72" s="38" t="n"/>
      <c r="I72" s="49">
        <f>IF(A72="","",IF(G72&lt;&gt;"Open","—",IF(A72&lt;AsOf,"Overdue",IF(A72=AsOf,"Due today","Upcoming"))))</f>
        <v/>
      </c>
    </row>
    <row r="73">
      <c r="A73" s="47" t="n"/>
      <c r="B73" s="38" t="n"/>
      <c r="C73" s="38" t="n"/>
      <c r="D73" s="38" t="n"/>
      <c r="E73" s="38" t="n"/>
      <c r="F73" s="38" t="n"/>
      <c r="G73" s="38" t="n"/>
      <c r="H73" s="38" t="n"/>
      <c r="I73" s="49">
        <f>IF(A73="","",IF(G73&lt;&gt;"Open","—",IF(A73&lt;AsOf,"Overdue",IF(A73=AsOf,"Due today","Upcoming"))))</f>
        <v/>
      </c>
    </row>
    <row r="74">
      <c r="A74" s="47" t="n"/>
      <c r="B74" s="38" t="n"/>
      <c r="C74" s="38" t="n"/>
      <c r="D74" s="38" t="n"/>
      <c r="E74" s="38" t="n"/>
      <c r="F74" s="38" t="n"/>
      <c r="G74" s="38" t="n"/>
      <c r="H74" s="38" t="n"/>
      <c r="I74" s="49">
        <f>IF(A74="","",IF(G74&lt;&gt;"Open","—",IF(A74&lt;AsOf,"Overdue",IF(A74=AsOf,"Due today","Upcoming"))))</f>
        <v/>
      </c>
    </row>
    <row r="75">
      <c r="A75" s="47" t="n"/>
      <c r="B75" s="38" t="n"/>
      <c r="C75" s="38" t="n"/>
      <c r="D75" s="38" t="n"/>
      <c r="E75" s="38" t="n"/>
      <c r="F75" s="38" t="n"/>
      <c r="G75" s="38" t="n"/>
      <c r="H75" s="38" t="n"/>
      <c r="I75" s="49">
        <f>IF(A75="","",IF(G75&lt;&gt;"Open","—",IF(A75&lt;AsOf,"Overdue",IF(A75=AsOf,"Due today","Upcoming"))))</f>
        <v/>
      </c>
    </row>
    <row r="76">
      <c r="A76" s="47" t="n"/>
      <c r="B76" s="38" t="n"/>
      <c r="C76" s="38" t="n"/>
      <c r="D76" s="38" t="n"/>
      <c r="E76" s="38" t="n"/>
      <c r="F76" s="38" t="n"/>
      <c r="G76" s="38" t="n"/>
      <c r="H76" s="38" t="n"/>
      <c r="I76" s="49">
        <f>IF(A76="","",IF(G76&lt;&gt;"Open","—",IF(A76&lt;AsOf,"Overdue",IF(A76=AsOf,"Due today","Upcoming"))))</f>
        <v/>
      </c>
    </row>
    <row r="77">
      <c r="A77" s="47" t="n"/>
      <c r="B77" s="38" t="n"/>
      <c r="C77" s="38" t="n"/>
      <c r="D77" s="38" t="n"/>
      <c r="E77" s="38" t="n"/>
      <c r="F77" s="38" t="n"/>
      <c r="G77" s="38" t="n"/>
      <c r="H77" s="38" t="n"/>
      <c r="I77" s="49">
        <f>IF(A77="","",IF(G77&lt;&gt;"Open","—",IF(A77&lt;AsOf,"Overdue",IF(A77=AsOf,"Due today","Upcoming"))))</f>
        <v/>
      </c>
    </row>
    <row r="78">
      <c r="A78" s="47" t="n"/>
      <c r="B78" s="38" t="n"/>
      <c r="C78" s="38" t="n"/>
      <c r="D78" s="38" t="n"/>
      <c r="E78" s="38" t="n"/>
      <c r="F78" s="38" t="n"/>
      <c r="G78" s="38" t="n"/>
      <c r="H78" s="38" t="n"/>
      <c r="I78" s="49">
        <f>IF(A78="","",IF(G78&lt;&gt;"Open","—",IF(A78&lt;AsOf,"Overdue",IF(A78=AsOf,"Due today","Upcoming"))))</f>
        <v/>
      </c>
    </row>
    <row r="79">
      <c r="A79" s="47" t="n"/>
      <c r="B79" s="38" t="n"/>
      <c r="C79" s="38" t="n"/>
      <c r="D79" s="38" t="n"/>
      <c r="E79" s="38" t="n"/>
      <c r="F79" s="38" t="n"/>
      <c r="G79" s="38" t="n"/>
      <c r="H79" s="38" t="n"/>
      <c r="I79" s="49">
        <f>IF(A79="","",IF(G79&lt;&gt;"Open","—",IF(A79&lt;AsOf,"Overdue",IF(A79=AsOf,"Due today","Upcoming"))))</f>
        <v/>
      </c>
    </row>
    <row r="80">
      <c r="A80" s="47" t="n"/>
      <c r="B80" s="38" t="n"/>
      <c r="C80" s="38" t="n"/>
      <c r="D80" s="38" t="n"/>
      <c r="E80" s="38" t="n"/>
      <c r="F80" s="38" t="n"/>
      <c r="G80" s="38" t="n"/>
      <c r="H80" s="38" t="n"/>
      <c r="I80" s="49">
        <f>IF(A80="","",IF(G80&lt;&gt;"Open","—",IF(A80&lt;AsOf,"Overdue",IF(A80=AsOf,"Due today","Upcoming"))))</f>
        <v/>
      </c>
    </row>
    <row r="81">
      <c r="A81" s="47" t="n"/>
      <c r="B81" s="38" t="n"/>
      <c r="C81" s="38" t="n"/>
      <c r="D81" s="38" t="n"/>
      <c r="E81" s="38" t="n"/>
      <c r="F81" s="38" t="n"/>
      <c r="G81" s="38" t="n"/>
      <c r="H81" s="38" t="n"/>
      <c r="I81" s="49">
        <f>IF(A81="","",IF(G81&lt;&gt;"Open","—",IF(A81&lt;AsOf,"Overdue",IF(A81=AsOf,"Due today","Upcoming"))))</f>
        <v/>
      </c>
    </row>
    <row r="82">
      <c r="A82" s="47" t="n"/>
      <c r="B82" s="38" t="n"/>
      <c r="C82" s="38" t="n"/>
      <c r="D82" s="38" t="n"/>
      <c r="E82" s="38" t="n"/>
      <c r="F82" s="38" t="n"/>
      <c r="G82" s="38" t="n"/>
      <c r="H82" s="38" t="n"/>
      <c r="I82" s="49">
        <f>IF(A82="","",IF(G82&lt;&gt;"Open","—",IF(A82&lt;AsOf,"Overdue",IF(A82=AsOf,"Due today","Upcoming"))))</f>
        <v/>
      </c>
    </row>
    <row r="83">
      <c r="A83" s="47" t="n"/>
      <c r="B83" s="38" t="n"/>
      <c r="C83" s="38" t="n"/>
      <c r="D83" s="38" t="n"/>
      <c r="E83" s="38" t="n"/>
      <c r="F83" s="38" t="n"/>
      <c r="G83" s="38" t="n"/>
      <c r="H83" s="38" t="n"/>
      <c r="I83" s="49">
        <f>IF(A83="","",IF(G83&lt;&gt;"Open","—",IF(A83&lt;AsOf,"Overdue",IF(A83=AsOf,"Due today","Upcoming"))))</f>
        <v/>
      </c>
    </row>
    <row r="84">
      <c r="A84" s="47" t="n"/>
      <c r="B84" s="38" t="n"/>
      <c r="C84" s="38" t="n"/>
      <c r="D84" s="38" t="n"/>
      <c r="E84" s="38" t="n"/>
      <c r="F84" s="38" t="n"/>
      <c r="G84" s="38" t="n"/>
      <c r="H84" s="38" t="n"/>
      <c r="I84" s="49">
        <f>IF(A84="","",IF(G84&lt;&gt;"Open","—",IF(A84&lt;AsOf,"Overdue",IF(A84=AsOf,"Due today","Upcoming"))))</f>
        <v/>
      </c>
    </row>
    <row r="85">
      <c r="A85" s="47" t="n"/>
      <c r="B85" s="38" t="n"/>
      <c r="C85" s="38" t="n"/>
      <c r="D85" s="38" t="n"/>
      <c r="E85" s="38" t="n"/>
      <c r="F85" s="38" t="n"/>
      <c r="G85" s="38" t="n"/>
      <c r="H85" s="38" t="n"/>
      <c r="I85" s="49">
        <f>IF(A85="","",IF(G85&lt;&gt;"Open","—",IF(A85&lt;AsOf,"Overdue",IF(A85=AsOf,"Due today","Upcoming"))))</f>
        <v/>
      </c>
    </row>
    <row r="86">
      <c r="A86" s="47" t="n"/>
      <c r="B86" s="38" t="n"/>
      <c r="C86" s="38" t="n"/>
      <c r="D86" s="38" t="n"/>
      <c r="E86" s="38" t="n"/>
      <c r="F86" s="38" t="n"/>
      <c r="G86" s="38" t="n"/>
      <c r="H86" s="38" t="n"/>
      <c r="I86" s="49">
        <f>IF(A86="","",IF(G86&lt;&gt;"Open","—",IF(A86&lt;AsOf,"Overdue",IF(A86=AsOf,"Due today","Upcoming"))))</f>
        <v/>
      </c>
    </row>
    <row r="87">
      <c r="A87" s="47" t="n"/>
      <c r="B87" s="38" t="n"/>
      <c r="C87" s="38" t="n"/>
      <c r="D87" s="38" t="n"/>
      <c r="E87" s="38" t="n"/>
      <c r="F87" s="38" t="n"/>
      <c r="G87" s="38" t="n"/>
      <c r="H87" s="38" t="n"/>
      <c r="I87" s="49">
        <f>IF(A87="","",IF(G87&lt;&gt;"Open","—",IF(A87&lt;AsOf,"Overdue",IF(A87=AsOf,"Due today","Upcoming"))))</f>
        <v/>
      </c>
    </row>
    <row r="88">
      <c r="A88" s="47" t="n"/>
      <c r="B88" s="38" t="n"/>
      <c r="C88" s="38" t="n"/>
      <c r="D88" s="38" t="n"/>
      <c r="E88" s="38" t="n"/>
      <c r="F88" s="38" t="n"/>
      <c r="G88" s="38" t="n"/>
      <c r="H88" s="38" t="n"/>
      <c r="I88" s="49">
        <f>IF(A88="","",IF(G88&lt;&gt;"Open","—",IF(A88&lt;AsOf,"Overdue",IF(A88=AsOf,"Due today","Upcoming"))))</f>
        <v/>
      </c>
    </row>
    <row r="89">
      <c r="A89" s="47" t="n"/>
      <c r="B89" s="38" t="n"/>
      <c r="C89" s="38" t="n"/>
      <c r="D89" s="38" t="n"/>
      <c r="E89" s="38" t="n"/>
      <c r="F89" s="38" t="n"/>
      <c r="G89" s="38" t="n"/>
      <c r="H89" s="38" t="n"/>
      <c r="I89" s="49">
        <f>IF(A89="","",IF(G89&lt;&gt;"Open","—",IF(A89&lt;AsOf,"Overdue",IF(A89=AsOf,"Due today","Upcoming"))))</f>
        <v/>
      </c>
    </row>
    <row r="90">
      <c r="A90" s="47" t="n"/>
      <c r="B90" s="38" t="n"/>
      <c r="C90" s="38" t="n"/>
      <c r="D90" s="38" t="n"/>
      <c r="E90" s="38" t="n"/>
      <c r="F90" s="38" t="n"/>
      <c r="G90" s="38" t="n"/>
      <c r="H90" s="38" t="n"/>
      <c r="I90" s="49">
        <f>IF(A90="","",IF(G90&lt;&gt;"Open","—",IF(A90&lt;AsOf,"Overdue",IF(A90=AsOf,"Due today","Upcoming"))))</f>
        <v/>
      </c>
    </row>
    <row r="91">
      <c r="A91" s="47" t="n"/>
      <c r="B91" s="38" t="n"/>
      <c r="C91" s="38" t="n"/>
      <c r="D91" s="38" t="n"/>
      <c r="E91" s="38" t="n"/>
      <c r="F91" s="38" t="n"/>
      <c r="G91" s="38" t="n"/>
      <c r="H91" s="38" t="n"/>
      <c r="I91" s="49">
        <f>IF(A91="","",IF(G91&lt;&gt;"Open","—",IF(A91&lt;AsOf,"Overdue",IF(A91=AsOf,"Due today","Upcoming"))))</f>
        <v/>
      </c>
    </row>
    <row r="92">
      <c r="A92" s="47" t="n"/>
      <c r="B92" s="38" t="n"/>
      <c r="C92" s="38" t="n"/>
      <c r="D92" s="38" t="n"/>
      <c r="E92" s="38" t="n"/>
      <c r="F92" s="38" t="n"/>
      <c r="G92" s="38" t="n"/>
      <c r="H92" s="38" t="n"/>
      <c r="I92" s="49">
        <f>IF(A92="","",IF(G92&lt;&gt;"Open","—",IF(A92&lt;AsOf,"Overdue",IF(A92=AsOf,"Due today","Upcoming"))))</f>
        <v/>
      </c>
    </row>
    <row r="93">
      <c r="A93" s="47" t="n"/>
      <c r="B93" s="38" t="n"/>
      <c r="C93" s="38" t="n"/>
      <c r="D93" s="38" t="n"/>
      <c r="E93" s="38" t="n"/>
      <c r="F93" s="38" t="n"/>
      <c r="G93" s="38" t="n"/>
      <c r="H93" s="38" t="n"/>
      <c r="I93" s="49">
        <f>IF(A93="","",IF(G93&lt;&gt;"Open","—",IF(A93&lt;AsOf,"Overdue",IF(A93=AsOf,"Due today","Upcoming"))))</f>
        <v/>
      </c>
    </row>
    <row r="94">
      <c r="A94" s="47" t="n"/>
      <c r="B94" s="38" t="n"/>
      <c r="C94" s="38" t="n"/>
      <c r="D94" s="38" t="n"/>
      <c r="E94" s="38" t="n"/>
      <c r="F94" s="38" t="n"/>
      <c r="G94" s="38" t="n"/>
      <c r="H94" s="38" t="n"/>
      <c r="I94" s="49">
        <f>IF(A94="","",IF(G94&lt;&gt;"Open","—",IF(A94&lt;AsOf,"Overdue",IF(A94=AsOf,"Due today","Upcoming"))))</f>
        <v/>
      </c>
    </row>
    <row r="95">
      <c r="A95" s="47" t="n"/>
      <c r="B95" s="38" t="n"/>
      <c r="C95" s="38" t="n"/>
      <c r="D95" s="38" t="n"/>
      <c r="E95" s="38" t="n"/>
      <c r="F95" s="38" t="n"/>
      <c r="G95" s="38" t="n"/>
      <c r="H95" s="38" t="n"/>
      <c r="I95" s="49">
        <f>IF(A95="","",IF(G95&lt;&gt;"Open","—",IF(A95&lt;AsOf,"Overdue",IF(A95=AsOf,"Due today","Upcoming"))))</f>
        <v/>
      </c>
    </row>
    <row r="96">
      <c r="A96" s="47" t="n"/>
      <c r="B96" s="38" t="n"/>
      <c r="C96" s="38" t="n"/>
      <c r="D96" s="38" t="n"/>
      <c r="E96" s="38" t="n"/>
      <c r="F96" s="38" t="n"/>
      <c r="G96" s="38" t="n"/>
      <c r="H96" s="38" t="n"/>
      <c r="I96" s="49">
        <f>IF(A96="","",IF(G96&lt;&gt;"Open","—",IF(A96&lt;AsOf,"Overdue",IF(A96=AsOf,"Due today","Upcoming"))))</f>
        <v/>
      </c>
    </row>
    <row r="97">
      <c r="A97" s="47" t="n"/>
      <c r="B97" s="38" t="n"/>
      <c r="C97" s="38" t="n"/>
      <c r="D97" s="38" t="n"/>
      <c r="E97" s="38" t="n"/>
      <c r="F97" s="38" t="n"/>
      <c r="G97" s="38" t="n"/>
      <c r="H97" s="38" t="n"/>
      <c r="I97" s="49">
        <f>IF(A97="","",IF(G97&lt;&gt;"Open","—",IF(A97&lt;AsOf,"Overdue",IF(A97=AsOf,"Due today","Upcoming"))))</f>
        <v/>
      </c>
    </row>
    <row r="98">
      <c r="A98" s="47" t="n"/>
      <c r="B98" s="38" t="n"/>
      <c r="C98" s="38" t="n"/>
      <c r="D98" s="38" t="n"/>
      <c r="E98" s="38" t="n"/>
      <c r="F98" s="38" t="n"/>
      <c r="G98" s="38" t="n"/>
      <c r="H98" s="38" t="n"/>
      <c r="I98" s="49">
        <f>IF(A98="","",IF(G98&lt;&gt;"Open","—",IF(A98&lt;AsOf,"Overdue",IF(A98=AsOf,"Due today","Upcoming"))))</f>
        <v/>
      </c>
    </row>
    <row r="99">
      <c r="A99" s="47" t="n"/>
      <c r="B99" s="38" t="n"/>
      <c r="C99" s="38" t="n"/>
      <c r="D99" s="38" t="n"/>
      <c r="E99" s="38" t="n"/>
      <c r="F99" s="38" t="n"/>
      <c r="G99" s="38" t="n"/>
      <c r="H99" s="38" t="n"/>
      <c r="I99" s="49">
        <f>IF(A99="","",IF(G99&lt;&gt;"Open","—",IF(A99&lt;AsOf,"Overdue",IF(A99=AsOf,"Due today","Upcoming"))))</f>
        <v/>
      </c>
    </row>
    <row r="100">
      <c r="A100" s="47" t="n"/>
      <c r="B100" s="38" t="n"/>
      <c r="C100" s="38" t="n"/>
      <c r="D100" s="38" t="n"/>
      <c r="E100" s="38" t="n"/>
      <c r="F100" s="38" t="n"/>
      <c r="G100" s="38" t="n"/>
      <c r="H100" s="38" t="n"/>
      <c r="I100" s="49">
        <f>IF(A100="","",IF(G100&lt;&gt;"Open","—",IF(A100&lt;AsOf,"Overdue",IF(A100=AsOf,"Due today","Upcoming"))))</f>
        <v/>
      </c>
    </row>
    <row r="101">
      <c r="A101" s="47" t="n"/>
      <c r="B101" s="38" t="n"/>
      <c r="C101" s="38" t="n"/>
      <c r="D101" s="38" t="n"/>
      <c r="E101" s="38" t="n"/>
      <c r="F101" s="38" t="n"/>
      <c r="G101" s="38" t="n"/>
      <c r="H101" s="38" t="n"/>
      <c r="I101" s="49">
        <f>IF(A101="","",IF(G101&lt;&gt;"Open","—",IF(A101&lt;AsOf,"Overdue",IF(A101=AsOf,"Due today","Upcoming"))))</f>
        <v/>
      </c>
    </row>
    <row r="102">
      <c r="A102" s="47" t="n"/>
      <c r="B102" s="38" t="n"/>
      <c r="C102" s="38" t="n"/>
      <c r="D102" s="38" t="n"/>
      <c r="E102" s="38" t="n"/>
      <c r="F102" s="38" t="n"/>
      <c r="G102" s="38" t="n"/>
      <c r="H102" s="38" t="n"/>
      <c r="I102" s="49">
        <f>IF(A102="","",IF(G102&lt;&gt;"Open","—",IF(A102&lt;AsOf,"Overdue",IF(A102=AsOf,"Due today","Upcoming"))))</f>
        <v/>
      </c>
    </row>
    <row r="103">
      <c r="A103" s="47" t="n"/>
      <c r="B103" s="38" t="n"/>
      <c r="C103" s="38" t="n"/>
      <c r="D103" s="38" t="n"/>
      <c r="E103" s="38" t="n"/>
      <c r="F103" s="38" t="n"/>
      <c r="G103" s="38" t="n"/>
      <c r="H103" s="38" t="n"/>
      <c r="I103" s="49">
        <f>IF(A103="","",IF(G103&lt;&gt;"Open","—",IF(A103&lt;AsOf,"Overdue",IF(A103=AsOf,"Due today","Upcoming"))))</f>
        <v/>
      </c>
    </row>
    <row r="104">
      <c r="A104" s="47" t="n"/>
      <c r="B104" s="38" t="n"/>
      <c r="C104" s="38" t="n"/>
      <c r="D104" s="38" t="n"/>
      <c r="E104" s="38" t="n"/>
      <c r="F104" s="38" t="n"/>
      <c r="G104" s="38" t="n"/>
      <c r="H104" s="38" t="n"/>
      <c r="I104" s="49">
        <f>IF(A104="","",IF(G104&lt;&gt;"Open","—",IF(A104&lt;AsOf,"Overdue",IF(A104=AsOf,"Due today","Upcoming"))))</f>
        <v/>
      </c>
    </row>
    <row r="105">
      <c r="A105" s="47" t="n"/>
      <c r="B105" s="38" t="n"/>
      <c r="C105" s="38" t="n"/>
      <c r="D105" s="38" t="n"/>
      <c r="E105" s="38" t="n"/>
      <c r="F105" s="38" t="n"/>
      <c r="G105" s="38" t="n"/>
      <c r="H105" s="38" t="n"/>
      <c r="I105" s="49">
        <f>IF(A105="","",IF(G105&lt;&gt;"Open","—",IF(A105&lt;AsOf,"Overdue",IF(A105=AsOf,"Due today","Upcoming"))))</f>
        <v/>
      </c>
    </row>
    <row r="106">
      <c r="A106" s="47" t="n"/>
      <c r="B106" s="38" t="n"/>
      <c r="C106" s="38" t="n"/>
      <c r="D106" s="38" t="n"/>
      <c r="E106" s="38" t="n"/>
      <c r="F106" s="38" t="n"/>
      <c r="G106" s="38" t="n"/>
      <c r="H106" s="38" t="n"/>
      <c r="I106" s="49">
        <f>IF(A106="","",IF(G106&lt;&gt;"Open","—",IF(A106&lt;AsOf,"Overdue",IF(A106=AsOf,"Due today","Upcoming"))))</f>
        <v/>
      </c>
    </row>
    <row r="107">
      <c r="A107" s="47" t="n"/>
      <c r="B107" s="38" t="n"/>
      <c r="C107" s="38" t="n"/>
      <c r="D107" s="38" t="n"/>
      <c r="E107" s="38" t="n"/>
      <c r="F107" s="38" t="n"/>
      <c r="G107" s="38" t="n"/>
      <c r="H107" s="38" t="n"/>
      <c r="I107" s="49">
        <f>IF(A107="","",IF(G107&lt;&gt;"Open","—",IF(A107&lt;AsOf,"Overdue",IF(A107=AsOf,"Due today","Upcoming"))))</f>
        <v/>
      </c>
    </row>
    <row r="108">
      <c r="A108" s="47" t="n"/>
      <c r="B108" s="38" t="n"/>
      <c r="C108" s="38" t="n"/>
      <c r="D108" s="38" t="n"/>
      <c r="E108" s="38" t="n"/>
      <c r="F108" s="38" t="n"/>
      <c r="G108" s="38" t="n"/>
      <c r="H108" s="38" t="n"/>
      <c r="I108" s="49">
        <f>IF(A108="","",IF(G108&lt;&gt;"Open","—",IF(A108&lt;AsOf,"Overdue",IF(A108=AsOf,"Due today","Upcoming"))))</f>
        <v/>
      </c>
    </row>
    <row r="109">
      <c r="A109" s="47" t="n"/>
      <c r="B109" s="38" t="n"/>
      <c r="C109" s="38" t="n"/>
      <c r="D109" s="38" t="n"/>
      <c r="E109" s="38" t="n"/>
      <c r="F109" s="38" t="n"/>
      <c r="G109" s="38" t="n"/>
      <c r="H109" s="38" t="n"/>
      <c r="I109" s="49">
        <f>IF(A109="","",IF(G109&lt;&gt;"Open","—",IF(A109&lt;AsOf,"Overdue",IF(A109=AsOf,"Due today","Upcoming"))))</f>
        <v/>
      </c>
    </row>
    <row r="110">
      <c r="A110" s="47" t="n"/>
      <c r="B110" s="38" t="n"/>
      <c r="C110" s="38" t="n"/>
      <c r="D110" s="38" t="n"/>
      <c r="E110" s="38" t="n"/>
      <c r="F110" s="38" t="n"/>
      <c r="G110" s="38" t="n"/>
      <c r="H110" s="38" t="n"/>
      <c r="I110" s="49">
        <f>IF(A110="","",IF(G110&lt;&gt;"Open","—",IF(A110&lt;AsOf,"Overdue",IF(A110=AsOf,"Due today","Upcoming"))))</f>
        <v/>
      </c>
    </row>
    <row r="111">
      <c r="A111" s="47" t="n"/>
      <c r="B111" s="38" t="n"/>
      <c r="C111" s="38" t="n"/>
      <c r="D111" s="38" t="n"/>
      <c r="E111" s="38" t="n"/>
      <c r="F111" s="38" t="n"/>
      <c r="G111" s="38" t="n"/>
      <c r="H111" s="38" t="n"/>
      <c r="I111" s="49">
        <f>IF(A111="","",IF(G111&lt;&gt;"Open","—",IF(A111&lt;AsOf,"Overdue",IF(A111=AsOf,"Due today","Upcoming"))))</f>
        <v/>
      </c>
    </row>
    <row r="112">
      <c r="A112" s="47" t="n"/>
      <c r="B112" s="38" t="n"/>
      <c r="C112" s="38" t="n"/>
      <c r="D112" s="38" t="n"/>
      <c r="E112" s="38" t="n"/>
      <c r="F112" s="38" t="n"/>
      <c r="G112" s="38" t="n"/>
      <c r="H112" s="38" t="n"/>
      <c r="I112" s="49">
        <f>IF(A112="","",IF(G112&lt;&gt;"Open","—",IF(A112&lt;AsOf,"Overdue",IF(A112=AsOf,"Due today","Upcoming"))))</f>
        <v/>
      </c>
    </row>
    <row r="113">
      <c r="A113" s="47" t="n"/>
      <c r="B113" s="38" t="n"/>
      <c r="C113" s="38" t="n"/>
      <c r="D113" s="38" t="n"/>
      <c r="E113" s="38" t="n"/>
      <c r="F113" s="38" t="n"/>
      <c r="G113" s="38" t="n"/>
      <c r="H113" s="38" t="n"/>
      <c r="I113" s="49">
        <f>IF(A113="","",IF(G113&lt;&gt;"Open","—",IF(A113&lt;AsOf,"Overdue",IF(A113=AsOf,"Due today","Upcoming"))))</f>
        <v/>
      </c>
    </row>
    <row r="114">
      <c r="A114" s="47" t="n"/>
      <c r="B114" s="38" t="n"/>
      <c r="C114" s="38" t="n"/>
      <c r="D114" s="38" t="n"/>
      <c r="E114" s="38" t="n"/>
      <c r="F114" s="38" t="n"/>
      <c r="G114" s="38" t="n"/>
      <c r="H114" s="38" t="n"/>
      <c r="I114" s="49">
        <f>IF(A114="","",IF(G114&lt;&gt;"Open","—",IF(A114&lt;AsOf,"Overdue",IF(A114=AsOf,"Due today","Upcoming"))))</f>
        <v/>
      </c>
    </row>
    <row r="115">
      <c r="A115" s="47" t="n"/>
      <c r="B115" s="38" t="n"/>
      <c r="C115" s="38" t="n"/>
      <c r="D115" s="38" t="n"/>
      <c r="E115" s="38" t="n"/>
      <c r="F115" s="38" t="n"/>
      <c r="G115" s="38" t="n"/>
      <c r="H115" s="38" t="n"/>
      <c r="I115" s="49">
        <f>IF(A115="","",IF(G115&lt;&gt;"Open","—",IF(A115&lt;AsOf,"Overdue",IF(A115=AsOf,"Due today","Upcoming"))))</f>
        <v/>
      </c>
    </row>
    <row r="116">
      <c r="A116" s="47" t="n"/>
      <c r="B116" s="38" t="n"/>
      <c r="C116" s="38" t="n"/>
      <c r="D116" s="38" t="n"/>
      <c r="E116" s="38" t="n"/>
      <c r="F116" s="38" t="n"/>
      <c r="G116" s="38" t="n"/>
      <c r="H116" s="38" t="n"/>
      <c r="I116" s="49">
        <f>IF(A116="","",IF(G116&lt;&gt;"Open","—",IF(A116&lt;AsOf,"Overdue",IF(A116=AsOf,"Due today","Upcoming"))))</f>
        <v/>
      </c>
    </row>
    <row r="117">
      <c r="A117" s="47" t="n"/>
      <c r="B117" s="38" t="n"/>
      <c r="C117" s="38" t="n"/>
      <c r="D117" s="38" t="n"/>
      <c r="E117" s="38" t="n"/>
      <c r="F117" s="38" t="n"/>
      <c r="G117" s="38" t="n"/>
      <c r="H117" s="38" t="n"/>
      <c r="I117" s="49">
        <f>IF(A117="","",IF(G117&lt;&gt;"Open","—",IF(A117&lt;AsOf,"Overdue",IF(A117=AsOf,"Due today","Upcoming"))))</f>
        <v/>
      </c>
    </row>
    <row r="118">
      <c r="A118" s="47" t="n"/>
      <c r="B118" s="38" t="n"/>
      <c r="C118" s="38" t="n"/>
      <c r="D118" s="38" t="n"/>
      <c r="E118" s="38" t="n"/>
      <c r="F118" s="38" t="n"/>
      <c r="G118" s="38" t="n"/>
      <c r="H118" s="38" t="n"/>
      <c r="I118" s="49">
        <f>IF(A118="","",IF(G118&lt;&gt;"Open","—",IF(A118&lt;AsOf,"Overdue",IF(A118=AsOf,"Due today","Upcoming"))))</f>
        <v/>
      </c>
    </row>
    <row r="119">
      <c r="A119" s="47" t="n"/>
      <c r="B119" s="38" t="n"/>
      <c r="C119" s="38" t="n"/>
      <c r="D119" s="38" t="n"/>
      <c r="E119" s="38" t="n"/>
      <c r="F119" s="38" t="n"/>
      <c r="G119" s="38" t="n"/>
      <c r="H119" s="38" t="n"/>
      <c r="I119" s="49">
        <f>IF(A119="","",IF(G119&lt;&gt;"Open","—",IF(A119&lt;AsOf,"Overdue",IF(A119=AsOf,"Due today","Upcoming"))))</f>
        <v/>
      </c>
    </row>
    <row r="120">
      <c r="A120" s="47" t="n"/>
      <c r="B120" s="38" t="n"/>
      <c r="C120" s="38" t="n"/>
      <c r="D120" s="38" t="n"/>
      <c r="E120" s="38" t="n"/>
      <c r="F120" s="38" t="n"/>
      <c r="G120" s="38" t="n"/>
      <c r="H120" s="38" t="n"/>
      <c r="I120" s="49">
        <f>IF(A120="","",IF(G120&lt;&gt;"Open","—",IF(A120&lt;AsOf,"Overdue",IF(A120=AsOf,"Due today","Upcoming"))))</f>
        <v/>
      </c>
    </row>
    <row r="121">
      <c r="A121" s="47" t="n"/>
      <c r="B121" s="38" t="n"/>
      <c r="C121" s="38" t="n"/>
      <c r="D121" s="38" t="n"/>
      <c r="E121" s="38" t="n"/>
      <c r="F121" s="38" t="n"/>
      <c r="G121" s="38" t="n"/>
      <c r="H121" s="38" t="n"/>
      <c r="I121" s="49">
        <f>IF(A121="","",IF(G121&lt;&gt;"Open","—",IF(A121&lt;AsOf,"Overdue",IF(A121=AsOf,"Due today","Upcoming"))))</f>
        <v/>
      </c>
    </row>
    <row r="122">
      <c r="A122" s="47" t="n"/>
      <c r="B122" s="38" t="n"/>
      <c r="C122" s="38" t="n"/>
      <c r="D122" s="38" t="n"/>
      <c r="E122" s="38" t="n"/>
      <c r="F122" s="38" t="n"/>
      <c r="G122" s="38" t="n"/>
      <c r="H122" s="38" t="n"/>
      <c r="I122" s="49">
        <f>IF(A122="","",IF(G122&lt;&gt;"Open","—",IF(A122&lt;AsOf,"Overdue",IF(A122=AsOf,"Due today","Upcoming"))))</f>
        <v/>
      </c>
    </row>
    <row r="123">
      <c r="A123" s="47" t="n"/>
      <c r="B123" s="38" t="n"/>
      <c r="C123" s="38" t="n"/>
      <c r="D123" s="38" t="n"/>
      <c r="E123" s="38" t="n"/>
      <c r="F123" s="38" t="n"/>
      <c r="G123" s="38" t="n"/>
      <c r="H123" s="38" t="n"/>
      <c r="I123" s="49">
        <f>IF(A123="","",IF(G123&lt;&gt;"Open","—",IF(A123&lt;AsOf,"Overdue",IF(A123=AsOf,"Due today","Upcoming"))))</f>
        <v/>
      </c>
    </row>
    <row r="124">
      <c r="A124" s="47" t="n"/>
      <c r="B124" s="38" t="n"/>
      <c r="C124" s="38" t="n"/>
      <c r="D124" s="38" t="n"/>
      <c r="E124" s="38" t="n"/>
      <c r="F124" s="38" t="n"/>
      <c r="G124" s="38" t="n"/>
      <c r="H124" s="38" t="n"/>
      <c r="I124" s="49">
        <f>IF(A124="","",IF(G124&lt;&gt;"Open","—",IF(A124&lt;AsOf,"Overdue",IF(A124=AsOf,"Due today","Upcoming"))))</f>
        <v/>
      </c>
    </row>
    <row r="125">
      <c r="A125" s="47" t="n"/>
      <c r="B125" s="38" t="n"/>
      <c r="C125" s="38" t="n"/>
      <c r="D125" s="38" t="n"/>
      <c r="E125" s="38" t="n"/>
      <c r="F125" s="38" t="n"/>
      <c r="G125" s="38" t="n"/>
      <c r="H125" s="38" t="n"/>
      <c r="I125" s="49">
        <f>IF(A125="","",IF(G125&lt;&gt;"Open","—",IF(A125&lt;AsOf,"Overdue",IF(A125=AsOf,"Due today","Upcoming"))))</f>
        <v/>
      </c>
    </row>
    <row r="126">
      <c r="A126" s="47" t="n"/>
      <c r="B126" s="38" t="n"/>
      <c r="C126" s="38" t="n"/>
      <c r="D126" s="38" t="n"/>
      <c r="E126" s="38" t="n"/>
      <c r="F126" s="38" t="n"/>
      <c r="G126" s="38" t="n"/>
      <c r="H126" s="38" t="n"/>
      <c r="I126" s="49">
        <f>IF(A126="","",IF(G126&lt;&gt;"Open","—",IF(A126&lt;AsOf,"Overdue",IF(A126=AsOf,"Due today","Upcoming"))))</f>
        <v/>
      </c>
    </row>
    <row r="127">
      <c r="A127" s="47" t="n"/>
      <c r="B127" s="38" t="n"/>
      <c r="C127" s="38" t="n"/>
      <c r="D127" s="38" t="n"/>
      <c r="E127" s="38" t="n"/>
      <c r="F127" s="38" t="n"/>
      <c r="G127" s="38" t="n"/>
      <c r="H127" s="38" t="n"/>
      <c r="I127" s="49">
        <f>IF(A127="","",IF(G127&lt;&gt;"Open","—",IF(A127&lt;AsOf,"Overdue",IF(A127=AsOf,"Due today","Upcoming"))))</f>
        <v/>
      </c>
    </row>
    <row r="128">
      <c r="A128" s="47" t="n"/>
      <c r="B128" s="38" t="n"/>
      <c r="C128" s="38" t="n"/>
      <c r="D128" s="38" t="n"/>
      <c r="E128" s="38" t="n"/>
      <c r="F128" s="38" t="n"/>
      <c r="G128" s="38" t="n"/>
      <c r="H128" s="38" t="n"/>
      <c r="I128" s="49">
        <f>IF(A128="","",IF(G128&lt;&gt;"Open","—",IF(A128&lt;AsOf,"Overdue",IF(A128=AsOf,"Due today","Upcoming"))))</f>
        <v/>
      </c>
    </row>
    <row r="129">
      <c r="A129" s="47" t="n"/>
      <c r="B129" s="38" t="n"/>
      <c r="C129" s="38" t="n"/>
      <c r="D129" s="38" t="n"/>
      <c r="E129" s="38" t="n"/>
      <c r="F129" s="38" t="n"/>
      <c r="G129" s="38" t="n"/>
      <c r="H129" s="38" t="n"/>
      <c r="I129" s="49">
        <f>IF(A129="","",IF(G129&lt;&gt;"Open","—",IF(A129&lt;AsOf,"Overdue",IF(A129=AsOf,"Due today","Upcoming"))))</f>
        <v/>
      </c>
    </row>
    <row r="130">
      <c r="A130" s="47" t="n"/>
      <c r="B130" s="38" t="n"/>
      <c r="C130" s="38" t="n"/>
      <c r="D130" s="38" t="n"/>
      <c r="E130" s="38" t="n"/>
      <c r="F130" s="38" t="n"/>
      <c r="G130" s="38" t="n"/>
      <c r="H130" s="38" t="n"/>
      <c r="I130" s="49">
        <f>IF(A130="","",IF(G130&lt;&gt;"Open","—",IF(A130&lt;AsOf,"Overdue",IF(A130=AsOf,"Due today","Upcoming"))))</f>
        <v/>
      </c>
    </row>
    <row r="131">
      <c r="A131" s="47" t="n"/>
      <c r="B131" s="38" t="n"/>
      <c r="C131" s="38" t="n"/>
      <c r="D131" s="38" t="n"/>
      <c r="E131" s="38" t="n"/>
      <c r="F131" s="38" t="n"/>
      <c r="G131" s="38" t="n"/>
      <c r="H131" s="38" t="n"/>
      <c r="I131" s="49">
        <f>IF(A131="","",IF(G131&lt;&gt;"Open","—",IF(A131&lt;AsOf,"Overdue",IF(A131=AsOf,"Due today","Upcoming"))))</f>
        <v/>
      </c>
    </row>
    <row r="132">
      <c r="A132" s="47" t="n"/>
      <c r="B132" s="38" t="n"/>
      <c r="C132" s="38" t="n"/>
      <c r="D132" s="38" t="n"/>
      <c r="E132" s="38" t="n"/>
      <c r="F132" s="38" t="n"/>
      <c r="G132" s="38" t="n"/>
      <c r="H132" s="38" t="n"/>
      <c r="I132" s="49">
        <f>IF(A132="","",IF(G132&lt;&gt;"Open","—",IF(A132&lt;AsOf,"Overdue",IF(A132=AsOf,"Due today","Upcoming"))))</f>
        <v/>
      </c>
    </row>
    <row r="133">
      <c r="A133" s="47" t="n"/>
      <c r="B133" s="38" t="n"/>
      <c r="C133" s="38" t="n"/>
      <c r="D133" s="38" t="n"/>
      <c r="E133" s="38" t="n"/>
      <c r="F133" s="38" t="n"/>
      <c r="G133" s="38" t="n"/>
      <c r="H133" s="38" t="n"/>
      <c r="I133" s="49">
        <f>IF(A133="","",IF(G133&lt;&gt;"Open","—",IF(A133&lt;AsOf,"Overdue",IF(A133=AsOf,"Due today","Upcoming"))))</f>
        <v/>
      </c>
    </row>
    <row r="134">
      <c r="A134" s="47" t="n"/>
      <c r="B134" s="38" t="n"/>
      <c r="C134" s="38" t="n"/>
      <c r="D134" s="38" t="n"/>
      <c r="E134" s="38" t="n"/>
      <c r="F134" s="38" t="n"/>
      <c r="G134" s="38" t="n"/>
      <c r="H134" s="38" t="n"/>
      <c r="I134" s="49">
        <f>IF(A134="","",IF(G134&lt;&gt;"Open","—",IF(A134&lt;AsOf,"Overdue",IF(A134=AsOf,"Due today","Upcoming"))))</f>
        <v/>
      </c>
    </row>
    <row r="135">
      <c r="A135" s="47" t="n"/>
      <c r="B135" s="38" t="n"/>
      <c r="C135" s="38" t="n"/>
      <c r="D135" s="38" t="n"/>
      <c r="E135" s="38" t="n"/>
      <c r="F135" s="38" t="n"/>
      <c r="G135" s="38" t="n"/>
      <c r="H135" s="38" t="n"/>
      <c r="I135" s="49">
        <f>IF(A135="","",IF(G135&lt;&gt;"Open","—",IF(A135&lt;AsOf,"Overdue",IF(A135=AsOf,"Due today","Upcoming"))))</f>
        <v/>
      </c>
    </row>
    <row r="136">
      <c r="A136" s="47" t="n"/>
      <c r="B136" s="38" t="n"/>
      <c r="C136" s="38" t="n"/>
      <c r="D136" s="38" t="n"/>
      <c r="E136" s="38" t="n"/>
      <c r="F136" s="38" t="n"/>
      <c r="G136" s="38" t="n"/>
      <c r="H136" s="38" t="n"/>
      <c r="I136" s="49">
        <f>IF(A136="","",IF(G136&lt;&gt;"Open","—",IF(A136&lt;AsOf,"Overdue",IF(A136=AsOf,"Due today","Upcoming"))))</f>
        <v/>
      </c>
    </row>
    <row r="137">
      <c r="A137" s="47" t="n"/>
      <c r="B137" s="38" t="n"/>
      <c r="C137" s="38" t="n"/>
      <c r="D137" s="38" t="n"/>
      <c r="E137" s="38" t="n"/>
      <c r="F137" s="38" t="n"/>
      <c r="G137" s="38" t="n"/>
      <c r="H137" s="38" t="n"/>
      <c r="I137" s="49">
        <f>IF(A137="","",IF(G137&lt;&gt;"Open","—",IF(A137&lt;AsOf,"Overdue",IF(A137=AsOf,"Due today","Upcoming"))))</f>
        <v/>
      </c>
    </row>
    <row r="138">
      <c r="A138" s="47" t="n"/>
      <c r="B138" s="38" t="n"/>
      <c r="C138" s="38" t="n"/>
      <c r="D138" s="38" t="n"/>
      <c r="E138" s="38" t="n"/>
      <c r="F138" s="38" t="n"/>
      <c r="G138" s="38" t="n"/>
      <c r="H138" s="38" t="n"/>
      <c r="I138" s="49">
        <f>IF(A138="","",IF(G138&lt;&gt;"Open","—",IF(A138&lt;AsOf,"Overdue",IF(A138=AsOf,"Due today","Upcoming"))))</f>
        <v/>
      </c>
    </row>
    <row r="139">
      <c r="A139" s="47" t="n"/>
      <c r="B139" s="38" t="n"/>
      <c r="C139" s="38" t="n"/>
      <c r="D139" s="38" t="n"/>
      <c r="E139" s="38" t="n"/>
      <c r="F139" s="38" t="n"/>
      <c r="G139" s="38" t="n"/>
      <c r="H139" s="38" t="n"/>
      <c r="I139" s="49">
        <f>IF(A139="","",IF(G139&lt;&gt;"Open","—",IF(A139&lt;AsOf,"Overdue",IF(A139=AsOf,"Due today","Upcoming"))))</f>
        <v/>
      </c>
    </row>
    <row r="140">
      <c r="A140" s="47" t="n"/>
      <c r="B140" s="38" t="n"/>
      <c r="C140" s="38" t="n"/>
      <c r="D140" s="38" t="n"/>
      <c r="E140" s="38" t="n"/>
      <c r="F140" s="38" t="n"/>
      <c r="G140" s="38" t="n"/>
      <c r="H140" s="38" t="n"/>
      <c r="I140" s="49">
        <f>IF(A140="","",IF(G140&lt;&gt;"Open","—",IF(A140&lt;AsOf,"Overdue",IF(A140=AsOf,"Due today","Upcoming"))))</f>
        <v/>
      </c>
    </row>
    <row r="141">
      <c r="A141" s="47" t="n"/>
      <c r="B141" s="38" t="n"/>
      <c r="C141" s="38" t="n"/>
      <c r="D141" s="38" t="n"/>
      <c r="E141" s="38" t="n"/>
      <c r="F141" s="38" t="n"/>
      <c r="G141" s="38" t="n"/>
      <c r="H141" s="38" t="n"/>
      <c r="I141" s="49">
        <f>IF(A141="","",IF(G141&lt;&gt;"Open","—",IF(A141&lt;AsOf,"Overdue",IF(A141=AsOf,"Due today","Upcoming"))))</f>
        <v/>
      </c>
    </row>
    <row r="142">
      <c r="A142" s="47" t="n"/>
      <c r="B142" s="38" t="n"/>
      <c r="C142" s="38" t="n"/>
      <c r="D142" s="38" t="n"/>
      <c r="E142" s="38" t="n"/>
      <c r="F142" s="38" t="n"/>
      <c r="G142" s="38" t="n"/>
      <c r="H142" s="38" t="n"/>
      <c r="I142" s="49">
        <f>IF(A142="","",IF(G142&lt;&gt;"Open","—",IF(A142&lt;AsOf,"Overdue",IF(A142=AsOf,"Due today","Upcoming"))))</f>
        <v/>
      </c>
    </row>
    <row r="143">
      <c r="A143" s="47" t="n"/>
      <c r="B143" s="38" t="n"/>
      <c r="C143" s="38" t="n"/>
      <c r="D143" s="38" t="n"/>
      <c r="E143" s="38" t="n"/>
      <c r="F143" s="38" t="n"/>
      <c r="G143" s="38" t="n"/>
      <c r="H143" s="38" t="n"/>
      <c r="I143" s="49">
        <f>IF(A143="","",IF(G143&lt;&gt;"Open","—",IF(A143&lt;AsOf,"Overdue",IF(A143=AsOf,"Due today","Upcoming"))))</f>
        <v/>
      </c>
    </row>
    <row r="144">
      <c r="A144" s="47" t="n"/>
      <c r="B144" s="38" t="n"/>
      <c r="C144" s="38" t="n"/>
      <c r="D144" s="38" t="n"/>
      <c r="E144" s="38" t="n"/>
      <c r="F144" s="38" t="n"/>
      <c r="G144" s="38" t="n"/>
      <c r="H144" s="38" t="n"/>
      <c r="I144" s="49">
        <f>IF(A144="","",IF(G144&lt;&gt;"Open","—",IF(A144&lt;AsOf,"Overdue",IF(A144=AsOf,"Due today","Upcoming"))))</f>
        <v/>
      </c>
    </row>
    <row r="145">
      <c r="A145" s="47" t="n"/>
      <c r="B145" s="38" t="n"/>
      <c r="C145" s="38" t="n"/>
      <c r="D145" s="38" t="n"/>
      <c r="E145" s="38" t="n"/>
      <c r="F145" s="38" t="n"/>
      <c r="G145" s="38" t="n"/>
      <c r="H145" s="38" t="n"/>
      <c r="I145" s="49">
        <f>IF(A145="","",IF(G145&lt;&gt;"Open","—",IF(A145&lt;AsOf,"Overdue",IF(A145=AsOf,"Due today","Upcoming"))))</f>
        <v/>
      </c>
    </row>
    <row r="146">
      <c r="A146" s="47" t="n"/>
      <c r="B146" s="38" t="n"/>
      <c r="C146" s="38" t="n"/>
      <c r="D146" s="38" t="n"/>
      <c r="E146" s="38" t="n"/>
      <c r="F146" s="38" t="n"/>
      <c r="G146" s="38" t="n"/>
      <c r="H146" s="38" t="n"/>
      <c r="I146" s="49">
        <f>IF(A146="","",IF(G146&lt;&gt;"Open","—",IF(A146&lt;AsOf,"Overdue",IF(A146=AsOf,"Due today","Upcoming"))))</f>
        <v/>
      </c>
    </row>
    <row r="147">
      <c r="A147" s="47" t="n"/>
      <c r="B147" s="38" t="n"/>
      <c r="C147" s="38" t="n"/>
      <c r="D147" s="38" t="n"/>
      <c r="E147" s="38" t="n"/>
      <c r="F147" s="38" t="n"/>
      <c r="G147" s="38" t="n"/>
      <c r="H147" s="38" t="n"/>
      <c r="I147" s="49">
        <f>IF(A147="","",IF(G147&lt;&gt;"Open","—",IF(A147&lt;AsOf,"Overdue",IF(A147=AsOf,"Due today","Upcoming"))))</f>
        <v/>
      </c>
    </row>
    <row r="148">
      <c r="A148" s="47" t="n"/>
      <c r="B148" s="38" t="n"/>
      <c r="C148" s="38" t="n"/>
      <c r="D148" s="38" t="n"/>
      <c r="E148" s="38" t="n"/>
      <c r="F148" s="38" t="n"/>
      <c r="G148" s="38" t="n"/>
      <c r="H148" s="38" t="n"/>
      <c r="I148" s="49">
        <f>IF(A148="","",IF(G148&lt;&gt;"Open","—",IF(A148&lt;AsOf,"Overdue",IF(A148=AsOf,"Due today","Upcoming"))))</f>
        <v/>
      </c>
    </row>
    <row r="149">
      <c r="A149" s="47" t="n"/>
      <c r="B149" s="38" t="n"/>
      <c r="C149" s="38" t="n"/>
      <c r="D149" s="38" t="n"/>
      <c r="E149" s="38" t="n"/>
      <c r="F149" s="38" t="n"/>
      <c r="G149" s="38" t="n"/>
      <c r="H149" s="38" t="n"/>
      <c r="I149" s="49">
        <f>IF(A149="","",IF(G149&lt;&gt;"Open","—",IF(A149&lt;AsOf,"Overdue",IF(A149=AsOf,"Due today","Upcoming"))))</f>
        <v/>
      </c>
    </row>
    <row r="150">
      <c r="A150" s="47" t="n"/>
      <c r="B150" s="38" t="n"/>
      <c r="C150" s="38" t="n"/>
      <c r="D150" s="38" t="n"/>
      <c r="E150" s="38" t="n"/>
      <c r="F150" s="38" t="n"/>
      <c r="G150" s="38" t="n"/>
      <c r="H150" s="38" t="n"/>
      <c r="I150" s="49">
        <f>IF(A150="","",IF(G150&lt;&gt;"Open","—",IF(A150&lt;AsOf,"Overdue",IF(A150=AsOf,"Due today","Upcoming"))))</f>
        <v/>
      </c>
    </row>
    <row r="151">
      <c r="A151" s="47" t="n"/>
      <c r="B151" s="38" t="n"/>
      <c r="C151" s="38" t="n"/>
      <c r="D151" s="38" t="n"/>
      <c r="E151" s="38" t="n"/>
      <c r="F151" s="38" t="n"/>
      <c r="G151" s="38" t="n"/>
      <c r="H151" s="38" t="n"/>
      <c r="I151" s="49">
        <f>IF(A151="","",IF(G151&lt;&gt;"Open","—",IF(A151&lt;AsOf,"Overdue",IF(A151=AsOf,"Due today","Upcoming"))))</f>
        <v/>
      </c>
    </row>
    <row r="152">
      <c r="A152" s="47" t="n"/>
      <c r="B152" s="38" t="n"/>
      <c r="C152" s="38" t="n"/>
      <c r="D152" s="38" t="n"/>
      <c r="E152" s="38" t="n"/>
      <c r="F152" s="38" t="n"/>
      <c r="G152" s="38" t="n"/>
      <c r="H152" s="38" t="n"/>
      <c r="I152" s="49">
        <f>IF(A152="","",IF(G152&lt;&gt;"Open","—",IF(A152&lt;AsOf,"Overdue",IF(A152=AsOf,"Due today","Upcoming"))))</f>
        <v/>
      </c>
    </row>
    <row r="153">
      <c r="A153" s="47" t="n"/>
      <c r="B153" s="38" t="n"/>
      <c r="C153" s="38" t="n"/>
      <c r="D153" s="38" t="n"/>
      <c r="E153" s="38" t="n"/>
      <c r="F153" s="38" t="n"/>
      <c r="G153" s="38" t="n"/>
      <c r="H153" s="38" t="n"/>
      <c r="I153" s="49">
        <f>IF(A153="","",IF(G153&lt;&gt;"Open","—",IF(A153&lt;AsOf,"Overdue",IF(A153=AsOf,"Due today","Upcoming"))))</f>
        <v/>
      </c>
    </row>
    <row r="154">
      <c r="A154" s="47" t="n"/>
      <c r="B154" s="38" t="n"/>
      <c r="C154" s="38" t="n"/>
      <c r="D154" s="38" t="n"/>
      <c r="E154" s="38" t="n"/>
      <c r="F154" s="38" t="n"/>
      <c r="G154" s="38" t="n"/>
      <c r="H154" s="38" t="n"/>
      <c r="I154" s="49">
        <f>IF(A154="","",IF(G154&lt;&gt;"Open","—",IF(A154&lt;AsOf,"Overdue",IF(A154=AsOf,"Due today","Upcoming"))))</f>
        <v/>
      </c>
    </row>
    <row r="155">
      <c r="A155" s="47" t="n"/>
      <c r="B155" s="38" t="n"/>
      <c r="C155" s="38" t="n"/>
      <c r="D155" s="38" t="n"/>
      <c r="E155" s="38" t="n"/>
      <c r="F155" s="38" t="n"/>
      <c r="G155" s="38" t="n"/>
      <c r="H155" s="38" t="n"/>
      <c r="I155" s="49">
        <f>IF(A155="","",IF(G155&lt;&gt;"Open","—",IF(A155&lt;AsOf,"Overdue",IF(A155=AsOf,"Due today","Upcoming"))))</f>
        <v/>
      </c>
    </row>
    <row r="156">
      <c r="A156" s="47" t="n"/>
      <c r="B156" s="38" t="n"/>
      <c r="C156" s="38" t="n"/>
      <c r="D156" s="38" t="n"/>
      <c r="E156" s="38" t="n"/>
      <c r="F156" s="38" t="n"/>
      <c r="G156" s="38" t="n"/>
      <c r="H156" s="38" t="n"/>
      <c r="I156" s="49">
        <f>IF(A156="","",IF(G156&lt;&gt;"Open","—",IF(A156&lt;AsOf,"Overdue",IF(A156=AsOf,"Due today","Upcoming"))))</f>
        <v/>
      </c>
    </row>
    <row r="157">
      <c r="A157" s="47" t="n"/>
      <c r="B157" s="38" t="n"/>
      <c r="C157" s="38" t="n"/>
      <c r="D157" s="38" t="n"/>
      <c r="E157" s="38" t="n"/>
      <c r="F157" s="38" t="n"/>
      <c r="G157" s="38" t="n"/>
      <c r="H157" s="38" t="n"/>
      <c r="I157" s="49">
        <f>IF(A157="","",IF(G157&lt;&gt;"Open","—",IF(A157&lt;AsOf,"Overdue",IF(A157=AsOf,"Due today","Upcoming"))))</f>
        <v/>
      </c>
    </row>
    <row r="158">
      <c r="A158" s="47" t="n"/>
      <c r="B158" s="38" t="n"/>
      <c r="C158" s="38" t="n"/>
      <c r="D158" s="38" t="n"/>
      <c r="E158" s="38" t="n"/>
      <c r="F158" s="38" t="n"/>
      <c r="G158" s="38" t="n"/>
      <c r="H158" s="38" t="n"/>
      <c r="I158" s="49">
        <f>IF(A158="","",IF(G158&lt;&gt;"Open","—",IF(A158&lt;AsOf,"Overdue",IF(A158=AsOf,"Due today","Upcoming"))))</f>
        <v/>
      </c>
    </row>
    <row r="159">
      <c r="A159" s="47" t="n"/>
      <c r="B159" s="38" t="n"/>
      <c r="C159" s="38" t="n"/>
      <c r="D159" s="38" t="n"/>
      <c r="E159" s="38" t="n"/>
      <c r="F159" s="38" t="n"/>
      <c r="G159" s="38" t="n"/>
      <c r="H159" s="38" t="n"/>
      <c r="I159" s="49">
        <f>IF(A159="","",IF(G159&lt;&gt;"Open","—",IF(A159&lt;AsOf,"Overdue",IF(A159=AsOf,"Due today","Upcoming"))))</f>
        <v/>
      </c>
    </row>
    <row r="160">
      <c r="A160" s="47" t="n"/>
      <c r="B160" s="38" t="n"/>
      <c r="C160" s="38" t="n"/>
      <c r="D160" s="38" t="n"/>
      <c r="E160" s="38" t="n"/>
      <c r="F160" s="38" t="n"/>
      <c r="G160" s="38" t="n"/>
      <c r="H160" s="38" t="n"/>
      <c r="I160" s="49">
        <f>IF(A160="","",IF(G160&lt;&gt;"Open","—",IF(A160&lt;AsOf,"Overdue",IF(A160=AsOf,"Due today","Upcoming"))))</f>
        <v/>
      </c>
    </row>
    <row r="161">
      <c r="A161" s="47" t="n"/>
      <c r="B161" s="38" t="n"/>
      <c r="C161" s="38" t="n"/>
      <c r="D161" s="38" t="n"/>
      <c r="E161" s="38" t="n"/>
      <c r="F161" s="38" t="n"/>
      <c r="G161" s="38" t="n"/>
      <c r="H161" s="38" t="n"/>
      <c r="I161" s="49">
        <f>IF(A161="","",IF(G161&lt;&gt;"Open","—",IF(A161&lt;AsOf,"Overdue",IF(A161=AsOf,"Due today","Upcoming"))))</f>
        <v/>
      </c>
    </row>
    <row r="162">
      <c r="A162" s="47" t="n"/>
      <c r="B162" s="38" t="n"/>
      <c r="C162" s="38" t="n"/>
      <c r="D162" s="38" t="n"/>
      <c r="E162" s="38" t="n"/>
      <c r="F162" s="38" t="n"/>
      <c r="G162" s="38" t="n"/>
      <c r="H162" s="38" t="n"/>
      <c r="I162" s="49">
        <f>IF(A162="","",IF(G162&lt;&gt;"Open","—",IF(A162&lt;AsOf,"Overdue",IF(A162=AsOf,"Due today","Upcoming"))))</f>
        <v/>
      </c>
    </row>
    <row r="163">
      <c r="A163" s="47" t="n"/>
      <c r="B163" s="38" t="n"/>
      <c r="C163" s="38" t="n"/>
      <c r="D163" s="38" t="n"/>
      <c r="E163" s="38" t="n"/>
      <c r="F163" s="38" t="n"/>
      <c r="G163" s="38" t="n"/>
      <c r="H163" s="38" t="n"/>
      <c r="I163" s="49">
        <f>IF(A163="","",IF(G163&lt;&gt;"Open","—",IF(A163&lt;AsOf,"Overdue",IF(A163=AsOf,"Due today","Upcoming"))))</f>
        <v/>
      </c>
    </row>
    <row r="164">
      <c r="A164" s="47" t="n"/>
      <c r="B164" s="38" t="n"/>
      <c r="C164" s="38" t="n"/>
      <c r="D164" s="38" t="n"/>
      <c r="E164" s="38" t="n"/>
      <c r="F164" s="38" t="n"/>
      <c r="G164" s="38" t="n"/>
      <c r="H164" s="38" t="n"/>
      <c r="I164" s="49">
        <f>IF(A164="","",IF(G164&lt;&gt;"Open","—",IF(A164&lt;AsOf,"Overdue",IF(A164=AsOf,"Due today","Upcoming"))))</f>
        <v/>
      </c>
    </row>
    <row r="165">
      <c r="A165" s="47" t="n"/>
      <c r="B165" s="38" t="n"/>
      <c r="C165" s="38" t="n"/>
      <c r="D165" s="38" t="n"/>
      <c r="E165" s="38" t="n"/>
      <c r="F165" s="38" t="n"/>
      <c r="G165" s="38" t="n"/>
      <c r="H165" s="38" t="n"/>
      <c r="I165" s="49">
        <f>IF(A165="","",IF(G165&lt;&gt;"Open","—",IF(A165&lt;AsOf,"Overdue",IF(A165=AsOf,"Due today","Upcoming"))))</f>
        <v/>
      </c>
    </row>
    <row r="166">
      <c r="A166" s="47" t="n"/>
      <c r="B166" s="38" t="n"/>
      <c r="C166" s="38" t="n"/>
      <c r="D166" s="38" t="n"/>
      <c r="E166" s="38" t="n"/>
      <c r="F166" s="38" t="n"/>
      <c r="G166" s="38" t="n"/>
      <c r="H166" s="38" t="n"/>
      <c r="I166" s="49">
        <f>IF(A166="","",IF(G166&lt;&gt;"Open","—",IF(A166&lt;AsOf,"Overdue",IF(A166=AsOf,"Due today","Upcoming"))))</f>
        <v/>
      </c>
    </row>
    <row r="167">
      <c r="A167" s="47" t="n"/>
      <c r="B167" s="38" t="n"/>
      <c r="C167" s="38" t="n"/>
      <c r="D167" s="38" t="n"/>
      <c r="E167" s="38" t="n"/>
      <c r="F167" s="38" t="n"/>
      <c r="G167" s="38" t="n"/>
      <c r="H167" s="38" t="n"/>
      <c r="I167" s="49">
        <f>IF(A167="","",IF(G167&lt;&gt;"Open","—",IF(A167&lt;AsOf,"Overdue",IF(A167=AsOf,"Due today","Upcoming"))))</f>
        <v/>
      </c>
    </row>
    <row r="168">
      <c r="A168" s="47" t="n"/>
      <c r="B168" s="38" t="n"/>
      <c r="C168" s="38" t="n"/>
      <c r="D168" s="38" t="n"/>
      <c r="E168" s="38" t="n"/>
      <c r="F168" s="38" t="n"/>
      <c r="G168" s="38" t="n"/>
      <c r="H168" s="38" t="n"/>
      <c r="I168" s="49">
        <f>IF(A168="","",IF(G168&lt;&gt;"Open","—",IF(A168&lt;AsOf,"Overdue",IF(A168=AsOf,"Due today","Upcoming"))))</f>
        <v/>
      </c>
    </row>
    <row r="169">
      <c r="A169" s="47" t="n"/>
      <c r="B169" s="38" t="n"/>
      <c r="C169" s="38" t="n"/>
      <c r="D169" s="38" t="n"/>
      <c r="E169" s="38" t="n"/>
      <c r="F169" s="38" t="n"/>
      <c r="G169" s="38" t="n"/>
      <c r="H169" s="38" t="n"/>
      <c r="I169" s="49">
        <f>IF(A169="","",IF(G169&lt;&gt;"Open","—",IF(A169&lt;AsOf,"Overdue",IF(A169=AsOf,"Due today","Upcoming"))))</f>
        <v/>
      </c>
    </row>
    <row r="170">
      <c r="A170" s="47" t="n"/>
      <c r="B170" s="38" t="n"/>
      <c r="C170" s="38" t="n"/>
      <c r="D170" s="38" t="n"/>
      <c r="E170" s="38" t="n"/>
      <c r="F170" s="38" t="n"/>
      <c r="G170" s="38" t="n"/>
      <c r="H170" s="38" t="n"/>
      <c r="I170" s="49">
        <f>IF(A170="","",IF(G170&lt;&gt;"Open","—",IF(A170&lt;AsOf,"Overdue",IF(A170=AsOf,"Due today","Upcoming"))))</f>
        <v/>
      </c>
    </row>
    <row r="171">
      <c r="A171" s="47" t="n"/>
      <c r="B171" s="38" t="n"/>
      <c r="C171" s="38" t="n"/>
      <c r="D171" s="38" t="n"/>
      <c r="E171" s="38" t="n"/>
      <c r="F171" s="38" t="n"/>
      <c r="G171" s="38" t="n"/>
      <c r="H171" s="38" t="n"/>
      <c r="I171" s="49">
        <f>IF(A171="","",IF(G171&lt;&gt;"Open","—",IF(A171&lt;AsOf,"Overdue",IF(A171=AsOf,"Due today","Upcoming"))))</f>
        <v/>
      </c>
    </row>
    <row r="172">
      <c r="A172" s="47" t="n"/>
      <c r="B172" s="38" t="n"/>
      <c r="C172" s="38" t="n"/>
      <c r="D172" s="38" t="n"/>
      <c r="E172" s="38" t="n"/>
      <c r="F172" s="38" t="n"/>
      <c r="G172" s="38" t="n"/>
      <c r="H172" s="38" t="n"/>
      <c r="I172" s="49">
        <f>IF(A172="","",IF(G172&lt;&gt;"Open","—",IF(A172&lt;AsOf,"Overdue",IF(A172=AsOf,"Due today","Upcoming"))))</f>
        <v/>
      </c>
    </row>
    <row r="173">
      <c r="A173" s="47" t="n"/>
      <c r="B173" s="38" t="n"/>
      <c r="C173" s="38" t="n"/>
      <c r="D173" s="38" t="n"/>
      <c r="E173" s="38" t="n"/>
      <c r="F173" s="38" t="n"/>
      <c r="G173" s="38" t="n"/>
      <c r="H173" s="38" t="n"/>
      <c r="I173" s="49">
        <f>IF(A173="","",IF(G173&lt;&gt;"Open","—",IF(A173&lt;AsOf,"Overdue",IF(A173=AsOf,"Due today","Upcoming"))))</f>
        <v/>
      </c>
    </row>
    <row r="174">
      <c r="A174" s="47" t="n"/>
      <c r="B174" s="38" t="n"/>
      <c r="C174" s="38" t="n"/>
      <c r="D174" s="38" t="n"/>
      <c r="E174" s="38" t="n"/>
      <c r="F174" s="38" t="n"/>
      <c r="G174" s="38" t="n"/>
      <c r="H174" s="38" t="n"/>
      <c r="I174" s="49">
        <f>IF(A174="","",IF(G174&lt;&gt;"Open","—",IF(A174&lt;AsOf,"Overdue",IF(A174=AsOf,"Due today","Upcoming"))))</f>
        <v/>
      </c>
    </row>
    <row r="175">
      <c r="A175" s="47" t="n"/>
      <c r="B175" s="38" t="n"/>
      <c r="C175" s="38" t="n"/>
      <c r="D175" s="38" t="n"/>
      <c r="E175" s="38" t="n"/>
      <c r="F175" s="38" t="n"/>
      <c r="G175" s="38" t="n"/>
      <c r="H175" s="38" t="n"/>
      <c r="I175" s="49">
        <f>IF(A175="","",IF(G175&lt;&gt;"Open","—",IF(A175&lt;AsOf,"Overdue",IF(A175=AsOf,"Due today","Upcoming"))))</f>
        <v/>
      </c>
    </row>
    <row r="176">
      <c r="A176" s="47" t="n"/>
      <c r="B176" s="38" t="n"/>
      <c r="C176" s="38" t="n"/>
      <c r="D176" s="38" t="n"/>
      <c r="E176" s="38" t="n"/>
      <c r="F176" s="38" t="n"/>
      <c r="G176" s="38" t="n"/>
      <c r="H176" s="38" t="n"/>
      <c r="I176" s="49">
        <f>IF(A176="","",IF(G176&lt;&gt;"Open","—",IF(A176&lt;AsOf,"Overdue",IF(A176=AsOf,"Due today","Upcoming"))))</f>
        <v/>
      </c>
    </row>
    <row r="177">
      <c r="A177" s="47" t="n"/>
      <c r="B177" s="38" t="n"/>
      <c r="C177" s="38" t="n"/>
      <c r="D177" s="38" t="n"/>
      <c r="E177" s="38" t="n"/>
      <c r="F177" s="38" t="n"/>
      <c r="G177" s="38" t="n"/>
      <c r="H177" s="38" t="n"/>
      <c r="I177" s="49">
        <f>IF(A177="","",IF(G177&lt;&gt;"Open","—",IF(A177&lt;AsOf,"Overdue",IF(A177=AsOf,"Due today","Upcoming"))))</f>
        <v/>
      </c>
    </row>
    <row r="178">
      <c r="A178" s="47" t="n"/>
      <c r="B178" s="38" t="n"/>
      <c r="C178" s="38" t="n"/>
      <c r="D178" s="38" t="n"/>
      <c r="E178" s="38" t="n"/>
      <c r="F178" s="38" t="n"/>
      <c r="G178" s="38" t="n"/>
      <c r="H178" s="38" t="n"/>
      <c r="I178" s="49">
        <f>IF(A178="","",IF(G178&lt;&gt;"Open","—",IF(A178&lt;AsOf,"Overdue",IF(A178=AsOf,"Due today","Upcoming"))))</f>
        <v/>
      </c>
    </row>
    <row r="179">
      <c r="A179" s="47" t="n"/>
      <c r="B179" s="38" t="n"/>
      <c r="C179" s="38" t="n"/>
      <c r="D179" s="38" t="n"/>
      <c r="E179" s="38" t="n"/>
      <c r="F179" s="38" t="n"/>
      <c r="G179" s="38" t="n"/>
      <c r="H179" s="38" t="n"/>
      <c r="I179" s="49">
        <f>IF(A179="","",IF(G179&lt;&gt;"Open","—",IF(A179&lt;AsOf,"Overdue",IF(A179=AsOf,"Due today","Upcoming"))))</f>
        <v/>
      </c>
    </row>
    <row r="180">
      <c r="A180" s="47" t="n"/>
      <c r="B180" s="38" t="n"/>
      <c r="C180" s="38" t="n"/>
      <c r="D180" s="38" t="n"/>
      <c r="E180" s="38" t="n"/>
      <c r="F180" s="38" t="n"/>
      <c r="G180" s="38" t="n"/>
      <c r="H180" s="38" t="n"/>
      <c r="I180" s="49">
        <f>IF(A180="","",IF(G180&lt;&gt;"Open","—",IF(A180&lt;AsOf,"Overdue",IF(A180=AsOf,"Due today","Upcoming"))))</f>
        <v/>
      </c>
    </row>
    <row r="181">
      <c r="A181" s="47" t="n"/>
      <c r="B181" s="38" t="n"/>
      <c r="C181" s="38" t="n"/>
      <c r="D181" s="38" t="n"/>
      <c r="E181" s="38" t="n"/>
      <c r="F181" s="38" t="n"/>
      <c r="G181" s="38" t="n"/>
      <c r="H181" s="38" t="n"/>
      <c r="I181" s="49">
        <f>IF(A181="","",IF(G181&lt;&gt;"Open","—",IF(A181&lt;AsOf,"Overdue",IF(A181=AsOf,"Due today","Upcoming"))))</f>
        <v/>
      </c>
    </row>
    <row r="182">
      <c r="A182" s="47" t="n"/>
      <c r="B182" s="38" t="n"/>
      <c r="C182" s="38" t="n"/>
      <c r="D182" s="38" t="n"/>
      <c r="E182" s="38" t="n"/>
      <c r="F182" s="38" t="n"/>
      <c r="G182" s="38" t="n"/>
      <c r="H182" s="38" t="n"/>
      <c r="I182" s="49">
        <f>IF(A182="","",IF(G182&lt;&gt;"Open","—",IF(A182&lt;AsOf,"Overdue",IF(A182=AsOf,"Due today","Upcoming"))))</f>
        <v/>
      </c>
    </row>
    <row r="183">
      <c r="A183" s="47" t="n"/>
      <c r="B183" s="38" t="n"/>
      <c r="C183" s="38" t="n"/>
      <c r="D183" s="38" t="n"/>
      <c r="E183" s="38" t="n"/>
      <c r="F183" s="38" t="n"/>
      <c r="G183" s="38" t="n"/>
      <c r="H183" s="38" t="n"/>
      <c r="I183" s="49">
        <f>IF(A183="","",IF(G183&lt;&gt;"Open","—",IF(A183&lt;AsOf,"Overdue",IF(A183=AsOf,"Due today","Upcoming"))))</f>
        <v/>
      </c>
    </row>
    <row r="184">
      <c r="A184" s="47" t="n"/>
      <c r="B184" s="38" t="n"/>
      <c r="C184" s="38" t="n"/>
      <c r="D184" s="38" t="n"/>
      <c r="E184" s="38" t="n"/>
      <c r="F184" s="38" t="n"/>
      <c r="G184" s="38" t="n"/>
      <c r="H184" s="38" t="n"/>
      <c r="I184" s="49">
        <f>IF(A184="","",IF(G184&lt;&gt;"Open","—",IF(A184&lt;AsOf,"Overdue",IF(A184=AsOf,"Due today","Upcoming"))))</f>
        <v/>
      </c>
    </row>
    <row r="185">
      <c r="A185" s="47" t="n"/>
      <c r="B185" s="38" t="n"/>
      <c r="C185" s="38" t="n"/>
      <c r="D185" s="38" t="n"/>
      <c r="E185" s="38" t="n"/>
      <c r="F185" s="38" t="n"/>
      <c r="G185" s="38" t="n"/>
      <c r="H185" s="38" t="n"/>
      <c r="I185" s="49">
        <f>IF(A185="","",IF(G185&lt;&gt;"Open","—",IF(A185&lt;AsOf,"Overdue",IF(A185=AsOf,"Due today","Upcoming"))))</f>
        <v/>
      </c>
    </row>
    <row r="186">
      <c r="A186" s="47" t="n"/>
      <c r="B186" s="38" t="n"/>
      <c r="C186" s="38" t="n"/>
      <c r="D186" s="38" t="n"/>
      <c r="E186" s="38" t="n"/>
      <c r="F186" s="38" t="n"/>
      <c r="G186" s="38" t="n"/>
      <c r="H186" s="38" t="n"/>
      <c r="I186" s="49">
        <f>IF(A186="","",IF(G186&lt;&gt;"Open","—",IF(A186&lt;AsOf,"Overdue",IF(A186=AsOf,"Due today","Upcoming"))))</f>
        <v/>
      </c>
    </row>
    <row r="187">
      <c r="A187" s="47" t="n"/>
      <c r="B187" s="38" t="n"/>
      <c r="C187" s="38" t="n"/>
      <c r="D187" s="38" t="n"/>
      <c r="E187" s="38" t="n"/>
      <c r="F187" s="38" t="n"/>
      <c r="G187" s="38" t="n"/>
      <c r="H187" s="38" t="n"/>
      <c r="I187" s="49">
        <f>IF(A187="","",IF(G187&lt;&gt;"Open","—",IF(A187&lt;AsOf,"Overdue",IF(A187=AsOf,"Due today","Upcoming"))))</f>
        <v/>
      </c>
    </row>
    <row r="188">
      <c r="A188" s="47" t="n"/>
      <c r="B188" s="38" t="n"/>
      <c r="C188" s="38" t="n"/>
      <c r="D188" s="38" t="n"/>
      <c r="E188" s="38" t="n"/>
      <c r="F188" s="38" t="n"/>
      <c r="G188" s="38" t="n"/>
      <c r="H188" s="38" t="n"/>
      <c r="I188" s="49">
        <f>IF(A188="","",IF(G188&lt;&gt;"Open","—",IF(A188&lt;AsOf,"Overdue",IF(A188=AsOf,"Due today","Upcoming"))))</f>
        <v/>
      </c>
    </row>
    <row r="189">
      <c r="A189" s="47" t="n"/>
      <c r="B189" s="38" t="n"/>
      <c r="C189" s="38" t="n"/>
      <c r="D189" s="38" t="n"/>
      <c r="E189" s="38" t="n"/>
      <c r="F189" s="38" t="n"/>
      <c r="G189" s="38" t="n"/>
      <c r="H189" s="38" t="n"/>
      <c r="I189" s="49">
        <f>IF(A189="","",IF(G189&lt;&gt;"Open","—",IF(A189&lt;AsOf,"Overdue",IF(A189=AsOf,"Due today","Upcoming"))))</f>
        <v/>
      </c>
    </row>
    <row r="190">
      <c r="A190" s="47" t="n"/>
      <c r="B190" s="38" t="n"/>
      <c r="C190" s="38" t="n"/>
      <c r="D190" s="38" t="n"/>
      <c r="E190" s="38" t="n"/>
      <c r="F190" s="38" t="n"/>
      <c r="G190" s="38" t="n"/>
      <c r="H190" s="38" t="n"/>
      <c r="I190" s="49">
        <f>IF(A190="","",IF(G190&lt;&gt;"Open","—",IF(A190&lt;AsOf,"Overdue",IF(A190=AsOf,"Due today","Upcoming"))))</f>
        <v/>
      </c>
    </row>
    <row r="191">
      <c r="A191" s="47" t="n"/>
      <c r="B191" s="38" t="n"/>
      <c r="C191" s="38" t="n"/>
      <c r="D191" s="38" t="n"/>
      <c r="E191" s="38" t="n"/>
      <c r="F191" s="38" t="n"/>
      <c r="G191" s="38" t="n"/>
      <c r="H191" s="38" t="n"/>
      <c r="I191" s="49">
        <f>IF(A191="","",IF(G191&lt;&gt;"Open","—",IF(A191&lt;AsOf,"Overdue",IF(A191=AsOf,"Due today","Upcoming"))))</f>
        <v/>
      </c>
    </row>
    <row r="192">
      <c r="A192" s="47" t="n"/>
      <c r="B192" s="38" t="n"/>
      <c r="C192" s="38" t="n"/>
      <c r="D192" s="38" t="n"/>
      <c r="E192" s="38" t="n"/>
      <c r="F192" s="38" t="n"/>
      <c r="G192" s="38" t="n"/>
      <c r="H192" s="38" t="n"/>
      <c r="I192" s="49">
        <f>IF(A192="","",IF(G192&lt;&gt;"Open","—",IF(A192&lt;AsOf,"Overdue",IF(A192=AsOf,"Due today","Upcoming"))))</f>
        <v/>
      </c>
    </row>
    <row r="193">
      <c r="A193" s="47" t="n"/>
      <c r="B193" s="38" t="n"/>
      <c r="C193" s="38" t="n"/>
      <c r="D193" s="38" t="n"/>
      <c r="E193" s="38" t="n"/>
      <c r="F193" s="38" t="n"/>
      <c r="G193" s="38" t="n"/>
      <c r="H193" s="38" t="n"/>
      <c r="I193" s="49">
        <f>IF(A193="","",IF(G193&lt;&gt;"Open","—",IF(A193&lt;AsOf,"Overdue",IF(A193=AsOf,"Due today","Upcoming"))))</f>
        <v/>
      </c>
    </row>
    <row r="194">
      <c r="A194" s="47" t="n"/>
      <c r="B194" s="38" t="n"/>
      <c r="C194" s="38" t="n"/>
      <c r="D194" s="38" t="n"/>
      <c r="E194" s="38" t="n"/>
      <c r="F194" s="38" t="n"/>
      <c r="G194" s="38" t="n"/>
      <c r="H194" s="38" t="n"/>
      <c r="I194" s="49">
        <f>IF(A194="","",IF(G194&lt;&gt;"Open","—",IF(A194&lt;AsOf,"Overdue",IF(A194=AsOf,"Due today","Upcoming"))))</f>
        <v/>
      </c>
    </row>
    <row r="195">
      <c r="A195" s="47" t="n"/>
      <c r="B195" s="38" t="n"/>
      <c r="C195" s="38" t="n"/>
      <c r="D195" s="38" t="n"/>
      <c r="E195" s="38" t="n"/>
      <c r="F195" s="38" t="n"/>
      <c r="G195" s="38" t="n"/>
      <c r="H195" s="38" t="n"/>
      <c r="I195" s="49">
        <f>IF(A195="","",IF(G195&lt;&gt;"Open","—",IF(A195&lt;AsOf,"Overdue",IF(A195=AsOf,"Due today","Upcoming"))))</f>
        <v/>
      </c>
    </row>
    <row r="196">
      <c r="A196" s="47" t="n"/>
      <c r="B196" s="38" t="n"/>
      <c r="C196" s="38" t="n"/>
      <c r="D196" s="38" t="n"/>
      <c r="E196" s="38" t="n"/>
      <c r="F196" s="38" t="n"/>
      <c r="G196" s="38" t="n"/>
      <c r="H196" s="38" t="n"/>
      <c r="I196" s="49">
        <f>IF(A196="","",IF(G196&lt;&gt;"Open","—",IF(A196&lt;AsOf,"Overdue",IF(A196=AsOf,"Due today","Upcoming"))))</f>
        <v/>
      </c>
    </row>
    <row r="197">
      <c r="A197" s="47" t="n"/>
      <c r="B197" s="38" t="n"/>
      <c r="C197" s="38" t="n"/>
      <c r="D197" s="38" t="n"/>
      <c r="E197" s="38" t="n"/>
      <c r="F197" s="38" t="n"/>
      <c r="G197" s="38" t="n"/>
      <c r="H197" s="38" t="n"/>
      <c r="I197" s="49">
        <f>IF(A197="","",IF(G197&lt;&gt;"Open","—",IF(A197&lt;AsOf,"Overdue",IF(A197=AsOf,"Due today","Upcoming"))))</f>
        <v/>
      </c>
    </row>
    <row r="198">
      <c r="A198" s="47" t="n"/>
      <c r="B198" s="38" t="n"/>
      <c r="C198" s="38" t="n"/>
      <c r="D198" s="38" t="n"/>
      <c r="E198" s="38" t="n"/>
      <c r="F198" s="38" t="n"/>
      <c r="G198" s="38" t="n"/>
      <c r="H198" s="38" t="n"/>
      <c r="I198" s="49">
        <f>IF(A198="","",IF(G198&lt;&gt;"Open","—",IF(A198&lt;AsOf,"Overdue",IF(A198=AsOf,"Due today","Upcoming"))))</f>
        <v/>
      </c>
    </row>
    <row r="199">
      <c r="A199" s="47" t="n"/>
      <c r="B199" s="38" t="n"/>
      <c r="C199" s="38" t="n"/>
      <c r="D199" s="38" t="n"/>
      <c r="E199" s="38" t="n"/>
      <c r="F199" s="38" t="n"/>
      <c r="G199" s="38" t="n"/>
      <c r="H199" s="38" t="n"/>
      <c r="I199" s="49">
        <f>IF(A199="","",IF(G199&lt;&gt;"Open","—",IF(A199&lt;AsOf,"Overdue",IF(A199=AsOf,"Due today","Upcoming"))))</f>
        <v/>
      </c>
    </row>
    <row r="200">
      <c r="A200" s="47" t="n"/>
      <c r="B200" s="38" t="n"/>
      <c r="C200" s="38" t="n"/>
      <c r="D200" s="38" t="n"/>
      <c r="E200" s="38" t="n"/>
      <c r="F200" s="38" t="n"/>
      <c r="G200" s="38" t="n"/>
      <c r="H200" s="38" t="n"/>
      <c r="I200" s="49">
        <f>IF(A200="","",IF(G200&lt;&gt;"Open","—",IF(A200&lt;AsOf,"Overdue",IF(A200=AsOf,"Due today","Upcoming"))))</f>
        <v/>
      </c>
    </row>
    <row r="201">
      <c r="A201" s="47" t="n"/>
      <c r="B201" s="38" t="n"/>
      <c r="C201" s="38" t="n"/>
      <c r="D201" s="38" t="n"/>
      <c r="E201" s="38" t="n"/>
      <c r="F201" s="38" t="n"/>
      <c r="G201" s="38" t="n"/>
      <c r="H201" s="38" t="n"/>
      <c r="I201" s="49">
        <f>IF(A201="","",IF(G201&lt;&gt;"Open","—",IF(A201&lt;AsOf,"Overdue",IF(A201=AsOf,"Due today","Upcoming"))))</f>
        <v/>
      </c>
    </row>
    <row r="202">
      <c r="A202" s="47" t="n"/>
      <c r="B202" s="38" t="n"/>
      <c r="C202" s="38" t="n"/>
      <c r="D202" s="38" t="n"/>
      <c r="E202" s="38" t="n"/>
      <c r="F202" s="38" t="n"/>
      <c r="G202" s="38" t="n"/>
      <c r="H202" s="38" t="n"/>
      <c r="I202" s="49">
        <f>IF(A202="","",IF(G202&lt;&gt;"Open","—",IF(A202&lt;AsOf,"Overdue",IF(A202=AsOf,"Due today","Upcoming"))))</f>
        <v/>
      </c>
    </row>
    <row r="203">
      <c r="A203" s="47" t="n"/>
      <c r="B203" s="38" t="n"/>
      <c r="C203" s="38" t="n"/>
      <c r="D203" s="38" t="n"/>
      <c r="E203" s="38" t="n"/>
      <c r="F203" s="38" t="n"/>
      <c r="G203" s="38" t="n"/>
      <c r="H203" s="38" t="n"/>
      <c r="I203" s="49">
        <f>IF(A203="","",IF(G203&lt;&gt;"Open","—",IF(A203&lt;AsOf,"Overdue",IF(A203=AsOf,"Due today","Upcoming"))))</f>
        <v/>
      </c>
    </row>
    <row r="204">
      <c r="A204" s="47" t="n"/>
      <c r="B204" s="38" t="n"/>
      <c r="C204" s="38" t="n"/>
      <c r="D204" s="38" t="n"/>
      <c r="E204" s="38" t="n"/>
      <c r="F204" s="38" t="n"/>
      <c r="G204" s="38" t="n"/>
      <c r="H204" s="38" t="n"/>
      <c r="I204" s="49">
        <f>IF(A204="","",IF(G204&lt;&gt;"Open","—",IF(A204&lt;AsOf,"Overdue",IF(A204=AsOf,"Due today","Upcoming"))))</f>
        <v/>
      </c>
    </row>
    <row r="205">
      <c r="A205" s="47" t="n"/>
      <c r="B205" s="38" t="n"/>
      <c r="C205" s="38" t="n"/>
      <c r="D205" s="38" t="n"/>
      <c r="E205" s="38" t="n"/>
      <c r="F205" s="38" t="n"/>
      <c r="G205" s="38" t="n"/>
      <c r="H205" s="38" t="n"/>
      <c r="I205" s="49">
        <f>IF(A205="","",IF(G205&lt;&gt;"Open","—",IF(A205&lt;AsOf,"Overdue",IF(A205=AsOf,"Due today","Upcoming"))))</f>
        <v/>
      </c>
    </row>
    <row r="206">
      <c r="A206" s="47" t="n"/>
      <c r="B206" s="38" t="n"/>
      <c r="C206" s="38" t="n"/>
      <c r="D206" s="38" t="n"/>
      <c r="E206" s="38" t="n"/>
      <c r="F206" s="38" t="n"/>
      <c r="G206" s="38" t="n"/>
      <c r="H206" s="38" t="n"/>
      <c r="I206" s="49">
        <f>IF(A206="","",IF(G206&lt;&gt;"Open","—",IF(A206&lt;AsOf,"Overdue",IF(A206=AsOf,"Due today","Upcoming"))))</f>
        <v/>
      </c>
    </row>
    <row r="207">
      <c r="A207" s="47" t="n"/>
      <c r="B207" s="38" t="n"/>
      <c r="C207" s="38" t="n"/>
      <c r="D207" s="38" t="n"/>
      <c r="E207" s="38" t="n"/>
      <c r="F207" s="38" t="n"/>
      <c r="G207" s="38" t="n"/>
      <c r="H207" s="38" t="n"/>
      <c r="I207" s="49">
        <f>IF(A207="","",IF(G207&lt;&gt;"Open","—",IF(A207&lt;AsOf,"Overdue",IF(A207=AsOf,"Due today","Upcoming"))))</f>
        <v/>
      </c>
    </row>
    <row r="208">
      <c r="A208" s="47" t="n"/>
      <c r="B208" s="38" t="n"/>
      <c r="C208" s="38" t="n"/>
      <c r="D208" s="38" t="n"/>
      <c r="E208" s="38" t="n"/>
      <c r="F208" s="38" t="n"/>
      <c r="G208" s="38" t="n"/>
      <c r="H208" s="38" t="n"/>
      <c r="I208" s="49">
        <f>IF(A208="","",IF(G208&lt;&gt;"Open","—",IF(A208&lt;AsOf,"Overdue",IF(A208=AsOf,"Due today","Upcoming"))))</f>
        <v/>
      </c>
    </row>
    <row r="209">
      <c r="A209" s="47" t="n"/>
      <c r="B209" s="38" t="n"/>
      <c r="C209" s="38" t="n"/>
      <c r="D209" s="38" t="n"/>
      <c r="E209" s="38" t="n"/>
      <c r="F209" s="38" t="n"/>
      <c r="G209" s="38" t="n"/>
      <c r="H209" s="38" t="n"/>
      <c r="I209" s="49">
        <f>IF(A209="","",IF(G209&lt;&gt;"Open","—",IF(A209&lt;AsOf,"Overdue",IF(A209=AsOf,"Due today","Upcoming"))))</f>
        <v/>
      </c>
    </row>
    <row r="210">
      <c r="A210" s="47" t="n"/>
      <c r="B210" s="38" t="n"/>
      <c r="C210" s="38" t="n"/>
      <c r="D210" s="38" t="n"/>
      <c r="E210" s="38" t="n"/>
      <c r="F210" s="38" t="n"/>
      <c r="G210" s="38" t="n"/>
      <c r="H210" s="38" t="n"/>
      <c r="I210" s="49">
        <f>IF(A210="","",IF(G210&lt;&gt;"Open","—",IF(A210&lt;AsOf,"Overdue",IF(A210=AsOf,"Due today","Upcoming"))))</f>
        <v/>
      </c>
    </row>
    <row r="211">
      <c r="A211" s="47" t="n"/>
      <c r="B211" s="38" t="n"/>
      <c r="C211" s="38" t="n"/>
      <c r="D211" s="38" t="n"/>
      <c r="E211" s="38" t="n"/>
      <c r="F211" s="38" t="n"/>
      <c r="G211" s="38" t="n"/>
      <c r="H211" s="38" t="n"/>
      <c r="I211" s="49">
        <f>IF(A211="","",IF(G211&lt;&gt;"Open","—",IF(A211&lt;AsOf,"Overdue",IF(A211=AsOf,"Due today","Upcoming"))))</f>
        <v/>
      </c>
    </row>
    <row r="212">
      <c r="A212" s="47" t="n"/>
      <c r="B212" s="38" t="n"/>
      <c r="C212" s="38" t="n"/>
      <c r="D212" s="38" t="n"/>
      <c r="E212" s="38" t="n"/>
      <c r="F212" s="38" t="n"/>
      <c r="G212" s="38" t="n"/>
      <c r="H212" s="38" t="n"/>
      <c r="I212" s="49">
        <f>IF(A212="","",IF(G212&lt;&gt;"Open","—",IF(A212&lt;AsOf,"Overdue",IF(A212=AsOf,"Due today","Upcoming"))))</f>
        <v/>
      </c>
    </row>
    <row r="213">
      <c r="A213" s="47" t="n"/>
      <c r="B213" s="38" t="n"/>
      <c r="C213" s="38" t="n"/>
      <c r="D213" s="38" t="n"/>
      <c r="E213" s="38" t="n"/>
      <c r="F213" s="38" t="n"/>
      <c r="G213" s="38" t="n"/>
      <c r="H213" s="38" t="n"/>
      <c r="I213" s="49">
        <f>IF(A213="","",IF(G213&lt;&gt;"Open","—",IF(A213&lt;AsOf,"Overdue",IF(A213=AsOf,"Due today","Upcoming"))))</f>
        <v/>
      </c>
    </row>
    <row r="214">
      <c r="A214" s="47" t="n"/>
      <c r="B214" s="38" t="n"/>
      <c r="C214" s="38" t="n"/>
      <c r="D214" s="38" t="n"/>
      <c r="E214" s="38" t="n"/>
      <c r="F214" s="38" t="n"/>
      <c r="G214" s="38" t="n"/>
      <c r="H214" s="38" t="n"/>
      <c r="I214" s="49">
        <f>IF(A214="","",IF(G214&lt;&gt;"Open","—",IF(A214&lt;AsOf,"Overdue",IF(A214=AsOf,"Due today","Upcoming"))))</f>
        <v/>
      </c>
    </row>
    <row r="215">
      <c r="A215" s="47" t="n"/>
      <c r="B215" s="38" t="n"/>
      <c r="C215" s="38" t="n"/>
      <c r="D215" s="38" t="n"/>
      <c r="E215" s="38" t="n"/>
      <c r="F215" s="38" t="n"/>
      <c r="G215" s="38" t="n"/>
      <c r="H215" s="38" t="n"/>
      <c r="I215" s="49">
        <f>IF(A215="","",IF(G215&lt;&gt;"Open","—",IF(A215&lt;AsOf,"Overdue",IF(A215=AsOf,"Due today","Upcoming"))))</f>
        <v/>
      </c>
    </row>
    <row r="216">
      <c r="A216" s="47" t="n"/>
      <c r="B216" s="38" t="n"/>
      <c r="C216" s="38" t="n"/>
      <c r="D216" s="38" t="n"/>
      <c r="E216" s="38" t="n"/>
      <c r="F216" s="38" t="n"/>
      <c r="G216" s="38" t="n"/>
      <c r="H216" s="38" t="n"/>
      <c r="I216" s="49">
        <f>IF(A216="","",IF(G216&lt;&gt;"Open","—",IF(A216&lt;AsOf,"Overdue",IF(A216=AsOf,"Due today","Upcoming"))))</f>
        <v/>
      </c>
    </row>
    <row r="217">
      <c r="A217" s="47" t="n"/>
      <c r="B217" s="38" t="n"/>
      <c r="C217" s="38" t="n"/>
      <c r="D217" s="38" t="n"/>
      <c r="E217" s="38" t="n"/>
      <c r="F217" s="38" t="n"/>
      <c r="G217" s="38" t="n"/>
      <c r="H217" s="38" t="n"/>
      <c r="I217" s="49">
        <f>IF(A217="","",IF(G217&lt;&gt;"Open","—",IF(A217&lt;AsOf,"Overdue",IF(A217=AsOf,"Due today","Upcoming"))))</f>
        <v/>
      </c>
    </row>
    <row r="218">
      <c r="A218" s="47" t="n"/>
      <c r="B218" s="38" t="n"/>
      <c r="C218" s="38" t="n"/>
      <c r="D218" s="38" t="n"/>
      <c r="E218" s="38" t="n"/>
      <c r="F218" s="38" t="n"/>
      <c r="G218" s="38" t="n"/>
      <c r="H218" s="38" t="n"/>
      <c r="I218" s="49">
        <f>IF(A218="","",IF(G218&lt;&gt;"Open","—",IF(A218&lt;AsOf,"Overdue",IF(A218=AsOf,"Due today","Upcoming"))))</f>
        <v/>
      </c>
    </row>
    <row r="219">
      <c r="A219" s="47" t="n"/>
      <c r="B219" s="38" t="n"/>
      <c r="C219" s="38" t="n"/>
      <c r="D219" s="38" t="n"/>
      <c r="E219" s="38" t="n"/>
      <c r="F219" s="38" t="n"/>
      <c r="G219" s="38" t="n"/>
      <c r="H219" s="38" t="n"/>
      <c r="I219" s="49">
        <f>IF(A219="","",IF(G219&lt;&gt;"Open","—",IF(A219&lt;AsOf,"Overdue",IF(A219=AsOf,"Due today","Upcoming"))))</f>
        <v/>
      </c>
    </row>
    <row r="220">
      <c r="A220" s="47" t="n"/>
      <c r="B220" s="38" t="n"/>
      <c r="C220" s="38" t="n"/>
      <c r="D220" s="38" t="n"/>
      <c r="E220" s="38" t="n"/>
      <c r="F220" s="38" t="n"/>
      <c r="G220" s="38" t="n"/>
      <c r="H220" s="38" t="n"/>
      <c r="I220" s="49">
        <f>IF(A220="","",IF(G220&lt;&gt;"Open","—",IF(A220&lt;AsOf,"Overdue",IF(A220=AsOf,"Due today","Upcoming"))))</f>
        <v/>
      </c>
    </row>
    <row r="221">
      <c r="A221" s="47" t="n"/>
      <c r="B221" s="38" t="n"/>
      <c r="C221" s="38" t="n"/>
      <c r="D221" s="38" t="n"/>
      <c r="E221" s="38" t="n"/>
      <c r="F221" s="38" t="n"/>
      <c r="G221" s="38" t="n"/>
      <c r="H221" s="38" t="n"/>
      <c r="I221" s="49">
        <f>IF(A221="","",IF(G221&lt;&gt;"Open","—",IF(A221&lt;AsOf,"Overdue",IF(A221=AsOf,"Due today","Upcoming"))))</f>
        <v/>
      </c>
    </row>
    <row r="222">
      <c r="A222" s="47" t="n"/>
      <c r="B222" s="38" t="n"/>
      <c r="C222" s="38" t="n"/>
      <c r="D222" s="38" t="n"/>
      <c r="E222" s="38" t="n"/>
      <c r="F222" s="38" t="n"/>
      <c r="G222" s="38" t="n"/>
      <c r="H222" s="38" t="n"/>
      <c r="I222" s="49">
        <f>IF(A222="","",IF(G222&lt;&gt;"Open","—",IF(A222&lt;AsOf,"Overdue",IF(A222=AsOf,"Due today","Upcoming"))))</f>
        <v/>
      </c>
    </row>
    <row r="223">
      <c r="A223" s="47" t="n"/>
      <c r="B223" s="38" t="n"/>
      <c r="C223" s="38" t="n"/>
      <c r="D223" s="38" t="n"/>
      <c r="E223" s="38" t="n"/>
      <c r="F223" s="38" t="n"/>
      <c r="G223" s="38" t="n"/>
      <c r="H223" s="38" t="n"/>
      <c r="I223" s="49">
        <f>IF(A223="","",IF(G223&lt;&gt;"Open","—",IF(A223&lt;AsOf,"Overdue",IF(A223=AsOf,"Due today","Upcoming"))))</f>
        <v/>
      </c>
    </row>
    <row r="224">
      <c r="A224" s="47" t="n"/>
      <c r="B224" s="38" t="n"/>
      <c r="C224" s="38" t="n"/>
      <c r="D224" s="38" t="n"/>
      <c r="E224" s="38" t="n"/>
      <c r="F224" s="38" t="n"/>
      <c r="G224" s="38" t="n"/>
      <c r="H224" s="38" t="n"/>
      <c r="I224" s="49">
        <f>IF(A224="","",IF(G224&lt;&gt;"Open","—",IF(A224&lt;AsOf,"Overdue",IF(A224=AsOf,"Due today","Upcoming"))))</f>
        <v/>
      </c>
    </row>
    <row r="225">
      <c r="A225" s="47" t="n"/>
      <c r="B225" s="38" t="n"/>
      <c r="C225" s="38" t="n"/>
      <c r="D225" s="38" t="n"/>
      <c r="E225" s="38" t="n"/>
      <c r="F225" s="38" t="n"/>
      <c r="G225" s="38" t="n"/>
      <c r="H225" s="38" t="n"/>
      <c r="I225" s="49">
        <f>IF(A225="","",IF(G225&lt;&gt;"Open","—",IF(A225&lt;AsOf,"Overdue",IF(A225=AsOf,"Due today","Upcoming"))))</f>
        <v/>
      </c>
    </row>
    <row r="226">
      <c r="A226" s="47" t="n"/>
      <c r="B226" s="38" t="n"/>
      <c r="C226" s="38" t="n"/>
      <c r="D226" s="38" t="n"/>
      <c r="E226" s="38" t="n"/>
      <c r="F226" s="38" t="n"/>
      <c r="G226" s="38" t="n"/>
      <c r="H226" s="38" t="n"/>
      <c r="I226" s="49">
        <f>IF(A226="","",IF(G226&lt;&gt;"Open","—",IF(A226&lt;AsOf,"Overdue",IF(A226=AsOf,"Due today","Upcoming"))))</f>
        <v/>
      </c>
    </row>
    <row r="227">
      <c r="A227" s="47" t="n"/>
      <c r="B227" s="38" t="n"/>
      <c r="C227" s="38" t="n"/>
      <c r="D227" s="38" t="n"/>
      <c r="E227" s="38" t="n"/>
      <c r="F227" s="38" t="n"/>
      <c r="G227" s="38" t="n"/>
      <c r="H227" s="38" t="n"/>
      <c r="I227" s="49">
        <f>IF(A227="","",IF(G227&lt;&gt;"Open","—",IF(A227&lt;AsOf,"Overdue",IF(A227=AsOf,"Due today","Upcoming"))))</f>
        <v/>
      </c>
    </row>
    <row r="228">
      <c r="A228" s="47" t="n"/>
      <c r="B228" s="38" t="n"/>
      <c r="C228" s="38" t="n"/>
      <c r="D228" s="38" t="n"/>
      <c r="E228" s="38" t="n"/>
      <c r="F228" s="38" t="n"/>
      <c r="G228" s="38" t="n"/>
      <c r="H228" s="38" t="n"/>
      <c r="I228" s="49">
        <f>IF(A228="","",IF(G228&lt;&gt;"Open","—",IF(A228&lt;AsOf,"Overdue",IF(A228=AsOf,"Due today","Upcoming"))))</f>
        <v/>
      </c>
    </row>
    <row r="229">
      <c r="A229" s="47" t="n"/>
      <c r="B229" s="38" t="n"/>
      <c r="C229" s="38" t="n"/>
      <c r="D229" s="38" t="n"/>
      <c r="E229" s="38" t="n"/>
      <c r="F229" s="38" t="n"/>
      <c r="G229" s="38" t="n"/>
      <c r="H229" s="38" t="n"/>
      <c r="I229" s="49">
        <f>IF(A229="","",IF(G229&lt;&gt;"Open","—",IF(A229&lt;AsOf,"Overdue",IF(A229=AsOf,"Due today","Upcoming"))))</f>
        <v/>
      </c>
    </row>
    <row r="230">
      <c r="A230" s="47" t="n"/>
      <c r="B230" s="38" t="n"/>
      <c r="C230" s="38" t="n"/>
      <c r="D230" s="38" t="n"/>
      <c r="E230" s="38" t="n"/>
      <c r="F230" s="38" t="n"/>
      <c r="G230" s="38" t="n"/>
      <c r="H230" s="38" t="n"/>
      <c r="I230" s="49">
        <f>IF(A230="","",IF(G230&lt;&gt;"Open","—",IF(A230&lt;AsOf,"Overdue",IF(A230=AsOf,"Due today","Upcoming"))))</f>
        <v/>
      </c>
    </row>
    <row r="231">
      <c r="A231" s="47" t="n"/>
      <c r="B231" s="38" t="n"/>
      <c r="C231" s="38" t="n"/>
      <c r="D231" s="38" t="n"/>
      <c r="E231" s="38" t="n"/>
      <c r="F231" s="38" t="n"/>
      <c r="G231" s="38" t="n"/>
      <c r="H231" s="38" t="n"/>
      <c r="I231" s="49">
        <f>IF(A231="","",IF(G231&lt;&gt;"Open","—",IF(A231&lt;AsOf,"Overdue",IF(A231=AsOf,"Due today","Upcoming"))))</f>
        <v/>
      </c>
    </row>
    <row r="232">
      <c r="A232" s="47" t="n"/>
      <c r="B232" s="38" t="n"/>
      <c r="C232" s="38" t="n"/>
      <c r="D232" s="38" t="n"/>
      <c r="E232" s="38" t="n"/>
      <c r="F232" s="38" t="n"/>
      <c r="G232" s="38" t="n"/>
      <c r="H232" s="38" t="n"/>
      <c r="I232" s="49">
        <f>IF(A232="","",IF(G232&lt;&gt;"Open","—",IF(A232&lt;AsOf,"Overdue",IF(A232=AsOf,"Due today","Upcoming"))))</f>
        <v/>
      </c>
    </row>
    <row r="233">
      <c r="A233" s="47" t="n"/>
      <c r="B233" s="38" t="n"/>
      <c r="C233" s="38" t="n"/>
      <c r="D233" s="38" t="n"/>
      <c r="E233" s="38" t="n"/>
      <c r="F233" s="38" t="n"/>
      <c r="G233" s="38" t="n"/>
      <c r="H233" s="38" t="n"/>
      <c r="I233" s="49">
        <f>IF(A233="","",IF(G233&lt;&gt;"Open","—",IF(A233&lt;AsOf,"Overdue",IF(A233=AsOf,"Due today","Upcoming"))))</f>
        <v/>
      </c>
    </row>
    <row r="234">
      <c r="A234" s="47" t="n"/>
      <c r="B234" s="38" t="n"/>
      <c r="C234" s="38" t="n"/>
      <c r="D234" s="38" t="n"/>
      <c r="E234" s="38" t="n"/>
      <c r="F234" s="38" t="n"/>
      <c r="G234" s="38" t="n"/>
      <c r="H234" s="38" t="n"/>
      <c r="I234" s="49">
        <f>IF(A234="","",IF(G234&lt;&gt;"Open","—",IF(A234&lt;AsOf,"Overdue",IF(A234=AsOf,"Due today","Upcoming"))))</f>
        <v/>
      </c>
    </row>
    <row r="235">
      <c r="A235" s="47" t="n"/>
      <c r="B235" s="38" t="n"/>
      <c r="C235" s="38" t="n"/>
      <c r="D235" s="38" t="n"/>
      <c r="E235" s="38" t="n"/>
      <c r="F235" s="38" t="n"/>
      <c r="G235" s="38" t="n"/>
      <c r="H235" s="38" t="n"/>
      <c r="I235" s="49">
        <f>IF(A235="","",IF(G235&lt;&gt;"Open","—",IF(A235&lt;AsOf,"Overdue",IF(A235=AsOf,"Due today","Upcoming"))))</f>
        <v/>
      </c>
    </row>
    <row r="236">
      <c r="A236" s="47" t="n"/>
      <c r="B236" s="38" t="n"/>
      <c r="C236" s="38" t="n"/>
      <c r="D236" s="38" t="n"/>
      <c r="E236" s="38" t="n"/>
      <c r="F236" s="38" t="n"/>
      <c r="G236" s="38" t="n"/>
      <c r="H236" s="38" t="n"/>
      <c r="I236" s="49">
        <f>IF(A236="","",IF(G236&lt;&gt;"Open","—",IF(A236&lt;AsOf,"Overdue",IF(A236=AsOf,"Due today","Upcoming"))))</f>
        <v/>
      </c>
    </row>
    <row r="237">
      <c r="A237" s="47" t="n"/>
      <c r="B237" s="38" t="n"/>
      <c r="C237" s="38" t="n"/>
      <c r="D237" s="38" t="n"/>
      <c r="E237" s="38" t="n"/>
      <c r="F237" s="38" t="n"/>
      <c r="G237" s="38" t="n"/>
      <c r="H237" s="38" t="n"/>
      <c r="I237" s="49">
        <f>IF(A237="","",IF(G237&lt;&gt;"Open","—",IF(A237&lt;AsOf,"Overdue",IF(A237=AsOf,"Due today","Upcoming"))))</f>
        <v/>
      </c>
    </row>
    <row r="238">
      <c r="A238" s="47" t="n"/>
      <c r="B238" s="38" t="n"/>
      <c r="C238" s="38" t="n"/>
      <c r="D238" s="38" t="n"/>
      <c r="E238" s="38" t="n"/>
      <c r="F238" s="38" t="n"/>
      <c r="G238" s="38" t="n"/>
      <c r="H238" s="38" t="n"/>
      <c r="I238" s="49">
        <f>IF(A238="","",IF(G238&lt;&gt;"Open","—",IF(A238&lt;AsOf,"Overdue",IF(A238=AsOf,"Due today","Upcoming"))))</f>
        <v/>
      </c>
    </row>
    <row r="239">
      <c r="A239" s="47" t="n"/>
      <c r="B239" s="38" t="n"/>
      <c r="C239" s="38" t="n"/>
      <c r="D239" s="38" t="n"/>
      <c r="E239" s="38" t="n"/>
      <c r="F239" s="38" t="n"/>
      <c r="G239" s="38" t="n"/>
      <c r="H239" s="38" t="n"/>
      <c r="I239" s="49">
        <f>IF(A239="","",IF(G239&lt;&gt;"Open","—",IF(A239&lt;AsOf,"Overdue",IF(A239=AsOf,"Due today","Upcoming"))))</f>
        <v/>
      </c>
    </row>
    <row r="240">
      <c r="A240" s="47" t="n"/>
      <c r="B240" s="38" t="n"/>
      <c r="C240" s="38" t="n"/>
      <c r="D240" s="38" t="n"/>
      <c r="E240" s="38" t="n"/>
      <c r="F240" s="38" t="n"/>
      <c r="G240" s="38" t="n"/>
      <c r="H240" s="38" t="n"/>
      <c r="I240" s="49">
        <f>IF(A240="","",IF(G240&lt;&gt;"Open","—",IF(A240&lt;AsOf,"Overdue",IF(A240=AsOf,"Due today","Upcoming"))))</f>
        <v/>
      </c>
    </row>
    <row r="241">
      <c r="A241" s="47" t="n"/>
      <c r="B241" s="38" t="n"/>
      <c r="C241" s="38" t="n"/>
      <c r="D241" s="38" t="n"/>
      <c r="E241" s="38" t="n"/>
      <c r="F241" s="38" t="n"/>
      <c r="G241" s="38" t="n"/>
      <c r="H241" s="38" t="n"/>
      <c r="I241" s="49">
        <f>IF(A241="","",IF(G241&lt;&gt;"Open","—",IF(A241&lt;AsOf,"Overdue",IF(A241=AsOf,"Due today","Upcoming"))))</f>
        <v/>
      </c>
    </row>
    <row r="242">
      <c r="A242" s="47" t="n"/>
      <c r="B242" s="38" t="n"/>
      <c r="C242" s="38" t="n"/>
      <c r="D242" s="38" t="n"/>
      <c r="E242" s="38" t="n"/>
      <c r="F242" s="38" t="n"/>
      <c r="G242" s="38" t="n"/>
      <c r="H242" s="38" t="n"/>
      <c r="I242" s="49">
        <f>IF(A242="","",IF(G242&lt;&gt;"Open","—",IF(A242&lt;AsOf,"Overdue",IF(A242=AsOf,"Due today","Upcoming"))))</f>
        <v/>
      </c>
    </row>
    <row r="243">
      <c r="A243" s="47" t="n"/>
      <c r="B243" s="38" t="n"/>
      <c r="C243" s="38" t="n"/>
      <c r="D243" s="38" t="n"/>
      <c r="E243" s="38" t="n"/>
      <c r="F243" s="38" t="n"/>
      <c r="G243" s="38" t="n"/>
      <c r="H243" s="38" t="n"/>
      <c r="I243" s="49">
        <f>IF(A243="","",IF(G243&lt;&gt;"Open","—",IF(A243&lt;AsOf,"Overdue",IF(A243=AsOf,"Due today","Upcoming"))))</f>
        <v/>
      </c>
    </row>
    <row r="244">
      <c r="A244" s="47" t="n"/>
      <c r="B244" s="38" t="n"/>
      <c r="C244" s="38" t="n"/>
      <c r="D244" s="38" t="n"/>
      <c r="E244" s="38" t="n"/>
      <c r="F244" s="38" t="n"/>
      <c r="G244" s="38" t="n"/>
      <c r="H244" s="38" t="n"/>
      <c r="I244" s="49">
        <f>IF(A244="","",IF(G244&lt;&gt;"Open","—",IF(A244&lt;AsOf,"Overdue",IF(A244=AsOf,"Due today","Upcoming"))))</f>
        <v/>
      </c>
    </row>
    <row r="245">
      <c r="A245" s="47" t="n"/>
      <c r="B245" s="38" t="n"/>
      <c r="C245" s="38" t="n"/>
      <c r="D245" s="38" t="n"/>
      <c r="E245" s="38" t="n"/>
      <c r="F245" s="38" t="n"/>
      <c r="G245" s="38" t="n"/>
      <c r="H245" s="38" t="n"/>
      <c r="I245" s="49">
        <f>IF(A245="","",IF(G245&lt;&gt;"Open","—",IF(A245&lt;AsOf,"Overdue",IF(A245=AsOf,"Due today","Upcoming"))))</f>
        <v/>
      </c>
    </row>
    <row r="246">
      <c r="A246" s="47" t="n"/>
      <c r="B246" s="38" t="n"/>
      <c r="C246" s="38" t="n"/>
      <c r="D246" s="38" t="n"/>
      <c r="E246" s="38" t="n"/>
      <c r="F246" s="38" t="n"/>
      <c r="G246" s="38" t="n"/>
      <c r="H246" s="38" t="n"/>
      <c r="I246" s="49">
        <f>IF(A246="","",IF(G246&lt;&gt;"Open","—",IF(A246&lt;AsOf,"Overdue",IF(A246=AsOf,"Due today","Upcoming"))))</f>
        <v/>
      </c>
    </row>
    <row r="247">
      <c r="A247" s="47" t="n"/>
      <c r="B247" s="38" t="n"/>
      <c r="C247" s="38" t="n"/>
      <c r="D247" s="38" t="n"/>
      <c r="E247" s="38" t="n"/>
      <c r="F247" s="38" t="n"/>
      <c r="G247" s="38" t="n"/>
      <c r="H247" s="38" t="n"/>
      <c r="I247" s="49">
        <f>IF(A247="","",IF(G247&lt;&gt;"Open","—",IF(A247&lt;AsOf,"Overdue",IF(A247=AsOf,"Due today","Upcoming"))))</f>
        <v/>
      </c>
    </row>
    <row r="248">
      <c r="A248" s="47" t="n"/>
      <c r="B248" s="38" t="n"/>
      <c r="C248" s="38" t="n"/>
      <c r="D248" s="38" t="n"/>
      <c r="E248" s="38" t="n"/>
      <c r="F248" s="38" t="n"/>
      <c r="G248" s="38" t="n"/>
      <c r="H248" s="38" t="n"/>
      <c r="I248" s="49">
        <f>IF(A248="","",IF(G248&lt;&gt;"Open","—",IF(A248&lt;AsOf,"Overdue",IF(A248=AsOf,"Due today","Upcoming"))))</f>
        <v/>
      </c>
    </row>
    <row r="249">
      <c r="A249" s="47" t="n"/>
      <c r="B249" s="38" t="n"/>
      <c r="C249" s="38" t="n"/>
      <c r="D249" s="38" t="n"/>
      <c r="E249" s="38" t="n"/>
      <c r="F249" s="38" t="n"/>
      <c r="G249" s="38" t="n"/>
      <c r="H249" s="38" t="n"/>
      <c r="I249" s="49">
        <f>IF(A249="","",IF(G249&lt;&gt;"Open","—",IF(A249&lt;AsOf,"Overdue",IF(A249=AsOf,"Due today","Upcoming"))))</f>
        <v/>
      </c>
    </row>
    <row r="250">
      <c r="A250" s="47" t="n"/>
      <c r="B250" s="38" t="n"/>
      <c r="C250" s="38" t="n"/>
      <c r="D250" s="38" t="n"/>
      <c r="E250" s="38" t="n"/>
      <c r="F250" s="38" t="n"/>
      <c r="G250" s="38" t="n"/>
      <c r="H250" s="38" t="n"/>
      <c r="I250" s="49">
        <f>IF(A250="","",IF(G250&lt;&gt;"Open","—",IF(A250&lt;AsOf,"Overdue",IF(A250=AsOf,"Due today","Upcoming"))))</f>
        <v/>
      </c>
    </row>
    <row r="251">
      <c r="A251" s="47" t="n"/>
      <c r="B251" s="38" t="n"/>
      <c r="C251" s="38" t="n"/>
      <c r="D251" s="38" t="n"/>
      <c r="E251" s="38" t="n"/>
      <c r="F251" s="38" t="n"/>
      <c r="G251" s="38" t="n"/>
      <c r="H251" s="38" t="n"/>
      <c r="I251" s="49">
        <f>IF(A251="","",IF(G251&lt;&gt;"Open","—",IF(A251&lt;AsOf,"Overdue",IF(A251=AsOf,"Due today","Upcoming"))))</f>
        <v/>
      </c>
    </row>
    <row r="252">
      <c r="A252" s="47" t="n"/>
      <c r="B252" s="38" t="n"/>
      <c r="C252" s="38" t="n"/>
      <c r="D252" s="38" t="n"/>
      <c r="E252" s="38" t="n"/>
      <c r="F252" s="38" t="n"/>
      <c r="G252" s="38" t="n"/>
      <c r="H252" s="38" t="n"/>
      <c r="I252" s="49">
        <f>IF(A252="","",IF(G252&lt;&gt;"Open","—",IF(A252&lt;AsOf,"Overdue",IF(A252=AsOf,"Due today","Upcoming"))))</f>
        <v/>
      </c>
    </row>
    <row r="253">
      <c r="A253" s="47" t="n"/>
      <c r="B253" s="38" t="n"/>
      <c r="C253" s="38" t="n"/>
      <c r="D253" s="38" t="n"/>
      <c r="E253" s="38" t="n"/>
      <c r="F253" s="38" t="n"/>
      <c r="G253" s="38" t="n"/>
      <c r="H253" s="38" t="n"/>
      <c r="I253" s="49">
        <f>IF(A253="","",IF(G253&lt;&gt;"Open","—",IF(A253&lt;AsOf,"Overdue",IF(A253=AsOf,"Due today","Upcoming"))))</f>
        <v/>
      </c>
    </row>
    <row r="254">
      <c r="A254" s="47" t="n"/>
      <c r="B254" s="38" t="n"/>
      <c r="C254" s="38" t="n"/>
      <c r="D254" s="38" t="n"/>
      <c r="E254" s="38" t="n"/>
      <c r="F254" s="38" t="n"/>
      <c r="G254" s="38" t="n"/>
      <c r="H254" s="38" t="n"/>
      <c r="I254" s="49">
        <f>IF(A254="","",IF(G254&lt;&gt;"Open","—",IF(A254&lt;AsOf,"Overdue",IF(A254=AsOf,"Due today","Upcoming"))))</f>
        <v/>
      </c>
    </row>
    <row r="255">
      <c r="A255" s="47" t="n"/>
      <c r="B255" s="38" t="n"/>
      <c r="C255" s="38" t="n"/>
      <c r="D255" s="38" t="n"/>
      <c r="E255" s="38" t="n"/>
      <c r="F255" s="38" t="n"/>
      <c r="G255" s="38" t="n"/>
      <c r="H255" s="38" t="n"/>
      <c r="I255" s="49">
        <f>IF(A255="","",IF(G255&lt;&gt;"Open","—",IF(A255&lt;AsOf,"Overdue",IF(A255=AsOf,"Due today","Upcoming"))))</f>
        <v/>
      </c>
    </row>
    <row r="256">
      <c r="A256" s="47" t="n"/>
      <c r="B256" s="38" t="n"/>
      <c r="C256" s="38" t="n"/>
      <c r="D256" s="38" t="n"/>
      <c r="E256" s="38" t="n"/>
      <c r="F256" s="38" t="n"/>
      <c r="G256" s="38" t="n"/>
      <c r="H256" s="38" t="n"/>
      <c r="I256" s="49">
        <f>IF(A256="","",IF(G256&lt;&gt;"Open","—",IF(A256&lt;AsOf,"Overdue",IF(A256=AsOf,"Due today","Upcoming"))))</f>
        <v/>
      </c>
    </row>
    <row r="257">
      <c r="A257" s="47" t="n"/>
      <c r="B257" s="38" t="n"/>
      <c r="C257" s="38" t="n"/>
      <c r="D257" s="38" t="n"/>
      <c r="E257" s="38" t="n"/>
      <c r="F257" s="38" t="n"/>
      <c r="G257" s="38" t="n"/>
      <c r="H257" s="38" t="n"/>
      <c r="I257" s="49">
        <f>IF(A257="","",IF(G257&lt;&gt;"Open","—",IF(A257&lt;AsOf,"Overdue",IF(A257=AsOf,"Due today","Upcoming"))))</f>
        <v/>
      </c>
    </row>
    <row r="258">
      <c r="A258" s="47" t="n"/>
      <c r="B258" s="38" t="n"/>
      <c r="C258" s="38" t="n"/>
      <c r="D258" s="38" t="n"/>
      <c r="E258" s="38" t="n"/>
      <c r="F258" s="38" t="n"/>
      <c r="G258" s="38" t="n"/>
      <c r="H258" s="38" t="n"/>
      <c r="I258" s="49">
        <f>IF(A258="","",IF(G258&lt;&gt;"Open","—",IF(A258&lt;AsOf,"Overdue",IF(A258=AsOf,"Due today","Upcoming"))))</f>
        <v/>
      </c>
    </row>
    <row r="259">
      <c r="A259" s="47" t="n"/>
      <c r="B259" s="38" t="n"/>
      <c r="C259" s="38" t="n"/>
      <c r="D259" s="38" t="n"/>
      <c r="E259" s="38" t="n"/>
      <c r="F259" s="38" t="n"/>
      <c r="G259" s="38" t="n"/>
      <c r="H259" s="38" t="n"/>
      <c r="I259" s="49">
        <f>IF(A259="","",IF(G259&lt;&gt;"Open","—",IF(A259&lt;AsOf,"Overdue",IF(A259=AsOf,"Due today","Upcoming"))))</f>
        <v/>
      </c>
    </row>
    <row r="260">
      <c r="A260" s="47" t="n"/>
      <c r="B260" s="38" t="n"/>
      <c r="C260" s="38" t="n"/>
      <c r="D260" s="38" t="n"/>
      <c r="E260" s="38" t="n"/>
      <c r="F260" s="38" t="n"/>
      <c r="G260" s="38" t="n"/>
      <c r="H260" s="38" t="n"/>
      <c r="I260" s="49">
        <f>IF(A260="","",IF(G260&lt;&gt;"Open","—",IF(A260&lt;AsOf,"Overdue",IF(A260=AsOf,"Due today","Upcoming"))))</f>
        <v/>
      </c>
    </row>
    <row r="261">
      <c r="A261" s="47" t="n"/>
      <c r="B261" s="38" t="n"/>
      <c r="C261" s="38" t="n"/>
      <c r="D261" s="38" t="n"/>
      <c r="E261" s="38" t="n"/>
      <c r="F261" s="38" t="n"/>
      <c r="G261" s="38" t="n"/>
      <c r="H261" s="38" t="n"/>
      <c r="I261" s="49">
        <f>IF(A261="","",IF(G261&lt;&gt;"Open","—",IF(A261&lt;AsOf,"Overdue",IF(A261=AsOf,"Due today","Upcoming"))))</f>
        <v/>
      </c>
    </row>
    <row r="262">
      <c r="A262" s="47" t="n"/>
      <c r="B262" s="38" t="n"/>
      <c r="C262" s="38" t="n"/>
      <c r="D262" s="38" t="n"/>
      <c r="E262" s="38" t="n"/>
      <c r="F262" s="38" t="n"/>
      <c r="G262" s="38" t="n"/>
      <c r="H262" s="38" t="n"/>
      <c r="I262" s="49">
        <f>IF(A262="","",IF(G262&lt;&gt;"Open","—",IF(A262&lt;AsOf,"Overdue",IF(A262=AsOf,"Due today","Upcoming"))))</f>
        <v/>
      </c>
    </row>
    <row r="263">
      <c r="A263" s="47" t="n"/>
      <c r="B263" s="38" t="n"/>
      <c r="C263" s="38" t="n"/>
      <c r="D263" s="38" t="n"/>
      <c r="E263" s="38" t="n"/>
      <c r="F263" s="38" t="n"/>
      <c r="G263" s="38" t="n"/>
      <c r="H263" s="38" t="n"/>
      <c r="I263" s="49">
        <f>IF(A263="","",IF(G263&lt;&gt;"Open","—",IF(A263&lt;AsOf,"Overdue",IF(A263=AsOf,"Due today","Upcoming"))))</f>
        <v/>
      </c>
    </row>
    <row r="264">
      <c r="A264" s="47" t="n"/>
      <c r="B264" s="38" t="n"/>
      <c r="C264" s="38" t="n"/>
      <c r="D264" s="38" t="n"/>
      <c r="E264" s="38" t="n"/>
      <c r="F264" s="38" t="n"/>
      <c r="G264" s="38" t="n"/>
      <c r="H264" s="38" t="n"/>
      <c r="I264" s="49">
        <f>IF(A264="","",IF(G264&lt;&gt;"Open","—",IF(A264&lt;AsOf,"Overdue",IF(A264=AsOf,"Due today","Upcoming"))))</f>
        <v/>
      </c>
    </row>
    <row r="265">
      <c r="A265" s="47" t="n"/>
      <c r="B265" s="38" t="n"/>
      <c r="C265" s="38" t="n"/>
      <c r="D265" s="38" t="n"/>
      <c r="E265" s="38" t="n"/>
      <c r="F265" s="38" t="n"/>
      <c r="G265" s="38" t="n"/>
      <c r="H265" s="38" t="n"/>
      <c r="I265" s="49">
        <f>IF(A265="","",IF(G265&lt;&gt;"Open","—",IF(A265&lt;AsOf,"Overdue",IF(A265=AsOf,"Due today","Upcoming"))))</f>
        <v/>
      </c>
    </row>
    <row r="266">
      <c r="A266" s="47" t="n"/>
      <c r="B266" s="38" t="n"/>
      <c r="C266" s="38" t="n"/>
      <c r="D266" s="38" t="n"/>
      <c r="E266" s="38" t="n"/>
      <c r="F266" s="38" t="n"/>
      <c r="G266" s="38" t="n"/>
      <c r="H266" s="38" t="n"/>
      <c r="I266" s="49">
        <f>IF(A266="","",IF(G266&lt;&gt;"Open","—",IF(A266&lt;AsOf,"Overdue",IF(A266=AsOf,"Due today","Upcoming"))))</f>
        <v/>
      </c>
    </row>
    <row r="267">
      <c r="A267" s="47" t="n"/>
      <c r="B267" s="38" t="n"/>
      <c r="C267" s="38" t="n"/>
      <c r="D267" s="38" t="n"/>
      <c r="E267" s="38" t="n"/>
      <c r="F267" s="38" t="n"/>
      <c r="G267" s="38" t="n"/>
      <c r="H267" s="38" t="n"/>
      <c r="I267" s="49">
        <f>IF(A267="","",IF(G267&lt;&gt;"Open","—",IF(A267&lt;AsOf,"Overdue",IF(A267=AsOf,"Due today","Upcoming"))))</f>
        <v/>
      </c>
    </row>
    <row r="268">
      <c r="A268" s="47" t="n"/>
      <c r="B268" s="38" t="n"/>
      <c r="C268" s="38" t="n"/>
      <c r="D268" s="38" t="n"/>
      <c r="E268" s="38" t="n"/>
      <c r="F268" s="38" t="n"/>
      <c r="G268" s="38" t="n"/>
      <c r="H268" s="38" t="n"/>
      <c r="I268" s="49">
        <f>IF(A268="","",IF(G268&lt;&gt;"Open","—",IF(A268&lt;AsOf,"Overdue",IF(A268=AsOf,"Due today","Upcoming"))))</f>
        <v/>
      </c>
    </row>
    <row r="269">
      <c r="A269" s="47" t="n"/>
      <c r="B269" s="38" t="n"/>
      <c r="C269" s="38" t="n"/>
      <c r="D269" s="38" t="n"/>
      <c r="E269" s="38" t="n"/>
      <c r="F269" s="38" t="n"/>
      <c r="G269" s="38" t="n"/>
      <c r="H269" s="38" t="n"/>
      <c r="I269" s="49">
        <f>IF(A269="","",IF(G269&lt;&gt;"Open","—",IF(A269&lt;AsOf,"Overdue",IF(A269=AsOf,"Due today","Upcoming"))))</f>
        <v/>
      </c>
    </row>
    <row r="270">
      <c r="A270" s="47" t="n"/>
      <c r="B270" s="38" t="n"/>
      <c r="C270" s="38" t="n"/>
      <c r="D270" s="38" t="n"/>
      <c r="E270" s="38" t="n"/>
      <c r="F270" s="38" t="n"/>
      <c r="G270" s="38" t="n"/>
      <c r="H270" s="38" t="n"/>
      <c r="I270" s="49">
        <f>IF(A270="","",IF(G270&lt;&gt;"Open","—",IF(A270&lt;AsOf,"Overdue",IF(A270=AsOf,"Due today","Upcoming"))))</f>
        <v/>
      </c>
    </row>
    <row r="271">
      <c r="A271" s="47" t="n"/>
      <c r="B271" s="38" t="n"/>
      <c r="C271" s="38" t="n"/>
      <c r="D271" s="38" t="n"/>
      <c r="E271" s="38" t="n"/>
      <c r="F271" s="38" t="n"/>
      <c r="G271" s="38" t="n"/>
      <c r="H271" s="38" t="n"/>
      <c r="I271" s="49">
        <f>IF(A271="","",IF(G271&lt;&gt;"Open","—",IF(A271&lt;AsOf,"Overdue",IF(A271=AsOf,"Due today","Upcoming"))))</f>
        <v/>
      </c>
    </row>
    <row r="272">
      <c r="A272" s="47" t="n"/>
      <c r="B272" s="38" t="n"/>
      <c r="C272" s="38" t="n"/>
      <c r="D272" s="38" t="n"/>
      <c r="E272" s="38" t="n"/>
      <c r="F272" s="38" t="n"/>
      <c r="G272" s="38" t="n"/>
      <c r="H272" s="38" t="n"/>
      <c r="I272" s="49">
        <f>IF(A272="","",IF(G272&lt;&gt;"Open","—",IF(A272&lt;AsOf,"Overdue",IF(A272=AsOf,"Due today","Upcoming"))))</f>
        <v/>
      </c>
    </row>
    <row r="273">
      <c r="A273" s="47" t="n"/>
      <c r="B273" s="38" t="n"/>
      <c r="C273" s="38" t="n"/>
      <c r="D273" s="38" t="n"/>
      <c r="E273" s="38" t="n"/>
      <c r="F273" s="38" t="n"/>
      <c r="G273" s="38" t="n"/>
      <c r="H273" s="38" t="n"/>
      <c r="I273" s="49">
        <f>IF(A273="","",IF(G273&lt;&gt;"Open","—",IF(A273&lt;AsOf,"Overdue",IF(A273=AsOf,"Due today","Upcoming"))))</f>
        <v/>
      </c>
    </row>
    <row r="274">
      <c r="A274" s="47" t="n"/>
      <c r="B274" s="38" t="n"/>
      <c r="C274" s="38" t="n"/>
      <c r="D274" s="38" t="n"/>
      <c r="E274" s="38" t="n"/>
      <c r="F274" s="38" t="n"/>
      <c r="G274" s="38" t="n"/>
      <c r="H274" s="38" t="n"/>
      <c r="I274" s="49">
        <f>IF(A274="","",IF(G274&lt;&gt;"Open","—",IF(A274&lt;AsOf,"Overdue",IF(A274=AsOf,"Due today","Upcoming"))))</f>
        <v/>
      </c>
    </row>
    <row r="275">
      <c r="A275" s="47" t="n"/>
      <c r="B275" s="38" t="n"/>
      <c r="C275" s="38" t="n"/>
      <c r="D275" s="38" t="n"/>
      <c r="E275" s="38" t="n"/>
      <c r="F275" s="38" t="n"/>
      <c r="G275" s="38" t="n"/>
      <c r="H275" s="38" t="n"/>
      <c r="I275" s="49">
        <f>IF(A275="","",IF(G275&lt;&gt;"Open","—",IF(A275&lt;AsOf,"Overdue",IF(A275=AsOf,"Due today","Upcoming"))))</f>
        <v/>
      </c>
    </row>
    <row r="276">
      <c r="A276" s="47" t="n"/>
      <c r="B276" s="38" t="n"/>
      <c r="C276" s="38" t="n"/>
      <c r="D276" s="38" t="n"/>
      <c r="E276" s="38" t="n"/>
      <c r="F276" s="38" t="n"/>
      <c r="G276" s="38" t="n"/>
      <c r="H276" s="38" t="n"/>
      <c r="I276" s="49">
        <f>IF(A276="","",IF(G276&lt;&gt;"Open","—",IF(A276&lt;AsOf,"Overdue",IF(A276=AsOf,"Due today","Upcoming"))))</f>
        <v/>
      </c>
    </row>
    <row r="277">
      <c r="A277" s="47" t="n"/>
      <c r="B277" s="38" t="n"/>
      <c r="C277" s="38" t="n"/>
      <c r="D277" s="38" t="n"/>
      <c r="E277" s="38" t="n"/>
      <c r="F277" s="38" t="n"/>
      <c r="G277" s="38" t="n"/>
      <c r="H277" s="38" t="n"/>
      <c r="I277" s="49">
        <f>IF(A277="","",IF(G277&lt;&gt;"Open","—",IF(A277&lt;AsOf,"Overdue",IF(A277=AsOf,"Due today","Upcoming"))))</f>
        <v/>
      </c>
    </row>
    <row r="278">
      <c r="A278" s="47" t="n"/>
      <c r="B278" s="38" t="n"/>
      <c r="C278" s="38" t="n"/>
      <c r="D278" s="38" t="n"/>
      <c r="E278" s="38" t="n"/>
      <c r="F278" s="38" t="n"/>
      <c r="G278" s="38" t="n"/>
      <c r="H278" s="38" t="n"/>
      <c r="I278" s="49">
        <f>IF(A278="","",IF(G278&lt;&gt;"Open","—",IF(A278&lt;AsOf,"Overdue",IF(A278=AsOf,"Due today","Upcoming"))))</f>
        <v/>
      </c>
    </row>
    <row r="279">
      <c r="A279" s="47" t="n"/>
      <c r="B279" s="38" t="n"/>
      <c r="C279" s="38" t="n"/>
      <c r="D279" s="38" t="n"/>
      <c r="E279" s="38" t="n"/>
      <c r="F279" s="38" t="n"/>
      <c r="G279" s="38" t="n"/>
      <c r="H279" s="38" t="n"/>
      <c r="I279" s="49">
        <f>IF(A279="","",IF(G279&lt;&gt;"Open","—",IF(A279&lt;AsOf,"Overdue",IF(A279=AsOf,"Due today","Upcoming"))))</f>
        <v/>
      </c>
    </row>
    <row r="280">
      <c r="A280" s="47" t="n"/>
      <c r="B280" s="38" t="n"/>
      <c r="C280" s="38" t="n"/>
      <c r="D280" s="38" t="n"/>
      <c r="E280" s="38" t="n"/>
      <c r="F280" s="38" t="n"/>
      <c r="G280" s="38" t="n"/>
      <c r="H280" s="38" t="n"/>
      <c r="I280" s="49">
        <f>IF(A280="","",IF(G280&lt;&gt;"Open","—",IF(A280&lt;AsOf,"Overdue",IF(A280=AsOf,"Due today","Upcoming"))))</f>
        <v/>
      </c>
    </row>
    <row r="281">
      <c r="A281" s="47" t="n"/>
      <c r="B281" s="38" t="n"/>
      <c r="C281" s="38" t="n"/>
      <c r="D281" s="38" t="n"/>
      <c r="E281" s="38" t="n"/>
      <c r="F281" s="38" t="n"/>
      <c r="G281" s="38" t="n"/>
      <c r="H281" s="38" t="n"/>
      <c r="I281" s="49">
        <f>IF(A281="","",IF(G281&lt;&gt;"Open","—",IF(A281&lt;AsOf,"Overdue",IF(A281=AsOf,"Due today","Upcoming"))))</f>
        <v/>
      </c>
    </row>
    <row r="282">
      <c r="A282" s="47" t="n"/>
      <c r="B282" s="38" t="n"/>
      <c r="C282" s="38" t="n"/>
      <c r="D282" s="38" t="n"/>
      <c r="E282" s="38" t="n"/>
      <c r="F282" s="38" t="n"/>
      <c r="G282" s="38" t="n"/>
      <c r="H282" s="38" t="n"/>
      <c r="I282" s="49">
        <f>IF(A282="","",IF(G282&lt;&gt;"Open","—",IF(A282&lt;AsOf,"Overdue",IF(A282=AsOf,"Due today","Upcoming"))))</f>
        <v/>
      </c>
    </row>
    <row r="283">
      <c r="A283" s="47" t="n"/>
      <c r="B283" s="38" t="n"/>
      <c r="C283" s="38" t="n"/>
      <c r="D283" s="38" t="n"/>
      <c r="E283" s="38" t="n"/>
      <c r="F283" s="38" t="n"/>
      <c r="G283" s="38" t="n"/>
      <c r="H283" s="38" t="n"/>
      <c r="I283" s="49">
        <f>IF(A283="","",IF(G283&lt;&gt;"Open","—",IF(A283&lt;AsOf,"Overdue",IF(A283=AsOf,"Due today","Upcoming"))))</f>
        <v/>
      </c>
    </row>
    <row r="284">
      <c r="A284" s="47" t="n"/>
      <c r="B284" s="38" t="n"/>
      <c r="C284" s="38" t="n"/>
      <c r="D284" s="38" t="n"/>
      <c r="E284" s="38" t="n"/>
      <c r="F284" s="38" t="n"/>
      <c r="G284" s="38" t="n"/>
      <c r="H284" s="38" t="n"/>
      <c r="I284" s="49">
        <f>IF(A284="","",IF(G284&lt;&gt;"Open","—",IF(A284&lt;AsOf,"Overdue",IF(A284=AsOf,"Due today","Upcoming"))))</f>
        <v/>
      </c>
    </row>
    <row r="285">
      <c r="A285" s="47" t="n"/>
      <c r="B285" s="38" t="n"/>
      <c r="C285" s="38" t="n"/>
      <c r="D285" s="38" t="n"/>
      <c r="E285" s="38" t="n"/>
      <c r="F285" s="38" t="n"/>
      <c r="G285" s="38" t="n"/>
      <c r="H285" s="38" t="n"/>
      <c r="I285" s="49">
        <f>IF(A285="","",IF(G285&lt;&gt;"Open","—",IF(A285&lt;AsOf,"Overdue",IF(A285=AsOf,"Due today","Upcoming"))))</f>
        <v/>
      </c>
    </row>
    <row r="286">
      <c r="A286" s="47" t="n"/>
      <c r="B286" s="38" t="n"/>
      <c r="C286" s="38" t="n"/>
      <c r="D286" s="38" t="n"/>
      <c r="E286" s="38" t="n"/>
      <c r="F286" s="38" t="n"/>
      <c r="G286" s="38" t="n"/>
      <c r="H286" s="38" t="n"/>
      <c r="I286" s="49">
        <f>IF(A286="","",IF(G286&lt;&gt;"Open","—",IF(A286&lt;AsOf,"Overdue",IF(A286=AsOf,"Due today","Upcoming"))))</f>
        <v/>
      </c>
    </row>
    <row r="287">
      <c r="A287" s="47" t="n"/>
      <c r="B287" s="38" t="n"/>
      <c r="C287" s="38" t="n"/>
      <c r="D287" s="38" t="n"/>
      <c r="E287" s="38" t="n"/>
      <c r="F287" s="38" t="n"/>
      <c r="G287" s="38" t="n"/>
      <c r="H287" s="38" t="n"/>
      <c r="I287" s="49">
        <f>IF(A287="","",IF(G287&lt;&gt;"Open","—",IF(A287&lt;AsOf,"Overdue",IF(A287=AsOf,"Due today","Upcoming"))))</f>
        <v/>
      </c>
    </row>
    <row r="288">
      <c r="A288" s="47" t="n"/>
      <c r="B288" s="38" t="n"/>
      <c r="C288" s="38" t="n"/>
      <c r="D288" s="38" t="n"/>
      <c r="E288" s="38" t="n"/>
      <c r="F288" s="38" t="n"/>
      <c r="G288" s="38" t="n"/>
      <c r="H288" s="38" t="n"/>
      <c r="I288" s="49">
        <f>IF(A288="","",IF(G288&lt;&gt;"Open","—",IF(A288&lt;AsOf,"Overdue",IF(A288=AsOf,"Due today","Upcoming"))))</f>
        <v/>
      </c>
    </row>
    <row r="289">
      <c r="A289" s="47" t="n"/>
      <c r="B289" s="38" t="n"/>
      <c r="C289" s="38" t="n"/>
      <c r="D289" s="38" t="n"/>
      <c r="E289" s="38" t="n"/>
      <c r="F289" s="38" t="n"/>
      <c r="G289" s="38" t="n"/>
      <c r="H289" s="38" t="n"/>
      <c r="I289" s="49">
        <f>IF(A289="","",IF(G289&lt;&gt;"Open","—",IF(A289&lt;AsOf,"Overdue",IF(A289=AsOf,"Due today","Upcoming"))))</f>
        <v/>
      </c>
    </row>
    <row r="290">
      <c r="A290" s="47" t="n"/>
      <c r="B290" s="38" t="n"/>
      <c r="C290" s="38" t="n"/>
      <c r="D290" s="38" t="n"/>
      <c r="E290" s="38" t="n"/>
      <c r="F290" s="38" t="n"/>
      <c r="G290" s="38" t="n"/>
      <c r="H290" s="38" t="n"/>
      <c r="I290" s="49">
        <f>IF(A290="","",IF(G290&lt;&gt;"Open","—",IF(A290&lt;AsOf,"Overdue",IF(A290=AsOf,"Due today","Upcoming"))))</f>
        <v/>
      </c>
    </row>
    <row r="291">
      <c r="A291" s="47" t="n"/>
      <c r="B291" s="38" t="n"/>
      <c r="C291" s="38" t="n"/>
      <c r="D291" s="38" t="n"/>
      <c r="E291" s="38" t="n"/>
      <c r="F291" s="38" t="n"/>
      <c r="G291" s="38" t="n"/>
      <c r="H291" s="38" t="n"/>
      <c r="I291" s="49">
        <f>IF(A291="","",IF(G291&lt;&gt;"Open","—",IF(A291&lt;AsOf,"Overdue",IF(A291=AsOf,"Due today","Upcoming"))))</f>
        <v/>
      </c>
    </row>
    <row r="292">
      <c r="A292" s="47" t="n"/>
      <c r="B292" s="38" t="n"/>
      <c r="C292" s="38" t="n"/>
      <c r="D292" s="38" t="n"/>
      <c r="E292" s="38" t="n"/>
      <c r="F292" s="38" t="n"/>
      <c r="G292" s="38" t="n"/>
      <c r="H292" s="38" t="n"/>
      <c r="I292" s="49">
        <f>IF(A292="","",IF(G292&lt;&gt;"Open","—",IF(A292&lt;AsOf,"Overdue",IF(A292=AsOf,"Due today","Upcoming"))))</f>
        <v/>
      </c>
    </row>
    <row r="293">
      <c r="A293" s="47" t="n"/>
      <c r="B293" s="38" t="n"/>
      <c r="C293" s="38" t="n"/>
      <c r="D293" s="38" t="n"/>
      <c r="E293" s="38" t="n"/>
      <c r="F293" s="38" t="n"/>
      <c r="G293" s="38" t="n"/>
      <c r="H293" s="38" t="n"/>
      <c r="I293" s="49">
        <f>IF(A293="","",IF(G293&lt;&gt;"Open","—",IF(A293&lt;AsOf,"Overdue",IF(A293=AsOf,"Due today","Upcoming"))))</f>
        <v/>
      </c>
    </row>
    <row r="294">
      <c r="A294" s="47" t="n"/>
      <c r="B294" s="38" t="n"/>
      <c r="C294" s="38" t="n"/>
      <c r="D294" s="38" t="n"/>
      <c r="E294" s="38" t="n"/>
      <c r="F294" s="38" t="n"/>
      <c r="G294" s="38" t="n"/>
      <c r="H294" s="38" t="n"/>
      <c r="I294" s="49">
        <f>IF(A294="","",IF(G294&lt;&gt;"Open","—",IF(A294&lt;AsOf,"Overdue",IF(A294=AsOf,"Due today","Upcoming"))))</f>
        <v/>
      </c>
    </row>
    <row r="295">
      <c r="A295" s="47" t="n"/>
      <c r="B295" s="38" t="n"/>
      <c r="C295" s="38" t="n"/>
      <c r="D295" s="38" t="n"/>
      <c r="E295" s="38" t="n"/>
      <c r="F295" s="38" t="n"/>
      <c r="G295" s="38" t="n"/>
      <c r="H295" s="38" t="n"/>
      <c r="I295" s="49">
        <f>IF(A295="","",IF(G295&lt;&gt;"Open","—",IF(A295&lt;AsOf,"Overdue",IF(A295=AsOf,"Due today","Upcoming"))))</f>
        <v/>
      </c>
    </row>
    <row r="296">
      <c r="A296" s="47" t="n"/>
      <c r="B296" s="38" t="n"/>
      <c r="C296" s="38" t="n"/>
      <c r="D296" s="38" t="n"/>
      <c r="E296" s="38" t="n"/>
      <c r="F296" s="38" t="n"/>
      <c r="G296" s="38" t="n"/>
      <c r="H296" s="38" t="n"/>
      <c r="I296" s="49">
        <f>IF(A296="","",IF(G296&lt;&gt;"Open","—",IF(A296&lt;AsOf,"Overdue",IF(A296=AsOf,"Due today","Upcoming"))))</f>
        <v/>
      </c>
    </row>
    <row r="297">
      <c r="A297" s="47" t="n"/>
      <c r="B297" s="38" t="n"/>
      <c r="C297" s="38" t="n"/>
      <c r="D297" s="38" t="n"/>
      <c r="E297" s="38" t="n"/>
      <c r="F297" s="38" t="n"/>
      <c r="G297" s="38" t="n"/>
      <c r="H297" s="38" t="n"/>
      <c r="I297" s="49">
        <f>IF(A297="","",IF(G297&lt;&gt;"Open","—",IF(A297&lt;AsOf,"Overdue",IF(A297=AsOf,"Due today","Upcoming"))))</f>
        <v/>
      </c>
    </row>
    <row r="298">
      <c r="A298" s="47" t="n"/>
      <c r="B298" s="38" t="n"/>
      <c r="C298" s="38" t="n"/>
      <c r="D298" s="38" t="n"/>
      <c r="E298" s="38" t="n"/>
      <c r="F298" s="38" t="n"/>
      <c r="G298" s="38" t="n"/>
      <c r="H298" s="38" t="n"/>
      <c r="I298" s="49">
        <f>IF(A298="","",IF(G298&lt;&gt;"Open","—",IF(A298&lt;AsOf,"Overdue",IF(A298=AsOf,"Due today","Upcoming"))))</f>
        <v/>
      </c>
    </row>
    <row r="299">
      <c r="A299" s="47" t="n"/>
      <c r="B299" s="38" t="n"/>
      <c r="C299" s="38" t="n"/>
      <c r="D299" s="38" t="n"/>
      <c r="E299" s="38" t="n"/>
      <c r="F299" s="38" t="n"/>
      <c r="G299" s="38" t="n"/>
      <c r="H299" s="38" t="n"/>
      <c r="I299" s="49">
        <f>IF(A299="","",IF(G299&lt;&gt;"Open","—",IF(A299&lt;AsOf,"Overdue",IF(A299=AsOf,"Due today","Upcoming"))))</f>
        <v/>
      </c>
    </row>
    <row r="300">
      <c r="A300" s="47" t="n"/>
      <c r="B300" s="38" t="n"/>
      <c r="C300" s="38" t="n"/>
      <c r="D300" s="38" t="n"/>
      <c r="E300" s="38" t="n"/>
      <c r="F300" s="38" t="n"/>
      <c r="G300" s="38" t="n"/>
      <c r="H300" s="38" t="n"/>
      <c r="I300" s="49">
        <f>IF(A300="","",IF(G300&lt;&gt;"Open","—",IF(A300&lt;AsOf,"Overdue",IF(A300=AsOf,"Due today","Upcoming"))))</f>
        <v/>
      </c>
    </row>
    <row r="301">
      <c r="A301" s="47" t="n"/>
      <c r="B301" s="38" t="n"/>
      <c r="C301" s="38" t="n"/>
      <c r="D301" s="38" t="n"/>
      <c r="E301" s="38" t="n"/>
      <c r="F301" s="38" t="n"/>
      <c r="G301" s="38" t="n"/>
      <c r="H301" s="38" t="n"/>
      <c r="I301" s="49">
        <f>IF(A301="","",IF(G301&lt;&gt;"Open","—",IF(A301&lt;AsOf,"Overdue",IF(A301=AsOf,"Due today","Upcoming"))))</f>
        <v/>
      </c>
    </row>
    <row r="302">
      <c r="A302" s="47" t="n"/>
      <c r="B302" s="38" t="n"/>
      <c r="C302" s="38" t="n"/>
      <c r="D302" s="38" t="n"/>
      <c r="E302" s="38" t="n"/>
      <c r="F302" s="38" t="n"/>
      <c r="G302" s="38" t="n"/>
      <c r="H302" s="38" t="n"/>
      <c r="I302" s="49">
        <f>IF(A302="","",IF(G302&lt;&gt;"Open","—",IF(A302&lt;AsOf,"Overdue",IF(A302=AsOf,"Due today","Upcoming"))))</f>
        <v/>
      </c>
    </row>
    <row r="303">
      <c r="A303" s="47" t="n"/>
      <c r="B303" s="38" t="n"/>
      <c r="C303" s="38" t="n"/>
      <c r="D303" s="38" t="n"/>
      <c r="E303" s="38" t="n"/>
      <c r="F303" s="38" t="n"/>
      <c r="G303" s="38" t="n"/>
      <c r="H303" s="38" t="n"/>
      <c r="I303" s="49">
        <f>IF(A303="","",IF(G303&lt;&gt;"Open","—",IF(A303&lt;AsOf,"Overdue",IF(A303=AsOf,"Due today","Upcoming"))))</f>
        <v/>
      </c>
    </row>
    <row r="304">
      <c r="A304" s="47" t="n"/>
      <c r="B304" s="38" t="n"/>
      <c r="C304" s="38" t="n"/>
      <c r="D304" s="38" t="n"/>
      <c r="E304" s="38" t="n"/>
      <c r="F304" s="38" t="n"/>
      <c r="G304" s="38" t="n"/>
      <c r="H304" s="38" t="n"/>
      <c r="I304" s="49">
        <f>IF(A304="","",IF(G304&lt;&gt;"Open","—",IF(A304&lt;AsOf,"Overdue",IF(A304=AsOf,"Due today","Upcoming"))))</f>
        <v/>
      </c>
    </row>
    <row r="305">
      <c r="A305" s="47" t="n"/>
      <c r="B305" s="38" t="n"/>
      <c r="C305" s="38" t="n"/>
      <c r="D305" s="38" t="n"/>
      <c r="E305" s="38" t="n"/>
      <c r="F305" s="38" t="n"/>
      <c r="G305" s="38" t="n"/>
      <c r="H305" s="38" t="n"/>
      <c r="I305" s="49">
        <f>IF(A305="","",IF(G305&lt;&gt;"Open","—",IF(A305&lt;AsOf,"Overdue",IF(A305=AsOf,"Due today","Upcoming"))))</f>
        <v/>
      </c>
    </row>
    <row r="306">
      <c r="A306" s="47" t="n"/>
      <c r="B306" s="38" t="n"/>
      <c r="C306" s="38" t="n"/>
      <c r="D306" s="38" t="n"/>
      <c r="E306" s="38" t="n"/>
      <c r="F306" s="38" t="n"/>
      <c r="G306" s="38" t="n"/>
      <c r="H306" s="38" t="n"/>
      <c r="I306" s="49">
        <f>IF(A306="","",IF(G306&lt;&gt;"Open","—",IF(A306&lt;AsOf,"Overdue",IF(A306=AsOf,"Due today","Upcoming"))))</f>
        <v/>
      </c>
    </row>
    <row r="307">
      <c r="A307" s="47" t="n"/>
      <c r="B307" s="38" t="n"/>
      <c r="C307" s="38" t="n"/>
      <c r="D307" s="38" t="n"/>
      <c r="E307" s="38" t="n"/>
      <c r="F307" s="38" t="n"/>
      <c r="G307" s="38" t="n"/>
      <c r="H307" s="38" t="n"/>
      <c r="I307" s="49">
        <f>IF(A307="","",IF(G307&lt;&gt;"Open","—",IF(A307&lt;AsOf,"Overdue",IF(A307=AsOf,"Due today","Upcoming"))))</f>
        <v/>
      </c>
    </row>
    <row r="308">
      <c r="A308" s="47" t="n"/>
      <c r="B308" s="38" t="n"/>
      <c r="C308" s="38" t="n"/>
      <c r="D308" s="38" t="n"/>
      <c r="E308" s="38" t="n"/>
      <c r="F308" s="38" t="n"/>
      <c r="G308" s="38" t="n"/>
      <c r="H308" s="38" t="n"/>
      <c r="I308" s="49">
        <f>IF(A308="","",IF(G308&lt;&gt;"Open","—",IF(A308&lt;AsOf,"Overdue",IF(A308=AsOf,"Due today","Upcoming"))))</f>
        <v/>
      </c>
    </row>
    <row r="309">
      <c r="A309" s="47" t="n"/>
      <c r="B309" s="38" t="n"/>
      <c r="C309" s="38" t="n"/>
      <c r="D309" s="38" t="n"/>
      <c r="E309" s="38" t="n"/>
      <c r="F309" s="38" t="n"/>
      <c r="G309" s="38" t="n"/>
      <c r="H309" s="38" t="n"/>
      <c r="I309" s="49">
        <f>IF(A309="","",IF(G309&lt;&gt;"Open","—",IF(A309&lt;AsOf,"Overdue",IF(A309=AsOf,"Due today","Upcoming"))))</f>
        <v/>
      </c>
    </row>
    <row r="310">
      <c r="A310" s="47" t="n"/>
      <c r="B310" s="38" t="n"/>
      <c r="C310" s="38" t="n"/>
      <c r="D310" s="38" t="n"/>
      <c r="E310" s="38" t="n"/>
      <c r="F310" s="38" t="n"/>
      <c r="G310" s="38" t="n"/>
      <c r="H310" s="38" t="n"/>
      <c r="I310" s="49">
        <f>IF(A310="","",IF(G310&lt;&gt;"Open","—",IF(A310&lt;AsOf,"Overdue",IF(A310=AsOf,"Due today","Upcoming"))))</f>
        <v/>
      </c>
    </row>
    <row r="311">
      <c r="A311" s="47" t="n"/>
      <c r="B311" s="38" t="n"/>
      <c r="C311" s="38" t="n"/>
      <c r="D311" s="38" t="n"/>
      <c r="E311" s="38" t="n"/>
      <c r="F311" s="38" t="n"/>
      <c r="G311" s="38" t="n"/>
      <c r="H311" s="38" t="n"/>
      <c r="I311" s="49">
        <f>IF(A311="","",IF(G311&lt;&gt;"Open","—",IF(A311&lt;AsOf,"Overdue",IF(A311=AsOf,"Due today","Upcoming"))))</f>
        <v/>
      </c>
    </row>
    <row r="312">
      <c r="A312" s="47" t="n"/>
      <c r="B312" s="38" t="n"/>
      <c r="C312" s="38" t="n"/>
      <c r="D312" s="38" t="n"/>
      <c r="E312" s="38" t="n"/>
      <c r="F312" s="38" t="n"/>
      <c r="G312" s="38" t="n"/>
      <c r="H312" s="38" t="n"/>
      <c r="I312" s="49">
        <f>IF(A312="","",IF(G312&lt;&gt;"Open","—",IF(A312&lt;AsOf,"Overdue",IF(A312=AsOf,"Due today","Upcoming"))))</f>
        <v/>
      </c>
    </row>
    <row r="313">
      <c r="A313" s="47" t="n"/>
      <c r="B313" s="38" t="n"/>
      <c r="C313" s="38" t="n"/>
      <c r="D313" s="38" t="n"/>
      <c r="E313" s="38" t="n"/>
      <c r="F313" s="38" t="n"/>
      <c r="G313" s="38" t="n"/>
      <c r="H313" s="38" t="n"/>
      <c r="I313" s="49">
        <f>IF(A313="","",IF(G313&lt;&gt;"Open","—",IF(A313&lt;AsOf,"Overdue",IF(A313=AsOf,"Due today","Upcoming"))))</f>
        <v/>
      </c>
    </row>
    <row r="314">
      <c r="A314" s="47" t="n"/>
      <c r="B314" s="38" t="n"/>
      <c r="C314" s="38" t="n"/>
      <c r="D314" s="38" t="n"/>
      <c r="E314" s="38" t="n"/>
      <c r="F314" s="38" t="n"/>
      <c r="G314" s="38" t="n"/>
      <c r="H314" s="38" t="n"/>
      <c r="I314" s="49">
        <f>IF(A314="","",IF(G314&lt;&gt;"Open","—",IF(A314&lt;AsOf,"Overdue",IF(A314=AsOf,"Due today","Upcoming"))))</f>
        <v/>
      </c>
    </row>
    <row r="315">
      <c r="A315" s="47" t="n"/>
      <c r="B315" s="38" t="n"/>
      <c r="C315" s="38" t="n"/>
      <c r="D315" s="38" t="n"/>
      <c r="E315" s="38" t="n"/>
      <c r="F315" s="38" t="n"/>
      <c r="G315" s="38" t="n"/>
      <c r="H315" s="38" t="n"/>
      <c r="I315" s="49">
        <f>IF(A315="","",IF(G315&lt;&gt;"Open","—",IF(A315&lt;AsOf,"Overdue",IF(A315=AsOf,"Due today","Upcoming"))))</f>
        <v/>
      </c>
    </row>
    <row r="316">
      <c r="A316" s="47" t="n"/>
      <c r="B316" s="38" t="n"/>
      <c r="C316" s="38" t="n"/>
      <c r="D316" s="38" t="n"/>
      <c r="E316" s="38" t="n"/>
      <c r="F316" s="38" t="n"/>
      <c r="G316" s="38" t="n"/>
      <c r="H316" s="38" t="n"/>
      <c r="I316" s="49">
        <f>IF(A316="","",IF(G316&lt;&gt;"Open","—",IF(A316&lt;AsOf,"Overdue",IF(A316=AsOf,"Due today","Upcoming"))))</f>
        <v/>
      </c>
    </row>
    <row r="317">
      <c r="A317" s="47" t="n"/>
      <c r="B317" s="38" t="n"/>
      <c r="C317" s="38" t="n"/>
      <c r="D317" s="38" t="n"/>
      <c r="E317" s="38" t="n"/>
      <c r="F317" s="38" t="n"/>
      <c r="G317" s="38" t="n"/>
      <c r="H317" s="38" t="n"/>
      <c r="I317" s="49">
        <f>IF(A317="","",IF(G317&lt;&gt;"Open","—",IF(A317&lt;AsOf,"Overdue",IF(A317=AsOf,"Due today","Upcoming"))))</f>
        <v/>
      </c>
    </row>
    <row r="318">
      <c r="A318" s="47" t="n"/>
      <c r="B318" s="38" t="n"/>
      <c r="C318" s="38" t="n"/>
      <c r="D318" s="38" t="n"/>
      <c r="E318" s="38" t="n"/>
      <c r="F318" s="38" t="n"/>
      <c r="G318" s="38" t="n"/>
      <c r="H318" s="38" t="n"/>
      <c r="I318" s="49">
        <f>IF(A318="","",IF(G318&lt;&gt;"Open","—",IF(A318&lt;AsOf,"Overdue",IF(A318=AsOf,"Due today","Upcoming"))))</f>
        <v/>
      </c>
    </row>
    <row r="319">
      <c r="A319" s="47" t="n"/>
      <c r="B319" s="38" t="n"/>
      <c r="C319" s="38" t="n"/>
      <c r="D319" s="38" t="n"/>
      <c r="E319" s="38" t="n"/>
      <c r="F319" s="38" t="n"/>
      <c r="G319" s="38" t="n"/>
      <c r="H319" s="38" t="n"/>
      <c r="I319" s="49">
        <f>IF(A319="","",IF(G319&lt;&gt;"Open","—",IF(A319&lt;AsOf,"Overdue",IF(A319=AsOf,"Due today","Upcoming"))))</f>
        <v/>
      </c>
    </row>
    <row r="320">
      <c r="A320" s="47" t="n"/>
      <c r="B320" s="38" t="n"/>
      <c r="C320" s="38" t="n"/>
      <c r="D320" s="38" t="n"/>
      <c r="E320" s="38" t="n"/>
      <c r="F320" s="38" t="n"/>
      <c r="G320" s="38" t="n"/>
      <c r="H320" s="38" t="n"/>
      <c r="I320" s="49">
        <f>IF(A320="","",IF(G320&lt;&gt;"Open","—",IF(A320&lt;AsOf,"Overdue",IF(A320=AsOf,"Due today","Upcoming"))))</f>
        <v/>
      </c>
    </row>
    <row r="321">
      <c r="A321" s="47" t="n"/>
      <c r="B321" s="38" t="n"/>
      <c r="C321" s="38" t="n"/>
      <c r="D321" s="38" t="n"/>
      <c r="E321" s="38" t="n"/>
      <c r="F321" s="38" t="n"/>
      <c r="G321" s="38" t="n"/>
      <c r="H321" s="38" t="n"/>
      <c r="I321" s="49">
        <f>IF(A321="","",IF(G321&lt;&gt;"Open","—",IF(A321&lt;AsOf,"Overdue",IF(A321=AsOf,"Due today","Upcoming"))))</f>
        <v/>
      </c>
    </row>
    <row r="322">
      <c r="A322" s="47" t="n"/>
      <c r="B322" s="38" t="n"/>
      <c r="C322" s="38" t="n"/>
      <c r="D322" s="38" t="n"/>
      <c r="E322" s="38" t="n"/>
      <c r="F322" s="38" t="n"/>
      <c r="G322" s="38" t="n"/>
      <c r="H322" s="38" t="n"/>
      <c r="I322" s="49">
        <f>IF(A322="","",IF(G322&lt;&gt;"Open","—",IF(A322&lt;AsOf,"Overdue",IF(A322=AsOf,"Due today","Upcoming"))))</f>
        <v/>
      </c>
    </row>
    <row r="323">
      <c r="A323" s="47" t="n"/>
      <c r="B323" s="38" t="n"/>
      <c r="C323" s="38" t="n"/>
      <c r="D323" s="38" t="n"/>
      <c r="E323" s="38" t="n"/>
      <c r="F323" s="38" t="n"/>
      <c r="G323" s="38" t="n"/>
      <c r="H323" s="38" t="n"/>
      <c r="I323" s="49">
        <f>IF(A323="","",IF(G323&lt;&gt;"Open","—",IF(A323&lt;AsOf,"Overdue",IF(A323=AsOf,"Due today","Upcoming"))))</f>
        <v/>
      </c>
    </row>
    <row r="324">
      <c r="A324" s="47" t="n"/>
      <c r="B324" s="38" t="n"/>
      <c r="C324" s="38" t="n"/>
      <c r="D324" s="38" t="n"/>
      <c r="E324" s="38" t="n"/>
      <c r="F324" s="38" t="n"/>
      <c r="G324" s="38" t="n"/>
      <c r="H324" s="38" t="n"/>
      <c r="I324" s="49">
        <f>IF(A324="","",IF(G324&lt;&gt;"Open","—",IF(A324&lt;AsOf,"Overdue",IF(A324=AsOf,"Due today","Upcoming"))))</f>
        <v/>
      </c>
    </row>
  </sheetData>
  <autoFilter ref="A24:I324"/>
  <mergeCells count="2">
    <mergeCell ref="A1:I1"/>
    <mergeCell ref="A2:I2"/>
  </mergeCells>
  <conditionalFormatting sqref="E6:E20">
    <cfRule type="expression" priority="1" dxfId="0">
      <formula>E6="Overdue"</formula>
    </cfRule>
    <cfRule type="expression" priority="2" dxfId="2">
      <formula>E6="Due today"</formula>
    </cfRule>
  </conditionalFormatting>
  <conditionalFormatting sqref="I25:I324">
    <cfRule type="expression" priority="3" dxfId="0">
      <formula>I25="Overdue"</formula>
    </cfRule>
    <cfRule type="expression" priority="4" dxfId="2">
      <formula>I25="Due today"</formula>
    </cfRule>
  </conditionalFormatting>
  <dataValidations count="4">
    <dataValidation sqref="C25:C324" showDropDown="0" showInputMessage="0" showErrorMessage="0" allowBlank="1" type="list">
      <formula1>='SETTINGS'!$X$5:$X$24</formula1>
    </dataValidation>
    <dataValidation sqref="E25:E324" showDropDown="0" showInputMessage="0" showErrorMessage="0" allowBlank="1" type="list">
      <formula1>='SETTINGS'!$Z$5:$Z$24</formula1>
    </dataValidation>
    <dataValidation sqref="F25:F324" showDropDown="0" showInputMessage="0" showErrorMessage="0" allowBlank="1" type="list">
      <formula1>='SETTINGS'!$AK$5:$AK$24</formula1>
    </dataValidation>
    <dataValidation sqref="G25:G324" showDropDown="0" showInputMessage="0" showErrorMessage="0" allowBlank="1" type="list">
      <formula1>='SETTINGS'!$Y$5:$Y$7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8.xml><?xml version="1.0" encoding="utf-8"?>
<worksheet xmlns="http://schemas.openxmlformats.org/spreadsheetml/2006/main">
  <sheetPr>
    <tabColor rgb="00E08E2B"/>
    <outlinePr summaryBelow="1" summaryRight="1"/>
    <pageSetUpPr fitToPage="1"/>
  </sheetPr>
  <dimension ref="A1:M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34" customWidth="1" min="9" max="9"/>
    <col width="13" customWidth="1" min="10" max="10"/>
    <col width="16" customWidth="1" min="11" max="11"/>
    <col width="13" customWidth="1" min="12" max="12"/>
    <col width="13" customWidth="1" min="13" max="13"/>
  </cols>
  <sheetData>
    <row r="1" ht="34" customHeight="1">
      <c r="A1" s="42" t="inlineStr">
        <is>
          <t>REVIEWS</t>
        </is>
      </c>
      <c r="B1" s="1" t="n"/>
      <c r="C1" s="1" t="n"/>
      <c r="D1" s="1" t="n"/>
      <c r="E1" s="1" t="n"/>
      <c r="F1" s="1" t="n"/>
      <c r="G1" s="1" t="n"/>
      <c r="H1" s="1" t="n"/>
      <c r="I1" s="1" t="n"/>
      <c r="J1" s="1" t="n"/>
      <c r="K1" s="1" t="n"/>
      <c r="L1" s="1" t="n"/>
      <c r="M1" s="1" t="n"/>
    </row>
    <row r="2" ht="30" customHeight="1">
      <c r="A2" s="43" t="inlineStr">
        <is>
          <t>Track every review request. Ask within a day of a great clean (AI Workflow 07), remind once, and reply to every review (AI Workflow 08).</t>
        </is>
      </c>
    </row>
    <row r="3" ht="18" customHeight="1">
      <c r="A3" s="24" t="inlineStr">
        <is>
          <t>← Start Here</t>
        </is>
      </c>
      <c r="B3" s="24" t="inlineStr">
        <is>
          <t>Dashboard →</t>
        </is>
      </c>
    </row>
    <row r="4" ht="42" customHeight="1">
      <c r="A4" s="44" t="inlineStr">
        <is>
          <t>Customer</t>
        </is>
      </c>
      <c r="B4" s="44" t="inlineStr">
        <is>
          <t>Job ID</t>
        </is>
      </c>
      <c r="C4" s="44" t="inlineStr">
        <is>
          <t>Date Requested</t>
        </is>
      </c>
      <c r="D4" s="44" t="inlineStr">
        <is>
          <t>Platform</t>
        </is>
      </c>
      <c r="E4" s="44" t="inlineStr">
        <is>
          <t>Status</t>
        </is>
      </c>
      <c r="F4" s="44" t="inlineStr">
        <is>
          <t>Date Received</t>
        </is>
      </c>
      <c r="G4" s="44" t="inlineStr">
        <is>
          <t>Rating (1–5)</t>
        </is>
      </c>
      <c r="H4" s="44" t="inlineStr">
        <is>
          <t>You Replied?</t>
        </is>
      </c>
      <c r="I4" s="44" t="inlineStr">
        <is>
          <t>Notes / Quote from Review</t>
        </is>
      </c>
      <c r="J4" s="45" t="inlineStr">
        <is>
          <t>Days Waiting ⚙</t>
        </is>
      </c>
      <c r="K4" s="45" t="inlineStr">
        <is>
          <t>Action ⚙</t>
        </is>
      </c>
      <c r="L4" s="45" t="inlineStr">
        <is>
          <t>Received Month ⚙</t>
        </is>
      </c>
      <c r="M4" s="45" t="inlineStr">
        <is>
          <t>Requested Month ⚙</t>
        </is>
      </c>
    </row>
    <row r="5">
      <c r="A5" s="38" t="inlineStr">
        <is>
          <t>Lane Northcott</t>
        </is>
      </c>
      <c r="B5" s="38" t="inlineStr">
        <is>
          <t>J-0002</t>
        </is>
      </c>
      <c r="C5" s="47" t="n">
        <v>46037</v>
      </c>
      <c r="D5" s="38" t="inlineStr">
        <is>
          <t>Google</t>
        </is>
      </c>
      <c r="E5" s="38" t="inlineStr">
        <is>
          <t>Reminder sent</t>
        </is>
      </c>
      <c r="F5" s="47" t="n"/>
      <c r="G5" s="57" t="n"/>
      <c r="H5" s="38" t="n"/>
      <c r="I5" s="38" t="inlineStr"/>
      <c r="J5" s="50">
        <f>IF(C5="","",IF(OR(E5="Received",E5="Declined"),"",AsOf-C5))</f>
        <v/>
      </c>
      <c r="K5" s="49">
        <f>IF(A5="","",IF(AND(E5="Received",H5&lt;&gt;"Yes"),"Reply to review",IF(N(J5)&gt;=ReviewWait,IF(E5="Reminder sent","Close out","Send reminder"),"—")))</f>
        <v/>
      </c>
      <c r="L5" s="51">
        <f>IF(F5="","",DATE(YEAR(F5),MONTH(F5),1))</f>
        <v/>
      </c>
      <c r="M5" s="51">
        <f>IF(C5="","",DATE(YEAR(C5),MONTH(C5),1))</f>
        <v/>
      </c>
    </row>
    <row r="6">
      <c r="A6" s="38" t="inlineStr">
        <is>
          <t>Taylor Quigley</t>
        </is>
      </c>
      <c r="B6" s="38" t="inlineStr">
        <is>
          <t>J-0008</t>
        </is>
      </c>
      <c r="C6" s="47" t="n">
        <v>46049</v>
      </c>
      <c r="D6" s="38" t="inlineStr">
        <is>
          <t>Google</t>
        </is>
      </c>
      <c r="E6" s="38" t="inlineStr">
        <is>
          <t>Received</t>
        </is>
      </c>
      <c r="F6" s="47" t="n">
        <v>46051</v>
      </c>
      <c r="G6" s="57" t="n">
        <v>3</v>
      </c>
      <c r="H6" s="38" t="inlineStr">
        <is>
          <t>Yes</t>
        </is>
      </c>
      <c r="I6" s="38" t="inlineStr">
        <is>
          <t>Wanted baseboards done — follow up</t>
        </is>
      </c>
      <c r="J6" s="50">
        <f>IF(C6="","",IF(OR(E6="Received",E6="Declined"),"",AsOf-C6))</f>
        <v/>
      </c>
      <c r="K6" s="49">
        <f>IF(A6="","",IF(AND(E6="Received",H6&lt;&gt;"Yes"),"Reply to review",IF(N(J6)&gt;=ReviewWait,IF(E6="Reminder sent","Close out","Send reminder"),"—")))</f>
        <v/>
      </c>
      <c r="L6" s="51">
        <f>IF(F6="","",DATE(YEAR(F6),MONTH(F6),1))</f>
        <v/>
      </c>
      <c r="M6" s="51">
        <f>IF(C6="","",DATE(YEAR(C6),MONTH(C6),1))</f>
        <v/>
      </c>
    </row>
    <row r="7">
      <c r="A7" s="38" t="inlineStr">
        <is>
          <t>Parker Lockhart</t>
        </is>
      </c>
      <c r="B7" s="38" t="inlineStr">
        <is>
          <t>J-0009</t>
        </is>
      </c>
      <c r="C7" s="47" t="n">
        <v>46050</v>
      </c>
      <c r="D7" s="38" t="inlineStr">
        <is>
          <t>Google</t>
        </is>
      </c>
      <c r="E7" s="38" t="inlineStr">
        <is>
          <t>Received</t>
        </is>
      </c>
      <c r="F7" s="47" t="n">
        <v>46053</v>
      </c>
      <c r="G7" s="57" t="n">
        <v>5</v>
      </c>
      <c r="H7" s="38" t="inlineStr">
        <is>
          <t>Yes</t>
        </is>
      </c>
      <c r="I7" s="38" t="inlineStr">
        <is>
          <t>Mentioned attention to detail</t>
        </is>
      </c>
      <c r="J7" s="50">
        <f>IF(C7="","",IF(OR(E7="Received",E7="Declined"),"",AsOf-C7))</f>
        <v/>
      </c>
      <c r="K7" s="49">
        <f>IF(A7="","",IF(AND(E7="Received",H7&lt;&gt;"Yes"),"Reply to review",IF(N(J7)&gt;=ReviewWait,IF(E7="Reminder sent","Close out","Send reminder"),"—")))</f>
        <v/>
      </c>
      <c r="L7" s="51">
        <f>IF(F7="","",DATE(YEAR(F7),MONTH(F7),1))</f>
        <v/>
      </c>
      <c r="M7" s="51">
        <f>IF(C7="","",DATE(YEAR(C7),MONTH(C7),1))</f>
        <v/>
      </c>
    </row>
    <row r="8">
      <c r="A8" s="38" t="inlineStr">
        <is>
          <t>Blake Oakes</t>
        </is>
      </c>
      <c r="B8" s="38" t="inlineStr">
        <is>
          <t>J-0012</t>
        </is>
      </c>
      <c r="C8" s="47" t="n">
        <v>46055</v>
      </c>
      <c r="D8" s="38" t="inlineStr">
        <is>
          <t>Google</t>
        </is>
      </c>
      <c r="E8" s="38" t="inlineStr">
        <is>
          <t>Received</t>
        </is>
      </c>
      <c r="F8" s="47" t="n">
        <v>46055</v>
      </c>
      <c r="G8" s="57" t="n">
        <v>5</v>
      </c>
      <c r="H8" s="38" t="inlineStr">
        <is>
          <t>Yes</t>
        </is>
      </c>
      <c r="I8" s="38" t="inlineStr">
        <is>
          <t>Mentioned attention to detail</t>
        </is>
      </c>
      <c r="J8" s="50">
        <f>IF(C8="","",IF(OR(E8="Received",E8="Declined"),"",AsOf-C8))</f>
        <v/>
      </c>
      <c r="K8" s="49">
        <f>IF(A8="","",IF(AND(E8="Received",H8&lt;&gt;"Yes"),"Reply to review",IF(N(J8)&gt;=ReviewWait,IF(E8="Reminder sent","Close out","Send reminder"),"—")))</f>
        <v/>
      </c>
      <c r="L8" s="51">
        <f>IF(F8="","",DATE(YEAR(F8),MONTH(F8),1))</f>
        <v/>
      </c>
      <c r="M8" s="51">
        <f>IF(C8="","",DATE(YEAR(C8),MONTH(C8),1))</f>
        <v/>
      </c>
    </row>
    <row r="9">
      <c r="A9" s="38" t="inlineStr">
        <is>
          <t>Crescent Property Group (sample)</t>
        </is>
      </c>
      <c r="B9" s="38" t="inlineStr">
        <is>
          <t>J-0030</t>
        </is>
      </c>
      <c r="C9" s="47" t="n">
        <v>46081</v>
      </c>
      <c r="D9" s="38" t="inlineStr">
        <is>
          <t>Google</t>
        </is>
      </c>
      <c r="E9" s="38" t="inlineStr">
        <is>
          <t>Received</t>
        </is>
      </c>
      <c r="F9" s="47" t="n">
        <v>46085</v>
      </c>
      <c r="G9" s="57" t="n">
        <v>3</v>
      </c>
      <c r="H9" s="38" t="inlineStr">
        <is>
          <t>No</t>
        </is>
      </c>
      <c r="I9" s="38" t="inlineStr">
        <is>
          <t>Wanted baseboards done — follow up</t>
        </is>
      </c>
      <c r="J9" s="50">
        <f>IF(C9="","",IF(OR(E9="Received",E9="Declined"),"",AsOf-C9))</f>
        <v/>
      </c>
      <c r="K9" s="49">
        <f>IF(A9="","",IF(AND(E9="Received",H9&lt;&gt;"Yes"),"Reply to review",IF(N(J9)&gt;=ReviewWait,IF(E9="Reminder sent","Close out","Send reminder"),"—")))</f>
        <v/>
      </c>
      <c r="L9" s="51">
        <f>IF(F9="","",DATE(YEAR(F9),MONTH(F9),1))</f>
        <v/>
      </c>
      <c r="M9" s="51">
        <f>IF(C9="","",DATE(YEAR(C9),MONTH(C9),1))</f>
        <v/>
      </c>
    </row>
    <row r="10">
      <c r="A10" s="38" t="inlineStr">
        <is>
          <t>Rowan Merriweather</t>
        </is>
      </c>
      <c r="B10" s="38" t="inlineStr">
        <is>
          <t>J-0044</t>
        </is>
      </c>
      <c r="C10" s="47" t="n">
        <v>46096</v>
      </c>
      <c r="D10" s="38" t="inlineStr">
        <is>
          <t>Google</t>
        </is>
      </c>
      <c r="E10" s="38" t="inlineStr">
        <is>
          <t>Received</t>
        </is>
      </c>
      <c r="F10" s="47" t="n">
        <v>46096</v>
      </c>
      <c r="G10" s="57" t="n">
        <v>4</v>
      </c>
      <c r="H10" s="38" t="inlineStr">
        <is>
          <t>Yes</t>
        </is>
      </c>
      <c r="I10" s="38" t="inlineStr"/>
      <c r="J10" s="50">
        <f>IF(C10="","",IF(OR(E10="Received",E10="Declined"),"",AsOf-C10))</f>
        <v/>
      </c>
      <c r="K10" s="49">
        <f>IF(A10="","",IF(AND(E10="Received",H10&lt;&gt;"Yes"),"Reply to review",IF(N(J10)&gt;=ReviewWait,IF(E10="Reminder sent","Close out","Send reminder"),"—")))</f>
        <v/>
      </c>
      <c r="L10" s="51">
        <f>IF(F10="","",DATE(YEAR(F10),MONTH(F10),1))</f>
        <v/>
      </c>
      <c r="M10" s="51">
        <f>IF(C10="","",DATE(YEAR(C10),MONTH(C10),1))</f>
        <v/>
      </c>
    </row>
    <row r="11">
      <c r="A11" s="38" t="inlineStr">
        <is>
          <t>Harbor Yoga Loft (sample)</t>
        </is>
      </c>
      <c r="B11" s="38" t="inlineStr">
        <is>
          <t>J-0045</t>
        </is>
      </c>
      <c r="C11" s="47" t="n">
        <v>46096</v>
      </c>
      <c r="D11" s="38" t="inlineStr">
        <is>
          <t>Google</t>
        </is>
      </c>
      <c r="E11" s="38" t="inlineStr">
        <is>
          <t>Received</t>
        </is>
      </c>
      <c r="F11" s="47" t="n">
        <v>46099</v>
      </c>
      <c r="G11" s="57" t="n">
        <v>5</v>
      </c>
      <c r="H11" s="38" t="inlineStr">
        <is>
          <t>Yes</t>
        </is>
      </c>
      <c r="I11" s="38" t="inlineStr">
        <is>
          <t>Mentioned attention to detail</t>
        </is>
      </c>
      <c r="J11" s="50">
        <f>IF(C11="","",IF(OR(E11="Received",E11="Declined"),"",AsOf-C11))</f>
        <v/>
      </c>
      <c r="K11" s="49">
        <f>IF(A11="","",IF(AND(E11="Received",H11&lt;&gt;"Yes"),"Reply to review",IF(N(J11)&gt;=ReviewWait,IF(E11="Reminder sent","Close out","Send reminder"),"—")))</f>
        <v/>
      </c>
      <c r="L11" s="51">
        <f>IF(F11="","",DATE(YEAR(F11),MONTH(F11),1))</f>
        <v/>
      </c>
      <c r="M11" s="51">
        <f>IF(C11="","",DATE(YEAR(C11),MONTH(C11),1))</f>
        <v/>
      </c>
    </row>
    <row r="12">
      <c r="A12" s="38" t="inlineStr">
        <is>
          <t>Logan Porter</t>
        </is>
      </c>
      <c r="B12" s="38" t="inlineStr">
        <is>
          <t>J-0056</t>
        </is>
      </c>
      <c r="C12" s="47" t="n">
        <v>46107</v>
      </c>
      <c r="D12" s="38" t="inlineStr">
        <is>
          <t>Nextdoor</t>
        </is>
      </c>
      <c r="E12" s="38" t="inlineStr">
        <is>
          <t>No response</t>
        </is>
      </c>
      <c r="F12" s="47" t="n"/>
      <c r="G12" s="57" t="n"/>
      <c r="H12" s="38" t="n"/>
      <c r="I12" s="38" t="inlineStr"/>
      <c r="J12" s="50">
        <f>IF(C12="","",IF(OR(E12="Received",E12="Declined"),"",AsOf-C12))</f>
        <v/>
      </c>
      <c r="K12" s="49">
        <f>IF(A12="","",IF(AND(E12="Received",H12&lt;&gt;"Yes"),"Reply to review",IF(N(J12)&gt;=ReviewWait,IF(E12="Reminder sent","Close out","Send reminder"),"—")))</f>
        <v/>
      </c>
      <c r="L12" s="51">
        <f>IF(F12="","",DATE(YEAR(F12),MONTH(F12),1))</f>
        <v/>
      </c>
      <c r="M12" s="51">
        <f>IF(C12="","",DATE(YEAR(C12),MONTH(C12),1))</f>
        <v/>
      </c>
    </row>
    <row r="13">
      <c r="A13" s="38" t="inlineStr">
        <is>
          <t>Finley Quigley</t>
        </is>
      </c>
      <c r="B13" s="38" t="inlineStr">
        <is>
          <t>J-0067</t>
        </is>
      </c>
      <c r="C13" s="47" t="n">
        <v>46117</v>
      </c>
      <c r="D13" s="38" t="inlineStr">
        <is>
          <t>Google</t>
        </is>
      </c>
      <c r="E13" s="38" t="inlineStr">
        <is>
          <t>Received</t>
        </is>
      </c>
      <c r="F13" s="47" t="n">
        <v>46120</v>
      </c>
      <c r="G13" s="57" t="n">
        <v>5</v>
      </c>
      <c r="H13" s="38" t="inlineStr">
        <is>
          <t>No</t>
        </is>
      </c>
      <c r="I13" s="38" t="inlineStr">
        <is>
          <t>Mentioned attention to detail</t>
        </is>
      </c>
      <c r="J13" s="50">
        <f>IF(C13="","",IF(OR(E13="Received",E13="Declined"),"",AsOf-C13))</f>
        <v/>
      </c>
      <c r="K13" s="49">
        <f>IF(A13="","",IF(AND(E13="Received",H13&lt;&gt;"Yes"),"Reply to review",IF(N(J13)&gt;=ReviewWait,IF(E13="Reminder sent","Close out","Send reminder"),"—")))</f>
        <v/>
      </c>
      <c r="L13" s="51">
        <f>IF(F13="","",DATE(YEAR(F13),MONTH(F13),1))</f>
        <v/>
      </c>
      <c r="M13" s="51">
        <f>IF(C13="","",DATE(YEAR(C13),MONTH(C13),1))</f>
        <v/>
      </c>
    </row>
    <row r="14">
      <c r="A14" s="38" t="inlineStr">
        <is>
          <t>Parker Pembrook</t>
        </is>
      </c>
      <c r="B14" s="38" t="inlineStr">
        <is>
          <t>J-0093</t>
        </is>
      </c>
      <c r="C14" s="47" t="n">
        <v>46140</v>
      </c>
      <c r="D14" s="38" t="inlineStr">
        <is>
          <t>Google</t>
        </is>
      </c>
      <c r="E14" s="38" t="inlineStr">
        <is>
          <t>Received</t>
        </is>
      </c>
      <c r="F14" s="47" t="n">
        <v>46142</v>
      </c>
      <c r="G14" s="57" t="n">
        <v>5</v>
      </c>
      <c r="H14" s="38" t="inlineStr">
        <is>
          <t>Yes</t>
        </is>
      </c>
      <c r="I14" s="38" t="inlineStr">
        <is>
          <t>Mentioned attention to detail</t>
        </is>
      </c>
      <c r="J14" s="50">
        <f>IF(C14="","",IF(OR(E14="Received",E14="Declined"),"",AsOf-C14))</f>
        <v/>
      </c>
      <c r="K14" s="49">
        <f>IF(A14="","",IF(AND(E14="Received",H14&lt;&gt;"Yes"),"Reply to review",IF(N(J14)&gt;=ReviewWait,IF(E14="Reminder sent","Close out","Send reminder"),"—")))</f>
        <v/>
      </c>
      <c r="L14" s="51">
        <f>IF(F14="","",DATE(YEAR(F14),MONTH(F14),1))</f>
        <v/>
      </c>
      <c r="M14" s="51">
        <f>IF(C14="","",DATE(YEAR(C14),MONTH(C14),1))</f>
        <v/>
      </c>
    </row>
    <row r="15">
      <c r="A15" s="38" t="inlineStr">
        <is>
          <t>Wren Porter</t>
        </is>
      </c>
      <c r="B15" s="38" t="inlineStr">
        <is>
          <t>J-0113</t>
        </is>
      </c>
      <c r="C15" s="47" t="n">
        <v>46156</v>
      </c>
      <c r="D15" s="38" t="inlineStr">
        <is>
          <t>Google</t>
        </is>
      </c>
      <c r="E15" s="38" t="inlineStr">
        <is>
          <t>Reminder sent</t>
        </is>
      </c>
      <c r="F15" s="47" t="n"/>
      <c r="G15" s="57" t="n"/>
      <c r="H15" s="38" t="n"/>
      <c r="I15" s="38" t="inlineStr"/>
      <c r="J15" s="50">
        <f>IF(C15="","",IF(OR(E15="Received",E15="Declined"),"",AsOf-C15))</f>
        <v/>
      </c>
      <c r="K15" s="49">
        <f>IF(A15="","",IF(AND(E15="Received",H15&lt;&gt;"Yes"),"Reply to review",IF(N(J15)&gt;=ReviewWait,IF(E15="Reminder sent","Close out","Send reminder"),"—")))</f>
        <v/>
      </c>
      <c r="L15" s="51">
        <f>IF(F15="","",DATE(YEAR(F15),MONTH(F15),1))</f>
        <v/>
      </c>
      <c r="M15" s="51">
        <f>IF(C15="","",DATE(YEAR(C15),MONTH(C15),1))</f>
        <v/>
      </c>
    </row>
    <row r="16">
      <c r="A16" s="38" t="inlineStr">
        <is>
          <t>Dana Ivers</t>
        </is>
      </c>
      <c r="B16" s="38" t="inlineStr">
        <is>
          <t>J-0114</t>
        </is>
      </c>
      <c r="C16" s="47" t="n">
        <v>46157</v>
      </c>
      <c r="D16" s="38" t="inlineStr">
        <is>
          <t>Nextdoor</t>
        </is>
      </c>
      <c r="E16" s="38" t="inlineStr">
        <is>
          <t>Received</t>
        </is>
      </c>
      <c r="F16" s="47" t="n">
        <v>46159</v>
      </c>
      <c r="G16" s="57" t="n">
        <v>4</v>
      </c>
      <c r="H16" s="38" t="inlineStr">
        <is>
          <t>Yes</t>
        </is>
      </c>
      <c r="I16" s="38" t="inlineStr"/>
      <c r="J16" s="50">
        <f>IF(C16="","",IF(OR(E16="Received",E16="Declined"),"",AsOf-C16))</f>
        <v/>
      </c>
      <c r="K16" s="49">
        <f>IF(A16="","",IF(AND(E16="Received",H16&lt;&gt;"Yes"),"Reply to review",IF(N(J16)&gt;=ReviewWait,IF(E16="Reminder sent","Close out","Send reminder"),"—")))</f>
        <v/>
      </c>
      <c r="L16" s="51">
        <f>IF(F16="","",DATE(YEAR(F16),MONTH(F16),1))</f>
        <v/>
      </c>
      <c r="M16" s="51">
        <f>IF(C16="","",DATE(YEAR(C16),MONTH(C16),1))</f>
        <v/>
      </c>
    </row>
    <row r="17">
      <c r="A17" s="38" t="inlineStr">
        <is>
          <t>Devon Hayes</t>
        </is>
      </c>
      <c r="B17" s="38" t="inlineStr">
        <is>
          <t>J-0127</t>
        </is>
      </c>
      <c r="C17" s="47" t="n">
        <v>46165</v>
      </c>
      <c r="D17" s="38" t="inlineStr">
        <is>
          <t>Google</t>
        </is>
      </c>
      <c r="E17" s="38" t="inlineStr">
        <is>
          <t>Received</t>
        </is>
      </c>
      <c r="F17" s="47" t="n">
        <v>46165</v>
      </c>
      <c r="G17" s="57" t="n">
        <v>4</v>
      </c>
      <c r="H17" s="38" t="inlineStr">
        <is>
          <t>Yes</t>
        </is>
      </c>
      <c r="I17" s="38" t="inlineStr"/>
      <c r="J17" s="50">
        <f>IF(C17="","",IF(OR(E17="Received",E17="Declined"),"",AsOf-C17))</f>
        <v/>
      </c>
      <c r="K17" s="49">
        <f>IF(A17="","",IF(AND(E17="Received",H17&lt;&gt;"Yes"),"Reply to review",IF(N(J17)&gt;=ReviewWait,IF(E17="Reminder sent","Close out","Send reminder"),"—")))</f>
        <v/>
      </c>
      <c r="L17" s="51">
        <f>IF(F17="","",DATE(YEAR(F17),MONTH(F17),1))</f>
        <v/>
      </c>
      <c r="M17" s="51">
        <f>IF(C17="","",DATE(YEAR(C17),MONTH(C17),1))</f>
        <v/>
      </c>
    </row>
    <row r="18">
      <c r="A18" s="38" t="inlineStr">
        <is>
          <t>Skyler Yardley</t>
        </is>
      </c>
      <c r="B18" s="38" t="inlineStr">
        <is>
          <t>J-0143</t>
        </is>
      </c>
      <c r="C18" s="47" t="n">
        <v>46175</v>
      </c>
      <c r="D18" s="38" t="inlineStr">
        <is>
          <t>Facebook</t>
        </is>
      </c>
      <c r="E18" s="38" t="inlineStr">
        <is>
          <t>Reminder sent</t>
        </is>
      </c>
      <c r="F18" s="47" t="n"/>
      <c r="G18" s="57" t="n"/>
      <c r="H18" s="38" t="n"/>
      <c r="I18" s="38" t="inlineStr"/>
      <c r="J18" s="50">
        <f>IF(C18="","",IF(OR(E18="Received",E18="Declined"),"",AsOf-C18))</f>
        <v/>
      </c>
      <c r="K18" s="49">
        <f>IF(A18="","",IF(AND(E18="Received",H18&lt;&gt;"Yes"),"Reply to review",IF(N(J18)&gt;=ReviewWait,IF(E18="Reminder sent","Close out","Send reminder"),"—")))</f>
        <v/>
      </c>
      <c r="L18" s="51">
        <f>IF(F18="","",DATE(YEAR(F18),MONTH(F18),1))</f>
        <v/>
      </c>
      <c r="M18" s="51">
        <f>IF(C18="","",DATE(YEAR(C18),MONTH(C18),1))</f>
        <v/>
      </c>
    </row>
    <row r="19">
      <c r="A19" s="38" t="inlineStr">
        <is>
          <t>Drew Bennett</t>
        </is>
      </c>
      <c r="B19" s="38" t="inlineStr">
        <is>
          <t>J-0198</t>
        </is>
      </c>
      <c r="C19" s="47" t="n">
        <v>46218</v>
      </c>
      <c r="D19" s="38" t="inlineStr">
        <is>
          <t>Google</t>
        </is>
      </c>
      <c r="E19" s="38" t="inlineStr">
        <is>
          <t>Received</t>
        </is>
      </c>
      <c r="F19" s="47" t="n">
        <v>46220</v>
      </c>
      <c r="G19" s="57" t="n">
        <v>5</v>
      </c>
      <c r="H19" s="38" t="inlineStr">
        <is>
          <t>Yes</t>
        </is>
      </c>
      <c r="I19" s="38" t="inlineStr">
        <is>
          <t>Mentioned attention to detail</t>
        </is>
      </c>
      <c r="J19" s="50">
        <f>IF(C19="","",IF(OR(E19="Received",E19="Declined"),"",AsOf-C19))</f>
        <v/>
      </c>
      <c r="K19" s="49">
        <f>IF(A19="","",IF(AND(E19="Received",H19&lt;&gt;"Yes"),"Reply to review",IF(N(J19)&gt;=ReviewWait,IF(E19="Reminder sent","Close out","Send reminder"),"—")))</f>
        <v/>
      </c>
      <c r="L19" s="51">
        <f>IF(F19="","",DATE(YEAR(F19),MONTH(F19),1))</f>
        <v/>
      </c>
      <c r="M19" s="51">
        <f>IF(C19="","",DATE(YEAR(C19),MONTH(C19),1))</f>
        <v/>
      </c>
    </row>
    <row r="20">
      <c r="A20" s="38" t="inlineStr">
        <is>
          <t>Emerson Calloway</t>
        </is>
      </c>
      <c r="B20" s="38" t="inlineStr">
        <is>
          <t>J-0237</t>
        </is>
      </c>
      <c r="C20" s="47" t="n">
        <v>46248</v>
      </c>
      <c r="D20" s="38" t="inlineStr">
        <is>
          <t>Google</t>
        </is>
      </c>
      <c r="E20" s="38" t="inlineStr">
        <is>
          <t>Received</t>
        </is>
      </c>
      <c r="F20" s="47" t="n">
        <v>46248</v>
      </c>
      <c r="G20" s="57" t="n">
        <v>5</v>
      </c>
      <c r="H20" s="38" t="inlineStr">
        <is>
          <t>Yes</t>
        </is>
      </c>
      <c r="I20" s="38" t="inlineStr">
        <is>
          <t>Mentioned attention to detail</t>
        </is>
      </c>
      <c r="J20" s="50">
        <f>IF(C20="","",IF(OR(E20="Received",E20="Declined"),"",AsOf-C20))</f>
        <v/>
      </c>
      <c r="K20" s="49">
        <f>IF(A20="","",IF(AND(E20="Received",H20&lt;&gt;"Yes"),"Reply to review",IF(N(J20)&gt;=ReviewWait,IF(E20="Reminder sent","Close out","Send reminder"),"—")))</f>
        <v/>
      </c>
      <c r="L20" s="51">
        <f>IF(F20="","",DATE(YEAR(F20),MONTH(F20),1))</f>
        <v/>
      </c>
      <c r="M20" s="51">
        <f>IF(C20="","",DATE(YEAR(C20),MONTH(C20),1))</f>
        <v/>
      </c>
    </row>
    <row r="21">
      <c r="A21" s="38" t="inlineStr">
        <is>
          <t>Harper Hayes</t>
        </is>
      </c>
      <c r="B21" s="38" t="inlineStr">
        <is>
          <t>J-0268</t>
        </is>
      </c>
      <c r="C21" s="47" t="n">
        <v>46273</v>
      </c>
      <c r="D21" s="38" t="inlineStr">
        <is>
          <t>Nextdoor</t>
        </is>
      </c>
      <c r="E21" s="38" t="inlineStr">
        <is>
          <t>No response</t>
        </is>
      </c>
      <c r="F21" s="47" t="n"/>
      <c r="G21" s="57" t="n"/>
      <c r="H21" s="38" t="n"/>
      <c r="I21" s="38" t="inlineStr"/>
      <c r="J21" s="50">
        <f>IF(C21="","",IF(OR(E21="Received",E21="Declined"),"",AsOf-C21))</f>
        <v/>
      </c>
      <c r="K21" s="49">
        <f>IF(A21="","",IF(AND(E21="Received",H21&lt;&gt;"Yes"),"Reply to review",IF(N(J21)&gt;=ReviewWait,IF(E21="Reminder sent","Close out","Send reminder"),"—")))</f>
        <v/>
      </c>
      <c r="L21" s="51">
        <f>IF(F21="","",DATE(YEAR(F21),MONTH(F21),1))</f>
        <v/>
      </c>
      <c r="M21" s="51">
        <f>IF(C21="","",DATE(YEAR(C21),MONTH(C21),1))</f>
        <v/>
      </c>
    </row>
    <row r="22">
      <c r="A22" s="38" t="inlineStr">
        <is>
          <t>Lane Ivers</t>
        </is>
      </c>
      <c r="B22" s="38" t="inlineStr">
        <is>
          <t>J-0279</t>
        </is>
      </c>
      <c r="C22" s="47" t="n">
        <v>46281</v>
      </c>
      <c r="D22" s="38" t="inlineStr">
        <is>
          <t>Google</t>
        </is>
      </c>
      <c r="E22" s="38" t="inlineStr">
        <is>
          <t>Received</t>
        </is>
      </c>
      <c r="F22" s="47" t="n">
        <v>46284</v>
      </c>
      <c r="G22" s="57" t="n">
        <v>5</v>
      </c>
      <c r="H22" s="38" t="inlineStr">
        <is>
          <t>Yes</t>
        </is>
      </c>
      <c r="I22" s="38" t="inlineStr">
        <is>
          <t>Mentioned attention to detail</t>
        </is>
      </c>
      <c r="J22" s="50">
        <f>IF(C22="","",IF(OR(E22="Received",E22="Declined"),"",AsOf-C22))</f>
        <v/>
      </c>
      <c r="K22" s="49">
        <f>IF(A22="","",IF(AND(E22="Received",H22&lt;&gt;"Yes"),"Reply to review",IF(N(J22)&gt;=ReviewWait,IF(E22="Reminder sent","Close out","Send reminder"),"—")))</f>
        <v/>
      </c>
      <c r="L22" s="51">
        <f>IF(F22="","",DATE(YEAR(F22),MONTH(F22),1))</f>
        <v/>
      </c>
      <c r="M22" s="51">
        <f>IF(C22="","",DATE(YEAR(C22),MONTH(C22),1))</f>
        <v/>
      </c>
    </row>
    <row r="23">
      <c r="A23" s="38" t="inlineStr">
        <is>
          <t>Rowan Foxworth</t>
        </is>
      </c>
      <c r="B23" s="38" t="inlineStr">
        <is>
          <t>J-0285</t>
        </is>
      </c>
      <c r="C23" s="47" t="n">
        <v>46284</v>
      </c>
      <c r="D23" s="38" t="inlineStr">
        <is>
          <t>Google</t>
        </is>
      </c>
      <c r="E23" s="38" t="inlineStr">
        <is>
          <t>Requested</t>
        </is>
      </c>
      <c r="F23" s="47" t="n"/>
      <c r="G23" s="57" t="n"/>
      <c r="H23" s="38" t="n"/>
      <c r="I23" s="38" t="inlineStr"/>
      <c r="J23" s="50">
        <f>IF(C23="","",IF(OR(E23="Received",E23="Declined"),"",AsOf-C23))</f>
        <v/>
      </c>
      <c r="K23" s="49">
        <f>IF(A23="","",IF(AND(E23="Received",H23&lt;&gt;"Yes"),"Reply to review",IF(N(J23)&gt;=ReviewWait,IF(E23="Reminder sent","Close out","Send reminder"),"—")))</f>
        <v/>
      </c>
      <c r="L23" s="51">
        <f>IF(F23="","",DATE(YEAR(F23),MONTH(F23),1))</f>
        <v/>
      </c>
      <c r="M23" s="51">
        <f>IF(C23="","",DATE(YEAR(C23),MONTH(C23),1))</f>
        <v/>
      </c>
    </row>
    <row r="24">
      <c r="A24" s="38" t="inlineStr">
        <is>
          <t>Emerson Holloway</t>
        </is>
      </c>
      <c r="B24" s="38" t="inlineStr">
        <is>
          <t>J-0289</t>
        </is>
      </c>
      <c r="C24" s="47" t="n">
        <v>46290</v>
      </c>
      <c r="D24" s="38" t="inlineStr">
        <is>
          <t>Google</t>
        </is>
      </c>
      <c r="E24" s="38" t="inlineStr">
        <is>
          <t>Requested</t>
        </is>
      </c>
      <c r="F24" s="47" t="n"/>
      <c r="G24" s="57" t="n"/>
      <c r="H24" s="38" t="n"/>
      <c r="I24" s="38" t="inlineStr"/>
      <c r="J24" s="50">
        <f>IF(C24="","",IF(OR(E24="Received",E24="Declined"),"",AsOf-C24))</f>
        <v/>
      </c>
      <c r="K24" s="49">
        <f>IF(A24="","",IF(AND(E24="Received",H24&lt;&gt;"Yes"),"Reply to review",IF(N(J24)&gt;=ReviewWait,IF(E24="Reminder sent","Close out","Send reminder"),"—")))</f>
        <v/>
      </c>
      <c r="L24" s="51">
        <f>IF(F24="","",DATE(YEAR(F24),MONTH(F24),1))</f>
        <v/>
      </c>
      <c r="M24" s="51">
        <f>IF(C24="","",DATE(YEAR(C24),MONTH(C24),1))</f>
        <v/>
      </c>
    </row>
    <row r="25">
      <c r="A25" s="38" t="inlineStr">
        <is>
          <t>Dana Collins</t>
        </is>
      </c>
      <c r="B25" s="38" t="inlineStr">
        <is>
          <t>J-0292</t>
        </is>
      </c>
      <c r="C25" s="47" t="n">
        <v>46291</v>
      </c>
      <c r="D25" s="38" t="inlineStr">
        <is>
          <t>Google</t>
        </is>
      </c>
      <c r="E25" s="38" t="inlineStr">
        <is>
          <t>Requested</t>
        </is>
      </c>
      <c r="F25" s="47" t="n"/>
      <c r="G25" s="57" t="n"/>
      <c r="H25" s="38" t="n"/>
      <c r="I25" s="38" t="inlineStr"/>
      <c r="J25" s="50">
        <f>IF(C25="","",IF(OR(E25="Received",E25="Declined"),"",AsOf-C25))</f>
        <v/>
      </c>
      <c r="K25" s="49">
        <f>IF(A25="","",IF(AND(E25="Received",H25&lt;&gt;"Yes"),"Reply to review",IF(N(J25)&gt;=ReviewWait,IF(E25="Reminder sent","Close out","Send reminder"),"—")))</f>
        <v/>
      </c>
      <c r="L25" s="51">
        <f>IF(F25="","",DATE(YEAR(F25),MONTH(F25),1))</f>
        <v/>
      </c>
      <c r="M25" s="51">
        <f>IF(C25="","",DATE(YEAR(C25),MONTH(C25),1))</f>
        <v/>
      </c>
    </row>
    <row r="26">
      <c r="A26" s="38" t="inlineStr">
        <is>
          <t>Dana Oakes</t>
        </is>
      </c>
      <c r="B26" s="38" t="inlineStr">
        <is>
          <t>J-0295</t>
        </is>
      </c>
      <c r="C26" s="47" t="n">
        <v>46294</v>
      </c>
      <c r="D26" s="38" t="inlineStr">
        <is>
          <t>Google</t>
        </is>
      </c>
      <c r="E26" s="38" t="inlineStr">
        <is>
          <t>Requested</t>
        </is>
      </c>
      <c r="F26" s="47" t="n"/>
      <c r="G26" s="57" t="n"/>
      <c r="H26" s="38" t="n"/>
      <c r="I26" s="38" t="inlineStr"/>
      <c r="J26" s="50">
        <f>IF(C26="","",IF(OR(E26="Received",E26="Declined"),"",AsOf-C26))</f>
        <v/>
      </c>
      <c r="K26" s="49">
        <f>IF(A26="","",IF(AND(E26="Received",H26&lt;&gt;"Yes"),"Reply to review",IF(N(J26)&gt;=ReviewWait,IF(E26="Reminder sent","Close out","Send reminder"),"—")))</f>
        <v/>
      </c>
      <c r="L26" s="51">
        <f>IF(F26="","",DATE(YEAR(F26),MONTH(F26),1))</f>
        <v/>
      </c>
      <c r="M26" s="51">
        <f>IF(C26="","",DATE(YEAR(C26),MONTH(C26),1))</f>
        <v/>
      </c>
    </row>
    <row r="27">
      <c r="A27" s="38" t="n"/>
      <c r="B27" s="38" t="n"/>
      <c r="C27" s="47" t="n"/>
      <c r="D27" s="38" t="n"/>
      <c r="E27" s="38" t="n"/>
      <c r="F27" s="47" t="n"/>
      <c r="G27" s="57" t="n"/>
      <c r="H27" s="38" t="n"/>
      <c r="I27" s="38" t="n"/>
      <c r="J27" s="50">
        <f>IF(C27="","",IF(OR(E27="Received",E27="Declined"),"",AsOf-C27))</f>
        <v/>
      </c>
      <c r="K27" s="49">
        <f>IF(A27="","",IF(AND(E27="Received",H27&lt;&gt;"Yes"),"Reply to review",IF(N(J27)&gt;=ReviewWait,IF(E27="Reminder sent","Close out","Send reminder"),"—")))</f>
        <v/>
      </c>
      <c r="L27" s="51">
        <f>IF(F27="","",DATE(YEAR(F27),MONTH(F27),1))</f>
        <v/>
      </c>
      <c r="M27" s="51">
        <f>IF(C27="","",DATE(YEAR(C27),MONTH(C27),1))</f>
        <v/>
      </c>
    </row>
    <row r="28">
      <c r="A28" s="38" t="n"/>
      <c r="B28" s="38" t="n"/>
      <c r="C28" s="47" t="n"/>
      <c r="D28" s="38" t="n"/>
      <c r="E28" s="38" t="n"/>
      <c r="F28" s="47" t="n"/>
      <c r="G28" s="57" t="n"/>
      <c r="H28" s="38" t="n"/>
      <c r="I28" s="38" t="n"/>
      <c r="J28" s="50">
        <f>IF(C28="","",IF(OR(E28="Received",E28="Declined"),"",AsOf-C28))</f>
        <v/>
      </c>
      <c r="K28" s="49">
        <f>IF(A28="","",IF(AND(E28="Received",H28&lt;&gt;"Yes"),"Reply to review",IF(N(J28)&gt;=ReviewWait,IF(E28="Reminder sent","Close out","Send reminder"),"—")))</f>
        <v/>
      </c>
      <c r="L28" s="51">
        <f>IF(F28="","",DATE(YEAR(F28),MONTH(F28),1))</f>
        <v/>
      </c>
      <c r="M28" s="51">
        <f>IF(C28="","",DATE(YEAR(C28),MONTH(C28),1))</f>
        <v/>
      </c>
    </row>
    <row r="29">
      <c r="A29" s="38" t="n"/>
      <c r="B29" s="38" t="n"/>
      <c r="C29" s="47" t="n"/>
      <c r="D29" s="38" t="n"/>
      <c r="E29" s="38" t="n"/>
      <c r="F29" s="47" t="n"/>
      <c r="G29" s="57" t="n"/>
      <c r="H29" s="38" t="n"/>
      <c r="I29" s="38" t="n"/>
      <c r="J29" s="50">
        <f>IF(C29="","",IF(OR(E29="Received",E29="Declined"),"",AsOf-C29))</f>
        <v/>
      </c>
      <c r="K29" s="49">
        <f>IF(A29="","",IF(AND(E29="Received",H29&lt;&gt;"Yes"),"Reply to review",IF(N(J29)&gt;=ReviewWait,IF(E29="Reminder sent","Close out","Send reminder"),"—")))</f>
        <v/>
      </c>
      <c r="L29" s="51">
        <f>IF(F29="","",DATE(YEAR(F29),MONTH(F29),1))</f>
        <v/>
      </c>
      <c r="M29" s="51">
        <f>IF(C29="","",DATE(YEAR(C29),MONTH(C29),1))</f>
        <v/>
      </c>
    </row>
    <row r="30">
      <c r="A30" s="38" t="n"/>
      <c r="B30" s="38" t="n"/>
      <c r="C30" s="47" t="n"/>
      <c r="D30" s="38" t="n"/>
      <c r="E30" s="38" t="n"/>
      <c r="F30" s="47" t="n"/>
      <c r="G30" s="57" t="n"/>
      <c r="H30" s="38" t="n"/>
      <c r="I30" s="38" t="n"/>
      <c r="J30" s="50">
        <f>IF(C30="","",IF(OR(E30="Received",E30="Declined"),"",AsOf-C30))</f>
        <v/>
      </c>
      <c r="K30" s="49">
        <f>IF(A30="","",IF(AND(E30="Received",H30&lt;&gt;"Yes"),"Reply to review",IF(N(J30)&gt;=ReviewWait,IF(E30="Reminder sent","Close out","Send reminder"),"—")))</f>
        <v/>
      </c>
      <c r="L30" s="51">
        <f>IF(F30="","",DATE(YEAR(F30),MONTH(F30),1))</f>
        <v/>
      </c>
      <c r="M30" s="51">
        <f>IF(C30="","",DATE(YEAR(C30),MONTH(C30),1))</f>
        <v/>
      </c>
    </row>
    <row r="31">
      <c r="A31" s="38" t="n"/>
      <c r="B31" s="38" t="n"/>
      <c r="C31" s="47" t="n"/>
      <c r="D31" s="38" t="n"/>
      <c r="E31" s="38" t="n"/>
      <c r="F31" s="47" t="n"/>
      <c r="G31" s="57" t="n"/>
      <c r="H31" s="38" t="n"/>
      <c r="I31" s="38" t="n"/>
      <c r="J31" s="50">
        <f>IF(C31="","",IF(OR(E31="Received",E31="Declined"),"",AsOf-C31))</f>
        <v/>
      </c>
      <c r="K31" s="49">
        <f>IF(A31="","",IF(AND(E31="Received",H31&lt;&gt;"Yes"),"Reply to review",IF(N(J31)&gt;=ReviewWait,IF(E31="Reminder sent","Close out","Send reminder"),"—")))</f>
        <v/>
      </c>
      <c r="L31" s="51">
        <f>IF(F31="","",DATE(YEAR(F31),MONTH(F31),1))</f>
        <v/>
      </c>
      <c r="M31" s="51">
        <f>IF(C31="","",DATE(YEAR(C31),MONTH(C31),1))</f>
        <v/>
      </c>
    </row>
    <row r="32">
      <c r="A32" s="38" t="n"/>
      <c r="B32" s="38" t="n"/>
      <c r="C32" s="47" t="n"/>
      <c r="D32" s="38" t="n"/>
      <c r="E32" s="38" t="n"/>
      <c r="F32" s="47" t="n"/>
      <c r="G32" s="57" t="n"/>
      <c r="H32" s="38" t="n"/>
      <c r="I32" s="38" t="n"/>
      <c r="J32" s="50">
        <f>IF(C32="","",IF(OR(E32="Received",E32="Declined"),"",AsOf-C32))</f>
        <v/>
      </c>
      <c r="K32" s="49">
        <f>IF(A32="","",IF(AND(E32="Received",H32&lt;&gt;"Yes"),"Reply to review",IF(N(J32)&gt;=ReviewWait,IF(E32="Reminder sent","Close out","Send reminder"),"—")))</f>
        <v/>
      </c>
      <c r="L32" s="51">
        <f>IF(F32="","",DATE(YEAR(F32),MONTH(F32),1))</f>
        <v/>
      </c>
      <c r="M32" s="51">
        <f>IF(C32="","",DATE(YEAR(C32),MONTH(C32),1))</f>
        <v/>
      </c>
    </row>
    <row r="33">
      <c r="A33" s="38" t="n"/>
      <c r="B33" s="38" t="n"/>
      <c r="C33" s="47" t="n"/>
      <c r="D33" s="38" t="n"/>
      <c r="E33" s="38" t="n"/>
      <c r="F33" s="47" t="n"/>
      <c r="G33" s="57" t="n"/>
      <c r="H33" s="38" t="n"/>
      <c r="I33" s="38" t="n"/>
      <c r="J33" s="50">
        <f>IF(C33="","",IF(OR(E33="Received",E33="Declined"),"",AsOf-C33))</f>
        <v/>
      </c>
      <c r="K33" s="49">
        <f>IF(A33="","",IF(AND(E33="Received",H33&lt;&gt;"Yes"),"Reply to review",IF(N(J33)&gt;=ReviewWait,IF(E33="Reminder sent","Close out","Send reminder"),"—")))</f>
        <v/>
      </c>
      <c r="L33" s="51">
        <f>IF(F33="","",DATE(YEAR(F33),MONTH(F33),1))</f>
        <v/>
      </c>
      <c r="M33" s="51">
        <f>IF(C33="","",DATE(YEAR(C33),MONTH(C33),1))</f>
        <v/>
      </c>
    </row>
    <row r="34">
      <c r="A34" s="38" t="n"/>
      <c r="B34" s="38" t="n"/>
      <c r="C34" s="47" t="n"/>
      <c r="D34" s="38" t="n"/>
      <c r="E34" s="38" t="n"/>
      <c r="F34" s="47" t="n"/>
      <c r="G34" s="57" t="n"/>
      <c r="H34" s="38" t="n"/>
      <c r="I34" s="38" t="n"/>
      <c r="J34" s="50">
        <f>IF(C34="","",IF(OR(E34="Received",E34="Declined"),"",AsOf-C34))</f>
        <v/>
      </c>
      <c r="K34" s="49">
        <f>IF(A34="","",IF(AND(E34="Received",H34&lt;&gt;"Yes"),"Reply to review",IF(N(J34)&gt;=ReviewWait,IF(E34="Reminder sent","Close out","Send reminder"),"—")))</f>
        <v/>
      </c>
      <c r="L34" s="51">
        <f>IF(F34="","",DATE(YEAR(F34),MONTH(F34),1))</f>
        <v/>
      </c>
      <c r="M34" s="51">
        <f>IF(C34="","",DATE(YEAR(C34),MONTH(C34),1))</f>
        <v/>
      </c>
    </row>
    <row r="35">
      <c r="A35" s="38" t="n"/>
      <c r="B35" s="38" t="n"/>
      <c r="C35" s="47" t="n"/>
      <c r="D35" s="38" t="n"/>
      <c r="E35" s="38" t="n"/>
      <c r="F35" s="47" t="n"/>
      <c r="G35" s="57" t="n"/>
      <c r="H35" s="38" t="n"/>
      <c r="I35" s="38" t="n"/>
      <c r="J35" s="50">
        <f>IF(C35="","",IF(OR(E35="Received",E35="Declined"),"",AsOf-C35))</f>
        <v/>
      </c>
      <c r="K35" s="49">
        <f>IF(A35="","",IF(AND(E35="Received",H35&lt;&gt;"Yes"),"Reply to review",IF(N(J35)&gt;=ReviewWait,IF(E35="Reminder sent","Close out","Send reminder"),"—")))</f>
        <v/>
      </c>
      <c r="L35" s="51">
        <f>IF(F35="","",DATE(YEAR(F35),MONTH(F35),1))</f>
        <v/>
      </c>
      <c r="M35" s="51">
        <f>IF(C35="","",DATE(YEAR(C35),MONTH(C35),1))</f>
        <v/>
      </c>
    </row>
    <row r="36">
      <c r="A36" s="38" t="n"/>
      <c r="B36" s="38" t="n"/>
      <c r="C36" s="47" t="n"/>
      <c r="D36" s="38" t="n"/>
      <c r="E36" s="38" t="n"/>
      <c r="F36" s="47" t="n"/>
      <c r="G36" s="57" t="n"/>
      <c r="H36" s="38" t="n"/>
      <c r="I36" s="38" t="n"/>
      <c r="J36" s="50">
        <f>IF(C36="","",IF(OR(E36="Received",E36="Declined"),"",AsOf-C36))</f>
        <v/>
      </c>
      <c r="K36" s="49">
        <f>IF(A36="","",IF(AND(E36="Received",H36&lt;&gt;"Yes"),"Reply to review",IF(N(J36)&gt;=ReviewWait,IF(E36="Reminder sent","Close out","Send reminder"),"—")))</f>
        <v/>
      </c>
      <c r="L36" s="51">
        <f>IF(F36="","",DATE(YEAR(F36),MONTH(F36),1))</f>
        <v/>
      </c>
      <c r="M36" s="51">
        <f>IF(C36="","",DATE(YEAR(C36),MONTH(C36),1))</f>
        <v/>
      </c>
    </row>
    <row r="37">
      <c r="A37" s="38" t="n"/>
      <c r="B37" s="38" t="n"/>
      <c r="C37" s="47" t="n"/>
      <c r="D37" s="38" t="n"/>
      <c r="E37" s="38" t="n"/>
      <c r="F37" s="47" t="n"/>
      <c r="G37" s="57" t="n"/>
      <c r="H37" s="38" t="n"/>
      <c r="I37" s="38" t="n"/>
      <c r="J37" s="50">
        <f>IF(C37="","",IF(OR(E37="Received",E37="Declined"),"",AsOf-C37))</f>
        <v/>
      </c>
      <c r="K37" s="49">
        <f>IF(A37="","",IF(AND(E37="Received",H37&lt;&gt;"Yes"),"Reply to review",IF(N(J37)&gt;=ReviewWait,IF(E37="Reminder sent","Close out","Send reminder"),"—")))</f>
        <v/>
      </c>
      <c r="L37" s="51">
        <f>IF(F37="","",DATE(YEAR(F37),MONTH(F37),1))</f>
        <v/>
      </c>
      <c r="M37" s="51">
        <f>IF(C37="","",DATE(YEAR(C37),MONTH(C37),1))</f>
        <v/>
      </c>
    </row>
    <row r="38">
      <c r="A38" s="38" t="n"/>
      <c r="B38" s="38" t="n"/>
      <c r="C38" s="47" t="n"/>
      <c r="D38" s="38" t="n"/>
      <c r="E38" s="38" t="n"/>
      <c r="F38" s="47" t="n"/>
      <c r="G38" s="57" t="n"/>
      <c r="H38" s="38" t="n"/>
      <c r="I38" s="38" t="n"/>
      <c r="J38" s="50">
        <f>IF(C38="","",IF(OR(E38="Received",E38="Declined"),"",AsOf-C38))</f>
        <v/>
      </c>
      <c r="K38" s="49">
        <f>IF(A38="","",IF(AND(E38="Received",H38&lt;&gt;"Yes"),"Reply to review",IF(N(J38)&gt;=ReviewWait,IF(E38="Reminder sent","Close out","Send reminder"),"—")))</f>
        <v/>
      </c>
      <c r="L38" s="51">
        <f>IF(F38="","",DATE(YEAR(F38),MONTH(F38),1))</f>
        <v/>
      </c>
      <c r="M38" s="51">
        <f>IF(C38="","",DATE(YEAR(C38),MONTH(C38),1))</f>
        <v/>
      </c>
    </row>
    <row r="39">
      <c r="A39" s="38" t="n"/>
      <c r="B39" s="38" t="n"/>
      <c r="C39" s="47" t="n"/>
      <c r="D39" s="38" t="n"/>
      <c r="E39" s="38" t="n"/>
      <c r="F39" s="47" t="n"/>
      <c r="G39" s="57" t="n"/>
      <c r="H39" s="38" t="n"/>
      <c r="I39" s="38" t="n"/>
      <c r="J39" s="50">
        <f>IF(C39="","",IF(OR(E39="Received",E39="Declined"),"",AsOf-C39))</f>
        <v/>
      </c>
      <c r="K39" s="49">
        <f>IF(A39="","",IF(AND(E39="Received",H39&lt;&gt;"Yes"),"Reply to review",IF(N(J39)&gt;=ReviewWait,IF(E39="Reminder sent","Close out","Send reminder"),"—")))</f>
        <v/>
      </c>
      <c r="L39" s="51">
        <f>IF(F39="","",DATE(YEAR(F39),MONTH(F39),1))</f>
        <v/>
      </c>
      <c r="M39" s="51">
        <f>IF(C39="","",DATE(YEAR(C39),MONTH(C39),1))</f>
        <v/>
      </c>
    </row>
    <row r="40">
      <c r="A40" s="38" t="n"/>
      <c r="B40" s="38" t="n"/>
      <c r="C40" s="47" t="n"/>
      <c r="D40" s="38" t="n"/>
      <c r="E40" s="38" t="n"/>
      <c r="F40" s="47" t="n"/>
      <c r="G40" s="57" t="n"/>
      <c r="H40" s="38" t="n"/>
      <c r="I40" s="38" t="n"/>
      <c r="J40" s="50">
        <f>IF(C40="","",IF(OR(E40="Received",E40="Declined"),"",AsOf-C40))</f>
        <v/>
      </c>
      <c r="K40" s="49">
        <f>IF(A40="","",IF(AND(E40="Received",H40&lt;&gt;"Yes"),"Reply to review",IF(N(J40)&gt;=ReviewWait,IF(E40="Reminder sent","Close out","Send reminder"),"—")))</f>
        <v/>
      </c>
      <c r="L40" s="51">
        <f>IF(F40="","",DATE(YEAR(F40),MONTH(F40),1))</f>
        <v/>
      </c>
      <c r="M40" s="51">
        <f>IF(C40="","",DATE(YEAR(C40),MONTH(C40),1))</f>
        <v/>
      </c>
    </row>
    <row r="41">
      <c r="A41" s="38" t="n"/>
      <c r="B41" s="38" t="n"/>
      <c r="C41" s="47" t="n"/>
      <c r="D41" s="38" t="n"/>
      <c r="E41" s="38" t="n"/>
      <c r="F41" s="47" t="n"/>
      <c r="G41" s="57" t="n"/>
      <c r="H41" s="38" t="n"/>
      <c r="I41" s="38" t="n"/>
      <c r="J41" s="50">
        <f>IF(C41="","",IF(OR(E41="Received",E41="Declined"),"",AsOf-C41))</f>
        <v/>
      </c>
      <c r="K41" s="49">
        <f>IF(A41="","",IF(AND(E41="Received",H41&lt;&gt;"Yes"),"Reply to review",IF(N(J41)&gt;=ReviewWait,IF(E41="Reminder sent","Close out","Send reminder"),"—")))</f>
        <v/>
      </c>
      <c r="L41" s="51">
        <f>IF(F41="","",DATE(YEAR(F41),MONTH(F41),1))</f>
        <v/>
      </c>
      <c r="M41" s="51">
        <f>IF(C41="","",DATE(YEAR(C41),MONTH(C41),1))</f>
        <v/>
      </c>
    </row>
    <row r="42">
      <c r="A42" s="38" t="n"/>
      <c r="B42" s="38" t="n"/>
      <c r="C42" s="47" t="n"/>
      <c r="D42" s="38" t="n"/>
      <c r="E42" s="38" t="n"/>
      <c r="F42" s="47" t="n"/>
      <c r="G42" s="57" t="n"/>
      <c r="H42" s="38" t="n"/>
      <c r="I42" s="38" t="n"/>
      <c r="J42" s="50">
        <f>IF(C42="","",IF(OR(E42="Received",E42="Declined"),"",AsOf-C42))</f>
        <v/>
      </c>
      <c r="K42" s="49">
        <f>IF(A42="","",IF(AND(E42="Received",H42&lt;&gt;"Yes"),"Reply to review",IF(N(J42)&gt;=ReviewWait,IF(E42="Reminder sent","Close out","Send reminder"),"—")))</f>
        <v/>
      </c>
      <c r="L42" s="51">
        <f>IF(F42="","",DATE(YEAR(F42),MONTH(F42),1))</f>
        <v/>
      </c>
      <c r="M42" s="51">
        <f>IF(C42="","",DATE(YEAR(C42),MONTH(C42),1))</f>
        <v/>
      </c>
    </row>
    <row r="43">
      <c r="A43" s="38" t="n"/>
      <c r="B43" s="38" t="n"/>
      <c r="C43" s="47" t="n"/>
      <c r="D43" s="38" t="n"/>
      <c r="E43" s="38" t="n"/>
      <c r="F43" s="47" t="n"/>
      <c r="G43" s="57" t="n"/>
      <c r="H43" s="38" t="n"/>
      <c r="I43" s="38" t="n"/>
      <c r="J43" s="50">
        <f>IF(C43="","",IF(OR(E43="Received",E43="Declined"),"",AsOf-C43))</f>
        <v/>
      </c>
      <c r="K43" s="49">
        <f>IF(A43="","",IF(AND(E43="Received",H43&lt;&gt;"Yes"),"Reply to review",IF(N(J43)&gt;=ReviewWait,IF(E43="Reminder sent","Close out","Send reminder"),"—")))</f>
        <v/>
      </c>
      <c r="L43" s="51">
        <f>IF(F43="","",DATE(YEAR(F43),MONTH(F43),1))</f>
        <v/>
      </c>
      <c r="M43" s="51">
        <f>IF(C43="","",DATE(YEAR(C43),MONTH(C43),1))</f>
        <v/>
      </c>
    </row>
    <row r="44">
      <c r="A44" s="38" t="n"/>
      <c r="B44" s="38" t="n"/>
      <c r="C44" s="47" t="n"/>
      <c r="D44" s="38" t="n"/>
      <c r="E44" s="38" t="n"/>
      <c r="F44" s="47" t="n"/>
      <c r="G44" s="57" t="n"/>
      <c r="H44" s="38" t="n"/>
      <c r="I44" s="38" t="n"/>
      <c r="J44" s="50">
        <f>IF(C44="","",IF(OR(E44="Received",E44="Declined"),"",AsOf-C44))</f>
        <v/>
      </c>
      <c r="K44" s="49">
        <f>IF(A44="","",IF(AND(E44="Received",H44&lt;&gt;"Yes"),"Reply to review",IF(N(J44)&gt;=ReviewWait,IF(E44="Reminder sent","Close out","Send reminder"),"—")))</f>
        <v/>
      </c>
      <c r="L44" s="51">
        <f>IF(F44="","",DATE(YEAR(F44),MONTH(F44),1))</f>
        <v/>
      </c>
      <c r="M44" s="51">
        <f>IF(C44="","",DATE(YEAR(C44),MONTH(C44),1))</f>
        <v/>
      </c>
    </row>
    <row r="45">
      <c r="A45" s="38" t="n"/>
      <c r="B45" s="38" t="n"/>
      <c r="C45" s="47" t="n"/>
      <c r="D45" s="38" t="n"/>
      <c r="E45" s="38" t="n"/>
      <c r="F45" s="47" t="n"/>
      <c r="G45" s="57" t="n"/>
      <c r="H45" s="38" t="n"/>
      <c r="I45" s="38" t="n"/>
      <c r="J45" s="50">
        <f>IF(C45="","",IF(OR(E45="Received",E45="Declined"),"",AsOf-C45))</f>
        <v/>
      </c>
      <c r="K45" s="49">
        <f>IF(A45="","",IF(AND(E45="Received",H45&lt;&gt;"Yes"),"Reply to review",IF(N(J45)&gt;=ReviewWait,IF(E45="Reminder sent","Close out","Send reminder"),"—")))</f>
        <v/>
      </c>
      <c r="L45" s="51">
        <f>IF(F45="","",DATE(YEAR(F45),MONTH(F45),1))</f>
        <v/>
      </c>
      <c r="M45" s="51">
        <f>IF(C45="","",DATE(YEAR(C45),MONTH(C45),1))</f>
        <v/>
      </c>
    </row>
    <row r="46">
      <c r="A46" s="38" t="n"/>
      <c r="B46" s="38" t="n"/>
      <c r="C46" s="47" t="n"/>
      <c r="D46" s="38" t="n"/>
      <c r="E46" s="38" t="n"/>
      <c r="F46" s="47" t="n"/>
      <c r="G46" s="57" t="n"/>
      <c r="H46" s="38" t="n"/>
      <c r="I46" s="38" t="n"/>
      <c r="J46" s="50">
        <f>IF(C46="","",IF(OR(E46="Received",E46="Declined"),"",AsOf-C46))</f>
        <v/>
      </c>
      <c r="K46" s="49">
        <f>IF(A46="","",IF(AND(E46="Received",H46&lt;&gt;"Yes"),"Reply to review",IF(N(J46)&gt;=ReviewWait,IF(E46="Reminder sent","Close out","Send reminder"),"—")))</f>
        <v/>
      </c>
      <c r="L46" s="51">
        <f>IF(F46="","",DATE(YEAR(F46),MONTH(F46),1))</f>
        <v/>
      </c>
      <c r="M46" s="51">
        <f>IF(C46="","",DATE(YEAR(C46),MONTH(C46),1))</f>
        <v/>
      </c>
    </row>
    <row r="47">
      <c r="A47" s="38" t="n"/>
      <c r="B47" s="38" t="n"/>
      <c r="C47" s="47" t="n"/>
      <c r="D47" s="38" t="n"/>
      <c r="E47" s="38" t="n"/>
      <c r="F47" s="47" t="n"/>
      <c r="G47" s="57" t="n"/>
      <c r="H47" s="38" t="n"/>
      <c r="I47" s="38" t="n"/>
      <c r="J47" s="50">
        <f>IF(C47="","",IF(OR(E47="Received",E47="Declined"),"",AsOf-C47))</f>
        <v/>
      </c>
      <c r="K47" s="49">
        <f>IF(A47="","",IF(AND(E47="Received",H47&lt;&gt;"Yes"),"Reply to review",IF(N(J47)&gt;=ReviewWait,IF(E47="Reminder sent","Close out","Send reminder"),"—")))</f>
        <v/>
      </c>
      <c r="L47" s="51">
        <f>IF(F47="","",DATE(YEAR(F47),MONTH(F47),1))</f>
        <v/>
      </c>
      <c r="M47" s="51">
        <f>IF(C47="","",DATE(YEAR(C47),MONTH(C47),1))</f>
        <v/>
      </c>
    </row>
    <row r="48">
      <c r="A48" s="38" t="n"/>
      <c r="B48" s="38" t="n"/>
      <c r="C48" s="47" t="n"/>
      <c r="D48" s="38" t="n"/>
      <c r="E48" s="38" t="n"/>
      <c r="F48" s="47" t="n"/>
      <c r="G48" s="57" t="n"/>
      <c r="H48" s="38" t="n"/>
      <c r="I48" s="38" t="n"/>
      <c r="J48" s="50">
        <f>IF(C48="","",IF(OR(E48="Received",E48="Declined"),"",AsOf-C48))</f>
        <v/>
      </c>
      <c r="K48" s="49">
        <f>IF(A48="","",IF(AND(E48="Received",H48&lt;&gt;"Yes"),"Reply to review",IF(N(J48)&gt;=ReviewWait,IF(E48="Reminder sent","Close out","Send reminder"),"—")))</f>
        <v/>
      </c>
      <c r="L48" s="51">
        <f>IF(F48="","",DATE(YEAR(F48),MONTH(F48),1))</f>
        <v/>
      </c>
      <c r="M48" s="51">
        <f>IF(C48="","",DATE(YEAR(C48),MONTH(C48),1))</f>
        <v/>
      </c>
    </row>
    <row r="49">
      <c r="A49" s="38" t="n"/>
      <c r="B49" s="38" t="n"/>
      <c r="C49" s="47" t="n"/>
      <c r="D49" s="38" t="n"/>
      <c r="E49" s="38" t="n"/>
      <c r="F49" s="47" t="n"/>
      <c r="G49" s="57" t="n"/>
      <c r="H49" s="38" t="n"/>
      <c r="I49" s="38" t="n"/>
      <c r="J49" s="50">
        <f>IF(C49="","",IF(OR(E49="Received",E49="Declined"),"",AsOf-C49))</f>
        <v/>
      </c>
      <c r="K49" s="49">
        <f>IF(A49="","",IF(AND(E49="Received",H49&lt;&gt;"Yes"),"Reply to review",IF(N(J49)&gt;=ReviewWait,IF(E49="Reminder sent","Close out","Send reminder"),"—")))</f>
        <v/>
      </c>
      <c r="L49" s="51">
        <f>IF(F49="","",DATE(YEAR(F49),MONTH(F49),1))</f>
        <v/>
      </c>
      <c r="M49" s="51">
        <f>IF(C49="","",DATE(YEAR(C49),MONTH(C49),1))</f>
        <v/>
      </c>
    </row>
    <row r="50">
      <c r="A50" s="38" t="n"/>
      <c r="B50" s="38" t="n"/>
      <c r="C50" s="47" t="n"/>
      <c r="D50" s="38" t="n"/>
      <c r="E50" s="38" t="n"/>
      <c r="F50" s="47" t="n"/>
      <c r="G50" s="57" t="n"/>
      <c r="H50" s="38" t="n"/>
      <c r="I50" s="38" t="n"/>
      <c r="J50" s="50">
        <f>IF(C50="","",IF(OR(E50="Received",E50="Declined"),"",AsOf-C50))</f>
        <v/>
      </c>
      <c r="K50" s="49">
        <f>IF(A50="","",IF(AND(E50="Received",H50&lt;&gt;"Yes"),"Reply to review",IF(N(J50)&gt;=ReviewWait,IF(E50="Reminder sent","Close out","Send reminder"),"—")))</f>
        <v/>
      </c>
      <c r="L50" s="51">
        <f>IF(F50="","",DATE(YEAR(F50),MONTH(F50),1))</f>
        <v/>
      </c>
      <c r="M50" s="51">
        <f>IF(C50="","",DATE(YEAR(C50),MONTH(C50),1))</f>
        <v/>
      </c>
    </row>
    <row r="51">
      <c r="A51" s="38" t="n"/>
      <c r="B51" s="38" t="n"/>
      <c r="C51" s="47" t="n"/>
      <c r="D51" s="38" t="n"/>
      <c r="E51" s="38" t="n"/>
      <c r="F51" s="47" t="n"/>
      <c r="G51" s="57" t="n"/>
      <c r="H51" s="38" t="n"/>
      <c r="I51" s="38" t="n"/>
      <c r="J51" s="50">
        <f>IF(C51="","",IF(OR(E51="Received",E51="Declined"),"",AsOf-C51))</f>
        <v/>
      </c>
      <c r="K51" s="49">
        <f>IF(A51="","",IF(AND(E51="Received",H51&lt;&gt;"Yes"),"Reply to review",IF(N(J51)&gt;=ReviewWait,IF(E51="Reminder sent","Close out","Send reminder"),"—")))</f>
        <v/>
      </c>
      <c r="L51" s="51">
        <f>IF(F51="","",DATE(YEAR(F51),MONTH(F51),1))</f>
        <v/>
      </c>
      <c r="M51" s="51">
        <f>IF(C51="","",DATE(YEAR(C51),MONTH(C51),1))</f>
        <v/>
      </c>
    </row>
    <row r="52">
      <c r="A52" s="38" t="n"/>
      <c r="B52" s="38" t="n"/>
      <c r="C52" s="47" t="n"/>
      <c r="D52" s="38" t="n"/>
      <c r="E52" s="38" t="n"/>
      <c r="F52" s="47" t="n"/>
      <c r="G52" s="57" t="n"/>
      <c r="H52" s="38" t="n"/>
      <c r="I52" s="38" t="n"/>
      <c r="J52" s="50">
        <f>IF(C52="","",IF(OR(E52="Received",E52="Declined"),"",AsOf-C52))</f>
        <v/>
      </c>
      <c r="K52" s="49">
        <f>IF(A52="","",IF(AND(E52="Received",H52&lt;&gt;"Yes"),"Reply to review",IF(N(J52)&gt;=ReviewWait,IF(E52="Reminder sent","Close out","Send reminder"),"—")))</f>
        <v/>
      </c>
      <c r="L52" s="51">
        <f>IF(F52="","",DATE(YEAR(F52),MONTH(F52),1))</f>
        <v/>
      </c>
      <c r="M52" s="51">
        <f>IF(C52="","",DATE(YEAR(C52),MONTH(C52),1))</f>
        <v/>
      </c>
    </row>
    <row r="53">
      <c r="A53" s="38" t="n"/>
      <c r="B53" s="38" t="n"/>
      <c r="C53" s="47" t="n"/>
      <c r="D53" s="38" t="n"/>
      <c r="E53" s="38" t="n"/>
      <c r="F53" s="47" t="n"/>
      <c r="G53" s="57" t="n"/>
      <c r="H53" s="38" t="n"/>
      <c r="I53" s="38" t="n"/>
      <c r="J53" s="50">
        <f>IF(C53="","",IF(OR(E53="Received",E53="Declined"),"",AsOf-C53))</f>
        <v/>
      </c>
      <c r="K53" s="49">
        <f>IF(A53="","",IF(AND(E53="Received",H53&lt;&gt;"Yes"),"Reply to review",IF(N(J53)&gt;=ReviewWait,IF(E53="Reminder sent","Close out","Send reminder"),"—")))</f>
        <v/>
      </c>
      <c r="L53" s="51">
        <f>IF(F53="","",DATE(YEAR(F53),MONTH(F53),1))</f>
        <v/>
      </c>
      <c r="M53" s="51">
        <f>IF(C53="","",DATE(YEAR(C53),MONTH(C53),1))</f>
        <v/>
      </c>
    </row>
    <row r="54">
      <c r="A54" s="38" t="n"/>
      <c r="B54" s="38" t="n"/>
      <c r="C54" s="47" t="n"/>
      <c r="D54" s="38" t="n"/>
      <c r="E54" s="38" t="n"/>
      <c r="F54" s="47" t="n"/>
      <c r="G54" s="57" t="n"/>
      <c r="H54" s="38" t="n"/>
      <c r="I54" s="38" t="n"/>
      <c r="J54" s="50">
        <f>IF(C54="","",IF(OR(E54="Received",E54="Declined"),"",AsOf-C54))</f>
        <v/>
      </c>
      <c r="K54" s="49">
        <f>IF(A54="","",IF(AND(E54="Received",H54&lt;&gt;"Yes"),"Reply to review",IF(N(J54)&gt;=ReviewWait,IF(E54="Reminder sent","Close out","Send reminder"),"—")))</f>
        <v/>
      </c>
      <c r="L54" s="51">
        <f>IF(F54="","",DATE(YEAR(F54),MONTH(F54),1))</f>
        <v/>
      </c>
      <c r="M54" s="51">
        <f>IF(C54="","",DATE(YEAR(C54),MONTH(C54),1))</f>
        <v/>
      </c>
    </row>
    <row r="55">
      <c r="A55" s="38" t="n"/>
      <c r="B55" s="38" t="n"/>
      <c r="C55" s="47" t="n"/>
      <c r="D55" s="38" t="n"/>
      <c r="E55" s="38" t="n"/>
      <c r="F55" s="47" t="n"/>
      <c r="G55" s="57" t="n"/>
      <c r="H55" s="38" t="n"/>
      <c r="I55" s="38" t="n"/>
      <c r="J55" s="50">
        <f>IF(C55="","",IF(OR(E55="Received",E55="Declined"),"",AsOf-C55))</f>
        <v/>
      </c>
      <c r="K55" s="49">
        <f>IF(A55="","",IF(AND(E55="Received",H55&lt;&gt;"Yes"),"Reply to review",IF(N(J55)&gt;=ReviewWait,IF(E55="Reminder sent","Close out","Send reminder"),"—")))</f>
        <v/>
      </c>
      <c r="L55" s="51">
        <f>IF(F55="","",DATE(YEAR(F55),MONTH(F55),1))</f>
        <v/>
      </c>
      <c r="M55" s="51">
        <f>IF(C55="","",DATE(YEAR(C55),MONTH(C55),1))</f>
        <v/>
      </c>
    </row>
    <row r="56">
      <c r="A56" s="38" t="n"/>
      <c r="B56" s="38" t="n"/>
      <c r="C56" s="47" t="n"/>
      <c r="D56" s="38" t="n"/>
      <c r="E56" s="38" t="n"/>
      <c r="F56" s="47" t="n"/>
      <c r="G56" s="57" t="n"/>
      <c r="H56" s="38" t="n"/>
      <c r="I56" s="38" t="n"/>
      <c r="J56" s="50">
        <f>IF(C56="","",IF(OR(E56="Received",E56="Declined"),"",AsOf-C56))</f>
        <v/>
      </c>
      <c r="K56" s="49">
        <f>IF(A56="","",IF(AND(E56="Received",H56&lt;&gt;"Yes"),"Reply to review",IF(N(J56)&gt;=ReviewWait,IF(E56="Reminder sent","Close out","Send reminder"),"—")))</f>
        <v/>
      </c>
      <c r="L56" s="51">
        <f>IF(F56="","",DATE(YEAR(F56),MONTH(F56),1))</f>
        <v/>
      </c>
      <c r="M56" s="51">
        <f>IF(C56="","",DATE(YEAR(C56),MONTH(C56),1))</f>
        <v/>
      </c>
    </row>
    <row r="57">
      <c r="A57" s="38" t="n"/>
      <c r="B57" s="38" t="n"/>
      <c r="C57" s="47" t="n"/>
      <c r="D57" s="38" t="n"/>
      <c r="E57" s="38" t="n"/>
      <c r="F57" s="47" t="n"/>
      <c r="G57" s="57" t="n"/>
      <c r="H57" s="38" t="n"/>
      <c r="I57" s="38" t="n"/>
      <c r="J57" s="50">
        <f>IF(C57="","",IF(OR(E57="Received",E57="Declined"),"",AsOf-C57))</f>
        <v/>
      </c>
      <c r="K57" s="49">
        <f>IF(A57="","",IF(AND(E57="Received",H57&lt;&gt;"Yes"),"Reply to review",IF(N(J57)&gt;=ReviewWait,IF(E57="Reminder sent","Close out","Send reminder"),"—")))</f>
        <v/>
      </c>
      <c r="L57" s="51">
        <f>IF(F57="","",DATE(YEAR(F57),MONTH(F57),1))</f>
        <v/>
      </c>
      <c r="M57" s="51">
        <f>IF(C57="","",DATE(YEAR(C57),MONTH(C57),1))</f>
        <v/>
      </c>
    </row>
    <row r="58">
      <c r="A58" s="38" t="n"/>
      <c r="B58" s="38" t="n"/>
      <c r="C58" s="47" t="n"/>
      <c r="D58" s="38" t="n"/>
      <c r="E58" s="38" t="n"/>
      <c r="F58" s="47" t="n"/>
      <c r="G58" s="57" t="n"/>
      <c r="H58" s="38" t="n"/>
      <c r="I58" s="38" t="n"/>
      <c r="J58" s="50">
        <f>IF(C58="","",IF(OR(E58="Received",E58="Declined"),"",AsOf-C58))</f>
        <v/>
      </c>
      <c r="K58" s="49">
        <f>IF(A58="","",IF(AND(E58="Received",H58&lt;&gt;"Yes"),"Reply to review",IF(N(J58)&gt;=ReviewWait,IF(E58="Reminder sent","Close out","Send reminder"),"—")))</f>
        <v/>
      </c>
      <c r="L58" s="51">
        <f>IF(F58="","",DATE(YEAR(F58),MONTH(F58),1))</f>
        <v/>
      </c>
      <c r="M58" s="51">
        <f>IF(C58="","",DATE(YEAR(C58),MONTH(C58),1))</f>
        <v/>
      </c>
    </row>
    <row r="59">
      <c r="A59" s="38" t="n"/>
      <c r="B59" s="38" t="n"/>
      <c r="C59" s="47" t="n"/>
      <c r="D59" s="38" t="n"/>
      <c r="E59" s="38" t="n"/>
      <c r="F59" s="47" t="n"/>
      <c r="G59" s="57" t="n"/>
      <c r="H59" s="38" t="n"/>
      <c r="I59" s="38" t="n"/>
      <c r="J59" s="50">
        <f>IF(C59="","",IF(OR(E59="Received",E59="Declined"),"",AsOf-C59))</f>
        <v/>
      </c>
      <c r="K59" s="49">
        <f>IF(A59="","",IF(AND(E59="Received",H59&lt;&gt;"Yes"),"Reply to review",IF(N(J59)&gt;=ReviewWait,IF(E59="Reminder sent","Close out","Send reminder"),"—")))</f>
        <v/>
      </c>
      <c r="L59" s="51">
        <f>IF(F59="","",DATE(YEAR(F59),MONTH(F59),1))</f>
        <v/>
      </c>
      <c r="M59" s="51">
        <f>IF(C59="","",DATE(YEAR(C59),MONTH(C59),1))</f>
        <v/>
      </c>
    </row>
    <row r="60">
      <c r="A60" s="38" t="n"/>
      <c r="B60" s="38" t="n"/>
      <c r="C60" s="47" t="n"/>
      <c r="D60" s="38" t="n"/>
      <c r="E60" s="38" t="n"/>
      <c r="F60" s="47" t="n"/>
      <c r="G60" s="57" t="n"/>
      <c r="H60" s="38" t="n"/>
      <c r="I60" s="38" t="n"/>
      <c r="J60" s="50">
        <f>IF(C60="","",IF(OR(E60="Received",E60="Declined"),"",AsOf-C60))</f>
        <v/>
      </c>
      <c r="K60" s="49">
        <f>IF(A60="","",IF(AND(E60="Received",H60&lt;&gt;"Yes"),"Reply to review",IF(N(J60)&gt;=ReviewWait,IF(E60="Reminder sent","Close out","Send reminder"),"—")))</f>
        <v/>
      </c>
      <c r="L60" s="51">
        <f>IF(F60="","",DATE(YEAR(F60),MONTH(F60),1))</f>
        <v/>
      </c>
      <c r="M60" s="51">
        <f>IF(C60="","",DATE(YEAR(C60),MONTH(C60),1))</f>
        <v/>
      </c>
    </row>
    <row r="61">
      <c r="A61" s="38" t="n"/>
      <c r="B61" s="38" t="n"/>
      <c r="C61" s="47" t="n"/>
      <c r="D61" s="38" t="n"/>
      <c r="E61" s="38" t="n"/>
      <c r="F61" s="47" t="n"/>
      <c r="G61" s="57" t="n"/>
      <c r="H61" s="38" t="n"/>
      <c r="I61" s="38" t="n"/>
      <c r="J61" s="50">
        <f>IF(C61="","",IF(OR(E61="Received",E61="Declined"),"",AsOf-C61))</f>
        <v/>
      </c>
      <c r="K61" s="49">
        <f>IF(A61="","",IF(AND(E61="Received",H61&lt;&gt;"Yes"),"Reply to review",IF(N(J61)&gt;=ReviewWait,IF(E61="Reminder sent","Close out","Send reminder"),"—")))</f>
        <v/>
      </c>
      <c r="L61" s="51">
        <f>IF(F61="","",DATE(YEAR(F61),MONTH(F61),1))</f>
        <v/>
      </c>
      <c r="M61" s="51">
        <f>IF(C61="","",DATE(YEAR(C61),MONTH(C61),1))</f>
        <v/>
      </c>
    </row>
    <row r="62">
      <c r="A62" s="38" t="n"/>
      <c r="B62" s="38" t="n"/>
      <c r="C62" s="47" t="n"/>
      <c r="D62" s="38" t="n"/>
      <c r="E62" s="38" t="n"/>
      <c r="F62" s="47" t="n"/>
      <c r="G62" s="57" t="n"/>
      <c r="H62" s="38" t="n"/>
      <c r="I62" s="38" t="n"/>
      <c r="J62" s="50">
        <f>IF(C62="","",IF(OR(E62="Received",E62="Declined"),"",AsOf-C62))</f>
        <v/>
      </c>
      <c r="K62" s="49">
        <f>IF(A62="","",IF(AND(E62="Received",H62&lt;&gt;"Yes"),"Reply to review",IF(N(J62)&gt;=ReviewWait,IF(E62="Reminder sent","Close out","Send reminder"),"—")))</f>
        <v/>
      </c>
      <c r="L62" s="51">
        <f>IF(F62="","",DATE(YEAR(F62),MONTH(F62),1))</f>
        <v/>
      </c>
      <c r="M62" s="51">
        <f>IF(C62="","",DATE(YEAR(C62),MONTH(C62),1))</f>
        <v/>
      </c>
    </row>
    <row r="63">
      <c r="A63" s="38" t="n"/>
      <c r="B63" s="38" t="n"/>
      <c r="C63" s="47" t="n"/>
      <c r="D63" s="38" t="n"/>
      <c r="E63" s="38" t="n"/>
      <c r="F63" s="47" t="n"/>
      <c r="G63" s="57" t="n"/>
      <c r="H63" s="38" t="n"/>
      <c r="I63" s="38" t="n"/>
      <c r="J63" s="50">
        <f>IF(C63="","",IF(OR(E63="Received",E63="Declined"),"",AsOf-C63))</f>
        <v/>
      </c>
      <c r="K63" s="49">
        <f>IF(A63="","",IF(AND(E63="Received",H63&lt;&gt;"Yes"),"Reply to review",IF(N(J63)&gt;=ReviewWait,IF(E63="Reminder sent","Close out","Send reminder"),"—")))</f>
        <v/>
      </c>
      <c r="L63" s="51">
        <f>IF(F63="","",DATE(YEAR(F63),MONTH(F63),1))</f>
        <v/>
      </c>
      <c r="M63" s="51">
        <f>IF(C63="","",DATE(YEAR(C63),MONTH(C63),1))</f>
        <v/>
      </c>
    </row>
    <row r="64">
      <c r="A64" s="38" t="n"/>
      <c r="B64" s="38" t="n"/>
      <c r="C64" s="47" t="n"/>
      <c r="D64" s="38" t="n"/>
      <c r="E64" s="38" t="n"/>
      <c r="F64" s="47" t="n"/>
      <c r="G64" s="57" t="n"/>
      <c r="H64" s="38" t="n"/>
      <c r="I64" s="38" t="n"/>
      <c r="J64" s="50">
        <f>IF(C64="","",IF(OR(E64="Received",E64="Declined"),"",AsOf-C64))</f>
        <v/>
      </c>
      <c r="K64" s="49">
        <f>IF(A64="","",IF(AND(E64="Received",H64&lt;&gt;"Yes"),"Reply to review",IF(N(J64)&gt;=ReviewWait,IF(E64="Reminder sent","Close out","Send reminder"),"—")))</f>
        <v/>
      </c>
      <c r="L64" s="51">
        <f>IF(F64="","",DATE(YEAR(F64),MONTH(F64),1))</f>
        <v/>
      </c>
      <c r="M64" s="51">
        <f>IF(C64="","",DATE(YEAR(C64),MONTH(C64),1))</f>
        <v/>
      </c>
    </row>
    <row r="65">
      <c r="A65" s="38" t="n"/>
      <c r="B65" s="38" t="n"/>
      <c r="C65" s="47" t="n"/>
      <c r="D65" s="38" t="n"/>
      <c r="E65" s="38" t="n"/>
      <c r="F65" s="47" t="n"/>
      <c r="G65" s="57" t="n"/>
      <c r="H65" s="38" t="n"/>
      <c r="I65" s="38" t="n"/>
      <c r="J65" s="50">
        <f>IF(C65="","",IF(OR(E65="Received",E65="Declined"),"",AsOf-C65))</f>
        <v/>
      </c>
      <c r="K65" s="49">
        <f>IF(A65="","",IF(AND(E65="Received",H65&lt;&gt;"Yes"),"Reply to review",IF(N(J65)&gt;=ReviewWait,IF(E65="Reminder sent","Close out","Send reminder"),"—")))</f>
        <v/>
      </c>
      <c r="L65" s="51">
        <f>IF(F65="","",DATE(YEAR(F65),MONTH(F65),1))</f>
        <v/>
      </c>
      <c r="M65" s="51">
        <f>IF(C65="","",DATE(YEAR(C65),MONTH(C65),1))</f>
        <v/>
      </c>
    </row>
    <row r="66">
      <c r="A66" s="38" t="n"/>
      <c r="B66" s="38" t="n"/>
      <c r="C66" s="47" t="n"/>
      <c r="D66" s="38" t="n"/>
      <c r="E66" s="38" t="n"/>
      <c r="F66" s="47" t="n"/>
      <c r="G66" s="57" t="n"/>
      <c r="H66" s="38" t="n"/>
      <c r="I66" s="38" t="n"/>
      <c r="J66" s="50">
        <f>IF(C66="","",IF(OR(E66="Received",E66="Declined"),"",AsOf-C66))</f>
        <v/>
      </c>
      <c r="K66" s="49">
        <f>IF(A66="","",IF(AND(E66="Received",H66&lt;&gt;"Yes"),"Reply to review",IF(N(J66)&gt;=ReviewWait,IF(E66="Reminder sent","Close out","Send reminder"),"—")))</f>
        <v/>
      </c>
      <c r="L66" s="51">
        <f>IF(F66="","",DATE(YEAR(F66),MONTH(F66),1))</f>
        <v/>
      </c>
      <c r="M66" s="51">
        <f>IF(C66="","",DATE(YEAR(C66),MONTH(C66),1))</f>
        <v/>
      </c>
    </row>
    <row r="67">
      <c r="A67" s="38" t="n"/>
      <c r="B67" s="38" t="n"/>
      <c r="C67" s="47" t="n"/>
      <c r="D67" s="38" t="n"/>
      <c r="E67" s="38" t="n"/>
      <c r="F67" s="47" t="n"/>
      <c r="G67" s="57" t="n"/>
      <c r="H67" s="38" t="n"/>
      <c r="I67" s="38" t="n"/>
      <c r="J67" s="50">
        <f>IF(C67="","",IF(OR(E67="Received",E67="Declined"),"",AsOf-C67))</f>
        <v/>
      </c>
      <c r="K67" s="49">
        <f>IF(A67="","",IF(AND(E67="Received",H67&lt;&gt;"Yes"),"Reply to review",IF(N(J67)&gt;=ReviewWait,IF(E67="Reminder sent","Close out","Send reminder"),"—")))</f>
        <v/>
      </c>
      <c r="L67" s="51">
        <f>IF(F67="","",DATE(YEAR(F67),MONTH(F67),1))</f>
        <v/>
      </c>
      <c r="M67" s="51">
        <f>IF(C67="","",DATE(YEAR(C67),MONTH(C67),1))</f>
        <v/>
      </c>
    </row>
    <row r="68">
      <c r="A68" s="38" t="n"/>
      <c r="B68" s="38" t="n"/>
      <c r="C68" s="47" t="n"/>
      <c r="D68" s="38" t="n"/>
      <c r="E68" s="38" t="n"/>
      <c r="F68" s="47" t="n"/>
      <c r="G68" s="57" t="n"/>
      <c r="H68" s="38" t="n"/>
      <c r="I68" s="38" t="n"/>
      <c r="J68" s="50">
        <f>IF(C68="","",IF(OR(E68="Received",E68="Declined"),"",AsOf-C68))</f>
        <v/>
      </c>
      <c r="K68" s="49">
        <f>IF(A68="","",IF(AND(E68="Received",H68&lt;&gt;"Yes"),"Reply to review",IF(N(J68)&gt;=ReviewWait,IF(E68="Reminder sent","Close out","Send reminder"),"—")))</f>
        <v/>
      </c>
      <c r="L68" s="51">
        <f>IF(F68="","",DATE(YEAR(F68),MONTH(F68),1))</f>
        <v/>
      </c>
      <c r="M68" s="51">
        <f>IF(C68="","",DATE(YEAR(C68),MONTH(C68),1))</f>
        <v/>
      </c>
    </row>
    <row r="69">
      <c r="A69" s="38" t="n"/>
      <c r="B69" s="38" t="n"/>
      <c r="C69" s="47" t="n"/>
      <c r="D69" s="38" t="n"/>
      <c r="E69" s="38" t="n"/>
      <c r="F69" s="47" t="n"/>
      <c r="G69" s="57" t="n"/>
      <c r="H69" s="38" t="n"/>
      <c r="I69" s="38" t="n"/>
      <c r="J69" s="50">
        <f>IF(C69="","",IF(OR(E69="Received",E69="Declined"),"",AsOf-C69))</f>
        <v/>
      </c>
      <c r="K69" s="49">
        <f>IF(A69="","",IF(AND(E69="Received",H69&lt;&gt;"Yes"),"Reply to review",IF(N(J69)&gt;=ReviewWait,IF(E69="Reminder sent","Close out","Send reminder"),"—")))</f>
        <v/>
      </c>
      <c r="L69" s="51">
        <f>IF(F69="","",DATE(YEAR(F69),MONTH(F69),1))</f>
        <v/>
      </c>
      <c r="M69" s="51">
        <f>IF(C69="","",DATE(YEAR(C69),MONTH(C69),1))</f>
        <v/>
      </c>
    </row>
    <row r="70">
      <c r="A70" s="38" t="n"/>
      <c r="B70" s="38" t="n"/>
      <c r="C70" s="47" t="n"/>
      <c r="D70" s="38" t="n"/>
      <c r="E70" s="38" t="n"/>
      <c r="F70" s="47" t="n"/>
      <c r="G70" s="57" t="n"/>
      <c r="H70" s="38" t="n"/>
      <c r="I70" s="38" t="n"/>
      <c r="J70" s="50">
        <f>IF(C70="","",IF(OR(E70="Received",E70="Declined"),"",AsOf-C70))</f>
        <v/>
      </c>
      <c r="K70" s="49">
        <f>IF(A70="","",IF(AND(E70="Received",H70&lt;&gt;"Yes"),"Reply to review",IF(N(J70)&gt;=ReviewWait,IF(E70="Reminder sent","Close out","Send reminder"),"—")))</f>
        <v/>
      </c>
      <c r="L70" s="51">
        <f>IF(F70="","",DATE(YEAR(F70),MONTH(F70),1))</f>
        <v/>
      </c>
      <c r="M70" s="51">
        <f>IF(C70="","",DATE(YEAR(C70),MONTH(C70),1))</f>
        <v/>
      </c>
    </row>
    <row r="71">
      <c r="A71" s="38" t="n"/>
      <c r="B71" s="38" t="n"/>
      <c r="C71" s="47" t="n"/>
      <c r="D71" s="38" t="n"/>
      <c r="E71" s="38" t="n"/>
      <c r="F71" s="47" t="n"/>
      <c r="G71" s="57" t="n"/>
      <c r="H71" s="38" t="n"/>
      <c r="I71" s="38" t="n"/>
      <c r="J71" s="50">
        <f>IF(C71="","",IF(OR(E71="Received",E71="Declined"),"",AsOf-C71))</f>
        <v/>
      </c>
      <c r="K71" s="49">
        <f>IF(A71="","",IF(AND(E71="Received",H71&lt;&gt;"Yes"),"Reply to review",IF(N(J71)&gt;=ReviewWait,IF(E71="Reminder sent","Close out","Send reminder"),"—")))</f>
        <v/>
      </c>
      <c r="L71" s="51">
        <f>IF(F71="","",DATE(YEAR(F71),MONTH(F71),1))</f>
        <v/>
      </c>
      <c r="M71" s="51">
        <f>IF(C71="","",DATE(YEAR(C71),MONTH(C71),1))</f>
        <v/>
      </c>
    </row>
    <row r="72">
      <c r="A72" s="38" t="n"/>
      <c r="B72" s="38" t="n"/>
      <c r="C72" s="47" t="n"/>
      <c r="D72" s="38" t="n"/>
      <c r="E72" s="38" t="n"/>
      <c r="F72" s="47" t="n"/>
      <c r="G72" s="57" t="n"/>
      <c r="H72" s="38" t="n"/>
      <c r="I72" s="38" t="n"/>
      <c r="J72" s="50">
        <f>IF(C72="","",IF(OR(E72="Received",E72="Declined"),"",AsOf-C72))</f>
        <v/>
      </c>
      <c r="K72" s="49">
        <f>IF(A72="","",IF(AND(E72="Received",H72&lt;&gt;"Yes"),"Reply to review",IF(N(J72)&gt;=ReviewWait,IF(E72="Reminder sent","Close out","Send reminder"),"—")))</f>
        <v/>
      </c>
      <c r="L72" s="51">
        <f>IF(F72="","",DATE(YEAR(F72),MONTH(F72),1))</f>
        <v/>
      </c>
      <c r="M72" s="51">
        <f>IF(C72="","",DATE(YEAR(C72),MONTH(C72),1))</f>
        <v/>
      </c>
    </row>
    <row r="73">
      <c r="A73" s="38" t="n"/>
      <c r="B73" s="38" t="n"/>
      <c r="C73" s="47" t="n"/>
      <c r="D73" s="38" t="n"/>
      <c r="E73" s="38" t="n"/>
      <c r="F73" s="47" t="n"/>
      <c r="G73" s="57" t="n"/>
      <c r="H73" s="38" t="n"/>
      <c r="I73" s="38" t="n"/>
      <c r="J73" s="50">
        <f>IF(C73="","",IF(OR(E73="Received",E73="Declined"),"",AsOf-C73))</f>
        <v/>
      </c>
      <c r="K73" s="49">
        <f>IF(A73="","",IF(AND(E73="Received",H73&lt;&gt;"Yes"),"Reply to review",IF(N(J73)&gt;=ReviewWait,IF(E73="Reminder sent","Close out","Send reminder"),"—")))</f>
        <v/>
      </c>
      <c r="L73" s="51">
        <f>IF(F73="","",DATE(YEAR(F73),MONTH(F73),1))</f>
        <v/>
      </c>
      <c r="M73" s="51">
        <f>IF(C73="","",DATE(YEAR(C73),MONTH(C73),1))</f>
        <v/>
      </c>
    </row>
    <row r="74">
      <c r="A74" s="38" t="n"/>
      <c r="B74" s="38" t="n"/>
      <c r="C74" s="47" t="n"/>
      <c r="D74" s="38" t="n"/>
      <c r="E74" s="38" t="n"/>
      <c r="F74" s="47" t="n"/>
      <c r="G74" s="57" t="n"/>
      <c r="H74" s="38" t="n"/>
      <c r="I74" s="38" t="n"/>
      <c r="J74" s="50">
        <f>IF(C74="","",IF(OR(E74="Received",E74="Declined"),"",AsOf-C74))</f>
        <v/>
      </c>
      <c r="K74" s="49">
        <f>IF(A74="","",IF(AND(E74="Received",H74&lt;&gt;"Yes"),"Reply to review",IF(N(J74)&gt;=ReviewWait,IF(E74="Reminder sent","Close out","Send reminder"),"—")))</f>
        <v/>
      </c>
      <c r="L74" s="51">
        <f>IF(F74="","",DATE(YEAR(F74),MONTH(F74),1))</f>
        <v/>
      </c>
      <c r="M74" s="51">
        <f>IF(C74="","",DATE(YEAR(C74),MONTH(C74),1))</f>
        <v/>
      </c>
    </row>
    <row r="75">
      <c r="A75" s="38" t="n"/>
      <c r="B75" s="38" t="n"/>
      <c r="C75" s="47" t="n"/>
      <c r="D75" s="38" t="n"/>
      <c r="E75" s="38" t="n"/>
      <c r="F75" s="47" t="n"/>
      <c r="G75" s="57" t="n"/>
      <c r="H75" s="38" t="n"/>
      <c r="I75" s="38" t="n"/>
      <c r="J75" s="50">
        <f>IF(C75="","",IF(OR(E75="Received",E75="Declined"),"",AsOf-C75))</f>
        <v/>
      </c>
      <c r="K75" s="49">
        <f>IF(A75="","",IF(AND(E75="Received",H75&lt;&gt;"Yes"),"Reply to review",IF(N(J75)&gt;=ReviewWait,IF(E75="Reminder sent","Close out","Send reminder"),"—")))</f>
        <v/>
      </c>
      <c r="L75" s="51">
        <f>IF(F75="","",DATE(YEAR(F75),MONTH(F75),1))</f>
        <v/>
      </c>
      <c r="M75" s="51">
        <f>IF(C75="","",DATE(YEAR(C75),MONTH(C75),1))</f>
        <v/>
      </c>
    </row>
    <row r="76">
      <c r="A76" s="38" t="n"/>
      <c r="B76" s="38" t="n"/>
      <c r="C76" s="47" t="n"/>
      <c r="D76" s="38" t="n"/>
      <c r="E76" s="38" t="n"/>
      <c r="F76" s="47" t="n"/>
      <c r="G76" s="57" t="n"/>
      <c r="H76" s="38" t="n"/>
      <c r="I76" s="38" t="n"/>
      <c r="J76" s="50">
        <f>IF(C76="","",IF(OR(E76="Received",E76="Declined"),"",AsOf-C76))</f>
        <v/>
      </c>
      <c r="K76" s="49">
        <f>IF(A76="","",IF(AND(E76="Received",H76&lt;&gt;"Yes"),"Reply to review",IF(N(J76)&gt;=ReviewWait,IF(E76="Reminder sent","Close out","Send reminder"),"—")))</f>
        <v/>
      </c>
      <c r="L76" s="51">
        <f>IF(F76="","",DATE(YEAR(F76),MONTH(F76),1))</f>
        <v/>
      </c>
      <c r="M76" s="51">
        <f>IF(C76="","",DATE(YEAR(C76),MONTH(C76),1))</f>
        <v/>
      </c>
    </row>
    <row r="77">
      <c r="A77" s="38" t="n"/>
      <c r="B77" s="38" t="n"/>
      <c r="C77" s="47" t="n"/>
      <c r="D77" s="38" t="n"/>
      <c r="E77" s="38" t="n"/>
      <c r="F77" s="47" t="n"/>
      <c r="G77" s="57" t="n"/>
      <c r="H77" s="38" t="n"/>
      <c r="I77" s="38" t="n"/>
      <c r="J77" s="50">
        <f>IF(C77="","",IF(OR(E77="Received",E77="Declined"),"",AsOf-C77))</f>
        <v/>
      </c>
      <c r="K77" s="49">
        <f>IF(A77="","",IF(AND(E77="Received",H77&lt;&gt;"Yes"),"Reply to review",IF(N(J77)&gt;=ReviewWait,IF(E77="Reminder sent","Close out","Send reminder"),"—")))</f>
        <v/>
      </c>
      <c r="L77" s="51">
        <f>IF(F77="","",DATE(YEAR(F77),MONTH(F77),1))</f>
        <v/>
      </c>
      <c r="M77" s="51">
        <f>IF(C77="","",DATE(YEAR(C77),MONTH(C77),1))</f>
        <v/>
      </c>
    </row>
    <row r="78">
      <c r="A78" s="38" t="n"/>
      <c r="B78" s="38" t="n"/>
      <c r="C78" s="47" t="n"/>
      <c r="D78" s="38" t="n"/>
      <c r="E78" s="38" t="n"/>
      <c r="F78" s="47" t="n"/>
      <c r="G78" s="57" t="n"/>
      <c r="H78" s="38" t="n"/>
      <c r="I78" s="38" t="n"/>
      <c r="J78" s="50">
        <f>IF(C78="","",IF(OR(E78="Received",E78="Declined"),"",AsOf-C78))</f>
        <v/>
      </c>
      <c r="K78" s="49">
        <f>IF(A78="","",IF(AND(E78="Received",H78&lt;&gt;"Yes"),"Reply to review",IF(N(J78)&gt;=ReviewWait,IF(E78="Reminder sent","Close out","Send reminder"),"—")))</f>
        <v/>
      </c>
      <c r="L78" s="51">
        <f>IF(F78="","",DATE(YEAR(F78),MONTH(F78),1))</f>
        <v/>
      </c>
      <c r="M78" s="51">
        <f>IF(C78="","",DATE(YEAR(C78),MONTH(C78),1))</f>
        <v/>
      </c>
    </row>
    <row r="79">
      <c r="A79" s="38" t="n"/>
      <c r="B79" s="38" t="n"/>
      <c r="C79" s="47" t="n"/>
      <c r="D79" s="38" t="n"/>
      <c r="E79" s="38" t="n"/>
      <c r="F79" s="47" t="n"/>
      <c r="G79" s="57" t="n"/>
      <c r="H79" s="38" t="n"/>
      <c r="I79" s="38" t="n"/>
      <c r="J79" s="50">
        <f>IF(C79="","",IF(OR(E79="Received",E79="Declined"),"",AsOf-C79))</f>
        <v/>
      </c>
      <c r="K79" s="49">
        <f>IF(A79="","",IF(AND(E79="Received",H79&lt;&gt;"Yes"),"Reply to review",IF(N(J79)&gt;=ReviewWait,IF(E79="Reminder sent","Close out","Send reminder"),"—")))</f>
        <v/>
      </c>
      <c r="L79" s="51">
        <f>IF(F79="","",DATE(YEAR(F79),MONTH(F79),1))</f>
        <v/>
      </c>
      <c r="M79" s="51">
        <f>IF(C79="","",DATE(YEAR(C79),MONTH(C79),1))</f>
        <v/>
      </c>
    </row>
    <row r="80">
      <c r="A80" s="38" t="n"/>
      <c r="B80" s="38" t="n"/>
      <c r="C80" s="47" t="n"/>
      <c r="D80" s="38" t="n"/>
      <c r="E80" s="38" t="n"/>
      <c r="F80" s="47" t="n"/>
      <c r="G80" s="57" t="n"/>
      <c r="H80" s="38" t="n"/>
      <c r="I80" s="38" t="n"/>
      <c r="J80" s="50">
        <f>IF(C80="","",IF(OR(E80="Received",E80="Declined"),"",AsOf-C80))</f>
        <v/>
      </c>
      <c r="K80" s="49">
        <f>IF(A80="","",IF(AND(E80="Received",H80&lt;&gt;"Yes"),"Reply to review",IF(N(J80)&gt;=ReviewWait,IF(E80="Reminder sent","Close out","Send reminder"),"—")))</f>
        <v/>
      </c>
      <c r="L80" s="51">
        <f>IF(F80="","",DATE(YEAR(F80),MONTH(F80),1))</f>
        <v/>
      </c>
      <c r="M80" s="51">
        <f>IF(C80="","",DATE(YEAR(C80),MONTH(C80),1))</f>
        <v/>
      </c>
    </row>
    <row r="81">
      <c r="A81" s="38" t="n"/>
      <c r="B81" s="38" t="n"/>
      <c r="C81" s="47" t="n"/>
      <c r="D81" s="38" t="n"/>
      <c r="E81" s="38" t="n"/>
      <c r="F81" s="47" t="n"/>
      <c r="G81" s="57" t="n"/>
      <c r="H81" s="38" t="n"/>
      <c r="I81" s="38" t="n"/>
      <c r="J81" s="50">
        <f>IF(C81="","",IF(OR(E81="Received",E81="Declined"),"",AsOf-C81))</f>
        <v/>
      </c>
      <c r="K81" s="49">
        <f>IF(A81="","",IF(AND(E81="Received",H81&lt;&gt;"Yes"),"Reply to review",IF(N(J81)&gt;=ReviewWait,IF(E81="Reminder sent","Close out","Send reminder"),"—")))</f>
        <v/>
      </c>
      <c r="L81" s="51">
        <f>IF(F81="","",DATE(YEAR(F81),MONTH(F81),1))</f>
        <v/>
      </c>
      <c r="M81" s="51">
        <f>IF(C81="","",DATE(YEAR(C81),MONTH(C81),1))</f>
        <v/>
      </c>
    </row>
    <row r="82">
      <c r="A82" s="38" t="n"/>
      <c r="B82" s="38" t="n"/>
      <c r="C82" s="47" t="n"/>
      <c r="D82" s="38" t="n"/>
      <c r="E82" s="38" t="n"/>
      <c r="F82" s="47" t="n"/>
      <c r="G82" s="57" t="n"/>
      <c r="H82" s="38" t="n"/>
      <c r="I82" s="38" t="n"/>
      <c r="J82" s="50">
        <f>IF(C82="","",IF(OR(E82="Received",E82="Declined"),"",AsOf-C82))</f>
        <v/>
      </c>
      <c r="K82" s="49">
        <f>IF(A82="","",IF(AND(E82="Received",H82&lt;&gt;"Yes"),"Reply to review",IF(N(J82)&gt;=ReviewWait,IF(E82="Reminder sent","Close out","Send reminder"),"—")))</f>
        <v/>
      </c>
      <c r="L82" s="51">
        <f>IF(F82="","",DATE(YEAR(F82),MONTH(F82),1))</f>
        <v/>
      </c>
      <c r="M82" s="51">
        <f>IF(C82="","",DATE(YEAR(C82),MONTH(C82),1))</f>
        <v/>
      </c>
    </row>
    <row r="83">
      <c r="A83" s="38" t="n"/>
      <c r="B83" s="38" t="n"/>
      <c r="C83" s="47" t="n"/>
      <c r="D83" s="38" t="n"/>
      <c r="E83" s="38" t="n"/>
      <c r="F83" s="47" t="n"/>
      <c r="G83" s="57" t="n"/>
      <c r="H83" s="38" t="n"/>
      <c r="I83" s="38" t="n"/>
      <c r="J83" s="50">
        <f>IF(C83="","",IF(OR(E83="Received",E83="Declined"),"",AsOf-C83))</f>
        <v/>
      </c>
      <c r="K83" s="49">
        <f>IF(A83="","",IF(AND(E83="Received",H83&lt;&gt;"Yes"),"Reply to review",IF(N(J83)&gt;=ReviewWait,IF(E83="Reminder sent","Close out","Send reminder"),"—")))</f>
        <v/>
      </c>
      <c r="L83" s="51">
        <f>IF(F83="","",DATE(YEAR(F83),MONTH(F83),1))</f>
        <v/>
      </c>
      <c r="M83" s="51">
        <f>IF(C83="","",DATE(YEAR(C83),MONTH(C83),1))</f>
        <v/>
      </c>
    </row>
    <row r="84">
      <c r="A84" s="38" t="n"/>
      <c r="B84" s="38" t="n"/>
      <c r="C84" s="47" t="n"/>
      <c r="D84" s="38" t="n"/>
      <c r="E84" s="38" t="n"/>
      <c r="F84" s="47" t="n"/>
      <c r="G84" s="57" t="n"/>
      <c r="H84" s="38" t="n"/>
      <c r="I84" s="38" t="n"/>
      <c r="J84" s="50">
        <f>IF(C84="","",IF(OR(E84="Received",E84="Declined"),"",AsOf-C84))</f>
        <v/>
      </c>
      <c r="K84" s="49">
        <f>IF(A84="","",IF(AND(E84="Received",H84&lt;&gt;"Yes"),"Reply to review",IF(N(J84)&gt;=ReviewWait,IF(E84="Reminder sent","Close out","Send reminder"),"—")))</f>
        <v/>
      </c>
      <c r="L84" s="51">
        <f>IF(F84="","",DATE(YEAR(F84),MONTH(F84),1))</f>
        <v/>
      </c>
      <c r="M84" s="51">
        <f>IF(C84="","",DATE(YEAR(C84),MONTH(C84),1))</f>
        <v/>
      </c>
    </row>
    <row r="85">
      <c r="A85" s="38" t="n"/>
      <c r="B85" s="38" t="n"/>
      <c r="C85" s="47" t="n"/>
      <c r="D85" s="38" t="n"/>
      <c r="E85" s="38" t="n"/>
      <c r="F85" s="47" t="n"/>
      <c r="G85" s="57" t="n"/>
      <c r="H85" s="38" t="n"/>
      <c r="I85" s="38" t="n"/>
      <c r="J85" s="50">
        <f>IF(C85="","",IF(OR(E85="Received",E85="Declined"),"",AsOf-C85))</f>
        <v/>
      </c>
      <c r="K85" s="49">
        <f>IF(A85="","",IF(AND(E85="Received",H85&lt;&gt;"Yes"),"Reply to review",IF(N(J85)&gt;=ReviewWait,IF(E85="Reminder sent","Close out","Send reminder"),"—")))</f>
        <v/>
      </c>
      <c r="L85" s="51">
        <f>IF(F85="","",DATE(YEAR(F85),MONTH(F85),1))</f>
        <v/>
      </c>
      <c r="M85" s="51">
        <f>IF(C85="","",DATE(YEAR(C85),MONTH(C85),1))</f>
        <v/>
      </c>
    </row>
    <row r="86">
      <c r="A86" s="38" t="n"/>
      <c r="B86" s="38" t="n"/>
      <c r="C86" s="47" t="n"/>
      <c r="D86" s="38" t="n"/>
      <c r="E86" s="38" t="n"/>
      <c r="F86" s="47" t="n"/>
      <c r="G86" s="57" t="n"/>
      <c r="H86" s="38" t="n"/>
      <c r="I86" s="38" t="n"/>
      <c r="J86" s="50">
        <f>IF(C86="","",IF(OR(E86="Received",E86="Declined"),"",AsOf-C86))</f>
        <v/>
      </c>
      <c r="K86" s="49">
        <f>IF(A86="","",IF(AND(E86="Received",H86&lt;&gt;"Yes"),"Reply to review",IF(N(J86)&gt;=ReviewWait,IF(E86="Reminder sent","Close out","Send reminder"),"—")))</f>
        <v/>
      </c>
      <c r="L86" s="51">
        <f>IF(F86="","",DATE(YEAR(F86),MONTH(F86),1))</f>
        <v/>
      </c>
      <c r="M86" s="51">
        <f>IF(C86="","",DATE(YEAR(C86),MONTH(C86),1))</f>
        <v/>
      </c>
    </row>
    <row r="87">
      <c r="A87" s="38" t="n"/>
      <c r="B87" s="38" t="n"/>
      <c r="C87" s="47" t="n"/>
      <c r="D87" s="38" t="n"/>
      <c r="E87" s="38" t="n"/>
      <c r="F87" s="47" t="n"/>
      <c r="G87" s="57" t="n"/>
      <c r="H87" s="38" t="n"/>
      <c r="I87" s="38" t="n"/>
      <c r="J87" s="50">
        <f>IF(C87="","",IF(OR(E87="Received",E87="Declined"),"",AsOf-C87))</f>
        <v/>
      </c>
      <c r="K87" s="49">
        <f>IF(A87="","",IF(AND(E87="Received",H87&lt;&gt;"Yes"),"Reply to review",IF(N(J87)&gt;=ReviewWait,IF(E87="Reminder sent","Close out","Send reminder"),"—")))</f>
        <v/>
      </c>
      <c r="L87" s="51">
        <f>IF(F87="","",DATE(YEAR(F87),MONTH(F87),1))</f>
        <v/>
      </c>
      <c r="M87" s="51">
        <f>IF(C87="","",DATE(YEAR(C87),MONTH(C87),1))</f>
        <v/>
      </c>
    </row>
    <row r="88">
      <c r="A88" s="38" t="n"/>
      <c r="B88" s="38" t="n"/>
      <c r="C88" s="47" t="n"/>
      <c r="D88" s="38" t="n"/>
      <c r="E88" s="38" t="n"/>
      <c r="F88" s="47" t="n"/>
      <c r="G88" s="57" t="n"/>
      <c r="H88" s="38" t="n"/>
      <c r="I88" s="38" t="n"/>
      <c r="J88" s="50">
        <f>IF(C88="","",IF(OR(E88="Received",E88="Declined"),"",AsOf-C88))</f>
        <v/>
      </c>
      <c r="K88" s="49">
        <f>IF(A88="","",IF(AND(E88="Received",H88&lt;&gt;"Yes"),"Reply to review",IF(N(J88)&gt;=ReviewWait,IF(E88="Reminder sent","Close out","Send reminder"),"—")))</f>
        <v/>
      </c>
      <c r="L88" s="51">
        <f>IF(F88="","",DATE(YEAR(F88),MONTH(F88),1))</f>
        <v/>
      </c>
      <c r="M88" s="51">
        <f>IF(C88="","",DATE(YEAR(C88),MONTH(C88),1))</f>
        <v/>
      </c>
    </row>
    <row r="89">
      <c r="A89" s="38" t="n"/>
      <c r="B89" s="38" t="n"/>
      <c r="C89" s="47" t="n"/>
      <c r="D89" s="38" t="n"/>
      <c r="E89" s="38" t="n"/>
      <c r="F89" s="47" t="n"/>
      <c r="G89" s="57" t="n"/>
      <c r="H89" s="38" t="n"/>
      <c r="I89" s="38" t="n"/>
      <c r="J89" s="50">
        <f>IF(C89="","",IF(OR(E89="Received",E89="Declined"),"",AsOf-C89))</f>
        <v/>
      </c>
      <c r="K89" s="49">
        <f>IF(A89="","",IF(AND(E89="Received",H89&lt;&gt;"Yes"),"Reply to review",IF(N(J89)&gt;=ReviewWait,IF(E89="Reminder sent","Close out","Send reminder"),"—")))</f>
        <v/>
      </c>
      <c r="L89" s="51">
        <f>IF(F89="","",DATE(YEAR(F89),MONTH(F89),1))</f>
        <v/>
      </c>
      <c r="M89" s="51">
        <f>IF(C89="","",DATE(YEAR(C89),MONTH(C89),1))</f>
        <v/>
      </c>
    </row>
    <row r="90">
      <c r="A90" s="38" t="n"/>
      <c r="B90" s="38" t="n"/>
      <c r="C90" s="47" t="n"/>
      <c r="D90" s="38" t="n"/>
      <c r="E90" s="38" t="n"/>
      <c r="F90" s="47" t="n"/>
      <c r="G90" s="57" t="n"/>
      <c r="H90" s="38" t="n"/>
      <c r="I90" s="38" t="n"/>
      <c r="J90" s="50">
        <f>IF(C90="","",IF(OR(E90="Received",E90="Declined"),"",AsOf-C90))</f>
        <v/>
      </c>
      <c r="K90" s="49">
        <f>IF(A90="","",IF(AND(E90="Received",H90&lt;&gt;"Yes"),"Reply to review",IF(N(J90)&gt;=ReviewWait,IF(E90="Reminder sent","Close out","Send reminder"),"—")))</f>
        <v/>
      </c>
      <c r="L90" s="51">
        <f>IF(F90="","",DATE(YEAR(F90),MONTH(F90),1))</f>
        <v/>
      </c>
      <c r="M90" s="51">
        <f>IF(C90="","",DATE(YEAR(C90),MONTH(C90),1))</f>
        <v/>
      </c>
    </row>
    <row r="91">
      <c r="A91" s="38" t="n"/>
      <c r="B91" s="38" t="n"/>
      <c r="C91" s="47" t="n"/>
      <c r="D91" s="38" t="n"/>
      <c r="E91" s="38" t="n"/>
      <c r="F91" s="47" t="n"/>
      <c r="G91" s="57" t="n"/>
      <c r="H91" s="38" t="n"/>
      <c r="I91" s="38" t="n"/>
      <c r="J91" s="50">
        <f>IF(C91="","",IF(OR(E91="Received",E91="Declined"),"",AsOf-C91))</f>
        <v/>
      </c>
      <c r="K91" s="49">
        <f>IF(A91="","",IF(AND(E91="Received",H91&lt;&gt;"Yes"),"Reply to review",IF(N(J91)&gt;=ReviewWait,IF(E91="Reminder sent","Close out","Send reminder"),"—")))</f>
        <v/>
      </c>
      <c r="L91" s="51">
        <f>IF(F91="","",DATE(YEAR(F91),MONTH(F91),1))</f>
        <v/>
      </c>
      <c r="M91" s="51">
        <f>IF(C91="","",DATE(YEAR(C91),MONTH(C91),1))</f>
        <v/>
      </c>
    </row>
    <row r="92">
      <c r="A92" s="38" t="n"/>
      <c r="B92" s="38" t="n"/>
      <c r="C92" s="47" t="n"/>
      <c r="D92" s="38" t="n"/>
      <c r="E92" s="38" t="n"/>
      <c r="F92" s="47" t="n"/>
      <c r="G92" s="57" t="n"/>
      <c r="H92" s="38" t="n"/>
      <c r="I92" s="38" t="n"/>
      <c r="J92" s="50">
        <f>IF(C92="","",IF(OR(E92="Received",E92="Declined"),"",AsOf-C92))</f>
        <v/>
      </c>
      <c r="K92" s="49">
        <f>IF(A92="","",IF(AND(E92="Received",H92&lt;&gt;"Yes"),"Reply to review",IF(N(J92)&gt;=ReviewWait,IF(E92="Reminder sent","Close out","Send reminder"),"—")))</f>
        <v/>
      </c>
      <c r="L92" s="51">
        <f>IF(F92="","",DATE(YEAR(F92),MONTH(F92),1))</f>
        <v/>
      </c>
      <c r="M92" s="51">
        <f>IF(C92="","",DATE(YEAR(C92),MONTH(C92),1))</f>
        <v/>
      </c>
    </row>
    <row r="93">
      <c r="A93" s="38" t="n"/>
      <c r="B93" s="38" t="n"/>
      <c r="C93" s="47" t="n"/>
      <c r="D93" s="38" t="n"/>
      <c r="E93" s="38" t="n"/>
      <c r="F93" s="47" t="n"/>
      <c r="G93" s="57" t="n"/>
      <c r="H93" s="38" t="n"/>
      <c r="I93" s="38" t="n"/>
      <c r="J93" s="50">
        <f>IF(C93="","",IF(OR(E93="Received",E93="Declined"),"",AsOf-C93))</f>
        <v/>
      </c>
      <c r="K93" s="49">
        <f>IF(A93="","",IF(AND(E93="Received",H93&lt;&gt;"Yes"),"Reply to review",IF(N(J93)&gt;=ReviewWait,IF(E93="Reminder sent","Close out","Send reminder"),"—")))</f>
        <v/>
      </c>
      <c r="L93" s="51">
        <f>IF(F93="","",DATE(YEAR(F93),MONTH(F93),1))</f>
        <v/>
      </c>
      <c r="M93" s="51">
        <f>IF(C93="","",DATE(YEAR(C93),MONTH(C93),1))</f>
        <v/>
      </c>
    </row>
    <row r="94">
      <c r="A94" s="38" t="n"/>
      <c r="B94" s="38" t="n"/>
      <c r="C94" s="47" t="n"/>
      <c r="D94" s="38" t="n"/>
      <c r="E94" s="38" t="n"/>
      <c r="F94" s="47" t="n"/>
      <c r="G94" s="57" t="n"/>
      <c r="H94" s="38" t="n"/>
      <c r="I94" s="38" t="n"/>
      <c r="J94" s="50">
        <f>IF(C94="","",IF(OR(E94="Received",E94="Declined"),"",AsOf-C94))</f>
        <v/>
      </c>
      <c r="K94" s="49">
        <f>IF(A94="","",IF(AND(E94="Received",H94&lt;&gt;"Yes"),"Reply to review",IF(N(J94)&gt;=ReviewWait,IF(E94="Reminder sent","Close out","Send reminder"),"—")))</f>
        <v/>
      </c>
      <c r="L94" s="51">
        <f>IF(F94="","",DATE(YEAR(F94),MONTH(F94),1))</f>
        <v/>
      </c>
      <c r="M94" s="51">
        <f>IF(C94="","",DATE(YEAR(C94),MONTH(C94),1))</f>
        <v/>
      </c>
    </row>
    <row r="95">
      <c r="A95" s="38" t="n"/>
      <c r="B95" s="38" t="n"/>
      <c r="C95" s="47" t="n"/>
      <c r="D95" s="38" t="n"/>
      <c r="E95" s="38" t="n"/>
      <c r="F95" s="47" t="n"/>
      <c r="G95" s="57" t="n"/>
      <c r="H95" s="38" t="n"/>
      <c r="I95" s="38" t="n"/>
      <c r="J95" s="50">
        <f>IF(C95="","",IF(OR(E95="Received",E95="Declined"),"",AsOf-C95))</f>
        <v/>
      </c>
      <c r="K95" s="49">
        <f>IF(A95="","",IF(AND(E95="Received",H95&lt;&gt;"Yes"),"Reply to review",IF(N(J95)&gt;=ReviewWait,IF(E95="Reminder sent","Close out","Send reminder"),"—")))</f>
        <v/>
      </c>
      <c r="L95" s="51">
        <f>IF(F95="","",DATE(YEAR(F95),MONTH(F95),1))</f>
        <v/>
      </c>
      <c r="M95" s="51">
        <f>IF(C95="","",DATE(YEAR(C95),MONTH(C95),1))</f>
        <v/>
      </c>
    </row>
    <row r="96">
      <c r="A96" s="38" t="n"/>
      <c r="B96" s="38" t="n"/>
      <c r="C96" s="47" t="n"/>
      <c r="D96" s="38" t="n"/>
      <c r="E96" s="38" t="n"/>
      <c r="F96" s="47" t="n"/>
      <c r="G96" s="57" t="n"/>
      <c r="H96" s="38" t="n"/>
      <c r="I96" s="38" t="n"/>
      <c r="J96" s="50">
        <f>IF(C96="","",IF(OR(E96="Received",E96="Declined"),"",AsOf-C96))</f>
        <v/>
      </c>
      <c r="K96" s="49">
        <f>IF(A96="","",IF(AND(E96="Received",H96&lt;&gt;"Yes"),"Reply to review",IF(N(J96)&gt;=ReviewWait,IF(E96="Reminder sent","Close out","Send reminder"),"—")))</f>
        <v/>
      </c>
      <c r="L96" s="51">
        <f>IF(F96="","",DATE(YEAR(F96),MONTH(F96),1))</f>
        <v/>
      </c>
      <c r="M96" s="51">
        <f>IF(C96="","",DATE(YEAR(C96),MONTH(C96),1))</f>
        <v/>
      </c>
    </row>
    <row r="97">
      <c r="A97" s="38" t="n"/>
      <c r="B97" s="38" t="n"/>
      <c r="C97" s="47" t="n"/>
      <c r="D97" s="38" t="n"/>
      <c r="E97" s="38" t="n"/>
      <c r="F97" s="47" t="n"/>
      <c r="G97" s="57" t="n"/>
      <c r="H97" s="38" t="n"/>
      <c r="I97" s="38" t="n"/>
      <c r="J97" s="50">
        <f>IF(C97="","",IF(OR(E97="Received",E97="Declined"),"",AsOf-C97))</f>
        <v/>
      </c>
      <c r="K97" s="49">
        <f>IF(A97="","",IF(AND(E97="Received",H97&lt;&gt;"Yes"),"Reply to review",IF(N(J97)&gt;=ReviewWait,IF(E97="Reminder sent","Close out","Send reminder"),"—")))</f>
        <v/>
      </c>
      <c r="L97" s="51">
        <f>IF(F97="","",DATE(YEAR(F97),MONTH(F97),1))</f>
        <v/>
      </c>
      <c r="M97" s="51">
        <f>IF(C97="","",DATE(YEAR(C97),MONTH(C97),1))</f>
        <v/>
      </c>
    </row>
    <row r="98">
      <c r="A98" s="38" t="n"/>
      <c r="B98" s="38" t="n"/>
      <c r="C98" s="47" t="n"/>
      <c r="D98" s="38" t="n"/>
      <c r="E98" s="38" t="n"/>
      <c r="F98" s="47" t="n"/>
      <c r="G98" s="57" t="n"/>
      <c r="H98" s="38" t="n"/>
      <c r="I98" s="38" t="n"/>
      <c r="J98" s="50">
        <f>IF(C98="","",IF(OR(E98="Received",E98="Declined"),"",AsOf-C98))</f>
        <v/>
      </c>
      <c r="K98" s="49">
        <f>IF(A98="","",IF(AND(E98="Received",H98&lt;&gt;"Yes"),"Reply to review",IF(N(J98)&gt;=ReviewWait,IF(E98="Reminder sent","Close out","Send reminder"),"—")))</f>
        <v/>
      </c>
      <c r="L98" s="51">
        <f>IF(F98="","",DATE(YEAR(F98),MONTH(F98),1))</f>
        <v/>
      </c>
      <c r="M98" s="51">
        <f>IF(C98="","",DATE(YEAR(C98),MONTH(C98),1))</f>
        <v/>
      </c>
    </row>
    <row r="99">
      <c r="A99" s="38" t="n"/>
      <c r="B99" s="38" t="n"/>
      <c r="C99" s="47" t="n"/>
      <c r="D99" s="38" t="n"/>
      <c r="E99" s="38" t="n"/>
      <c r="F99" s="47" t="n"/>
      <c r="G99" s="57" t="n"/>
      <c r="H99" s="38" t="n"/>
      <c r="I99" s="38" t="n"/>
      <c r="J99" s="50">
        <f>IF(C99="","",IF(OR(E99="Received",E99="Declined"),"",AsOf-C99))</f>
        <v/>
      </c>
      <c r="K99" s="49">
        <f>IF(A99="","",IF(AND(E99="Received",H99&lt;&gt;"Yes"),"Reply to review",IF(N(J99)&gt;=ReviewWait,IF(E99="Reminder sent","Close out","Send reminder"),"—")))</f>
        <v/>
      </c>
      <c r="L99" s="51">
        <f>IF(F99="","",DATE(YEAR(F99),MONTH(F99),1))</f>
        <v/>
      </c>
      <c r="M99" s="51">
        <f>IF(C99="","",DATE(YEAR(C99),MONTH(C99),1))</f>
        <v/>
      </c>
    </row>
    <row r="100">
      <c r="A100" s="38" t="n"/>
      <c r="B100" s="38" t="n"/>
      <c r="C100" s="47" t="n"/>
      <c r="D100" s="38" t="n"/>
      <c r="E100" s="38" t="n"/>
      <c r="F100" s="47" t="n"/>
      <c r="G100" s="57" t="n"/>
      <c r="H100" s="38" t="n"/>
      <c r="I100" s="38" t="n"/>
      <c r="J100" s="50">
        <f>IF(C100="","",IF(OR(E100="Received",E100="Declined"),"",AsOf-C100))</f>
        <v/>
      </c>
      <c r="K100" s="49">
        <f>IF(A100="","",IF(AND(E100="Received",H100&lt;&gt;"Yes"),"Reply to review",IF(N(J100)&gt;=ReviewWait,IF(E100="Reminder sent","Close out","Send reminder"),"—")))</f>
        <v/>
      </c>
      <c r="L100" s="51">
        <f>IF(F100="","",DATE(YEAR(F100),MONTH(F100),1))</f>
        <v/>
      </c>
      <c r="M100" s="51">
        <f>IF(C100="","",DATE(YEAR(C100),MONTH(C100),1))</f>
        <v/>
      </c>
    </row>
    <row r="101">
      <c r="A101" s="38" t="n"/>
      <c r="B101" s="38" t="n"/>
      <c r="C101" s="47" t="n"/>
      <c r="D101" s="38" t="n"/>
      <c r="E101" s="38" t="n"/>
      <c r="F101" s="47" t="n"/>
      <c r="G101" s="57" t="n"/>
      <c r="H101" s="38" t="n"/>
      <c r="I101" s="38" t="n"/>
      <c r="J101" s="50">
        <f>IF(C101="","",IF(OR(E101="Received",E101="Declined"),"",AsOf-C101))</f>
        <v/>
      </c>
      <c r="K101" s="49">
        <f>IF(A101="","",IF(AND(E101="Received",H101&lt;&gt;"Yes"),"Reply to review",IF(N(J101)&gt;=ReviewWait,IF(E101="Reminder sent","Close out","Send reminder"),"—")))</f>
        <v/>
      </c>
      <c r="L101" s="51">
        <f>IF(F101="","",DATE(YEAR(F101),MONTH(F101),1))</f>
        <v/>
      </c>
      <c r="M101" s="51">
        <f>IF(C101="","",DATE(YEAR(C101),MONTH(C101),1))</f>
        <v/>
      </c>
    </row>
    <row r="102">
      <c r="A102" s="38" t="n"/>
      <c r="B102" s="38" t="n"/>
      <c r="C102" s="47" t="n"/>
      <c r="D102" s="38" t="n"/>
      <c r="E102" s="38" t="n"/>
      <c r="F102" s="47" t="n"/>
      <c r="G102" s="57" t="n"/>
      <c r="H102" s="38" t="n"/>
      <c r="I102" s="38" t="n"/>
      <c r="J102" s="50">
        <f>IF(C102="","",IF(OR(E102="Received",E102="Declined"),"",AsOf-C102))</f>
        <v/>
      </c>
      <c r="K102" s="49">
        <f>IF(A102="","",IF(AND(E102="Received",H102&lt;&gt;"Yes"),"Reply to review",IF(N(J102)&gt;=ReviewWait,IF(E102="Reminder sent","Close out","Send reminder"),"—")))</f>
        <v/>
      </c>
      <c r="L102" s="51">
        <f>IF(F102="","",DATE(YEAR(F102),MONTH(F102),1))</f>
        <v/>
      </c>
      <c r="M102" s="51">
        <f>IF(C102="","",DATE(YEAR(C102),MONTH(C102),1))</f>
        <v/>
      </c>
    </row>
    <row r="103">
      <c r="A103" s="38" t="n"/>
      <c r="B103" s="38" t="n"/>
      <c r="C103" s="47" t="n"/>
      <c r="D103" s="38" t="n"/>
      <c r="E103" s="38" t="n"/>
      <c r="F103" s="47" t="n"/>
      <c r="G103" s="57" t="n"/>
      <c r="H103" s="38" t="n"/>
      <c r="I103" s="38" t="n"/>
      <c r="J103" s="50">
        <f>IF(C103="","",IF(OR(E103="Received",E103="Declined"),"",AsOf-C103))</f>
        <v/>
      </c>
      <c r="K103" s="49">
        <f>IF(A103="","",IF(AND(E103="Received",H103&lt;&gt;"Yes"),"Reply to review",IF(N(J103)&gt;=ReviewWait,IF(E103="Reminder sent","Close out","Send reminder"),"—")))</f>
        <v/>
      </c>
      <c r="L103" s="51">
        <f>IF(F103="","",DATE(YEAR(F103),MONTH(F103),1))</f>
        <v/>
      </c>
      <c r="M103" s="51">
        <f>IF(C103="","",DATE(YEAR(C103),MONTH(C103),1))</f>
        <v/>
      </c>
    </row>
    <row r="104">
      <c r="A104" s="38" t="n"/>
      <c r="B104" s="38" t="n"/>
      <c r="C104" s="47" t="n"/>
      <c r="D104" s="38" t="n"/>
      <c r="E104" s="38" t="n"/>
      <c r="F104" s="47" t="n"/>
      <c r="G104" s="57" t="n"/>
      <c r="H104" s="38" t="n"/>
      <c r="I104" s="38" t="n"/>
      <c r="J104" s="50">
        <f>IF(C104="","",IF(OR(E104="Received",E104="Declined"),"",AsOf-C104))</f>
        <v/>
      </c>
      <c r="K104" s="49">
        <f>IF(A104="","",IF(AND(E104="Received",H104&lt;&gt;"Yes"),"Reply to review",IF(N(J104)&gt;=ReviewWait,IF(E104="Reminder sent","Close out","Send reminder"),"—")))</f>
        <v/>
      </c>
      <c r="L104" s="51">
        <f>IF(F104="","",DATE(YEAR(F104),MONTH(F104),1))</f>
        <v/>
      </c>
      <c r="M104" s="51">
        <f>IF(C104="","",DATE(YEAR(C104),MONTH(C104),1))</f>
        <v/>
      </c>
    </row>
    <row r="105">
      <c r="A105" s="38" t="n"/>
      <c r="B105" s="38" t="n"/>
      <c r="C105" s="47" t="n"/>
      <c r="D105" s="38" t="n"/>
      <c r="E105" s="38" t="n"/>
      <c r="F105" s="47" t="n"/>
      <c r="G105" s="57" t="n"/>
      <c r="H105" s="38" t="n"/>
      <c r="I105" s="38" t="n"/>
      <c r="J105" s="50">
        <f>IF(C105="","",IF(OR(E105="Received",E105="Declined"),"",AsOf-C105))</f>
        <v/>
      </c>
      <c r="K105" s="49">
        <f>IF(A105="","",IF(AND(E105="Received",H105&lt;&gt;"Yes"),"Reply to review",IF(N(J105)&gt;=ReviewWait,IF(E105="Reminder sent","Close out","Send reminder"),"—")))</f>
        <v/>
      </c>
      <c r="L105" s="51">
        <f>IF(F105="","",DATE(YEAR(F105),MONTH(F105),1))</f>
        <v/>
      </c>
      <c r="M105" s="51">
        <f>IF(C105="","",DATE(YEAR(C105),MONTH(C105),1))</f>
        <v/>
      </c>
    </row>
    <row r="106">
      <c r="A106" s="38" t="n"/>
      <c r="B106" s="38" t="n"/>
      <c r="C106" s="47" t="n"/>
      <c r="D106" s="38" t="n"/>
      <c r="E106" s="38" t="n"/>
      <c r="F106" s="47" t="n"/>
      <c r="G106" s="57" t="n"/>
      <c r="H106" s="38" t="n"/>
      <c r="I106" s="38" t="n"/>
      <c r="J106" s="50">
        <f>IF(C106="","",IF(OR(E106="Received",E106="Declined"),"",AsOf-C106))</f>
        <v/>
      </c>
      <c r="K106" s="49">
        <f>IF(A106="","",IF(AND(E106="Received",H106&lt;&gt;"Yes"),"Reply to review",IF(N(J106)&gt;=ReviewWait,IF(E106="Reminder sent","Close out","Send reminder"),"—")))</f>
        <v/>
      </c>
      <c r="L106" s="51">
        <f>IF(F106="","",DATE(YEAR(F106),MONTH(F106),1))</f>
        <v/>
      </c>
      <c r="M106" s="51">
        <f>IF(C106="","",DATE(YEAR(C106),MONTH(C106),1))</f>
        <v/>
      </c>
    </row>
    <row r="107">
      <c r="A107" s="38" t="n"/>
      <c r="B107" s="38" t="n"/>
      <c r="C107" s="47" t="n"/>
      <c r="D107" s="38" t="n"/>
      <c r="E107" s="38" t="n"/>
      <c r="F107" s="47" t="n"/>
      <c r="G107" s="57" t="n"/>
      <c r="H107" s="38" t="n"/>
      <c r="I107" s="38" t="n"/>
      <c r="J107" s="50">
        <f>IF(C107="","",IF(OR(E107="Received",E107="Declined"),"",AsOf-C107))</f>
        <v/>
      </c>
      <c r="K107" s="49">
        <f>IF(A107="","",IF(AND(E107="Received",H107&lt;&gt;"Yes"),"Reply to review",IF(N(J107)&gt;=ReviewWait,IF(E107="Reminder sent","Close out","Send reminder"),"—")))</f>
        <v/>
      </c>
      <c r="L107" s="51">
        <f>IF(F107="","",DATE(YEAR(F107),MONTH(F107),1))</f>
        <v/>
      </c>
      <c r="M107" s="51">
        <f>IF(C107="","",DATE(YEAR(C107),MONTH(C107),1))</f>
        <v/>
      </c>
    </row>
    <row r="108">
      <c r="A108" s="38" t="n"/>
      <c r="B108" s="38" t="n"/>
      <c r="C108" s="47" t="n"/>
      <c r="D108" s="38" t="n"/>
      <c r="E108" s="38" t="n"/>
      <c r="F108" s="47" t="n"/>
      <c r="G108" s="57" t="n"/>
      <c r="H108" s="38" t="n"/>
      <c r="I108" s="38" t="n"/>
      <c r="J108" s="50">
        <f>IF(C108="","",IF(OR(E108="Received",E108="Declined"),"",AsOf-C108))</f>
        <v/>
      </c>
      <c r="K108" s="49">
        <f>IF(A108="","",IF(AND(E108="Received",H108&lt;&gt;"Yes"),"Reply to review",IF(N(J108)&gt;=ReviewWait,IF(E108="Reminder sent","Close out","Send reminder"),"—")))</f>
        <v/>
      </c>
      <c r="L108" s="51">
        <f>IF(F108="","",DATE(YEAR(F108),MONTH(F108),1))</f>
        <v/>
      </c>
      <c r="M108" s="51">
        <f>IF(C108="","",DATE(YEAR(C108),MONTH(C108),1))</f>
        <v/>
      </c>
    </row>
    <row r="109">
      <c r="A109" s="38" t="n"/>
      <c r="B109" s="38" t="n"/>
      <c r="C109" s="47" t="n"/>
      <c r="D109" s="38" t="n"/>
      <c r="E109" s="38" t="n"/>
      <c r="F109" s="47" t="n"/>
      <c r="G109" s="57" t="n"/>
      <c r="H109" s="38" t="n"/>
      <c r="I109" s="38" t="n"/>
      <c r="J109" s="50">
        <f>IF(C109="","",IF(OR(E109="Received",E109="Declined"),"",AsOf-C109))</f>
        <v/>
      </c>
      <c r="K109" s="49">
        <f>IF(A109="","",IF(AND(E109="Received",H109&lt;&gt;"Yes"),"Reply to review",IF(N(J109)&gt;=ReviewWait,IF(E109="Reminder sent","Close out","Send reminder"),"—")))</f>
        <v/>
      </c>
      <c r="L109" s="51">
        <f>IF(F109="","",DATE(YEAR(F109),MONTH(F109),1))</f>
        <v/>
      </c>
      <c r="M109" s="51">
        <f>IF(C109="","",DATE(YEAR(C109),MONTH(C109),1))</f>
        <v/>
      </c>
    </row>
    <row r="110">
      <c r="A110" s="38" t="n"/>
      <c r="B110" s="38" t="n"/>
      <c r="C110" s="47" t="n"/>
      <c r="D110" s="38" t="n"/>
      <c r="E110" s="38" t="n"/>
      <c r="F110" s="47" t="n"/>
      <c r="G110" s="57" t="n"/>
      <c r="H110" s="38" t="n"/>
      <c r="I110" s="38" t="n"/>
      <c r="J110" s="50">
        <f>IF(C110="","",IF(OR(E110="Received",E110="Declined"),"",AsOf-C110))</f>
        <v/>
      </c>
      <c r="K110" s="49">
        <f>IF(A110="","",IF(AND(E110="Received",H110&lt;&gt;"Yes"),"Reply to review",IF(N(J110)&gt;=ReviewWait,IF(E110="Reminder sent","Close out","Send reminder"),"—")))</f>
        <v/>
      </c>
      <c r="L110" s="51">
        <f>IF(F110="","",DATE(YEAR(F110),MONTH(F110),1))</f>
        <v/>
      </c>
      <c r="M110" s="51">
        <f>IF(C110="","",DATE(YEAR(C110),MONTH(C110),1))</f>
        <v/>
      </c>
    </row>
    <row r="111">
      <c r="A111" s="38" t="n"/>
      <c r="B111" s="38" t="n"/>
      <c r="C111" s="47" t="n"/>
      <c r="D111" s="38" t="n"/>
      <c r="E111" s="38" t="n"/>
      <c r="F111" s="47" t="n"/>
      <c r="G111" s="57" t="n"/>
      <c r="H111" s="38" t="n"/>
      <c r="I111" s="38" t="n"/>
      <c r="J111" s="50">
        <f>IF(C111="","",IF(OR(E111="Received",E111="Declined"),"",AsOf-C111))</f>
        <v/>
      </c>
      <c r="K111" s="49">
        <f>IF(A111="","",IF(AND(E111="Received",H111&lt;&gt;"Yes"),"Reply to review",IF(N(J111)&gt;=ReviewWait,IF(E111="Reminder sent","Close out","Send reminder"),"—")))</f>
        <v/>
      </c>
      <c r="L111" s="51">
        <f>IF(F111="","",DATE(YEAR(F111),MONTH(F111),1))</f>
        <v/>
      </c>
      <c r="M111" s="51">
        <f>IF(C111="","",DATE(YEAR(C111),MONTH(C111),1))</f>
        <v/>
      </c>
    </row>
    <row r="112">
      <c r="A112" s="38" t="n"/>
      <c r="B112" s="38" t="n"/>
      <c r="C112" s="47" t="n"/>
      <c r="D112" s="38" t="n"/>
      <c r="E112" s="38" t="n"/>
      <c r="F112" s="47" t="n"/>
      <c r="G112" s="57" t="n"/>
      <c r="H112" s="38" t="n"/>
      <c r="I112" s="38" t="n"/>
      <c r="J112" s="50">
        <f>IF(C112="","",IF(OR(E112="Received",E112="Declined"),"",AsOf-C112))</f>
        <v/>
      </c>
      <c r="K112" s="49">
        <f>IF(A112="","",IF(AND(E112="Received",H112&lt;&gt;"Yes"),"Reply to review",IF(N(J112)&gt;=ReviewWait,IF(E112="Reminder sent","Close out","Send reminder"),"—")))</f>
        <v/>
      </c>
      <c r="L112" s="51">
        <f>IF(F112="","",DATE(YEAR(F112),MONTH(F112),1))</f>
        <v/>
      </c>
      <c r="M112" s="51">
        <f>IF(C112="","",DATE(YEAR(C112),MONTH(C112),1))</f>
        <v/>
      </c>
    </row>
    <row r="113">
      <c r="A113" s="38" t="n"/>
      <c r="B113" s="38" t="n"/>
      <c r="C113" s="47" t="n"/>
      <c r="D113" s="38" t="n"/>
      <c r="E113" s="38" t="n"/>
      <c r="F113" s="47" t="n"/>
      <c r="G113" s="57" t="n"/>
      <c r="H113" s="38" t="n"/>
      <c r="I113" s="38" t="n"/>
      <c r="J113" s="50">
        <f>IF(C113="","",IF(OR(E113="Received",E113="Declined"),"",AsOf-C113))</f>
        <v/>
      </c>
      <c r="K113" s="49">
        <f>IF(A113="","",IF(AND(E113="Received",H113&lt;&gt;"Yes"),"Reply to review",IF(N(J113)&gt;=ReviewWait,IF(E113="Reminder sent","Close out","Send reminder"),"—")))</f>
        <v/>
      </c>
      <c r="L113" s="51">
        <f>IF(F113="","",DATE(YEAR(F113),MONTH(F113),1))</f>
        <v/>
      </c>
      <c r="M113" s="51">
        <f>IF(C113="","",DATE(YEAR(C113),MONTH(C113),1))</f>
        <v/>
      </c>
    </row>
    <row r="114">
      <c r="A114" s="38" t="n"/>
      <c r="B114" s="38" t="n"/>
      <c r="C114" s="47" t="n"/>
      <c r="D114" s="38" t="n"/>
      <c r="E114" s="38" t="n"/>
      <c r="F114" s="47" t="n"/>
      <c r="G114" s="57" t="n"/>
      <c r="H114" s="38" t="n"/>
      <c r="I114" s="38" t="n"/>
      <c r="J114" s="50">
        <f>IF(C114="","",IF(OR(E114="Received",E114="Declined"),"",AsOf-C114))</f>
        <v/>
      </c>
      <c r="K114" s="49">
        <f>IF(A114="","",IF(AND(E114="Received",H114&lt;&gt;"Yes"),"Reply to review",IF(N(J114)&gt;=ReviewWait,IF(E114="Reminder sent","Close out","Send reminder"),"—")))</f>
        <v/>
      </c>
      <c r="L114" s="51">
        <f>IF(F114="","",DATE(YEAR(F114),MONTH(F114),1))</f>
        <v/>
      </c>
      <c r="M114" s="51">
        <f>IF(C114="","",DATE(YEAR(C114),MONTH(C114),1))</f>
        <v/>
      </c>
    </row>
    <row r="115">
      <c r="A115" s="38" t="n"/>
      <c r="B115" s="38" t="n"/>
      <c r="C115" s="47" t="n"/>
      <c r="D115" s="38" t="n"/>
      <c r="E115" s="38" t="n"/>
      <c r="F115" s="47" t="n"/>
      <c r="G115" s="57" t="n"/>
      <c r="H115" s="38" t="n"/>
      <c r="I115" s="38" t="n"/>
      <c r="J115" s="50">
        <f>IF(C115="","",IF(OR(E115="Received",E115="Declined"),"",AsOf-C115))</f>
        <v/>
      </c>
      <c r="K115" s="49">
        <f>IF(A115="","",IF(AND(E115="Received",H115&lt;&gt;"Yes"),"Reply to review",IF(N(J115)&gt;=ReviewWait,IF(E115="Reminder sent","Close out","Send reminder"),"—")))</f>
        <v/>
      </c>
      <c r="L115" s="51">
        <f>IF(F115="","",DATE(YEAR(F115),MONTH(F115),1))</f>
        <v/>
      </c>
      <c r="M115" s="51">
        <f>IF(C115="","",DATE(YEAR(C115),MONTH(C115),1))</f>
        <v/>
      </c>
    </row>
    <row r="116">
      <c r="A116" s="38" t="n"/>
      <c r="B116" s="38" t="n"/>
      <c r="C116" s="47" t="n"/>
      <c r="D116" s="38" t="n"/>
      <c r="E116" s="38" t="n"/>
      <c r="F116" s="47" t="n"/>
      <c r="G116" s="57" t="n"/>
      <c r="H116" s="38" t="n"/>
      <c r="I116" s="38" t="n"/>
      <c r="J116" s="50">
        <f>IF(C116="","",IF(OR(E116="Received",E116="Declined"),"",AsOf-C116))</f>
        <v/>
      </c>
      <c r="K116" s="49">
        <f>IF(A116="","",IF(AND(E116="Received",H116&lt;&gt;"Yes"),"Reply to review",IF(N(J116)&gt;=ReviewWait,IF(E116="Reminder sent","Close out","Send reminder"),"—")))</f>
        <v/>
      </c>
      <c r="L116" s="51">
        <f>IF(F116="","",DATE(YEAR(F116),MONTH(F116),1))</f>
        <v/>
      </c>
      <c r="M116" s="51">
        <f>IF(C116="","",DATE(YEAR(C116),MONTH(C116),1))</f>
        <v/>
      </c>
    </row>
    <row r="117">
      <c r="A117" s="38" t="n"/>
      <c r="B117" s="38" t="n"/>
      <c r="C117" s="47" t="n"/>
      <c r="D117" s="38" t="n"/>
      <c r="E117" s="38" t="n"/>
      <c r="F117" s="47" t="n"/>
      <c r="G117" s="57" t="n"/>
      <c r="H117" s="38" t="n"/>
      <c r="I117" s="38" t="n"/>
      <c r="J117" s="50">
        <f>IF(C117="","",IF(OR(E117="Received",E117="Declined"),"",AsOf-C117))</f>
        <v/>
      </c>
      <c r="K117" s="49">
        <f>IF(A117="","",IF(AND(E117="Received",H117&lt;&gt;"Yes"),"Reply to review",IF(N(J117)&gt;=ReviewWait,IF(E117="Reminder sent","Close out","Send reminder"),"—")))</f>
        <v/>
      </c>
      <c r="L117" s="51">
        <f>IF(F117="","",DATE(YEAR(F117),MONTH(F117),1))</f>
        <v/>
      </c>
      <c r="M117" s="51">
        <f>IF(C117="","",DATE(YEAR(C117),MONTH(C117),1))</f>
        <v/>
      </c>
    </row>
    <row r="118">
      <c r="A118" s="38" t="n"/>
      <c r="B118" s="38" t="n"/>
      <c r="C118" s="47" t="n"/>
      <c r="D118" s="38" t="n"/>
      <c r="E118" s="38" t="n"/>
      <c r="F118" s="47" t="n"/>
      <c r="G118" s="57" t="n"/>
      <c r="H118" s="38" t="n"/>
      <c r="I118" s="38" t="n"/>
      <c r="J118" s="50">
        <f>IF(C118="","",IF(OR(E118="Received",E118="Declined"),"",AsOf-C118))</f>
        <v/>
      </c>
      <c r="K118" s="49">
        <f>IF(A118="","",IF(AND(E118="Received",H118&lt;&gt;"Yes"),"Reply to review",IF(N(J118)&gt;=ReviewWait,IF(E118="Reminder sent","Close out","Send reminder"),"—")))</f>
        <v/>
      </c>
      <c r="L118" s="51">
        <f>IF(F118="","",DATE(YEAR(F118),MONTH(F118),1))</f>
        <v/>
      </c>
      <c r="M118" s="51">
        <f>IF(C118="","",DATE(YEAR(C118),MONTH(C118),1))</f>
        <v/>
      </c>
    </row>
    <row r="119">
      <c r="A119" s="38" t="n"/>
      <c r="B119" s="38" t="n"/>
      <c r="C119" s="47" t="n"/>
      <c r="D119" s="38" t="n"/>
      <c r="E119" s="38" t="n"/>
      <c r="F119" s="47" t="n"/>
      <c r="G119" s="57" t="n"/>
      <c r="H119" s="38" t="n"/>
      <c r="I119" s="38" t="n"/>
      <c r="J119" s="50">
        <f>IF(C119="","",IF(OR(E119="Received",E119="Declined"),"",AsOf-C119))</f>
        <v/>
      </c>
      <c r="K119" s="49">
        <f>IF(A119="","",IF(AND(E119="Received",H119&lt;&gt;"Yes"),"Reply to review",IF(N(J119)&gt;=ReviewWait,IF(E119="Reminder sent","Close out","Send reminder"),"—")))</f>
        <v/>
      </c>
      <c r="L119" s="51">
        <f>IF(F119="","",DATE(YEAR(F119),MONTH(F119),1))</f>
        <v/>
      </c>
      <c r="M119" s="51">
        <f>IF(C119="","",DATE(YEAR(C119),MONTH(C119),1))</f>
        <v/>
      </c>
    </row>
    <row r="120">
      <c r="A120" s="38" t="n"/>
      <c r="B120" s="38" t="n"/>
      <c r="C120" s="47" t="n"/>
      <c r="D120" s="38" t="n"/>
      <c r="E120" s="38" t="n"/>
      <c r="F120" s="47" t="n"/>
      <c r="G120" s="57" t="n"/>
      <c r="H120" s="38" t="n"/>
      <c r="I120" s="38" t="n"/>
      <c r="J120" s="50">
        <f>IF(C120="","",IF(OR(E120="Received",E120="Declined"),"",AsOf-C120))</f>
        <v/>
      </c>
      <c r="K120" s="49">
        <f>IF(A120="","",IF(AND(E120="Received",H120&lt;&gt;"Yes"),"Reply to review",IF(N(J120)&gt;=ReviewWait,IF(E120="Reminder sent","Close out","Send reminder"),"—")))</f>
        <v/>
      </c>
      <c r="L120" s="51">
        <f>IF(F120="","",DATE(YEAR(F120),MONTH(F120),1))</f>
        <v/>
      </c>
      <c r="M120" s="51">
        <f>IF(C120="","",DATE(YEAR(C120),MONTH(C120),1))</f>
        <v/>
      </c>
    </row>
    <row r="121">
      <c r="A121" s="38" t="n"/>
      <c r="B121" s="38" t="n"/>
      <c r="C121" s="47" t="n"/>
      <c r="D121" s="38" t="n"/>
      <c r="E121" s="38" t="n"/>
      <c r="F121" s="47" t="n"/>
      <c r="G121" s="57" t="n"/>
      <c r="H121" s="38" t="n"/>
      <c r="I121" s="38" t="n"/>
      <c r="J121" s="50">
        <f>IF(C121="","",IF(OR(E121="Received",E121="Declined"),"",AsOf-C121))</f>
        <v/>
      </c>
      <c r="K121" s="49">
        <f>IF(A121="","",IF(AND(E121="Received",H121&lt;&gt;"Yes"),"Reply to review",IF(N(J121)&gt;=ReviewWait,IF(E121="Reminder sent","Close out","Send reminder"),"—")))</f>
        <v/>
      </c>
      <c r="L121" s="51">
        <f>IF(F121="","",DATE(YEAR(F121),MONTH(F121),1))</f>
        <v/>
      </c>
      <c r="M121" s="51">
        <f>IF(C121="","",DATE(YEAR(C121),MONTH(C121),1))</f>
        <v/>
      </c>
    </row>
    <row r="122">
      <c r="A122" s="38" t="n"/>
      <c r="B122" s="38" t="n"/>
      <c r="C122" s="47" t="n"/>
      <c r="D122" s="38" t="n"/>
      <c r="E122" s="38" t="n"/>
      <c r="F122" s="47" t="n"/>
      <c r="G122" s="57" t="n"/>
      <c r="H122" s="38" t="n"/>
      <c r="I122" s="38" t="n"/>
      <c r="J122" s="50">
        <f>IF(C122="","",IF(OR(E122="Received",E122="Declined"),"",AsOf-C122))</f>
        <v/>
      </c>
      <c r="K122" s="49">
        <f>IF(A122="","",IF(AND(E122="Received",H122&lt;&gt;"Yes"),"Reply to review",IF(N(J122)&gt;=ReviewWait,IF(E122="Reminder sent","Close out","Send reminder"),"—")))</f>
        <v/>
      </c>
      <c r="L122" s="51">
        <f>IF(F122="","",DATE(YEAR(F122),MONTH(F122),1))</f>
        <v/>
      </c>
      <c r="M122" s="51">
        <f>IF(C122="","",DATE(YEAR(C122),MONTH(C122),1))</f>
        <v/>
      </c>
    </row>
    <row r="123">
      <c r="A123" s="38" t="n"/>
      <c r="B123" s="38" t="n"/>
      <c r="C123" s="47" t="n"/>
      <c r="D123" s="38" t="n"/>
      <c r="E123" s="38" t="n"/>
      <c r="F123" s="47" t="n"/>
      <c r="G123" s="57" t="n"/>
      <c r="H123" s="38" t="n"/>
      <c r="I123" s="38" t="n"/>
      <c r="J123" s="50">
        <f>IF(C123="","",IF(OR(E123="Received",E123="Declined"),"",AsOf-C123))</f>
        <v/>
      </c>
      <c r="K123" s="49">
        <f>IF(A123="","",IF(AND(E123="Received",H123&lt;&gt;"Yes"),"Reply to review",IF(N(J123)&gt;=ReviewWait,IF(E123="Reminder sent","Close out","Send reminder"),"—")))</f>
        <v/>
      </c>
      <c r="L123" s="51">
        <f>IF(F123="","",DATE(YEAR(F123),MONTH(F123),1))</f>
        <v/>
      </c>
      <c r="M123" s="51">
        <f>IF(C123="","",DATE(YEAR(C123),MONTH(C123),1))</f>
        <v/>
      </c>
    </row>
    <row r="124">
      <c r="A124" s="38" t="n"/>
      <c r="B124" s="38" t="n"/>
      <c r="C124" s="47" t="n"/>
      <c r="D124" s="38" t="n"/>
      <c r="E124" s="38" t="n"/>
      <c r="F124" s="47" t="n"/>
      <c r="G124" s="57" t="n"/>
      <c r="H124" s="38" t="n"/>
      <c r="I124" s="38" t="n"/>
      <c r="J124" s="50">
        <f>IF(C124="","",IF(OR(E124="Received",E124="Declined"),"",AsOf-C124))</f>
        <v/>
      </c>
      <c r="K124" s="49">
        <f>IF(A124="","",IF(AND(E124="Received",H124&lt;&gt;"Yes"),"Reply to review",IF(N(J124)&gt;=ReviewWait,IF(E124="Reminder sent","Close out","Send reminder"),"—")))</f>
        <v/>
      </c>
      <c r="L124" s="51">
        <f>IF(F124="","",DATE(YEAR(F124),MONTH(F124),1))</f>
        <v/>
      </c>
      <c r="M124" s="51">
        <f>IF(C124="","",DATE(YEAR(C124),MONTH(C124),1))</f>
        <v/>
      </c>
    </row>
    <row r="125">
      <c r="A125" s="38" t="n"/>
      <c r="B125" s="38" t="n"/>
      <c r="C125" s="47" t="n"/>
      <c r="D125" s="38" t="n"/>
      <c r="E125" s="38" t="n"/>
      <c r="F125" s="47" t="n"/>
      <c r="G125" s="57" t="n"/>
      <c r="H125" s="38" t="n"/>
      <c r="I125" s="38" t="n"/>
      <c r="J125" s="50">
        <f>IF(C125="","",IF(OR(E125="Received",E125="Declined"),"",AsOf-C125))</f>
        <v/>
      </c>
      <c r="K125" s="49">
        <f>IF(A125="","",IF(AND(E125="Received",H125&lt;&gt;"Yes"),"Reply to review",IF(N(J125)&gt;=ReviewWait,IF(E125="Reminder sent","Close out","Send reminder"),"—")))</f>
        <v/>
      </c>
      <c r="L125" s="51">
        <f>IF(F125="","",DATE(YEAR(F125),MONTH(F125),1))</f>
        <v/>
      </c>
      <c r="M125" s="51">
        <f>IF(C125="","",DATE(YEAR(C125),MONTH(C125),1))</f>
        <v/>
      </c>
    </row>
    <row r="126">
      <c r="A126" s="38" t="n"/>
      <c r="B126" s="38" t="n"/>
      <c r="C126" s="47" t="n"/>
      <c r="D126" s="38" t="n"/>
      <c r="E126" s="38" t="n"/>
      <c r="F126" s="47" t="n"/>
      <c r="G126" s="57" t="n"/>
      <c r="H126" s="38" t="n"/>
      <c r="I126" s="38" t="n"/>
      <c r="J126" s="50">
        <f>IF(C126="","",IF(OR(E126="Received",E126="Declined"),"",AsOf-C126))</f>
        <v/>
      </c>
      <c r="K126" s="49">
        <f>IF(A126="","",IF(AND(E126="Received",H126&lt;&gt;"Yes"),"Reply to review",IF(N(J126)&gt;=ReviewWait,IF(E126="Reminder sent","Close out","Send reminder"),"—")))</f>
        <v/>
      </c>
      <c r="L126" s="51">
        <f>IF(F126="","",DATE(YEAR(F126),MONTH(F126),1))</f>
        <v/>
      </c>
      <c r="M126" s="51">
        <f>IF(C126="","",DATE(YEAR(C126),MONTH(C126),1))</f>
        <v/>
      </c>
    </row>
    <row r="127">
      <c r="A127" s="38" t="n"/>
      <c r="B127" s="38" t="n"/>
      <c r="C127" s="47" t="n"/>
      <c r="D127" s="38" t="n"/>
      <c r="E127" s="38" t="n"/>
      <c r="F127" s="47" t="n"/>
      <c r="G127" s="57" t="n"/>
      <c r="H127" s="38" t="n"/>
      <c r="I127" s="38" t="n"/>
      <c r="J127" s="50">
        <f>IF(C127="","",IF(OR(E127="Received",E127="Declined"),"",AsOf-C127))</f>
        <v/>
      </c>
      <c r="K127" s="49">
        <f>IF(A127="","",IF(AND(E127="Received",H127&lt;&gt;"Yes"),"Reply to review",IF(N(J127)&gt;=ReviewWait,IF(E127="Reminder sent","Close out","Send reminder"),"—")))</f>
        <v/>
      </c>
      <c r="L127" s="51">
        <f>IF(F127="","",DATE(YEAR(F127),MONTH(F127),1))</f>
        <v/>
      </c>
      <c r="M127" s="51">
        <f>IF(C127="","",DATE(YEAR(C127),MONTH(C127),1))</f>
        <v/>
      </c>
    </row>
    <row r="128">
      <c r="A128" s="38" t="n"/>
      <c r="B128" s="38" t="n"/>
      <c r="C128" s="47" t="n"/>
      <c r="D128" s="38" t="n"/>
      <c r="E128" s="38" t="n"/>
      <c r="F128" s="47" t="n"/>
      <c r="G128" s="57" t="n"/>
      <c r="H128" s="38" t="n"/>
      <c r="I128" s="38" t="n"/>
      <c r="J128" s="50">
        <f>IF(C128="","",IF(OR(E128="Received",E128="Declined"),"",AsOf-C128))</f>
        <v/>
      </c>
      <c r="K128" s="49">
        <f>IF(A128="","",IF(AND(E128="Received",H128&lt;&gt;"Yes"),"Reply to review",IF(N(J128)&gt;=ReviewWait,IF(E128="Reminder sent","Close out","Send reminder"),"—")))</f>
        <v/>
      </c>
      <c r="L128" s="51">
        <f>IF(F128="","",DATE(YEAR(F128),MONTH(F128),1))</f>
        <v/>
      </c>
      <c r="M128" s="51">
        <f>IF(C128="","",DATE(YEAR(C128),MONTH(C128),1))</f>
        <v/>
      </c>
    </row>
    <row r="129">
      <c r="A129" s="38" t="n"/>
      <c r="B129" s="38" t="n"/>
      <c r="C129" s="47" t="n"/>
      <c r="D129" s="38" t="n"/>
      <c r="E129" s="38" t="n"/>
      <c r="F129" s="47" t="n"/>
      <c r="G129" s="57" t="n"/>
      <c r="H129" s="38" t="n"/>
      <c r="I129" s="38" t="n"/>
      <c r="J129" s="50">
        <f>IF(C129="","",IF(OR(E129="Received",E129="Declined"),"",AsOf-C129))</f>
        <v/>
      </c>
      <c r="K129" s="49">
        <f>IF(A129="","",IF(AND(E129="Received",H129&lt;&gt;"Yes"),"Reply to review",IF(N(J129)&gt;=ReviewWait,IF(E129="Reminder sent","Close out","Send reminder"),"—")))</f>
        <v/>
      </c>
      <c r="L129" s="51">
        <f>IF(F129="","",DATE(YEAR(F129),MONTH(F129),1))</f>
        <v/>
      </c>
      <c r="M129" s="51">
        <f>IF(C129="","",DATE(YEAR(C129),MONTH(C129),1))</f>
        <v/>
      </c>
    </row>
    <row r="130">
      <c r="A130" s="38" t="n"/>
      <c r="B130" s="38" t="n"/>
      <c r="C130" s="47" t="n"/>
      <c r="D130" s="38" t="n"/>
      <c r="E130" s="38" t="n"/>
      <c r="F130" s="47" t="n"/>
      <c r="G130" s="57" t="n"/>
      <c r="H130" s="38" t="n"/>
      <c r="I130" s="38" t="n"/>
      <c r="J130" s="50">
        <f>IF(C130="","",IF(OR(E130="Received",E130="Declined"),"",AsOf-C130))</f>
        <v/>
      </c>
      <c r="K130" s="49">
        <f>IF(A130="","",IF(AND(E130="Received",H130&lt;&gt;"Yes"),"Reply to review",IF(N(J130)&gt;=ReviewWait,IF(E130="Reminder sent","Close out","Send reminder"),"—")))</f>
        <v/>
      </c>
      <c r="L130" s="51">
        <f>IF(F130="","",DATE(YEAR(F130),MONTH(F130),1))</f>
        <v/>
      </c>
      <c r="M130" s="51">
        <f>IF(C130="","",DATE(YEAR(C130),MONTH(C130),1))</f>
        <v/>
      </c>
    </row>
    <row r="131">
      <c r="A131" s="38" t="n"/>
      <c r="B131" s="38" t="n"/>
      <c r="C131" s="47" t="n"/>
      <c r="D131" s="38" t="n"/>
      <c r="E131" s="38" t="n"/>
      <c r="F131" s="47" t="n"/>
      <c r="G131" s="57" t="n"/>
      <c r="H131" s="38" t="n"/>
      <c r="I131" s="38" t="n"/>
      <c r="J131" s="50">
        <f>IF(C131="","",IF(OR(E131="Received",E131="Declined"),"",AsOf-C131))</f>
        <v/>
      </c>
      <c r="K131" s="49">
        <f>IF(A131="","",IF(AND(E131="Received",H131&lt;&gt;"Yes"),"Reply to review",IF(N(J131)&gt;=ReviewWait,IF(E131="Reminder sent","Close out","Send reminder"),"—")))</f>
        <v/>
      </c>
      <c r="L131" s="51">
        <f>IF(F131="","",DATE(YEAR(F131),MONTH(F131),1))</f>
        <v/>
      </c>
      <c r="M131" s="51">
        <f>IF(C131="","",DATE(YEAR(C131),MONTH(C131),1))</f>
        <v/>
      </c>
    </row>
    <row r="132">
      <c r="A132" s="38" t="n"/>
      <c r="B132" s="38" t="n"/>
      <c r="C132" s="47" t="n"/>
      <c r="D132" s="38" t="n"/>
      <c r="E132" s="38" t="n"/>
      <c r="F132" s="47" t="n"/>
      <c r="G132" s="57" t="n"/>
      <c r="H132" s="38" t="n"/>
      <c r="I132" s="38" t="n"/>
      <c r="J132" s="50">
        <f>IF(C132="","",IF(OR(E132="Received",E132="Declined"),"",AsOf-C132))</f>
        <v/>
      </c>
      <c r="K132" s="49">
        <f>IF(A132="","",IF(AND(E132="Received",H132&lt;&gt;"Yes"),"Reply to review",IF(N(J132)&gt;=ReviewWait,IF(E132="Reminder sent","Close out","Send reminder"),"—")))</f>
        <v/>
      </c>
      <c r="L132" s="51">
        <f>IF(F132="","",DATE(YEAR(F132),MONTH(F132),1))</f>
        <v/>
      </c>
      <c r="M132" s="51">
        <f>IF(C132="","",DATE(YEAR(C132),MONTH(C132),1))</f>
        <v/>
      </c>
    </row>
    <row r="133">
      <c r="A133" s="38" t="n"/>
      <c r="B133" s="38" t="n"/>
      <c r="C133" s="47" t="n"/>
      <c r="D133" s="38" t="n"/>
      <c r="E133" s="38" t="n"/>
      <c r="F133" s="47" t="n"/>
      <c r="G133" s="57" t="n"/>
      <c r="H133" s="38" t="n"/>
      <c r="I133" s="38" t="n"/>
      <c r="J133" s="50">
        <f>IF(C133="","",IF(OR(E133="Received",E133="Declined"),"",AsOf-C133))</f>
        <v/>
      </c>
      <c r="K133" s="49">
        <f>IF(A133="","",IF(AND(E133="Received",H133&lt;&gt;"Yes"),"Reply to review",IF(N(J133)&gt;=ReviewWait,IF(E133="Reminder sent","Close out","Send reminder"),"—")))</f>
        <v/>
      </c>
      <c r="L133" s="51">
        <f>IF(F133="","",DATE(YEAR(F133),MONTH(F133),1))</f>
        <v/>
      </c>
      <c r="M133" s="51">
        <f>IF(C133="","",DATE(YEAR(C133),MONTH(C133),1))</f>
        <v/>
      </c>
    </row>
    <row r="134">
      <c r="A134" s="38" t="n"/>
      <c r="B134" s="38" t="n"/>
      <c r="C134" s="47" t="n"/>
      <c r="D134" s="38" t="n"/>
      <c r="E134" s="38" t="n"/>
      <c r="F134" s="47" t="n"/>
      <c r="G134" s="57" t="n"/>
      <c r="H134" s="38" t="n"/>
      <c r="I134" s="38" t="n"/>
      <c r="J134" s="50">
        <f>IF(C134="","",IF(OR(E134="Received",E134="Declined"),"",AsOf-C134))</f>
        <v/>
      </c>
      <c r="K134" s="49">
        <f>IF(A134="","",IF(AND(E134="Received",H134&lt;&gt;"Yes"),"Reply to review",IF(N(J134)&gt;=ReviewWait,IF(E134="Reminder sent","Close out","Send reminder"),"—")))</f>
        <v/>
      </c>
      <c r="L134" s="51">
        <f>IF(F134="","",DATE(YEAR(F134),MONTH(F134),1))</f>
        <v/>
      </c>
      <c r="M134" s="51">
        <f>IF(C134="","",DATE(YEAR(C134),MONTH(C134),1))</f>
        <v/>
      </c>
    </row>
    <row r="135">
      <c r="A135" s="38" t="n"/>
      <c r="B135" s="38" t="n"/>
      <c r="C135" s="47" t="n"/>
      <c r="D135" s="38" t="n"/>
      <c r="E135" s="38" t="n"/>
      <c r="F135" s="47" t="n"/>
      <c r="G135" s="57" t="n"/>
      <c r="H135" s="38" t="n"/>
      <c r="I135" s="38" t="n"/>
      <c r="J135" s="50">
        <f>IF(C135="","",IF(OR(E135="Received",E135="Declined"),"",AsOf-C135))</f>
        <v/>
      </c>
      <c r="K135" s="49">
        <f>IF(A135="","",IF(AND(E135="Received",H135&lt;&gt;"Yes"),"Reply to review",IF(N(J135)&gt;=ReviewWait,IF(E135="Reminder sent","Close out","Send reminder"),"—")))</f>
        <v/>
      </c>
      <c r="L135" s="51">
        <f>IF(F135="","",DATE(YEAR(F135),MONTH(F135),1))</f>
        <v/>
      </c>
      <c r="M135" s="51">
        <f>IF(C135="","",DATE(YEAR(C135),MONTH(C135),1))</f>
        <v/>
      </c>
    </row>
    <row r="136">
      <c r="A136" s="38" t="n"/>
      <c r="B136" s="38" t="n"/>
      <c r="C136" s="47" t="n"/>
      <c r="D136" s="38" t="n"/>
      <c r="E136" s="38" t="n"/>
      <c r="F136" s="47" t="n"/>
      <c r="G136" s="57" t="n"/>
      <c r="H136" s="38" t="n"/>
      <c r="I136" s="38" t="n"/>
      <c r="J136" s="50">
        <f>IF(C136="","",IF(OR(E136="Received",E136="Declined"),"",AsOf-C136))</f>
        <v/>
      </c>
      <c r="K136" s="49">
        <f>IF(A136="","",IF(AND(E136="Received",H136&lt;&gt;"Yes"),"Reply to review",IF(N(J136)&gt;=ReviewWait,IF(E136="Reminder sent","Close out","Send reminder"),"—")))</f>
        <v/>
      </c>
      <c r="L136" s="51">
        <f>IF(F136="","",DATE(YEAR(F136),MONTH(F136),1))</f>
        <v/>
      </c>
      <c r="M136" s="51">
        <f>IF(C136="","",DATE(YEAR(C136),MONTH(C136),1))</f>
        <v/>
      </c>
    </row>
    <row r="137">
      <c r="A137" s="38" t="n"/>
      <c r="B137" s="38" t="n"/>
      <c r="C137" s="47" t="n"/>
      <c r="D137" s="38" t="n"/>
      <c r="E137" s="38" t="n"/>
      <c r="F137" s="47" t="n"/>
      <c r="G137" s="57" t="n"/>
      <c r="H137" s="38" t="n"/>
      <c r="I137" s="38" t="n"/>
      <c r="J137" s="50">
        <f>IF(C137="","",IF(OR(E137="Received",E137="Declined"),"",AsOf-C137))</f>
        <v/>
      </c>
      <c r="K137" s="49">
        <f>IF(A137="","",IF(AND(E137="Received",H137&lt;&gt;"Yes"),"Reply to review",IF(N(J137)&gt;=ReviewWait,IF(E137="Reminder sent","Close out","Send reminder"),"—")))</f>
        <v/>
      </c>
      <c r="L137" s="51">
        <f>IF(F137="","",DATE(YEAR(F137),MONTH(F137),1))</f>
        <v/>
      </c>
      <c r="M137" s="51">
        <f>IF(C137="","",DATE(YEAR(C137),MONTH(C137),1))</f>
        <v/>
      </c>
    </row>
    <row r="138">
      <c r="A138" s="38" t="n"/>
      <c r="B138" s="38" t="n"/>
      <c r="C138" s="47" t="n"/>
      <c r="D138" s="38" t="n"/>
      <c r="E138" s="38" t="n"/>
      <c r="F138" s="47" t="n"/>
      <c r="G138" s="57" t="n"/>
      <c r="H138" s="38" t="n"/>
      <c r="I138" s="38" t="n"/>
      <c r="J138" s="50">
        <f>IF(C138="","",IF(OR(E138="Received",E138="Declined"),"",AsOf-C138))</f>
        <v/>
      </c>
      <c r="K138" s="49">
        <f>IF(A138="","",IF(AND(E138="Received",H138&lt;&gt;"Yes"),"Reply to review",IF(N(J138)&gt;=ReviewWait,IF(E138="Reminder sent","Close out","Send reminder"),"—")))</f>
        <v/>
      </c>
      <c r="L138" s="51">
        <f>IF(F138="","",DATE(YEAR(F138),MONTH(F138),1))</f>
        <v/>
      </c>
      <c r="M138" s="51">
        <f>IF(C138="","",DATE(YEAR(C138),MONTH(C138),1))</f>
        <v/>
      </c>
    </row>
    <row r="139">
      <c r="A139" s="38" t="n"/>
      <c r="B139" s="38" t="n"/>
      <c r="C139" s="47" t="n"/>
      <c r="D139" s="38" t="n"/>
      <c r="E139" s="38" t="n"/>
      <c r="F139" s="47" t="n"/>
      <c r="G139" s="57" t="n"/>
      <c r="H139" s="38" t="n"/>
      <c r="I139" s="38" t="n"/>
      <c r="J139" s="50">
        <f>IF(C139="","",IF(OR(E139="Received",E139="Declined"),"",AsOf-C139))</f>
        <v/>
      </c>
      <c r="K139" s="49">
        <f>IF(A139="","",IF(AND(E139="Received",H139&lt;&gt;"Yes"),"Reply to review",IF(N(J139)&gt;=ReviewWait,IF(E139="Reminder sent","Close out","Send reminder"),"—")))</f>
        <v/>
      </c>
      <c r="L139" s="51">
        <f>IF(F139="","",DATE(YEAR(F139),MONTH(F139),1))</f>
        <v/>
      </c>
      <c r="M139" s="51">
        <f>IF(C139="","",DATE(YEAR(C139),MONTH(C139),1))</f>
        <v/>
      </c>
    </row>
    <row r="140">
      <c r="A140" s="38" t="n"/>
      <c r="B140" s="38" t="n"/>
      <c r="C140" s="47" t="n"/>
      <c r="D140" s="38" t="n"/>
      <c r="E140" s="38" t="n"/>
      <c r="F140" s="47" t="n"/>
      <c r="G140" s="57" t="n"/>
      <c r="H140" s="38" t="n"/>
      <c r="I140" s="38" t="n"/>
      <c r="J140" s="50">
        <f>IF(C140="","",IF(OR(E140="Received",E140="Declined"),"",AsOf-C140))</f>
        <v/>
      </c>
      <c r="K140" s="49">
        <f>IF(A140="","",IF(AND(E140="Received",H140&lt;&gt;"Yes"),"Reply to review",IF(N(J140)&gt;=ReviewWait,IF(E140="Reminder sent","Close out","Send reminder"),"—")))</f>
        <v/>
      </c>
      <c r="L140" s="51">
        <f>IF(F140="","",DATE(YEAR(F140),MONTH(F140),1))</f>
        <v/>
      </c>
      <c r="M140" s="51">
        <f>IF(C140="","",DATE(YEAR(C140),MONTH(C140),1))</f>
        <v/>
      </c>
    </row>
    <row r="141">
      <c r="A141" s="38" t="n"/>
      <c r="B141" s="38" t="n"/>
      <c r="C141" s="47" t="n"/>
      <c r="D141" s="38" t="n"/>
      <c r="E141" s="38" t="n"/>
      <c r="F141" s="47" t="n"/>
      <c r="G141" s="57" t="n"/>
      <c r="H141" s="38" t="n"/>
      <c r="I141" s="38" t="n"/>
      <c r="J141" s="50">
        <f>IF(C141="","",IF(OR(E141="Received",E141="Declined"),"",AsOf-C141))</f>
        <v/>
      </c>
      <c r="K141" s="49">
        <f>IF(A141="","",IF(AND(E141="Received",H141&lt;&gt;"Yes"),"Reply to review",IF(N(J141)&gt;=ReviewWait,IF(E141="Reminder sent","Close out","Send reminder"),"—")))</f>
        <v/>
      </c>
      <c r="L141" s="51">
        <f>IF(F141="","",DATE(YEAR(F141),MONTH(F141),1))</f>
        <v/>
      </c>
      <c r="M141" s="51">
        <f>IF(C141="","",DATE(YEAR(C141),MONTH(C141),1))</f>
        <v/>
      </c>
    </row>
    <row r="142">
      <c r="A142" s="38" t="n"/>
      <c r="B142" s="38" t="n"/>
      <c r="C142" s="47" t="n"/>
      <c r="D142" s="38" t="n"/>
      <c r="E142" s="38" t="n"/>
      <c r="F142" s="47" t="n"/>
      <c r="G142" s="57" t="n"/>
      <c r="H142" s="38" t="n"/>
      <c r="I142" s="38" t="n"/>
      <c r="J142" s="50">
        <f>IF(C142="","",IF(OR(E142="Received",E142="Declined"),"",AsOf-C142))</f>
        <v/>
      </c>
      <c r="K142" s="49">
        <f>IF(A142="","",IF(AND(E142="Received",H142&lt;&gt;"Yes"),"Reply to review",IF(N(J142)&gt;=ReviewWait,IF(E142="Reminder sent","Close out","Send reminder"),"—")))</f>
        <v/>
      </c>
      <c r="L142" s="51">
        <f>IF(F142="","",DATE(YEAR(F142),MONTH(F142),1))</f>
        <v/>
      </c>
      <c r="M142" s="51">
        <f>IF(C142="","",DATE(YEAR(C142),MONTH(C142),1))</f>
        <v/>
      </c>
    </row>
    <row r="143">
      <c r="A143" s="38" t="n"/>
      <c r="B143" s="38" t="n"/>
      <c r="C143" s="47" t="n"/>
      <c r="D143" s="38" t="n"/>
      <c r="E143" s="38" t="n"/>
      <c r="F143" s="47" t="n"/>
      <c r="G143" s="57" t="n"/>
      <c r="H143" s="38" t="n"/>
      <c r="I143" s="38" t="n"/>
      <c r="J143" s="50">
        <f>IF(C143="","",IF(OR(E143="Received",E143="Declined"),"",AsOf-C143))</f>
        <v/>
      </c>
      <c r="K143" s="49">
        <f>IF(A143="","",IF(AND(E143="Received",H143&lt;&gt;"Yes"),"Reply to review",IF(N(J143)&gt;=ReviewWait,IF(E143="Reminder sent","Close out","Send reminder"),"—")))</f>
        <v/>
      </c>
      <c r="L143" s="51">
        <f>IF(F143="","",DATE(YEAR(F143),MONTH(F143),1))</f>
        <v/>
      </c>
      <c r="M143" s="51">
        <f>IF(C143="","",DATE(YEAR(C143),MONTH(C143),1))</f>
        <v/>
      </c>
    </row>
    <row r="144">
      <c r="A144" s="38" t="n"/>
      <c r="B144" s="38" t="n"/>
      <c r="C144" s="47" t="n"/>
      <c r="D144" s="38" t="n"/>
      <c r="E144" s="38" t="n"/>
      <c r="F144" s="47" t="n"/>
      <c r="G144" s="57" t="n"/>
      <c r="H144" s="38" t="n"/>
      <c r="I144" s="38" t="n"/>
      <c r="J144" s="50">
        <f>IF(C144="","",IF(OR(E144="Received",E144="Declined"),"",AsOf-C144))</f>
        <v/>
      </c>
      <c r="K144" s="49">
        <f>IF(A144="","",IF(AND(E144="Received",H144&lt;&gt;"Yes"),"Reply to review",IF(N(J144)&gt;=ReviewWait,IF(E144="Reminder sent","Close out","Send reminder"),"—")))</f>
        <v/>
      </c>
      <c r="L144" s="51">
        <f>IF(F144="","",DATE(YEAR(F144),MONTH(F144),1))</f>
        <v/>
      </c>
      <c r="M144" s="51">
        <f>IF(C144="","",DATE(YEAR(C144),MONTH(C144),1))</f>
        <v/>
      </c>
    </row>
    <row r="145">
      <c r="A145" s="38" t="n"/>
      <c r="B145" s="38" t="n"/>
      <c r="C145" s="47" t="n"/>
      <c r="D145" s="38" t="n"/>
      <c r="E145" s="38" t="n"/>
      <c r="F145" s="47" t="n"/>
      <c r="G145" s="57" t="n"/>
      <c r="H145" s="38" t="n"/>
      <c r="I145" s="38" t="n"/>
      <c r="J145" s="50">
        <f>IF(C145="","",IF(OR(E145="Received",E145="Declined"),"",AsOf-C145))</f>
        <v/>
      </c>
      <c r="K145" s="49">
        <f>IF(A145="","",IF(AND(E145="Received",H145&lt;&gt;"Yes"),"Reply to review",IF(N(J145)&gt;=ReviewWait,IF(E145="Reminder sent","Close out","Send reminder"),"—")))</f>
        <v/>
      </c>
      <c r="L145" s="51">
        <f>IF(F145="","",DATE(YEAR(F145),MONTH(F145),1))</f>
        <v/>
      </c>
      <c r="M145" s="51">
        <f>IF(C145="","",DATE(YEAR(C145),MONTH(C145),1))</f>
        <v/>
      </c>
    </row>
    <row r="146">
      <c r="A146" s="38" t="n"/>
      <c r="B146" s="38" t="n"/>
      <c r="C146" s="47" t="n"/>
      <c r="D146" s="38" t="n"/>
      <c r="E146" s="38" t="n"/>
      <c r="F146" s="47" t="n"/>
      <c r="G146" s="57" t="n"/>
      <c r="H146" s="38" t="n"/>
      <c r="I146" s="38" t="n"/>
      <c r="J146" s="50">
        <f>IF(C146="","",IF(OR(E146="Received",E146="Declined"),"",AsOf-C146))</f>
        <v/>
      </c>
      <c r="K146" s="49">
        <f>IF(A146="","",IF(AND(E146="Received",H146&lt;&gt;"Yes"),"Reply to review",IF(N(J146)&gt;=ReviewWait,IF(E146="Reminder sent","Close out","Send reminder"),"—")))</f>
        <v/>
      </c>
      <c r="L146" s="51">
        <f>IF(F146="","",DATE(YEAR(F146),MONTH(F146),1))</f>
        <v/>
      </c>
      <c r="M146" s="51">
        <f>IF(C146="","",DATE(YEAR(C146),MONTH(C146),1))</f>
        <v/>
      </c>
    </row>
    <row r="147">
      <c r="A147" s="38" t="n"/>
      <c r="B147" s="38" t="n"/>
      <c r="C147" s="47" t="n"/>
      <c r="D147" s="38" t="n"/>
      <c r="E147" s="38" t="n"/>
      <c r="F147" s="47" t="n"/>
      <c r="G147" s="57" t="n"/>
      <c r="H147" s="38" t="n"/>
      <c r="I147" s="38" t="n"/>
      <c r="J147" s="50">
        <f>IF(C147="","",IF(OR(E147="Received",E147="Declined"),"",AsOf-C147))</f>
        <v/>
      </c>
      <c r="K147" s="49">
        <f>IF(A147="","",IF(AND(E147="Received",H147&lt;&gt;"Yes"),"Reply to review",IF(N(J147)&gt;=ReviewWait,IF(E147="Reminder sent","Close out","Send reminder"),"—")))</f>
        <v/>
      </c>
      <c r="L147" s="51">
        <f>IF(F147="","",DATE(YEAR(F147),MONTH(F147),1))</f>
        <v/>
      </c>
      <c r="M147" s="51">
        <f>IF(C147="","",DATE(YEAR(C147),MONTH(C147),1))</f>
        <v/>
      </c>
    </row>
    <row r="148">
      <c r="A148" s="38" t="n"/>
      <c r="B148" s="38" t="n"/>
      <c r="C148" s="47" t="n"/>
      <c r="D148" s="38" t="n"/>
      <c r="E148" s="38" t="n"/>
      <c r="F148" s="47" t="n"/>
      <c r="G148" s="57" t="n"/>
      <c r="H148" s="38" t="n"/>
      <c r="I148" s="38" t="n"/>
      <c r="J148" s="50">
        <f>IF(C148="","",IF(OR(E148="Received",E148="Declined"),"",AsOf-C148))</f>
        <v/>
      </c>
      <c r="K148" s="49">
        <f>IF(A148="","",IF(AND(E148="Received",H148&lt;&gt;"Yes"),"Reply to review",IF(N(J148)&gt;=ReviewWait,IF(E148="Reminder sent","Close out","Send reminder"),"—")))</f>
        <v/>
      </c>
      <c r="L148" s="51">
        <f>IF(F148="","",DATE(YEAR(F148),MONTH(F148),1))</f>
        <v/>
      </c>
      <c r="M148" s="51">
        <f>IF(C148="","",DATE(YEAR(C148),MONTH(C148),1))</f>
        <v/>
      </c>
    </row>
    <row r="149">
      <c r="A149" s="38" t="n"/>
      <c r="B149" s="38" t="n"/>
      <c r="C149" s="47" t="n"/>
      <c r="D149" s="38" t="n"/>
      <c r="E149" s="38" t="n"/>
      <c r="F149" s="47" t="n"/>
      <c r="G149" s="57" t="n"/>
      <c r="H149" s="38" t="n"/>
      <c r="I149" s="38" t="n"/>
      <c r="J149" s="50">
        <f>IF(C149="","",IF(OR(E149="Received",E149="Declined"),"",AsOf-C149))</f>
        <v/>
      </c>
      <c r="K149" s="49">
        <f>IF(A149="","",IF(AND(E149="Received",H149&lt;&gt;"Yes"),"Reply to review",IF(N(J149)&gt;=ReviewWait,IF(E149="Reminder sent","Close out","Send reminder"),"—")))</f>
        <v/>
      </c>
      <c r="L149" s="51">
        <f>IF(F149="","",DATE(YEAR(F149),MONTH(F149),1))</f>
        <v/>
      </c>
      <c r="M149" s="51">
        <f>IF(C149="","",DATE(YEAR(C149),MONTH(C149),1))</f>
        <v/>
      </c>
    </row>
    <row r="150">
      <c r="A150" s="38" t="n"/>
      <c r="B150" s="38" t="n"/>
      <c r="C150" s="47" t="n"/>
      <c r="D150" s="38" t="n"/>
      <c r="E150" s="38" t="n"/>
      <c r="F150" s="47" t="n"/>
      <c r="G150" s="57" t="n"/>
      <c r="H150" s="38" t="n"/>
      <c r="I150" s="38" t="n"/>
      <c r="J150" s="50">
        <f>IF(C150="","",IF(OR(E150="Received",E150="Declined"),"",AsOf-C150))</f>
        <v/>
      </c>
      <c r="K150" s="49">
        <f>IF(A150="","",IF(AND(E150="Received",H150&lt;&gt;"Yes"),"Reply to review",IF(N(J150)&gt;=ReviewWait,IF(E150="Reminder sent","Close out","Send reminder"),"—")))</f>
        <v/>
      </c>
      <c r="L150" s="51">
        <f>IF(F150="","",DATE(YEAR(F150),MONTH(F150),1))</f>
        <v/>
      </c>
      <c r="M150" s="51">
        <f>IF(C150="","",DATE(YEAR(C150),MONTH(C150),1))</f>
        <v/>
      </c>
    </row>
    <row r="151">
      <c r="A151" s="38" t="n"/>
      <c r="B151" s="38" t="n"/>
      <c r="C151" s="47" t="n"/>
      <c r="D151" s="38" t="n"/>
      <c r="E151" s="38" t="n"/>
      <c r="F151" s="47" t="n"/>
      <c r="G151" s="57" t="n"/>
      <c r="H151" s="38" t="n"/>
      <c r="I151" s="38" t="n"/>
      <c r="J151" s="50">
        <f>IF(C151="","",IF(OR(E151="Received",E151="Declined"),"",AsOf-C151))</f>
        <v/>
      </c>
      <c r="K151" s="49">
        <f>IF(A151="","",IF(AND(E151="Received",H151&lt;&gt;"Yes"),"Reply to review",IF(N(J151)&gt;=ReviewWait,IF(E151="Reminder sent","Close out","Send reminder"),"—")))</f>
        <v/>
      </c>
      <c r="L151" s="51">
        <f>IF(F151="","",DATE(YEAR(F151),MONTH(F151),1))</f>
        <v/>
      </c>
      <c r="M151" s="51">
        <f>IF(C151="","",DATE(YEAR(C151),MONTH(C151),1))</f>
        <v/>
      </c>
    </row>
    <row r="152">
      <c r="A152" s="38" t="n"/>
      <c r="B152" s="38" t="n"/>
      <c r="C152" s="47" t="n"/>
      <c r="D152" s="38" t="n"/>
      <c r="E152" s="38" t="n"/>
      <c r="F152" s="47" t="n"/>
      <c r="G152" s="57" t="n"/>
      <c r="H152" s="38" t="n"/>
      <c r="I152" s="38" t="n"/>
      <c r="J152" s="50">
        <f>IF(C152="","",IF(OR(E152="Received",E152="Declined"),"",AsOf-C152))</f>
        <v/>
      </c>
      <c r="K152" s="49">
        <f>IF(A152="","",IF(AND(E152="Received",H152&lt;&gt;"Yes"),"Reply to review",IF(N(J152)&gt;=ReviewWait,IF(E152="Reminder sent","Close out","Send reminder"),"—")))</f>
        <v/>
      </c>
      <c r="L152" s="51">
        <f>IF(F152="","",DATE(YEAR(F152),MONTH(F152),1))</f>
        <v/>
      </c>
      <c r="M152" s="51">
        <f>IF(C152="","",DATE(YEAR(C152),MONTH(C152),1))</f>
        <v/>
      </c>
    </row>
    <row r="153">
      <c r="A153" s="38" t="n"/>
      <c r="B153" s="38" t="n"/>
      <c r="C153" s="47" t="n"/>
      <c r="D153" s="38" t="n"/>
      <c r="E153" s="38" t="n"/>
      <c r="F153" s="47" t="n"/>
      <c r="G153" s="57" t="n"/>
      <c r="H153" s="38" t="n"/>
      <c r="I153" s="38" t="n"/>
      <c r="J153" s="50">
        <f>IF(C153="","",IF(OR(E153="Received",E153="Declined"),"",AsOf-C153))</f>
        <v/>
      </c>
      <c r="K153" s="49">
        <f>IF(A153="","",IF(AND(E153="Received",H153&lt;&gt;"Yes"),"Reply to review",IF(N(J153)&gt;=ReviewWait,IF(E153="Reminder sent","Close out","Send reminder"),"—")))</f>
        <v/>
      </c>
      <c r="L153" s="51">
        <f>IF(F153="","",DATE(YEAR(F153),MONTH(F153),1))</f>
        <v/>
      </c>
      <c r="M153" s="51">
        <f>IF(C153="","",DATE(YEAR(C153),MONTH(C153),1))</f>
        <v/>
      </c>
    </row>
    <row r="154">
      <c r="A154" s="38" t="n"/>
      <c r="B154" s="38" t="n"/>
      <c r="C154" s="47" t="n"/>
      <c r="D154" s="38" t="n"/>
      <c r="E154" s="38" t="n"/>
      <c r="F154" s="47" t="n"/>
      <c r="G154" s="57" t="n"/>
      <c r="H154" s="38" t="n"/>
      <c r="I154" s="38" t="n"/>
      <c r="J154" s="50">
        <f>IF(C154="","",IF(OR(E154="Received",E154="Declined"),"",AsOf-C154))</f>
        <v/>
      </c>
      <c r="K154" s="49">
        <f>IF(A154="","",IF(AND(E154="Received",H154&lt;&gt;"Yes"),"Reply to review",IF(N(J154)&gt;=ReviewWait,IF(E154="Reminder sent","Close out","Send reminder"),"—")))</f>
        <v/>
      </c>
      <c r="L154" s="51">
        <f>IF(F154="","",DATE(YEAR(F154),MONTH(F154),1))</f>
        <v/>
      </c>
      <c r="M154" s="51">
        <f>IF(C154="","",DATE(YEAR(C154),MONTH(C154),1))</f>
        <v/>
      </c>
    </row>
    <row r="155">
      <c r="A155" s="38" t="n"/>
      <c r="B155" s="38" t="n"/>
      <c r="C155" s="47" t="n"/>
      <c r="D155" s="38" t="n"/>
      <c r="E155" s="38" t="n"/>
      <c r="F155" s="47" t="n"/>
      <c r="G155" s="57" t="n"/>
      <c r="H155" s="38" t="n"/>
      <c r="I155" s="38" t="n"/>
      <c r="J155" s="50">
        <f>IF(C155="","",IF(OR(E155="Received",E155="Declined"),"",AsOf-C155))</f>
        <v/>
      </c>
      <c r="K155" s="49">
        <f>IF(A155="","",IF(AND(E155="Received",H155&lt;&gt;"Yes"),"Reply to review",IF(N(J155)&gt;=ReviewWait,IF(E155="Reminder sent","Close out","Send reminder"),"—")))</f>
        <v/>
      </c>
      <c r="L155" s="51">
        <f>IF(F155="","",DATE(YEAR(F155),MONTH(F155),1))</f>
        <v/>
      </c>
      <c r="M155" s="51">
        <f>IF(C155="","",DATE(YEAR(C155),MONTH(C155),1))</f>
        <v/>
      </c>
    </row>
    <row r="156">
      <c r="A156" s="38" t="n"/>
      <c r="B156" s="38" t="n"/>
      <c r="C156" s="47" t="n"/>
      <c r="D156" s="38" t="n"/>
      <c r="E156" s="38" t="n"/>
      <c r="F156" s="47" t="n"/>
      <c r="G156" s="57" t="n"/>
      <c r="H156" s="38" t="n"/>
      <c r="I156" s="38" t="n"/>
      <c r="J156" s="50">
        <f>IF(C156="","",IF(OR(E156="Received",E156="Declined"),"",AsOf-C156))</f>
        <v/>
      </c>
      <c r="K156" s="49">
        <f>IF(A156="","",IF(AND(E156="Received",H156&lt;&gt;"Yes"),"Reply to review",IF(N(J156)&gt;=ReviewWait,IF(E156="Reminder sent","Close out","Send reminder"),"—")))</f>
        <v/>
      </c>
      <c r="L156" s="51">
        <f>IF(F156="","",DATE(YEAR(F156),MONTH(F156),1))</f>
        <v/>
      </c>
      <c r="M156" s="51">
        <f>IF(C156="","",DATE(YEAR(C156),MONTH(C156),1))</f>
        <v/>
      </c>
    </row>
    <row r="157">
      <c r="A157" s="38" t="n"/>
      <c r="B157" s="38" t="n"/>
      <c r="C157" s="47" t="n"/>
      <c r="D157" s="38" t="n"/>
      <c r="E157" s="38" t="n"/>
      <c r="F157" s="47" t="n"/>
      <c r="G157" s="57" t="n"/>
      <c r="H157" s="38" t="n"/>
      <c r="I157" s="38" t="n"/>
      <c r="J157" s="50">
        <f>IF(C157="","",IF(OR(E157="Received",E157="Declined"),"",AsOf-C157))</f>
        <v/>
      </c>
      <c r="K157" s="49">
        <f>IF(A157="","",IF(AND(E157="Received",H157&lt;&gt;"Yes"),"Reply to review",IF(N(J157)&gt;=ReviewWait,IF(E157="Reminder sent","Close out","Send reminder"),"—")))</f>
        <v/>
      </c>
      <c r="L157" s="51">
        <f>IF(F157="","",DATE(YEAR(F157),MONTH(F157),1))</f>
        <v/>
      </c>
      <c r="M157" s="51">
        <f>IF(C157="","",DATE(YEAR(C157),MONTH(C157),1))</f>
        <v/>
      </c>
    </row>
    <row r="158">
      <c r="A158" s="38" t="n"/>
      <c r="B158" s="38" t="n"/>
      <c r="C158" s="47" t="n"/>
      <c r="D158" s="38" t="n"/>
      <c r="E158" s="38" t="n"/>
      <c r="F158" s="47" t="n"/>
      <c r="G158" s="57" t="n"/>
      <c r="H158" s="38" t="n"/>
      <c r="I158" s="38" t="n"/>
      <c r="J158" s="50">
        <f>IF(C158="","",IF(OR(E158="Received",E158="Declined"),"",AsOf-C158))</f>
        <v/>
      </c>
      <c r="K158" s="49">
        <f>IF(A158="","",IF(AND(E158="Received",H158&lt;&gt;"Yes"),"Reply to review",IF(N(J158)&gt;=ReviewWait,IF(E158="Reminder sent","Close out","Send reminder"),"—")))</f>
        <v/>
      </c>
      <c r="L158" s="51">
        <f>IF(F158="","",DATE(YEAR(F158),MONTH(F158),1))</f>
        <v/>
      </c>
      <c r="M158" s="51">
        <f>IF(C158="","",DATE(YEAR(C158),MONTH(C158),1))</f>
        <v/>
      </c>
    </row>
    <row r="159">
      <c r="A159" s="38" t="n"/>
      <c r="B159" s="38" t="n"/>
      <c r="C159" s="47" t="n"/>
      <c r="D159" s="38" t="n"/>
      <c r="E159" s="38" t="n"/>
      <c r="F159" s="47" t="n"/>
      <c r="G159" s="57" t="n"/>
      <c r="H159" s="38" t="n"/>
      <c r="I159" s="38" t="n"/>
      <c r="J159" s="50">
        <f>IF(C159="","",IF(OR(E159="Received",E159="Declined"),"",AsOf-C159))</f>
        <v/>
      </c>
      <c r="K159" s="49">
        <f>IF(A159="","",IF(AND(E159="Received",H159&lt;&gt;"Yes"),"Reply to review",IF(N(J159)&gt;=ReviewWait,IF(E159="Reminder sent","Close out","Send reminder"),"—")))</f>
        <v/>
      </c>
      <c r="L159" s="51">
        <f>IF(F159="","",DATE(YEAR(F159),MONTH(F159),1))</f>
        <v/>
      </c>
      <c r="M159" s="51">
        <f>IF(C159="","",DATE(YEAR(C159),MONTH(C159),1))</f>
        <v/>
      </c>
    </row>
    <row r="160">
      <c r="A160" s="38" t="n"/>
      <c r="B160" s="38" t="n"/>
      <c r="C160" s="47" t="n"/>
      <c r="D160" s="38" t="n"/>
      <c r="E160" s="38" t="n"/>
      <c r="F160" s="47" t="n"/>
      <c r="G160" s="57" t="n"/>
      <c r="H160" s="38" t="n"/>
      <c r="I160" s="38" t="n"/>
      <c r="J160" s="50">
        <f>IF(C160="","",IF(OR(E160="Received",E160="Declined"),"",AsOf-C160))</f>
        <v/>
      </c>
      <c r="K160" s="49">
        <f>IF(A160="","",IF(AND(E160="Received",H160&lt;&gt;"Yes"),"Reply to review",IF(N(J160)&gt;=ReviewWait,IF(E160="Reminder sent","Close out","Send reminder"),"—")))</f>
        <v/>
      </c>
      <c r="L160" s="51">
        <f>IF(F160="","",DATE(YEAR(F160),MONTH(F160),1))</f>
        <v/>
      </c>
      <c r="M160" s="51">
        <f>IF(C160="","",DATE(YEAR(C160),MONTH(C160),1))</f>
        <v/>
      </c>
    </row>
    <row r="161">
      <c r="A161" s="38" t="n"/>
      <c r="B161" s="38" t="n"/>
      <c r="C161" s="47" t="n"/>
      <c r="D161" s="38" t="n"/>
      <c r="E161" s="38" t="n"/>
      <c r="F161" s="47" t="n"/>
      <c r="G161" s="57" t="n"/>
      <c r="H161" s="38" t="n"/>
      <c r="I161" s="38" t="n"/>
      <c r="J161" s="50">
        <f>IF(C161="","",IF(OR(E161="Received",E161="Declined"),"",AsOf-C161))</f>
        <v/>
      </c>
      <c r="K161" s="49">
        <f>IF(A161="","",IF(AND(E161="Received",H161&lt;&gt;"Yes"),"Reply to review",IF(N(J161)&gt;=ReviewWait,IF(E161="Reminder sent","Close out","Send reminder"),"—")))</f>
        <v/>
      </c>
      <c r="L161" s="51">
        <f>IF(F161="","",DATE(YEAR(F161),MONTH(F161),1))</f>
        <v/>
      </c>
      <c r="M161" s="51">
        <f>IF(C161="","",DATE(YEAR(C161),MONTH(C161),1))</f>
        <v/>
      </c>
    </row>
    <row r="162">
      <c r="A162" s="38" t="n"/>
      <c r="B162" s="38" t="n"/>
      <c r="C162" s="47" t="n"/>
      <c r="D162" s="38" t="n"/>
      <c r="E162" s="38" t="n"/>
      <c r="F162" s="47" t="n"/>
      <c r="G162" s="57" t="n"/>
      <c r="H162" s="38" t="n"/>
      <c r="I162" s="38" t="n"/>
      <c r="J162" s="50">
        <f>IF(C162="","",IF(OR(E162="Received",E162="Declined"),"",AsOf-C162))</f>
        <v/>
      </c>
      <c r="K162" s="49">
        <f>IF(A162="","",IF(AND(E162="Received",H162&lt;&gt;"Yes"),"Reply to review",IF(N(J162)&gt;=ReviewWait,IF(E162="Reminder sent","Close out","Send reminder"),"—")))</f>
        <v/>
      </c>
      <c r="L162" s="51">
        <f>IF(F162="","",DATE(YEAR(F162),MONTH(F162),1))</f>
        <v/>
      </c>
      <c r="M162" s="51">
        <f>IF(C162="","",DATE(YEAR(C162),MONTH(C162),1))</f>
        <v/>
      </c>
    </row>
    <row r="163">
      <c r="A163" s="38" t="n"/>
      <c r="B163" s="38" t="n"/>
      <c r="C163" s="47" t="n"/>
      <c r="D163" s="38" t="n"/>
      <c r="E163" s="38" t="n"/>
      <c r="F163" s="47" t="n"/>
      <c r="G163" s="57" t="n"/>
      <c r="H163" s="38" t="n"/>
      <c r="I163" s="38" t="n"/>
      <c r="J163" s="50">
        <f>IF(C163="","",IF(OR(E163="Received",E163="Declined"),"",AsOf-C163))</f>
        <v/>
      </c>
      <c r="K163" s="49">
        <f>IF(A163="","",IF(AND(E163="Received",H163&lt;&gt;"Yes"),"Reply to review",IF(N(J163)&gt;=ReviewWait,IF(E163="Reminder sent","Close out","Send reminder"),"—")))</f>
        <v/>
      </c>
      <c r="L163" s="51">
        <f>IF(F163="","",DATE(YEAR(F163),MONTH(F163),1))</f>
        <v/>
      </c>
      <c r="M163" s="51">
        <f>IF(C163="","",DATE(YEAR(C163),MONTH(C163),1))</f>
        <v/>
      </c>
    </row>
    <row r="164">
      <c r="A164" s="38" t="n"/>
      <c r="B164" s="38" t="n"/>
      <c r="C164" s="47" t="n"/>
      <c r="D164" s="38" t="n"/>
      <c r="E164" s="38" t="n"/>
      <c r="F164" s="47" t="n"/>
      <c r="G164" s="57" t="n"/>
      <c r="H164" s="38" t="n"/>
      <c r="I164" s="38" t="n"/>
      <c r="J164" s="50">
        <f>IF(C164="","",IF(OR(E164="Received",E164="Declined"),"",AsOf-C164))</f>
        <v/>
      </c>
      <c r="K164" s="49">
        <f>IF(A164="","",IF(AND(E164="Received",H164&lt;&gt;"Yes"),"Reply to review",IF(N(J164)&gt;=ReviewWait,IF(E164="Reminder sent","Close out","Send reminder"),"—")))</f>
        <v/>
      </c>
      <c r="L164" s="51">
        <f>IF(F164="","",DATE(YEAR(F164),MONTH(F164),1))</f>
        <v/>
      </c>
      <c r="M164" s="51">
        <f>IF(C164="","",DATE(YEAR(C164),MONTH(C164),1))</f>
        <v/>
      </c>
    </row>
    <row r="165">
      <c r="A165" s="38" t="n"/>
      <c r="B165" s="38" t="n"/>
      <c r="C165" s="47" t="n"/>
      <c r="D165" s="38" t="n"/>
      <c r="E165" s="38" t="n"/>
      <c r="F165" s="47" t="n"/>
      <c r="G165" s="57" t="n"/>
      <c r="H165" s="38" t="n"/>
      <c r="I165" s="38" t="n"/>
      <c r="J165" s="50">
        <f>IF(C165="","",IF(OR(E165="Received",E165="Declined"),"",AsOf-C165))</f>
        <v/>
      </c>
      <c r="K165" s="49">
        <f>IF(A165="","",IF(AND(E165="Received",H165&lt;&gt;"Yes"),"Reply to review",IF(N(J165)&gt;=ReviewWait,IF(E165="Reminder sent","Close out","Send reminder"),"—")))</f>
        <v/>
      </c>
      <c r="L165" s="51">
        <f>IF(F165="","",DATE(YEAR(F165),MONTH(F165),1))</f>
        <v/>
      </c>
      <c r="M165" s="51">
        <f>IF(C165="","",DATE(YEAR(C165),MONTH(C165),1))</f>
        <v/>
      </c>
    </row>
    <row r="166">
      <c r="A166" s="38" t="n"/>
      <c r="B166" s="38" t="n"/>
      <c r="C166" s="47" t="n"/>
      <c r="D166" s="38" t="n"/>
      <c r="E166" s="38" t="n"/>
      <c r="F166" s="47" t="n"/>
      <c r="G166" s="57" t="n"/>
      <c r="H166" s="38" t="n"/>
      <c r="I166" s="38" t="n"/>
      <c r="J166" s="50">
        <f>IF(C166="","",IF(OR(E166="Received",E166="Declined"),"",AsOf-C166))</f>
        <v/>
      </c>
      <c r="K166" s="49">
        <f>IF(A166="","",IF(AND(E166="Received",H166&lt;&gt;"Yes"),"Reply to review",IF(N(J166)&gt;=ReviewWait,IF(E166="Reminder sent","Close out","Send reminder"),"—")))</f>
        <v/>
      </c>
      <c r="L166" s="51">
        <f>IF(F166="","",DATE(YEAR(F166),MONTH(F166),1))</f>
        <v/>
      </c>
      <c r="M166" s="51">
        <f>IF(C166="","",DATE(YEAR(C166),MONTH(C166),1))</f>
        <v/>
      </c>
    </row>
    <row r="167">
      <c r="A167" s="38" t="n"/>
      <c r="B167" s="38" t="n"/>
      <c r="C167" s="47" t="n"/>
      <c r="D167" s="38" t="n"/>
      <c r="E167" s="38" t="n"/>
      <c r="F167" s="47" t="n"/>
      <c r="G167" s="57" t="n"/>
      <c r="H167" s="38" t="n"/>
      <c r="I167" s="38" t="n"/>
      <c r="J167" s="50">
        <f>IF(C167="","",IF(OR(E167="Received",E167="Declined"),"",AsOf-C167))</f>
        <v/>
      </c>
      <c r="K167" s="49">
        <f>IF(A167="","",IF(AND(E167="Received",H167&lt;&gt;"Yes"),"Reply to review",IF(N(J167)&gt;=ReviewWait,IF(E167="Reminder sent","Close out","Send reminder"),"—")))</f>
        <v/>
      </c>
      <c r="L167" s="51">
        <f>IF(F167="","",DATE(YEAR(F167),MONTH(F167),1))</f>
        <v/>
      </c>
      <c r="M167" s="51">
        <f>IF(C167="","",DATE(YEAR(C167),MONTH(C167),1))</f>
        <v/>
      </c>
    </row>
    <row r="168">
      <c r="A168" s="38" t="n"/>
      <c r="B168" s="38" t="n"/>
      <c r="C168" s="47" t="n"/>
      <c r="D168" s="38" t="n"/>
      <c r="E168" s="38" t="n"/>
      <c r="F168" s="47" t="n"/>
      <c r="G168" s="57" t="n"/>
      <c r="H168" s="38" t="n"/>
      <c r="I168" s="38" t="n"/>
      <c r="J168" s="50">
        <f>IF(C168="","",IF(OR(E168="Received",E168="Declined"),"",AsOf-C168))</f>
        <v/>
      </c>
      <c r="K168" s="49">
        <f>IF(A168="","",IF(AND(E168="Received",H168&lt;&gt;"Yes"),"Reply to review",IF(N(J168)&gt;=ReviewWait,IF(E168="Reminder sent","Close out","Send reminder"),"—")))</f>
        <v/>
      </c>
      <c r="L168" s="51">
        <f>IF(F168="","",DATE(YEAR(F168),MONTH(F168),1))</f>
        <v/>
      </c>
      <c r="M168" s="51">
        <f>IF(C168="","",DATE(YEAR(C168),MONTH(C168),1))</f>
        <v/>
      </c>
    </row>
    <row r="169">
      <c r="A169" s="38" t="n"/>
      <c r="B169" s="38" t="n"/>
      <c r="C169" s="47" t="n"/>
      <c r="D169" s="38" t="n"/>
      <c r="E169" s="38" t="n"/>
      <c r="F169" s="47" t="n"/>
      <c r="G169" s="57" t="n"/>
      <c r="H169" s="38" t="n"/>
      <c r="I169" s="38" t="n"/>
      <c r="J169" s="50">
        <f>IF(C169="","",IF(OR(E169="Received",E169="Declined"),"",AsOf-C169))</f>
        <v/>
      </c>
      <c r="K169" s="49">
        <f>IF(A169="","",IF(AND(E169="Received",H169&lt;&gt;"Yes"),"Reply to review",IF(N(J169)&gt;=ReviewWait,IF(E169="Reminder sent","Close out","Send reminder"),"—")))</f>
        <v/>
      </c>
      <c r="L169" s="51">
        <f>IF(F169="","",DATE(YEAR(F169),MONTH(F169),1))</f>
        <v/>
      </c>
      <c r="M169" s="51">
        <f>IF(C169="","",DATE(YEAR(C169),MONTH(C169),1))</f>
        <v/>
      </c>
    </row>
    <row r="170">
      <c r="A170" s="38" t="n"/>
      <c r="B170" s="38" t="n"/>
      <c r="C170" s="47" t="n"/>
      <c r="D170" s="38" t="n"/>
      <c r="E170" s="38" t="n"/>
      <c r="F170" s="47" t="n"/>
      <c r="G170" s="57" t="n"/>
      <c r="H170" s="38" t="n"/>
      <c r="I170" s="38" t="n"/>
      <c r="J170" s="50">
        <f>IF(C170="","",IF(OR(E170="Received",E170="Declined"),"",AsOf-C170))</f>
        <v/>
      </c>
      <c r="K170" s="49">
        <f>IF(A170="","",IF(AND(E170="Received",H170&lt;&gt;"Yes"),"Reply to review",IF(N(J170)&gt;=ReviewWait,IF(E170="Reminder sent","Close out","Send reminder"),"—")))</f>
        <v/>
      </c>
      <c r="L170" s="51">
        <f>IF(F170="","",DATE(YEAR(F170),MONTH(F170),1))</f>
        <v/>
      </c>
      <c r="M170" s="51">
        <f>IF(C170="","",DATE(YEAR(C170),MONTH(C170),1))</f>
        <v/>
      </c>
    </row>
    <row r="171">
      <c r="A171" s="38" t="n"/>
      <c r="B171" s="38" t="n"/>
      <c r="C171" s="47" t="n"/>
      <c r="D171" s="38" t="n"/>
      <c r="E171" s="38" t="n"/>
      <c r="F171" s="47" t="n"/>
      <c r="G171" s="57" t="n"/>
      <c r="H171" s="38" t="n"/>
      <c r="I171" s="38" t="n"/>
      <c r="J171" s="50">
        <f>IF(C171="","",IF(OR(E171="Received",E171="Declined"),"",AsOf-C171))</f>
        <v/>
      </c>
      <c r="K171" s="49">
        <f>IF(A171="","",IF(AND(E171="Received",H171&lt;&gt;"Yes"),"Reply to review",IF(N(J171)&gt;=ReviewWait,IF(E171="Reminder sent","Close out","Send reminder"),"—")))</f>
        <v/>
      </c>
      <c r="L171" s="51">
        <f>IF(F171="","",DATE(YEAR(F171),MONTH(F171),1))</f>
        <v/>
      </c>
      <c r="M171" s="51">
        <f>IF(C171="","",DATE(YEAR(C171),MONTH(C171),1))</f>
        <v/>
      </c>
    </row>
    <row r="172">
      <c r="A172" s="38" t="n"/>
      <c r="B172" s="38" t="n"/>
      <c r="C172" s="47" t="n"/>
      <c r="D172" s="38" t="n"/>
      <c r="E172" s="38" t="n"/>
      <c r="F172" s="47" t="n"/>
      <c r="G172" s="57" t="n"/>
      <c r="H172" s="38" t="n"/>
      <c r="I172" s="38" t="n"/>
      <c r="J172" s="50">
        <f>IF(C172="","",IF(OR(E172="Received",E172="Declined"),"",AsOf-C172))</f>
        <v/>
      </c>
      <c r="K172" s="49">
        <f>IF(A172="","",IF(AND(E172="Received",H172&lt;&gt;"Yes"),"Reply to review",IF(N(J172)&gt;=ReviewWait,IF(E172="Reminder sent","Close out","Send reminder"),"—")))</f>
        <v/>
      </c>
      <c r="L172" s="51">
        <f>IF(F172="","",DATE(YEAR(F172),MONTH(F172),1))</f>
        <v/>
      </c>
      <c r="M172" s="51">
        <f>IF(C172="","",DATE(YEAR(C172),MONTH(C172),1))</f>
        <v/>
      </c>
    </row>
    <row r="173">
      <c r="A173" s="38" t="n"/>
      <c r="B173" s="38" t="n"/>
      <c r="C173" s="47" t="n"/>
      <c r="D173" s="38" t="n"/>
      <c r="E173" s="38" t="n"/>
      <c r="F173" s="47" t="n"/>
      <c r="G173" s="57" t="n"/>
      <c r="H173" s="38" t="n"/>
      <c r="I173" s="38" t="n"/>
      <c r="J173" s="50">
        <f>IF(C173="","",IF(OR(E173="Received",E173="Declined"),"",AsOf-C173))</f>
        <v/>
      </c>
      <c r="K173" s="49">
        <f>IF(A173="","",IF(AND(E173="Received",H173&lt;&gt;"Yes"),"Reply to review",IF(N(J173)&gt;=ReviewWait,IF(E173="Reminder sent","Close out","Send reminder"),"—")))</f>
        <v/>
      </c>
      <c r="L173" s="51">
        <f>IF(F173="","",DATE(YEAR(F173),MONTH(F173),1))</f>
        <v/>
      </c>
      <c r="M173" s="51">
        <f>IF(C173="","",DATE(YEAR(C173),MONTH(C173),1))</f>
        <v/>
      </c>
    </row>
    <row r="174">
      <c r="A174" s="38" t="n"/>
      <c r="B174" s="38" t="n"/>
      <c r="C174" s="47" t="n"/>
      <c r="D174" s="38" t="n"/>
      <c r="E174" s="38" t="n"/>
      <c r="F174" s="47" t="n"/>
      <c r="G174" s="57" t="n"/>
      <c r="H174" s="38" t="n"/>
      <c r="I174" s="38" t="n"/>
      <c r="J174" s="50">
        <f>IF(C174="","",IF(OR(E174="Received",E174="Declined"),"",AsOf-C174))</f>
        <v/>
      </c>
      <c r="K174" s="49">
        <f>IF(A174="","",IF(AND(E174="Received",H174&lt;&gt;"Yes"),"Reply to review",IF(N(J174)&gt;=ReviewWait,IF(E174="Reminder sent","Close out","Send reminder"),"—")))</f>
        <v/>
      </c>
      <c r="L174" s="51">
        <f>IF(F174="","",DATE(YEAR(F174),MONTH(F174),1))</f>
        <v/>
      </c>
      <c r="M174" s="51">
        <f>IF(C174="","",DATE(YEAR(C174),MONTH(C174),1))</f>
        <v/>
      </c>
    </row>
    <row r="175">
      <c r="A175" s="38" t="n"/>
      <c r="B175" s="38" t="n"/>
      <c r="C175" s="47" t="n"/>
      <c r="D175" s="38" t="n"/>
      <c r="E175" s="38" t="n"/>
      <c r="F175" s="47" t="n"/>
      <c r="G175" s="57" t="n"/>
      <c r="H175" s="38" t="n"/>
      <c r="I175" s="38" t="n"/>
      <c r="J175" s="50">
        <f>IF(C175="","",IF(OR(E175="Received",E175="Declined"),"",AsOf-C175))</f>
        <v/>
      </c>
      <c r="K175" s="49">
        <f>IF(A175="","",IF(AND(E175="Received",H175&lt;&gt;"Yes"),"Reply to review",IF(N(J175)&gt;=ReviewWait,IF(E175="Reminder sent","Close out","Send reminder"),"—")))</f>
        <v/>
      </c>
      <c r="L175" s="51">
        <f>IF(F175="","",DATE(YEAR(F175),MONTH(F175),1))</f>
        <v/>
      </c>
      <c r="M175" s="51">
        <f>IF(C175="","",DATE(YEAR(C175),MONTH(C175),1))</f>
        <v/>
      </c>
    </row>
    <row r="176">
      <c r="A176" s="38" t="n"/>
      <c r="B176" s="38" t="n"/>
      <c r="C176" s="47" t="n"/>
      <c r="D176" s="38" t="n"/>
      <c r="E176" s="38" t="n"/>
      <c r="F176" s="47" t="n"/>
      <c r="G176" s="57" t="n"/>
      <c r="H176" s="38" t="n"/>
      <c r="I176" s="38" t="n"/>
      <c r="J176" s="50">
        <f>IF(C176="","",IF(OR(E176="Received",E176="Declined"),"",AsOf-C176))</f>
        <v/>
      </c>
      <c r="K176" s="49">
        <f>IF(A176="","",IF(AND(E176="Received",H176&lt;&gt;"Yes"),"Reply to review",IF(N(J176)&gt;=ReviewWait,IF(E176="Reminder sent","Close out","Send reminder"),"—")))</f>
        <v/>
      </c>
      <c r="L176" s="51">
        <f>IF(F176="","",DATE(YEAR(F176),MONTH(F176),1))</f>
        <v/>
      </c>
      <c r="M176" s="51">
        <f>IF(C176="","",DATE(YEAR(C176),MONTH(C176),1))</f>
        <v/>
      </c>
    </row>
    <row r="177">
      <c r="A177" s="38" t="n"/>
      <c r="B177" s="38" t="n"/>
      <c r="C177" s="47" t="n"/>
      <c r="D177" s="38" t="n"/>
      <c r="E177" s="38" t="n"/>
      <c r="F177" s="47" t="n"/>
      <c r="G177" s="57" t="n"/>
      <c r="H177" s="38" t="n"/>
      <c r="I177" s="38" t="n"/>
      <c r="J177" s="50">
        <f>IF(C177="","",IF(OR(E177="Received",E177="Declined"),"",AsOf-C177))</f>
        <v/>
      </c>
      <c r="K177" s="49">
        <f>IF(A177="","",IF(AND(E177="Received",H177&lt;&gt;"Yes"),"Reply to review",IF(N(J177)&gt;=ReviewWait,IF(E177="Reminder sent","Close out","Send reminder"),"—")))</f>
        <v/>
      </c>
      <c r="L177" s="51">
        <f>IF(F177="","",DATE(YEAR(F177),MONTH(F177),1))</f>
        <v/>
      </c>
      <c r="M177" s="51">
        <f>IF(C177="","",DATE(YEAR(C177),MONTH(C177),1))</f>
        <v/>
      </c>
    </row>
    <row r="178">
      <c r="A178" s="38" t="n"/>
      <c r="B178" s="38" t="n"/>
      <c r="C178" s="47" t="n"/>
      <c r="D178" s="38" t="n"/>
      <c r="E178" s="38" t="n"/>
      <c r="F178" s="47" t="n"/>
      <c r="G178" s="57" t="n"/>
      <c r="H178" s="38" t="n"/>
      <c r="I178" s="38" t="n"/>
      <c r="J178" s="50">
        <f>IF(C178="","",IF(OR(E178="Received",E178="Declined"),"",AsOf-C178))</f>
        <v/>
      </c>
      <c r="K178" s="49">
        <f>IF(A178="","",IF(AND(E178="Received",H178&lt;&gt;"Yes"),"Reply to review",IF(N(J178)&gt;=ReviewWait,IF(E178="Reminder sent","Close out","Send reminder"),"—")))</f>
        <v/>
      </c>
      <c r="L178" s="51">
        <f>IF(F178="","",DATE(YEAR(F178),MONTH(F178),1))</f>
        <v/>
      </c>
      <c r="M178" s="51">
        <f>IF(C178="","",DATE(YEAR(C178),MONTH(C178),1))</f>
        <v/>
      </c>
    </row>
    <row r="179">
      <c r="A179" s="38" t="n"/>
      <c r="B179" s="38" t="n"/>
      <c r="C179" s="47" t="n"/>
      <c r="D179" s="38" t="n"/>
      <c r="E179" s="38" t="n"/>
      <c r="F179" s="47" t="n"/>
      <c r="G179" s="57" t="n"/>
      <c r="H179" s="38" t="n"/>
      <c r="I179" s="38" t="n"/>
      <c r="J179" s="50">
        <f>IF(C179="","",IF(OR(E179="Received",E179="Declined"),"",AsOf-C179))</f>
        <v/>
      </c>
      <c r="K179" s="49">
        <f>IF(A179="","",IF(AND(E179="Received",H179&lt;&gt;"Yes"),"Reply to review",IF(N(J179)&gt;=ReviewWait,IF(E179="Reminder sent","Close out","Send reminder"),"—")))</f>
        <v/>
      </c>
      <c r="L179" s="51">
        <f>IF(F179="","",DATE(YEAR(F179),MONTH(F179),1))</f>
        <v/>
      </c>
      <c r="M179" s="51">
        <f>IF(C179="","",DATE(YEAR(C179),MONTH(C179),1))</f>
        <v/>
      </c>
    </row>
    <row r="180">
      <c r="A180" s="38" t="n"/>
      <c r="B180" s="38" t="n"/>
      <c r="C180" s="47" t="n"/>
      <c r="D180" s="38" t="n"/>
      <c r="E180" s="38" t="n"/>
      <c r="F180" s="47" t="n"/>
      <c r="G180" s="57" t="n"/>
      <c r="H180" s="38" t="n"/>
      <c r="I180" s="38" t="n"/>
      <c r="J180" s="50">
        <f>IF(C180="","",IF(OR(E180="Received",E180="Declined"),"",AsOf-C180))</f>
        <v/>
      </c>
      <c r="K180" s="49">
        <f>IF(A180="","",IF(AND(E180="Received",H180&lt;&gt;"Yes"),"Reply to review",IF(N(J180)&gt;=ReviewWait,IF(E180="Reminder sent","Close out","Send reminder"),"—")))</f>
        <v/>
      </c>
      <c r="L180" s="51">
        <f>IF(F180="","",DATE(YEAR(F180),MONTH(F180),1))</f>
        <v/>
      </c>
      <c r="M180" s="51">
        <f>IF(C180="","",DATE(YEAR(C180),MONTH(C180),1))</f>
        <v/>
      </c>
    </row>
    <row r="181">
      <c r="A181" s="38" t="n"/>
      <c r="B181" s="38" t="n"/>
      <c r="C181" s="47" t="n"/>
      <c r="D181" s="38" t="n"/>
      <c r="E181" s="38" t="n"/>
      <c r="F181" s="47" t="n"/>
      <c r="G181" s="57" t="n"/>
      <c r="H181" s="38" t="n"/>
      <c r="I181" s="38" t="n"/>
      <c r="J181" s="50">
        <f>IF(C181="","",IF(OR(E181="Received",E181="Declined"),"",AsOf-C181))</f>
        <v/>
      </c>
      <c r="K181" s="49">
        <f>IF(A181="","",IF(AND(E181="Received",H181&lt;&gt;"Yes"),"Reply to review",IF(N(J181)&gt;=ReviewWait,IF(E181="Reminder sent","Close out","Send reminder"),"—")))</f>
        <v/>
      </c>
      <c r="L181" s="51">
        <f>IF(F181="","",DATE(YEAR(F181),MONTH(F181),1))</f>
        <v/>
      </c>
      <c r="M181" s="51">
        <f>IF(C181="","",DATE(YEAR(C181),MONTH(C181),1))</f>
        <v/>
      </c>
    </row>
    <row r="182">
      <c r="A182" s="38" t="n"/>
      <c r="B182" s="38" t="n"/>
      <c r="C182" s="47" t="n"/>
      <c r="D182" s="38" t="n"/>
      <c r="E182" s="38" t="n"/>
      <c r="F182" s="47" t="n"/>
      <c r="G182" s="57" t="n"/>
      <c r="H182" s="38" t="n"/>
      <c r="I182" s="38" t="n"/>
      <c r="J182" s="50">
        <f>IF(C182="","",IF(OR(E182="Received",E182="Declined"),"",AsOf-C182))</f>
        <v/>
      </c>
      <c r="K182" s="49">
        <f>IF(A182="","",IF(AND(E182="Received",H182&lt;&gt;"Yes"),"Reply to review",IF(N(J182)&gt;=ReviewWait,IF(E182="Reminder sent","Close out","Send reminder"),"—")))</f>
        <v/>
      </c>
      <c r="L182" s="51">
        <f>IF(F182="","",DATE(YEAR(F182),MONTH(F182),1))</f>
        <v/>
      </c>
      <c r="M182" s="51">
        <f>IF(C182="","",DATE(YEAR(C182),MONTH(C182),1))</f>
        <v/>
      </c>
    </row>
    <row r="183">
      <c r="A183" s="38" t="n"/>
      <c r="B183" s="38" t="n"/>
      <c r="C183" s="47" t="n"/>
      <c r="D183" s="38" t="n"/>
      <c r="E183" s="38" t="n"/>
      <c r="F183" s="47" t="n"/>
      <c r="G183" s="57" t="n"/>
      <c r="H183" s="38" t="n"/>
      <c r="I183" s="38" t="n"/>
      <c r="J183" s="50">
        <f>IF(C183="","",IF(OR(E183="Received",E183="Declined"),"",AsOf-C183))</f>
        <v/>
      </c>
      <c r="K183" s="49">
        <f>IF(A183="","",IF(AND(E183="Received",H183&lt;&gt;"Yes"),"Reply to review",IF(N(J183)&gt;=ReviewWait,IF(E183="Reminder sent","Close out","Send reminder"),"—")))</f>
        <v/>
      </c>
      <c r="L183" s="51">
        <f>IF(F183="","",DATE(YEAR(F183),MONTH(F183),1))</f>
        <v/>
      </c>
      <c r="M183" s="51">
        <f>IF(C183="","",DATE(YEAR(C183),MONTH(C183),1))</f>
        <v/>
      </c>
    </row>
    <row r="184">
      <c r="A184" s="38" t="n"/>
      <c r="B184" s="38" t="n"/>
      <c r="C184" s="47" t="n"/>
      <c r="D184" s="38" t="n"/>
      <c r="E184" s="38" t="n"/>
      <c r="F184" s="47" t="n"/>
      <c r="G184" s="57" t="n"/>
      <c r="H184" s="38" t="n"/>
      <c r="I184" s="38" t="n"/>
      <c r="J184" s="50">
        <f>IF(C184="","",IF(OR(E184="Received",E184="Declined"),"",AsOf-C184))</f>
        <v/>
      </c>
      <c r="K184" s="49">
        <f>IF(A184="","",IF(AND(E184="Received",H184&lt;&gt;"Yes"),"Reply to review",IF(N(J184)&gt;=ReviewWait,IF(E184="Reminder sent","Close out","Send reminder"),"—")))</f>
        <v/>
      </c>
      <c r="L184" s="51">
        <f>IF(F184="","",DATE(YEAR(F184),MONTH(F184),1))</f>
        <v/>
      </c>
      <c r="M184" s="51">
        <f>IF(C184="","",DATE(YEAR(C184),MONTH(C184),1))</f>
        <v/>
      </c>
    </row>
    <row r="185">
      <c r="A185" s="38" t="n"/>
      <c r="B185" s="38" t="n"/>
      <c r="C185" s="47" t="n"/>
      <c r="D185" s="38" t="n"/>
      <c r="E185" s="38" t="n"/>
      <c r="F185" s="47" t="n"/>
      <c r="G185" s="57" t="n"/>
      <c r="H185" s="38" t="n"/>
      <c r="I185" s="38" t="n"/>
      <c r="J185" s="50">
        <f>IF(C185="","",IF(OR(E185="Received",E185="Declined"),"",AsOf-C185))</f>
        <v/>
      </c>
      <c r="K185" s="49">
        <f>IF(A185="","",IF(AND(E185="Received",H185&lt;&gt;"Yes"),"Reply to review",IF(N(J185)&gt;=ReviewWait,IF(E185="Reminder sent","Close out","Send reminder"),"—")))</f>
        <v/>
      </c>
      <c r="L185" s="51">
        <f>IF(F185="","",DATE(YEAR(F185),MONTH(F185),1))</f>
        <v/>
      </c>
      <c r="M185" s="51">
        <f>IF(C185="","",DATE(YEAR(C185),MONTH(C185),1))</f>
        <v/>
      </c>
    </row>
    <row r="186">
      <c r="A186" s="38" t="n"/>
      <c r="B186" s="38" t="n"/>
      <c r="C186" s="47" t="n"/>
      <c r="D186" s="38" t="n"/>
      <c r="E186" s="38" t="n"/>
      <c r="F186" s="47" t="n"/>
      <c r="G186" s="57" t="n"/>
      <c r="H186" s="38" t="n"/>
      <c r="I186" s="38" t="n"/>
      <c r="J186" s="50">
        <f>IF(C186="","",IF(OR(E186="Received",E186="Declined"),"",AsOf-C186))</f>
        <v/>
      </c>
      <c r="K186" s="49">
        <f>IF(A186="","",IF(AND(E186="Received",H186&lt;&gt;"Yes"),"Reply to review",IF(N(J186)&gt;=ReviewWait,IF(E186="Reminder sent","Close out","Send reminder"),"—")))</f>
        <v/>
      </c>
      <c r="L186" s="51">
        <f>IF(F186="","",DATE(YEAR(F186),MONTH(F186),1))</f>
        <v/>
      </c>
      <c r="M186" s="51">
        <f>IF(C186="","",DATE(YEAR(C186),MONTH(C186),1))</f>
        <v/>
      </c>
    </row>
    <row r="187">
      <c r="A187" s="38" t="n"/>
      <c r="B187" s="38" t="n"/>
      <c r="C187" s="47" t="n"/>
      <c r="D187" s="38" t="n"/>
      <c r="E187" s="38" t="n"/>
      <c r="F187" s="47" t="n"/>
      <c r="G187" s="57" t="n"/>
      <c r="H187" s="38" t="n"/>
      <c r="I187" s="38" t="n"/>
      <c r="J187" s="50">
        <f>IF(C187="","",IF(OR(E187="Received",E187="Declined"),"",AsOf-C187))</f>
        <v/>
      </c>
      <c r="K187" s="49">
        <f>IF(A187="","",IF(AND(E187="Received",H187&lt;&gt;"Yes"),"Reply to review",IF(N(J187)&gt;=ReviewWait,IF(E187="Reminder sent","Close out","Send reminder"),"—")))</f>
        <v/>
      </c>
      <c r="L187" s="51">
        <f>IF(F187="","",DATE(YEAR(F187),MONTH(F187),1))</f>
        <v/>
      </c>
      <c r="M187" s="51">
        <f>IF(C187="","",DATE(YEAR(C187),MONTH(C187),1))</f>
        <v/>
      </c>
    </row>
    <row r="188">
      <c r="A188" s="38" t="n"/>
      <c r="B188" s="38" t="n"/>
      <c r="C188" s="47" t="n"/>
      <c r="D188" s="38" t="n"/>
      <c r="E188" s="38" t="n"/>
      <c r="F188" s="47" t="n"/>
      <c r="G188" s="57" t="n"/>
      <c r="H188" s="38" t="n"/>
      <c r="I188" s="38" t="n"/>
      <c r="J188" s="50">
        <f>IF(C188="","",IF(OR(E188="Received",E188="Declined"),"",AsOf-C188))</f>
        <v/>
      </c>
      <c r="K188" s="49">
        <f>IF(A188="","",IF(AND(E188="Received",H188&lt;&gt;"Yes"),"Reply to review",IF(N(J188)&gt;=ReviewWait,IF(E188="Reminder sent","Close out","Send reminder"),"—")))</f>
        <v/>
      </c>
      <c r="L188" s="51">
        <f>IF(F188="","",DATE(YEAR(F188),MONTH(F188),1))</f>
        <v/>
      </c>
      <c r="M188" s="51">
        <f>IF(C188="","",DATE(YEAR(C188),MONTH(C188),1))</f>
        <v/>
      </c>
    </row>
    <row r="189">
      <c r="A189" s="38" t="n"/>
      <c r="B189" s="38" t="n"/>
      <c r="C189" s="47" t="n"/>
      <c r="D189" s="38" t="n"/>
      <c r="E189" s="38" t="n"/>
      <c r="F189" s="47" t="n"/>
      <c r="G189" s="57" t="n"/>
      <c r="H189" s="38" t="n"/>
      <c r="I189" s="38" t="n"/>
      <c r="J189" s="50">
        <f>IF(C189="","",IF(OR(E189="Received",E189="Declined"),"",AsOf-C189))</f>
        <v/>
      </c>
      <c r="K189" s="49">
        <f>IF(A189="","",IF(AND(E189="Received",H189&lt;&gt;"Yes"),"Reply to review",IF(N(J189)&gt;=ReviewWait,IF(E189="Reminder sent","Close out","Send reminder"),"—")))</f>
        <v/>
      </c>
      <c r="L189" s="51">
        <f>IF(F189="","",DATE(YEAR(F189),MONTH(F189),1))</f>
        <v/>
      </c>
      <c r="M189" s="51">
        <f>IF(C189="","",DATE(YEAR(C189),MONTH(C189),1))</f>
        <v/>
      </c>
    </row>
    <row r="190">
      <c r="A190" s="38" t="n"/>
      <c r="B190" s="38" t="n"/>
      <c r="C190" s="47" t="n"/>
      <c r="D190" s="38" t="n"/>
      <c r="E190" s="38" t="n"/>
      <c r="F190" s="47" t="n"/>
      <c r="G190" s="57" t="n"/>
      <c r="H190" s="38" t="n"/>
      <c r="I190" s="38" t="n"/>
      <c r="J190" s="50">
        <f>IF(C190="","",IF(OR(E190="Received",E190="Declined"),"",AsOf-C190))</f>
        <v/>
      </c>
      <c r="K190" s="49">
        <f>IF(A190="","",IF(AND(E190="Received",H190&lt;&gt;"Yes"),"Reply to review",IF(N(J190)&gt;=ReviewWait,IF(E190="Reminder sent","Close out","Send reminder"),"—")))</f>
        <v/>
      </c>
      <c r="L190" s="51">
        <f>IF(F190="","",DATE(YEAR(F190),MONTH(F190),1))</f>
        <v/>
      </c>
      <c r="M190" s="51">
        <f>IF(C190="","",DATE(YEAR(C190),MONTH(C190),1))</f>
        <v/>
      </c>
    </row>
    <row r="191">
      <c r="A191" s="38" t="n"/>
      <c r="B191" s="38" t="n"/>
      <c r="C191" s="47" t="n"/>
      <c r="D191" s="38" t="n"/>
      <c r="E191" s="38" t="n"/>
      <c r="F191" s="47" t="n"/>
      <c r="G191" s="57" t="n"/>
      <c r="H191" s="38" t="n"/>
      <c r="I191" s="38" t="n"/>
      <c r="J191" s="50">
        <f>IF(C191="","",IF(OR(E191="Received",E191="Declined"),"",AsOf-C191))</f>
        <v/>
      </c>
      <c r="K191" s="49">
        <f>IF(A191="","",IF(AND(E191="Received",H191&lt;&gt;"Yes"),"Reply to review",IF(N(J191)&gt;=ReviewWait,IF(E191="Reminder sent","Close out","Send reminder"),"—")))</f>
        <v/>
      </c>
      <c r="L191" s="51">
        <f>IF(F191="","",DATE(YEAR(F191),MONTH(F191),1))</f>
        <v/>
      </c>
      <c r="M191" s="51">
        <f>IF(C191="","",DATE(YEAR(C191),MONTH(C191),1))</f>
        <v/>
      </c>
    </row>
    <row r="192">
      <c r="A192" s="38" t="n"/>
      <c r="B192" s="38" t="n"/>
      <c r="C192" s="47" t="n"/>
      <c r="D192" s="38" t="n"/>
      <c r="E192" s="38" t="n"/>
      <c r="F192" s="47" t="n"/>
      <c r="G192" s="57" t="n"/>
      <c r="H192" s="38" t="n"/>
      <c r="I192" s="38" t="n"/>
      <c r="J192" s="50">
        <f>IF(C192="","",IF(OR(E192="Received",E192="Declined"),"",AsOf-C192))</f>
        <v/>
      </c>
      <c r="K192" s="49">
        <f>IF(A192="","",IF(AND(E192="Received",H192&lt;&gt;"Yes"),"Reply to review",IF(N(J192)&gt;=ReviewWait,IF(E192="Reminder sent","Close out","Send reminder"),"—")))</f>
        <v/>
      </c>
      <c r="L192" s="51">
        <f>IF(F192="","",DATE(YEAR(F192),MONTH(F192),1))</f>
        <v/>
      </c>
      <c r="M192" s="51">
        <f>IF(C192="","",DATE(YEAR(C192),MONTH(C192),1))</f>
        <v/>
      </c>
    </row>
    <row r="193">
      <c r="A193" s="38" t="n"/>
      <c r="B193" s="38" t="n"/>
      <c r="C193" s="47" t="n"/>
      <c r="D193" s="38" t="n"/>
      <c r="E193" s="38" t="n"/>
      <c r="F193" s="47" t="n"/>
      <c r="G193" s="57" t="n"/>
      <c r="H193" s="38" t="n"/>
      <c r="I193" s="38" t="n"/>
      <c r="J193" s="50">
        <f>IF(C193="","",IF(OR(E193="Received",E193="Declined"),"",AsOf-C193))</f>
        <v/>
      </c>
      <c r="K193" s="49">
        <f>IF(A193="","",IF(AND(E193="Received",H193&lt;&gt;"Yes"),"Reply to review",IF(N(J193)&gt;=ReviewWait,IF(E193="Reminder sent","Close out","Send reminder"),"—")))</f>
        <v/>
      </c>
      <c r="L193" s="51">
        <f>IF(F193="","",DATE(YEAR(F193),MONTH(F193),1))</f>
        <v/>
      </c>
      <c r="M193" s="51">
        <f>IF(C193="","",DATE(YEAR(C193),MONTH(C193),1))</f>
        <v/>
      </c>
    </row>
    <row r="194">
      <c r="A194" s="38" t="n"/>
      <c r="B194" s="38" t="n"/>
      <c r="C194" s="47" t="n"/>
      <c r="D194" s="38" t="n"/>
      <c r="E194" s="38" t="n"/>
      <c r="F194" s="47" t="n"/>
      <c r="G194" s="57" t="n"/>
      <c r="H194" s="38" t="n"/>
      <c r="I194" s="38" t="n"/>
      <c r="J194" s="50">
        <f>IF(C194="","",IF(OR(E194="Received",E194="Declined"),"",AsOf-C194))</f>
        <v/>
      </c>
      <c r="K194" s="49">
        <f>IF(A194="","",IF(AND(E194="Received",H194&lt;&gt;"Yes"),"Reply to review",IF(N(J194)&gt;=ReviewWait,IF(E194="Reminder sent","Close out","Send reminder"),"—")))</f>
        <v/>
      </c>
      <c r="L194" s="51">
        <f>IF(F194="","",DATE(YEAR(F194),MONTH(F194),1))</f>
        <v/>
      </c>
      <c r="M194" s="51">
        <f>IF(C194="","",DATE(YEAR(C194),MONTH(C194),1))</f>
        <v/>
      </c>
    </row>
    <row r="195">
      <c r="A195" s="38" t="n"/>
      <c r="B195" s="38" t="n"/>
      <c r="C195" s="47" t="n"/>
      <c r="D195" s="38" t="n"/>
      <c r="E195" s="38" t="n"/>
      <c r="F195" s="47" t="n"/>
      <c r="G195" s="57" t="n"/>
      <c r="H195" s="38" t="n"/>
      <c r="I195" s="38" t="n"/>
      <c r="J195" s="50">
        <f>IF(C195="","",IF(OR(E195="Received",E195="Declined"),"",AsOf-C195))</f>
        <v/>
      </c>
      <c r="K195" s="49">
        <f>IF(A195="","",IF(AND(E195="Received",H195&lt;&gt;"Yes"),"Reply to review",IF(N(J195)&gt;=ReviewWait,IF(E195="Reminder sent","Close out","Send reminder"),"—")))</f>
        <v/>
      </c>
      <c r="L195" s="51">
        <f>IF(F195="","",DATE(YEAR(F195),MONTH(F195),1))</f>
        <v/>
      </c>
      <c r="M195" s="51">
        <f>IF(C195="","",DATE(YEAR(C195),MONTH(C195),1))</f>
        <v/>
      </c>
    </row>
    <row r="196">
      <c r="A196" s="38" t="n"/>
      <c r="B196" s="38" t="n"/>
      <c r="C196" s="47" t="n"/>
      <c r="D196" s="38" t="n"/>
      <c r="E196" s="38" t="n"/>
      <c r="F196" s="47" t="n"/>
      <c r="G196" s="57" t="n"/>
      <c r="H196" s="38" t="n"/>
      <c r="I196" s="38" t="n"/>
      <c r="J196" s="50">
        <f>IF(C196="","",IF(OR(E196="Received",E196="Declined"),"",AsOf-C196))</f>
        <v/>
      </c>
      <c r="K196" s="49">
        <f>IF(A196="","",IF(AND(E196="Received",H196&lt;&gt;"Yes"),"Reply to review",IF(N(J196)&gt;=ReviewWait,IF(E196="Reminder sent","Close out","Send reminder"),"—")))</f>
        <v/>
      </c>
      <c r="L196" s="51">
        <f>IF(F196="","",DATE(YEAR(F196),MONTH(F196),1))</f>
        <v/>
      </c>
      <c r="M196" s="51">
        <f>IF(C196="","",DATE(YEAR(C196),MONTH(C196),1))</f>
        <v/>
      </c>
    </row>
    <row r="197">
      <c r="A197" s="38" t="n"/>
      <c r="B197" s="38" t="n"/>
      <c r="C197" s="47" t="n"/>
      <c r="D197" s="38" t="n"/>
      <c r="E197" s="38" t="n"/>
      <c r="F197" s="47" t="n"/>
      <c r="G197" s="57" t="n"/>
      <c r="H197" s="38" t="n"/>
      <c r="I197" s="38" t="n"/>
      <c r="J197" s="50">
        <f>IF(C197="","",IF(OR(E197="Received",E197="Declined"),"",AsOf-C197))</f>
        <v/>
      </c>
      <c r="K197" s="49">
        <f>IF(A197="","",IF(AND(E197="Received",H197&lt;&gt;"Yes"),"Reply to review",IF(N(J197)&gt;=ReviewWait,IF(E197="Reminder sent","Close out","Send reminder"),"—")))</f>
        <v/>
      </c>
      <c r="L197" s="51">
        <f>IF(F197="","",DATE(YEAR(F197),MONTH(F197),1))</f>
        <v/>
      </c>
      <c r="M197" s="51">
        <f>IF(C197="","",DATE(YEAR(C197),MONTH(C197),1))</f>
        <v/>
      </c>
    </row>
    <row r="198">
      <c r="A198" s="38" t="n"/>
      <c r="B198" s="38" t="n"/>
      <c r="C198" s="47" t="n"/>
      <c r="D198" s="38" t="n"/>
      <c r="E198" s="38" t="n"/>
      <c r="F198" s="47" t="n"/>
      <c r="G198" s="57" t="n"/>
      <c r="H198" s="38" t="n"/>
      <c r="I198" s="38" t="n"/>
      <c r="J198" s="50">
        <f>IF(C198="","",IF(OR(E198="Received",E198="Declined"),"",AsOf-C198))</f>
        <v/>
      </c>
      <c r="K198" s="49">
        <f>IF(A198="","",IF(AND(E198="Received",H198&lt;&gt;"Yes"),"Reply to review",IF(N(J198)&gt;=ReviewWait,IF(E198="Reminder sent","Close out","Send reminder"),"—")))</f>
        <v/>
      </c>
      <c r="L198" s="51">
        <f>IF(F198="","",DATE(YEAR(F198),MONTH(F198),1))</f>
        <v/>
      </c>
      <c r="M198" s="51">
        <f>IF(C198="","",DATE(YEAR(C198),MONTH(C198),1))</f>
        <v/>
      </c>
    </row>
    <row r="199">
      <c r="A199" s="38" t="n"/>
      <c r="B199" s="38" t="n"/>
      <c r="C199" s="47" t="n"/>
      <c r="D199" s="38" t="n"/>
      <c r="E199" s="38" t="n"/>
      <c r="F199" s="47" t="n"/>
      <c r="G199" s="57" t="n"/>
      <c r="H199" s="38" t="n"/>
      <c r="I199" s="38" t="n"/>
      <c r="J199" s="50">
        <f>IF(C199="","",IF(OR(E199="Received",E199="Declined"),"",AsOf-C199))</f>
        <v/>
      </c>
      <c r="K199" s="49">
        <f>IF(A199="","",IF(AND(E199="Received",H199&lt;&gt;"Yes"),"Reply to review",IF(N(J199)&gt;=ReviewWait,IF(E199="Reminder sent","Close out","Send reminder"),"—")))</f>
        <v/>
      </c>
      <c r="L199" s="51">
        <f>IF(F199="","",DATE(YEAR(F199),MONTH(F199),1))</f>
        <v/>
      </c>
      <c r="M199" s="51">
        <f>IF(C199="","",DATE(YEAR(C199),MONTH(C199),1))</f>
        <v/>
      </c>
    </row>
    <row r="200">
      <c r="A200" s="38" t="n"/>
      <c r="B200" s="38" t="n"/>
      <c r="C200" s="47" t="n"/>
      <c r="D200" s="38" t="n"/>
      <c r="E200" s="38" t="n"/>
      <c r="F200" s="47" t="n"/>
      <c r="G200" s="57" t="n"/>
      <c r="H200" s="38" t="n"/>
      <c r="I200" s="38" t="n"/>
      <c r="J200" s="50">
        <f>IF(C200="","",IF(OR(E200="Received",E200="Declined"),"",AsOf-C200))</f>
        <v/>
      </c>
      <c r="K200" s="49">
        <f>IF(A200="","",IF(AND(E200="Received",H200&lt;&gt;"Yes"),"Reply to review",IF(N(J200)&gt;=ReviewWait,IF(E200="Reminder sent","Close out","Send reminder"),"—")))</f>
        <v/>
      </c>
      <c r="L200" s="51">
        <f>IF(F200="","",DATE(YEAR(F200),MONTH(F200),1))</f>
        <v/>
      </c>
      <c r="M200" s="51">
        <f>IF(C200="","",DATE(YEAR(C200),MONTH(C200),1))</f>
        <v/>
      </c>
    </row>
    <row r="201">
      <c r="A201" s="38" t="n"/>
      <c r="B201" s="38" t="n"/>
      <c r="C201" s="47" t="n"/>
      <c r="D201" s="38" t="n"/>
      <c r="E201" s="38" t="n"/>
      <c r="F201" s="47" t="n"/>
      <c r="G201" s="57" t="n"/>
      <c r="H201" s="38" t="n"/>
      <c r="I201" s="38" t="n"/>
      <c r="J201" s="50">
        <f>IF(C201="","",IF(OR(E201="Received",E201="Declined"),"",AsOf-C201))</f>
        <v/>
      </c>
      <c r="K201" s="49">
        <f>IF(A201="","",IF(AND(E201="Received",H201&lt;&gt;"Yes"),"Reply to review",IF(N(J201)&gt;=ReviewWait,IF(E201="Reminder sent","Close out","Send reminder"),"—")))</f>
        <v/>
      </c>
      <c r="L201" s="51">
        <f>IF(F201="","",DATE(YEAR(F201),MONTH(F201),1))</f>
        <v/>
      </c>
      <c r="M201" s="51">
        <f>IF(C201="","",DATE(YEAR(C201),MONTH(C201),1))</f>
        <v/>
      </c>
    </row>
    <row r="202">
      <c r="A202" s="38" t="n"/>
      <c r="B202" s="38" t="n"/>
      <c r="C202" s="47" t="n"/>
      <c r="D202" s="38" t="n"/>
      <c r="E202" s="38" t="n"/>
      <c r="F202" s="47" t="n"/>
      <c r="G202" s="57" t="n"/>
      <c r="H202" s="38" t="n"/>
      <c r="I202" s="38" t="n"/>
      <c r="J202" s="50">
        <f>IF(C202="","",IF(OR(E202="Received",E202="Declined"),"",AsOf-C202))</f>
        <v/>
      </c>
      <c r="K202" s="49">
        <f>IF(A202="","",IF(AND(E202="Received",H202&lt;&gt;"Yes"),"Reply to review",IF(N(J202)&gt;=ReviewWait,IF(E202="Reminder sent","Close out","Send reminder"),"—")))</f>
        <v/>
      </c>
      <c r="L202" s="51">
        <f>IF(F202="","",DATE(YEAR(F202),MONTH(F202),1))</f>
        <v/>
      </c>
      <c r="M202" s="51">
        <f>IF(C202="","",DATE(YEAR(C202),MONTH(C202),1))</f>
        <v/>
      </c>
    </row>
    <row r="203">
      <c r="A203" s="38" t="n"/>
      <c r="B203" s="38" t="n"/>
      <c r="C203" s="47" t="n"/>
      <c r="D203" s="38" t="n"/>
      <c r="E203" s="38" t="n"/>
      <c r="F203" s="47" t="n"/>
      <c r="G203" s="57" t="n"/>
      <c r="H203" s="38" t="n"/>
      <c r="I203" s="38" t="n"/>
      <c r="J203" s="50">
        <f>IF(C203="","",IF(OR(E203="Received",E203="Declined"),"",AsOf-C203))</f>
        <v/>
      </c>
      <c r="K203" s="49">
        <f>IF(A203="","",IF(AND(E203="Received",H203&lt;&gt;"Yes"),"Reply to review",IF(N(J203)&gt;=ReviewWait,IF(E203="Reminder sent","Close out","Send reminder"),"—")))</f>
        <v/>
      </c>
      <c r="L203" s="51">
        <f>IF(F203="","",DATE(YEAR(F203),MONTH(F203),1))</f>
        <v/>
      </c>
      <c r="M203" s="51">
        <f>IF(C203="","",DATE(YEAR(C203),MONTH(C203),1))</f>
        <v/>
      </c>
    </row>
    <row r="204">
      <c r="A204" s="38" t="n"/>
      <c r="B204" s="38" t="n"/>
      <c r="C204" s="47" t="n"/>
      <c r="D204" s="38" t="n"/>
      <c r="E204" s="38" t="n"/>
      <c r="F204" s="47" t="n"/>
      <c r="G204" s="57" t="n"/>
      <c r="H204" s="38" t="n"/>
      <c r="I204" s="38" t="n"/>
      <c r="J204" s="50">
        <f>IF(C204="","",IF(OR(E204="Received",E204="Declined"),"",AsOf-C204))</f>
        <v/>
      </c>
      <c r="K204" s="49">
        <f>IF(A204="","",IF(AND(E204="Received",H204&lt;&gt;"Yes"),"Reply to review",IF(N(J204)&gt;=ReviewWait,IF(E204="Reminder sent","Close out","Send reminder"),"—")))</f>
        <v/>
      </c>
      <c r="L204" s="51">
        <f>IF(F204="","",DATE(YEAR(F204),MONTH(F204),1))</f>
        <v/>
      </c>
      <c r="M204" s="51">
        <f>IF(C204="","",DATE(YEAR(C204),MONTH(C204),1))</f>
        <v/>
      </c>
    </row>
    <row r="205">
      <c r="A205" s="38" t="n"/>
      <c r="B205" s="38" t="n"/>
      <c r="C205" s="47" t="n"/>
      <c r="D205" s="38" t="n"/>
      <c r="E205" s="38" t="n"/>
      <c r="F205" s="47" t="n"/>
      <c r="G205" s="57" t="n"/>
      <c r="H205" s="38" t="n"/>
      <c r="I205" s="38" t="n"/>
      <c r="J205" s="50">
        <f>IF(C205="","",IF(OR(E205="Received",E205="Declined"),"",AsOf-C205))</f>
        <v/>
      </c>
      <c r="K205" s="49">
        <f>IF(A205="","",IF(AND(E205="Received",H205&lt;&gt;"Yes"),"Reply to review",IF(N(J205)&gt;=ReviewWait,IF(E205="Reminder sent","Close out","Send reminder"),"—")))</f>
        <v/>
      </c>
      <c r="L205" s="51">
        <f>IF(F205="","",DATE(YEAR(F205),MONTH(F205),1))</f>
        <v/>
      </c>
      <c r="M205" s="51">
        <f>IF(C205="","",DATE(YEAR(C205),MONTH(C205),1))</f>
        <v/>
      </c>
    </row>
    <row r="206">
      <c r="A206" s="38" t="n"/>
      <c r="B206" s="38" t="n"/>
      <c r="C206" s="47" t="n"/>
      <c r="D206" s="38" t="n"/>
      <c r="E206" s="38" t="n"/>
      <c r="F206" s="47" t="n"/>
      <c r="G206" s="57" t="n"/>
      <c r="H206" s="38" t="n"/>
      <c r="I206" s="38" t="n"/>
      <c r="J206" s="50">
        <f>IF(C206="","",IF(OR(E206="Received",E206="Declined"),"",AsOf-C206))</f>
        <v/>
      </c>
      <c r="K206" s="49">
        <f>IF(A206="","",IF(AND(E206="Received",H206&lt;&gt;"Yes"),"Reply to review",IF(N(J206)&gt;=ReviewWait,IF(E206="Reminder sent","Close out","Send reminder"),"—")))</f>
        <v/>
      </c>
      <c r="L206" s="51">
        <f>IF(F206="","",DATE(YEAR(F206),MONTH(F206),1))</f>
        <v/>
      </c>
      <c r="M206" s="51">
        <f>IF(C206="","",DATE(YEAR(C206),MONTH(C206),1))</f>
        <v/>
      </c>
    </row>
    <row r="207">
      <c r="A207" s="38" t="n"/>
      <c r="B207" s="38" t="n"/>
      <c r="C207" s="47" t="n"/>
      <c r="D207" s="38" t="n"/>
      <c r="E207" s="38" t="n"/>
      <c r="F207" s="47" t="n"/>
      <c r="G207" s="57" t="n"/>
      <c r="H207" s="38" t="n"/>
      <c r="I207" s="38" t="n"/>
      <c r="J207" s="50">
        <f>IF(C207="","",IF(OR(E207="Received",E207="Declined"),"",AsOf-C207))</f>
        <v/>
      </c>
      <c r="K207" s="49">
        <f>IF(A207="","",IF(AND(E207="Received",H207&lt;&gt;"Yes"),"Reply to review",IF(N(J207)&gt;=ReviewWait,IF(E207="Reminder sent","Close out","Send reminder"),"—")))</f>
        <v/>
      </c>
      <c r="L207" s="51">
        <f>IF(F207="","",DATE(YEAR(F207),MONTH(F207),1))</f>
        <v/>
      </c>
      <c r="M207" s="51">
        <f>IF(C207="","",DATE(YEAR(C207),MONTH(C207),1))</f>
        <v/>
      </c>
    </row>
    <row r="208">
      <c r="A208" s="38" t="n"/>
      <c r="B208" s="38" t="n"/>
      <c r="C208" s="47" t="n"/>
      <c r="D208" s="38" t="n"/>
      <c r="E208" s="38" t="n"/>
      <c r="F208" s="47" t="n"/>
      <c r="G208" s="57" t="n"/>
      <c r="H208" s="38" t="n"/>
      <c r="I208" s="38" t="n"/>
      <c r="J208" s="50">
        <f>IF(C208="","",IF(OR(E208="Received",E208="Declined"),"",AsOf-C208))</f>
        <v/>
      </c>
      <c r="K208" s="49">
        <f>IF(A208="","",IF(AND(E208="Received",H208&lt;&gt;"Yes"),"Reply to review",IF(N(J208)&gt;=ReviewWait,IF(E208="Reminder sent","Close out","Send reminder"),"—")))</f>
        <v/>
      </c>
      <c r="L208" s="51">
        <f>IF(F208="","",DATE(YEAR(F208),MONTH(F208),1))</f>
        <v/>
      </c>
      <c r="M208" s="51">
        <f>IF(C208="","",DATE(YEAR(C208),MONTH(C208),1))</f>
        <v/>
      </c>
    </row>
    <row r="209">
      <c r="A209" s="38" t="n"/>
      <c r="B209" s="38" t="n"/>
      <c r="C209" s="47" t="n"/>
      <c r="D209" s="38" t="n"/>
      <c r="E209" s="38" t="n"/>
      <c r="F209" s="47" t="n"/>
      <c r="G209" s="57" t="n"/>
      <c r="H209" s="38" t="n"/>
      <c r="I209" s="38" t="n"/>
      <c r="J209" s="50">
        <f>IF(C209="","",IF(OR(E209="Received",E209="Declined"),"",AsOf-C209))</f>
        <v/>
      </c>
      <c r="K209" s="49">
        <f>IF(A209="","",IF(AND(E209="Received",H209&lt;&gt;"Yes"),"Reply to review",IF(N(J209)&gt;=ReviewWait,IF(E209="Reminder sent","Close out","Send reminder"),"—")))</f>
        <v/>
      </c>
      <c r="L209" s="51">
        <f>IF(F209="","",DATE(YEAR(F209),MONTH(F209),1))</f>
        <v/>
      </c>
      <c r="M209" s="51">
        <f>IF(C209="","",DATE(YEAR(C209),MONTH(C209),1))</f>
        <v/>
      </c>
    </row>
    <row r="210">
      <c r="A210" s="38" t="n"/>
      <c r="B210" s="38" t="n"/>
      <c r="C210" s="47" t="n"/>
      <c r="D210" s="38" t="n"/>
      <c r="E210" s="38" t="n"/>
      <c r="F210" s="47" t="n"/>
      <c r="G210" s="57" t="n"/>
      <c r="H210" s="38" t="n"/>
      <c r="I210" s="38" t="n"/>
      <c r="J210" s="50">
        <f>IF(C210="","",IF(OR(E210="Received",E210="Declined"),"",AsOf-C210))</f>
        <v/>
      </c>
      <c r="K210" s="49">
        <f>IF(A210="","",IF(AND(E210="Received",H210&lt;&gt;"Yes"),"Reply to review",IF(N(J210)&gt;=ReviewWait,IF(E210="Reminder sent","Close out","Send reminder"),"—")))</f>
        <v/>
      </c>
      <c r="L210" s="51">
        <f>IF(F210="","",DATE(YEAR(F210),MONTH(F210),1))</f>
        <v/>
      </c>
      <c r="M210" s="51">
        <f>IF(C210="","",DATE(YEAR(C210),MONTH(C210),1))</f>
        <v/>
      </c>
    </row>
    <row r="211">
      <c r="A211" s="38" t="n"/>
      <c r="B211" s="38" t="n"/>
      <c r="C211" s="47" t="n"/>
      <c r="D211" s="38" t="n"/>
      <c r="E211" s="38" t="n"/>
      <c r="F211" s="47" t="n"/>
      <c r="G211" s="57" t="n"/>
      <c r="H211" s="38" t="n"/>
      <c r="I211" s="38" t="n"/>
      <c r="J211" s="50">
        <f>IF(C211="","",IF(OR(E211="Received",E211="Declined"),"",AsOf-C211))</f>
        <v/>
      </c>
      <c r="K211" s="49">
        <f>IF(A211="","",IF(AND(E211="Received",H211&lt;&gt;"Yes"),"Reply to review",IF(N(J211)&gt;=ReviewWait,IF(E211="Reminder sent","Close out","Send reminder"),"—")))</f>
        <v/>
      </c>
      <c r="L211" s="51">
        <f>IF(F211="","",DATE(YEAR(F211),MONTH(F211),1))</f>
        <v/>
      </c>
      <c r="M211" s="51">
        <f>IF(C211="","",DATE(YEAR(C211),MONTH(C211),1))</f>
        <v/>
      </c>
    </row>
    <row r="212">
      <c r="A212" s="38" t="n"/>
      <c r="B212" s="38" t="n"/>
      <c r="C212" s="47" t="n"/>
      <c r="D212" s="38" t="n"/>
      <c r="E212" s="38" t="n"/>
      <c r="F212" s="47" t="n"/>
      <c r="G212" s="57" t="n"/>
      <c r="H212" s="38" t="n"/>
      <c r="I212" s="38" t="n"/>
      <c r="J212" s="50">
        <f>IF(C212="","",IF(OR(E212="Received",E212="Declined"),"",AsOf-C212))</f>
        <v/>
      </c>
      <c r="K212" s="49">
        <f>IF(A212="","",IF(AND(E212="Received",H212&lt;&gt;"Yes"),"Reply to review",IF(N(J212)&gt;=ReviewWait,IF(E212="Reminder sent","Close out","Send reminder"),"—")))</f>
        <v/>
      </c>
      <c r="L212" s="51">
        <f>IF(F212="","",DATE(YEAR(F212),MONTH(F212),1))</f>
        <v/>
      </c>
      <c r="M212" s="51">
        <f>IF(C212="","",DATE(YEAR(C212),MONTH(C212),1))</f>
        <v/>
      </c>
    </row>
    <row r="213">
      <c r="A213" s="38" t="n"/>
      <c r="B213" s="38" t="n"/>
      <c r="C213" s="47" t="n"/>
      <c r="D213" s="38" t="n"/>
      <c r="E213" s="38" t="n"/>
      <c r="F213" s="47" t="n"/>
      <c r="G213" s="57" t="n"/>
      <c r="H213" s="38" t="n"/>
      <c r="I213" s="38" t="n"/>
      <c r="J213" s="50">
        <f>IF(C213="","",IF(OR(E213="Received",E213="Declined"),"",AsOf-C213))</f>
        <v/>
      </c>
      <c r="K213" s="49">
        <f>IF(A213="","",IF(AND(E213="Received",H213&lt;&gt;"Yes"),"Reply to review",IF(N(J213)&gt;=ReviewWait,IF(E213="Reminder sent","Close out","Send reminder"),"—")))</f>
        <v/>
      </c>
      <c r="L213" s="51">
        <f>IF(F213="","",DATE(YEAR(F213),MONTH(F213),1))</f>
        <v/>
      </c>
      <c r="M213" s="51">
        <f>IF(C213="","",DATE(YEAR(C213),MONTH(C213),1))</f>
        <v/>
      </c>
    </row>
    <row r="214">
      <c r="A214" s="38" t="n"/>
      <c r="B214" s="38" t="n"/>
      <c r="C214" s="47" t="n"/>
      <c r="D214" s="38" t="n"/>
      <c r="E214" s="38" t="n"/>
      <c r="F214" s="47" t="n"/>
      <c r="G214" s="57" t="n"/>
      <c r="H214" s="38" t="n"/>
      <c r="I214" s="38" t="n"/>
      <c r="J214" s="50">
        <f>IF(C214="","",IF(OR(E214="Received",E214="Declined"),"",AsOf-C214))</f>
        <v/>
      </c>
      <c r="K214" s="49">
        <f>IF(A214="","",IF(AND(E214="Received",H214&lt;&gt;"Yes"),"Reply to review",IF(N(J214)&gt;=ReviewWait,IF(E214="Reminder sent","Close out","Send reminder"),"—")))</f>
        <v/>
      </c>
      <c r="L214" s="51">
        <f>IF(F214="","",DATE(YEAR(F214),MONTH(F214),1))</f>
        <v/>
      </c>
      <c r="M214" s="51">
        <f>IF(C214="","",DATE(YEAR(C214),MONTH(C214),1))</f>
        <v/>
      </c>
    </row>
    <row r="215">
      <c r="A215" s="38" t="n"/>
      <c r="B215" s="38" t="n"/>
      <c r="C215" s="47" t="n"/>
      <c r="D215" s="38" t="n"/>
      <c r="E215" s="38" t="n"/>
      <c r="F215" s="47" t="n"/>
      <c r="G215" s="57" t="n"/>
      <c r="H215" s="38" t="n"/>
      <c r="I215" s="38" t="n"/>
      <c r="J215" s="50">
        <f>IF(C215="","",IF(OR(E215="Received",E215="Declined"),"",AsOf-C215))</f>
        <v/>
      </c>
      <c r="K215" s="49">
        <f>IF(A215="","",IF(AND(E215="Received",H215&lt;&gt;"Yes"),"Reply to review",IF(N(J215)&gt;=ReviewWait,IF(E215="Reminder sent","Close out","Send reminder"),"—")))</f>
        <v/>
      </c>
      <c r="L215" s="51">
        <f>IF(F215="","",DATE(YEAR(F215),MONTH(F215),1))</f>
        <v/>
      </c>
      <c r="M215" s="51">
        <f>IF(C215="","",DATE(YEAR(C215),MONTH(C215),1))</f>
        <v/>
      </c>
    </row>
    <row r="216">
      <c r="A216" s="38" t="n"/>
      <c r="B216" s="38" t="n"/>
      <c r="C216" s="47" t="n"/>
      <c r="D216" s="38" t="n"/>
      <c r="E216" s="38" t="n"/>
      <c r="F216" s="47" t="n"/>
      <c r="G216" s="57" t="n"/>
      <c r="H216" s="38" t="n"/>
      <c r="I216" s="38" t="n"/>
      <c r="J216" s="50">
        <f>IF(C216="","",IF(OR(E216="Received",E216="Declined"),"",AsOf-C216))</f>
        <v/>
      </c>
      <c r="K216" s="49">
        <f>IF(A216="","",IF(AND(E216="Received",H216&lt;&gt;"Yes"),"Reply to review",IF(N(J216)&gt;=ReviewWait,IF(E216="Reminder sent","Close out","Send reminder"),"—")))</f>
        <v/>
      </c>
      <c r="L216" s="51">
        <f>IF(F216="","",DATE(YEAR(F216),MONTH(F216),1))</f>
        <v/>
      </c>
      <c r="M216" s="51">
        <f>IF(C216="","",DATE(YEAR(C216),MONTH(C216),1))</f>
        <v/>
      </c>
    </row>
    <row r="217">
      <c r="A217" s="38" t="n"/>
      <c r="B217" s="38" t="n"/>
      <c r="C217" s="47" t="n"/>
      <c r="D217" s="38" t="n"/>
      <c r="E217" s="38" t="n"/>
      <c r="F217" s="47" t="n"/>
      <c r="G217" s="57" t="n"/>
      <c r="H217" s="38" t="n"/>
      <c r="I217" s="38" t="n"/>
      <c r="J217" s="50">
        <f>IF(C217="","",IF(OR(E217="Received",E217="Declined"),"",AsOf-C217))</f>
        <v/>
      </c>
      <c r="K217" s="49">
        <f>IF(A217="","",IF(AND(E217="Received",H217&lt;&gt;"Yes"),"Reply to review",IF(N(J217)&gt;=ReviewWait,IF(E217="Reminder sent","Close out","Send reminder"),"—")))</f>
        <v/>
      </c>
      <c r="L217" s="51">
        <f>IF(F217="","",DATE(YEAR(F217),MONTH(F217),1))</f>
        <v/>
      </c>
      <c r="M217" s="51">
        <f>IF(C217="","",DATE(YEAR(C217),MONTH(C217),1))</f>
        <v/>
      </c>
    </row>
    <row r="218">
      <c r="A218" s="38" t="n"/>
      <c r="B218" s="38" t="n"/>
      <c r="C218" s="47" t="n"/>
      <c r="D218" s="38" t="n"/>
      <c r="E218" s="38" t="n"/>
      <c r="F218" s="47" t="n"/>
      <c r="G218" s="57" t="n"/>
      <c r="H218" s="38" t="n"/>
      <c r="I218" s="38" t="n"/>
      <c r="J218" s="50">
        <f>IF(C218="","",IF(OR(E218="Received",E218="Declined"),"",AsOf-C218))</f>
        <v/>
      </c>
      <c r="K218" s="49">
        <f>IF(A218="","",IF(AND(E218="Received",H218&lt;&gt;"Yes"),"Reply to review",IF(N(J218)&gt;=ReviewWait,IF(E218="Reminder sent","Close out","Send reminder"),"—")))</f>
        <v/>
      </c>
      <c r="L218" s="51">
        <f>IF(F218="","",DATE(YEAR(F218),MONTH(F218),1))</f>
        <v/>
      </c>
      <c r="M218" s="51">
        <f>IF(C218="","",DATE(YEAR(C218),MONTH(C218),1))</f>
        <v/>
      </c>
    </row>
    <row r="219">
      <c r="A219" s="38" t="n"/>
      <c r="B219" s="38" t="n"/>
      <c r="C219" s="47" t="n"/>
      <c r="D219" s="38" t="n"/>
      <c r="E219" s="38" t="n"/>
      <c r="F219" s="47" t="n"/>
      <c r="G219" s="57" t="n"/>
      <c r="H219" s="38" t="n"/>
      <c r="I219" s="38" t="n"/>
      <c r="J219" s="50">
        <f>IF(C219="","",IF(OR(E219="Received",E219="Declined"),"",AsOf-C219))</f>
        <v/>
      </c>
      <c r="K219" s="49">
        <f>IF(A219="","",IF(AND(E219="Received",H219&lt;&gt;"Yes"),"Reply to review",IF(N(J219)&gt;=ReviewWait,IF(E219="Reminder sent","Close out","Send reminder"),"—")))</f>
        <v/>
      </c>
      <c r="L219" s="51">
        <f>IF(F219="","",DATE(YEAR(F219),MONTH(F219),1))</f>
        <v/>
      </c>
      <c r="M219" s="51">
        <f>IF(C219="","",DATE(YEAR(C219),MONTH(C219),1))</f>
        <v/>
      </c>
    </row>
    <row r="220">
      <c r="A220" s="38" t="n"/>
      <c r="B220" s="38" t="n"/>
      <c r="C220" s="47" t="n"/>
      <c r="D220" s="38" t="n"/>
      <c r="E220" s="38" t="n"/>
      <c r="F220" s="47" t="n"/>
      <c r="G220" s="57" t="n"/>
      <c r="H220" s="38" t="n"/>
      <c r="I220" s="38" t="n"/>
      <c r="J220" s="50">
        <f>IF(C220="","",IF(OR(E220="Received",E220="Declined"),"",AsOf-C220))</f>
        <v/>
      </c>
      <c r="K220" s="49">
        <f>IF(A220="","",IF(AND(E220="Received",H220&lt;&gt;"Yes"),"Reply to review",IF(N(J220)&gt;=ReviewWait,IF(E220="Reminder sent","Close out","Send reminder"),"—")))</f>
        <v/>
      </c>
      <c r="L220" s="51">
        <f>IF(F220="","",DATE(YEAR(F220),MONTH(F220),1))</f>
        <v/>
      </c>
      <c r="M220" s="51">
        <f>IF(C220="","",DATE(YEAR(C220),MONTH(C220),1))</f>
        <v/>
      </c>
    </row>
    <row r="221">
      <c r="A221" s="38" t="n"/>
      <c r="B221" s="38" t="n"/>
      <c r="C221" s="47" t="n"/>
      <c r="D221" s="38" t="n"/>
      <c r="E221" s="38" t="n"/>
      <c r="F221" s="47" t="n"/>
      <c r="G221" s="57" t="n"/>
      <c r="H221" s="38" t="n"/>
      <c r="I221" s="38" t="n"/>
      <c r="J221" s="50">
        <f>IF(C221="","",IF(OR(E221="Received",E221="Declined"),"",AsOf-C221))</f>
        <v/>
      </c>
      <c r="K221" s="49">
        <f>IF(A221="","",IF(AND(E221="Received",H221&lt;&gt;"Yes"),"Reply to review",IF(N(J221)&gt;=ReviewWait,IF(E221="Reminder sent","Close out","Send reminder"),"—")))</f>
        <v/>
      </c>
      <c r="L221" s="51">
        <f>IF(F221="","",DATE(YEAR(F221),MONTH(F221),1))</f>
        <v/>
      </c>
      <c r="M221" s="51">
        <f>IF(C221="","",DATE(YEAR(C221),MONTH(C221),1))</f>
        <v/>
      </c>
    </row>
    <row r="222">
      <c r="A222" s="38" t="n"/>
      <c r="B222" s="38" t="n"/>
      <c r="C222" s="47" t="n"/>
      <c r="D222" s="38" t="n"/>
      <c r="E222" s="38" t="n"/>
      <c r="F222" s="47" t="n"/>
      <c r="G222" s="57" t="n"/>
      <c r="H222" s="38" t="n"/>
      <c r="I222" s="38" t="n"/>
      <c r="J222" s="50">
        <f>IF(C222="","",IF(OR(E222="Received",E222="Declined"),"",AsOf-C222))</f>
        <v/>
      </c>
      <c r="K222" s="49">
        <f>IF(A222="","",IF(AND(E222="Received",H222&lt;&gt;"Yes"),"Reply to review",IF(N(J222)&gt;=ReviewWait,IF(E222="Reminder sent","Close out","Send reminder"),"—")))</f>
        <v/>
      </c>
      <c r="L222" s="51">
        <f>IF(F222="","",DATE(YEAR(F222),MONTH(F222),1))</f>
        <v/>
      </c>
      <c r="M222" s="51">
        <f>IF(C222="","",DATE(YEAR(C222),MONTH(C222),1))</f>
        <v/>
      </c>
    </row>
    <row r="223">
      <c r="A223" s="38" t="n"/>
      <c r="B223" s="38" t="n"/>
      <c r="C223" s="47" t="n"/>
      <c r="D223" s="38" t="n"/>
      <c r="E223" s="38" t="n"/>
      <c r="F223" s="47" t="n"/>
      <c r="G223" s="57" t="n"/>
      <c r="H223" s="38" t="n"/>
      <c r="I223" s="38" t="n"/>
      <c r="J223" s="50">
        <f>IF(C223="","",IF(OR(E223="Received",E223="Declined"),"",AsOf-C223))</f>
        <v/>
      </c>
      <c r="K223" s="49">
        <f>IF(A223="","",IF(AND(E223="Received",H223&lt;&gt;"Yes"),"Reply to review",IF(N(J223)&gt;=ReviewWait,IF(E223="Reminder sent","Close out","Send reminder"),"—")))</f>
        <v/>
      </c>
      <c r="L223" s="51">
        <f>IF(F223="","",DATE(YEAR(F223),MONTH(F223),1))</f>
        <v/>
      </c>
      <c r="M223" s="51">
        <f>IF(C223="","",DATE(YEAR(C223),MONTH(C223),1))</f>
        <v/>
      </c>
    </row>
    <row r="224">
      <c r="A224" s="38" t="n"/>
      <c r="B224" s="38" t="n"/>
      <c r="C224" s="47" t="n"/>
      <c r="D224" s="38" t="n"/>
      <c r="E224" s="38" t="n"/>
      <c r="F224" s="47" t="n"/>
      <c r="G224" s="57" t="n"/>
      <c r="H224" s="38" t="n"/>
      <c r="I224" s="38" t="n"/>
      <c r="J224" s="50">
        <f>IF(C224="","",IF(OR(E224="Received",E224="Declined"),"",AsOf-C224))</f>
        <v/>
      </c>
      <c r="K224" s="49">
        <f>IF(A224="","",IF(AND(E224="Received",H224&lt;&gt;"Yes"),"Reply to review",IF(N(J224)&gt;=ReviewWait,IF(E224="Reminder sent","Close out","Send reminder"),"—")))</f>
        <v/>
      </c>
      <c r="L224" s="51">
        <f>IF(F224="","",DATE(YEAR(F224),MONTH(F224),1))</f>
        <v/>
      </c>
      <c r="M224" s="51">
        <f>IF(C224="","",DATE(YEAR(C224),MONTH(C224),1))</f>
        <v/>
      </c>
    </row>
    <row r="225">
      <c r="A225" s="38" t="n"/>
      <c r="B225" s="38" t="n"/>
      <c r="C225" s="47" t="n"/>
      <c r="D225" s="38" t="n"/>
      <c r="E225" s="38" t="n"/>
      <c r="F225" s="47" t="n"/>
      <c r="G225" s="57" t="n"/>
      <c r="H225" s="38" t="n"/>
      <c r="I225" s="38" t="n"/>
      <c r="J225" s="50">
        <f>IF(C225="","",IF(OR(E225="Received",E225="Declined"),"",AsOf-C225))</f>
        <v/>
      </c>
      <c r="K225" s="49">
        <f>IF(A225="","",IF(AND(E225="Received",H225&lt;&gt;"Yes"),"Reply to review",IF(N(J225)&gt;=ReviewWait,IF(E225="Reminder sent","Close out","Send reminder"),"—")))</f>
        <v/>
      </c>
      <c r="L225" s="51">
        <f>IF(F225="","",DATE(YEAR(F225),MONTH(F225),1))</f>
        <v/>
      </c>
      <c r="M225" s="51">
        <f>IF(C225="","",DATE(YEAR(C225),MONTH(C225),1))</f>
        <v/>
      </c>
    </row>
    <row r="226">
      <c r="A226" s="38" t="n"/>
      <c r="B226" s="38" t="n"/>
      <c r="C226" s="47" t="n"/>
      <c r="D226" s="38" t="n"/>
      <c r="E226" s="38" t="n"/>
      <c r="F226" s="47" t="n"/>
      <c r="G226" s="57" t="n"/>
      <c r="H226" s="38" t="n"/>
      <c r="I226" s="38" t="n"/>
      <c r="J226" s="50">
        <f>IF(C226="","",IF(OR(E226="Received",E226="Declined"),"",AsOf-C226))</f>
        <v/>
      </c>
      <c r="K226" s="49">
        <f>IF(A226="","",IF(AND(E226="Received",H226&lt;&gt;"Yes"),"Reply to review",IF(N(J226)&gt;=ReviewWait,IF(E226="Reminder sent","Close out","Send reminder"),"—")))</f>
        <v/>
      </c>
      <c r="L226" s="51">
        <f>IF(F226="","",DATE(YEAR(F226),MONTH(F226),1))</f>
        <v/>
      </c>
      <c r="M226" s="51">
        <f>IF(C226="","",DATE(YEAR(C226),MONTH(C226),1))</f>
        <v/>
      </c>
    </row>
    <row r="227">
      <c r="A227" s="38" t="n"/>
      <c r="B227" s="38" t="n"/>
      <c r="C227" s="47" t="n"/>
      <c r="D227" s="38" t="n"/>
      <c r="E227" s="38" t="n"/>
      <c r="F227" s="47" t="n"/>
      <c r="G227" s="57" t="n"/>
      <c r="H227" s="38" t="n"/>
      <c r="I227" s="38" t="n"/>
      <c r="J227" s="50">
        <f>IF(C227="","",IF(OR(E227="Received",E227="Declined"),"",AsOf-C227))</f>
        <v/>
      </c>
      <c r="K227" s="49">
        <f>IF(A227="","",IF(AND(E227="Received",H227&lt;&gt;"Yes"),"Reply to review",IF(N(J227)&gt;=ReviewWait,IF(E227="Reminder sent","Close out","Send reminder"),"—")))</f>
        <v/>
      </c>
      <c r="L227" s="51">
        <f>IF(F227="","",DATE(YEAR(F227),MONTH(F227),1))</f>
        <v/>
      </c>
      <c r="M227" s="51">
        <f>IF(C227="","",DATE(YEAR(C227),MONTH(C227),1))</f>
        <v/>
      </c>
    </row>
    <row r="228">
      <c r="A228" s="38" t="n"/>
      <c r="B228" s="38" t="n"/>
      <c r="C228" s="47" t="n"/>
      <c r="D228" s="38" t="n"/>
      <c r="E228" s="38" t="n"/>
      <c r="F228" s="47" t="n"/>
      <c r="G228" s="57" t="n"/>
      <c r="H228" s="38" t="n"/>
      <c r="I228" s="38" t="n"/>
      <c r="J228" s="50">
        <f>IF(C228="","",IF(OR(E228="Received",E228="Declined"),"",AsOf-C228))</f>
        <v/>
      </c>
      <c r="K228" s="49">
        <f>IF(A228="","",IF(AND(E228="Received",H228&lt;&gt;"Yes"),"Reply to review",IF(N(J228)&gt;=ReviewWait,IF(E228="Reminder sent","Close out","Send reminder"),"—")))</f>
        <v/>
      </c>
      <c r="L228" s="51">
        <f>IF(F228="","",DATE(YEAR(F228),MONTH(F228),1))</f>
        <v/>
      </c>
      <c r="M228" s="51">
        <f>IF(C228="","",DATE(YEAR(C228),MONTH(C228),1))</f>
        <v/>
      </c>
    </row>
    <row r="229">
      <c r="A229" s="38" t="n"/>
      <c r="B229" s="38" t="n"/>
      <c r="C229" s="47" t="n"/>
      <c r="D229" s="38" t="n"/>
      <c r="E229" s="38" t="n"/>
      <c r="F229" s="47" t="n"/>
      <c r="G229" s="57" t="n"/>
      <c r="H229" s="38" t="n"/>
      <c r="I229" s="38" t="n"/>
      <c r="J229" s="50">
        <f>IF(C229="","",IF(OR(E229="Received",E229="Declined"),"",AsOf-C229))</f>
        <v/>
      </c>
      <c r="K229" s="49">
        <f>IF(A229="","",IF(AND(E229="Received",H229&lt;&gt;"Yes"),"Reply to review",IF(N(J229)&gt;=ReviewWait,IF(E229="Reminder sent","Close out","Send reminder"),"—")))</f>
        <v/>
      </c>
      <c r="L229" s="51">
        <f>IF(F229="","",DATE(YEAR(F229),MONTH(F229),1))</f>
        <v/>
      </c>
      <c r="M229" s="51">
        <f>IF(C229="","",DATE(YEAR(C229),MONTH(C229),1))</f>
        <v/>
      </c>
    </row>
    <row r="230">
      <c r="A230" s="38" t="n"/>
      <c r="B230" s="38" t="n"/>
      <c r="C230" s="47" t="n"/>
      <c r="D230" s="38" t="n"/>
      <c r="E230" s="38" t="n"/>
      <c r="F230" s="47" t="n"/>
      <c r="G230" s="57" t="n"/>
      <c r="H230" s="38" t="n"/>
      <c r="I230" s="38" t="n"/>
      <c r="J230" s="50">
        <f>IF(C230="","",IF(OR(E230="Received",E230="Declined"),"",AsOf-C230))</f>
        <v/>
      </c>
      <c r="K230" s="49">
        <f>IF(A230="","",IF(AND(E230="Received",H230&lt;&gt;"Yes"),"Reply to review",IF(N(J230)&gt;=ReviewWait,IF(E230="Reminder sent","Close out","Send reminder"),"—")))</f>
        <v/>
      </c>
      <c r="L230" s="51">
        <f>IF(F230="","",DATE(YEAR(F230),MONTH(F230),1))</f>
        <v/>
      </c>
      <c r="M230" s="51">
        <f>IF(C230="","",DATE(YEAR(C230),MONTH(C230),1))</f>
        <v/>
      </c>
    </row>
    <row r="231">
      <c r="A231" s="38" t="n"/>
      <c r="B231" s="38" t="n"/>
      <c r="C231" s="47" t="n"/>
      <c r="D231" s="38" t="n"/>
      <c r="E231" s="38" t="n"/>
      <c r="F231" s="47" t="n"/>
      <c r="G231" s="57" t="n"/>
      <c r="H231" s="38" t="n"/>
      <c r="I231" s="38" t="n"/>
      <c r="J231" s="50">
        <f>IF(C231="","",IF(OR(E231="Received",E231="Declined"),"",AsOf-C231))</f>
        <v/>
      </c>
      <c r="K231" s="49">
        <f>IF(A231="","",IF(AND(E231="Received",H231&lt;&gt;"Yes"),"Reply to review",IF(N(J231)&gt;=ReviewWait,IF(E231="Reminder sent","Close out","Send reminder"),"—")))</f>
        <v/>
      </c>
      <c r="L231" s="51">
        <f>IF(F231="","",DATE(YEAR(F231),MONTH(F231),1))</f>
        <v/>
      </c>
      <c r="M231" s="51">
        <f>IF(C231="","",DATE(YEAR(C231),MONTH(C231),1))</f>
        <v/>
      </c>
    </row>
    <row r="232">
      <c r="A232" s="38" t="n"/>
      <c r="B232" s="38" t="n"/>
      <c r="C232" s="47" t="n"/>
      <c r="D232" s="38" t="n"/>
      <c r="E232" s="38" t="n"/>
      <c r="F232" s="47" t="n"/>
      <c r="G232" s="57" t="n"/>
      <c r="H232" s="38" t="n"/>
      <c r="I232" s="38" t="n"/>
      <c r="J232" s="50">
        <f>IF(C232="","",IF(OR(E232="Received",E232="Declined"),"",AsOf-C232))</f>
        <v/>
      </c>
      <c r="K232" s="49">
        <f>IF(A232="","",IF(AND(E232="Received",H232&lt;&gt;"Yes"),"Reply to review",IF(N(J232)&gt;=ReviewWait,IF(E232="Reminder sent","Close out","Send reminder"),"—")))</f>
        <v/>
      </c>
      <c r="L232" s="51">
        <f>IF(F232="","",DATE(YEAR(F232),MONTH(F232),1))</f>
        <v/>
      </c>
      <c r="M232" s="51">
        <f>IF(C232="","",DATE(YEAR(C232),MONTH(C232),1))</f>
        <v/>
      </c>
    </row>
    <row r="233">
      <c r="A233" s="38" t="n"/>
      <c r="B233" s="38" t="n"/>
      <c r="C233" s="47" t="n"/>
      <c r="D233" s="38" t="n"/>
      <c r="E233" s="38" t="n"/>
      <c r="F233" s="47" t="n"/>
      <c r="G233" s="57" t="n"/>
      <c r="H233" s="38" t="n"/>
      <c r="I233" s="38" t="n"/>
      <c r="J233" s="50">
        <f>IF(C233="","",IF(OR(E233="Received",E233="Declined"),"",AsOf-C233))</f>
        <v/>
      </c>
      <c r="K233" s="49">
        <f>IF(A233="","",IF(AND(E233="Received",H233&lt;&gt;"Yes"),"Reply to review",IF(N(J233)&gt;=ReviewWait,IF(E233="Reminder sent","Close out","Send reminder"),"—")))</f>
        <v/>
      </c>
      <c r="L233" s="51">
        <f>IF(F233="","",DATE(YEAR(F233),MONTH(F233),1))</f>
        <v/>
      </c>
      <c r="M233" s="51">
        <f>IF(C233="","",DATE(YEAR(C233),MONTH(C233),1))</f>
        <v/>
      </c>
    </row>
    <row r="234">
      <c r="A234" s="38" t="n"/>
      <c r="B234" s="38" t="n"/>
      <c r="C234" s="47" t="n"/>
      <c r="D234" s="38" t="n"/>
      <c r="E234" s="38" t="n"/>
      <c r="F234" s="47" t="n"/>
      <c r="G234" s="57" t="n"/>
      <c r="H234" s="38" t="n"/>
      <c r="I234" s="38" t="n"/>
      <c r="J234" s="50">
        <f>IF(C234="","",IF(OR(E234="Received",E234="Declined"),"",AsOf-C234))</f>
        <v/>
      </c>
      <c r="K234" s="49">
        <f>IF(A234="","",IF(AND(E234="Received",H234&lt;&gt;"Yes"),"Reply to review",IF(N(J234)&gt;=ReviewWait,IF(E234="Reminder sent","Close out","Send reminder"),"—")))</f>
        <v/>
      </c>
      <c r="L234" s="51">
        <f>IF(F234="","",DATE(YEAR(F234),MONTH(F234),1))</f>
        <v/>
      </c>
      <c r="M234" s="51">
        <f>IF(C234="","",DATE(YEAR(C234),MONTH(C234),1))</f>
        <v/>
      </c>
    </row>
    <row r="235">
      <c r="A235" s="38" t="n"/>
      <c r="B235" s="38" t="n"/>
      <c r="C235" s="47" t="n"/>
      <c r="D235" s="38" t="n"/>
      <c r="E235" s="38" t="n"/>
      <c r="F235" s="47" t="n"/>
      <c r="G235" s="57" t="n"/>
      <c r="H235" s="38" t="n"/>
      <c r="I235" s="38" t="n"/>
      <c r="J235" s="50">
        <f>IF(C235="","",IF(OR(E235="Received",E235="Declined"),"",AsOf-C235))</f>
        <v/>
      </c>
      <c r="K235" s="49">
        <f>IF(A235="","",IF(AND(E235="Received",H235&lt;&gt;"Yes"),"Reply to review",IF(N(J235)&gt;=ReviewWait,IF(E235="Reminder sent","Close out","Send reminder"),"—")))</f>
        <v/>
      </c>
      <c r="L235" s="51">
        <f>IF(F235="","",DATE(YEAR(F235),MONTH(F235),1))</f>
        <v/>
      </c>
      <c r="M235" s="51">
        <f>IF(C235="","",DATE(YEAR(C235),MONTH(C235),1))</f>
        <v/>
      </c>
    </row>
    <row r="236">
      <c r="A236" s="38" t="n"/>
      <c r="B236" s="38" t="n"/>
      <c r="C236" s="47" t="n"/>
      <c r="D236" s="38" t="n"/>
      <c r="E236" s="38" t="n"/>
      <c r="F236" s="47" t="n"/>
      <c r="G236" s="57" t="n"/>
      <c r="H236" s="38" t="n"/>
      <c r="I236" s="38" t="n"/>
      <c r="J236" s="50">
        <f>IF(C236="","",IF(OR(E236="Received",E236="Declined"),"",AsOf-C236))</f>
        <v/>
      </c>
      <c r="K236" s="49">
        <f>IF(A236="","",IF(AND(E236="Received",H236&lt;&gt;"Yes"),"Reply to review",IF(N(J236)&gt;=ReviewWait,IF(E236="Reminder sent","Close out","Send reminder"),"—")))</f>
        <v/>
      </c>
      <c r="L236" s="51">
        <f>IF(F236="","",DATE(YEAR(F236),MONTH(F236),1))</f>
        <v/>
      </c>
      <c r="M236" s="51">
        <f>IF(C236="","",DATE(YEAR(C236),MONTH(C236),1))</f>
        <v/>
      </c>
    </row>
    <row r="237">
      <c r="A237" s="38" t="n"/>
      <c r="B237" s="38" t="n"/>
      <c r="C237" s="47" t="n"/>
      <c r="D237" s="38" t="n"/>
      <c r="E237" s="38" t="n"/>
      <c r="F237" s="47" t="n"/>
      <c r="G237" s="57" t="n"/>
      <c r="H237" s="38" t="n"/>
      <c r="I237" s="38" t="n"/>
      <c r="J237" s="50">
        <f>IF(C237="","",IF(OR(E237="Received",E237="Declined"),"",AsOf-C237))</f>
        <v/>
      </c>
      <c r="K237" s="49">
        <f>IF(A237="","",IF(AND(E237="Received",H237&lt;&gt;"Yes"),"Reply to review",IF(N(J237)&gt;=ReviewWait,IF(E237="Reminder sent","Close out","Send reminder"),"—")))</f>
        <v/>
      </c>
      <c r="L237" s="51">
        <f>IF(F237="","",DATE(YEAR(F237),MONTH(F237),1))</f>
        <v/>
      </c>
      <c r="M237" s="51">
        <f>IF(C237="","",DATE(YEAR(C237),MONTH(C237),1))</f>
        <v/>
      </c>
    </row>
    <row r="238">
      <c r="A238" s="38" t="n"/>
      <c r="B238" s="38" t="n"/>
      <c r="C238" s="47" t="n"/>
      <c r="D238" s="38" t="n"/>
      <c r="E238" s="38" t="n"/>
      <c r="F238" s="47" t="n"/>
      <c r="G238" s="57" t="n"/>
      <c r="H238" s="38" t="n"/>
      <c r="I238" s="38" t="n"/>
      <c r="J238" s="50">
        <f>IF(C238="","",IF(OR(E238="Received",E238="Declined"),"",AsOf-C238))</f>
        <v/>
      </c>
      <c r="K238" s="49">
        <f>IF(A238="","",IF(AND(E238="Received",H238&lt;&gt;"Yes"),"Reply to review",IF(N(J238)&gt;=ReviewWait,IF(E238="Reminder sent","Close out","Send reminder"),"—")))</f>
        <v/>
      </c>
      <c r="L238" s="51">
        <f>IF(F238="","",DATE(YEAR(F238),MONTH(F238),1))</f>
        <v/>
      </c>
      <c r="M238" s="51">
        <f>IF(C238="","",DATE(YEAR(C238),MONTH(C238),1))</f>
        <v/>
      </c>
    </row>
    <row r="239">
      <c r="A239" s="38" t="n"/>
      <c r="B239" s="38" t="n"/>
      <c r="C239" s="47" t="n"/>
      <c r="D239" s="38" t="n"/>
      <c r="E239" s="38" t="n"/>
      <c r="F239" s="47" t="n"/>
      <c r="G239" s="57" t="n"/>
      <c r="H239" s="38" t="n"/>
      <c r="I239" s="38" t="n"/>
      <c r="J239" s="50">
        <f>IF(C239="","",IF(OR(E239="Received",E239="Declined"),"",AsOf-C239))</f>
        <v/>
      </c>
      <c r="K239" s="49">
        <f>IF(A239="","",IF(AND(E239="Received",H239&lt;&gt;"Yes"),"Reply to review",IF(N(J239)&gt;=ReviewWait,IF(E239="Reminder sent","Close out","Send reminder"),"—")))</f>
        <v/>
      </c>
      <c r="L239" s="51">
        <f>IF(F239="","",DATE(YEAR(F239),MONTH(F239),1))</f>
        <v/>
      </c>
      <c r="M239" s="51">
        <f>IF(C239="","",DATE(YEAR(C239),MONTH(C239),1))</f>
        <v/>
      </c>
    </row>
    <row r="240">
      <c r="A240" s="38" t="n"/>
      <c r="B240" s="38" t="n"/>
      <c r="C240" s="47" t="n"/>
      <c r="D240" s="38" t="n"/>
      <c r="E240" s="38" t="n"/>
      <c r="F240" s="47" t="n"/>
      <c r="G240" s="57" t="n"/>
      <c r="H240" s="38" t="n"/>
      <c r="I240" s="38" t="n"/>
      <c r="J240" s="50">
        <f>IF(C240="","",IF(OR(E240="Received",E240="Declined"),"",AsOf-C240))</f>
        <v/>
      </c>
      <c r="K240" s="49">
        <f>IF(A240="","",IF(AND(E240="Received",H240&lt;&gt;"Yes"),"Reply to review",IF(N(J240)&gt;=ReviewWait,IF(E240="Reminder sent","Close out","Send reminder"),"—")))</f>
        <v/>
      </c>
      <c r="L240" s="51">
        <f>IF(F240="","",DATE(YEAR(F240),MONTH(F240),1))</f>
        <v/>
      </c>
      <c r="M240" s="51">
        <f>IF(C240="","",DATE(YEAR(C240),MONTH(C240),1))</f>
        <v/>
      </c>
    </row>
    <row r="241">
      <c r="A241" s="38" t="n"/>
      <c r="B241" s="38" t="n"/>
      <c r="C241" s="47" t="n"/>
      <c r="D241" s="38" t="n"/>
      <c r="E241" s="38" t="n"/>
      <c r="F241" s="47" t="n"/>
      <c r="G241" s="57" t="n"/>
      <c r="H241" s="38" t="n"/>
      <c r="I241" s="38" t="n"/>
      <c r="J241" s="50">
        <f>IF(C241="","",IF(OR(E241="Received",E241="Declined"),"",AsOf-C241))</f>
        <v/>
      </c>
      <c r="K241" s="49">
        <f>IF(A241="","",IF(AND(E241="Received",H241&lt;&gt;"Yes"),"Reply to review",IF(N(J241)&gt;=ReviewWait,IF(E241="Reminder sent","Close out","Send reminder"),"—")))</f>
        <v/>
      </c>
      <c r="L241" s="51">
        <f>IF(F241="","",DATE(YEAR(F241),MONTH(F241),1))</f>
        <v/>
      </c>
      <c r="M241" s="51">
        <f>IF(C241="","",DATE(YEAR(C241),MONTH(C241),1))</f>
        <v/>
      </c>
    </row>
    <row r="242">
      <c r="A242" s="38" t="n"/>
      <c r="B242" s="38" t="n"/>
      <c r="C242" s="47" t="n"/>
      <c r="D242" s="38" t="n"/>
      <c r="E242" s="38" t="n"/>
      <c r="F242" s="47" t="n"/>
      <c r="G242" s="57" t="n"/>
      <c r="H242" s="38" t="n"/>
      <c r="I242" s="38" t="n"/>
      <c r="J242" s="50">
        <f>IF(C242="","",IF(OR(E242="Received",E242="Declined"),"",AsOf-C242))</f>
        <v/>
      </c>
      <c r="K242" s="49">
        <f>IF(A242="","",IF(AND(E242="Received",H242&lt;&gt;"Yes"),"Reply to review",IF(N(J242)&gt;=ReviewWait,IF(E242="Reminder sent","Close out","Send reminder"),"—")))</f>
        <v/>
      </c>
      <c r="L242" s="51">
        <f>IF(F242="","",DATE(YEAR(F242),MONTH(F242),1))</f>
        <v/>
      </c>
      <c r="M242" s="51">
        <f>IF(C242="","",DATE(YEAR(C242),MONTH(C242),1))</f>
        <v/>
      </c>
    </row>
    <row r="243">
      <c r="A243" s="38" t="n"/>
      <c r="B243" s="38" t="n"/>
      <c r="C243" s="47" t="n"/>
      <c r="D243" s="38" t="n"/>
      <c r="E243" s="38" t="n"/>
      <c r="F243" s="47" t="n"/>
      <c r="G243" s="57" t="n"/>
      <c r="H243" s="38" t="n"/>
      <c r="I243" s="38" t="n"/>
      <c r="J243" s="50">
        <f>IF(C243="","",IF(OR(E243="Received",E243="Declined"),"",AsOf-C243))</f>
        <v/>
      </c>
      <c r="K243" s="49">
        <f>IF(A243="","",IF(AND(E243="Received",H243&lt;&gt;"Yes"),"Reply to review",IF(N(J243)&gt;=ReviewWait,IF(E243="Reminder sent","Close out","Send reminder"),"—")))</f>
        <v/>
      </c>
      <c r="L243" s="51">
        <f>IF(F243="","",DATE(YEAR(F243),MONTH(F243),1))</f>
        <v/>
      </c>
      <c r="M243" s="51">
        <f>IF(C243="","",DATE(YEAR(C243),MONTH(C243),1))</f>
        <v/>
      </c>
    </row>
    <row r="244">
      <c r="A244" s="38" t="n"/>
      <c r="B244" s="38" t="n"/>
      <c r="C244" s="47" t="n"/>
      <c r="D244" s="38" t="n"/>
      <c r="E244" s="38" t="n"/>
      <c r="F244" s="47" t="n"/>
      <c r="G244" s="57" t="n"/>
      <c r="H244" s="38" t="n"/>
      <c r="I244" s="38" t="n"/>
      <c r="J244" s="50">
        <f>IF(C244="","",IF(OR(E244="Received",E244="Declined"),"",AsOf-C244))</f>
        <v/>
      </c>
      <c r="K244" s="49">
        <f>IF(A244="","",IF(AND(E244="Received",H244&lt;&gt;"Yes"),"Reply to review",IF(N(J244)&gt;=ReviewWait,IF(E244="Reminder sent","Close out","Send reminder"),"—")))</f>
        <v/>
      </c>
      <c r="L244" s="51">
        <f>IF(F244="","",DATE(YEAR(F244),MONTH(F244),1))</f>
        <v/>
      </c>
      <c r="M244" s="51">
        <f>IF(C244="","",DATE(YEAR(C244),MONTH(C244),1))</f>
        <v/>
      </c>
    </row>
    <row r="245">
      <c r="A245" s="38" t="n"/>
      <c r="B245" s="38" t="n"/>
      <c r="C245" s="47" t="n"/>
      <c r="D245" s="38" t="n"/>
      <c r="E245" s="38" t="n"/>
      <c r="F245" s="47" t="n"/>
      <c r="G245" s="57" t="n"/>
      <c r="H245" s="38" t="n"/>
      <c r="I245" s="38" t="n"/>
      <c r="J245" s="50">
        <f>IF(C245="","",IF(OR(E245="Received",E245="Declined"),"",AsOf-C245))</f>
        <v/>
      </c>
      <c r="K245" s="49">
        <f>IF(A245="","",IF(AND(E245="Received",H245&lt;&gt;"Yes"),"Reply to review",IF(N(J245)&gt;=ReviewWait,IF(E245="Reminder sent","Close out","Send reminder"),"—")))</f>
        <v/>
      </c>
      <c r="L245" s="51">
        <f>IF(F245="","",DATE(YEAR(F245),MONTH(F245),1))</f>
        <v/>
      </c>
      <c r="M245" s="51">
        <f>IF(C245="","",DATE(YEAR(C245),MONTH(C245),1))</f>
        <v/>
      </c>
    </row>
    <row r="246">
      <c r="A246" s="38" t="n"/>
      <c r="B246" s="38" t="n"/>
      <c r="C246" s="47" t="n"/>
      <c r="D246" s="38" t="n"/>
      <c r="E246" s="38" t="n"/>
      <c r="F246" s="47" t="n"/>
      <c r="G246" s="57" t="n"/>
      <c r="H246" s="38" t="n"/>
      <c r="I246" s="38" t="n"/>
      <c r="J246" s="50">
        <f>IF(C246="","",IF(OR(E246="Received",E246="Declined"),"",AsOf-C246))</f>
        <v/>
      </c>
      <c r="K246" s="49">
        <f>IF(A246="","",IF(AND(E246="Received",H246&lt;&gt;"Yes"),"Reply to review",IF(N(J246)&gt;=ReviewWait,IF(E246="Reminder sent","Close out","Send reminder"),"—")))</f>
        <v/>
      </c>
      <c r="L246" s="51">
        <f>IF(F246="","",DATE(YEAR(F246),MONTH(F246),1))</f>
        <v/>
      </c>
      <c r="M246" s="51">
        <f>IF(C246="","",DATE(YEAR(C246),MONTH(C246),1))</f>
        <v/>
      </c>
    </row>
    <row r="247">
      <c r="A247" s="38" t="n"/>
      <c r="B247" s="38" t="n"/>
      <c r="C247" s="47" t="n"/>
      <c r="D247" s="38" t="n"/>
      <c r="E247" s="38" t="n"/>
      <c r="F247" s="47" t="n"/>
      <c r="G247" s="57" t="n"/>
      <c r="H247" s="38" t="n"/>
      <c r="I247" s="38" t="n"/>
      <c r="J247" s="50">
        <f>IF(C247="","",IF(OR(E247="Received",E247="Declined"),"",AsOf-C247))</f>
        <v/>
      </c>
      <c r="K247" s="49">
        <f>IF(A247="","",IF(AND(E247="Received",H247&lt;&gt;"Yes"),"Reply to review",IF(N(J247)&gt;=ReviewWait,IF(E247="Reminder sent","Close out","Send reminder"),"—")))</f>
        <v/>
      </c>
      <c r="L247" s="51">
        <f>IF(F247="","",DATE(YEAR(F247),MONTH(F247),1))</f>
        <v/>
      </c>
      <c r="M247" s="51">
        <f>IF(C247="","",DATE(YEAR(C247),MONTH(C247),1))</f>
        <v/>
      </c>
    </row>
    <row r="248">
      <c r="A248" s="38" t="n"/>
      <c r="B248" s="38" t="n"/>
      <c r="C248" s="47" t="n"/>
      <c r="D248" s="38" t="n"/>
      <c r="E248" s="38" t="n"/>
      <c r="F248" s="47" t="n"/>
      <c r="G248" s="57" t="n"/>
      <c r="H248" s="38" t="n"/>
      <c r="I248" s="38" t="n"/>
      <c r="J248" s="50">
        <f>IF(C248="","",IF(OR(E248="Received",E248="Declined"),"",AsOf-C248))</f>
        <v/>
      </c>
      <c r="K248" s="49">
        <f>IF(A248="","",IF(AND(E248="Received",H248&lt;&gt;"Yes"),"Reply to review",IF(N(J248)&gt;=ReviewWait,IF(E248="Reminder sent","Close out","Send reminder"),"—")))</f>
        <v/>
      </c>
      <c r="L248" s="51">
        <f>IF(F248="","",DATE(YEAR(F248),MONTH(F248),1))</f>
        <v/>
      </c>
      <c r="M248" s="51">
        <f>IF(C248="","",DATE(YEAR(C248),MONTH(C248),1))</f>
        <v/>
      </c>
    </row>
    <row r="249">
      <c r="A249" s="38" t="n"/>
      <c r="B249" s="38" t="n"/>
      <c r="C249" s="47" t="n"/>
      <c r="D249" s="38" t="n"/>
      <c r="E249" s="38" t="n"/>
      <c r="F249" s="47" t="n"/>
      <c r="G249" s="57" t="n"/>
      <c r="H249" s="38" t="n"/>
      <c r="I249" s="38" t="n"/>
      <c r="J249" s="50">
        <f>IF(C249="","",IF(OR(E249="Received",E249="Declined"),"",AsOf-C249))</f>
        <v/>
      </c>
      <c r="K249" s="49">
        <f>IF(A249="","",IF(AND(E249="Received",H249&lt;&gt;"Yes"),"Reply to review",IF(N(J249)&gt;=ReviewWait,IF(E249="Reminder sent","Close out","Send reminder"),"—")))</f>
        <v/>
      </c>
      <c r="L249" s="51">
        <f>IF(F249="","",DATE(YEAR(F249),MONTH(F249),1))</f>
        <v/>
      </c>
      <c r="M249" s="51">
        <f>IF(C249="","",DATE(YEAR(C249),MONTH(C249),1))</f>
        <v/>
      </c>
    </row>
    <row r="250">
      <c r="A250" s="38" t="n"/>
      <c r="B250" s="38" t="n"/>
      <c r="C250" s="47" t="n"/>
      <c r="D250" s="38" t="n"/>
      <c r="E250" s="38" t="n"/>
      <c r="F250" s="47" t="n"/>
      <c r="G250" s="57" t="n"/>
      <c r="H250" s="38" t="n"/>
      <c r="I250" s="38" t="n"/>
      <c r="J250" s="50">
        <f>IF(C250="","",IF(OR(E250="Received",E250="Declined"),"",AsOf-C250))</f>
        <v/>
      </c>
      <c r="K250" s="49">
        <f>IF(A250="","",IF(AND(E250="Received",H250&lt;&gt;"Yes"),"Reply to review",IF(N(J250)&gt;=ReviewWait,IF(E250="Reminder sent","Close out","Send reminder"),"—")))</f>
        <v/>
      </c>
      <c r="L250" s="51">
        <f>IF(F250="","",DATE(YEAR(F250),MONTH(F250),1))</f>
        <v/>
      </c>
      <c r="M250" s="51">
        <f>IF(C250="","",DATE(YEAR(C250),MONTH(C250),1))</f>
        <v/>
      </c>
    </row>
    <row r="251">
      <c r="A251" s="38" t="n"/>
      <c r="B251" s="38" t="n"/>
      <c r="C251" s="47" t="n"/>
      <c r="D251" s="38" t="n"/>
      <c r="E251" s="38" t="n"/>
      <c r="F251" s="47" t="n"/>
      <c r="G251" s="57" t="n"/>
      <c r="H251" s="38" t="n"/>
      <c r="I251" s="38" t="n"/>
      <c r="J251" s="50">
        <f>IF(C251="","",IF(OR(E251="Received",E251="Declined"),"",AsOf-C251))</f>
        <v/>
      </c>
      <c r="K251" s="49">
        <f>IF(A251="","",IF(AND(E251="Received",H251&lt;&gt;"Yes"),"Reply to review",IF(N(J251)&gt;=ReviewWait,IF(E251="Reminder sent","Close out","Send reminder"),"—")))</f>
        <v/>
      </c>
      <c r="L251" s="51">
        <f>IF(F251="","",DATE(YEAR(F251),MONTH(F251),1))</f>
        <v/>
      </c>
      <c r="M251" s="51">
        <f>IF(C251="","",DATE(YEAR(C251),MONTH(C251),1))</f>
        <v/>
      </c>
    </row>
    <row r="252">
      <c r="A252" s="38" t="n"/>
      <c r="B252" s="38" t="n"/>
      <c r="C252" s="47" t="n"/>
      <c r="D252" s="38" t="n"/>
      <c r="E252" s="38" t="n"/>
      <c r="F252" s="47" t="n"/>
      <c r="G252" s="57" t="n"/>
      <c r="H252" s="38" t="n"/>
      <c r="I252" s="38" t="n"/>
      <c r="J252" s="50">
        <f>IF(C252="","",IF(OR(E252="Received",E252="Declined"),"",AsOf-C252))</f>
        <v/>
      </c>
      <c r="K252" s="49">
        <f>IF(A252="","",IF(AND(E252="Received",H252&lt;&gt;"Yes"),"Reply to review",IF(N(J252)&gt;=ReviewWait,IF(E252="Reminder sent","Close out","Send reminder"),"—")))</f>
        <v/>
      </c>
      <c r="L252" s="51">
        <f>IF(F252="","",DATE(YEAR(F252),MONTH(F252),1))</f>
        <v/>
      </c>
      <c r="M252" s="51">
        <f>IF(C252="","",DATE(YEAR(C252),MONTH(C252),1))</f>
        <v/>
      </c>
    </row>
    <row r="253">
      <c r="A253" s="38" t="n"/>
      <c r="B253" s="38" t="n"/>
      <c r="C253" s="47" t="n"/>
      <c r="D253" s="38" t="n"/>
      <c r="E253" s="38" t="n"/>
      <c r="F253" s="47" t="n"/>
      <c r="G253" s="57" t="n"/>
      <c r="H253" s="38" t="n"/>
      <c r="I253" s="38" t="n"/>
      <c r="J253" s="50">
        <f>IF(C253="","",IF(OR(E253="Received",E253="Declined"),"",AsOf-C253))</f>
        <v/>
      </c>
      <c r="K253" s="49">
        <f>IF(A253="","",IF(AND(E253="Received",H253&lt;&gt;"Yes"),"Reply to review",IF(N(J253)&gt;=ReviewWait,IF(E253="Reminder sent","Close out","Send reminder"),"—")))</f>
        <v/>
      </c>
      <c r="L253" s="51">
        <f>IF(F253="","",DATE(YEAR(F253),MONTH(F253),1))</f>
        <v/>
      </c>
      <c r="M253" s="51">
        <f>IF(C253="","",DATE(YEAR(C253),MONTH(C253),1))</f>
        <v/>
      </c>
    </row>
    <row r="254">
      <c r="A254" s="38" t="n"/>
      <c r="B254" s="38" t="n"/>
      <c r="C254" s="47" t="n"/>
      <c r="D254" s="38" t="n"/>
      <c r="E254" s="38" t="n"/>
      <c r="F254" s="47" t="n"/>
      <c r="G254" s="57" t="n"/>
      <c r="H254" s="38" t="n"/>
      <c r="I254" s="38" t="n"/>
      <c r="J254" s="50">
        <f>IF(C254="","",IF(OR(E254="Received",E254="Declined"),"",AsOf-C254))</f>
        <v/>
      </c>
      <c r="K254" s="49">
        <f>IF(A254="","",IF(AND(E254="Received",H254&lt;&gt;"Yes"),"Reply to review",IF(N(J254)&gt;=ReviewWait,IF(E254="Reminder sent","Close out","Send reminder"),"—")))</f>
        <v/>
      </c>
      <c r="L254" s="51">
        <f>IF(F254="","",DATE(YEAR(F254),MONTH(F254),1))</f>
        <v/>
      </c>
      <c r="M254" s="51">
        <f>IF(C254="","",DATE(YEAR(C254),MONTH(C254),1))</f>
        <v/>
      </c>
    </row>
    <row r="255">
      <c r="A255" s="38" t="n"/>
      <c r="B255" s="38" t="n"/>
      <c r="C255" s="47" t="n"/>
      <c r="D255" s="38" t="n"/>
      <c r="E255" s="38" t="n"/>
      <c r="F255" s="47" t="n"/>
      <c r="G255" s="57" t="n"/>
      <c r="H255" s="38" t="n"/>
      <c r="I255" s="38" t="n"/>
      <c r="J255" s="50">
        <f>IF(C255="","",IF(OR(E255="Received",E255="Declined"),"",AsOf-C255))</f>
        <v/>
      </c>
      <c r="K255" s="49">
        <f>IF(A255="","",IF(AND(E255="Received",H255&lt;&gt;"Yes"),"Reply to review",IF(N(J255)&gt;=ReviewWait,IF(E255="Reminder sent","Close out","Send reminder"),"—")))</f>
        <v/>
      </c>
      <c r="L255" s="51">
        <f>IF(F255="","",DATE(YEAR(F255),MONTH(F255),1))</f>
        <v/>
      </c>
      <c r="M255" s="51">
        <f>IF(C255="","",DATE(YEAR(C255),MONTH(C255),1))</f>
        <v/>
      </c>
    </row>
    <row r="256">
      <c r="A256" s="38" t="n"/>
      <c r="B256" s="38" t="n"/>
      <c r="C256" s="47" t="n"/>
      <c r="D256" s="38" t="n"/>
      <c r="E256" s="38" t="n"/>
      <c r="F256" s="47" t="n"/>
      <c r="G256" s="57" t="n"/>
      <c r="H256" s="38" t="n"/>
      <c r="I256" s="38" t="n"/>
      <c r="J256" s="50">
        <f>IF(C256="","",IF(OR(E256="Received",E256="Declined"),"",AsOf-C256))</f>
        <v/>
      </c>
      <c r="K256" s="49">
        <f>IF(A256="","",IF(AND(E256="Received",H256&lt;&gt;"Yes"),"Reply to review",IF(N(J256)&gt;=ReviewWait,IF(E256="Reminder sent","Close out","Send reminder"),"—")))</f>
        <v/>
      </c>
      <c r="L256" s="51">
        <f>IF(F256="","",DATE(YEAR(F256),MONTH(F256),1))</f>
        <v/>
      </c>
      <c r="M256" s="51">
        <f>IF(C256="","",DATE(YEAR(C256),MONTH(C256),1))</f>
        <v/>
      </c>
    </row>
    <row r="257">
      <c r="A257" s="38" t="n"/>
      <c r="B257" s="38" t="n"/>
      <c r="C257" s="47" t="n"/>
      <c r="D257" s="38" t="n"/>
      <c r="E257" s="38" t="n"/>
      <c r="F257" s="47" t="n"/>
      <c r="G257" s="57" t="n"/>
      <c r="H257" s="38" t="n"/>
      <c r="I257" s="38" t="n"/>
      <c r="J257" s="50">
        <f>IF(C257="","",IF(OR(E257="Received",E257="Declined"),"",AsOf-C257))</f>
        <v/>
      </c>
      <c r="K257" s="49">
        <f>IF(A257="","",IF(AND(E257="Received",H257&lt;&gt;"Yes"),"Reply to review",IF(N(J257)&gt;=ReviewWait,IF(E257="Reminder sent","Close out","Send reminder"),"—")))</f>
        <v/>
      </c>
      <c r="L257" s="51">
        <f>IF(F257="","",DATE(YEAR(F257),MONTH(F257),1))</f>
        <v/>
      </c>
      <c r="M257" s="51">
        <f>IF(C257="","",DATE(YEAR(C257),MONTH(C257),1))</f>
        <v/>
      </c>
    </row>
    <row r="258">
      <c r="A258" s="38" t="n"/>
      <c r="B258" s="38" t="n"/>
      <c r="C258" s="47" t="n"/>
      <c r="D258" s="38" t="n"/>
      <c r="E258" s="38" t="n"/>
      <c r="F258" s="47" t="n"/>
      <c r="G258" s="57" t="n"/>
      <c r="H258" s="38" t="n"/>
      <c r="I258" s="38" t="n"/>
      <c r="J258" s="50">
        <f>IF(C258="","",IF(OR(E258="Received",E258="Declined"),"",AsOf-C258))</f>
        <v/>
      </c>
      <c r="K258" s="49">
        <f>IF(A258="","",IF(AND(E258="Received",H258&lt;&gt;"Yes"),"Reply to review",IF(N(J258)&gt;=ReviewWait,IF(E258="Reminder sent","Close out","Send reminder"),"—")))</f>
        <v/>
      </c>
      <c r="L258" s="51">
        <f>IF(F258="","",DATE(YEAR(F258),MONTH(F258),1))</f>
        <v/>
      </c>
      <c r="M258" s="51">
        <f>IF(C258="","",DATE(YEAR(C258),MONTH(C258),1))</f>
        <v/>
      </c>
    </row>
    <row r="259">
      <c r="A259" s="38" t="n"/>
      <c r="B259" s="38" t="n"/>
      <c r="C259" s="47" t="n"/>
      <c r="D259" s="38" t="n"/>
      <c r="E259" s="38" t="n"/>
      <c r="F259" s="47" t="n"/>
      <c r="G259" s="57" t="n"/>
      <c r="H259" s="38" t="n"/>
      <c r="I259" s="38" t="n"/>
      <c r="J259" s="50">
        <f>IF(C259="","",IF(OR(E259="Received",E259="Declined"),"",AsOf-C259))</f>
        <v/>
      </c>
      <c r="K259" s="49">
        <f>IF(A259="","",IF(AND(E259="Received",H259&lt;&gt;"Yes"),"Reply to review",IF(N(J259)&gt;=ReviewWait,IF(E259="Reminder sent","Close out","Send reminder"),"—")))</f>
        <v/>
      </c>
      <c r="L259" s="51">
        <f>IF(F259="","",DATE(YEAR(F259),MONTH(F259),1))</f>
        <v/>
      </c>
      <c r="M259" s="51">
        <f>IF(C259="","",DATE(YEAR(C259),MONTH(C259),1))</f>
        <v/>
      </c>
    </row>
    <row r="260">
      <c r="A260" s="38" t="n"/>
      <c r="B260" s="38" t="n"/>
      <c r="C260" s="47" t="n"/>
      <c r="D260" s="38" t="n"/>
      <c r="E260" s="38" t="n"/>
      <c r="F260" s="47" t="n"/>
      <c r="G260" s="57" t="n"/>
      <c r="H260" s="38" t="n"/>
      <c r="I260" s="38" t="n"/>
      <c r="J260" s="50">
        <f>IF(C260="","",IF(OR(E260="Received",E260="Declined"),"",AsOf-C260))</f>
        <v/>
      </c>
      <c r="K260" s="49">
        <f>IF(A260="","",IF(AND(E260="Received",H260&lt;&gt;"Yes"),"Reply to review",IF(N(J260)&gt;=ReviewWait,IF(E260="Reminder sent","Close out","Send reminder"),"—")))</f>
        <v/>
      </c>
      <c r="L260" s="51">
        <f>IF(F260="","",DATE(YEAR(F260),MONTH(F260),1))</f>
        <v/>
      </c>
      <c r="M260" s="51">
        <f>IF(C260="","",DATE(YEAR(C260),MONTH(C260),1))</f>
        <v/>
      </c>
    </row>
    <row r="261">
      <c r="A261" s="38" t="n"/>
      <c r="B261" s="38" t="n"/>
      <c r="C261" s="47" t="n"/>
      <c r="D261" s="38" t="n"/>
      <c r="E261" s="38" t="n"/>
      <c r="F261" s="47" t="n"/>
      <c r="G261" s="57" t="n"/>
      <c r="H261" s="38" t="n"/>
      <c r="I261" s="38" t="n"/>
      <c r="J261" s="50">
        <f>IF(C261="","",IF(OR(E261="Received",E261="Declined"),"",AsOf-C261))</f>
        <v/>
      </c>
      <c r="K261" s="49">
        <f>IF(A261="","",IF(AND(E261="Received",H261&lt;&gt;"Yes"),"Reply to review",IF(N(J261)&gt;=ReviewWait,IF(E261="Reminder sent","Close out","Send reminder"),"—")))</f>
        <v/>
      </c>
      <c r="L261" s="51">
        <f>IF(F261="","",DATE(YEAR(F261),MONTH(F261),1))</f>
        <v/>
      </c>
      <c r="M261" s="51">
        <f>IF(C261="","",DATE(YEAR(C261),MONTH(C261),1))</f>
        <v/>
      </c>
    </row>
    <row r="262">
      <c r="A262" s="38" t="n"/>
      <c r="B262" s="38" t="n"/>
      <c r="C262" s="47" t="n"/>
      <c r="D262" s="38" t="n"/>
      <c r="E262" s="38" t="n"/>
      <c r="F262" s="47" t="n"/>
      <c r="G262" s="57" t="n"/>
      <c r="H262" s="38" t="n"/>
      <c r="I262" s="38" t="n"/>
      <c r="J262" s="50">
        <f>IF(C262="","",IF(OR(E262="Received",E262="Declined"),"",AsOf-C262))</f>
        <v/>
      </c>
      <c r="K262" s="49">
        <f>IF(A262="","",IF(AND(E262="Received",H262&lt;&gt;"Yes"),"Reply to review",IF(N(J262)&gt;=ReviewWait,IF(E262="Reminder sent","Close out","Send reminder"),"—")))</f>
        <v/>
      </c>
      <c r="L262" s="51">
        <f>IF(F262="","",DATE(YEAR(F262),MONTH(F262),1))</f>
        <v/>
      </c>
      <c r="M262" s="51">
        <f>IF(C262="","",DATE(YEAR(C262),MONTH(C262),1))</f>
        <v/>
      </c>
    </row>
    <row r="263">
      <c r="A263" s="38" t="n"/>
      <c r="B263" s="38" t="n"/>
      <c r="C263" s="47" t="n"/>
      <c r="D263" s="38" t="n"/>
      <c r="E263" s="38" t="n"/>
      <c r="F263" s="47" t="n"/>
      <c r="G263" s="57" t="n"/>
      <c r="H263" s="38" t="n"/>
      <c r="I263" s="38" t="n"/>
      <c r="J263" s="50">
        <f>IF(C263="","",IF(OR(E263="Received",E263="Declined"),"",AsOf-C263))</f>
        <v/>
      </c>
      <c r="K263" s="49">
        <f>IF(A263="","",IF(AND(E263="Received",H263&lt;&gt;"Yes"),"Reply to review",IF(N(J263)&gt;=ReviewWait,IF(E263="Reminder sent","Close out","Send reminder"),"—")))</f>
        <v/>
      </c>
      <c r="L263" s="51">
        <f>IF(F263="","",DATE(YEAR(F263),MONTH(F263),1))</f>
        <v/>
      </c>
      <c r="M263" s="51">
        <f>IF(C263="","",DATE(YEAR(C263),MONTH(C263),1))</f>
        <v/>
      </c>
    </row>
    <row r="264">
      <c r="A264" s="38" t="n"/>
      <c r="B264" s="38" t="n"/>
      <c r="C264" s="47" t="n"/>
      <c r="D264" s="38" t="n"/>
      <c r="E264" s="38" t="n"/>
      <c r="F264" s="47" t="n"/>
      <c r="G264" s="57" t="n"/>
      <c r="H264" s="38" t="n"/>
      <c r="I264" s="38" t="n"/>
      <c r="J264" s="50">
        <f>IF(C264="","",IF(OR(E264="Received",E264="Declined"),"",AsOf-C264))</f>
        <v/>
      </c>
      <c r="K264" s="49">
        <f>IF(A264="","",IF(AND(E264="Received",H264&lt;&gt;"Yes"),"Reply to review",IF(N(J264)&gt;=ReviewWait,IF(E264="Reminder sent","Close out","Send reminder"),"—")))</f>
        <v/>
      </c>
      <c r="L264" s="51">
        <f>IF(F264="","",DATE(YEAR(F264),MONTH(F264),1))</f>
        <v/>
      </c>
      <c r="M264" s="51">
        <f>IF(C264="","",DATE(YEAR(C264),MONTH(C264),1))</f>
        <v/>
      </c>
    </row>
    <row r="265">
      <c r="A265" s="38" t="n"/>
      <c r="B265" s="38" t="n"/>
      <c r="C265" s="47" t="n"/>
      <c r="D265" s="38" t="n"/>
      <c r="E265" s="38" t="n"/>
      <c r="F265" s="47" t="n"/>
      <c r="G265" s="57" t="n"/>
      <c r="H265" s="38" t="n"/>
      <c r="I265" s="38" t="n"/>
      <c r="J265" s="50">
        <f>IF(C265="","",IF(OR(E265="Received",E265="Declined"),"",AsOf-C265))</f>
        <v/>
      </c>
      <c r="K265" s="49">
        <f>IF(A265="","",IF(AND(E265="Received",H265&lt;&gt;"Yes"),"Reply to review",IF(N(J265)&gt;=ReviewWait,IF(E265="Reminder sent","Close out","Send reminder"),"—")))</f>
        <v/>
      </c>
      <c r="L265" s="51">
        <f>IF(F265="","",DATE(YEAR(F265),MONTH(F265),1))</f>
        <v/>
      </c>
      <c r="M265" s="51">
        <f>IF(C265="","",DATE(YEAR(C265),MONTH(C265),1))</f>
        <v/>
      </c>
    </row>
    <row r="266">
      <c r="A266" s="38" t="n"/>
      <c r="B266" s="38" t="n"/>
      <c r="C266" s="47" t="n"/>
      <c r="D266" s="38" t="n"/>
      <c r="E266" s="38" t="n"/>
      <c r="F266" s="47" t="n"/>
      <c r="G266" s="57" t="n"/>
      <c r="H266" s="38" t="n"/>
      <c r="I266" s="38" t="n"/>
      <c r="J266" s="50">
        <f>IF(C266="","",IF(OR(E266="Received",E266="Declined"),"",AsOf-C266))</f>
        <v/>
      </c>
      <c r="K266" s="49">
        <f>IF(A266="","",IF(AND(E266="Received",H266&lt;&gt;"Yes"),"Reply to review",IF(N(J266)&gt;=ReviewWait,IF(E266="Reminder sent","Close out","Send reminder"),"—")))</f>
        <v/>
      </c>
      <c r="L266" s="51">
        <f>IF(F266="","",DATE(YEAR(F266),MONTH(F266),1))</f>
        <v/>
      </c>
      <c r="M266" s="51">
        <f>IF(C266="","",DATE(YEAR(C266),MONTH(C266),1))</f>
        <v/>
      </c>
    </row>
    <row r="267">
      <c r="A267" s="38" t="n"/>
      <c r="B267" s="38" t="n"/>
      <c r="C267" s="47" t="n"/>
      <c r="D267" s="38" t="n"/>
      <c r="E267" s="38" t="n"/>
      <c r="F267" s="47" t="n"/>
      <c r="G267" s="57" t="n"/>
      <c r="H267" s="38" t="n"/>
      <c r="I267" s="38" t="n"/>
      <c r="J267" s="50">
        <f>IF(C267="","",IF(OR(E267="Received",E267="Declined"),"",AsOf-C267))</f>
        <v/>
      </c>
      <c r="K267" s="49">
        <f>IF(A267="","",IF(AND(E267="Received",H267&lt;&gt;"Yes"),"Reply to review",IF(N(J267)&gt;=ReviewWait,IF(E267="Reminder sent","Close out","Send reminder"),"—")))</f>
        <v/>
      </c>
      <c r="L267" s="51">
        <f>IF(F267="","",DATE(YEAR(F267),MONTH(F267),1))</f>
        <v/>
      </c>
      <c r="M267" s="51">
        <f>IF(C267="","",DATE(YEAR(C267),MONTH(C267),1))</f>
        <v/>
      </c>
    </row>
    <row r="268">
      <c r="A268" s="38" t="n"/>
      <c r="B268" s="38" t="n"/>
      <c r="C268" s="47" t="n"/>
      <c r="D268" s="38" t="n"/>
      <c r="E268" s="38" t="n"/>
      <c r="F268" s="47" t="n"/>
      <c r="G268" s="57" t="n"/>
      <c r="H268" s="38" t="n"/>
      <c r="I268" s="38" t="n"/>
      <c r="J268" s="50">
        <f>IF(C268="","",IF(OR(E268="Received",E268="Declined"),"",AsOf-C268))</f>
        <v/>
      </c>
      <c r="K268" s="49">
        <f>IF(A268="","",IF(AND(E268="Received",H268&lt;&gt;"Yes"),"Reply to review",IF(N(J268)&gt;=ReviewWait,IF(E268="Reminder sent","Close out","Send reminder"),"—")))</f>
        <v/>
      </c>
      <c r="L268" s="51">
        <f>IF(F268="","",DATE(YEAR(F268),MONTH(F268),1))</f>
        <v/>
      </c>
      <c r="M268" s="51">
        <f>IF(C268="","",DATE(YEAR(C268),MONTH(C268),1))</f>
        <v/>
      </c>
    </row>
    <row r="269">
      <c r="A269" s="38" t="n"/>
      <c r="B269" s="38" t="n"/>
      <c r="C269" s="47" t="n"/>
      <c r="D269" s="38" t="n"/>
      <c r="E269" s="38" t="n"/>
      <c r="F269" s="47" t="n"/>
      <c r="G269" s="57" t="n"/>
      <c r="H269" s="38" t="n"/>
      <c r="I269" s="38" t="n"/>
      <c r="J269" s="50">
        <f>IF(C269="","",IF(OR(E269="Received",E269="Declined"),"",AsOf-C269))</f>
        <v/>
      </c>
      <c r="K269" s="49">
        <f>IF(A269="","",IF(AND(E269="Received",H269&lt;&gt;"Yes"),"Reply to review",IF(N(J269)&gt;=ReviewWait,IF(E269="Reminder sent","Close out","Send reminder"),"—")))</f>
        <v/>
      </c>
      <c r="L269" s="51">
        <f>IF(F269="","",DATE(YEAR(F269),MONTH(F269),1))</f>
        <v/>
      </c>
      <c r="M269" s="51">
        <f>IF(C269="","",DATE(YEAR(C269),MONTH(C269),1))</f>
        <v/>
      </c>
    </row>
    <row r="270">
      <c r="A270" s="38" t="n"/>
      <c r="B270" s="38" t="n"/>
      <c r="C270" s="47" t="n"/>
      <c r="D270" s="38" t="n"/>
      <c r="E270" s="38" t="n"/>
      <c r="F270" s="47" t="n"/>
      <c r="G270" s="57" t="n"/>
      <c r="H270" s="38" t="n"/>
      <c r="I270" s="38" t="n"/>
      <c r="J270" s="50">
        <f>IF(C270="","",IF(OR(E270="Received",E270="Declined"),"",AsOf-C270))</f>
        <v/>
      </c>
      <c r="K270" s="49">
        <f>IF(A270="","",IF(AND(E270="Received",H270&lt;&gt;"Yes"),"Reply to review",IF(N(J270)&gt;=ReviewWait,IF(E270="Reminder sent","Close out","Send reminder"),"—")))</f>
        <v/>
      </c>
      <c r="L270" s="51">
        <f>IF(F270="","",DATE(YEAR(F270),MONTH(F270),1))</f>
        <v/>
      </c>
      <c r="M270" s="51">
        <f>IF(C270="","",DATE(YEAR(C270),MONTH(C270),1))</f>
        <v/>
      </c>
    </row>
    <row r="271">
      <c r="A271" s="38" t="n"/>
      <c r="B271" s="38" t="n"/>
      <c r="C271" s="47" t="n"/>
      <c r="D271" s="38" t="n"/>
      <c r="E271" s="38" t="n"/>
      <c r="F271" s="47" t="n"/>
      <c r="G271" s="57" t="n"/>
      <c r="H271" s="38" t="n"/>
      <c r="I271" s="38" t="n"/>
      <c r="J271" s="50">
        <f>IF(C271="","",IF(OR(E271="Received",E271="Declined"),"",AsOf-C271))</f>
        <v/>
      </c>
      <c r="K271" s="49">
        <f>IF(A271="","",IF(AND(E271="Received",H271&lt;&gt;"Yes"),"Reply to review",IF(N(J271)&gt;=ReviewWait,IF(E271="Reminder sent","Close out","Send reminder"),"—")))</f>
        <v/>
      </c>
      <c r="L271" s="51">
        <f>IF(F271="","",DATE(YEAR(F271),MONTH(F271),1))</f>
        <v/>
      </c>
      <c r="M271" s="51">
        <f>IF(C271="","",DATE(YEAR(C271),MONTH(C271),1))</f>
        <v/>
      </c>
    </row>
    <row r="272">
      <c r="A272" s="38" t="n"/>
      <c r="B272" s="38" t="n"/>
      <c r="C272" s="47" t="n"/>
      <c r="D272" s="38" t="n"/>
      <c r="E272" s="38" t="n"/>
      <c r="F272" s="47" t="n"/>
      <c r="G272" s="57" t="n"/>
      <c r="H272" s="38" t="n"/>
      <c r="I272" s="38" t="n"/>
      <c r="J272" s="50">
        <f>IF(C272="","",IF(OR(E272="Received",E272="Declined"),"",AsOf-C272))</f>
        <v/>
      </c>
      <c r="K272" s="49">
        <f>IF(A272="","",IF(AND(E272="Received",H272&lt;&gt;"Yes"),"Reply to review",IF(N(J272)&gt;=ReviewWait,IF(E272="Reminder sent","Close out","Send reminder"),"—")))</f>
        <v/>
      </c>
      <c r="L272" s="51">
        <f>IF(F272="","",DATE(YEAR(F272),MONTH(F272),1))</f>
        <v/>
      </c>
      <c r="M272" s="51">
        <f>IF(C272="","",DATE(YEAR(C272),MONTH(C272),1))</f>
        <v/>
      </c>
    </row>
    <row r="273">
      <c r="A273" s="38" t="n"/>
      <c r="B273" s="38" t="n"/>
      <c r="C273" s="47" t="n"/>
      <c r="D273" s="38" t="n"/>
      <c r="E273" s="38" t="n"/>
      <c r="F273" s="47" t="n"/>
      <c r="G273" s="57" t="n"/>
      <c r="H273" s="38" t="n"/>
      <c r="I273" s="38" t="n"/>
      <c r="J273" s="50">
        <f>IF(C273="","",IF(OR(E273="Received",E273="Declined"),"",AsOf-C273))</f>
        <v/>
      </c>
      <c r="K273" s="49">
        <f>IF(A273="","",IF(AND(E273="Received",H273&lt;&gt;"Yes"),"Reply to review",IF(N(J273)&gt;=ReviewWait,IF(E273="Reminder sent","Close out","Send reminder"),"—")))</f>
        <v/>
      </c>
      <c r="L273" s="51">
        <f>IF(F273="","",DATE(YEAR(F273),MONTH(F273),1))</f>
        <v/>
      </c>
      <c r="M273" s="51">
        <f>IF(C273="","",DATE(YEAR(C273),MONTH(C273),1))</f>
        <v/>
      </c>
    </row>
    <row r="274">
      <c r="A274" s="38" t="n"/>
      <c r="B274" s="38" t="n"/>
      <c r="C274" s="47" t="n"/>
      <c r="D274" s="38" t="n"/>
      <c r="E274" s="38" t="n"/>
      <c r="F274" s="47" t="n"/>
      <c r="G274" s="57" t="n"/>
      <c r="H274" s="38" t="n"/>
      <c r="I274" s="38" t="n"/>
      <c r="J274" s="50">
        <f>IF(C274="","",IF(OR(E274="Received",E274="Declined"),"",AsOf-C274))</f>
        <v/>
      </c>
      <c r="K274" s="49">
        <f>IF(A274="","",IF(AND(E274="Received",H274&lt;&gt;"Yes"),"Reply to review",IF(N(J274)&gt;=ReviewWait,IF(E274="Reminder sent","Close out","Send reminder"),"—")))</f>
        <v/>
      </c>
      <c r="L274" s="51">
        <f>IF(F274="","",DATE(YEAR(F274),MONTH(F274),1))</f>
        <v/>
      </c>
      <c r="M274" s="51">
        <f>IF(C274="","",DATE(YEAR(C274),MONTH(C274),1))</f>
        <v/>
      </c>
    </row>
    <row r="275">
      <c r="A275" s="38" t="n"/>
      <c r="B275" s="38" t="n"/>
      <c r="C275" s="47" t="n"/>
      <c r="D275" s="38" t="n"/>
      <c r="E275" s="38" t="n"/>
      <c r="F275" s="47" t="n"/>
      <c r="G275" s="57" t="n"/>
      <c r="H275" s="38" t="n"/>
      <c r="I275" s="38" t="n"/>
      <c r="J275" s="50">
        <f>IF(C275="","",IF(OR(E275="Received",E275="Declined"),"",AsOf-C275))</f>
        <v/>
      </c>
      <c r="K275" s="49">
        <f>IF(A275="","",IF(AND(E275="Received",H275&lt;&gt;"Yes"),"Reply to review",IF(N(J275)&gt;=ReviewWait,IF(E275="Reminder sent","Close out","Send reminder"),"—")))</f>
        <v/>
      </c>
      <c r="L275" s="51">
        <f>IF(F275="","",DATE(YEAR(F275),MONTH(F275),1))</f>
        <v/>
      </c>
      <c r="M275" s="51">
        <f>IF(C275="","",DATE(YEAR(C275),MONTH(C275),1))</f>
        <v/>
      </c>
    </row>
    <row r="276">
      <c r="A276" s="38" t="n"/>
      <c r="B276" s="38" t="n"/>
      <c r="C276" s="47" t="n"/>
      <c r="D276" s="38" t="n"/>
      <c r="E276" s="38" t="n"/>
      <c r="F276" s="47" t="n"/>
      <c r="G276" s="57" t="n"/>
      <c r="H276" s="38" t="n"/>
      <c r="I276" s="38" t="n"/>
      <c r="J276" s="50">
        <f>IF(C276="","",IF(OR(E276="Received",E276="Declined"),"",AsOf-C276))</f>
        <v/>
      </c>
      <c r="K276" s="49">
        <f>IF(A276="","",IF(AND(E276="Received",H276&lt;&gt;"Yes"),"Reply to review",IF(N(J276)&gt;=ReviewWait,IF(E276="Reminder sent","Close out","Send reminder"),"—")))</f>
        <v/>
      </c>
      <c r="L276" s="51">
        <f>IF(F276="","",DATE(YEAR(F276),MONTH(F276),1))</f>
        <v/>
      </c>
      <c r="M276" s="51">
        <f>IF(C276="","",DATE(YEAR(C276),MONTH(C276),1))</f>
        <v/>
      </c>
    </row>
    <row r="277">
      <c r="A277" s="38" t="n"/>
      <c r="B277" s="38" t="n"/>
      <c r="C277" s="47" t="n"/>
      <c r="D277" s="38" t="n"/>
      <c r="E277" s="38" t="n"/>
      <c r="F277" s="47" t="n"/>
      <c r="G277" s="57" t="n"/>
      <c r="H277" s="38" t="n"/>
      <c r="I277" s="38" t="n"/>
      <c r="J277" s="50">
        <f>IF(C277="","",IF(OR(E277="Received",E277="Declined"),"",AsOf-C277))</f>
        <v/>
      </c>
      <c r="K277" s="49">
        <f>IF(A277="","",IF(AND(E277="Received",H277&lt;&gt;"Yes"),"Reply to review",IF(N(J277)&gt;=ReviewWait,IF(E277="Reminder sent","Close out","Send reminder"),"—")))</f>
        <v/>
      </c>
      <c r="L277" s="51">
        <f>IF(F277="","",DATE(YEAR(F277),MONTH(F277),1))</f>
        <v/>
      </c>
      <c r="M277" s="51">
        <f>IF(C277="","",DATE(YEAR(C277),MONTH(C277),1))</f>
        <v/>
      </c>
    </row>
    <row r="278">
      <c r="A278" s="38" t="n"/>
      <c r="B278" s="38" t="n"/>
      <c r="C278" s="47" t="n"/>
      <c r="D278" s="38" t="n"/>
      <c r="E278" s="38" t="n"/>
      <c r="F278" s="47" t="n"/>
      <c r="G278" s="57" t="n"/>
      <c r="H278" s="38" t="n"/>
      <c r="I278" s="38" t="n"/>
      <c r="J278" s="50">
        <f>IF(C278="","",IF(OR(E278="Received",E278="Declined"),"",AsOf-C278))</f>
        <v/>
      </c>
      <c r="K278" s="49">
        <f>IF(A278="","",IF(AND(E278="Received",H278&lt;&gt;"Yes"),"Reply to review",IF(N(J278)&gt;=ReviewWait,IF(E278="Reminder sent","Close out","Send reminder"),"—")))</f>
        <v/>
      </c>
      <c r="L278" s="51">
        <f>IF(F278="","",DATE(YEAR(F278),MONTH(F278),1))</f>
        <v/>
      </c>
      <c r="M278" s="51">
        <f>IF(C278="","",DATE(YEAR(C278),MONTH(C278),1))</f>
        <v/>
      </c>
    </row>
    <row r="279">
      <c r="A279" s="38" t="n"/>
      <c r="B279" s="38" t="n"/>
      <c r="C279" s="47" t="n"/>
      <c r="D279" s="38" t="n"/>
      <c r="E279" s="38" t="n"/>
      <c r="F279" s="47" t="n"/>
      <c r="G279" s="57" t="n"/>
      <c r="H279" s="38" t="n"/>
      <c r="I279" s="38" t="n"/>
      <c r="J279" s="50">
        <f>IF(C279="","",IF(OR(E279="Received",E279="Declined"),"",AsOf-C279))</f>
        <v/>
      </c>
      <c r="K279" s="49">
        <f>IF(A279="","",IF(AND(E279="Received",H279&lt;&gt;"Yes"),"Reply to review",IF(N(J279)&gt;=ReviewWait,IF(E279="Reminder sent","Close out","Send reminder"),"—")))</f>
        <v/>
      </c>
      <c r="L279" s="51">
        <f>IF(F279="","",DATE(YEAR(F279),MONTH(F279),1))</f>
        <v/>
      </c>
      <c r="M279" s="51">
        <f>IF(C279="","",DATE(YEAR(C279),MONTH(C279),1))</f>
        <v/>
      </c>
    </row>
    <row r="280">
      <c r="A280" s="38" t="n"/>
      <c r="B280" s="38" t="n"/>
      <c r="C280" s="47" t="n"/>
      <c r="D280" s="38" t="n"/>
      <c r="E280" s="38" t="n"/>
      <c r="F280" s="47" t="n"/>
      <c r="G280" s="57" t="n"/>
      <c r="H280" s="38" t="n"/>
      <c r="I280" s="38" t="n"/>
      <c r="J280" s="50">
        <f>IF(C280="","",IF(OR(E280="Received",E280="Declined"),"",AsOf-C280))</f>
        <v/>
      </c>
      <c r="K280" s="49">
        <f>IF(A280="","",IF(AND(E280="Received",H280&lt;&gt;"Yes"),"Reply to review",IF(N(J280)&gt;=ReviewWait,IF(E280="Reminder sent","Close out","Send reminder"),"—")))</f>
        <v/>
      </c>
      <c r="L280" s="51">
        <f>IF(F280="","",DATE(YEAR(F280),MONTH(F280),1))</f>
        <v/>
      </c>
      <c r="M280" s="51">
        <f>IF(C280="","",DATE(YEAR(C280),MONTH(C280),1))</f>
        <v/>
      </c>
    </row>
    <row r="281">
      <c r="A281" s="38" t="n"/>
      <c r="B281" s="38" t="n"/>
      <c r="C281" s="47" t="n"/>
      <c r="D281" s="38" t="n"/>
      <c r="E281" s="38" t="n"/>
      <c r="F281" s="47" t="n"/>
      <c r="G281" s="57" t="n"/>
      <c r="H281" s="38" t="n"/>
      <c r="I281" s="38" t="n"/>
      <c r="J281" s="50">
        <f>IF(C281="","",IF(OR(E281="Received",E281="Declined"),"",AsOf-C281))</f>
        <v/>
      </c>
      <c r="K281" s="49">
        <f>IF(A281="","",IF(AND(E281="Received",H281&lt;&gt;"Yes"),"Reply to review",IF(N(J281)&gt;=ReviewWait,IF(E281="Reminder sent","Close out","Send reminder"),"—")))</f>
        <v/>
      </c>
      <c r="L281" s="51">
        <f>IF(F281="","",DATE(YEAR(F281),MONTH(F281),1))</f>
        <v/>
      </c>
      <c r="M281" s="51">
        <f>IF(C281="","",DATE(YEAR(C281),MONTH(C281),1))</f>
        <v/>
      </c>
    </row>
    <row r="282">
      <c r="A282" s="38" t="n"/>
      <c r="B282" s="38" t="n"/>
      <c r="C282" s="47" t="n"/>
      <c r="D282" s="38" t="n"/>
      <c r="E282" s="38" t="n"/>
      <c r="F282" s="47" t="n"/>
      <c r="G282" s="57" t="n"/>
      <c r="H282" s="38" t="n"/>
      <c r="I282" s="38" t="n"/>
      <c r="J282" s="50">
        <f>IF(C282="","",IF(OR(E282="Received",E282="Declined"),"",AsOf-C282))</f>
        <v/>
      </c>
      <c r="K282" s="49">
        <f>IF(A282="","",IF(AND(E282="Received",H282&lt;&gt;"Yes"),"Reply to review",IF(N(J282)&gt;=ReviewWait,IF(E282="Reminder sent","Close out","Send reminder"),"—")))</f>
        <v/>
      </c>
      <c r="L282" s="51">
        <f>IF(F282="","",DATE(YEAR(F282),MONTH(F282),1))</f>
        <v/>
      </c>
      <c r="M282" s="51">
        <f>IF(C282="","",DATE(YEAR(C282),MONTH(C282),1))</f>
        <v/>
      </c>
    </row>
    <row r="283">
      <c r="A283" s="38" t="n"/>
      <c r="B283" s="38" t="n"/>
      <c r="C283" s="47" t="n"/>
      <c r="D283" s="38" t="n"/>
      <c r="E283" s="38" t="n"/>
      <c r="F283" s="47" t="n"/>
      <c r="G283" s="57" t="n"/>
      <c r="H283" s="38" t="n"/>
      <c r="I283" s="38" t="n"/>
      <c r="J283" s="50">
        <f>IF(C283="","",IF(OR(E283="Received",E283="Declined"),"",AsOf-C283))</f>
        <v/>
      </c>
      <c r="K283" s="49">
        <f>IF(A283="","",IF(AND(E283="Received",H283&lt;&gt;"Yes"),"Reply to review",IF(N(J283)&gt;=ReviewWait,IF(E283="Reminder sent","Close out","Send reminder"),"—")))</f>
        <v/>
      </c>
      <c r="L283" s="51">
        <f>IF(F283="","",DATE(YEAR(F283),MONTH(F283),1))</f>
        <v/>
      </c>
      <c r="M283" s="51">
        <f>IF(C283="","",DATE(YEAR(C283),MONTH(C283),1))</f>
        <v/>
      </c>
    </row>
    <row r="284">
      <c r="A284" s="38" t="n"/>
      <c r="B284" s="38" t="n"/>
      <c r="C284" s="47" t="n"/>
      <c r="D284" s="38" t="n"/>
      <c r="E284" s="38" t="n"/>
      <c r="F284" s="47" t="n"/>
      <c r="G284" s="57" t="n"/>
      <c r="H284" s="38" t="n"/>
      <c r="I284" s="38" t="n"/>
      <c r="J284" s="50">
        <f>IF(C284="","",IF(OR(E284="Received",E284="Declined"),"",AsOf-C284))</f>
        <v/>
      </c>
      <c r="K284" s="49">
        <f>IF(A284="","",IF(AND(E284="Received",H284&lt;&gt;"Yes"),"Reply to review",IF(N(J284)&gt;=ReviewWait,IF(E284="Reminder sent","Close out","Send reminder"),"—")))</f>
        <v/>
      </c>
      <c r="L284" s="51">
        <f>IF(F284="","",DATE(YEAR(F284),MONTH(F284),1))</f>
        <v/>
      </c>
      <c r="M284" s="51">
        <f>IF(C284="","",DATE(YEAR(C284),MONTH(C284),1))</f>
        <v/>
      </c>
    </row>
    <row r="285">
      <c r="A285" s="38" t="n"/>
      <c r="B285" s="38" t="n"/>
      <c r="C285" s="47" t="n"/>
      <c r="D285" s="38" t="n"/>
      <c r="E285" s="38" t="n"/>
      <c r="F285" s="47" t="n"/>
      <c r="G285" s="57" t="n"/>
      <c r="H285" s="38" t="n"/>
      <c r="I285" s="38" t="n"/>
      <c r="J285" s="50">
        <f>IF(C285="","",IF(OR(E285="Received",E285="Declined"),"",AsOf-C285))</f>
        <v/>
      </c>
      <c r="K285" s="49">
        <f>IF(A285="","",IF(AND(E285="Received",H285&lt;&gt;"Yes"),"Reply to review",IF(N(J285)&gt;=ReviewWait,IF(E285="Reminder sent","Close out","Send reminder"),"—")))</f>
        <v/>
      </c>
      <c r="L285" s="51">
        <f>IF(F285="","",DATE(YEAR(F285),MONTH(F285),1))</f>
        <v/>
      </c>
      <c r="M285" s="51">
        <f>IF(C285="","",DATE(YEAR(C285),MONTH(C285),1))</f>
        <v/>
      </c>
    </row>
    <row r="286">
      <c r="A286" s="38" t="n"/>
      <c r="B286" s="38" t="n"/>
      <c r="C286" s="47" t="n"/>
      <c r="D286" s="38" t="n"/>
      <c r="E286" s="38" t="n"/>
      <c r="F286" s="47" t="n"/>
      <c r="G286" s="57" t="n"/>
      <c r="H286" s="38" t="n"/>
      <c r="I286" s="38" t="n"/>
      <c r="J286" s="50">
        <f>IF(C286="","",IF(OR(E286="Received",E286="Declined"),"",AsOf-C286))</f>
        <v/>
      </c>
      <c r="K286" s="49">
        <f>IF(A286="","",IF(AND(E286="Received",H286&lt;&gt;"Yes"),"Reply to review",IF(N(J286)&gt;=ReviewWait,IF(E286="Reminder sent","Close out","Send reminder"),"—")))</f>
        <v/>
      </c>
      <c r="L286" s="51">
        <f>IF(F286="","",DATE(YEAR(F286),MONTH(F286),1))</f>
        <v/>
      </c>
      <c r="M286" s="51">
        <f>IF(C286="","",DATE(YEAR(C286),MONTH(C286),1))</f>
        <v/>
      </c>
    </row>
    <row r="287">
      <c r="A287" s="38" t="n"/>
      <c r="B287" s="38" t="n"/>
      <c r="C287" s="47" t="n"/>
      <c r="D287" s="38" t="n"/>
      <c r="E287" s="38" t="n"/>
      <c r="F287" s="47" t="n"/>
      <c r="G287" s="57" t="n"/>
      <c r="H287" s="38" t="n"/>
      <c r="I287" s="38" t="n"/>
      <c r="J287" s="50">
        <f>IF(C287="","",IF(OR(E287="Received",E287="Declined"),"",AsOf-C287))</f>
        <v/>
      </c>
      <c r="K287" s="49">
        <f>IF(A287="","",IF(AND(E287="Received",H287&lt;&gt;"Yes"),"Reply to review",IF(N(J287)&gt;=ReviewWait,IF(E287="Reminder sent","Close out","Send reminder"),"—")))</f>
        <v/>
      </c>
      <c r="L287" s="51">
        <f>IF(F287="","",DATE(YEAR(F287),MONTH(F287),1))</f>
        <v/>
      </c>
      <c r="M287" s="51">
        <f>IF(C287="","",DATE(YEAR(C287),MONTH(C287),1))</f>
        <v/>
      </c>
    </row>
    <row r="288">
      <c r="A288" s="38" t="n"/>
      <c r="B288" s="38" t="n"/>
      <c r="C288" s="47" t="n"/>
      <c r="D288" s="38" t="n"/>
      <c r="E288" s="38" t="n"/>
      <c r="F288" s="47" t="n"/>
      <c r="G288" s="57" t="n"/>
      <c r="H288" s="38" t="n"/>
      <c r="I288" s="38" t="n"/>
      <c r="J288" s="50">
        <f>IF(C288="","",IF(OR(E288="Received",E288="Declined"),"",AsOf-C288))</f>
        <v/>
      </c>
      <c r="K288" s="49">
        <f>IF(A288="","",IF(AND(E288="Received",H288&lt;&gt;"Yes"),"Reply to review",IF(N(J288)&gt;=ReviewWait,IF(E288="Reminder sent","Close out","Send reminder"),"—")))</f>
        <v/>
      </c>
      <c r="L288" s="51">
        <f>IF(F288="","",DATE(YEAR(F288),MONTH(F288),1))</f>
        <v/>
      </c>
      <c r="M288" s="51">
        <f>IF(C288="","",DATE(YEAR(C288),MONTH(C288),1))</f>
        <v/>
      </c>
    </row>
    <row r="289">
      <c r="A289" s="38" t="n"/>
      <c r="B289" s="38" t="n"/>
      <c r="C289" s="47" t="n"/>
      <c r="D289" s="38" t="n"/>
      <c r="E289" s="38" t="n"/>
      <c r="F289" s="47" t="n"/>
      <c r="G289" s="57" t="n"/>
      <c r="H289" s="38" t="n"/>
      <c r="I289" s="38" t="n"/>
      <c r="J289" s="50">
        <f>IF(C289="","",IF(OR(E289="Received",E289="Declined"),"",AsOf-C289))</f>
        <v/>
      </c>
      <c r="K289" s="49">
        <f>IF(A289="","",IF(AND(E289="Received",H289&lt;&gt;"Yes"),"Reply to review",IF(N(J289)&gt;=ReviewWait,IF(E289="Reminder sent","Close out","Send reminder"),"—")))</f>
        <v/>
      </c>
      <c r="L289" s="51">
        <f>IF(F289="","",DATE(YEAR(F289),MONTH(F289),1))</f>
        <v/>
      </c>
      <c r="M289" s="51">
        <f>IF(C289="","",DATE(YEAR(C289),MONTH(C289),1))</f>
        <v/>
      </c>
    </row>
    <row r="290">
      <c r="A290" s="38" t="n"/>
      <c r="B290" s="38" t="n"/>
      <c r="C290" s="47" t="n"/>
      <c r="D290" s="38" t="n"/>
      <c r="E290" s="38" t="n"/>
      <c r="F290" s="47" t="n"/>
      <c r="G290" s="57" t="n"/>
      <c r="H290" s="38" t="n"/>
      <c r="I290" s="38" t="n"/>
      <c r="J290" s="50">
        <f>IF(C290="","",IF(OR(E290="Received",E290="Declined"),"",AsOf-C290))</f>
        <v/>
      </c>
      <c r="K290" s="49">
        <f>IF(A290="","",IF(AND(E290="Received",H290&lt;&gt;"Yes"),"Reply to review",IF(N(J290)&gt;=ReviewWait,IF(E290="Reminder sent","Close out","Send reminder"),"—")))</f>
        <v/>
      </c>
      <c r="L290" s="51">
        <f>IF(F290="","",DATE(YEAR(F290),MONTH(F290),1))</f>
        <v/>
      </c>
      <c r="M290" s="51">
        <f>IF(C290="","",DATE(YEAR(C290),MONTH(C290),1))</f>
        <v/>
      </c>
    </row>
    <row r="291">
      <c r="A291" s="38" t="n"/>
      <c r="B291" s="38" t="n"/>
      <c r="C291" s="47" t="n"/>
      <c r="D291" s="38" t="n"/>
      <c r="E291" s="38" t="n"/>
      <c r="F291" s="47" t="n"/>
      <c r="G291" s="57" t="n"/>
      <c r="H291" s="38" t="n"/>
      <c r="I291" s="38" t="n"/>
      <c r="J291" s="50">
        <f>IF(C291="","",IF(OR(E291="Received",E291="Declined"),"",AsOf-C291))</f>
        <v/>
      </c>
      <c r="K291" s="49">
        <f>IF(A291="","",IF(AND(E291="Received",H291&lt;&gt;"Yes"),"Reply to review",IF(N(J291)&gt;=ReviewWait,IF(E291="Reminder sent","Close out","Send reminder"),"—")))</f>
        <v/>
      </c>
      <c r="L291" s="51">
        <f>IF(F291="","",DATE(YEAR(F291),MONTH(F291),1))</f>
        <v/>
      </c>
      <c r="M291" s="51">
        <f>IF(C291="","",DATE(YEAR(C291),MONTH(C291),1))</f>
        <v/>
      </c>
    </row>
    <row r="292">
      <c r="A292" s="38" t="n"/>
      <c r="B292" s="38" t="n"/>
      <c r="C292" s="47" t="n"/>
      <c r="D292" s="38" t="n"/>
      <c r="E292" s="38" t="n"/>
      <c r="F292" s="47" t="n"/>
      <c r="G292" s="57" t="n"/>
      <c r="H292" s="38" t="n"/>
      <c r="I292" s="38" t="n"/>
      <c r="J292" s="50">
        <f>IF(C292="","",IF(OR(E292="Received",E292="Declined"),"",AsOf-C292))</f>
        <v/>
      </c>
      <c r="K292" s="49">
        <f>IF(A292="","",IF(AND(E292="Received",H292&lt;&gt;"Yes"),"Reply to review",IF(N(J292)&gt;=ReviewWait,IF(E292="Reminder sent","Close out","Send reminder"),"—")))</f>
        <v/>
      </c>
      <c r="L292" s="51">
        <f>IF(F292="","",DATE(YEAR(F292),MONTH(F292),1))</f>
        <v/>
      </c>
      <c r="M292" s="51">
        <f>IF(C292="","",DATE(YEAR(C292),MONTH(C292),1))</f>
        <v/>
      </c>
    </row>
    <row r="293">
      <c r="A293" s="38" t="n"/>
      <c r="B293" s="38" t="n"/>
      <c r="C293" s="47" t="n"/>
      <c r="D293" s="38" t="n"/>
      <c r="E293" s="38" t="n"/>
      <c r="F293" s="47" t="n"/>
      <c r="G293" s="57" t="n"/>
      <c r="H293" s="38" t="n"/>
      <c r="I293" s="38" t="n"/>
      <c r="J293" s="50">
        <f>IF(C293="","",IF(OR(E293="Received",E293="Declined"),"",AsOf-C293))</f>
        <v/>
      </c>
      <c r="K293" s="49">
        <f>IF(A293="","",IF(AND(E293="Received",H293&lt;&gt;"Yes"),"Reply to review",IF(N(J293)&gt;=ReviewWait,IF(E293="Reminder sent","Close out","Send reminder"),"—")))</f>
        <v/>
      </c>
      <c r="L293" s="51">
        <f>IF(F293="","",DATE(YEAR(F293),MONTH(F293),1))</f>
        <v/>
      </c>
      <c r="M293" s="51">
        <f>IF(C293="","",DATE(YEAR(C293),MONTH(C293),1))</f>
        <v/>
      </c>
    </row>
    <row r="294">
      <c r="A294" s="38" t="n"/>
      <c r="B294" s="38" t="n"/>
      <c r="C294" s="47" t="n"/>
      <c r="D294" s="38" t="n"/>
      <c r="E294" s="38" t="n"/>
      <c r="F294" s="47" t="n"/>
      <c r="G294" s="57" t="n"/>
      <c r="H294" s="38" t="n"/>
      <c r="I294" s="38" t="n"/>
      <c r="J294" s="50">
        <f>IF(C294="","",IF(OR(E294="Received",E294="Declined"),"",AsOf-C294))</f>
        <v/>
      </c>
      <c r="K294" s="49">
        <f>IF(A294="","",IF(AND(E294="Received",H294&lt;&gt;"Yes"),"Reply to review",IF(N(J294)&gt;=ReviewWait,IF(E294="Reminder sent","Close out","Send reminder"),"—")))</f>
        <v/>
      </c>
      <c r="L294" s="51">
        <f>IF(F294="","",DATE(YEAR(F294),MONTH(F294),1))</f>
        <v/>
      </c>
      <c r="M294" s="51">
        <f>IF(C294="","",DATE(YEAR(C294),MONTH(C294),1))</f>
        <v/>
      </c>
    </row>
    <row r="295">
      <c r="A295" s="38" t="n"/>
      <c r="B295" s="38" t="n"/>
      <c r="C295" s="47" t="n"/>
      <c r="D295" s="38" t="n"/>
      <c r="E295" s="38" t="n"/>
      <c r="F295" s="47" t="n"/>
      <c r="G295" s="57" t="n"/>
      <c r="H295" s="38" t="n"/>
      <c r="I295" s="38" t="n"/>
      <c r="J295" s="50">
        <f>IF(C295="","",IF(OR(E295="Received",E295="Declined"),"",AsOf-C295))</f>
        <v/>
      </c>
      <c r="K295" s="49">
        <f>IF(A295="","",IF(AND(E295="Received",H295&lt;&gt;"Yes"),"Reply to review",IF(N(J295)&gt;=ReviewWait,IF(E295="Reminder sent","Close out","Send reminder"),"—")))</f>
        <v/>
      </c>
      <c r="L295" s="51">
        <f>IF(F295="","",DATE(YEAR(F295),MONTH(F295),1))</f>
        <v/>
      </c>
      <c r="M295" s="51">
        <f>IF(C295="","",DATE(YEAR(C295),MONTH(C295),1))</f>
        <v/>
      </c>
    </row>
    <row r="296">
      <c r="A296" s="38" t="n"/>
      <c r="B296" s="38" t="n"/>
      <c r="C296" s="47" t="n"/>
      <c r="D296" s="38" t="n"/>
      <c r="E296" s="38" t="n"/>
      <c r="F296" s="47" t="n"/>
      <c r="G296" s="57" t="n"/>
      <c r="H296" s="38" t="n"/>
      <c r="I296" s="38" t="n"/>
      <c r="J296" s="50">
        <f>IF(C296="","",IF(OR(E296="Received",E296="Declined"),"",AsOf-C296))</f>
        <v/>
      </c>
      <c r="K296" s="49">
        <f>IF(A296="","",IF(AND(E296="Received",H296&lt;&gt;"Yes"),"Reply to review",IF(N(J296)&gt;=ReviewWait,IF(E296="Reminder sent","Close out","Send reminder"),"—")))</f>
        <v/>
      </c>
      <c r="L296" s="51">
        <f>IF(F296="","",DATE(YEAR(F296),MONTH(F296),1))</f>
        <v/>
      </c>
      <c r="M296" s="51">
        <f>IF(C296="","",DATE(YEAR(C296),MONTH(C296),1))</f>
        <v/>
      </c>
    </row>
    <row r="297">
      <c r="A297" s="38" t="n"/>
      <c r="B297" s="38" t="n"/>
      <c r="C297" s="47" t="n"/>
      <c r="D297" s="38" t="n"/>
      <c r="E297" s="38" t="n"/>
      <c r="F297" s="47" t="n"/>
      <c r="G297" s="57" t="n"/>
      <c r="H297" s="38" t="n"/>
      <c r="I297" s="38" t="n"/>
      <c r="J297" s="50">
        <f>IF(C297="","",IF(OR(E297="Received",E297="Declined"),"",AsOf-C297))</f>
        <v/>
      </c>
      <c r="K297" s="49">
        <f>IF(A297="","",IF(AND(E297="Received",H297&lt;&gt;"Yes"),"Reply to review",IF(N(J297)&gt;=ReviewWait,IF(E297="Reminder sent","Close out","Send reminder"),"—")))</f>
        <v/>
      </c>
      <c r="L297" s="51">
        <f>IF(F297="","",DATE(YEAR(F297),MONTH(F297),1))</f>
        <v/>
      </c>
      <c r="M297" s="51">
        <f>IF(C297="","",DATE(YEAR(C297),MONTH(C297),1))</f>
        <v/>
      </c>
    </row>
    <row r="298">
      <c r="A298" s="38" t="n"/>
      <c r="B298" s="38" t="n"/>
      <c r="C298" s="47" t="n"/>
      <c r="D298" s="38" t="n"/>
      <c r="E298" s="38" t="n"/>
      <c r="F298" s="47" t="n"/>
      <c r="G298" s="57" t="n"/>
      <c r="H298" s="38" t="n"/>
      <c r="I298" s="38" t="n"/>
      <c r="J298" s="50">
        <f>IF(C298="","",IF(OR(E298="Received",E298="Declined"),"",AsOf-C298))</f>
        <v/>
      </c>
      <c r="K298" s="49">
        <f>IF(A298="","",IF(AND(E298="Received",H298&lt;&gt;"Yes"),"Reply to review",IF(N(J298)&gt;=ReviewWait,IF(E298="Reminder sent","Close out","Send reminder"),"—")))</f>
        <v/>
      </c>
      <c r="L298" s="51">
        <f>IF(F298="","",DATE(YEAR(F298),MONTH(F298),1))</f>
        <v/>
      </c>
      <c r="M298" s="51">
        <f>IF(C298="","",DATE(YEAR(C298),MONTH(C298),1))</f>
        <v/>
      </c>
    </row>
    <row r="299">
      <c r="A299" s="38" t="n"/>
      <c r="B299" s="38" t="n"/>
      <c r="C299" s="47" t="n"/>
      <c r="D299" s="38" t="n"/>
      <c r="E299" s="38" t="n"/>
      <c r="F299" s="47" t="n"/>
      <c r="G299" s="57" t="n"/>
      <c r="H299" s="38" t="n"/>
      <c r="I299" s="38" t="n"/>
      <c r="J299" s="50">
        <f>IF(C299="","",IF(OR(E299="Received",E299="Declined"),"",AsOf-C299))</f>
        <v/>
      </c>
      <c r="K299" s="49">
        <f>IF(A299="","",IF(AND(E299="Received",H299&lt;&gt;"Yes"),"Reply to review",IF(N(J299)&gt;=ReviewWait,IF(E299="Reminder sent","Close out","Send reminder"),"—")))</f>
        <v/>
      </c>
      <c r="L299" s="51">
        <f>IF(F299="","",DATE(YEAR(F299),MONTH(F299),1))</f>
        <v/>
      </c>
      <c r="M299" s="51">
        <f>IF(C299="","",DATE(YEAR(C299),MONTH(C299),1))</f>
        <v/>
      </c>
    </row>
    <row r="300">
      <c r="A300" s="38" t="n"/>
      <c r="B300" s="38" t="n"/>
      <c r="C300" s="47" t="n"/>
      <c r="D300" s="38" t="n"/>
      <c r="E300" s="38" t="n"/>
      <c r="F300" s="47" t="n"/>
      <c r="G300" s="57" t="n"/>
      <c r="H300" s="38" t="n"/>
      <c r="I300" s="38" t="n"/>
      <c r="J300" s="50">
        <f>IF(C300="","",IF(OR(E300="Received",E300="Declined"),"",AsOf-C300))</f>
        <v/>
      </c>
      <c r="K300" s="49">
        <f>IF(A300="","",IF(AND(E300="Received",H300&lt;&gt;"Yes"),"Reply to review",IF(N(J300)&gt;=ReviewWait,IF(E300="Reminder sent","Close out","Send reminder"),"—")))</f>
        <v/>
      </c>
      <c r="L300" s="51">
        <f>IF(F300="","",DATE(YEAR(F300),MONTH(F300),1))</f>
        <v/>
      </c>
      <c r="M300" s="51">
        <f>IF(C300="","",DATE(YEAR(C300),MONTH(C300),1))</f>
        <v/>
      </c>
    </row>
    <row r="301">
      <c r="A301" s="38" t="n"/>
      <c r="B301" s="38" t="n"/>
      <c r="C301" s="47" t="n"/>
      <c r="D301" s="38" t="n"/>
      <c r="E301" s="38" t="n"/>
      <c r="F301" s="47" t="n"/>
      <c r="G301" s="57" t="n"/>
      <c r="H301" s="38" t="n"/>
      <c r="I301" s="38" t="n"/>
      <c r="J301" s="50">
        <f>IF(C301="","",IF(OR(E301="Received",E301="Declined"),"",AsOf-C301))</f>
        <v/>
      </c>
      <c r="K301" s="49">
        <f>IF(A301="","",IF(AND(E301="Received",H301&lt;&gt;"Yes"),"Reply to review",IF(N(J301)&gt;=ReviewWait,IF(E301="Reminder sent","Close out","Send reminder"),"—")))</f>
        <v/>
      </c>
      <c r="L301" s="51">
        <f>IF(F301="","",DATE(YEAR(F301),MONTH(F301),1))</f>
        <v/>
      </c>
      <c r="M301" s="51">
        <f>IF(C301="","",DATE(YEAR(C301),MONTH(C301),1))</f>
        <v/>
      </c>
    </row>
    <row r="302">
      <c r="A302" s="38" t="n"/>
      <c r="B302" s="38" t="n"/>
      <c r="C302" s="47" t="n"/>
      <c r="D302" s="38" t="n"/>
      <c r="E302" s="38" t="n"/>
      <c r="F302" s="47" t="n"/>
      <c r="G302" s="57" t="n"/>
      <c r="H302" s="38" t="n"/>
      <c r="I302" s="38" t="n"/>
      <c r="J302" s="50">
        <f>IF(C302="","",IF(OR(E302="Received",E302="Declined"),"",AsOf-C302))</f>
        <v/>
      </c>
      <c r="K302" s="49">
        <f>IF(A302="","",IF(AND(E302="Received",H302&lt;&gt;"Yes"),"Reply to review",IF(N(J302)&gt;=ReviewWait,IF(E302="Reminder sent","Close out","Send reminder"),"—")))</f>
        <v/>
      </c>
      <c r="L302" s="51">
        <f>IF(F302="","",DATE(YEAR(F302),MONTH(F302),1))</f>
        <v/>
      </c>
      <c r="M302" s="51">
        <f>IF(C302="","",DATE(YEAR(C302),MONTH(C302),1))</f>
        <v/>
      </c>
    </row>
    <row r="303">
      <c r="A303" s="38" t="n"/>
      <c r="B303" s="38" t="n"/>
      <c r="C303" s="47" t="n"/>
      <c r="D303" s="38" t="n"/>
      <c r="E303" s="38" t="n"/>
      <c r="F303" s="47" t="n"/>
      <c r="G303" s="57" t="n"/>
      <c r="H303" s="38" t="n"/>
      <c r="I303" s="38" t="n"/>
      <c r="J303" s="50">
        <f>IF(C303="","",IF(OR(E303="Received",E303="Declined"),"",AsOf-C303))</f>
        <v/>
      </c>
      <c r="K303" s="49">
        <f>IF(A303="","",IF(AND(E303="Received",H303&lt;&gt;"Yes"),"Reply to review",IF(N(J303)&gt;=ReviewWait,IF(E303="Reminder sent","Close out","Send reminder"),"—")))</f>
        <v/>
      </c>
      <c r="L303" s="51">
        <f>IF(F303="","",DATE(YEAR(F303),MONTH(F303),1))</f>
        <v/>
      </c>
      <c r="M303" s="51">
        <f>IF(C303="","",DATE(YEAR(C303),MONTH(C303),1))</f>
        <v/>
      </c>
    </row>
    <row r="304">
      <c r="A304" s="38" t="n"/>
      <c r="B304" s="38" t="n"/>
      <c r="C304" s="47" t="n"/>
      <c r="D304" s="38" t="n"/>
      <c r="E304" s="38" t="n"/>
      <c r="F304" s="47" t="n"/>
      <c r="G304" s="57" t="n"/>
      <c r="H304" s="38" t="n"/>
      <c r="I304" s="38" t="n"/>
      <c r="J304" s="50">
        <f>IF(C304="","",IF(OR(E304="Received",E304="Declined"),"",AsOf-C304))</f>
        <v/>
      </c>
      <c r="K304" s="49">
        <f>IF(A304="","",IF(AND(E304="Received",H304&lt;&gt;"Yes"),"Reply to review",IF(N(J304)&gt;=ReviewWait,IF(E304="Reminder sent","Close out","Send reminder"),"—")))</f>
        <v/>
      </c>
      <c r="L304" s="51">
        <f>IF(F304="","",DATE(YEAR(F304),MONTH(F304),1))</f>
        <v/>
      </c>
      <c r="M304" s="51">
        <f>IF(C304="","",DATE(YEAR(C304),MONTH(C304),1))</f>
        <v/>
      </c>
    </row>
    <row r="305">
      <c r="A305" s="38" t="n"/>
      <c r="B305" s="38" t="n"/>
      <c r="C305" s="47" t="n"/>
      <c r="D305" s="38" t="n"/>
      <c r="E305" s="38" t="n"/>
      <c r="F305" s="47" t="n"/>
      <c r="G305" s="57" t="n"/>
      <c r="H305" s="38" t="n"/>
      <c r="I305" s="38" t="n"/>
      <c r="J305" s="50">
        <f>IF(C305="","",IF(OR(E305="Received",E305="Declined"),"",AsOf-C305))</f>
        <v/>
      </c>
      <c r="K305" s="49">
        <f>IF(A305="","",IF(AND(E305="Received",H305&lt;&gt;"Yes"),"Reply to review",IF(N(J305)&gt;=ReviewWait,IF(E305="Reminder sent","Close out","Send reminder"),"—")))</f>
        <v/>
      </c>
      <c r="L305" s="51">
        <f>IF(F305="","",DATE(YEAR(F305),MONTH(F305),1))</f>
        <v/>
      </c>
      <c r="M305" s="51">
        <f>IF(C305="","",DATE(YEAR(C305),MONTH(C305),1))</f>
        <v/>
      </c>
    </row>
    <row r="306">
      <c r="A306" s="38" t="n"/>
      <c r="B306" s="38" t="n"/>
      <c r="C306" s="47" t="n"/>
      <c r="D306" s="38" t="n"/>
      <c r="E306" s="38" t="n"/>
      <c r="F306" s="47" t="n"/>
      <c r="G306" s="57" t="n"/>
      <c r="H306" s="38" t="n"/>
      <c r="I306" s="38" t="n"/>
      <c r="J306" s="50">
        <f>IF(C306="","",IF(OR(E306="Received",E306="Declined"),"",AsOf-C306))</f>
        <v/>
      </c>
      <c r="K306" s="49">
        <f>IF(A306="","",IF(AND(E306="Received",H306&lt;&gt;"Yes"),"Reply to review",IF(N(J306)&gt;=ReviewWait,IF(E306="Reminder sent","Close out","Send reminder"),"—")))</f>
        <v/>
      </c>
      <c r="L306" s="51">
        <f>IF(F306="","",DATE(YEAR(F306),MONTH(F306),1))</f>
        <v/>
      </c>
      <c r="M306" s="51">
        <f>IF(C306="","",DATE(YEAR(C306),MONTH(C306),1))</f>
        <v/>
      </c>
    </row>
    <row r="307">
      <c r="A307" s="38" t="n"/>
      <c r="B307" s="38" t="n"/>
      <c r="C307" s="47" t="n"/>
      <c r="D307" s="38" t="n"/>
      <c r="E307" s="38" t="n"/>
      <c r="F307" s="47" t="n"/>
      <c r="G307" s="57" t="n"/>
      <c r="H307" s="38" t="n"/>
      <c r="I307" s="38" t="n"/>
      <c r="J307" s="50">
        <f>IF(C307="","",IF(OR(E307="Received",E307="Declined"),"",AsOf-C307))</f>
        <v/>
      </c>
      <c r="K307" s="49">
        <f>IF(A307="","",IF(AND(E307="Received",H307&lt;&gt;"Yes"),"Reply to review",IF(N(J307)&gt;=ReviewWait,IF(E307="Reminder sent","Close out","Send reminder"),"—")))</f>
        <v/>
      </c>
      <c r="L307" s="51">
        <f>IF(F307="","",DATE(YEAR(F307),MONTH(F307),1))</f>
        <v/>
      </c>
      <c r="M307" s="51">
        <f>IF(C307="","",DATE(YEAR(C307),MONTH(C307),1))</f>
        <v/>
      </c>
    </row>
    <row r="308">
      <c r="A308" s="38" t="n"/>
      <c r="B308" s="38" t="n"/>
      <c r="C308" s="47" t="n"/>
      <c r="D308" s="38" t="n"/>
      <c r="E308" s="38" t="n"/>
      <c r="F308" s="47" t="n"/>
      <c r="G308" s="57" t="n"/>
      <c r="H308" s="38" t="n"/>
      <c r="I308" s="38" t="n"/>
      <c r="J308" s="50">
        <f>IF(C308="","",IF(OR(E308="Received",E308="Declined"),"",AsOf-C308))</f>
        <v/>
      </c>
      <c r="K308" s="49">
        <f>IF(A308="","",IF(AND(E308="Received",H308&lt;&gt;"Yes"),"Reply to review",IF(N(J308)&gt;=ReviewWait,IF(E308="Reminder sent","Close out","Send reminder"),"—")))</f>
        <v/>
      </c>
      <c r="L308" s="51">
        <f>IF(F308="","",DATE(YEAR(F308),MONTH(F308),1))</f>
        <v/>
      </c>
      <c r="M308" s="51">
        <f>IF(C308="","",DATE(YEAR(C308),MONTH(C308),1))</f>
        <v/>
      </c>
    </row>
    <row r="309">
      <c r="A309" s="38" t="n"/>
      <c r="B309" s="38" t="n"/>
      <c r="C309" s="47" t="n"/>
      <c r="D309" s="38" t="n"/>
      <c r="E309" s="38" t="n"/>
      <c r="F309" s="47" t="n"/>
      <c r="G309" s="57" t="n"/>
      <c r="H309" s="38" t="n"/>
      <c r="I309" s="38" t="n"/>
      <c r="J309" s="50">
        <f>IF(C309="","",IF(OR(E309="Received",E309="Declined"),"",AsOf-C309))</f>
        <v/>
      </c>
      <c r="K309" s="49">
        <f>IF(A309="","",IF(AND(E309="Received",H309&lt;&gt;"Yes"),"Reply to review",IF(N(J309)&gt;=ReviewWait,IF(E309="Reminder sent","Close out","Send reminder"),"—")))</f>
        <v/>
      </c>
      <c r="L309" s="51">
        <f>IF(F309="","",DATE(YEAR(F309),MONTH(F309),1))</f>
        <v/>
      </c>
      <c r="M309" s="51">
        <f>IF(C309="","",DATE(YEAR(C309),MONTH(C309),1))</f>
        <v/>
      </c>
    </row>
    <row r="310">
      <c r="A310" s="38" t="n"/>
      <c r="B310" s="38" t="n"/>
      <c r="C310" s="47" t="n"/>
      <c r="D310" s="38" t="n"/>
      <c r="E310" s="38" t="n"/>
      <c r="F310" s="47" t="n"/>
      <c r="G310" s="57" t="n"/>
      <c r="H310" s="38" t="n"/>
      <c r="I310" s="38" t="n"/>
      <c r="J310" s="50">
        <f>IF(C310="","",IF(OR(E310="Received",E310="Declined"),"",AsOf-C310))</f>
        <v/>
      </c>
      <c r="K310" s="49">
        <f>IF(A310="","",IF(AND(E310="Received",H310&lt;&gt;"Yes"),"Reply to review",IF(N(J310)&gt;=ReviewWait,IF(E310="Reminder sent","Close out","Send reminder"),"—")))</f>
        <v/>
      </c>
      <c r="L310" s="51">
        <f>IF(F310="","",DATE(YEAR(F310),MONTH(F310),1))</f>
        <v/>
      </c>
      <c r="M310" s="51">
        <f>IF(C310="","",DATE(YEAR(C310),MONTH(C310),1))</f>
        <v/>
      </c>
    </row>
    <row r="311">
      <c r="A311" s="38" t="n"/>
      <c r="B311" s="38" t="n"/>
      <c r="C311" s="47" t="n"/>
      <c r="D311" s="38" t="n"/>
      <c r="E311" s="38" t="n"/>
      <c r="F311" s="47" t="n"/>
      <c r="G311" s="57" t="n"/>
      <c r="H311" s="38" t="n"/>
      <c r="I311" s="38" t="n"/>
      <c r="J311" s="50">
        <f>IF(C311="","",IF(OR(E311="Received",E311="Declined"),"",AsOf-C311))</f>
        <v/>
      </c>
      <c r="K311" s="49">
        <f>IF(A311="","",IF(AND(E311="Received",H311&lt;&gt;"Yes"),"Reply to review",IF(N(J311)&gt;=ReviewWait,IF(E311="Reminder sent","Close out","Send reminder"),"—")))</f>
        <v/>
      </c>
      <c r="L311" s="51">
        <f>IF(F311="","",DATE(YEAR(F311),MONTH(F311),1))</f>
        <v/>
      </c>
      <c r="M311" s="51">
        <f>IF(C311="","",DATE(YEAR(C311),MONTH(C311),1))</f>
        <v/>
      </c>
    </row>
    <row r="312">
      <c r="A312" s="38" t="n"/>
      <c r="B312" s="38" t="n"/>
      <c r="C312" s="47" t="n"/>
      <c r="D312" s="38" t="n"/>
      <c r="E312" s="38" t="n"/>
      <c r="F312" s="47" t="n"/>
      <c r="G312" s="57" t="n"/>
      <c r="H312" s="38" t="n"/>
      <c r="I312" s="38" t="n"/>
      <c r="J312" s="50">
        <f>IF(C312="","",IF(OR(E312="Received",E312="Declined"),"",AsOf-C312))</f>
        <v/>
      </c>
      <c r="K312" s="49">
        <f>IF(A312="","",IF(AND(E312="Received",H312&lt;&gt;"Yes"),"Reply to review",IF(N(J312)&gt;=ReviewWait,IF(E312="Reminder sent","Close out","Send reminder"),"—")))</f>
        <v/>
      </c>
      <c r="L312" s="51">
        <f>IF(F312="","",DATE(YEAR(F312),MONTH(F312),1))</f>
        <v/>
      </c>
      <c r="M312" s="51">
        <f>IF(C312="","",DATE(YEAR(C312),MONTH(C312),1))</f>
        <v/>
      </c>
    </row>
    <row r="313">
      <c r="A313" s="38" t="n"/>
      <c r="B313" s="38" t="n"/>
      <c r="C313" s="47" t="n"/>
      <c r="D313" s="38" t="n"/>
      <c r="E313" s="38" t="n"/>
      <c r="F313" s="47" t="n"/>
      <c r="G313" s="57" t="n"/>
      <c r="H313" s="38" t="n"/>
      <c r="I313" s="38" t="n"/>
      <c r="J313" s="50">
        <f>IF(C313="","",IF(OR(E313="Received",E313="Declined"),"",AsOf-C313))</f>
        <v/>
      </c>
      <c r="K313" s="49">
        <f>IF(A313="","",IF(AND(E313="Received",H313&lt;&gt;"Yes"),"Reply to review",IF(N(J313)&gt;=ReviewWait,IF(E313="Reminder sent","Close out","Send reminder"),"—")))</f>
        <v/>
      </c>
      <c r="L313" s="51">
        <f>IF(F313="","",DATE(YEAR(F313),MONTH(F313),1))</f>
        <v/>
      </c>
      <c r="M313" s="51">
        <f>IF(C313="","",DATE(YEAR(C313),MONTH(C313),1))</f>
        <v/>
      </c>
    </row>
    <row r="314">
      <c r="A314" s="38" t="n"/>
      <c r="B314" s="38" t="n"/>
      <c r="C314" s="47" t="n"/>
      <c r="D314" s="38" t="n"/>
      <c r="E314" s="38" t="n"/>
      <c r="F314" s="47" t="n"/>
      <c r="G314" s="57" t="n"/>
      <c r="H314" s="38" t="n"/>
      <c r="I314" s="38" t="n"/>
      <c r="J314" s="50">
        <f>IF(C314="","",IF(OR(E314="Received",E314="Declined"),"",AsOf-C314))</f>
        <v/>
      </c>
      <c r="K314" s="49">
        <f>IF(A314="","",IF(AND(E314="Received",H314&lt;&gt;"Yes"),"Reply to review",IF(N(J314)&gt;=ReviewWait,IF(E314="Reminder sent","Close out","Send reminder"),"—")))</f>
        <v/>
      </c>
      <c r="L314" s="51">
        <f>IF(F314="","",DATE(YEAR(F314),MONTH(F314),1))</f>
        <v/>
      </c>
      <c r="M314" s="51">
        <f>IF(C314="","",DATE(YEAR(C314),MONTH(C314),1))</f>
        <v/>
      </c>
    </row>
    <row r="315">
      <c r="A315" s="38" t="n"/>
      <c r="B315" s="38" t="n"/>
      <c r="C315" s="47" t="n"/>
      <c r="D315" s="38" t="n"/>
      <c r="E315" s="38" t="n"/>
      <c r="F315" s="47" t="n"/>
      <c r="G315" s="57" t="n"/>
      <c r="H315" s="38" t="n"/>
      <c r="I315" s="38" t="n"/>
      <c r="J315" s="50">
        <f>IF(C315="","",IF(OR(E315="Received",E315="Declined"),"",AsOf-C315))</f>
        <v/>
      </c>
      <c r="K315" s="49">
        <f>IF(A315="","",IF(AND(E315="Received",H315&lt;&gt;"Yes"),"Reply to review",IF(N(J315)&gt;=ReviewWait,IF(E315="Reminder sent","Close out","Send reminder"),"—")))</f>
        <v/>
      </c>
      <c r="L315" s="51">
        <f>IF(F315="","",DATE(YEAR(F315),MONTH(F315),1))</f>
        <v/>
      </c>
      <c r="M315" s="51">
        <f>IF(C315="","",DATE(YEAR(C315),MONTH(C315),1))</f>
        <v/>
      </c>
    </row>
    <row r="316">
      <c r="A316" s="38" t="n"/>
      <c r="B316" s="38" t="n"/>
      <c r="C316" s="47" t="n"/>
      <c r="D316" s="38" t="n"/>
      <c r="E316" s="38" t="n"/>
      <c r="F316" s="47" t="n"/>
      <c r="G316" s="57" t="n"/>
      <c r="H316" s="38" t="n"/>
      <c r="I316" s="38" t="n"/>
      <c r="J316" s="50">
        <f>IF(C316="","",IF(OR(E316="Received",E316="Declined"),"",AsOf-C316))</f>
        <v/>
      </c>
      <c r="K316" s="49">
        <f>IF(A316="","",IF(AND(E316="Received",H316&lt;&gt;"Yes"),"Reply to review",IF(N(J316)&gt;=ReviewWait,IF(E316="Reminder sent","Close out","Send reminder"),"—")))</f>
        <v/>
      </c>
      <c r="L316" s="51">
        <f>IF(F316="","",DATE(YEAR(F316),MONTH(F316),1))</f>
        <v/>
      </c>
      <c r="M316" s="51">
        <f>IF(C316="","",DATE(YEAR(C316),MONTH(C316),1))</f>
        <v/>
      </c>
    </row>
    <row r="317">
      <c r="A317" s="38" t="n"/>
      <c r="B317" s="38" t="n"/>
      <c r="C317" s="47" t="n"/>
      <c r="D317" s="38" t="n"/>
      <c r="E317" s="38" t="n"/>
      <c r="F317" s="47" t="n"/>
      <c r="G317" s="57" t="n"/>
      <c r="H317" s="38" t="n"/>
      <c r="I317" s="38" t="n"/>
      <c r="J317" s="50">
        <f>IF(C317="","",IF(OR(E317="Received",E317="Declined"),"",AsOf-C317))</f>
        <v/>
      </c>
      <c r="K317" s="49">
        <f>IF(A317="","",IF(AND(E317="Received",H317&lt;&gt;"Yes"),"Reply to review",IF(N(J317)&gt;=ReviewWait,IF(E317="Reminder sent","Close out","Send reminder"),"—")))</f>
        <v/>
      </c>
      <c r="L317" s="51">
        <f>IF(F317="","",DATE(YEAR(F317),MONTH(F317),1))</f>
        <v/>
      </c>
      <c r="M317" s="51">
        <f>IF(C317="","",DATE(YEAR(C317),MONTH(C317),1))</f>
        <v/>
      </c>
    </row>
    <row r="318">
      <c r="A318" s="38" t="n"/>
      <c r="B318" s="38" t="n"/>
      <c r="C318" s="47" t="n"/>
      <c r="D318" s="38" t="n"/>
      <c r="E318" s="38" t="n"/>
      <c r="F318" s="47" t="n"/>
      <c r="G318" s="57" t="n"/>
      <c r="H318" s="38" t="n"/>
      <c r="I318" s="38" t="n"/>
      <c r="J318" s="50">
        <f>IF(C318="","",IF(OR(E318="Received",E318="Declined"),"",AsOf-C318))</f>
        <v/>
      </c>
      <c r="K318" s="49">
        <f>IF(A318="","",IF(AND(E318="Received",H318&lt;&gt;"Yes"),"Reply to review",IF(N(J318)&gt;=ReviewWait,IF(E318="Reminder sent","Close out","Send reminder"),"—")))</f>
        <v/>
      </c>
      <c r="L318" s="51">
        <f>IF(F318="","",DATE(YEAR(F318),MONTH(F318),1))</f>
        <v/>
      </c>
      <c r="M318" s="51">
        <f>IF(C318="","",DATE(YEAR(C318),MONTH(C318),1))</f>
        <v/>
      </c>
    </row>
    <row r="319">
      <c r="A319" s="38" t="n"/>
      <c r="B319" s="38" t="n"/>
      <c r="C319" s="47" t="n"/>
      <c r="D319" s="38" t="n"/>
      <c r="E319" s="38" t="n"/>
      <c r="F319" s="47" t="n"/>
      <c r="G319" s="57" t="n"/>
      <c r="H319" s="38" t="n"/>
      <c r="I319" s="38" t="n"/>
      <c r="J319" s="50">
        <f>IF(C319="","",IF(OR(E319="Received",E319="Declined"),"",AsOf-C319))</f>
        <v/>
      </c>
      <c r="K319" s="49">
        <f>IF(A319="","",IF(AND(E319="Received",H319&lt;&gt;"Yes"),"Reply to review",IF(N(J319)&gt;=ReviewWait,IF(E319="Reminder sent","Close out","Send reminder"),"—")))</f>
        <v/>
      </c>
      <c r="L319" s="51">
        <f>IF(F319="","",DATE(YEAR(F319),MONTH(F319),1))</f>
        <v/>
      </c>
      <c r="M319" s="51">
        <f>IF(C319="","",DATE(YEAR(C319),MONTH(C319),1))</f>
        <v/>
      </c>
    </row>
    <row r="320">
      <c r="A320" s="38" t="n"/>
      <c r="B320" s="38" t="n"/>
      <c r="C320" s="47" t="n"/>
      <c r="D320" s="38" t="n"/>
      <c r="E320" s="38" t="n"/>
      <c r="F320" s="47" t="n"/>
      <c r="G320" s="57" t="n"/>
      <c r="H320" s="38" t="n"/>
      <c r="I320" s="38" t="n"/>
      <c r="J320" s="50">
        <f>IF(C320="","",IF(OR(E320="Received",E320="Declined"),"",AsOf-C320))</f>
        <v/>
      </c>
      <c r="K320" s="49">
        <f>IF(A320="","",IF(AND(E320="Received",H320&lt;&gt;"Yes"),"Reply to review",IF(N(J320)&gt;=ReviewWait,IF(E320="Reminder sent","Close out","Send reminder"),"—")))</f>
        <v/>
      </c>
      <c r="L320" s="51">
        <f>IF(F320="","",DATE(YEAR(F320),MONTH(F320),1))</f>
        <v/>
      </c>
      <c r="M320" s="51">
        <f>IF(C320="","",DATE(YEAR(C320),MONTH(C320),1))</f>
        <v/>
      </c>
    </row>
    <row r="321">
      <c r="A321" s="38" t="n"/>
      <c r="B321" s="38" t="n"/>
      <c r="C321" s="47" t="n"/>
      <c r="D321" s="38" t="n"/>
      <c r="E321" s="38" t="n"/>
      <c r="F321" s="47" t="n"/>
      <c r="G321" s="57" t="n"/>
      <c r="H321" s="38" t="n"/>
      <c r="I321" s="38" t="n"/>
      <c r="J321" s="50">
        <f>IF(C321="","",IF(OR(E321="Received",E321="Declined"),"",AsOf-C321))</f>
        <v/>
      </c>
      <c r="K321" s="49">
        <f>IF(A321="","",IF(AND(E321="Received",H321&lt;&gt;"Yes"),"Reply to review",IF(N(J321)&gt;=ReviewWait,IF(E321="Reminder sent","Close out","Send reminder"),"—")))</f>
        <v/>
      </c>
      <c r="L321" s="51">
        <f>IF(F321="","",DATE(YEAR(F321),MONTH(F321),1))</f>
        <v/>
      </c>
      <c r="M321" s="51">
        <f>IF(C321="","",DATE(YEAR(C321),MONTH(C321),1))</f>
        <v/>
      </c>
    </row>
    <row r="322">
      <c r="A322" s="38" t="n"/>
      <c r="B322" s="38" t="n"/>
      <c r="C322" s="47" t="n"/>
      <c r="D322" s="38" t="n"/>
      <c r="E322" s="38" t="n"/>
      <c r="F322" s="47" t="n"/>
      <c r="G322" s="57" t="n"/>
      <c r="H322" s="38" t="n"/>
      <c r="I322" s="38" t="n"/>
      <c r="J322" s="50">
        <f>IF(C322="","",IF(OR(E322="Received",E322="Declined"),"",AsOf-C322))</f>
        <v/>
      </c>
      <c r="K322" s="49">
        <f>IF(A322="","",IF(AND(E322="Received",H322&lt;&gt;"Yes"),"Reply to review",IF(N(J322)&gt;=ReviewWait,IF(E322="Reminder sent","Close out","Send reminder"),"—")))</f>
        <v/>
      </c>
      <c r="L322" s="51">
        <f>IF(F322="","",DATE(YEAR(F322),MONTH(F322),1))</f>
        <v/>
      </c>
      <c r="M322" s="51">
        <f>IF(C322="","",DATE(YEAR(C322),MONTH(C322),1))</f>
        <v/>
      </c>
    </row>
    <row r="323">
      <c r="A323" s="38" t="n"/>
      <c r="B323" s="38" t="n"/>
      <c r="C323" s="47" t="n"/>
      <c r="D323" s="38" t="n"/>
      <c r="E323" s="38" t="n"/>
      <c r="F323" s="47" t="n"/>
      <c r="G323" s="57" t="n"/>
      <c r="H323" s="38" t="n"/>
      <c r="I323" s="38" t="n"/>
      <c r="J323" s="50">
        <f>IF(C323="","",IF(OR(E323="Received",E323="Declined"),"",AsOf-C323))</f>
        <v/>
      </c>
      <c r="K323" s="49">
        <f>IF(A323="","",IF(AND(E323="Received",H323&lt;&gt;"Yes"),"Reply to review",IF(N(J323)&gt;=ReviewWait,IF(E323="Reminder sent","Close out","Send reminder"),"—")))</f>
        <v/>
      </c>
      <c r="L323" s="51">
        <f>IF(F323="","",DATE(YEAR(F323),MONTH(F323),1))</f>
        <v/>
      </c>
      <c r="M323" s="51">
        <f>IF(C323="","",DATE(YEAR(C323),MONTH(C323),1))</f>
        <v/>
      </c>
    </row>
    <row r="324">
      <c r="A324" s="38" t="n"/>
      <c r="B324" s="38" t="n"/>
      <c r="C324" s="47" t="n"/>
      <c r="D324" s="38" t="n"/>
      <c r="E324" s="38" t="n"/>
      <c r="F324" s="47" t="n"/>
      <c r="G324" s="57" t="n"/>
      <c r="H324" s="38" t="n"/>
      <c r="I324" s="38" t="n"/>
      <c r="J324" s="50">
        <f>IF(C324="","",IF(OR(E324="Received",E324="Declined"),"",AsOf-C324))</f>
        <v/>
      </c>
      <c r="K324" s="49">
        <f>IF(A324="","",IF(AND(E324="Received",H324&lt;&gt;"Yes"),"Reply to review",IF(N(J324)&gt;=ReviewWait,IF(E324="Reminder sent","Close out","Send reminder"),"—")))</f>
        <v/>
      </c>
      <c r="L324" s="51">
        <f>IF(F324="","",DATE(YEAR(F324),MONTH(F324),1))</f>
        <v/>
      </c>
      <c r="M324" s="51">
        <f>IF(C324="","",DATE(YEAR(C324),MONTH(C324),1))</f>
        <v/>
      </c>
    </row>
    <row r="325">
      <c r="A325" s="38" t="n"/>
      <c r="B325" s="38" t="n"/>
      <c r="C325" s="47" t="n"/>
      <c r="D325" s="38" t="n"/>
      <c r="E325" s="38" t="n"/>
      <c r="F325" s="47" t="n"/>
      <c r="G325" s="57" t="n"/>
      <c r="H325" s="38" t="n"/>
      <c r="I325" s="38" t="n"/>
      <c r="J325" s="50">
        <f>IF(C325="","",IF(OR(E325="Received",E325="Declined"),"",AsOf-C325))</f>
        <v/>
      </c>
      <c r="K325" s="49">
        <f>IF(A325="","",IF(AND(E325="Received",H325&lt;&gt;"Yes"),"Reply to review",IF(N(J325)&gt;=ReviewWait,IF(E325="Reminder sent","Close out","Send reminder"),"—")))</f>
        <v/>
      </c>
      <c r="L325" s="51">
        <f>IF(F325="","",DATE(YEAR(F325),MONTH(F325),1))</f>
        <v/>
      </c>
      <c r="M325" s="51">
        <f>IF(C325="","",DATE(YEAR(C325),MONTH(C325),1))</f>
        <v/>
      </c>
    </row>
    <row r="326">
      <c r="A326" s="38" t="n"/>
      <c r="B326" s="38" t="n"/>
      <c r="C326" s="47" t="n"/>
      <c r="D326" s="38" t="n"/>
      <c r="E326" s="38" t="n"/>
      <c r="F326" s="47" t="n"/>
      <c r="G326" s="57" t="n"/>
      <c r="H326" s="38" t="n"/>
      <c r="I326" s="38" t="n"/>
      <c r="J326" s="50">
        <f>IF(C326="","",IF(OR(E326="Received",E326="Declined"),"",AsOf-C326))</f>
        <v/>
      </c>
      <c r="K326" s="49">
        <f>IF(A326="","",IF(AND(E326="Received",H326&lt;&gt;"Yes"),"Reply to review",IF(N(J326)&gt;=ReviewWait,IF(E326="Reminder sent","Close out","Send reminder"),"—")))</f>
        <v/>
      </c>
      <c r="L326" s="51">
        <f>IF(F326="","",DATE(YEAR(F326),MONTH(F326),1))</f>
        <v/>
      </c>
      <c r="M326" s="51">
        <f>IF(C326="","",DATE(YEAR(C326),MONTH(C326),1))</f>
        <v/>
      </c>
    </row>
    <row r="327">
      <c r="A327" s="38" t="n"/>
      <c r="B327" s="38" t="n"/>
      <c r="C327" s="47" t="n"/>
      <c r="D327" s="38" t="n"/>
      <c r="E327" s="38" t="n"/>
      <c r="F327" s="47" t="n"/>
      <c r="G327" s="57" t="n"/>
      <c r="H327" s="38" t="n"/>
      <c r="I327" s="38" t="n"/>
      <c r="J327" s="50">
        <f>IF(C327="","",IF(OR(E327="Received",E327="Declined"),"",AsOf-C327))</f>
        <v/>
      </c>
      <c r="K327" s="49">
        <f>IF(A327="","",IF(AND(E327="Received",H327&lt;&gt;"Yes"),"Reply to review",IF(N(J327)&gt;=ReviewWait,IF(E327="Reminder sent","Close out","Send reminder"),"—")))</f>
        <v/>
      </c>
      <c r="L327" s="51">
        <f>IF(F327="","",DATE(YEAR(F327),MONTH(F327),1))</f>
        <v/>
      </c>
      <c r="M327" s="51">
        <f>IF(C327="","",DATE(YEAR(C327),MONTH(C327),1))</f>
        <v/>
      </c>
    </row>
    <row r="328">
      <c r="A328" s="38" t="n"/>
      <c r="B328" s="38" t="n"/>
      <c r="C328" s="47" t="n"/>
      <c r="D328" s="38" t="n"/>
      <c r="E328" s="38" t="n"/>
      <c r="F328" s="47" t="n"/>
      <c r="G328" s="57" t="n"/>
      <c r="H328" s="38" t="n"/>
      <c r="I328" s="38" t="n"/>
      <c r="J328" s="50">
        <f>IF(C328="","",IF(OR(E328="Received",E328="Declined"),"",AsOf-C328))</f>
        <v/>
      </c>
      <c r="K328" s="49">
        <f>IF(A328="","",IF(AND(E328="Received",H328&lt;&gt;"Yes"),"Reply to review",IF(N(J328)&gt;=ReviewWait,IF(E328="Reminder sent","Close out","Send reminder"),"—")))</f>
        <v/>
      </c>
      <c r="L328" s="51">
        <f>IF(F328="","",DATE(YEAR(F328),MONTH(F328),1))</f>
        <v/>
      </c>
      <c r="M328" s="51">
        <f>IF(C328="","",DATE(YEAR(C328),MONTH(C328),1))</f>
        <v/>
      </c>
    </row>
    <row r="329">
      <c r="A329" s="38" t="n"/>
      <c r="B329" s="38" t="n"/>
      <c r="C329" s="47" t="n"/>
      <c r="D329" s="38" t="n"/>
      <c r="E329" s="38" t="n"/>
      <c r="F329" s="47" t="n"/>
      <c r="G329" s="57" t="n"/>
      <c r="H329" s="38" t="n"/>
      <c r="I329" s="38" t="n"/>
      <c r="J329" s="50">
        <f>IF(C329="","",IF(OR(E329="Received",E329="Declined"),"",AsOf-C329))</f>
        <v/>
      </c>
      <c r="K329" s="49">
        <f>IF(A329="","",IF(AND(E329="Received",H329&lt;&gt;"Yes"),"Reply to review",IF(N(J329)&gt;=ReviewWait,IF(E329="Reminder sent","Close out","Send reminder"),"—")))</f>
        <v/>
      </c>
      <c r="L329" s="51">
        <f>IF(F329="","",DATE(YEAR(F329),MONTH(F329),1))</f>
        <v/>
      </c>
      <c r="M329" s="51">
        <f>IF(C329="","",DATE(YEAR(C329),MONTH(C329),1))</f>
        <v/>
      </c>
    </row>
    <row r="330">
      <c r="A330" s="38" t="n"/>
      <c r="B330" s="38" t="n"/>
      <c r="C330" s="47" t="n"/>
      <c r="D330" s="38" t="n"/>
      <c r="E330" s="38" t="n"/>
      <c r="F330" s="47" t="n"/>
      <c r="G330" s="57" t="n"/>
      <c r="H330" s="38" t="n"/>
      <c r="I330" s="38" t="n"/>
      <c r="J330" s="50">
        <f>IF(C330="","",IF(OR(E330="Received",E330="Declined"),"",AsOf-C330))</f>
        <v/>
      </c>
      <c r="K330" s="49">
        <f>IF(A330="","",IF(AND(E330="Received",H330&lt;&gt;"Yes"),"Reply to review",IF(N(J330)&gt;=ReviewWait,IF(E330="Reminder sent","Close out","Send reminder"),"—")))</f>
        <v/>
      </c>
      <c r="L330" s="51">
        <f>IF(F330="","",DATE(YEAR(F330),MONTH(F330),1))</f>
        <v/>
      </c>
      <c r="M330" s="51">
        <f>IF(C330="","",DATE(YEAR(C330),MONTH(C330),1))</f>
        <v/>
      </c>
    </row>
    <row r="331">
      <c r="A331" s="38" t="n"/>
      <c r="B331" s="38" t="n"/>
      <c r="C331" s="47" t="n"/>
      <c r="D331" s="38" t="n"/>
      <c r="E331" s="38" t="n"/>
      <c r="F331" s="47" t="n"/>
      <c r="G331" s="57" t="n"/>
      <c r="H331" s="38" t="n"/>
      <c r="I331" s="38" t="n"/>
      <c r="J331" s="50">
        <f>IF(C331="","",IF(OR(E331="Received",E331="Declined"),"",AsOf-C331))</f>
        <v/>
      </c>
      <c r="K331" s="49">
        <f>IF(A331="","",IF(AND(E331="Received",H331&lt;&gt;"Yes"),"Reply to review",IF(N(J331)&gt;=ReviewWait,IF(E331="Reminder sent","Close out","Send reminder"),"—")))</f>
        <v/>
      </c>
      <c r="L331" s="51">
        <f>IF(F331="","",DATE(YEAR(F331),MONTH(F331),1))</f>
        <v/>
      </c>
      <c r="M331" s="51">
        <f>IF(C331="","",DATE(YEAR(C331),MONTH(C331),1))</f>
        <v/>
      </c>
    </row>
    <row r="332">
      <c r="A332" s="38" t="n"/>
      <c r="B332" s="38" t="n"/>
      <c r="C332" s="47" t="n"/>
      <c r="D332" s="38" t="n"/>
      <c r="E332" s="38" t="n"/>
      <c r="F332" s="47" t="n"/>
      <c r="G332" s="57" t="n"/>
      <c r="H332" s="38" t="n"/>
      <c r="I332" s="38" t="n"/>
      <c r="J332" s="50">
        <f>IF(C332="","",IF(OR(E332="Received",E332="Declined"),"",AsOf-C332))</f>
        <v/>
      </c>
      <c r="K332" s="49">
        <f>IF(A332="","",IF(AND(E332="Received",H332&lt;&gt;"Yes"),"Reply to review",IF(N(J332)&gt;=ReviewWait,IF(E332="Reminder sent","Close out","Send reminder"),"—")))</f>
        <v/>
      </c>
      <c r="L332" s="51">
        <f>IF(F332="","",DATE(YEAR(F332),MONTH(F332),1))</f>
        <v/>
      </c>
      <c r="M332" s="51">
        <f>IF(C332="","",DATE(YEAR(C332),MONTH(C332),1))</f>
        <v/>
      </c>
    </row>
    <row r="333">
      <c r="A333" s="38" t="n"/>
      <c r="B333" s="38" t="n"/>
      <c r="C333" s="47" t="n"/>
      <c r="D333" s="38" t="n"/>
      <c r="E333" s="38" t="n"/>
      <c r="F333" s="47" t="n"/>
      <c r="G333" s="57" t="n"/>
      <c r="H333" s="38" t="n"/>
      <c r="I333" s="38" t="n"/>
      <c r="J333" s="50">
        <f>IF(C333="","",IF(OR(E333="Received",E333="Declined"),"",AsOf-C333))</f>
        <v/>
      </c>
      <c r="K333" s="49">
        <f>IF(A333="","",IF(AND(E333="Received",H333&lt;&gt;"Yes"),"Reply to review",IF(N(J333)&gt;=ReviewWait,IF(E333="Reminder sent","Close out","Send reminder"),"—")))</f>
        <v/>
      </c>
      <c r="L333" s="51">
        <f>IF(F333="","",DATE(YEAR(F333),MONTH(F333),1))</f>
        <v/>
      </c>
      <c r="M333" s="51">
        <f>IF(C333="","",DATE(YEAR(C333),MONTH(C333),1))</f>
        <v/>
      </c>
    </row>
    <row r="334">
      <c r="A334" s="38" t="n"/>
      <c r="B334" s="38" t="n"/>
      <c r="C334" s="47" t="n"/>
      <c r="D334" s="38" t="n"/>
      <c r="E334" s="38" t="n"/>
      <c r="F334" s="47" t="n"/>
      <c r="G334" s="57" t="n"/>
      <c r="H334" s="38" t="n"/>
      <c r="I334" s="38" t="n"/>
      <c r="J334" s="50">
        <f>IF(C334="","",IF(OR(E334="Received",E334="Declined"),"",AsOf-C334))</f>
        <v/>
      </c>
      <c r="K334" s="49">
        <f>IF(A334="","",IF(AND(E334="Received",H334&lt;&gt;"Yes"),"Reply to review",IF(N(J334)&gt;=ReviewWait,IF(E334="Reminder sent","Close out","Send reminder"),"—")))</f>
        <v/>
      </c>
      <c r="L334" s="51">
        <f>IF(F334="","",DATE(YEAR(F334),MONTH(F334),1))</f>
        <v/>
      </c>
      <c r="M334" s="51">
        <f>IF(C334="","",DATE(YEAR(C334),MONTH(C334),1))</f>
        <v/>
      </c>
    </row>
    <row r="335">
      <c r="A335" s="38" t="n"/>
      <c r="B335" s="38" t="n"/>
      <c r="C335" s="47" t="n"/>
      <c r="D335" s="38" t="n"/>
      <c r="E335" s="38" t="n"/>
      <c r="F335" s="47" t="n"/>
      <c r="G335" s="57" t="n"/>
      <c r="H335" s="38" t="n"/>
      <c r="I335" s="38" t="n"/>
      <c r="J335" s="50">
        <f>IF(C335="","",IF(OR(E335="Received",E335="Declined"),"",AsOf-C335))</f>
        <v/>
      </c>
      <c r="K335" s="49">
        <f>IF(A335="","",IF(AND(E335="Received",H335&lt;&gt;"Yes"),"Reply to review",IF(N(J335)&gt;=ReviewWait,IF(E335="Reminder sent","Close out","Send reminder"),"—")))</f>
        <v/>
      </c>
      <c r="L335" s="51">
        <f>IF(F335="","",DATE(YEAR(F335),MONTH(F335),1))</f>
        <v/>
      </c>
      <c r="M335" s="51">
        <f>IF(C335="","",DATE(YEAR(C335),MONTH(C335),1))</f>
        <v/>
      </c>
    </row>
    <row r="336">
      <c r="A336" s="38" t="n"/>
      <c r="B336" s="38" t="n"/>
      <c r="C336" s="47" t="n"/>
      <c r="D336" s="38" t="n"/>
      <c r="E336" s="38" t="n"/>
      <c r="F336" s="47" t="n"/>
      <c r="G336" s="57" t="n"/>
      <c r="H336" s="38" t="n"/>
      <c r="I336" s="38" t="n"/>
      <c r="J336" s="50">
        <f>IF(C336="","",IF(OR(E336="Received",E336="Declined"),"",AsOf-C336))</f>
        <v/>
      </c>
      <c r="K336" s="49">
        <f>IF(A336="","",IF(AND(E336="Received",H336&lt;&gt;"Yes"),"Reply to review",IF(N(J336)&gt;=ReviewWait,IF(E336="Reminder sent","Close out","Send reminder"),"—")))</f>
        <v/>
      </c>
      <c r="L336" s="51">
        <f>IF(F336="","",DATE(YEAR(F336),MONTH(F336),1))</f>
        <v/>
      </c>
      <c r="M336" s="51">
        <f>IF(C336="","",DATE(YEAR(C336),MONTH(C336),1))</f>
        <v/>
      </c>
    </row>
    <row r="337">
      <c r="A337" s="38" t="n"/>
      <c r="B337" s="38" t="n"/>
      <c r="C337" s="47" t="n"/>
      <c r="D337" s="38" t="n"/>
      <c r="E337" s="38" t="n"/>
      <c r="F337" s="47" t="n"/>
      <c r="G337" s="57" t="n"/>
      <c r="H337" s="38" t="n"/>
      <c r="I337" s="38" t="n"/>
      <c r="J337" s="50">
        <f>IF(C337="","",IF(OR(E337="Received",E337="Declined"),"",AsOf-C337))</f>
        <v/>
      </c>
      <c r="K337" s="49">
        <f>IF(A337="","",IF(AND(E337="Received",H337&lt;&gt;"Yes"),"Reply to review",IF(N(J337)&gt;=ReviewWait,IF(E337="Reminder sent","Close out","Send reminder"),"—")))</f>
        <v/>
      </c>
      <c r="L337" s="51">
        <f>IF(F337="","",DATE(YEAR(F337),MONTH(F337),1))</f>
        <v/>
      </c>
      <c r="M337" s="51">
        <f>IF(C337="","",DATE(YEAR(C337),MONTH(C337),1))</f>
        <v/>
      </c>
    </row>
    <row r="338">
      <c r="A338" s="38" t="n"/>
      <c r="B338" s="38" t="n"/>
      <c r="C338" s="47" t="n"/>
      <c r="D338" s="38" t="n"/>
      <c r="E338" s="38" t="n"/>
      <c r="F338" s="47" t="n"/>
      <c r="G338" s="57" t="n"/>
      <c r="H338" s="38" t="n"/>
      <c r="I338" s="38" t="n"/>
      <c r="J338" s="50">
        <f>IF(C338="","",IF(OR(E338="Received",E338="Declined"),"",AsOf-C338))</f>
        <v/>
      </c>
      <c r="K338" s="49">
        <f>IF(A338="","",IF(AND(E338="Received",H338&lt;&gt;"Yes"),"Reply to review",IF(N(J338)&gt;=ReviewWait,IF(E338="Reminder sent","Close out","Send reminder"),"—")))</f>
        <v/>
      </c>
      <c r="L338" s="51">
        <f>IF(F338="","",DATE(YEAR(F338),MONTH(F338),1))</f>
        <v/>
      </c>
      <c r="M338" s="51">
        <f>IF(C338="","",DATE(YEAR(C338),MONTH(C338),1))</f>
        <v/>
      </c>
    </row>
    <row r="339">
      <c r="A339" s="38" t="n"/>
      <c r="B339" s="38" t="n"/>
      <c r="C339" s="47" t="n"/>
      <c r="D339" s="38" t="n"/>
      <c r="E339" s="38" t="n"/>
      <c r="F339" s="47" t="n"/>
      <c r="G339" s="57" t="n"/>
      <c r="H339" s="38" t="n"/>
      <c r="I339" s="38" t="n"/>
      <c r="J339" s="50">
        <f>IF(C339="","",IF(OR(E339="Received",E339="Declined"),"",AsOf-C339))</f>
        <v/>
      </c>
      <c r="K339" s="49">
        <f>IF(A339="","",IF(AND(E339="Received",H339&lt;&gt;"Yes"),"Reply to review",IF(N(J339)&gt;=ReviewWait,IF(E339="Reminder sent","Close out","Send reminder"),"—")))</f>
        <v/>
      </c>
      <c r="L339" s="51">
        <f>IF(F339="","",DATE(YEAR(F339),MONTH(F339),1))</f>
        <v/>
      </c>
      <c r="M339" s="51">
        <f>IF(C339="","",DATE(YEAR(C339),MONTH(C339),1))</f>
        <v/>
      </c>
    </row>
    <row r="340">
      <c r="A340" s="38" t="n"/>
      <c r="B340" s="38" t="n"/>
      <c r="C340" s="47" t="n"/>
      <c r="D340" s="38" t="n"/>
      <c r="E340" s="38" t="n"/>
      <c r="F340" s="47" t="n"/>
      <c r="G340" s="57" t="n"/>
      <c r="H340" s="38" t="n"/>
      <c r="I340" s="38" t="n"/>
      <c r="J340" s="50">
        <f>IF(C340="","",IF(OR(E340="Received",E340="Declined"),"",AsOf-C340))</f>
        <v/>
      </c>
      <c r="K340" s="49">
        <f>IF(A340="","",IF(AND(E340="Received",H340&lt;&gt;"Yes"),"Reply to review",IF(N(J340)&gt;=ReviewWait,IF(E340="Reminder sent","Close out","Send reminder"),"—")))</f>
        <v/>
      </c>
      <c r="L340" s="51">
        <f>IF(F340="","",DATE(YEAR(F340),MONTH(F340),1))</f>
        <v/>
      </c>
      <c r="M340" s="51">
        <f>IF(C340="","",DATE(YEAR(C340),MONTH(C340),1))</f>
        <v/>
      </c>
    </row>
    <row r="341">
      <c r="A341" s="38" t="n"/>
      <c r="B341" s="38" t="n"/>
      <c r="C341" s="47" t="n"/>
      <c r="D341" s="38" t="n"/>
      <c r="E341" s="38" t="n"/>
      <c r="F341" s="47" t="n"/>
      <c r="G341" s="57" t="n"/>
      <c r="H341" s="38" t="n"/>
      <c r="I341" s="38" t="n"/>
      <c r="J341" s="50">
        <f>IF(C341="","",IF(OR(E341="Received",E341="Declined"),"",AsOf-C341))</f>
        <v/>
      </c>
      <c r="K341" s="49">
        <f>IF(A341="","",IF(AND(E341="Received",H341&lt;&gt;"Yes"),"Reply to review",IF(N(J341)&gt;=ReviewWait,IF(E341="Reminder sent","Close out","Send reminder"),"—")))</f>
        <v/>
      </c>
      <c r="L341" s="51">
        <f>IF(F341="","",DATE(YEAR(F341),MONTH(F341),1))</f>
        <v/>
      </c>
      <c r="M341" s="51">
        <f>IF(C341="","",DATE(YEAR(C341),MONTH(C341),1))</f>
        <v/>
      </c>
    </row>
    <row r="342">
      <c r="A342" s="38" t="n"/>
      <c r="B342" s="38" t="n"/>
      <c r="C342" s="47" t="n"/>
      <c r="D342" s="38" t="n"/>
      <c r="E342" s="38" t="n"/>
      <c r="F342" s="47" t="n"/>
      <c r="G342" s="57" t="n"/>
      <c r="H342" s="38" t="n"/>
      <c r="I342" s="38" t="n"/>
      <c r="J342" s="50">
        <f>IF(C342="","",IF(OR(E342="Received",E342="Declined"),"",AsOf-C342))</f>
        <v/>
      </c>
      <c r="K342" s="49">
        <f>IF(A342="","",IF(AND(E342="Received",H342&lt;&gt;"Yes"),"Reply to review",IF(N(J342)&gt;=ReviewWait,IF(E342="Reminder sent","Close out","Send reminder"),"—")))</f>
        <v/>
      </c>
      <c r="L342" s="51">
        <f>IF(F342="","",DATE(YEAR(F342),MONTH(F342),1))</f>
        <v/>
      </c>
      <c r="M342" s="51">
        <f>IF(C342="","",DATE(YEAR(C342),MONTH(C342),1))</f>
        <v/>
      </c>
    </row>
    <row r="343">
      <c r="A343" s="38" t="n"/>
      <c r="B343" s="38" t="n"/>
      <c r="C343" s="47" t="n"/>
      <c r="D343" s="38" t="n"/>
      <c r="E343" s="38" t="n"/>
      <c r="F343" s="47" t="n"/>
      <c r="G343" s="57" t="n"/>
      <c r="H343" s="38" t="n"/>
      <c r="I343" s="38" t="n"/>
      <c r="J343" s="50">
        <f>IF(C343="","",IF(OR(E343="Received",E343="Declined"),"",AsOf-C343))</f>
        <v/>
      </c>
      <c r="K343" s="49">
        <f>IF(A343="","",IF(AND(E343="Received",H343&lt;&gt;"Yes"),"Reply to review",IF(N(J343)&gt;=ReviewWait,IF(E343="Reminder sent","Close out","Send reminder"),"—")))</f>
        <v/>
      </c>
      <c r="L343" s="51">
        <f>IF(F343="","",DATE(YEAR(F343),MONTH(F343),1))</f>
        <v/>
      </c>
      <c r="M343" s="51">
        <f>IF(C343="","",DATE(YEAR(C343),MONTH(C343),1))</f>
        <v/>
      </c>
    </row>
    <row r="344">
      <c r="A344" s="38" t="n"/>
      <c r="B344" s="38" t="n"/>
      <c r="C344" s="47" t="n"/>
      <c r="D344" s="38" t="n"/>
      <c r="E344" s="38" t="n"/>
      <c r="F344" s="47" t="n"/>
      <c r="G344" s="57" t="n"/>
      <c r="H344" s="38" t="n"/>
      <c r="I344" s="38" t="n"/>
      <c r="J344" s="50">
        <f>IF(C344="","",IF(OR(E344="Received",E344="Declined"),"",AsOf-C344))</f>
        <v/>
      </c>
      <c r="K344" s="49">
        <f>IF(A344="","",IF(AND(E344="Received",H344&lt;&gt;"Yes"),"Reply to review",IF(N(J344)&gt;=ReviewWait,IF(E344="Reminder sent","Close out","Send reminder"),"—")))</f>
        <v/>
      </c>
      <c r="L344" s="51">
        <f>IF(F344="","",DATE(YEAR(F344),MONTH(F344),1))</f>
        <v/>
      </c>
      <c r="M344" s="51">
        <f>IF(C344="","",DATE(YEAR(C344),MONTH(C344),1))</f>
        <v/>
      </c>
    </row>
    <row r="345">
      <c r="A345" s="38" t="n"/>
      <c r="B345" s="38" t="n"/>
      <c r="C345" s="47" t="n"/>
      <c r="D345" s="38" t="n"/>
      <c r="E345" s="38" t="n"/>
      <c r="F345" s="47" t="n"/>
      <c r="G345" s="57" t="n"/>
      <c r="H345" s="38" t="n"/>
      <c r="I345" s="38" t="n"/>
      <c r="J345" s="50">
        <f>IF(C345="","",IF(OR(E345="Received",E345="Declined"),"",AsOf-C345))</f>
        <v/>
      </c>
      <c r="K345" s="49">
        <f>IF(A345="","",IF(AND(E345="Received",H345&lt;&gt;"Yes"),"Reply to review",IF(N(J345)&gt;=ReviewWait,IF(E345="Reminder sent","Close out","Send reminder"),"—")))</f>
        <v/>
      </c>
      <c r="L345" s="51">
        <f>IF(F345="","",DATE(YEAR(F345),MONTH(F345),1))</f>
        <v/>
      </c>
      <c r="M345" s="51">
        <f>IF(C345="","",DATE(YEAR(C345),MONTH(C345),1))</f>
        <v/>
      </c>
    </row>
    <row r="346">
      <c r="A346" s="38" t="n"/>
      <c r="B346" s="38" t="n"/>
      <c r="C346" s="47" t="n"/>
      <c r="D346" s="38" t="n"/>
      <c r="E346" s="38" t="n"/>
      <c r="F346" s="47" t="n"/>
      <c r="G346" s="57" t="n"/>
      <c r="H346" s="38" t="n"/>
      <c r="I346" s="38" t="n"/>
      <c r="J346" s="50">
        <f>IF(C346="","",IF(OR(E346="Received",E346="Declined"),"",AsOf-C346))</f>
        <v/>
      </c>
      <c r="K346" s="49">
        <f>IF(A346="","",IF(AND(E346="Received",H346&lt;&gt;"Yes"),"Reply to review",IF(N(J346)&gt;=ReviewWait,IF(E346="Reminder sent","Close out","Send reminder"),"—")))</f>
        <v/>
      </c>
      <c r="L346" s="51">
        <f>IF(F346="","",DATE(YEAR(F346),MONTH(F346),1))</f>
        <v/>
      </c>
      <c r="M346" s="51">
        <f>IF(C346="","",DATE(YEAR(C346),MONTH(C346),1))</f>
        <v/>
      </c>
    </row>
    <row r="347">
      <c r="A347" s="38" t="n"/>
      <c r="B347" s="38" t="n"/>
      <c r="C347" s="47" t="n"/>
      <c r="D347" s="38" t="n"/>
      <c r="E347" s="38" t="n"/>
      <c r="F347" s="47" t="n"/>
      <c r="G347" s="57" t="n"/>
      <c r="H347" s="38" t="n"/>
      <c r="I347" s="38" t="n"/>
      <c r="J347" s="50">
        <f>IF(C347="","",IF(OR(E347="Received",E347="Declined"),"",AsOf-C347))</f>
        <v/>
      </c>
      <c r="K347" s="49">
        <f>IF(A347="","",IF(AND(E347="Received",H347&lt;&gt;"Yes"),"Reply to review",IF(N(J347)&gt;=ReviewWait,IF(E347="Reminder sent","Close out","Send reminder"),"—")))</f>
        <v/>
      </c>
      <c r="L347" s="51">
        <f>IF(F347="","",DATE(YEAR(F347),MONTH(F347),1))</f>
        <v/>
      </c>
      <c r="M347" s="51">
        <f>IF(C347="","",DATE(YEAR(C347),MONTH(C347),1))</f>
        <v/>
      </c>
    </row>
    <row r="348">
      <c r="A348" s="38" t="n"/>
      <c r="B348" s="38" t="n"/>
      <c r="C348" s="47" t="n"/>
      <c r="D348" s="38" t="n"/>
      <c r="E348" s="38" t="n"/>
      <c r="F348" s="47" t="n"/>
      <c r="G348" s="57" t="n"/>
      <c r="H348" s="38" t="n"/>
      <c r="I348" s="38" t="n"/>
      <c r="J348" s="50">
        <f>IF(C348="","",IF(OR(E348="Received",E348="Declined"),"",AsOf-C348))</f>
        <v/>
      </c>
      <c r="K348" s="49">
        <f>IF(A348="","",IF(AND(E348="Received",H348&lt;&gt;"Yes"),"Reply to review",IF(N(J348)&gt;=ReviewWait,IF(E348="Reminder sent","Close out","Send reminder"),"—")))</f>
        <v/>
      </c>
      <c r="L348" s="51">
        <f>IF(F348="","",DATE(YEAR(F348),MONTH(F348),1))</f>
        <v/>
      </c>
      <c r="M348" s="51">
        <f>IF(C348="","",DATE(YEAR(C348),MONTH(C348),1))</f>
        <v/>
      </c>
    </row>
    <row r="349">
      <c r="A349" s="38" t="n"/>
      <c r="B349" s="38" t="n"/>
      <c r="C349" s="47" t="n"/>
      <c r="D349" s="38" t="n"/>
      <c r="E349" s="38" t="n"/>
      <c r="F349" s="47" t="n"/>
      <c r="G349" s="57" t="n"/>
      <c r="H349" s="38" t="n"/>
      <c r="I349" s="38" t="n"/>
      <c r="J349" s="50">
        <f>IF(C349="","",IF(OR(E349="Received",E349="Declined"),"",AsOf-C349))</f>
        <v/>
      </c>
      <c r="K349" s="49">
        <f>IF(A349="","",IF(AND(E349="Received",H349&lt;&gt;"Yes"),"Reply to review",IF(N(J349)&gt;=ReviewWait,IF(E349="Reminder sent","Close out","Send reminder"),"—")))</f>
        <v/>
      </c>
      <c r="L349" s="51">
        <f>IF(F349="","",DATE(YEAR(F349),MONTH(F349),1))</f>
        <v/>
      </c>
      <c r="M349" s="51">
        <f>IF(C349="","",DATE(YEAR(C349),MONTH(C349),1))</f>
        <v/>
      </c>
    </row>
    <row r="350">
      <c r="A350" s="38" t="n"/>
      <c r="B350" s="38" t="n"/>
      <c r="C350" s="47" t="n"/>
      <c r="D350" s="38" t="n"/>
      <c r="E350" s="38" t="n"/>
      <c r="F350" s="47" t="n"/>
      <c r="G350" s="57" t="n"/>
      <c r="H350" s="38" t="n"/>
      <c r="I350" s="38" t="n"/>
      <c r="J350" s="50">
        <f>IF(C350="","",IF(OR(E350="Received",E350="Declined"),"",AsOf-C350))</f>
        <v/>
      </c>
      <c r="K350" s="49">
        <f>IF(A350="","",IF(AND(E350="Received",H350&lt;&gt;"Yes"),"Reply to review",IF(N(J350)&gt;=ReviewWait,IF(E350="Reminder sent","Close out","Send reminder"),"—")))</f>
        <v/>
      </c>
      <c r="L350" s="51">
        <f>IF(F350="","",DATE(YEAR(F350),MONTH(F350),1))</f>
        <v/>
      </c>
      <c r="M350" s="51">
        <f>IF(C350="","",DATE(YEAR(C350),MONTH(C350),1))</f>
        <v/>
      </c>
    </row>
    <row r="351">
      <c r="A351" s="38" t="n"/>
      <c r="B351" s="38" t="n"/>
      <c r="C351" s="47" t="n"/>
      <c r="D351" s="38" t="n"/>
      <c r="E351" s="38" t="n"/>
      <c r="F351" s="47" t="n"/>
      <c r="G351" s="57" t="n"/>
      <c r="H351" s="38" t="n"/>
      <c r="I351" s="38" t="n"/>
      <c r="J351" s="50">
        <f>IF(C351="","",IF(OR(E351="Received",E351="Declined"),"",AsOf-C351))</f>
        <v/>
      </c>
      <c r="K351" s="49">
        <f>IF(A351="","",IF(AND(E351="Received",H351&lt;&gt;"Yes"),"Reply to review",IF(N(J351)&gt;=ReviewWait,IF(E351="Reminder sent","Close out","Send reminder"),"—")))</f>
        <v/>
      </c>
      <c r="L351" s="51">
        <f>IF(F351="","",DATE(YEAR(F351),MONTH(F351),1))</f>
        <v/>
      </c>
      <c r="M351" s="51">
        <f>IF(C351="","",DATE(YEAR(C351),MONTH(C351),1))</f>
        <v/>
      </c>
    </row>
    <row r="352">
      <c r="A352" s="38" t="n"/>
      <c r="B352" s="38" t="n"/>
      <c r="C352" s="47" t="n"/>
      <c r="D352" s="38" t="n"/>
      <c r="E352" s="38" t="n"/>
      <c r="F352" s="47" t="n"/>
      <c r="G352" s="57" t="n"/>
      <c r="H352" s="38" t="n"/>
      <c r="I352" s="38" t="n"/>
      <c r="J352" s="50">
        <f>IF(C352="","",IF(OR(E352="Received",E352="Declined"),"",AsOf-C352))</f>
        <v/>
      </c>
      <c r="K352" s="49">
        <f>IF(A352="","",IF(AND(E352="Received",H352&lt;&gt;"Yes"),"Reply to review",IF(N(J352)&gt;=ReviewWait,IF(E352="Reminder sent","Close out","Send reminder"),"—")))</f>
        <v/>
      </c>
      <c r="L352" s="51">
        <f>IF(F352="","",DATE(YEAR(F352),MONTH(F352),1))</f>
        <v/>
      </c>
      <c r="M352" s="51">
        <f>IF(C352="","",DATE(YEAR(C352),MONTH(C352),1))</f>
        <v/>
      </c>
    </row>
    <row r="353">
      <c r="A353" s="38" t="n"/>
      <c r="B353" s="38" t="n"/>
      <c r="C353" s="47" t="n"/>
      <c r="D353" s="38" t="n"/>
      <c r="E353" s="38" t="n"/>
      <c r="F353" s="47" t="n"/>
      <c r="G353" s="57" t="n"/>
      <c r="H353" s="38" t="n"/>
      <c r="I353" s="38" t="n"/>
      <c r="J353" s="50">
        <f>IF(C353="","",IF(OR(E353="Received",E353="Declined"),"",AsOf-C353))</f>
        <v/>
      </c>
      <c r="K353" s="49">
        <f>IF(A353="","",IF(AND(E353="Received",H353&lt;&gt;"Yes"),"Reply to review",IF(N(J353)&gt;=ReviewWait,IF(E353="Reminder sent","Close out","Send reminder"),"—")))</f>
        <v/>
      </c>
      <c r="L353" s="51">
        <f>IF(F353="","",DATE(YEAR(F353),MONTH(F353),1))</f>
        <v/>
      </c>
      <c r="M353" s="51">
        <f>IF(C353="","",DATE(YEAR(C353),MONTH(C353),1))</f>
        <v/>
      </c>
    </row>
    <row r="354">
      <c r="A354" s="38" t="n"/>
      <c r="B354" s="38" t="n"/>
      <c r="C354" s="47" t="n"/>
      <c r="D354" s="38" t="n"/>
      <c r="E354" s="38" t="n"/>
      <c r="F354" s="47" t="n"/>
      <c r="G354" s="57" t="n"/>
      <c r="H354" s="38" t="n"/>
      <c r="I354" s="38" t="n"/>
      <c r="J354" s="50">
        <f>IF(C354="","",IF(OR(E354="Received",E354="Declined"),"",AsOf-C354))</f>
        <v/>
      </c>
      <c r="K354" s="49">
        <f>IF(A354="","",IF(AND(E354="Received",H354&lt;&gt;"Yes"),"Reply to review",IF(N(J354)&gt;=ReviewWait,IF(E354="Reminder sent","Close out","Send reminder"),"—")))</f>
        <v/>
      </c>
      <c r="L354" s="51">
        <f>IF(F354="","",DATE(YEAR(F354),MONTH(F354),1))</f>
        <v/>
      </c>
      <c r="M354" s="51">
        <f>IF(C354="","",DATE(YEAR(C354),MONTH(C354),1))</f>
        <v/>
      </c>
    </row>
    <row r="355">
      <c r="A355" s="38" t="n"/>
      <c r="B355" s="38" t="n"/>
      <c r="C355" s="47" t="n"/>
      <c r="D355" s="38" t="n"/>
      <c r="E355" s="38" t="n"/>
      <c r="F355" s="47" t="n"/>
      <c r="G355" s="57" t="n"/>
      <c r="H355" s="38" t="n"/>
      <c r="I355" s="38" t="n"/>
      <c r="J355" s="50">
        <f>IF(C355="","",IF(OR(E355="Received",E355="Declined"),"",AsOf-C355))</f>
        <v/>
      </c>
      <c r="K355" s="49">
        <f>IF(A355="","",IF(AND(E355="Received",H355&lt;&gt;"Yes"),"Reply to review",IF(N(J355)&gt;=ReviewWait,IF(E355="Reminder sent","Close out","Send reminder"),"—")))</f>
        <v/>
      </c>
      <c r="L355" s="51">
        <f>IF(F355="","",DATE(YEAR(F355),MONTH(F355),1))</f>
        <v/>
      </c>
      <c r="M355" s="51">
        <f>IF(C355="","",DATE(YEAR(C355),MONTH(C355),1))</f>
        <v/>
      </c>
    </row>
    <row r="356">
      <c r="A356" s="38" t="n"/>
      <c r="B356" s="38" t="n"/>
      <c r="C356" s="47" t="n"/>
      <c r="D356" s="38" t="n"/>
      <c r="E356" s="38" t="n"/>
      <c r="F356" s="47" t="n"/>
      <c r="G356" s="57" t="n"/>
      <c r="H356" s="38" t="n"/>
      <c r="I356" s="38" t="n"/>
      <c r="J356" s="50">
        <f>IF(C356="","",IF(OR(E356="Received",E356="Declined"),"",AsOf-C356))</f>
        <v/>
      </c>
      <c r="K356" s="49">
        <f>IF(A356="","",IF(AND(E356="Received",H356&lt;&gt;"Yes"),"Reply to review",IF(N(J356)&gt;=ReviewWait,IF(E356="Reminder sent","Close out","Send reminder"),"—")))</f>
        <v/>
      </c>
      <c r="L356" s="51">
        <f>IF(F356="","",DATE(YEAR(F356),MONTH(F356),1))</f>
        <v/>
      </c>
      <c r="M356" s="51">
        <f>IF(C356="","",DATE(YEAR(C356),MONTH(C356),1))</f>
        <v/>
      </c>
    </row>
    <row r="357">
      <c r="A357" s="38" t="n"/>
      <c r="B357" s="38" t="n"/>
      <c r="C357" s="47" t="n"/>
      <c r="D357" s="38" t="n"/>
      <c r="E357" s="38" t="n"/>
      <c r="F357" s="47" t="n"/>
      <c r="G357" s="57" t="n"/>
      <c r="H357" s="38" t="n"/>
      <c r="I357" s="38" t="n"/>
      <c r="J357" s="50">
        <f>IF(C357="","",IF(OR(E357="Received",E357="Declined"),"",AsOf-C357))</f>
        <v/>
      </c>
      <c r="K357" s="49">
        <f>IF(A357="","",IF(AND(E357="Received",H357&lt;&gt;"Yes"),"Reply to review",IF(N(J357)&gt;=ReviewWait,IF(E357="Reminder sent","Close out","Send reminder"),"—")))</f>
        <v/>
      </c>
      <c r="L357" s="51">
        <f>IF(F357="","",DATE(YEAR(F357),MONTH(F357),1))</f>
        <v/>
      </c>
      <c r="M357" s="51">
        <f>IF(C357="","",DATE(YEAR(C357),MONTH(C357),1))</f>
        <v/>
      </c>
    </row>
    <row r="358">
      <c r="A358" s="38" t="n"/>
      <c r="B358" s="38" t="n"/>
      <c r="C358" s="47" t="n"/>
      <c r="D358" s="38" t="n"/>
      <c r="E358" s="38" t="n"/>
      <c r="F358" s="47" t="n"/>
      <c r="G358" s="57" t="n"/>
      <c r="H358" s="38" t="n"/>
      <c r="I358" s="38" t="n"/>
      <c r="J358" s="50">
        <f>IF(C358="","",IF(OR(E358="Received",E358="Declined"),"",AsOf-C358))</f>
        <v/>
      </c>
      <c r="K358" s="49">
        <f>IF(A358="","",IF(AND(E358="Received",H358&lt;&gt;"Yes"),"Reply to review",IF(N(J358)&gt;=ReviewWait,IF(E358="Reminder sent","Close out","Send reminder"),"—")))</f>
        <v/>
      </c>
      <c r="L358" s="51">
        <f>IF(F358="","",DATE(YEAR(F358),MONTH(F358),1))</f>
        <v/>
      </c>
      <c r="M358" s="51">
        <f>IF(C358="","",DATE(YEAR(C358),MONTH(C358),1))</f>
        <v/>
      </c>
    </row>
    <row r="359">
      <c r="A359" s="38" t="n"/>
      <c r="B359" s="38" t="n"/>
      <c r="C359" s="47" t="n"/>
      <c r="D359" s="38" t="n"/>
      <c r="E359" s="38" t="n"/>
      <c r="F359" s="47" t="n"/>
      <c r="G359" s="57" t="n"/>
      <c r="H359" s="38" t="n"/>
      <c r="I359" s="38" t="n"/>
      <c r="J359" s="50">
        <f>IF(C359="","",IF(OR(E359="Received",E359="Declined"),"",AsOf-C359))</f>
        <v/>
      </c>
      <c r="K359" s="49">
        <f>IF(A359="","",IF(AND(E359="Received",H359&lt;&gt;"Yes"),"Reply to review",IF(N(J359)&gt;=ReviewWait,IF(E359="Reminder sent","Close out","Send reminder"),"—")))</f>
        <v/>
      </c>
      <c r="L359" s="51">
        <f>IF(F359="","",DATE(YEAR(F359),MONTH(F359),1))</f>
        <v/>
      </c>
      <c r="M359" s="51">
        <f>IF(C359="","",DATE(YEAR(C359),MONTH(C359),1))</f>
        <v/>
      </c>
    </row>
    <row r="360">
      <c r="A360" s="38" t="n"/>
      <c r="B360" s="38" t="n"/>
      <c r="C360" s="47" t="n"/>
      <c r="D360" s="38" t="n"/>
      <c r="E360" s="38" t="n"/>
      <c r="F360" s="47" t="n"/>
      <c r="G360" s="57" t="n"/>
      <c r="H360" s="38" t="n"/>
      <c r="I360" s="38" t="n"/>
      <c r="J360" s="50">
        <f>IF(C360="","",IF(OR(E360="Received",E360="Declined"),"",AsOf-C360))</f>
        <v/>
      </c>
      <c r="K360" s="49">
        <f>IF(A360="","",IF(AND(E360="Received",H360&lt;&gt;"Yes"),"Reply to review",IF(N(J360)&gt;=ReviewWait,IF(E360="Reminder sent","Close out","Send reminder"),"—")))</f>
        <v/>
      </c>
      <c r="L360" s="51">
        <f>IF(F360="","",DATE(YEAR(F360),MONTH(F360),1))</f>
        <v/>
      </c>
      <c r="M360" s="51">
        <f>IF(C360="","",DATE(YEAR(C360),MONTH(C360),1))</f>
        <v/>
      </c>
    </row>
    <row r="361">
      <c r="A361" s="38" t="n"/>
      <c r="B361" s="38" t="n"/>
      <c r="C361" s="47" t="n"/>
      <c r="D361" s="38" t="n"/>
      <c r="E361" s="38" t="n"/>
      <c r="F361" s="47" t="n"/>
      <c r="G361" s="57" t="n"/>
      <c r="H361" s="38" t="n"/>
      <c r="I361" s="38" t="n"/>
      <c r="J361" s="50">
        <f>IF(C361="","",IF(OR(E361="Received",E361="Declined"),"",AsOf-C361))</f>
        <v/>
      </c>
      <c r="K361" s="49">
        <f>IF(A361="","",IF(AND(E361="Received",H361&lt;&gt;"Yes"),"Reply to review",IF(N(J361)&gt;=ReviewWait,IF(E361="Reminder sent","Close out","Send reminder"),"—")))</f>
        <v/>
      </c>
      <c r="L361" s="51">
        <f>IF(F361="","",DATE(YEAR(F361),MONTH(F361),1))</f>
        <v/>
      </c>
      <c r="M361" s="51">
        <f>IF(C361="","",DATE(YEAR(C361),MONTH(C361),1))</f>
        <v/>
      </c>
    </row>
    <row r="362">
      <c r="A362" s="38" t="n"/>
      <c r="B362" s="38" t="n"/>
      <c r="C362" s="47" t="n"/>
      <c r="D362" s="38" t="n"/>
      <c r="E362" s="38" t="n"/>
      <c r="F362" s="47" t="n"/>
      <c r="G362" s="57" t="n"/>
      <c r="H362" s="38" t="n"/>
      <c r="I362" s="38" t="n"/>
      <c r="J362" s="50">
        <f>IF(C362="","",IF(OR(E362="Received",E362="Declined"),"",AsOf-C362))</f>
        <v/>
      </c>
      <c r="K362" s="49">
        <f>IF(A362="","",IF(AND(E362="Received",H362&lt;&gt;"Yes"),"Reply to review",IF(N(J362)&gt;=ReviewWait,IF(E362="Reminder sent","Close out","Send reminder"),"—")))</f>
        <v/>
      </c>
      <c r="L362" s="51">
        <f>IF(F362="","",DATE(YEAR(F362),MONTH(F362),1))</f>
        <v/>
      </c>
      <c r="M362" s="51">
        <f>IF(C362="","",DATE(YEAR(C362),MONTH(C362),1))</f>
        <v/>
      </c>
    </row>
    <row r="363">
      <c r="A363" s="38" t="n"/>
      <c r="B363" s="38" t="n"/>
      <c r="C363" s="47" t="n"/>
      <c r="D363" s="38" t="n"/>
      <c r="E363" s="38" t="n"/>
      <c r="F363" s="47" t="n"/>
      <c r="G363" s="57" t="n"/>
      <c r="H363" s="38" t="n"/>
      <c r="I363" s="38" t="n"/>
      <c r="J363" s="50">
        <f>IF(C363="","",IF(OR(E363="Received",E363="Declined"),"",AsOf-C363))</f>
        <v/>
      </c>
      <c r="K363" s="49">
        <f>IF(A363="","",IF(AND(E363="Received",H363&lt;&gt;"Yes"),"Reply to review",IF(N(J363)&gt;=ReviewWait,IF(E363="Reminder sent","Close out","Send reminder"),"—")))</f>
        <v/>
      </c>
      <c r="L363" s="51">
        <f>IF(F363="","",DATE(YEAR(F363),MONTH(F363),1))</f>
        <v/>
      </c>
      <c r="M363" s="51">
        <f>IF(C363="","",DATE(YEAR(C363),MONTH(C363),1))</f>
        <v/>
      </c>
    </row>
    <row r="364">
      <c r="A364" s="38" t="n"/>
      <c r="B364" s="38" t="n"/>
      <c r="C364" s="47" t="n"/>
      <c r="D364" s="38" t="n"/>
      <c r="E364" s="38" t="n"/>
      <c r="F364" s="47" t="n"/>
      <c r="G364" s="57" t="n"/>
      <c r="H364" s="38" t="n"/>
      <c r="I364" s="38" t="n"/>
      <c r="J364" s="50">
        <f>IF(C364="","",IF(OR(E364="Received",E364="Declined"),"",AsOf-C364))</f>
        <v/>
      </c>
      <c r="K364" s="49">
        <f>IF(A364="","",IF(AND(E364="Received",H364&lt;&gt;"Yes"),"Reply to review",IF(N(J364)&gt;=ReviewWait,IF(E364="Reminder sent","Close out","Send reminder"),"—")))</f>
        <v/>
      </c>
      <c r="L364" s="51">
        <f>IF(F364="","",DATE(YEAR(F364),MONTH(F364),1))</f>
        <v/>
      </c>
      <c r="M364" s="51">
        <f>IF(C364="","",DATE(YEAR(C364),MONTH(C364),1))</f>
        <v/>
      </c>
    </row>
    <row r="365">
      <c r="A365" s="38" t="n"/>
      <c r="B365" s="38" t="n"/>
      <c r="C365" s="47" t="n"/>
      <c r="D365" s="38" t="n"/>
      <c r="E365" s="38" t="n"/>
      <c r="F365" s="47" t="n"/>
      <c r="G365" s="57" t="n"/>
      <c r="H365" s="38" t="n"/>
      <c r="I365" s="38" t="n"/>
      <c r="J365" s="50">
        <f>IF(C365="","",IF(OR(E365="Received",E365="Declined"),"",AsOf-C365))</f>
        <v/>
      </c>
      <c r="K365" s="49">
        <f>IF(A365="","",IF(AND(E365="Received",H365&lt;&gt;"Yes"),"Reply to review",IF(N(J365)&gt;=ReviewWait,IF(E365="Reminder sent","Close out","Send reminder"),"—")))</f>
        <v/>
      </c>
      <c r="L365" s="51">
        <f>IF(F365="","",DATE(YEAR(F365),MONTH(F365),1))</f>
        <v/>
      </c>
      <c r="M365" s="51">
        <f>IF(C365="","",DATE(YEAR(C365),MONTH(C365),1))</f>
        <v/>
      </c>
    </row>
    <row r="366">
      <c r="A366" s="38" t="n"/>
      <c r="B366" s="38" t="n"/>
      <c r="C366" s="47" t="n"/>
      <c r="D366" s="38" t="n"/>
      <c r="E366" s="38" t="n"/>
      <c r="F366" s="47" t="n"/>
      <c r="G366" s="57" t="n"/>
      <c r="H366" s="38" t="n"/>
      <c r="I366" s="38" t="n"/>
      <c r="J366" s="50">
        <f>IF(C366="","",IF(OR(E366="Received",E366="Declined"),"",AsOf-C366))</f>
        <v/>
      </c>
      <c r="K366" s="49">
        <f>IF(A366="","",IF(AND(E366="Received",H366&lt;&gt;"Yes"),"Reply to review",IF(N(J366)&gt;=ReviewWait,IF(E366="Reminder sent","Close out","Send reminder"),"—")))</f>
        <v/>
      </c>
      <c r="L366" s="51">
        <f>IF(F366="","",DATE(YEAR(F366),MONTH(F366),1))</f>
        <v/>
      </c>
      <c r="M366" s="51">
        <f>IF(C366="","",DATE(YEAR(C366),MONTH(C366),1))</f>
        <v/>
      </c>
    </row>
    <row r="367">
      <c r="A367" s="38" t="n"/>
      <c r="B367" s="38" t="n"/>
      <c r="C367" s="47" t="n"/>
      <c r="D367" s="38" t="n"/>
      <c r="E367" s="38" t="n"/>
      <c r="F367" s="47" t="n"/>
      <c r="G367" s="57" t="n"/>
      <c r="H367" s="38" t="n"/>
      <c r="I367" s="38" t="n"/>
      <c r="J367" s="50">
        <f>IF(C367="","",IF(OR(E367="Received",E367="Declined"),"",AsOf-C367))</f>
        <v/>
      </c>
      <c r="K367" s="49">
        <f>IF(A367="","",IF(AND(E367="Received",H367&lt;&gt;"Yes"),"Reply to review",IF(N(J367)&gt;=ReviewWait,IF(E367="Reminder sent","Close out","Send reminder"),"—")))</f>
        <v/>
      </c>
      <c r="L367" s="51">
        <f>IF(F367="","",DATE(YEAR(F367),MONTH(F367),1))</f>
        <v/>
      </c>
      <c r="M367" s="51">
        <f>IF(C367="","",DATE(YEAR(C367),MONTH(C367),1))</f>
        <v/>
      </c>
    </row>
    <row r="368">
      <c r="A368" s="38" t="n"/>
      <c r="B368" s="38" t="n"/>
      <c r="C368" s="47" t="n"/>
      <c r="D368" s="38" t="n"/>
      <c r="E368" s="38" t="n"/>
      <c r="F368" s="47" t="n"/>
      <c r="G368" s="57" t="n"/>
      <c r="H368" s="38" t="n"/>
      <c r="I368" s="38" t="n"/>
      <c r="J368" s="50">
        <f>IF(C368="","",IF(OR(E368="Received",E368="Declined"),"",AsOf-C368))</f>
        <v/>
      </c>
      <c r="K368" s="49">
        <f>IF(A368="","",IF(AND(E368="Received",H368&lt;&gt;"Yes"),"Reply to review",IF(N(J368)&gt;=ReviewWait,IF(E368="Reminder sent","Close out","Send reminder"),"—")))</f>
        <v/>
      </c>
      <c r="L368" s="51">
        <f>IF(F368="","",DATE(YEAR(F368),MONTH(F368),1))</f>
        <v/>
      </c>
      <c r="M368" s="51">
        <f>IF(C368="","",DATE(YEAR(C368),MONTH(C368),1))</f>
        <v/>
      </c>
    </row>
    <row r="369">
      <c r="A369" s="38" t="n"/>
      <c r="B369" s="38" t="n"/>
      <c r="C369" s="47" t="n"/>
      <c r="D369" s="38" t="n"/>
      <c r="E369" s="38" t="n"/>
      <c r="F369" s="47" t="n"/>
      <c r="G369" s="57" t="n"/>
      <c r="H369" s="38" t="n"/>
      <c r="I369" s="38" t="n"/>
      <c r="J369" s="50">
        <f>IF(C369="","",IF(OR(E369="Received",E369="Declined"),"",AsOf-C369))</f>
        <v/>
      </c>
      <c r="K369" s="49">
        <f>IF(A369="","",IF(AND(E369="Received",H369&lt;&gt;"Yes"),"Reply to review",IF(N(J369)&gt;=ReviewWait,IF(E369="Reminder sent","Close out","Send reminder"),"—")))</f>
        <v/>
      </c>
      <c r="L369" s="51">
        <f>IF(F369="","",DATE(YEAR(F369),MONTH(F369),1))</f>
        <v/>
      </c>
      <c r="M369" s="51">
        <f>IF(C369="","",DATE(YEAR(C369),MONTH(C369),1))</f>
        <v/>
      </c>
    </row>
    <row r="370">
      <c r="A370" s="38" t="n"/>
      <c r="B370" s="38" t="n"/>
      <c r="C370" s="47" t="n"/>
      <c r="D370" s="38" t="n"/>
      <c r="E370" s="38" t="n"/>
      <c r="F370" s="47" t="n"/>
      <c r="G370" s="57" t="n"/>
      <c r="H370" s="38" t="n"/>
      <c r="I370" s="38" t="n"/>
      <c r="J370" s="50">
        <f>IF(C370="","",IF(OR(E370="Received",E370="Declined"),"",AsOf-C370))</f>
        <v/>
      </c>
      <c r="K370" s="49">
        <f>IF(A370="","",IF(AND(E370="Received",H370&lt;&gt;"Yes"),"Reply to review",IF(N(J370)&gt;=ReviewWait,IF(E370="Reminder sent","Close out","Send reminder"),"—")))</f>
        <v/>
      </c>
      <c r="L370" s="51">
        <f>IF(F370="","",DATE(YEAR(F370),MONTH(F370),1))</f>
        <v/>
      </c>
      <c r="M370" s="51">
        <f>IF(C370="","",DATE(YEAR(C370),MONTH(C370),1))</f>
        <v/>
      </c>
    </row>
    <row r="371">
      <c r="A371" s="38" t="n"/>
      <c r="B371" s="38" t="n"/>
      <c r="C371" s="47" t="n"/>
      <c r="D371" s="38" t="n"/>
      <c r="E371" s="38" t="n"/>
      <c r="F371" s="47" t="n"/>
      <c r="G371" s="57" t="n"/>
      <c r="H371" s="38" t="n"/>
      <c r="I371" s="38" t="n"/>
      <c r="J371" s="50">
        <f>IF(C371="","",IF(OR(E371="Received",E371="Declined"),"",AsOf-C371))</f>
        <v/>
      </c>
      <c r="K371" s="49">
        <f>IF(A371="","",IF(AND(E371="Received",H371&lt;&gt;"Yes"),"Reply to review",IF(N(J371)&gt;=ReviewWait,IF(E371="Reminder sent","Close out","Send reminder"),"—")))</f>
        <v/>
      </c>
      <c r="L371" s="51">
        <f>IF(F371="","",DATE(YEAR(F371),MONTH(F371),1))</f>
        <v/>
      </c>
      <c r="M371" s="51">
        <f>IF(C371="","",DATE(YEAR(C371),MONTH(C371),1))</f>
        <v/>
      </c>
    </row>
    <row r="372">
      <c r="A372" s="38" t="n"/>
      <c r="B372" s="38" t="n"/>
      <c r="C372" s="47" t="n"/>
      <c r="D372" s="38" t="n"/>
      <c r="E372" s="38" t="n"/>
      <c r="F372" s="47" t="n"/>
      <c r="G372" s="57" t="n"/>
      <c r="H372" s="38" t="n"/>
      <c r="I372" s="38" t="n"/>
      <c r="J372" s="50">
        <f>IF(C372="","",IF(OR(E372="Received",E372="Declined"),"",AsOf-C372))</f>
        <v/>
      </c>
      <c r="K372" s="49">
        <f>IF(A372="","",IF(AND(E372="Received",H372&lt;&gt;"Yes"),"Reply to review",IF(N(J372)&gt;=ReviewWait,IF(E372="Reminder sent","Close out","Send reminder"),"—")))</f>
        <v/>
      </c>
      <c r="L372" s="51">
        <f>IF(F372="","",DATE(YEAR(F372),MONTH(F372),1))</f>
        <v/>
      </c>
      <c r="M372" s="51">
        <f>IF(C372="","",DATE(YEAR(C372),MONTH(C372),1))</f>
        <v/>
      </c>
    </row>
    <row r="373">
      <c r="A373" s="38" t="n"/>
      <c r="B373" s="38" t="n"/>
      <c r="C373" s="47" t="n"/>
      <c r="D373" s="38" t="n"/>
      <c r="E373" s="38" t="n"/>
      <c r="F373" s="47" t="n"/>
      <c r="G373" s="57" t="n"/>
      <c r="H373" s="38" t="n"/>
      <c r="I373" s="38" t="n"/>
      <c r="J373" s="50">
        <f>IF(C373="","",IF(OR(E373="Received",E373="Declined"),"",AsOf-C373))</f>
        <v/>
      </c>
      <c r="K373" s="49">
        <f>IF(A373="","",IF(AND(E373="Received",H373&lt;&gt;"Yes"),"Reply to review",IF(N(J373)&gt;=ReviewWait,IF(E373="Reminder sent","Close out","Send reminder"),"—")))</f>
        <v/>
      </c>
      <c r="L373" s="51">
        <f>IF(F373="","",DATE(YEAR(F373),MONTH(F373),1))</f>
        <v/>
      </c>
      <c r="M373" s="51">
        <f>IF(C373="","",DATE(YEAR(C373),MONTH(C373),1))</f>
        <v/>
      </c>
    </row>
    <row r="374">
      <c r="A374" s="38" t="n"/>
      <c r="B374" s="38" t="n"/>
      <c r="C374" s="47" t="n"/>
      <c r="D374" s="38" t="n"/>
      <c r="E374" s="38" t="n"/>
      <c r="F374" s="47" t="n"/>
      <c r="G374" s="57" t="n"/>
      <c r="H374" s="38" t="n"/>
      <c r="I374" s="38" t="n"/>
      <c r="J374" s="50">
        <f>IF(C374="","",IF(OR(E374="Received",E374="Declined"),"",AsOf-C374))</f>
        <v/>
      </c>
      <c r="K374" s="49">
        <f>IF(A374="","",IF(AND(E374="Received",H374&lt;&gt;"Yes"),"Reply to review",IF(N(J374)&gt;=ReviewWait,IF(E374="Reminder sent","Close out","Send reminder"),"—")))</f>
        <v/>
      </c>
      <c r="L374" s="51">
        <f>IF(F374="","",DATE(YEAR(F374),MONTH(F374),1))</f>
        <v/>
      </c>
      <c r="M374" s="51">
        <f>IF(C374="","",DATE(YEAR(C374),MONTH(C374),1))</f>
        <v/>
      </c>
    </row>
    <row r="375">
      <c r="A375" s="38" t="n"/>
      <c r="B375" s="38" t="n"/>
      <c r="C375" s="47" t="n"/>
      <c r="D375" s="38" t="n"/>
      <c r="E375" s="38" t="n"/>
      <c r="F375" s="47" t="n"/>
      <c r="G375" s="57" t="n"/>
      <c r="H375" s="38" t="n"/>
      <c r="I375" s="38" t="n"/>
      <c r="J375" s="50">
        <f>IF(C375="","",IF(OR(E375="Received",E375="Declined"),"",AsOf-C375))</f>
        <v/>
      </c>
      <c r="K375" s="49">
        <f>IF(A375="","",IF(AND(E375="Received",H375&lt;&gt;"Yes"),"Reply to review",IF(N(J375)&gt;=ReviewWait,IF(E375="Reminder sent","Close out","Send reminder"),"—")))</f>
        <v/>
      </c>
      <c r="L375" s="51">
        <f>IF(F375="","",DATE(YEAR(F375),MONTH(F375),1))</f>
        <v/>
      </c>
      <c r="M375" s="51">
        <f>IF(C375="","",DATE(YEAR(C375),MONTH(C375),1))</f>
        <v/>
      </c>
    </row>
    <row r="376">
      <c r="A376" s="38" t="n"/>
      <c r="B376" s="38" t="n"/>
      <c r="C376" s="47" t="n"/>
      <c r="D376" s="38" t="n"/>
      <c r="E376" s="38" t="n"/>
      <c r="F376" s="47" t="n"/>
      <c r="G376" s="57" t="n"/>
      <c r="H376" s="38" t="n"/>
      <c r="I376" s="38" t="n"/>
      <c r="J376" s="50">
        <f>IF(C376="","",IF(OR(E376="Received",E376="Declined"),"",AsOf-C376))</f>
        <v/>
      </c>
      <c r="K376" s="49">
        <f>IF(A376="","",IF(AND(E376="Received",H376&lt;&gt;"Yes"),"Reply to review",IF(N(J376)&gt;=ReviewWait,IF(E376="Reminder sent","Close out","Send reminder"),"—")))</f>
        <v/>
      </c>
      <c r="L376" s="51">
        <f>IF(F376="","",DATE(YEAR(F376),MONTH(F376),1))</f>
        <v/>
      </c>
      <c r="M376" s="51">
        <f>IF(C376="","",DATE(YEAR(C376),MONTH(C376),1))</f>
        <v/>
      </c>
    </row>
    <row r="377">
      <c r="A377" s="38" t="n"/>
      <c r="B377" s="38" t="n"/>
      <c r="C377" s="47" t="n"/>
      <c r="D377" s="38" t="n"/>
      <c r="E377" s="38" t="n"/>
      <c r="F377" s="47" t="n"/>
      <c r="G377" s="57" t="n"/>
      <c r="H377" s="38" t="n"/>
      <c r="I377" s="38" t="n"/>
      <c r="J377" s="50">
        <f>IF(C377="","",IF(OR(E377="Received",E377="Declined"),"",AsOf-C377))</f>
        <v/>
      </c>
      <c r="K377" s="49">
        <f>IF(A377="","",IF(AND(E377="Received",H377&lt;&gt;"Yes"),"Reply to review",IF(N(J377)&gt;=ReviewWait,IF(E377="Reminder sent","Close out","Send reminder"),"—")))</f>
        <v/>
      </c>
      <c r="L377" s="51">
        <f>IF(F377="","",DATE(YEAR(F377),MONTH(F377),1))</f>
        <v/>
      </c>
      <c r="M377" s="51">
        <f>IF(C377="","",DATE(YEAR(C377),MONTH(C377),1))</f>
        <v/>
      </c>
    </row>
    <row r="378">
      <c r="A378" s="38" t="n"/>
      <c r="B378" s="38" t="n"/>
      <c r="C378" s="47" t="n"/>
      <c r="D378" s="38" t="n"/>
      <c r="E378" s="38" t="n"/>
      <c r="F378" s="47" t="n"/>
      <c r="G378" s="57" t="n"/>
      <c r="H378" s="38" t="n"/>
      <c r="I378" s="38" t="n"/>
      <c r="J378" s="50">
        <f>IF(C378="","",IF(OR(E378="Received",E378="Declined"),"",AsOf-C378))</f>
        <v/>
      </c>
      <c r="K378" s="49">
        <f>IF(A378="","",IF(AND(E378="Received",H378&lt;&gt;"Yes"),"Reply to review",IF(N(J378)&gt;=ReviewWait,IF(E378="Reminder sent","Close out","Send reminder"),"—")))</f>
        <v/>
      </c>
      <c r="L378" s="51">
        <f>IF(F378="","",DATE(YEAR(F378),MONTH(F378),1))</f>
        <v/>
      </c>
      <c r="M378" s="51">
        <f>IF(C378="","",DATE(YEAR(C378),MONTH(C378),1))</f>
        <v/>
      </c>
    </row>
    <row r="379">
      <c r="A379" s="38" t="n"/>
      <c r="B379" s="38" t="n"/>
      <c r="C379" s="47" t="n"/>
      <c r="D379" s="38" t="n"/>
      <c r="E379" s="38" t="n"/>
      <c r="F379" s="47" t="n"/>
      <c r="G379" s="57" t="n"/>
      <c r="H379" s="38" t="n"/>
      <c r="I379" s="38" t="n"/>
      <c r="J379" s="50">
        <f>IF(C379="","",IF(OR(E379="Received",E379="Declined"),"",AsOf-C379))</f>
        <v/>
      </c>
      <c r="K379" s="49">
        <f>IF(A379="","",IF(AND(E379="Received",H379&lt;&gt;"Yes"),"Reply to review",IF(N(J379)&gt;=ReviewWait,IF(E379="Reminder sent","Close out","Send reminder"),"—")))</f>
        <v/>
      </c>
      <c r="L379" s="51">
        <f>IF(F379="","",DATE(YEAR(F379),MONTH(F379),1))</f>
        <v/>
      </c>
      <c r="M379" s="51">
        <f>IF(C379="","",DATE(YEAR(C379),MONTH(C379),1))</f>
        <v/>
      </c>
    </row>
    <row r="380">
      <c r="A380" s="38" t="n"/>
      <c r="B380" s="38" t="n"/>
      <c r="C380" s="47" t="n"/>
      <c r="D380" s="38" t="n"/>
      <c r="E380" s="38" t="n"/>
      <c r="F380" s="47" t="n"/>
      <c r="G380" s="57" t="n"/>
      <c r="H380" s="38" t="n"/>
      <c r="I380" s="38" t="n"/>
      <c r="J380" s="50">
        <f>IF(C380="","",IF(OR(E380="Received",E380="Declined"),"",AsOf-C380))</f>
        <v/>
      </c>
      <c r="K380" s="49">
        <f>IF(A380="","",IF(AND(E380="Received",H380&lt;&gt;"Yes"),"Reply to review",IF(N(J380)&gt;=ReviewWait,IF(E380="Reminder sent","Close out","Send reminder"),"—")))</f>
        <v/>
      </c>
      <c r="L380" s="51">
        <f>IF(F380="","",DATE(YEAR(F380),MONTH(F380),1))</f>
        <v/>
      </c>
      <c r="M380" s="51">
        <f>IF(C380="","",DATE(YEAR(C380),MONTH(C380),1))</f>
        <v/>
      </c>
    </row>
    <row r="381">
      <c r="A381" s="38" t="n"/>
      <c r="B381" s="38" t="n"/>
      <c r="C381" s="47" t="n"/>
      <c r="D381" s="38" t="n"/>
      <c r="E381" s="38" t="n"/>
      <c r="F381" s="47" t="n"/>
      <c r="G381" s="57" t="n"/>
      <c r="H381" s="38" t="n"/>
      <c r="I381" s="38" t="n"/>
      <c r="J381" s="50">
        <f>IF(C381="","",IF(OR(E381="Received",E381="Declined"),"",AsOf-C381))</f>
        <v/>
      </c>
      <c r="K381" s="49">
        <f>IF(A381="","",IF(AND(E381="Received",H381&lt;&gt;"Yes"),"Reply to review",IF(N(J381)&gt;=ReviewWait,IF(E381="Reminder sent","Close out","Send reminder"),"—")))</f>
        <v/>
      </c>
      <c r="L381" s="51">
        <f>IF(F381="","",DATE(YEAR(F381),MONTH(F381),1))</f>
        <v/>
      </c>
      <c r="M381" s="51">
        <f>IF(C381="","",DATE(YEAR(C381),MONTH(C381),1))</f>
        <v/>
      </c>
    </row>
    <row r="382">
      <c r="A382" s="38" t="n"/>
      <c r="B382" s="38" t="n"/>
      <c r="C382" s="47" t="n"/>
      <c r="D382" s="38" t="n"/>
      <c r="E382" s="38" t="n"/>
      <c r="F382" s="47" t="n"/>
      <c r="G382" s="57" t="n"/>
      <c r="H382" s="38" t="n"/>
      <c r="I382" s="38" t="n"/>
      <c r="J382" s="50">
        <f>IF(C382="","",IF(OR(E382="Received",E382="Declined"),"",AsOf-C382))</f>
        <v/>
      </c>
      <c r="K382" s="49">
        <f>IF(A382="","",IF(AND(E382="Received",H382&lt;&gt;"Yes"),"Reply to review",IF(N(J382)&gt;=ReviewWait,IF(E382="Reminder sent","Close out","Send reminder"),"—")))</f>
        <v/>
      </c>
      <c r="L382" s="51">
        <f>IF(F382="","",DATE(YEAR(F382),MONTH(F382),1))</f>
        <v/>
      </c>
      <c r="M382" s="51">
        <f>IF(C382="","",DATE(YEAR(C382),MONTH(C382),1))</f>
        <v/>
      </c>
    </row>
    <row r="383">
      <c r="A383" s="38" t="n"/>
      <c r="B383" s="38" t="n"/>
      <c r="C383" s="47" t="n"/>
      <c r="D383" s="38" t="n"/>
      <c r="E383" s="38" t="n"/>
      <c r="F383" s="47" t="n"/>
      <c r="G383" s="57" t="n"/>
      <c r="H383" s="38" t="n"/>
      <c r="I383" s="38" t="n"/>
      <c r="J383" s="50">
        <f>IF(C383="","",IF(OR(E383="Received",E383="Declined"),"",AsOf-C383))</f>
        <v/>
      </c>
      <c r="K383" s="49">
        <f>IF(A383="","",IF(AND(E383="Received",H383&lt;&gt;"Yes"),"Reply to review",IF(N(J383)&gt;=ReviewWait,IF(E383="Reminder sent","Close out","Send reminder"),"—")))</f>
        <v/>
      </c>
      <c r="L383" s="51">
        <f>IF(F383="","",DATE(YEAR(F383),MONTH(F383),1))</f>
        <v/>
      </c>
      <c r="M383" s="51">
        <f>IF(C383="","",DATE(YEAR(C383),MONTH(C383),1))</f>
        <v/>
      </c>
    </row>
    <row r="384">
      <c r="A384" s="38" t="n"/>
      <c r="B384" s="38" t="n"/>
      <c r="C384" s="47" t="n"/>
      <c r="D384" s="38" t="n"/>
      <c r="E384" s="38" t="n"/>
      <c r="F384" s="47" t="n"/>
      <c r="G384" s="57" t="n"/>
      <c r="H384" s="38" t="n"/>
      <c r="I384" s="38" t="n"/>
      <c r="J384" s="50">
        <f>IF(C384="","",IF(OR(E384="Received",E384="Declined"),"",AsOf-C384))</f>
        <v/>
      </c>
      <c r="K384" s="49">
        <f>IF(A384="","",IF(AND(E384="Received",H384&lt;&gt;"Yes"),"Reply to review",IF(N(J384)&gt;=ReviewWait,IF(E384="Reminder sent","Close out","Send reminder"),"—")))</f>
        <v/>
      </c>
      <c r="L384" s="51">
        <f>IF(F384="","",DATE(YEAR(F384),MONTH(F384),1))</f>
        <v/>
      </c>
      <c r="M384" s="51">
        <f>IF(C384="","",DATE(YEAR(C384),MONTH(C384),1))</f>
        <v/>
      </c>
    </row>
    <row r="385">
      <c r="A385" s="38" t="n"/>
      <c r="B385" s="38" t="n"/>
      <c r="C385" s="47" t="n"/>
      <c r="D385" s="38" t="n"/>
      <c r="E385" s="38" t="n"/>
      <c r="F385" s="47" t="n"/>
      <c r="G385" s="57" t="n"/>
      <c r="H385" s="38" t="n"/>
      <c r="I385" s="38" t="n"/>
      <c r="J385" s="50">
        <f>IF(C385="","",IF(OR(E385="Received",E385="Declined"),"",AsOf-C385))</f>
        <v/>
      </c>
      <c r="K385" s="49">
        <f>IF(A385="","",IF(AND(E385="Received",H385&lt;&gt;"Yes"),"Reply to review",IF(N(J385)&gt;=ReviewWait,IF(E385="Reminder sent","Close out","Send reminder"),"—")))</f>
        <v/>
      </c>
      <c r="L385" s="51">
        <f>IF(F385="","",DATE(YEAR(F385),MONTH(F385),1))</f>
        <v/>
      </c>
      <c r="M385" s="51">
        <f>IF(C385="","",DATE(YEAR(C385),MONTH(C385),1))</f>
        <v/>
      </c>
    </row>
    <row r="386">
      <c r="A386" s="38" t="n"/>
      <c r="B386" s="38" t="n"/>
      <c r="C386" s="47" t="n"/>
      <c r="D386" s="38" t="n"/>
      <c r="E386" s="38" t="n"/>
      <c r="F386" s="47" t="n"/>
      <c r="G386" s="57" t="n"/>
      <c r="H386" s="38" t="n"/>
      <c r="I386" s="38" t="n"/>
      <c r="J386" s="50">
        <f>IF(C386="","",IF(OR(E386="Received",E386="Declined"),"",AsOf-C386))</f>
        <v/>
      </c>
      <c r="K386" s="49">
        <f>IF(A386="","",IF(AND(E386="Received",H386&lt;&gt;"Yes"),"Reply to review",IF(N(J386)&gt;=ReviewWait,IF(E386="Reminder sent","Close out","Send reminder"),"—")))</f>
        <v/>
      </c>
      <c r="L386" s="51">
        <f>IF(F386="","",DATE(YEAR(F386),MONTH(F386),1))</f>
        <v/>
      </c>
      <c r="M386" s="51">
        <f>IF(C386="","",DATE(YEAR(C386),MONTH(C386),1))</f>
        <v/>
      </c>
    </row>
    <row r="387">
      <c r="A387" s="38" t="n"/>
      <c r="B387" s="38" t="n"/>
      <c r="C387" s="47" t="n"/>
      <c r="D387" s="38" t="n"/>
      <c r="E387" s="38" t="n"/>
      <c r="F387" s="47" t="n"/>
      <c r="G387" s="57" t="n"/>
      <c r="H387" s="38" t="n"/>
      <c r="I387" s="38" t="n"/>
      <c r="J387" s="50">
        <f>IF(C387="","",IF(OR(E387="Received",E387="Declined"),"",AsOf-C387))</f>
        <v/>
      </c>
      <c r="K387" s="49">
        <f>IF(A387="","",IF(AND(E387="Received",H387&lt;&gt;"Yes"),"Reply to review",IF(N(J387)&gt;=ReviewWait,IF(E387="Reminder sent","Close out","Send reminder"),"—")))</f>
        <v/>
      </c>
      <c r="L387" s="51">
        <f>IF(F387="","",DATE(YEAR(F387),MONTH(F387),1))</f>
        <v/>
      </c>
      <c r="M387" s="51">
        <f>IF(C387="","",DATE(YEAR(C387),MONTH(C387),1))</f>
        <v/>
      </c>
    </row>
    <row r="388">
      <c r="A388" s="38" t="n"/>
      <c r="B388" s="38" t="n"/>
      <c r="C388" s="47" t="n"/>
      <c r="D388" s="38" t="n"/>
      <c r="E388" s="38" t="n"/>
      <c r="F388" s="47" t="n"/>
      <c r="G388" s="57" t="n"/>
      <c r="H388" s="38" t="n"/>
      <c r="I388" s="38" t="n"/>
      <c r="J388" s="50">
        <f>IF(C388="","",IF(OR(E388="Received",E388="Declined"),"",AsOf-C388))</f>
        <v/>
      </c>
      <c r="K388" s="49">
        <f>IF(A388="","",IF(AND(E388="Received",H388&lt;&gt;"Yes"),"Reply to review",IF(N(J388)&gt;=ReviewWait,IF(E388="Reminder sent","Close out","Send reminder"),"—")))</f>
        <v/>
      </c>
      <c r="L388" s="51">
        <f>IF(F388="","",DATE(YEAR(F388),MONTH(F388),1))</f>
        <v/>
      </c>
      <c r="M388" s="51">
        <f>IF(C388="","",DATE(YEAR(C388),MONTH(C388),1))</f>
        <v/>
      </c>
    </row>
    <row r="389">
      <c r="A389" s="38" t="n"/>
      <c r="B389" s="38" t="n"/>
      <c r="C389" s="47" t="n"/>
      <c r="D389" s="38" t="n"/>
      <c r="E389" s="38" t="n"/>
      <c r="F389" s="47" t="n"/>
      <c r="G389" s="57" t="n"/>
      <c r="H389" s="38" t="n"/>
      <c r="I389" s="38" t="n"/>
      <c r="J389" s="50">
        <f>IF(C389="","",IF(OR(E389="Received",E389="Declined"),"",AsOf-C389))</f>
        <v/>
      </c>
      <c r="K389" s="49">
        <f>IF(A389="","",IF(AND(E389="Received",H389&lt;&gt;"Yes"),"Reply to review",IF(N(J389)&gt;=ReviewWait,IF(E389="Reminder sent","Close out","Send reminder"),"—")))</f>
        <v/>
      </c>
      <c r="L389" s="51">
        <f>IF(F389="","",DATE(YEAR(F389),MONTH(F389),1))</f>
        <v/>
      </c>
      <c r="M389" s="51">
        <f>IF(C389="","",DATE(YEAR(C389),MONTH(C389),1))</f>
        <v/>
      </c>
    </row>
    <row r="390">
      <c r="A390" s="38" t="n"/>
      <c r="B390" s="38" t="n"/>
      <c r="C390" s="47" t="n"/>
      <c r="D390" s="38" t="n"/>
      <c r="E390" s="38" t="n"/>
      <c r="F390" s="47" t="n"/>
      <c r="G390" s="57" t="n"/>
      <c r="H390" s="38" t="n"/>
      <c r="I390" s="38" t="n"/>
      <c r="J390" s="50">
        <f>IF(C390="","",IF(OR(E390="Received",E390="Declined"),"",AsOf-C390))</f>
        <v/>
      </c>
      <c r="K390" s="49">
        <f>IF(A390="","",IF(AND(E390="Received",H390&lt;&gt;"Yes"),"Reply to review",IF(N(J390)&gt;=ReviewWait,IF(E390="Reminder sent","Close out","Send reminder"),"—")))</f>
        <v/>
      </c>
      <c r="L390" s="51">
        <f>IF(F390="","",DATE(YEAR(F390),MONTH(F390),1))</f>
        <v/>
      </c>
      <c r="M390" s="51">
        <f>IF(C390="","",DATE(YEAR(C390),MONTH(C390),1))</f>
        <v/>
      </c>
    </row>
    <row r="391">
      <c r="A391" s="38" t="n"/>
      <c r="B391" s="38" t="n"/>
      <c r="C391" s="47" t="n"/>
      <c r="D391" s="38" t="n"/>
      <c r="E391" s="38" t="n"/>
      <c r="F391" s="47" t="n"/>
      <c r="G391" s="57" t="n"/>
      <c r="H391" s="38" t="n"/>
      <c r="I391" s="38" t="n"/>
      <c r="J391" s="50">
        <f>IF(C391="","",IF(OR(E391="Received",E391="Declined"),"",AsOf-C391))</f>
        <v/>
      </c>
      <c r="K391" s="49">
        <f>IF(A391="","",IF(AND(E391="Received",H391&lt;&gt;"Yes"),"Reply to review",IF(N(J391)&gt;=ReviewWait,IF(E391="Reminder sent","Close out","Send reminder"),"—")))</f>
        <v/>
      </c>
      <c r="L391" s="51">
        <f>IF(F391="","",DATE(YEAR(F391),MONTH(F391),1))</f>
        <v/>
      </c>
      <c r="M391" s="51">
        <f>IF(C391="","",DATE(YEAR(C391),MONTH(C391),1))</f>
        <v/>
      </c>
    </row>
    <row r="392">
      <c r="A392" s="38" t="n"/>
      <c r="B392" s="38" t="n"/>
      <c r="C392" s="47" t="n"/>
      <c r="D392" s="38" t="n"/>
      <c r="E392" s="38" t="n"/>
      <c r="F392" s="47" t="n"/>
      <c r="G392" s="57" t="n"/>
      <c r="H392" s="38" t="n"/>
      <c r="I392" s="38" t="n"/>
      <c r="J392" s="50">
        <f>IF(C392="","",IF(OR(E392="Received",E392="Declined"),"",AsOf-C392))</f>
        <v/>
      </c>
      <c r="K392" s="49">
        <f>IF(A392="","",IF(AND(E392="Received",H392&lt;&gt;"Yes"),"Reply to review",IF(N(J392)&gt;=ReviewWait,IF(E392="Reminder sent","Close out","Send reminder"),"—")))</f>
        <v/>
      </c>
      <c r="L392" s="51">
        <f>IF(F392="","",DATE(YEAR(F392),MONTH(F392),1))</f>
        <v/>
      </c>
      <c r="M392" s="51">
        <f>IF(C392="","",DATE(YEAR(C392),MONTH(C392),1))</f>
        <v/>
      </c>
    </row>
    <row r="393">
      <c r="A393" s="38" t="n"/>
      <c r="B393" s="38" t="n"/>
      <c r="C393" s="47" t="n"/>
      <c r="D393" s="38" t="n"/>
      <c r="E393" s="38" t="n"/>
      <c r="F393" s="47" t="n"/>
      <c r="G393" s="57" t="n"/>
      <c r="H393" s="38" t="n"/>
      <c r="I393" s="38" t="n"/>
      <c r="J393" s="50">
        <f>IF(C393="","",IF(OR(E393="Received",E393="Declined"),"",AsOf-C393))</f>
        <v/>
      </c>
      <c r="K393" s="49">
        <f>IF(A393="","",IF(AND(E393="Received",H393&lt;&gt;"Yes"),"Reply to review",IF(N(J393)&gt;=ReviewWait,IF(E393="Reminder sent","Close out","Send reminder"),"—")))</f>
        <v/>
      </c>
      <c r="L393" s="51">
        <f>IF(F393="","",DATE(YEAR(F393),MONTH(F393),1))</f>
        <v/>
      </c>
      <c r="M393" s="51">
        <f>IF(C393="","",DATE(YEAR(C393),MONTH(C393),1))</f>
        <v/>
      </c>
    </row>
    <row r="394">
      <c r="A394" s="38" t="n"/>
      <c r="B394" s="38" t="n"/>
      <c r="C394" s="47" t="n"/>
      <c r="D394" s="38" t="n"/>
      <c r="E394" s="38" t="n"/>
      <c r="F394" s="47" t="n"/>
      <c r="G394" s="57" t="n"/>
      <c r="H394" s="38" t="n"/>
      <c r="I394" s="38" t="n"/>
      <c r="J394" s="50">
        <f>IF(C394="","",IF(OR(E394="Received",E394="Declined"),"",AsOf-C394))</f>
        <v/>
      </c>
      <c r="K394" s="49">
        <f>IF(A394="","",IF(AND(E394="Received",H394&lt;&gt;"Yes"),"Reply to review",IF(N(J394)&gt;=ReviewWait,IF(E394="Reminder sent","Close out","Send reminder"),"—")))</f>
        <v/>
      </c>
      <c r="L394" s="51">
        <f>IF(F394="","",DATE(YEAR(F394),MONTH(F394),1))</f>
        <v/>
      </c>
      <c r="M394" s="51">
        <f>IF(C394="","",DATE(YEAR(C394),MONTH(C394),1))</f>
        <v/>
      </c>
    </row>
    <row r="395">
      <c r="A395" s="38" t="n"/>
      <c r="B395" s="38" t="n"/>
      <c r="C395" s="47" t="n"/>
      <c r="D395" s="38" t="n"/>
      <c r="E395" s="38" t="n"/>
      <c r="F395" s="47" t="n"/>
      <c r="G395" s="57" t="n"/>
      <c r="H395" s="38" t="n"/>
      <c r="I395" s="38" t="n"/>
      <c r="J395" s="50">
        <f>IF(C395="","",IF(OR(E395="Received",E395="Declined"),"",AsOf-C395))</f>
        <v/>
      </c>
      <c r="K395" s="49">
        <f>IF(A395="","",IF(AND(E395="Received",H395&lt;&gt;"Yes"),"Reply to review",IF(N(J395)&gt;=ReviewWait,IF(E395="Reminder sent","Close out","Send reminder"),"—")))</f>
        <v/>
      </c>
      <c r="L395" s="51">
        <f>IF(F395="","",DATE(YEAR(F395),MONTH(F395),1))</f>
        <v/>
      </c>
      <c r="M395" s="51">
        <f>IF(C395="","",DATE(YEAR(C395),MONTH(C395),1))</f>
        <v/>
      </c>
    </row>
    <row r="396">
      <c r="A396" s="38" t="n"/>
      <c r="B396" s="38" t="n"/>
      <c r="C396" s="47" t="n"/>
      <c r="D396" s="38" t="n"/>
      <c r="E396" s="38" t="n"/>
      <c r="F396" s="47" t="n"/>
      <c r="G396" s="57" t="n"/>
      <c r="H396" s="38" t="n"/>
      <c r="I396" s="38" t="n"/>
      <c r="J396" s="50">
        <f>IF(C396="","",IF(OR(E396="Received",E396="Declined"),"",AsOf-C396))</f>
        <v/>
      </c>
      <c r="K396" s="49">
        <f>IF(A396="","",IF(AND(E396="Received",H396&lt;&gt;"Yes"),"Reply to review",IF(N(J396)&gt;=ReviewWait,IF(E396="Reminder sent","Close out","Send reminder"),"—")))</f>
        <v/>
      </c>
      <c r="L396" s="51">
        <f>IF(F396="","",DATE(YEAR(F396),MONTH(F396),1))</f>
        <v/>
      </c>
      <c r="M396" s="51">
        <f>IF(C396="","",DATE(YEAR(C396),MONTH(C396),1))</f>
        <v/>
      </c>
    </row>
    <row r="397">
      <c r="A397" s="38" t="n"/>
      <c r="B397" s="38" t="n"/>
      <c r="C397" s="47" t="n"/>
      <c r="D397" s="38" t="n"/>
      <c r="E397" s="38" t="n"/>
      <c r="F397" s="47" t="n"/>
      <c r="G397" s="57" t="n"/>
      <c r="H397" s="38" t="n"/>
      <c r="I397" s="38" t="n"/>
      <c r="J397" s="50">
        <f>IF(C397="","",IF(OR(E397="Received",E397="Declined"),"",AsOf-C397))</f>
        <v/>
      </c>
      <c r="K397" s="49">
        <f>IF(A397="","",IF(AND(E397="Received",H397&lt;&gt;"Yes"),"Reply to review",IF(N(J397)&gt;=ReviewWait,IF(E397="Reminder sent","Close out","Send reminder"),"—")))</f>
        <v/>
      </c>
      <c r="L397" s="51">
        <f>IF(F397="","",DATE(YEAR(F397),MONTH(F397),1))</f>
        <v/>
      </c>
      <c r="M397" s="51">
        <f>IF(C397="","",DATE(YEAR(C397),MONTH(C397),1))</f>
        <v/>
      </c>
    </row>
    <row r="398">
      <c r="A398" s="38" t="n"/>
      <c r="B398" s="38" t="n"/>
      <c r="C398" s="47" t="n"/>
      <c r="D398" s="38" t="n"/>
      <c r="E398" s="38" t="n"/>
      <c r="F398" s="47" t="n"/>
      <c r="G398" s="57" t="n"/>
      <c r="H398" s="38" t="n"/>
      <c r="I398" s="38" t="n"/>
      <c r="J398" s="50">
        <f>IF(C398="","",IF(OR(E398="Received",E398="Declined"),"",AsOf-C398))</f>
        <v/>
      </c>
      <c r="K398" s="49">
        <f>IF(A398="","",IF(AND(E398="Received",H398&lt;&gt;"Yes"),"Reply to review",IF(N(J398)&gt;=ReviewWait,IF(E398="Reminder sent","Close out","Send reminder"),"—")))</f>
        <v/>
      </c>
      <c r="L398" s="51">
        <f>IF(F398="","",DATE(YEAR(F398),MONTH(F398),1))</f>
        <v/>
      </c>
      <c r="M398" s="51">
        <f>IF(C398="","",DATE(YEAR(C398),MONTH(C398),1))</f>
        <v/>
      </c>
    </row>
    <row r="399">
      <c r="A399" s="38" t="n"/>
      <c r="B399" s="38" t="n"/>
      <c r="C399" s="47" t="n"/>
      <c r="D399" s="38" t="n"/>
      <c r="E399" s="38" t="n"/>
      <c r="F399" s="47" t="n"/>
      <c r="G399" s="57" t="n"/>
      <c r="H399" s="38" t="n"/>
      <c r="I399" s="38" t="n"/>
      <c r="J399" s="50">
        <f>IF(C399="","",IF(OR(E399="Received",E399="Declined"),"",AsOf-C399))</f>
        <v/>
      </c>
      <c r="K399" s="49">
        <f>IF(A399="","",IF(AND(E399="Received",H399&lt;&gt;"Yes"),"Reply to review",IF(N(J399)&gt;=ReviewWait,IF(E399="Reminder sent","Close out","Send reminder"),"—")))</f>
        <v/>
      </c>
      <c r="L399" s="51">
        <f>IF(F399="","",DATE(YEAR(F399),MONTH(F399),1))</f>
        <v/>
      </c>
      <c r="M399" s="51">
        <f>IF(C399="","",DATE(YEAR(C399),MONTH(C399),1))</f>
        <v/>
      </c>
    </row>
    <row r="400">
      <c r="A400" s="38" t="n"/>
      <c r="B400" s="38" t="n"/>
      <c r="C400" s="47" t="n"/>
      <c r="D400" s="38" t="n"/>
      <c r="E400" s="38" t="n"/>
      <c r="F400" s="47" t="n"/>
      <c r="G400" s="57" t="n"/>
      <c r="H400" s="38" t="n"/>
      <c r="I400" s="38" t="n"/>
      <c r="J400" s="50">
        <f>IF(C400="","",IF(OR(E400="Received",E400="Declined"),"",AsOf-C400))</f>
        <v/>
      </c>
      <c r="K400" s="49">
        <f>IF(A400="","",IF(AND(E400="Received",H400&lt;&gt;"Yes"),"Reply to review",IF(N(J400)&gt;=ReviewWait,IF(E400="Reminder sent","Close out","Send reminder"),"—")))</f>
        <v/>
      </c>
      <c r="L400" s="51">
        <f>IF(F400="","",DATE(YEAR(F400),MONTH(F400),1))</f>
        <v/>
      </c>
      <c r="M400" s="51">
        <f>IF(C400="","",DATE(YEAR(C400),MONTH(C400),1))</f>
        <v/>
      </c>
    </row>
    <row r="401">
      <c r="A401" s="38" t="n"/>
      <c r="B401" s="38" t="n"/>
      <c r="C401" s="47" t="n"/>
      <c r="D401" s="38" t="n"/>
      <c r="E401" s="38" t="n"/>
      <c r="F401" s="47" t="n"/>
      <c r="G401" s="57" t="n"/>
      <c r="H401" s="38" t="n"/>
      <c r="I401" s="38" t="n"/>
      <c r="J401" s="50">
        <f>IF(C401="","",IF(OR(E401="Received",E401="Declined"),"",AsOf-C401))</f>
        <v/>
      </c>
      <c r="K401" s="49">
        <f>IF(A401="","",IF(AND(E401="Received",H401&lt;&gt;"Yes"),"Reply to review",IF(N(J401)&gt;=ReviewWait,IF(E401="Reminder sent","Close out","Send reminder"),"—")))</f>
        <v/>
      </c>
      <c r="L401" s="51">
        <f>IF(F401="","",DATE(YEAR(F401),MONTH(F401),1))</f>
        <v/>
      </c>
      <c r="M401" s="51">
        <f>IF(C401="","",DATE(YEAR(C401),MONTH(C401),1))</f>
        <v/>
      </c>
    </row>
    <row r="402">
      <c r="A402" s="38" t="n"/>
      <c r="B402" s="38" t="n"/>
      <c r="C402" s="47" t="n"/>
      <c r="D402" s="38" t="n"/>
      <c r="E402" s="38" t="n"/>
      <c r="F402" s="47" t="n"/>
      <c r="G402" s="57" t="n"/>
      <c r="H402" s="38" t="n"/>
      <c r="I402" s="38" t="n"/>
      <c r="J402" s="50">
        <f>IF(C402="","",IF(OR(E402="Received",E402="Declined"),"",AsOf-C402))</f>
        <v/>
      </c>
      <c r="K402" s="49">
        <f>IF(A402="","",IF(AND(E402="Received",H402&lt;&gt;"Yes"),"Reply to review",IF(N(J402)&gt;=ReviewWait,IF(E402="Reminder sent","Close out","Send reminder"),"—")))</f>
        <v/>
      </c>
      <c r="L402" s="51">
        <f>IF(F402="","",DATE(YEAR(F402),MONTH(F402),1))</f>
        <v/>
      </c>
      <c r="M402" s="51">
        <f>IF(C402="","",DATE(YEAR(C402),MONTH(C402),1))</f>
        <v/>
      </c>
    </row>
    <row r="403">
      <c r="A403" s="38" t="n"/>
      <c r="B403" s="38" t="n"/>
      <c r="C403" s="47" t="n"/>
      <c r="D403" s="38" t="n"/>
      <c r="E403" s="38" t="n"/>
      <c r="F403" s="47" t="n"/>
      <c r="G403" s="57" t="n"/>
      <c r="H403" s="38" t="n"/>
      <c r="I403" s="38" t="n"/>
      <c r="J403" s="50">
        <f>IF(C403="","",IF(OR(E403="Received",E403="Declined"),"",AsOf-C403))</f>
        <v/>
      </c>
      <c r="K403" s="49">
        <f>IF(A403="","",IF(AND(E403="Received",H403&lt;&gt;"Yes"),"Reply to review",IF(N(J403)&gt;=ReviewWait,IF(E403="Reminder sent","Close out","Send reminder"),"—")))</f>
        <v/>
      </c>
      <c r="L403" s="51">
        <f>IF(F403="","",DATE(YEAR(F403),MONTH(F403),1))</f>
        <v/>
      </c>
      <c r="M403" s="51">
        <f>IF(C403="","",DATE(YEAR(C403),MONTH(C403),1))</f>
        <v/>
      </c>
    </row>
    <row r="404">
      <c r="A404" s="38" t="n"/>
      <c r="B404" s="38" t="n"/>
      <c r="C404" s="47" t="n"/>
      <c r="D404" s="38" t="n"/>
      <c r="E404" s="38" t="n"/>
      <c r="F404" s="47" t="n"/>
      <c r="G404" s="57" t="n"/>
      <c r="H404" s="38" t="n"/>
      <c r="I404" s="38" t="n"/>
      <c r="J404" s="50">
        <f>IF(C404="","",IF(OR(E404="Received",E404="Declined"),"",AsOf-C404))</f>
        <v/>
      </c>
      <c r="K404" s="49">
        <f>IF(A404="","",IF(AND(E404="Received",H404&lt;&gt;"Yes"),"Reply to review",IF(N(J404)&gt;=ReviewWait,IF(E404="Reminder sent","Close out","Send reminder"),"—")))</f>
        <v/>
      </c>
      <c r="L404" s="51">
        <f>IF(F404="","",DATE(YEAR(F404),MONTH(F404),1))</f>
        <v/>
      </c>
      <c r="M404" s="51">
        <f>IF(C404="","",DATE(YEAR(C404),MONTH(C404),1))</f>
        <v/>
      </c>
    </row>
    <row r="405">
      <c r="A405" s="38" t="n"/>
      <c r="B405" s="38" t="n"/>
      <c r="C405" s="47" t="n"/>
      <c r="D405" s="38" t="n"/>
      <c r="E405" s="38" t="n"/>
      <c r="F405" s="47" t="n"/>
      <c r="G405" s="57" t="n"/>
      <c r="H405" s="38" t="n"/>
      <c r="I405" s="38" t="n"/>
      <c r="J405" s="50">
        <f>IF(C405="","",IF(OR(E405="Received",E405="Declined"),"",AsOf-C405))</f>
        <v/>
      </c>
      <c r="K405" s="49">
        <f>IF(A405="","",IF(AND(E405="Received",H405&lt;&gt;"Yes"),"Reply to review",IF(N(J405)&gt;=ReviewWait,IF(E405="Reminder sent","Close out","Send reminder"),"—")))</f>
        <v/>
      </c>
      <c r="L405" s="51">
        <f>IF(F405="","",DATE(YEAR(F405),MONTH(F405),1))</f>
        <v/>
      </c>
      <c r="M405" s="51">
        <f>IF(C405="","",DATE(YEAR(C405),MONTH(C405),1))</f>
        <v/>
      </c>
    </row>
    <row r="406">
      <c r="A406" s="38" t="n"/>
      <c r="B406" s="38" t="n"/>
      <c r="C406" s="47" t="n"/>
      <c r="D406" s="38" t="n"/>
      <c r="E406" s="38" t="n"/>
      <c r="F406" s="47" t="n"/>
      <c r="G406" s="57" t="n"/>
      <c r="H406" s="38" t="n"/>
      <c r="I406" s="38" t="n"/>
      <c r="J406" s="50">
        <f>IF(C406="","",IF(OR(E406="Received",E406="Declined"),"",AsOf-C406))</f>
        <v/>
      </c>
      <c r="K406" s="49">
        <f>IF(A406="","",IF(AND(E406="Received",H406&lt;&gt;"Yes"),"Reply to review",IF(N(J406)&gt;=ReviewWait,IF(E406="Reminder sent","Close out","Send reminder"),"—")))</f>
        <v/>
      </c>
      <c r="L406" s="51">
        <f>IF(F406="","",DATE(YEAR(F406),MONTH(F406),1))</f>
        <v/>
      </c>
      <c r="M406" s="51">
        <f>IF(C406="","",DATE(YEAR(C406),MONTH(C406),1))</f>
        <v/>
      </c>
    </row>
    <row r="407">
      <c r="A407" s="38" t="n"/>
      <c r="B407" s="38" t="n"/>
      <c r="C407" s="47" t="n"/>
      <c r="D407" s="38" t="n"/>
      <c r="E407" s="38" t="n"/>
      <c r="F407" s="47" t="n"/>
      <c r="G407" s="57" t="n"/>
      <c r="H407" s="38" t="n"/>
      <c r="I407" s="38" t="n"/>
      <c r="J407" s="50">
        <f>IF(C407="","",IF(OR(E407="Received",E407="Declined"),"",AsOf-C407))</f>
        <v/>
      </c>
      <c r="K407" s="49">
        <f>IF(A407="","",IF(AND(E407="Received",H407&lt;&gt;"Yes"),"Reply to review",IF(N(J407)&gt;=ReviewWait,IF(E407="Reminder sent","Close out","Send reminder"),"—")))</f>
        <v/>
      </c>
      <c r="L407" s="51">
        <f>IF(F407="","",DATE(YEAR(F407),MONTH(F407),1))</f>
        <v/>
      </c>
      <c r="M407" s="51">
        <f>IF(C407="","",DATE(YEAR(C407),MONTH(C407),1))</f>
        <v/>
      </c>
    </row>
    <row r="408">
      <c r="A408" s="38" t="n"/>
      <c r="B408" s="38" t="n"/>
      <c r="C408" s="47" t="n"/>
      <c r="D408" s="38" t="n"/>
      <c r="E408" s="38" t="n"/>
      <c r="F408" s="47" t="n"/>
      <c r="G408" s="57" t="n"/>
      <c r="H408" s="38" t="n"/>
      <c r="I408" s="38" t="n"/>
      <c r="J408" s="50">
        <f>IF(C408="","",IF(OR(E408="Received",E408="Declined"),"",AsOf-C408))</f>
        <v/>
      </c>
      <c r="K408" s="49">
        <f>IF(A408="","",IF(AND(E408="Received",H408&lt;&gt;"Yes"),"Reply to review",IF(N(J408)&gt;=ReviewWait,IF(E408="Reminder sent","Close out","Send reminder"),"—")))</f>
        <v/>
      </c>
      <c r="L408" s="51">
        <f>IF(F408="","",DATE(YEAR(F408),MONTH(F408),1))</f>
        <v/>
      </c>
      <c r="M408" s="51">
        <f>IF(C408="","",DATE(YEAR(C408),MONTH(C408),1))</f>
        <v/>
      </c>
    </row>
    <row r="409">
      <c r="A409" s="38" t="n"/>
      <c r="B409" s="38" t="n"/>
      <c r="C409" s="47" t="n"/>
      <c r="D409" s="38" t="n"/>
      <c r="E409" s="38" t="n"/>
      <c r="F409" s="47" t="n"/>
      <c r="G409" s="57" t="n"/>
      <c r="H409" s="38" t="n"/>
      <c r="I409" s="38" t="n"/>
      <c r="J409" s="50">
        <f>IF(C409="","",IF(OR(E409="Received",E409="Declined"),"",AsOf-C409))</f>
        <v/>
      </c>
      <c r="K409" s="49">
        <f>IF(A409="","",IF(AND(E409="Received",H409&lt;&gt;"Yes"),"Reply to review",IF(N(J409)&gt;=ReviewWait,IF(E409="Reminder sent","Close out","Send reminder"),"—")))</f>
        <v/>
      </c>
      <c r="L409" s="51">
        <f>IF(F409="","",DATE(YEAR(F409),MONTH(F409),1))</f>
        <v/>
      </c>
      <c r="M409" s="51">
        <f>IF(C409="","",DATE(YEAR(C409),MONTH(C409),1))</f>
        <v/>
      </c>
    </row>
    <row r="410">
      <c r="A410" s="38" t="n"/>
      <c r="B410" s="38" t="n"/>
      <c r="C410" s="47" t="n"/>
      <c r="D410" s="38" t="n"/>
      <c r="E410" s="38" t="n"/>
      <c r="F410" s="47" t="n"/>
      <c r="G410" s="57" t="n"/>
      <c r="H410" s="38" t="n"/>
      <c r="I410" s="38" t="n"/>
      <c r="J410" s="50">
        <f>IF(C410="","",IF(OR(E410="Received",E410="Declined"),"",AsOf-C410))</f>
        <v/>
      </c>
      <c r="K410" s="49">
        <f>IF(A410="","",IF(AND(E410="Received",H410&lt;&gt;"Yes"),"Reply to review",IF(N(J410)&gt;=ReviewWait,IF(E410="Reminder sent","Close out","Send reminder"),"—")))</f>
        <v/>
      </c>
      <c r="L410" s="51">
        <f>IF(F410="","",DATE(YEAR(F410),MONTH(F410),1))</f>
        <v/>
      </c>
      <c r="M410" s="51">
        <f>IF(C410="","",DATE(YEAR(C410),MONTH(C410),1))</f>
        <v/>
      </c>
    </row>
    <row r="411">
      <c r="A411" s="38" t="n"/>
      <c r="B411" s="38" t="n"/>
      <c r="C411" s="47" t="n"/>
      <c r="D411" s="38" t="n"/>
      <c r="E411" s="38" t="n"/>
      <c r="F411" s="47" t="n"/>
      <c r="G411" s="57" t="n"/>
      <c r="H411" s="38" t="n"/>
      <c r="I411" s="38" t="n"/>
      <c r="J411" s="50">
        <f>IF(C411="","",IF(OR(E411="Received",E411="Declined"),"",AsOf-C411))</f>
        <v/>
      </c>
      <c r="K411" s="49">
        <f>IF(A411="","",IF(AND(E411="Received",H411&lt;&gt;"Yes"),"Reply to review",IF(N(J411)&gt;=ReviewWait,IF(E411="Reminder sent","Close out","Send reminder"),"—")))</f>
        <v/>
      </c>
      <c r="L411" s="51">
        <f>IF(F411="","",DATE(YEAR(F411),MONTH(F411),1))</f>
        <v/>
      </c>
      <c r="M411" s="51">
        <f>IF(C411="","",DATE(YEAR(C411),MONTH(C411),1))</f>
        <v/>
      </c>
    </row>
    <row r="412">
      <c r="A412" s="38" t="n"/>
      <c r="B412" s="38" t="n"/>
      <c r="C412" s="47" t="n"/>
      <c r="D412" s="38" t="n"/>
      <c r="E412" s="38" t="n"/>
      <c r="F412" s="47" t="n"/>
      <c r="G412" s="57" t="n"/>
      <c r="H412" s="38" t="n"/>
      <c r="I412" s="38" t="n"/>
      <c r="J412" s="50">
        <f>IF(C412="","",IF(OR(E412="Received",E412="Declined"),"",AsOf-C412))</f>
        <v/>
      </c>
      <c r="K412" s="49">
        <f>IF(A412="","",IF(AND(E412="Received",H412&lt;&gt;"Yes"),"Reply to review",IF(N(J412)&gt;=ReviewWait,IF(E412="Reminder sent","Close out","Send reminder"),"—")))</f>
        <v/>
      </c>
      <c r="L412" s="51">
        <f>IF(F412="","",DATE(YEAR(F412),MONTH(F412),1))</f>
        <v/>
      </c>
      <c r="M412" s="51">
        <f>IF(C412="","",DATE(YEAR(C412),MONTH(C412),1))</f>
        <v/>
      </c>
    </row>
    <row r="413">
      <c r="A413" s="38" t="n"/>
      <c r="B413" s="38" t="n"/>
      <c r="C413" s="47" t="n"/>
      <c r="D413" s="38" t="n"/>
      <c r="E413" s="38" t="n"/>
      <c r="F413" s="47" t="n"/>
      <c r="G413" s="57" t="n"/>
      <c r="H413" s="38" t="n"/>
      <c r="I413" s="38" t="n"/>
      <c r="J413" s="50">
        <f>IF(C413="","",IF(OR(E413="Received",E413="Declined"),"",AsOf-C413))</f>
        <v/>
      </c>
      <c r="K413" s="49">
        <f>IF(A413="","",IF(AND(E413="Received",H413&lt;&gt;"Yes"),"Reply to review",IF(N(J413)&gt;=ReviewWait,IF(E413="Reminder sent","Close out","Send reminder"),"—")))</f>
        <v/>
      </c>
      <c r="L413" s="51">
        <f>IF(F413="","",DATE(YEAR(F413),MONTH(F413),1))</f>
        <v/>
      </c>
      <c r="M413" s="51">
        <f>IF(C413="","",DATE(YEAR(C413),MONTH(C413),1))</f>
        <v/>
      </c>
    </row>
    <row r="414">
      <c r="A414" s="38" t="n"/>
      <c r="B414" s="38" t="n"/>
      <c r="C414" s="47" t="n"/>
      <c r="D414" s="38" t="n"/>
      <c r="E414" s="38" t="n"/>
      <c r="F414" s="47" t="n"/>
      <c r="G414" s="57" t="n"/>
      <c r="H414" s="38" t="n"/>
      <c r="I414" s="38" t="n"/>
      <c r="J414" s="50">
        <f>IF(C414="","",IF(OR(E414="Received",E414="Declined"),"",AsOf-C414))</f>
        <v/>
      </c>
      <c r="K414" s="49">
        <f>IF(A414="","",IF(AND(E414="Received",H414&lt;&gt;"Yes"),"Reply to review",IF(N(J414)&gt;=ReviewWait,IF(E414="Reminder sent","Close out","Send reminder"),"—")))</f>
        <v/>
      </c>
      <c r="L414" s="51">
        <f>IF(F414="","",DATE(YEAR(F414),MONTH(F414),1))</f>
        <v/>
      </c>
      <c r="M414" s="51">
        <f>IF(C414="","",DATE(YEAR(C414),MONTH(C414),1))</f>
        <v/>
      </c>
    </row>
    <row r="415">
      <c r="A415" s="38" t="n"/>
      <c r="B415" s="38" t="n"/>
      <c r="C415" s="47" t="n"/>
      <c r="D415" s="38" t="n"/>
      <c r="E415" s="38" t="n"/>
      <c r="F415" s="47" t="n"/>
      <c r="G415" s="57" t="n"/>
      <c r="H415" s="38" t="n"/>
      <c r="I415" s="38" t="n"/>
      <c r="J415" s="50">
        <f>IF(C415="","",IF(OR(E415="Received",E415="Declined"),"",AsOf-C415))</f>
        <v/>
      </c>
      <c r="K415" s="49">
        <f>IF(A415="","",IF(AND(E415="Received",H415&lt;&gt;"Yes"),"Reply to review",IF(N(J415)&gt;=ReviewWait,IF(E415="Reminder sent","Close out","Send reminder"),"—")))</f>
        <v/>
      </c>
      <c r="L415" s="51">
        <f>IF(F415="","",DATE(YEAR(F415),MONTH(F415),1))</f>
        <v/>
      </c>
      <c r="M415" s="51">
        <f>IF(C415="","",DATE(YEAR(C415),MONTH(C415),1))</f>
        <v/>
      </c>
    </row>
    <row r="416">
      <c r="A416" s="38" t="n"/>
      <c r="B416" s="38" t="n"/>
      <c r="C416" s="47" t="n"/>
      <c r="D416" s="38" t="n"/>
      <c r="E416" s="38" t="n"/>
      <c r="F416" s="47" t="n"/>
      <c r="G416" s="57" t="n"/>
      <c r="H416" s="38" t="n"/>
      <c r="I416" s="38" t="n"/>
      <c r="J416" s="50">
        <f>IF(C416="","",IF(OR(E416="Received",E416="Declined"),"",AsOf-C416))</f>
        <v/>
      </c>
      <c r="K416" s="49">
        <f>IF(A416="","",IF(AND(E416="Received",H416&lt;&gt;"Yes"),"Reply to review",IF(N(J416)&gt;=ReviewWait,IF(E416="Reminder sent","Close out","Send reminder"),"—")))</f>
        <v/>
      </c>
      <c r="L416" s="51">
        <f>IF(F416="","",DATE(YEAR(F416),MONTH(F416),1))</f>
        <v/>
      </c>
      <c r="M416" s="51">
        <f>IF(C416="","",DATE(YEAR(C416),MONTH(C416),1))</f>
        <v/>
      </c>
    </row>
    <row r="417">
      <c r="A417" s="38" t="n"/>
      <c r="B417" s="38" t="n"/>
      <c r="C417" s="47" t="n"/>
      <c r="D417" s="38" t="n"/>
      <c r="E417" s="38" t="n"/>
      <c r="F417" s="47" t="n"/>
      <c r="G417" s="57" t="n"/>
      <c r="H417" s="38" t="n"/>
      <c r="I417" s="38" t="n"/>
      <c r="J417" s="50">
        <f>IF(C417="","",IF(OR(E417="Received",E417="Declined"),"",AsOf-C417))</f>
        <v/>
      </c>
      <c r="K417" s="49">
        <f>IF(A417="","",IF(AND(E417="Received",H417&lt;&gt;"Yes"),"Reply to review",IF(N(J417)&gt;=ReviewWait,IF(E417="Reminder sent","Close out","Send reminder"),"—")))</f>
        <v/>
      </c>
      <c r="L417" s="51">
        <f>IF(F417="","",DATE(YEAR(F417),MONTH(F417),1))</f>
        <v/>
      </c>
      <c r="M417" s="51">
        <f>IF(C417="","",DATE(YEAR(C417),MONTH(C417),1))</f>
        <v/>
      </c>
    </row>
    <row r="418">
      <c r="A418" s="38" t="n"/>
      <c r="B418" s="38" t="n"/>
      <c r="C418" s="47" t="n"/>
      <c r="D418" s="38" t="n"/>
      <c r="E418" s="38" t="n"/>
      <c r="F418" s="47" t="n"/>
      <c r="G418" s="57" t="n"/>
      <c r="H418" s="38" t="n"/>
      <c r="I418" s="38" t="n"/>
      <c r="J418" s="50">
        <f>IF(C418="","",IF(OR(E418="Received",E418="Declined"),"",AsOf-C418))</f>
        <v/>
      </c>
      <c r="K418" s="49">
        <f>IF(A418="","",IF(AND(E418="Received",H418&lt;&gt;"Yes"),"Reply to review",IF(N(J418)&gt;=ReviewWait,IF(E418="Reminder sent","Close out","Send reminder"),"—")))</f>
        <v/>
      </c>
      <c r="L418" s="51">
        <f>IF(F418="","",DATE(YEAR(F418),MONTH(F418),1))</f>
        <v/>
      </c>
      <c r="M418" s="51">
        <f>IF(C418="","",DATE(YEAR(C418),MONTH(C418),1))</f>
        <v/>
      </c>
    </row>
    <row r="419">
      <c r="A419" s="38" t="n"/>
      <c r="B419" s="38" t="n"/>
      <c r="C419" s="47" t="n"/>
      <c r="D419" s="38" t="n"/>
      <c r="E419" s="38" t="n"/>
      <c r="F419" s="47" t="n"/>
      <c r="G419" s="57" t="n"/>
      <c r="H419" s="38" t="n"/>
      <c r="I419" s="38" t="n"/>
      <c r="J419" s="50">
        <f>IF(C419="","",IF(OR(E419="Received",E419="Declined"),"",AsOf-C419))</f>
        <v/>
      </c>
      <c r="K419" s="49">
        <f>IF(A419="","",IF(AND(E419="Received",H419&lt;&gt;"Yes"),"Reply to review",IF(N(J419)&gt;=ReviewWait,IF(E419="Reminder sent","Close out","Send reminder"),"—")))</f>
        <v/>
      </c>
      <c r="L419" s="51">
        <f>IF(F419="","",DATE(YEAR(F419),MONTH(F419),1))</f>
        <v/>
      </c>
      <c r="M419" s="51">
        <f>IF(C419="","",DATE(YEAR(C419),MONTH(C419),1))</f>
        <v/>
      </c>
    </row>
    <row r="420">
      <c r="A420" s="38" t="n"/>
      <c r="B420" s="38" t="n"/>
      <c r="C420" s="47" t="n"/>
      <c r="D420" s="38" t="n"/>
      <c r="E420" s="38" t="n"/>
      <c r="F420" s="47" t="n"/>
      <c r="G420" s="57" t="n"/>
      <c r="H420" s="38" t="n"/>
      <c r="I420" s="38" t="n"/>
      <c r="J420" s="50">
        <f>IF(C420="","",IF(OR(E420="Received",E420="Declined"),"",AsOf-C420))</f>
        <v/>
      </c>
      <c r="K420" s="49">
        <f>IF(A420="","",IF(AND(E420="Received",H420&lt;&gt;"Yes"),"Reply to review",IF(N(J420)&gt;=ReviewWait,IF(E420="Reminder sent","Close out","Send reminder"),"—")))</f>
        <v/>
      </c>
      <c r="L420" s="51">
        <f>IF(F420="","",DATE(YEAR(F420),MONTH(F420),1))</f>
        <v/>
      </c>
      <c r="M420" s="51">
        <f>IF(C420="","",DATE(YEAR(C420),MONTH(C420),1))</f>
        <v/>
      </c>
    </row>
    <row r="421">
      <c r="A421" s="38" t="n"/>
      <c r="B421" s="38" t="n"/>
      <c r="C421" s="47" t="n"/>
      <c r="D421" s="38" t="n"/>
      <c r="E421" s="38" t="n"/>
      <c r="F421" s="47" t="n"/>
      <c r="G421" s="57" t="n"/>
      <c r="H421" s="38" t="n"/>
      <c r="I421" s="38" t="n"/>
      <c r="J421" s="50">
        <f>IF(C421="","",IF(OR(E421="Received",E421="Declined"),"",AsOf-C421))</f>
        <v/>
      </c>
      <c r="K421" s="49">
        <f>IF(A421="","",IF(AND(E421="Received",H421&lt;&gt;"Yes"),"Reply to review",IF(N(J421)&gt;=ReviewWait,IF(E421="Reminder sent","Close out","Send reminder"),"—")))</f>
        <v/>
      </c>
      <c r="L421" s="51">
        <f>IF(F421="","",DATE(YEAR(F421),MONTH(F421),1))</f>
        <v/>
      </c>
      <c r="M421" s="51">
        <f>IF(C421="","",DATE(YEAR(C421),MONTH(C421),1))</f>
        <v/>
      </c>
    </row>
    <row r="422">
      <c r="A422" s="38" t="n"/>
      <c r="B422" s="38" t="n"/>
      <c r="C422" s="47" t="n"/>
      <c r="D422" s="38" t="n"/>
      <c r="E422" s="38" t="n"/>
      <c r="F422" s="47" t="n"/>
      <c r="G422" s="57" t="n"/>
      <c r="H422" s="38" t="n"/>
      <c r="I422" s="38" t="n"/>
      <c r="J422" s="50">
        <f>IF(C422="","",IF(OR(E422="Received",E422="Declined"),"",AsOf-C422))</f>
        <v/>
      </c>
      <c r="K422" s="49">
        <f>IF(A422="","",IF(AND(E422="Received",H422&lt;&gt;"Yes"),"Reply to review",IF(N(J422)&gt;=ReviewWait,IF(E422="Reminder sent","Close out","Send reminder"),"—")))</f>
        <v/>
      </c>
      <c r="L422" s="51">
        <f>IF(F422="","",DATE(YEAR(F422),MONTH(F422),1))</f>
        <v/>
      </c>
      <c r="M422" s="51">
        <f>IF(C422="","",DATE(YEAR(C422),MONTH(C422),1))</f>
        <v/>
      </c>
    </row>
    <row r="423">
      <c r="A423" s="38" t="n"/>
      <c r="B423" s="38" t="n"/>
      <c r="C423" s="47" t="n"/>
      <c r="D423" s="38" t="n"/>
      <c r="E423" s="38" t="n"/>
      <c r="F423" s="47" t="n"/>
      <c r="G423" s="57" t="n"/>
      <c r="H423" s="38" t="n"/>
      <c r="I423" s="38" t="n"/>
      <c r="J423" s="50">
        <f>IF(C423="","",IF(OR(E423="Received",E423="Declined"),"",AsOf-C423))</f>
        <v/>
      </c>
      <c r="K423" s="49">
        <f>IF(A423="","",IF(AND(E423="Received",H423&lt;&gt;"Yes"),"Reply to review",IF(N(J423)&gt;=ReviewWait,IF(E423="Reminder sent","Close out","Send reminder"),"—")))</f>
        <v/>
      </c>
      <c r="L423" s="51">
        <f>IF(F423="","",DATE(YEAR(F423),MONTH(F423),1))</f>
        <v/>
      </c>
      <c r="M423" s="51">
        <f>IF(C423="","",DATE(YEAR(C423),MONTH(C423),1))</f>
        <v/>
      </c>
    </row>
    <row r="424">
      <c r="A424" s="38" t="n"/>
      <c r="B424" s="38" t="n"/>
      <c r="C424" s="47" t="n"/>
      <c r="D424" s="38" t="n"/>
      <c r="E424" s="38" t="n"/>
      <c r="F424" s="47" t="n"/>
      <c r="G424" s="57" t="n"/>
      <c r="H424" s="38" t="n"/>
      <c r="I424" s="38" t="n"/>
      <c r="J424" s="50">
        <f>IF(C424="","",IF(OR(E424="Received",E424="Declined"),"",AsOf-C424))</f>
        <v/>
      </c>
      <c r="K424" s="49">
        <f>IF(A424="","",IF(AND(E424="Received",H424&lt;&gt;"Yes"),"Reply to review",IF(N(J424)&gt;=ReviewWait,IF(E424="Reminder sent","Close out","Send reminder"),"—")))</f>
        <v/>
      </c>
      <c r="L424" s="51">
        <f>IF(F424="","",DATE(YEAR(F424),MONTH(F424),1))</f>
        <v/>
      </c>
      <c r="M424" s="51">
        <f>IF(C424="","",DATE(YEAR(C424),MONTH(C424),1))</f>
        <v/>
      </c>
    </row>
    <row r="425">
      <c r="A425" s="38" t="n"/>
      <c r="B425" s="38" t="n"/>
      <c r="C425" s="47" t="n"/>
      <c r="D425" s="38" t="n"/>
      <c r="E425" s="38" t="n"/>
      <c r="F425" s="47" t="n"/>
      <c r="G425" s="57" t="n"/>
      <c r="H425" s="38" t="n"/>
      <c r="I425" s="38" t="n"/>
      <c r="J425" s="50">
        <f>IF(C425="","",IF(OR(E425="Received",E425="Declined"),"",AsOf-C425))</f>
        <v/>
      </c>
      <c r="K425" s="49">
        <f>IF(A425="","",IF(AND(E425="Received",H425&lt;&gt;"Yes"),"Reply to review",IF(N(J425)&gt;=ReviewWait,IF(E425="Reminder sent","Close out","Send reminder"),"—")))</f>
        <v/>
      </c>
      <c r="L425" s="51">
        <f>IF(F425="","",DATE(YEAR(F425),MONTH(F425),1))</f>
        <v/>
      </c>
      <c r="M425" s="51">
        <f>IF(C425="","",DATE(YEAR(C425),MONTH(C425),1))</f>
        <v/>
      </c>
    </row>
    <row r="426">
      <c r="A426" s="38" t="n"/>
      <c r="B426" s="38" t="n"/>
      <c r="C426" s="47" t="n"/>
      <c r="D426" s="38" t="n"/>
      <c r="E426" s="38" t="n"/>
      <c r="F426" s="47" t="n"/>
      <c r="G426" s="57" t="n"/>
      <c r="H426" s="38" t="n"/>
      <c r="I426" s="38" t="n"/>
      <c r="J426" s="50">
        <f>IF(C426="","",IF(OR(E426="Received",E426="Declined"),"",AsOf-C426))</f>
        <v/>
      </c>
      <c r="K426" s="49">
        <f>IF(A426="","",IF(AND(E426="Received",H426&lt;&gt;"Yes"),"Reply to review",IF(N(J426)&gt;=ReviewWait,IF(E426="Reminder sent","Close out","Send reminder"),"—")))</f>
        <v/>
      </c>
      <c r="L426" s="51">
        <f>IF(F426="","",DATE(YEAR(F426),MONTH(F426),1))</f>
        <v/>
      </c>
      <c r="M426" s="51">
        <f>IF(C426="","",DATE(YEAR(C426),MONTH(C426),1))</f>
        <v/>
      </c>
    </row>
    <row r="427">
      <c r="A427" s="38" t="n"/>
      <c r="B427" s="38" t="n"/>
      <c r="C427" s="47" t="n"/>
      <c r="D427" s="38" t="n"/>
      <c r="E427" s="38" t="n"/>
      <c r="F427" s="47" t="n"/>
      <c r="G427" s="57" t="n"/>
      <c r="H427" s="38" t="n"/>
      <c r="I427" s="38" t="n"/>
      <c r="J427" s="50">
        <f>IF(C427="","",IF(OR(E427="Received",E427="Declined"),"",AsOf-C427))</f>
        <v/>
      </c>
      <c r="K427" s="49">
        <f>IF(A427="","",IF(AND(E427="Received",H427&lt;&gt;"Yes"),"Reply to review",IF(N(J427)&gt;=ReviewWait,IF(E427="Reminder sent","Close out","Send reminder"),"—")))</f>
        <v/>
      </c>
      <c r="L427" s="51">
        <f>IF(F427="","",DATE(YEAR(F427),MONTH(F427),1))</f>
        <v/>
      </c>
      <c r="M427" s="51">
        <f>IF(C427="","",DATE(YEAR(C427),MONTH(C427),1))</f>
        <v/>
      </c>
    </row>
    <row r="428">
      <c r="A428" s="38" t="n"/>
      <c r="B428" s="38" t="n"/>
      <c r="C428" s="47" t="n"/>
      <c r="D428" s="38" t="n"/>
      <c r="E428" s="38" t="n"/>
      <c r="F428" s="47" t="n"/>
      <c r="G428" s="57" t="n"/>
      <c r="H428" s="38" t="n"/>
      <c r="I428" s="38" t="n"/>
      <c r="J428" s="50">
        <f>IF(C428="","",IF(OR(E428="Received",E428="Declined"),"",AsOf-C428))</f>
        <v/>
      </c>
      <c r="K428" s="49">
        <f>IF(A428="","",IF(AND(E428="Received",H428&lt;&gt;"Yes"),"Reply to review",IF(N(J428)&gt;=ReviewWait,IF(E428="Reminder sent","Close out","Send reminder"),"—")))</f>
        <v/>
      </c>
      <c r="L428" s="51">
        <f>IF(F428="","",DATE(YEAR(F428),MONTH(F428),1))</f>
        <v/>
      </c>
      <c r="M428" s="51">
        <f>IF(C428="","",DATE(YEAR(C428),MONTH(C428),1))</f>
        <v/>
      </c>
    </row>
    <row r="429">
      <c r="A429" s="38" t="n"/>
      <c r="B429" s="38" t="n"/>
      <c r="C429" s="47" t="n"/>
      <c r="D429" s="38" t="n"/>
      <c r="E429" s="38" t="n"/>
      <c r="F429" s="47" t="n"/>
      <c r="G429" s="57" t="n"/>
      <c r="H429" s="38" t="n"/>
      <c r="I429" s="38" t="n"/>
      <c r="J429" s="50">
        <f>IF(C429="","",IF(OR(E429="Received",E429="Declined"),"",AsOf-C429))</f>
        <v/>
      </c>
      <c r="K429" s="49">
        <f>IF(A429="","",IF(AND(E429="Received",H429&lt;&gt;"Yes"),"Reply to review",IF(N(J429)&gt;=ReviewWait,IF(E429="Reminder sent","Close out","Send reminder"),"—")))</f>
        <v/>
      </c>
      <c r="L429" s="51">
        <f>IF(F429="","",DATE(YEAR(F429),MONTH(F429),1))</f>
        <v/>
      </c>
      <c r="M429" s="51">
        <f>IF(C429="","",DATE(YEAR(C429),MONTH(C429),1))</f>
        <v/>
      </c>
    </row>
    <row r="430">
      <c r="A430" s="38" t="n"/>
      <c r="B430" s="38" t="n"/>
      <c r="C430" s="47" t="n"/>
      <c r="D430" s="38" t="n"/>
      <c r="E430" s="38" t="n"/>
      <c r="F430" s="47" t="n"/>
      <c r="G430" s="57" t="n"/>
      <c r="H430" s="38" t="n"/>
      <c r="I430" s="38" t="n"/>
      <c r="J430" s="50">
        <f>IF(C430="","",IF(OR(E430="Received",E430="Declined"),"",AsOf-C430))</f>
        <v/>
      </c>
      <c r="K430" s="49">
        <f>IF(A430="","",IF(AND(E430="Received",H430&lt;&gt;"Yes"),"Reply to review",IF(N(J430)&gt;=ReviewWait,IF(E430="Reminder sent","Close out","Send reminder"),"—")))</f>
        <v/>
      </c>
      <c r="L430" s="51">
        <f>IF(F430="","",DATE(YEAR(F430),MONTH(F430),1))</f>
        <v/>
      </c>
      <c r="M430" s="51">
        <f>IF(C430="","",DATE(YEAR(C430),MONTH(C430),1))</f>
        <v/>
      </c>
    </row>
    <row r="431">
      <c r="A431" s="38" t="n"/>
      <c r="B431" s="38" t="n"/>
      <c r="C431" s="47" t="n"/>
      <c r="D431" s="38" t="n"/>
      <c r="E431" s="38" t="n"/>
      <c r="F431" s="47" t="n"/>
      <c r="G431" s="57" t="n"/>
      <c r="H431" s="38" t="n"/>
      <c r="I431" s="38" t="n"/>
      <c r="J431" s="50">
        <f>IF(C431="","",IF(OR(E431="Received",E431="Declined"),"",AsOf-C431))</f>
        <v/>
      </c>
      <c r="K431" s="49">
        <f>IF(A431="","",IF(AND(E431="Received",H431&lt;&gt;"Yes"),"Reply to review",IF(N(J431)&gt;=ReviewWait,IF(E431="Reminder sent","Close out","Send reminder"),"—")))</f>
        <v/>
      </c>
      <c r="L431" s="51">
        <f>IF(F431="","",DATE(YEAR(F431),MONTH(F431),1))</f>
        <v/>
      </c>
      <c r="M431" s="51">
        <f>IF(C431="","",DATE(YEAR(C431),MONTH(C431),1))</f>
        <v/>
      </c>
    </row>
    <row r="432">
      <c r="A432" s="38" t="n"/>
      <c r="B432" s="38" t="n"/>
      <c r="C432" s="47" t="n"/>
      <c r="D432" s="38" t="n"/>
      <c r="E432" s="38" t="n"/>
      <c r="F432" s="47" t="n"/>
      <c r="G432" s="57" t="n"/>
      <c r="H432" s="38" t="n"/>
      <c r="I432" s="38" t="n"/>
      <c r="J432" s="50">
        <f>IF(C432="","",IF(OR(E432="Received",E432="Declined"),"",AsOf-C432))</f>
        <v/>
      </c>
      <c r="K432" s="49">
        <f>IF(A432="","",IF(AND(E432="Received",H432&lt;&gt;"Yes"),"Reply to review",IF(N(J432)&gt;=ReviewWait,IF(E432="Reminder sent","Close out","Send reminder"),"—")))</f>
        <v/>
      </c>
      <c r="L432" s="51">
        <f>IF(F432="","",DATE(YEAR(F432),MONTH(F432),1))</f>
        <v/>
      </c>
      <c r="M432" s="51">
        <f>IF(C432="","",DATE(YEAR(C432),MONTH(C432),1))</f>
        <v/>
      </c>
    </row>
    <row r="433">
      <c r="A433" s="38" t="n"/>
      <c r="B433" s="38" t="n"/>
      <c r="C433" s="47" t="n"/>
      <c r="D433" s="38" t="n"/>
      <c r="E433" s="38" t="n"/>
      <c r="F433" s="47" t="n"/>
      <c r="G433" s="57" t="n"/>
      <c r="H433" s="38" t="n"/>
      <c r="I433" s="38" t="n"/>
      <c r="J433" s="50">
        <f>IF(C433="","",IF(OR(E433="Received",E433="Declined"),"",AsOf-C433))</f>
        <v/>
      </c>
      <c r="K433" s="49">
        <f>IF(A433="","",IF(AND(E433="Received",H433&lt;&gt;"Yes"),"Reply to review",IF(N(J433)&gt;=ReviewWait,IF(E433="Reminder sent","Close out","Send reminder"),"—")))</f>
        <v/>
      </c>
      <c r="L433" s="51">
        <f>IF(F433="","",DATE(YEAR(F433),MONTH(F433),1))</f>
        <v/>
      </c>
      <c r="M433" s="51">
        <f>IF(C433="","",DATE(YEAR(C433),MONTH(C433),1))</f>
        <v/>
      </c>
    </row>
    <row r="434">
      <c r="A434" s="38" t="n"/>
      <c r="B434" s="38" t="n"/>
      <c r="C434" s="47" t="n"/>
      <c r="D434" s="38" t="n"/>
      <c r="E434" s="38" t="n"/>
      <c r="F434" s="47" t="n"/>
      <c r="G434" s="57" t="n"/>
      <c r="H434" s="38" t="n"/>
      <c r="I434" s="38" t="n"/>
      <c r="J434" s="50">
        <f>IF(C434="","",IF(OR(E434="Received",E434="Declined"),"",AsOf-C434))</f>
        <v/>
      </c>
      <c r="K434" s="49">
        <f>IF(A434="","",IF(AND(E434="Received",H434&lt;&gt;"Yes"),"Reply to review",IF(N(J434)&gt;=ReviewWait,IF(E434="Reminder sent","Close out","Send reminder"),"—")))</f>
        <v/>
      </c>
      <c r="L434" s="51">
        <f>IF(F434="","",DATE(YEAR(F434),MONTH(F434),1))</f>
        <v/>
      </c>
      <c r="M434" s="51">
        <f>IF(C434="","",DATE(YEAR(C434),MONTH(C434),1))</f>
        <v/>
      </c>
    </row>
    <row r="435">
      <c r="A435" s="38" t="n"/>
      <c r="B435" s="38" t="n"/>
      <c r="C435" s="47" t="n"/>
      <c r="D435" s="38" t="n"/>
      <c r="E435" s="38" t="n"/>
      <c r="F435" s="47" t="n"/>
      <c r="G435" s="57" t="n"/>
      <c r="H435" s="38" t="n"/>
      <c r="I435" s="38" t="n"/>
      <c r="J435" s="50">
        <f>IF(C435="","",IF(OR(E435="Received",E435="Declined"),"",AsOf-C435))</f>
        <v/>
      </c>
      <c r="K435" s="49">
        <f>IF(A435="","",IF(AND(E435="Received",H435&lt;&gt;"Yes"),"Reply to review",IF(N(J435)&gt;=ReviewWait,IF(E435="Reminder sent","Close out","Send reminder"),"—")))</f>
        <v/>
      </c>
      <c r="L435" s="51">
        <f>IF(F435="","",DATE(YEAR(F435),MONTH(F435),1))</f>
        <v/>
      </c>
      <c r="M435" s="51">
        <f>IF(C435="","",DATE(YEAR(C435),MONTH(C435),1))</f>
        <v/>
      </c>
    </row>
    <row r="436">
      <c r="A436" s="38" t="n"/>
      <c r="B436" s="38" t="n"/>
      <c r="C436" s="47" t="n"/>
      <c r="D436" s="38" t="n"/>
      <c r="E436" s="38" t="n"/>
      <c r="F436" s="47" t="n"/>
      <c r="G436" s="57" t="n"/>
      <c r="H436" s="38" t="n"/>
      <c r="I436" s="38" t="n"/>
      <c r="J436" s="50">
        <f>IF(C436="","",IF(OR(E436="Received",E436="Declined"),"",AsOf-C436))</f>
        <v/>
      </c>
      <c r="K436" s="49">
        <f>IF(A436="","",IF(AND(E436="Received",H436&lt;&gt;"Yes"),"Reply to review",IF(N(J436)&gt;=ReviewWait,IF(E436="Reminder sent","Close out","Send reminder"),"—")))</f>
        <v/>
      </c>
      <c r="L436" s="51">
        <f>IF(F436="","",DATE(YEAR(F436),MONTH(F436),1))</f>
        <v/>
      </c>
      <c r="M436" s="51">
        <f>IF(C436="","",DATE(YEAR(C436),MONTH(C436),1))</f>
        <v/>
      </c>
    </row>
    <row r="437">
      <c r="A437" s="38" t="n"/>
      <c r="B437" s="38" t="n"/>
      <c r="C437" s="47" t="n"/>
      <c r="D437" s="38" t="n"/>
      <c r="E437" s="38" t="n"/>
      <c r="F437" s="47" t="n"/>
      <c r="G437" s="57" t="n"/>
      <c r="H437" s="38" t="n"/>
      <c r="I437" s="38" t="n"/>
      <c r="J437" s="50">
        <f>IF(C437="","",IF(OR(E437="Received",E437="Declined"),"",AsOf-C437))</f>
        <v/>
      </c>
      <c r="K437" s="49">
        <f>IF(A437="","",IF(AND(E437="Received",H437&lt;&gt;"Yes"),"Reply to review",IF(N(J437)&gt;=ReviewWait,IF(E437="Reminder sent","Close out","Send reminder"),"—")))</f>
        <v/>
      </c>
      <c r="L437" s="51">
        <f>IF(F437="","",DATE(YEAR(F437),MONTH(F437),1))</f>
        <v/>
      </c>
      <c r="M437" s="51">
        <f>IF(C437="","",DATE(YEAR(C437),MONTH(C437),1))</f>
        <v/>
      </c>
    </row>
    <row r="438">
      <c r="A438" s="38" t="n"/>
      <c r="B438" s="38" t="n"/>
      <c r="C438" s="47" t="n"/>
      <c r="D438" s="38" t="n"/>
      <c r="E438" s="38" t="n"/>
      <c r="F438" s="47" t="n"/>
      <c r="G438" s="57" t="n"/>
      <c r="H438" s="38" t="n"/>
      <c r="I438" s="38" t="n"/>
      <c r="J438" s="50">
        <f>IF(C438="","",IF(OR(E438="Received",E438="Declined"),"",AsOf-C438))</f>
        <v/>
      </c>
      <c r="K438" s="49">
        <f>IF(A438="","",IF(AND(E438="Received",H438&lt;&gt;"Yes"),"Reply to review",IF(N(J438)&gt;=ReviewWait,IF(E438="Reminder sent","Close out","Send reminder"),"—")))</f>
        <v/>
      </c>
      <c r="L438" s="51">
        <f>IF(F438="","",DATE(YEAR(F438),MONTH(F438),1))</f>
        <v/>
      </c>
      <c r="M438" s="51">
        <f>IF(C438="","",DATE(YEAR(C438),MONTH(C438),1))</f>
        <v/>
      </c>
    </row>
    <row r="439">
      <c r="A439" s="38" t="n"/>
      <c r="B439" s="38" t="n"/>
      <c r="C439" s="47" t="n"/>
      <c r="D439" s="38" t="n"/>
      <c r="E439" s="38" t="n"/>
      <c r="F439" s="47" t="n"/>
      <c r="G439" s="57" t="n"/>
      <c r="H439" s="38" t="n"/>
      <c r="I439" s="38" t="n"/>
      <c r="J439" s="50">
        <f>IF(C439="","",IF(OR(E439="Received",E439="Declined"),"",AsOf-C439))</f>
        <v/>
      </c>
      <c r="K439" s="49">
        <f>IF(A439="","",IF(AND(E439="Received",H439&lt;&gt;"Yes"),"Reply to review",IF(N(J439)&gt;=ReviewWait,IF(E439="Reminder sent","Close out","Send reminder"),"—")))</f>
        <v/>
      </c>
      <c r="L439" s="51">
        <f>IF(F439="","",DATE(YEAR(F439),MONTH(F439),1))</f>
        <v/>
      </c>
      <c r="M439" s="51">
        <f>IF(C439="","",DATE(YEAR(C439),MONTH(C439),1))</f>
        <v/>
      </c>
    </row>
    <row r="440">
      <c r="A440" s="38" t="n"/>
      <c r="B440" s="38" t="n"/>
      <c r="C440" s="47" t="n"/>
      <c r="D440" s="38" t="n"/>
      <c r="E440" s="38" t="n"/>
      <c r="F440" s="47" t="n"/>
      <c r="G440" s="57" t="n"/>
      <c r="H440" s="38" t="n"/>
      <c r="I440" s="38" t="n"/>
      <c r="J440" s="50">
        <f>IF(C440="","",IF(OR(E440="Received",E440="Declined"),"",AsOf-C440))</f>
        <v/>
      </c>
      <c r="K440" s="49">
        <f>IF(A440="","",IF(AND(E440="Received",H440&lt;&gt;"Yes"),"Reply to review",IF(N(J440)&gt;=ReviewWait,IF(E440="Reminder sent","Close out","Send reminder"),"—")))</f>
        <v/>
      </c>
      <c r="L440" s="51">
        <f>IF(F440="","",DATE(YEAR(F440),MONTH(F440),1))</f>
        <v/>
      </c>
      <c r="M440" s="51">
        <f>IF(C440="","",DATE(YEAR(C440),MONTH(C440),1))</f>
        <v/>
      </c>
    </row>
    <row r="441">
      <c r="A441" s="38" t="n"/>
      <c r="B441" s="38" t="n"/>
      <c r="C441" s="47" t="n"/>
      <c r="D441" s="38" t="n"/>
      <c r="E441" s="38" t="n"/>
      <c r="F441" s="47" t="n"/>
      <c r="G441" s="57" t="n"/>
      <c r="H441" s="38" t="n"/>
      <c r="I441" s="38" t="n"/>
      <c r="J441" s="50">
        <f>IF(C441="","",IF(OR(E441="Received",E441="Declined"),"",AsOf-C441))</f>
        <v/>
      </c>
      <c r="K441" s="49">
        <f>IF(A441="","",IF(AND(E441="Received",H441&lt;&gt;"Yes"),"Reply to review",IF(N(J441)&gt;=ReviewWait,IF(E441="Reminder sent","Close out","Send reminder"),"—")))</f>
        <v/>
      </c>
      <c r="L441" s="51">
        <f>IF(F441="","",DATE(YEAR(F441),MONTH(F441),1))</f>
        <v/>
      </c>
      <c r="M441" s="51">
        <f>IF(C441="","",DATE(YEAR(C441),MONTH(C441),1))</f>
        <v/>
      </c>
    </row>
    <row r="442">
      <c r="A442" s="38" t="n"/>
      <c r="B442" s="38" t="n"/>
      <c r="C442" s="47" t="n"/>
      <c r="D442" s="38" t="n"/>
      <c r="E442" s="38" t="n"/>
      <c r="F442" s="47" t="n"/>
      <c r="G442" s="57" t="n"/>
      <c r="H442" s="38" t="n"/>
      <c r="I442" s="38" t="n"/>
      <c r="J442" s="50">
        <f>IF(C442="","",IF(OR(E442="Received",E442="Declined"),"",AsOf-C442))</f>
        <v/>
      </c>
      <c r="K442" s="49">
        <f>IF(A442="","",IF(AND(E442="Received",H442&lt;&gt;"Yes"),"Reply to review",IF(N(J442)&gt;=ReviewWait,IF(E442="Reminder sent","Close out","Send reminder"),"—")))</f>
        <v/>
      </c>
      <c r="L442" s="51">
        <f>IF(F442="","",DATE(YEAR(F442),MONTH(F442),1))</f>
        <v/>
      </c>
      <c r="M442" s="51">
        <f>IF(C442="","",DATE(YEAR(C442),MONTH(C442),1))</f>
        <v/>
      </c>
    </row>
    <row r="443">
      <c r="A443" s="38" t="n"/>
      <c r="B443" s="38" t="n"/>
      <c r="C443" s="47" t="n"/>
      <c r="D443" s="38" t="n"/>
      <c r="E443" s="38" t="n"/>
      <c r="F443" s="47" t="n"/>
      <c r="G443" s="57" t="n"/>
      <c r="H443" s="38" t="n"/>
      <c r="I443" s="38" t="n"/>
      <c r="J443" s="50">
        <f>IF(C443="","",IF(OR(E443="Received",E443="Declined"),"",AsOf-C443))</f>
        <v/>
      </c>
      <c r="K443" s="49">
        <f>IF(A443="","",IF(AND(E443="Received",H443&lt;&gt;"Yes"),"Reply to review",IF(N(J443)&gt;=ReviewWait,IF(E443="Reminder sent","Close out","Send reminder"),"—")))</f>
        <v/>
      </c>
      <c r="L443" s="51">
        <f>IF(F443="","",DATE(YEAR(F443),MONTH(F443),1))</f>
        <v/>
      </c>
      <c r="M443" s="51">
        <f>IF(C443="","",DATE(YEAR(C443),MONTH(C443),1))</f>
        <v/>
      </c>
    </row>
    <row r="444">
      <c r="A444" s="38" t="n"/>
      <c r="B444" s="38" t="n"/>
      <c r="C444" s="47" t="n"/>
      <c r="D444" s="38" t="n"/>
      <c r="E444" s="38" t="n"/>
      <c r="F444" s="47" t="n"/>
      <c r="G444" s="57" t="n"/>
      <c r="H444" s="38" t="n"/>
      <c r="I444" s="38" t="n"/>
      <c r="J444" s="50">
        <f>IF(C444="","",IF(OR(E444="Received",E444="Declined"),"",AsOf-C444))</f>
        <v/>
      </c>
      <c r="K444" s="49">
        <f>IF(A444="","",IF(AND(E444="Received",H444&lt;&gt;"Yes"),"Reply to review",IF(N(J444)&gt;=ReviewWait,IF(E444="Reminder sent","Close out","Send reminder"),"—")))</f>
        <v/>
      </c>
      <c r="L444" s="51">
        <f>IF(F444="","",DATE(YEAR(F444),MONTH(F444),1))</f>
        <v/>
      </c>
      <c r="M444" s="51">
        <f>IF(C444="","",DATE(YEAR(C444),MONTH(C444),1))</f>
        <v/>
      </c>
    </row>
    <row r="445">
      <c r="A445" s="38" t="n"/>
      <c r="B445" s="38" t="n"/>
      <c r="C445" s="47" t="n"/>
      <c r="D445" s="38" t="n"/>
      <c r="E445" s="38" t="n"/>
      <c r="F445" s="47" t="n"/>
      <c r="G445" s="57" t="n"/>
      <c r="H445" s="38" t="n"/>
      <c r="I445" s="38" t="n"/>
      <c r="J445" s="50">
        <f>IF(C445="","",IF(OR(E445="Received",E445="Declined"),"",AsOf-C445))</f>
        <v/>
      </c>
      <c r="K445" s="49">
        <f>IF(A445="","",IF(AND(E445="Received",H445&lt;&gt;"Yes"),"Reply to review",IF(N(J445)&gt;=ReviewWait,IF(E445="Reminder sent","Close out","Send reminder"),"—")))</f>
        <v/>
      </c>
      <c r="L445" s="51">
        <f>IF(F445="","",DATE(YEAR(F445),MONTH(F445),1))</f>
        <v/>
      </c>
      <c r="M445" s="51">
        <f>IF(C445="","",DATE(YEAR(C445),MONTH(C445),1))</f>
        <v/>
      </c>
    </row>
    <row r="446">
      <c r="A446" s="38" t="n"/>
      <c r="B446" s="38" t="n"/>
      <c r="C446" s="47" t="n"/>
      <c r="D446" s="38" t="n"/>
      <c r="E446" s="38" t="n"/>
      <c r="F446" s="47" t="n"/>
      <c r="G446" s="57" t="n"/>
      <c r="H446" s="38" t="n"/>
      <c r="I446" s="38" t="n"/>
      <c r="J446" s="50">
        <f>IF(C446="","",IF(OR(E446="Received",E446="Declined"),"",AsOf-C446))</f>
        <v/>
      </c>
      <c r="K446" s="49">
        <f>IF(A446="","",IF(AND(E446="Received",H446&lt;&gt;"Yes"),"Reply to review",IF(N(J446)&gt;=ReviewWait,IF(E446="Reminder sent","Close out","Send reminder"),"—")))</f>
        <v/>
      </c>
      <c r="L446" s="51">
        <f>IF(F446="","",DATE(YEAR(F446),MONTH(F446),1))</f>
        <v/>
      </c>
      <c r="M446" s="51">
        <f>IF(C446="","",DATE(YEAR(C446),MONTH(C446),1))</f>
        <v/>
      </c>
    </row>
    <row r="447">
      <c r="A447" s="38" t="n"/>
      <c r="B447" s="38" t="n"/>
      <c r="C447" s="47" t="n"/>
      <c r="D447" s="38" t="n"/>
      <c r="E447" s="38" t="n"/>
      <c r="F447" s="47" t="n"/>
      <c r="G447" s="57" t="n"/>
      <c r="H447" s="38" t="n"/>
      <c r="I447" s="38" t="n"/>
      <c r="J447" s="50">
        <f>IF(C447="","",IF(OR(E447="Received",E447="Declined"),"",AsOf-C447))</f>
        <v/>
      </c>
      <c r="K447" s="49">
        <f>IF(A447="","",IF(AND(E447="Received",H447&lt;&gt;"Yes"),"Reply to review",IF(N(J447)&gt;=ReviewWait,IF(E447="Reminder sent","Close out","Send reminder"),"—")))</f>
        <v/>
      </c>
      <c r="L447" s="51">
        <f>IF(F447="","",DATE(YEAR(F447),MONTH(F447),1))</f>
        <v/>
      </c>
      <c r="M447" s="51">
        <f>IF(C447="","",DATE(YEAR(C447),MONTH(C447),1))</f>
        <v/>
      </c>
    </row>
    <row r="448">
      <c r="A448" s="38" t="n"/>
      <c r="B448" s="38" t="n"/>
      <c r="C448" s="47" t="n"/>
      <c r="D448" s="38" t="n"/>
      <c r="E448" s="38" t="n"/>
      <c r="F448" s="47" t="n"/>
      <c r="G448" s="57" t="n"/>
      <c r="H448" s="38" t="n"/>
      <c r="I448" s="38" t="n"/>
      <c r="J448" s="50">
        <f>IF(C448="","",IF(OR(E448="Received",E448="Declined"),"",AsOf-C448))</f>
        <v/>
      </c>
      <c r="K448" s="49">
        <f>IF(A448="","",IF(AND(E448="Received",H448&lt;&gt;"Yes"),"Reply to review",IF(N(J448)&gt;=ReviewWait,IF(E448="Reminder sent","Close out","Send reminder"),"—")))</f>
        <v/>
      </c>
      <c r="L448" s="51">
        <f>IF(F448="","",DATE(YEAR(F448),MONTH(F448),1))</f>
        <v/>
      </c>
      <c r="M448" s="51">
        <f>IF(C448="","",DATE(YEAR(C448),MONTH(C448),1))</f>
        <v/>
      </c>
    </row>
    <row r="449">
      <c r="A449" s="38" t="n"/>
      <c r="B449" s="38" t="n"/>
      <c r="C449" s="47" t="n"/>
      <c r="D449" s="38" t="n"/>
      <c r="E449" s="38" t="n"/>
      <c r="F449" s="47" t="n"/>
      <c r="G449" s="57" t="n"/>
      <c r="H449" s="38" t="n"/>
      <c r="I449" s="38" t="n"/>
      <c r="J449" s="50">
        <f>IF(C449="","",IF(OR(E449="Received",E449="Declined"),"",AsOf-C449))</f>
        <v/>
      </c>
      <c r="K449" s="49">
        <f>IF(A449="","",IF(AND(E449="Received",H449&lt;&gt;"Yes"),"Reply to review",IF(N(J449)&gt;=ReviewWait,IF(E449="Reminder sent","Close out","Send reminder"),"—")))</f>
        <v/>
      </c>
      <c r="L449" s="51">
        <f>IF(F449="","",DATE(YEAR(F449),MONTH(F449),1))</f>
        <v/>
      </c>
      <c r="M449" s="51">
        <f>IF(C449="","",DATE(YEAR(C449),MONTH(C449),1))</f>
        <v/>
      </c>
    </row>
    <row r="450">
      <c r="A450" s="38" t="n"/>
      <c r="B450" s="38" t="n"/>
      <c r="C450" s="47" t="n"/>
      <c r="D450" s="38" t="n"/>
      <c r="E450" s="38" t="n"/>
      <c r="F450" s="47" t="n"/>
      <c r="G450" s="57" t="n"/>
      <c r="H450" s="38" t="n"/>
      <c r="I450" s="38" t="n"/>
      <c r="J450" s="50">
        <f>IF(C450="","",IF(OR(E450="Received",E450="Declined"),"",AsOf-C450))</f>
        <v/>
      </c>
      <c r="K450" s="49">
        <f>IF(A450="","",IF(AND(E450="Received",H450&lt;&gt;"Yes"),"Reply to review",IF(N(J450)&gt;=ReviewWait,IF(E450="Reminder sent","Close out","Send reminder"),"—")))</f>
        <v/>
      </c>
      <c r="L450" s="51">
        <f>IF(F450="","",DATE(YEAR(F450),MONTH(F450),1))</f>
        <v/>
      </c>
      <c r="M450" s="51">
        <f>IF(C450="","",DATE(YEAR(C450),MONTH(C450),1))</f>
        <v/>
      </c>
    </row>
    <row r="451">
      <c r="A451" s="38" t="n"/>
      <c r="B451" s="38" t="n"/>
      <c r="C451" s="47" t="n"/>
      <c r="D451" s="38" t="n"/>
      <c r="E451" s="38" t="n"/>
      <c r="F451" s="47" t="n"/>
      <c r="G451" s="57" t="n"/>
      <c r="H451" s="38" t="n"/>
      <c r="I451" s="38" t="n"/>
      <c r="J451" s="50">
        <f>IF(C451="","",IF(OR(E451="Received",E451="Declined"),"",AsOf-C451))</f>
        <v/>
      </c>
      <c r="K451" s="49">
        <f>IF(A451="","",IF(AND(E451="Received",H451&lt;&gt;"Yes"),"Reply to review",IF(N(J451)&gt;=ReviewWait,IF(E451="Reminder sent","Close out","Send reminder"),"—")))</f>
        <v/>
      </c>
      <c r="L451" s="51">
        <f>IF(F451="","",DATE(YEAR(F451),MONTH(F451),1))</f>
        <v/>
      </c>
      <c r="M451" s="51">
        <f>IF(C451="","",DATE(YEAR(C451),MONTH(C451),1))</f>
        <v/>
      </c>
    </row>
    <row r="452">
      <c r="A452" s="38" t="n"/>
      <c r="B452" s="38" t="n"/>
      <c r="C452" s="47" t="n"/>
      <c r="D452" s="38" t="n"/>
      <c r="E452" s="38" t="n"/>
      <c r="F452" s="47" t="n"/>
      <c r="G452" s="57" t="n"/>
      <c r="H452" s="38" t="n"/>
      <c r="I452" s="38" t="n"/>
      <c r="J452" s="50">
        <f>IF(C452="","",IF(OR(E452="Received",E452="Declined"),"",AsOf-C452))</f>
        <v/>
      </c>
      <c r="K452" s="49">
        <f>IF(A452="","",IF(AND(E452="Received",H452&lt;&gt;"Yes"),"Reply to review",IF(N(J452)&gt;=ReviewWait,IF(E452="Reminder sent","Close out","Send reminder"),"—")))</f>
        <v/>
      </c>
      <c r="L452" s="51">
        <f>IF(F452="","",DATE(YEAR(F452),MONTH(F452),1))</f>
        <v/>
      </c>
      <c r="M452" s="51">
        <f>IF(C452="","",DATE(YEAR(C452),MONTH(C452),1))</f>
        <v/>
      </c>
    </row>
    <row r="453">
      <c r="A453" s="38" t="n"/>
      <c r="B453" s="38" t="n"/>
      <c r="C453" s="47" t="n"/>
      <c r="D453" s="38" t="n"/>
      <c r="E453" s="38" t="n"/>
      <c r="F453" s="47" t="n"/>
      <c r="G453" s="57" t="n"/>
      <c r="H453" s="38" t="n"/>
      <c r="I453" s="38" t="n"/>
      <c r="J453" s="50">
        <f>IF(C453="","",IF(OR(E453="Received",E453="Declined"),"",AsOf-C453))</f>
        <v/>
      </c>
      <c r="K453" s="49">
        <f>IF(A453="","",IF(AND(E453="Received",H453&lt;&gt;"Yes"),"Reply to review",IF(N(J453)&gt;=ReviewWait,IF(E453="Reminder sent","Close out","Send reminder"),"—")))</f>
        <v/>
      </c>
      <c r="L453" s="51">
        <f>IF(F453="","",DATE(YEAR(F453),MONTH(F453),1))</f>
        <v/>
      </c>
      <c r="M453" s="51">
        <f>IF(C453="","",DATE(YEAR(C453),MONTH(C453),1))</f>
        <v/>
      </c>
    </row>
    <row r="454">
      <c r="A454" s="38" t="n"/>
      <c r="B454" s="38" t="n"/>
      <c r="C454" s="47" t="n"/>
      <c r="D454" s="38" t="n"/>
      <c r="E454" s="38" t="n"/>
      <c r="F454" s="47" t="n"/>
      <c r="G454" s="57" t="n"/>
      <c r="H454" s="38" t="n"/>
      <c r="I454" s="38" t="n"/>
      <c r="J454" s="50">
        <f>IF(C454="","",IF(OR(E454="Received",E454="Declined"),"",AsOf-C454))</f>
        <v/>
      </c>
      <c r="K454" s="49">
        <f>IF(A454="","",IF(AND(E454="Received",H454&lt;&gt;"Yes"),"Reply to review",IF(N(J454)&gt;=ReviewWait,IF(E454="Reminder sent","Close out","Send reminder"),"—")))</f>
        <v/>
      </c>
      <c r="L454" s="51">
        <f>IF(F454="","",DATE(YEAR(F454),MONTH(F454),1))</f>
        <v/>
      </c>
      <c r="M454" s="51">
        <f>IF(C454="","",DATE(YEAR(C454),MONTH(C454),1))</f>
        <v/>
      </c>
    </row>
    <row r="455">
      <c r="A455" s="38" t="n"/>
      <c r="B455" s="38" t="n"/>
      <c r="C455" s="47" t="n"/>
      <c r="D455" s="38" t="n"/>
      <c r="E455" s="38" t="n"/>
      <c r="F455" s="47" t="n"/>
      <c r="G455" s="57" t="n"/>
      <c r="H455" s="38" t="n"/>
      <c r="I455" s="38" t="n"/>
      <c r="J455" s="50">
        <f>IF(C455="","",IF(OR(E455="Received",E455="Declined"),"",AsOf-C455))</f>
        <v/>
      </c>
      <c r="K455" s="49">
        <f>IF(A455="","",IF(AND(E455="Received",H455&lt;&gt;"Yes"),"Reply to review",IF(N(J455)&gt;=ReviewWait,IF(E455="Reminder sent","Close out","Send reminder"),"—")))</f>
        <v/>
      </c>
      <c r="L455" s="51">
        <f>IF(F455="","",DATE(YEAR(F455),MONTH(F455),1))</f>
        <v/>
      </c>
      <c r="M455" s="51">
        <f>IF(C455="","",DATE(YEAR(C455),MONTH(C455),1))</f>
        <v/>
      </c>
    </row>
    <row r="456">
      <c r="A456" s="38" t="n"/>
      <c r="B456" s="38" t="n"/>
      <c r="C456" s="47" t="n"/>
      <c r="D456" s="38" t="n"/>
      <c r="E456" s="38" t="n"/>
      <c r="F456" s="47" t="n"/>
      <c r="G456" s="57" t="n"/>
      <c r="H456" s="38" t="n"/>
      <c r="I456" s="38" t="n"/>
      <c r="J456" s="50">
        <f>IF(C456="","",IF(OR(E456="Received",E456="Declined"),"",AsOf-C456))</f>
        <v/>
      </c>
      <c r="K456" s="49">
        <f>IF(A456="","",IF(AND(E456="Received",H456&lt;&gt;"Yes"),"Reply to review",IF(N(J456)&gt;=ReviewWait,IF(E456="Reminder sent","Close out","Send reminder"),"—")))</f>
        <v/>
      </c>
      <c r="L456" s="51">
        <f>IF(F456="","",DATE(YEAR(F456),MONTH(F456),1))</f>
        <v/>
      </c>
      <c r="M456" s="51">
        <f>IF(C456="","",DATE(YEAR(C456),MONTH(C456),1))</f>
        <v/>
      </c>
    </row>
    <row r="457">
      <c r="A457" s="38" t="n"/>
      <c r="B457" s="38" t="n"/>
      <c r="C457" s="47" t="n"/>
      <c r="D457" s="38" t="n"/>
      <c r="E457" s="38" t="n"/>
      <c r="F457" s="47" t="n"/>
      <c r="G457" s="57" t="n"/>
      <c r="H457" s="38" t="n"/>
      <c r="I457" s="38" t="n"/>
      <c r="J457" s="50">
        <f>IF(C457="","",IF(OR(E457="Received",E457="Declined"),"",AsOf-C457))</f>
        <v/>
      </c>
      <c r="K457" s="49">
        <f>IF(A457="","",IF(AND(E457="Received",H457&lt;&gt;"Yes"),"Reply to review",IF(N(J457)&gt;=ReviewWait,IF(E457="Reminder sent","Close out","Send reminder"),"—")))</f>
        <v/>
      </c>
      <c r="L457" s="51">
        <f>IF(F457="","",DATE(YEAR(F457),MONTH(F457),1))</f>
        <v/>
      </c>
      <c r="M457" s="51">
        <f>IF(C457="","",DATE(YEAR(C457),MONTH(C457),1))</f>
        <v/>
      </c>
    </row>
    <row r="458">
      <c r="A458" s="38" t="n"/>
      <c r="B458" s="38" t="n"/>
      <c r="C458" s="47" t="n"/>
      <c r="D458" s="38" t="n"/>
      <c r="E458" s="38" t="n"/>
      <c r="F458" s="47" t="n"/>
      <c r="G458" s="57" t="n"/>
      <c r="H458" s="38" t="n"/>
      <c r="I458" s="38" t="n"/>
      <c r="J458" s="50">
        <f>IF(C458="","",IF(OR(E458="Received",E458="Declined"),"",AsOf-C458))</f>
        <v/>
      </c>
      <c r="K458" s="49">
        <f>IF(A458="","",IF(AND(E458="Received",H458&lt;&gt;"Yes"),"Reply to review",IF(N(J458)&gt;=ReviewWait,IF(E458="Reminder sent","Close out","Send reminder"),"—")))</f>
        <v/>
      </c>
      <c r="L458" s="51">
        <f>IF(F458="","",DATE(YEAR(F458),MONTH(F458),1))</f>
        <v/>
      </c>
      <c r="M458" s="51">
        <f>IF(C458="","",DATE(YEAR(C458),MONTH(C458),1))</f>
        <v/>
      </c>
    </row>
    <row r="459">
      <c r="A459" s="38" t="n"/>
      <c r="B459" s="38" t="n"/>
      <c r="C459" s="47" t="n"/>
      <c r="D459" s="38" t="n"/>
      <c r="E459" s="38" t="n"/>
      <c r="F459" s="47" t="n"/>
      <c r="G459" s="57" t="n"/>
      <c r="H459" s="38" t="n"/>
      <c r="I459" s="38" t="n"/>
      <c r="J459" s="50">
        <f>IF(C459="","",IF(OR(E459="Received",E459="Declined"),"",AsOf-C459))</f>
        <v/>
      </c>
      <c r="K459" s="49">
        <f>IF(A459="","",IF(AND(E459="Received",H459&lt;&gt;"Yes"),"Reply to review",IF(N(J459)&gt;=ReviewWait,IF(E459="Reminder sent","Close out","Send reminder"),"—")))</f>
        <v/>
      </c>
      <c r="L459" s="51">
        <f>IF(F459="","",DATE(YEAR(F459),MONTH(F459),1))</f>
        <v/>
      </c>
      <c r="M459" s="51">
        <f>IF(C459="","",DATE(YEAR(C459),MONTH(C459),1))</f>
        <v/>
      </c>
    </row>
    <row r="460">
      <c r="A460" s="38" t="n"/>
      <c r="B460" s="38" t="n"/>
      <c r="C460" s="47" t="n"/>
      <c r="D460" s="38" t="n"/>
      <c r="E460" s="38" t="n"/>
      <c r="F460" s="47" t="n"/>
      <c r="G460" s="57" t="n"/>
      <c r="H460" s="38" t="n"/>
      <c r="I460" s="38" t="n"/>
      <c r="J460" s="50">
        <f>IF(C460="","",IF(OR(E460="Received",E460="Declined"),"",AsOf-C460))</f>
        <v/>
      </c>
      <c r="K460" s="49">
        <f>IF(A460="","",IF(AND(E460="Received",H460&lt;&gt;"Yes"),"Reply to review",IF(N(J460)&gt;=ReviewWait,IF(E460="Reminder sent","Close out","Send reminder"),"—")))</f>
        <v/>
      </c>
      <c r="L460" s="51">
        <f>IF(F460="","",DATE(YEAR(F460),MONTH(F460),1))</f>
        <v/>
      </c>
      <c r="M460" s="51">
        <f>IF(C460="","",DATE(YEAR(C460),MONTH(C460),1))</f>
        <v/>
      </c>
    </row>
    <row r="461">
      <c r="A461" s="38" t="n"/>
      <c r="B461" s="38" t="n"/>
      <c r="C461" s="47" t="n"/>
      <c r="D461" s="38" t="n"/>
      <c r="E461" s="38" t="n"/>
      <c r="F461" s="47" t="n"/>
      <c r="G461" s="57" t="n"/>
      <c r="H461" s="38" t="n"/>
      <c r="I461" s="38" t="n"/>
      <c r="J461" s="50">
        <f>IF(C461="","",IF(OR(E461="Received",E461="Declined"),"",AsOf-C461))</f>
        <v/>
      </c>
      <c r="K461" s="49">
        <f>IF(A461="","",IF(AND(E461="Received",H461&lt;&gt;"Yes"),"Reply to review",IF(N(J461)&gt;=ReviewWait,IF(E461="Reminder sent","Close out","Send reminder"),"—")))</f>
        <v/>
      </c>
      <c r="L461" s="51">
        <f>IF(F461="","",DATE(YEAR(F461),MONTH(F461),1))</f>
        <v/>
      </c>
      <c r="M461" s="51">
        <f>IF(C461="","",DATE(YEAR(C461),MONTH(C461),1))</f>
        <v/>
      </c>
    </row>
    <row r="462">
      <c r="A462" s="38" t="n"/>
      <c r="B462" s="38" t="n"/>
      <c r="C462" s="47" t="n"/>
      <c r="D462" s="38" t="n"/>
      <c r="E462" s="38" t="n"/>
      <c r="F462" s="47" t="n"/>
      <c r="G462" s="57" t="n"/>
      <c r="H462" s="38" t="n"/>
      <c r="I462" s="38" t="n"/>
      <c r="J462" s="50">
        <f>IF(C462="","",IF(OR(E462="Received",E462="Declined"),"",AsOf-C462))</f>
        <v/>
      </c>
      <c r="K462" s="49">
        <f>IF(A462="","",IF(AND(E462="Received",H462&lt;&gt;"Yes"),"Reply to review",IF(N(J462)&gt;=ReviewWait,IF(E462="Reminder sent","Close out","Send reminder"),"—")))</f>
        <v/>
      </c>
      <c r="L462" s="51">
        <f>IF(F462="","",DATE(YEAR(F462),MONTH(F462),1))</f>
        <v/>
      </c>
      <c r="M462" s="51">
        <f>IF(C462="","",DATE(YEAR(C462),MONTH(C462),1))</f>
        <v/>
      </c>
    </row>
    <row r="463">
      <c r="A463" s="38" t="n"/>
      <c r="B463" s="38" t="n"/>
      <c r="C463" s="47" t="n"/>
      <c r="D463" s="38" t="n"/>
      <c r="E463" s="38" t="n"/>
      <c r="F463" s="47" t="n"/>
      <c r="G463" s="57" t="n"/>
      <c r="H463" s="38" t="n"/>
      <c r="I463" s="38" t="n"/>
      <c r="J463" s="50">
        <f>IF(C463="","",IF(OR(E463="Received",E463="Declined"),"",AsOf-C463))</f>
        <v/>
      </c>
      <c r="K463" s="49">
        <f>IF(A463="","",IF(AND(E463="Received",H463&lt;&gt;"Yes"),"Reply to review",IF(N(J463)&gt;=ReviewWait,IF(E463="Reminder sent","Close out","Send reminder"),"—")))</f>
        <v/>
      </c>
      <c r="L463" s="51">
        <f>IF(F463="","",DATE(YEAR(F463),MONTH(F463),1))</f>
        <v/>
      </c>
      <c r="M463" s="51">
        <f>IF(C463="","",DATE(YEAR(C463),MONTH(C463),1))</f>
        <v/>
      </c>
    </row>
    <row r="464">
      <c r="A464" s="38" t="n"/>
      <c r="B464" s="38" t="n"/>
      <c r="C464" s="47" t="n"/>
      <c r="D464" s="38" t="n"/>
      <c r="E464" s="38" t="n"/>
      <c r="F464" s="47" t="n"/>
      <c r="G464" s="57" t="n"/>
      <c r="H464" s="38" t="n"/>
      <c r="I464" s="38" t="n"/>
      <c r="J464" s="50">
        <f>IF(C464="","",IF(OR(E464="Received",E464="Declined"),"",AsOf-C464))</f>
        <v/>
      </c>
      <c r="K464" s="49">
        <f>IF(A464="","",IF(AND(E464="Received",H464&lt;&gt;"Yes"),"Reply to review",IF(N(J464)&gt;=ReviewWait,IF(E464="Reminder sent","Close out","Send reminder"),"—")))</f>
        <v/>
      </c>
      <c r="L464" s="51">
        <f>IF(F464="","",DATE(YEAR(F464),MONTH(F464),1))</f>
        <v/>
      </c>
      <c r="M464" s="51">
        <f>IF(C464="","",DATE(YEAR(C464),MONTH(C464),1))</f>
        <v/>
      </c>
    </row>
    <row r="465">
      <c r="A465" s="38" t="n"/>
      <c r="B465" s="38" t="n"/>
      <c r="C465" s="47" t="n"/>
      <c r="D465" s="38" t="n"/>
      <c r="E465" s="38" t="n"/>
      <c r="F465" s="47" t="n"/>
      <c r="G465" s="57" t="n"/>
      <c r="H465" s="38" t="n"/>
      <c r="I465" s="38" t="n"/>
      <c r="J465" s="50">
        <f>IF(C465="","",IF(OR(E465="Received",E465="Declined"),"",AsOf-C465))</f>
        <v/>
      </c>
      <c r="K465" s="49">
        <f>IF(A465="","",IF(AND(E465="Received",H465&lt;&gt;"Yes"),"Reply to review",IF(N(J465)&gt;=ReviewWait,IF(E465="Reminder sent","Close out","Send reminder"),"—")))</f>
        <v/>
      </c>
      <c r="L465" s="51">
        <f>IF(F465="","",DATE(YEAR(F465),MONTH(F465),1))</f>
        <v/>
      </c>
      <c r="M465" s="51">
        <f>IF(C465="","",DATE(YEAR(C465),MONTH(C465),1))</f>
        <v/>
      </c>
    </row>
    <row r="466">
      <c r="A466" s="38" t="n"/>
      <c r="B466" s="38" t="n"/>
      <c r="C466" s="47" t="n"/>
      <c r="D466" s="38" t="n"/>
      <c r="E466" s="38" t="n"/>
      <c r="F466" s="47" t="n"/>
      <c r="G466" s="57" t="n"/>
      <c r="H466" s="38" t="n"/>
      <c r="I466" s="38" t="n"/>
      <c r="J466" s="50">
        <f>IF(C466="","",IF(OR(E466="Received",E466="Declined"),"",AsOf-C466))</f>
        <v/>
      </c>
      <c r="K466" s="49">
        <f>IF(A466="","",IF(AND(E466="Received",H466&lt;&gt;"Yes"),"Reply to review",IF(N(J466)&gt;=ReviewWait,IF(E466="Reminder sent","Close out","Send reminder"),"—")))</f>
        <v/>
      </c>
      <c r="L466" s="51">
        <f>IF(F466="","",DATE(YEAR(F466),MONTH(F466),1))</f>
        <v/>
      </c>
      <c r="M466" s="51">
        <f>IF(C466="","",DATE(YEAR(C466),MONTH(C466),1))</f>
        <v/>
      </c>
    </row>
    <row r="467">
      <c r="A467" s="38" t="n"/>
      <c r="B467" s="38" t="n"/>
      <c r="C467" s="47" t="n"/>
      <c r="D467" s="38" t="n"/>
      <c r="E467" s="38" t="n"/>
      <c r="F467" s="47" t="n"/>
      <c r="G467" s="57" t="n"/>
      <c r="H467" s="38" t="n"/>
      <c r="I467" s="38" t="n"/>
      <c r="J467" s="50">
        <f>IF(C467="","",IF(OR(E467="Received",E467="Declined"),"",AsOf-C467))</f>
        <v/>
      </c>
      <c r="K467" s="49">
        <f>IF(A467="","",IF(AND(E467="Received",H467&lt;&gt;"Yes"),"Reply to review",IF(N(J467)&gt;=ReviewWait,IF(E467="Reminder sent","Close out","Send reminder"),"—")))</f>
        <v/>
      </c>
      <c r="L467" s="51">
        <f>IF(F467="","",DATE(YEAR(F467),MONTH(F467),1))</f>
        <v/>
      </c>
      <c r="M467" s="51">
        <f>IF(C467="","",DATE(YEAR(C467),MONTH(C467),1))</f>
        <v/>
      </c>
    </row>
    <row r="468">
      <c r="A468" s="38" t="n"/>
      <c r="B468" s="38" t="n"/>
      <c r="C468" s="47" t="n"/>
      <c r="D468" s="38" t="n"/>
      <c r="E468" s="38" t="n"/>
      <c r="F468" s="47" t="n"/>
      <c r="G468" s="57" t="n"/>
      <c r="H468" s="38" t="n"/>
      <c r="I468" s="38" t="n"/>
      <c r="J468" s="50">
        <f>IF(C468="","",IF(OR(E468="Received",E468="Declined"),"",AsOf-C468))</f>
        <v/>
      </c>
      <c r="K468" s="49">
        <f>IF(A468="","",IF(AND(E468="Received",H468&lt;&gt;"Yes"),"Reply to review",IF(N(J468)&gt;=ReviewWait,IF(E468="Reminder sent","Close out","Send reminder"),"—")))</f>
        <v/>
      </c>
      <c r="L468" s="51">
        <f>IF(F468="","",DATE(YEAR(F468),MONTH(F468),1))</f>
        <v/>
      </c>
      <c r="M468" s="51">
        <f>IF(C468="","",DATE(YEAR(C468),MONTH(C468),1))</f>
        <v/>
      </c>
    </row>
    <row r="469">
      <c r="A469" s="38" t="n"/>
      <c r="B469" s="38" t="n"/>
      <c r="C469" s="47" t="n"/>
      <c r="D469" s="38" t="n"/>
      <c r="E469" s="38" t="n"/>
      <c r="F469" s="47" t="n"/>
      <c r="G469" s="57" t="n"/>
      <c r="H469" s="38" t="n"/>
      <c r="I469" s="38" t="n"/>
      <c r="J469" s="50">
        <f>IF(C469="","",IF(OR(E469="Received",E469="Declined"),"",AsOf-C469))</f>
        <v/>
      </c>
      <c r="K469" s="49">
        <f>IF(A469="","",IF(AND(E469="Received",H469&lt;&gt;"Yes"),"Reply to review",IF(N(J469)&gt;=ReviewWait,IF(E469="Reminder sent","Close out","Send reminder"),"—")))</f>
        <v/>
      </c>
      <c r="L469" s="51">
        <f>IF(F469="","",DATE(YEAR(F469),MONTH(F469),1))</f>
        <v/>
      </c>
      <c r="M469" s="51">
        <f>IF(C469="","",DATE(YEAR(C469),MONTH(C469),1))</f>
        <v/>
      </c>
    </row>
    <row r="470">
      <c r="A470" s="38" t="n"/>
      <c r="B470" s="38" t="n"/>
      <c r="C470" s="47" t="n"/>
      <c r="D470" s="38" t="n"/>
      <c r="E470" s="38" t="n"/>
      <c r="F470" s="47" t="n"/>
      <c r="G470" s="57" t="n"/>
      <c r="H470" s="38" t="n"/>
      <c r="I470" s="38" t="n"/>
      <c r="J470" s="50">
        <f>IF(C470="","",IF(OR(E470="Received",E470="Declined"),"",AsOf-C470))</f>
        <v/>
      </c>
      <c r="K470" s="49">
        <f>IF(A470="","",IF(AND(E470="Received",H470&lt;&gt;"Yes"),"Reply to review",IF(N(J470)&gt;=ReviewWait,IF(E470="Reminder sent","Close out","Send reminder"),"—")))</f>
        <v/>
      </c>
      <c r="L470" s="51">
        <f>IF(F470="","",DATE(YEAR(F470),MONTH(F470),1))</f>
        <v/>
      </c>
      <c r="M470" s="51">
        <f>IF(C470="","",DATE(YEAR(C470),MONTH(C470),1))</f>
        <v/>
      </c>
    </row>
    <row r="471">
      <c r="A471" s="38" t="n"/>
      <c r="B471" s="38" t="n"/>
      <c r="C471" s="47" t="n"/>
      <c r="D471" s="38" t="n"/>
      <c r="E471" s="38" t="n"/>
      <c r="F471" s="47" t="n"/>
      <c r="G471" s="57" t="n"/>
      <c r="H471" s="38" t="n"/>
      <c r="I471" s="38" t="n"/>
      <c r="J471" s="50">
        <f>IF(C471="","",IF(OR(E471="Received",E471="Declined"),"",AsOf-C471))</f>
        <v/>
      </c>
      <c r="K471" s="49">
        <f>IF(A471="","",IF(AND(E471="Received",H471&lt;&gt;"Yes"),"Reply to review",IF(N(J471)&gt;=ReviewWait,IF(E471="Reminder sent","Close out","Send reminder"),"—")))</f>
        <v/>
      </c>
      <c r="L471" s="51">
        <f>IF(F471="","",DATE(YEAR(F471),MONTH(F471),1))</f>
        <v/>
      </c>
      <c r="M471" s="51">
        <f>IF(C471="","",DATE(YEAR(C471),MONTH(C471),1))</f>
        <v/>
      </c>
    </row>
    <row r="472">
      <c r="A472" s="38" t="n"/>
      <c r="B472" s="38" t="n"/>
      <c r="C472" s="47" t="n"/>
      <c r="D472" s="38" t="n"/>
      <c r="E472" s="38" t="n"/>
      <c r="F472" s="47" t="n"/>
      <c r="G472" s="57" t="n"/>
      <c r="H472" s="38" t="n"/>
      <c r="I472" s="38" t="n"/>
      <c r="J472" s="50">
        <f>IF(C472="","",IF(OR(E472="Received",E472="Declined"),"",AsOf-C472))</f>
        <v/>
      </c>
      <c r="K472" s="49">
        <f>IF(A472="","",IF(AND(E472="Received",H472&lt;&gt;"Yes"),"Reply to review",IF(N(J472)&gt;=ReviewWait,IF(E472="Reminder sent","Close out","Send reminder"),"—")))</f>
        <v/>
      </c>
      <c r="L472" s="51">
        <f>IF(F472="","",DATE(YEAR(F472),MONTH(F472),1))</f>
        <v/>
      </c>
      <c r="M472" s="51">
        <f>IF(C472="","",DATE(YEAR(C472),MONTH(C472),1))</f>
        <v/>
      </c>
    </row>
    <row r="473">
      <c r="A473" s="38" t="n"/>
      <c r="B473" s="38" t="n"/>
      <c r="C473" s="47" t="n"/>
      <c r="D473" s="38" t="n"/>
      <c r="E473" s="38" t="n"/>
      <c r="F473" s="47" t="n"/>
      <c r="G473" s="57" t="n"/>
      <c r="H473" s="38" t="n"/>
      <c r="I473" s="38" t="n"/>
      <c r="J473" s="50">
        <f>IF(C473="","",IF(OR(E473="Received",E473="Declined"),"",AsOf-C473))</f>
        <v/>
      </c>
      <c r="K473" s="49">
        <f>IF(A473="","",IF(AND(E473="Received",H473&lt;&gt;"Yes"),"Reply to review",IF(N(J473)&gt;=ReviewWait,IF(E473="Reminder sent","Close out","Send reminder"),"—")))</f>
        <v/>
      </c>
      <c r="L473" s="51">
        <f>IF(F473="","",DATE(YEAR(F473),MONTH(F473),1))</f>
        <v/>
      </c>
      <c r="M473" s="51">
        <f>IF(C473="","",DATE(YEAR(C473),MONTH(C473),1))</f>
        <v/>
      </c>
    </row>
    <row r="474">
      <c r="A474" s="38" t="n"/>
      <c r="B474" s="38" t="n"/>
      <c r="C474" s="47" t="n"/>
      <c r="D474" s="38" t="n"/>
      <c r="E474" s="38" t="n"/>
      <c r="F474" s="47" t="n"/>
      <c r="G474" s="57" t="n"/>
      <c r="H474" s="38" t="n"/>
      <c r="I474" s="38" t="n"/>
      <c r="J474" s="50">
        <f>IF(C474="","",IF(OR(E474="Received",E474="Declined"),"",AsOf-C474))</f>
        <v/>
      </c>
      <c r="K474" s="49">
        <f>IF(A474="","",IF(AND(E474="Received",H474&lt;&gt;"Yes"),"Reply to review",IF(N(J474)&gt;=ReviewWait,IF(E474="Reminder sent","Close out","Send reminder"),"—")))</f>
        <v/>
      </c>
      <c r="L474" s="51">
        <f>IF(F474="","",DATE(YEAR(F474),MONTH(F474),1))</f>
        <v/>
      </c>
      <c r="M474" s="51">
        <f>IF(C474="","",DATE(YEAR(C474),MONTH(C474),1))</f>
        <v/>
      </c>
    </row>
    <row r="475">
      <c r="A475" s="38" t="n"/>
      <c r="B475" s="38" t="n"/>
      <c r="C475" s="47" t="n"/>
      <c r="D475" s="38" t="n"/>
      <c r="E475" s="38" t="n"/>
      <c r="F475" s="47" t="n"/>
      <c r="G475" s="57" t="n"/>
      <c r="H475" s="38" t="n"/>
      <c r="I475" s="38" t="n"/>
      <c r="J475" s="50">
        <f>IF(C475="","",IF(OR(E475="Received",E475="Declined"),"",AsOf-C475))</f>
        <v/>
      </c>
      <c r="K475" s="49">
        <f>IF(A475="","",IF(AND(E475="Received",H475&lt;&gt;"Yes"),"Reply to review",IF(N(J475)&gt;=ReviewWait,IF(E475="Reminder sent","Close out","Send reminder"),"—")))</f>
        <v/>
      </c>
      <c r="L475" s="51">
        <f>IF(F475="","",DATE(YEAR(F475),MONTH(F475),1))</f>
        <v/>
      </c>
      <c r="M475" s="51">
        <f>IF(C475="","",DATE(YEAR(C475),MONTH(C475),1))</f>
        <v/>
      </c>
    </row>
    <row r="476">
      <c r="A476" s="38" t="n"/>
      <c r="B476" s="38" t="n"/>
      <c r="C476" s="47" t="n"/>
      <c r="D476" s="38" t="n"/>
      <c r="E476" s="38" t="n"/>
      <c r="F476" s="47" t="n"/>
      <c r="G476" s="57" t="n"/>
      <c r="H476" s="38" t="n"/>
      <c r="I476" s="38" t="n"/>
      <c r="J476" s="50">
        <f>IF(C476="","",IF(OR(E476="Received",E476="Declined"),"",AsOf-C476))</f>
        <v/>
      </c>
      <c r="K476" s="49">
        <f>IF(A476="","",IF(AND(E476="Received",H476&lt;&gt;"Yes"),"Reply to review",IF(N(J476)&gt;=ReviewWait,IF(E476="Reminder sent","Close out","Send reminder"),"—")))</f>
        <v/>
      </c>
      <c r="L476" s="51">
        <f>IF(F476="","",DATE(YEAR(F476),MONTH(F476),1))</f>
        <v/>
      </c>
      <c r="M476" s="51">
        <f>IF(C476="","",DATE(YEAR(C476),MONTH(C476),1))</f>
        <v/>
      </c>
    </row>
    <row r="477">
      <c r="A477" s="38" t="n"/>
      <c r="B477" s="38" t="n"/>
      <c r="C477" s="47" t="n"/>
      <c r="D477" s="38" t="n"/>
      <c r="E477" s="38" t="n"/>
      <c r="F477" s="47" t="n"/>
      <c r="G477" s="57" t="n"/>
      <c r="H477" s="38" t="n"/>
      <c r="I477" s="38" t="n"/>
      <c r="J477" s="50">
        <f>IF(C477="","",IF(OR(E477="Received",E477="Declined"),"",AsOf-C477))</f>
        <v/>
      </c>
      <c r="K477" s="49">
        <f>IF(A477="","",IF(AND(E477="Received",H477&lt;&gt;"Yes"),"Reply to review",IF(N(J477)&gt;=ReviewWait,IF(E477="Reminder sent","Close out","Send reminder"),"—")))</f>
        <v/>
      </c>
      <c r="L477" s="51">
        <f>IF(F477="","",DATE(YEAR(F477),MONTH(F477),1))</f>
        <v/>
      </c>
      <c r="M477" s="51">
        <f>IF(C477="","",DATE(YEAR(C477),MONTH(C477),1))</f>
        <v/>
      </c>
    </row>
    <row r="478">
      <c r="A478" s="38" t="n"/>
      <c r="B478" s="38" t="n"/>
      <c r="C478" s="47" t="n"/>
      <c r="D478" s="38" t="n"/>
      <c r="E478" s="38" t="n"/>
      <c r="F478" s="47" t="n"/>
      <c r="G478" s="57" t="n"/>
      <c r="H478" s="38" t="n"/>
      <c r="I478" s="38" t="n"/>
      <c r="J478" s="50">
        <f>IF(C478="","",IF(OR(E478="Received",E478="Declined"),"",AsOf-C478))</f>
        <v/>
      </c>
      <c r="K478" s="49">
        <f>IF(A478="","",IF(AND(E478="Received",H478&lt;&gt;"Yes"),"Reply to review",IF(N(J478)&gt;=ReviewWait,IF(E478="Reminder sent","Close out","Send reminder"),"—")))</f>
        <v/>
      </c>
      <c r="L478" s="51">
        <f>IF(F478="","",DATE(YEAR(F478),MONTH(F478),1))</f>
        <v/>
      </c>
      <c r="M478" s="51">
        <f>IF(C478="","",DATE(YEAR(C478),MONTH(C478),1))</f>
        <v/>
      </c>
    </row>
    <row r="479">
      <c r="A479" s="38" t="n"/>
      <c r="B479" s="38" t="n"/>
      <c r="C479" s="47" t="n"/>
      <c r="D479" s="38" t="n"/>
      <c r="E479" s="38" t="n"/>
      <c r="F479" s="47" t="n"/>
      <c r="G479" s="57" t="n"/>
      <c r="H479" s="38" t="n"/>
      <c r="I479" s="38" t="n"/>
      <c r="J479" s="50">
        <f>IF(C479="","",IF(OR(E479="Received",E479="Declined"),"",AsOf-C479))</f>
        <v/>
      </c>
      <c r="K479" s="49">
        <f>IF(A479="","",IF(AND(E479="Received",H479&lt;&gt;"Yes"),"Reply to review",IF(N(J479)&gt;=ReviewWait,IF(E479="Reminder sent","Close out","Send reminder"),"—")))</f>
        <v/>
      </c>
      <c r="L479" s="51">
        <f>IF(F479="","",DATE(YEAR(F479),MONTH(F479),1))</f>
        <v/>
      </c>
      <c r="M479" s="51">
        <f>IF(C479="","",DATE(YEAR(C479),MONTH(C479),1))</f>
        <v/>
      </c>
    </row>
    <row r="480">
      <c r="A480" s="38" t="n"/>
      <c r="B480" s="38" t="n"/>
      <c r="C480" s="47" t="n"/>
      <c r="D480" s="38" t="n"/>
      <c r="E480" s="38" t="n"/>
      <c r="F480" s="47" t="n"/>
      <c r="G480" s="57" t="n"/>
      <c r="H480" s="38" t="n"/>
      <c r="I480" s="38" t="n"/>
      <c r="J480" s="50">
        <f>IF(C480="","",IF(OR(E480="Received",E480="Declined"),"",AsOf-C480))</f>
        <v/>
      </c>
      <c r="K480" s="49">
        <f>IF(A480="","",IF(AND(E480="Received",H480&lt;&gt;"Yes"),"Reply to review",IF(N(J480)&gt;=ReviewWait,IF(E480="Reminder sent","Close out","Send reminder"),"—")))</f>
        <v/>
      </c>
      <c r="L480" s="51">
        <f>IF(F480="","",DATE(YEAR(F480),MONTH(F480),1))</f>
        <v/>
      </c>
      <c r="M480" s="51">
        <f>IF(C480="","",DATE(YEAR(C480),MONTH(C480),1))</f>
        <v/>
      </c>
    </row>
    <row r="481">
      <c r="A481" s="38" t="n"/>
      <c r="B481" s="38" t="n"/>
      <c r="C481" s="47" t="n"/>
      <c r="D481" s="38" t="n"/>
      <c r="E481" s="38" t="n"/>
      <c r="F481" s="47" t="n"/>
      <c r="G481" s="57" t="n"/>
      <c r="H481" s="38" t="n"/>
      <c r="I481" s="38" t="n"/>
      <c r="J481" s="50">
        <f>IF(C481="","",IF(OR(E481="Received",E481="Declined"),"",AsOf-C481))</f>
        <v/>
      </c>
      <c r="K481" s="49">
        <f>IF(A481="","",IF(AND(E481="Received",H481&lt;&gt;"Yes"),"Reply to review",IF(N(J481)&gt;=ReviewWait,IF(E481="Reminder sent","Close out","Send reminder"),"—")))</f>
        <v/>
      </c>
      <c r="L481" s="51">
        <f>IF(F481="","",DATE(YEAR(F481),MONTH(F481),1))</f>
        <v/>
      </c>
      <c r="M481" s="51">
        <f>IF(C481="","",DATE(YEAR(C481),MONTH(C481),1))</f>
        <v/>
      </c>
    </row>
    <row r="482">
      <c r="A482" s="38" t="n"/>
      <c r="B482" s="38" t="n"/>
      <c r="C482" s="47" t="n"/>
      <c r="D482" s="38" t="n"/>
      <c r="E482" s="38" t="n"/>
      <c r="F482" s="47" t="n"/>
      <c r="G482" s="57" t="n"/>
      <c r="H482" s="38" t="n"/>
      <c r="I482" s="38" t="n"/>
      <c r="J482" s="50">
        <f>IF(C482="","",IF(OR(E482="Received",E482="Declined"),"",AsOf-C482))</f>
        <v/>
      </c>
      <c r="K482" s="49">
        <f>IF(A482="","",IF(AND(E482="Received",H482&lt;&gt;"Yes"),"Reply to review",IF(N(J482)&gt;=ReviewWait,IF(E482="Reminder sent","Close out","Send reminder"),"—")))</f>
        <v/>
      </c>
      <c r="L482" s="51">
        <f>IF(F482="","",DATE(YEAR(F482),MONTH(F482),1))</f>
        <v/>
      </c>
      <c r="M482" s="51">
        <f>IF(C482="","",DATE(YEAR(C482),MONTH(C482),1))</f>
        <v/>
      </c>
    </row>
    <row r="483">
      <c r="A483" s="38" t="n"/>
      <c r="B483" s="38" t="n"/>
      <c r="C483" s="47" t="n"/>
      <c r="D483" s="38" t="n"/>
      <c r="E483" s="38" t="n"/>
      <c r="F483" s="47" t="n"/>
      <c r="G483" s="57" t="n"/>
      <c r="H483" s="38" t="n"/>
      <c r="I483" s="38" t="n"/>
      <c r="J483" s="50">
        <f>IF(C483="","",IF(OR(E483="Received",E483="Declined"),"",AsOf-C483))</f>
        <v/>
      </c>
      <c r="K483" s="49">
        <f>IF(A483="","",IF(AND(E483="Received",H483&lt;&gt;"Yes"),"Reply to review",IF(N(J483)&gt;=ReviewWait,IF(E483="Reminder sent","Close out","Send reminder"),"—")))</f>
        <v/>
      </c>
      <c r="L483" s="51">
        <f>IF(F483="","",DATE(YEAR(F483),MONTH(F483),1))</f>
        <v/>
      </c>
      <c r="M483" s="51">
        <f>IF(C483="","",DATE(YEAR(C483),MONTH(C483),1))</f>
        <v/>
      </c>
    </row>
    <row r="484">
      <c r="A484" s="38" t="n"/>
      <c r="B484" s="38" t="n"/>
      <c r="C484" s="47" t="n"/>
      <c r="D484" s="38" t="n"/>
      <c r="E484" s="38" t="n"/>
      <c r="F484" s="47" t="n"/>
      <c r="G484" s="57" t="n"/>
      <c r="H484" s="38" t="n"/>
      <c r="I484" s="38" t="n"/>
      <c r="J484" s="50">
        <f>IF(C484="","",IF(OR(E484="Received",E484="Declined"),"",AsOf-C484))</f>
        <v/>
      </c>
      <c r="K484" s="49">
        <f>IF(A484="","",IF(AND(E484="Received",H484&lt;&gt;"Yes"),"Reply to review",IF(N(J484)&gt;=ReviewWait,IF(E484="Reminder sent","Close out","Send reminder"),"—")))</f>
        <v/>
      </c>
      <c r="L484" s="51">
        <f>IF(F484="","",DATE(YEAR(F484),MONTH(F484),1))</f>
        <v/>
      </c>
      <c r="M484" s="51">
        <f>IF(C484="","",DATE(YEAR(C484),MONTH(C484),1))</f>
        <v/>
      </c>
    </row>
    <row r="485">
      <c r="A485" s="38" t="n"/>
      <c r="B485" s="38" t="n"/>
      <c r="C485" s="47" t="n"/>
      <c r="D485" s="38" t="n"/>
      <c r="E485" s="38" t="n"/>
      <c r="F485" s="47" t="n"/>
      <c r="G485" s="57" t="n"/>
      <c r="H485" s="38" t="n"/>
      <c r="I485" s="38" t="n"/>
      <c r="J485" s="50">
        <f>IF(C485="","",IF(OR(E485="Received",E485="Declined"),"",AsOf-C485))</f>
        <v/>
      </c>
      <c r="K485" s="49">
        <f>IF(A485="","",IF(AND(E485="Received",H485&lt;&gt;"Yes"),"Reply to review",IF(N(J485)&gt;=ReviewWait,IF(E485="Reminder sent","Close out","Send reminder"),"—")))</f>
        <v/>
      </c>
      <c r="L485" s="51">
        <f>IF(F485="","",DATE(YEAR(F485),MONTH(F485),1))</f>
        <v/>
      </c>
      <c r="M485" s="51">
        <f>IF(C485="","",DATE(YEAR(C485),MONTH(C485),1))</f>
        <v/>
      </c>
    </row>
    <row r="486">
      <c r="A486" s="38" t="n"/>
      <c r="B486" s="38" t="n"/>
      <c r="C486" s="47" t="n"/>
      <c r="D486" s="38" t="n"/>
      <c r="E486" s="38" t="n"/>
      <c r="F486" s="47" t="n"/>
      <c r="G486" s="57" t="n"/>
      <c r="H486" s="38" t="n"/>
      <c r="I486" s="38" t="n"/>
      <c r="J486" s="50">
        <f>IF(C486="","",IF(OR(E486="Received",E486="Declined"),"",AsOf-C486))</f>
        <v/>
      </c>
      <c r="K486" s="49">
        <f>IF(A486="","",IF(AND(E486="Received",H486&lt;&gt;"Yes"),"Reply to review",IF(N(J486)&gt;=ReviewWait,IF(E486="Reminder sent","Close out","Send reminder"),"—")))</f>
        <v/>
      </c>
      <c r="L486" s="51">
        <f>IF(F486="","",DATE(YEAR(F486),MONTH(F486),1))</f>
        <v/>
      </c>
      <c r="M486" s="51">
        <f>IF(C486="","",DATE(YEAR(C486),MONTH(C486),1))</f>
        <v/>
      </c>
    </row>
    <row r="487">
      <c r="A487" s="38" t="n"/>
      <c r="B487" s="38" t="n"/>
      <c r="C487" s="47" t="n"/>
      <c r="D487" s="38" t="n"/>
      <c r="E487" s="38" t="n"/>
      <c r="F487" s="47" t="n"/>
      <c r="G487" s="57" t="n"/>
      <c r="H487" s="38" t="n"/>
      <c r="I487" s="38" t="n"/>
      <c r="J487" s="50">
        <f>IF(C487="","",IF(OR(E487="Received",E487="Declined"),"",AsOf-C487))</f>
        <v/>
      </c>
      <c r="K487" s="49">
        <f>IF(A487="","",IF(AND(E487="Received",H487&lt;&gt;"Yes"),"Reply to review",IF(N(J487)&gt;=ReviewWait,IF(E487="Reminder sent","Close out","Send reminder"),"—")))</f>
        <v/>
      </c>
      <c r="L487" s="51">
        <f>IF(F487="","",DATE(YEAR(F487),MONTH(F487),1))</f>
        <v/>
      </c>
      <c r="M487" s="51">
        <f>IF(C487="","",DATE(YEAR(C487),MONTH(C487),1))</f>
        <v/>
      </c>
    </row>
    <row r="488">
      <c r="A488" s="38" t="n"/>
      <c r="B488" s="38" t="n"/>
      <c r="C488" s="47" t="n"/>
      <c r="D488" s="38" t="n"/>
      <c r="E488" s="38" t="n"/>
      <c r="F488" s="47" t="n"/>
      <c r="G488" s="57" t="n"/>
      <c r="H488" s="38" t="n"/>
      <c r="I488" s="38" t="n"/>
      <c r="J488" s="50">
        <f>IF(C488="","",IF(OR(E488="Received",E488="Declined"),"",AsOf-C488))</f>
        <v/>
      </c>
      <c r="K488" s="49">
        <f>IF(A488="","",IF(AND(E488="Received",H488&lt;&gt;"Yes"),"Reply to review",IF(N(J488)&gt;=ReviewWait,IF(E488="Reminder sent","Close out","Send reminder"),"—")))</f>
        <v/>
      </c>
      <c r="L488" s="51">
        <f>IF(F488="","",DATE(YEAR(F488),MONTH(F488),1))</f>
        <v/>
      </c>
      <c r="M488" s="51">
        <f>IF(C488="","",DATE(YEAR(C488),MONTH(C488),1))</f>
        <v/>
      </c>
    </row>
    <row r="489">
      <c r="A489" s="38" t="n"/>
      <c r="B489" s="38" t="n"/>
      <c r="C489" s="47" t="n"/>
      <c r="D489" s="38" t="n"/>
      <c r="E489" s="38" t="n"/>
      <c r="F489" s="47" t="n"/>
      <c r="G489" s="57" t="n"/>
      <c r="H489" s="38" t="n"/>
      <c r="I489" s="38" t="n"/>
      <c r="J489" s="50">
        <f>IF(C489="","",IF(OR(E489="Received",E489="Declined"),"",AsOf-C489))</f>
        <v/>
      </c>
      <c r="K489" s="49">
        <f>IF(A489="","",IF(AND(E489="Received",H489&lt;&gt;"Yes"),"Reply to review",IF(N(J489)&gt;=ReviewWait,IF(E489="Reminder sent","Close out","Send reminder"),"—")))</f>
        <v/>
      </c>
      <c r="L489" s="51">
        <f>IF(F489="","",DATE(YEAR(F489),MONTH(F489),1))</f>
        <v/>
      </c>
      <c r="M489" s="51">
        <f>IF(C489="","",DATE(YEAR(C489),MONTH(C489),1))</f>
        <v/>
      </c>
    </row>
    <row r="490">
      <c r="A490" s="38" t="n"/>
      <c r="B490" s="38" t="n"/>
      <c r="C490" s="47" t="n"/>
      <c r="D490" s="38" t="n"/>
      <c r="E490" s="38" t="n"/>
      <c r="F490" s="47" t="n"/>
      <c r="G490" s="57" t="n"/>
      <c r="H490" s="38" t="n"/>
      <c r="I490" s="38" t="n"/>
      <c r="J490" s="50">
        <f>IF(C490="","",IF(OR(E490="Received",E490="Declined"),"",AsOf-C490))</f>
        <v/>
      </c>
      <c r="K490" s="49">
        <f>IF(A490="","",IF(AND(E490="Received",H490&lt;&gt;"Yes"),"Reply to review",IF(N(J490)&gt;=ReviewWait,IF(E490="Reminder sent","Close out","Send reminder"),"—")))</f>
        <v/>
      </c>
      <c r="L490" s="51">
        <f>IF(F490="","",DATE(YEAR(F490),MONTH(F490),1))</f>
        <v/>
      </c>
      <c r="M490" s="51">
        <f>IF(C490="","",DATE(YEAR(C490),MONTH(C490),1))</f>
        <v/>
      </c>
    </row>
    <row r="491">
      <c r="A491" s="38" t="n"/>
      <c r="B491" s="38" t="n"/>
      <c r="C491" s="47" t="n"/>
      <c r="D491" s="38" t="n"/>
      <c r="E491" s="38" t="n"/>
      <c r="F491" s="47" t="n"/>
      <c r="G491" s="57" t="n"/>
      <c r="H491" s="38" t="n"/>
      <c r="I491" s="38" t="n"/>
      <c r="J491" s="50">
        <f>IF(C491="","",IF(OR(E491="Received",E491="Declined"),"",AsOf-C491))</f>
        <v/>
      </c>
      <c r="K491" s="49">
        <f>IF(A491="","",IF(AND(E491="Received",H491&lt;&gt;"Yes"),"Reply to review",IF(N(J491)&gt;=ReviewWait,IF(E491="Reminder sent","Close out","Send reminder"),"—")))</f>
        <v/>
      </c>
      <c r="L491" s="51">
        <f>IF(F491="","",DATE(YEAR(F491),MONTH(F491),1))</f>
        <v/>
      </c>
      <c r="M491" s="51">
        <f>IF(C491="","",DATE(YEAR(C491),MONTH(C491),1))</f>
        <v/>
      </c>
    </row>
    <row r="492">
      <c r="A492" s="38" t="n"/>
      <c r="B492" s="38" t="n"/>
      <c r="C492" s="47" t="n"/>
      <c r="D492" s="38" t="n"/>
      <c r="E492" s="38" t="n"/>
      <c r="F492" s="47" t="n"/>
      <c r="G492" s="57" t="n"/>
      <c r="H492" s="38" t="n"/>
      <c r="I492" s="38" t="n"/>
      <c r="J492" s="50">
        <f>IF(C492="","",IF(OR(E492="Received",E492="Declined"),"",AsOf-C492))</f>
        <v/>
      </c>
      <c r="K492" s="49">
        <f>IF(A492="","",IF(AND(E492="Received",H492&lt;&gt;"Yes"),"Reply to review",IF(N(J492)&gt;=ReviewWait,IF(E492="Reminder sent","Close out","Send reminder"),"—")))</f>
        <v/>
      </c>
      <c r="L492" s="51">
        <f>IF(F492="","",DATE(YEAR(F492),MONTH(F492),1))</f>
        <v/>
      </c>
      <c r="M492" s="51">
        <f>IF(C492="","",DATE(YEAR(C492),MONTH(C492),1))</f>
        <v/>
      </c>
    </row>
    <row r="493">
      <c r="A493" s="38" t="n"/>
      <c r="B493" s="38" t="n"/>
      <c r="C493" s="47" t="n"/>
      <c r="D493" s="38" t="n"/>
      <c r="E493" s="38" t="n"/>
      <c r="F493" s="47" t="n"/>
      <c r="G493" s="57" t="n"/>
      <c r="H493" s="38" t="n"/>
      <c r="I493" s="38" t="n"/>
      <c r="J493" s="50">
        <f>IF(C493="","",IF(OR(E493="Received",E493="Declined"),"",AsOf-C493))</f>
        <v/>
      </c>
      <c r="K493" s="49">
        <f>IF(A493="","",IF(AND(E493="Received",H493&lt;&gt;"Yes"),"Reply to review",IF(N(J493)&gt;=ReviewWait,IF(E493="Reminder sent","Close out","Send reminder"),"—")))</f>
        <v/>
      </c>
      <c r="L493" s="51">
        <f>IF(F493="","",DATE(YEAR(F493),MONTH(F493),1))</f>
        <v/>
      </c>
      <c r="M493" s="51">
        <f>IF(C493="","",DATE(YEAR(C493),MONTH(C493),1))</f>
        <v/>
      </c>
    </row>
    <row r="494">
      <c r="A494" s="38" t="n"/>
      <c r="B494" s="38" t="n"/>
      <c r="C494" s="47" t="n"/>
      <c r="D494" s="38" t="n"/>
      <c r="E494" s="38" t="n"/>
      <c r="F494" s="47" t="n"/>
      <c r="G494" s="57" t="n"/>
      <c r="H494" s="38" t="n"/>
      <c r="I494" s="38" t="n"/>
      <c r="J494" s="50">
        <f>IF(C494="","",IF(OR(E494="Received",E494="Declined"),"",AsOf-C494))</f>
        <v/>
      </c>
      <c r="K494" s="49">
        <f>IF(A494="","",IF(AND(E494="Received",H494&lt;&gt;"Yes"),"Reply to review",IF(N(J494)&gt;=ReviewWait,IF(E494="Reminder sent","Close out","Send reminder"),"—")))</f>
        <v/>
      </c>
      <c r="L494" s="51">
        <f>IF(F494="","",DATE(YEAR(F494),MONTH(F494),1))</f>
        <v/>
      </c>
      <c r="M494" s="51">
        <f>IF(C494="","",DATE(YEAR(C494),MONTH(C494),1))</f>
        <v/>
      </c>
    </row>
    <row r="495">
      <c r="A495" s="38" t="n"/>
      <c r="B495" s="38" t="n"/>
      <c r="C495" s="47" t="n"/>
      <c r="D495" s="38" t="n"/>
      <c r="E495" s="38" t="n"/>
      <c r="F495" s="47" t="n"/>
      <c r="G495" s="57" t="n"/>
      <c r="H495" s="38" t="n"/>
      <c r="I495" s="38" t="n"/>
      <c r="J495" s="50">
        <f>IF(C495="","",IF(OR(E495="Received",E495="Declined"),"",AsOf-C495))</f>
        <v/>
      </c>
      <c r="K495" s="49">
        <f>IF(A495="","",IF(AND(E495="Received",H495&lt;&gt;"Yes"),"Reply to review",IF(N(J495)&gt;=ReviewWait,IF(E495="Reminder sent","Close out","Send reminder"),"—")))</f>
        <v/>
      </c>
      <c r="L495" s="51">
        <f>IF(F495="","",DATE(YEAR(F495),MONTH(F495),1))</f>
        <v/>
      </c>
      <c r="M495" s="51">
        <f>IF(C495="","",DATE(YEAR(C495),MONTH(C495),1))</f>
        <v/>
      </c>
    </row>
    <row r="496">
      <c r="A496" s="38" t="n"/>
      <c r="B496" s="38" t="n"/>
      <c r="C496" s="47" t="n"/>
      <c r="D496" s="38" t="n"/>
      <c r="E496" s="38" t="n"/>
      <c r="F496" s="47" t="n"/>
      <c r="G496" s="57" t="n"/>
      <c r="H496" s="38" t="n"/>
      <c r="I496" s="38" t="n"/>
      <c r="J496" s="50">
        <f>IF(C496="","",IF(OR(E496="Received",E496="Declined"),"",AsOf-C496))</f>
        <v/>
      </c>
      <c r="K496" s="49">
        <f>IF(A496="","",IF(AND(E496="Received",H496&lt;&gt;"Yes"),"Reply to review",IF(N(J496)&gt;=ReviewWait,IF(E496="Reminder sent","Close out","Send reminder"),"—")))</f>
        <v/>
      </c>
      <c r="L496" s="51">
        <f>IF(F496="","",DATE(YEAR(F496),MONTH(F496),1))</f>
        <v/>
      </c>
      <c r="M496" s="51">
        <f>IF(C496="","",DATE(YEAR(C496),MONTH(C496),1))</f>
        <v/>
      </c>
    </row>
    <row r="497">
      <c r="A497" s="38" t="n"/>
      <c r="B497" s="38" t="n"/>
      <c r="C497" s="47" t="n"/>
      <c r="D497" s="38" t="n"/>
      <c r="E497" s="38" t="n"/>
      <c r="F497" s="47" t="n"/>
      <c r="G497" s="57" t="n"/>
      <c r="H497" s="38" t="n"/>
      <c r="I497" s="38" t="n"/>
      <c r="J497" s="50">
        <f>IF(C497="","",IF(OR(E497="Received",E497="Declined"),"",AsOf-C497))</f>
        <v/>
      </c>
      <c r="K497" s="49">
        <f>IF(A497="","",IF(AND(E497="Received",H497&lt;&gt;"Yes"),"Reply to review",IF(N(J497)&gt;=ReviewWait,IF(E497="Reminder sent","Close out","Send reminder"),"—")))</f>
        <v/>
      </c>
      <c r="L497" s="51">
        <f>IF(F497="","",DATE(YEAR(F497),MONTH(F497),1))</f>
        <v/>
      </c>
      <c r="M497" s="51">
        <f>IF(C497="","",DATE(YEAR(C497),MONTH(C497),1))</f>
        <v/>
      </c>
    </row>
    <row r="498">
      <c r="A498" s="38" t="n"/>
      <c r="B498" s="38" t="n"/>
      <c r="C498" s="47" t="n"/>
      <c r="D498" s="38" t="n"/>
      <c r="E498" s="38" t="n"/>
      <c r="F498" s="47" t="n"/>
      <c r="G498" s="57" t="n"/>
      <c r="H498" s="38" t="n"/>
      <c r="I498" s="38" t="n"/>
      <c r="J498" s="50">
        <f>IF(C498="","",IF(OR(E498="Received",E498="Declined"),"",AsOf-C498))</f>
        <v/>
      </c>
      <c r="K498" s="49">
        <f>IF(A498="","",IF(AND(E498="Received",H498&lt;&gt;"Yes"),"Reply to review",IF(N(J498)&gt;=ReviewWait,IF(E498="Reminder sent","Close out","Send reminder"),"—")))</f>
        <v/>
      </c>
      <c r="L498" s="51">
        <f>IF(F498="","",DATE(YEAR(F498),MONTH(F498),1))</f>
        <v/>
      </c>
      <c r="M498" s="51">
        <f>IF(C498="","",DATE(YEAR(C498),MONTH(C498),1))</f>
        <v/>
      </c>
    </row>
    <row r="499">
      <c r="A499" s="38" t="n"/>
      <c r="B499" s="38" t="n"/>
      <c r="C499" s="47" t="n"/>
      <c r="D499" s="38" t="n"/>
      <c r="E499" s="38" t="n"/>
      <c r="F499" s="47" t="n"/>
      <c r="G499" s="57" t="n"/>
      <c r="H499" s="38" t="n"/>
      <c r="I499" s="38" t="n"/>
      <c r="J499" s="50">
        <f>IF(C499="","",IF(OR(E499="Received",E499="Declined"),"",AsOf-C499))</f>
        <v/>
      </c>
      <c r="K499" s="49">
        <f>IF(A499="","",IF(AND(E499="Received",H499&lt;&gt;"Yes"),"Reply to review",IF(N(J499)&gt;=ReviewWait,IF(E499="Reminder sent","Close out","Send reminder"),"—")))</f>
        <v/>
      </c>
      <c r="L499" s="51">
        <f>IF(F499="","",DATE(YEAR(F499),MONTH(F499),1))</f>
        <v/>
      </c>
      <c r="M499" s="51">
        <f>IF(C499="","",DATE(YEAR(C499),MONTH(C499),1))</f>
        <v/>
      </c>
    </row>
    <row r="500">
      <c r="A500" s="38" t="n"/>
      <c r="B500" s="38" t="n"/>
      <c r="C500" s="47" t="n"/>
      <c r="D500" s="38" t="n"/>
      <c r="E500" s="38" t="n"/>
      <c r="F500" s="47" t="n"/>
      <c r="G500" s="57" t="n"/>
      <c r="H500" s="38" t="n"/>
      <c r="I500" s="38" t="n"/>
      <c r="J500" s="50">
        <f>IF(C500="","",IF(OR(E500="Received",E500="Declined"),"",AsOf-C500))</f>
        <v/>
      </c>
      <c r="K500" s="49">
        <f>IF(A500="","",IF(AND(E500="Received",H500&lt;&gt;"Yes"),"Reply to review",IF(N(J500)&gt;=ReviewWait,IF(E500="Reminder sent","Close out","Send reminder"),"—")))</f>
        <v/>
      </c>
      <c r="L500" s="51">
        <f>IF(F500="","",DATE(YEAR(F500),MONTH(F500),1))</f>
        <v/>
      </c>
      <c r="M500" s="51">
        <f>IF(C500="","",DATE(YEAR(C500),MONTH(C500),1))</f>
        <v/>
      </c>
    </row>
    <row r="501">
      <c r="A501" s="38" t="n"/>
      <c r="B501" s="38" t="n"/>
      <c r="C501" s="47" t="n"/>
      <c r="D501" s="38" t="n"/>
      <c r="E501" s="38" t="n"/>
      <c r="F501" s="47" t="n"/>
      <c r="G501" s="57" t="n"/>
      <c r="H501" s="38" t="n"/>
      <c r="I501" s="38" t="n"/>
      <c r="J501" s="50">
        <f>IF(C501="","",IF(OR(E501="Received",E501="Declined"),"",AsOf-C501))</f>
        <v/>
      </c>
      <c r="K501" s="49">
        <f>IF(A501="","",IF(AND(E501="Received",H501&lt;&gt;"Yes"),"Reply to review",IF(N(J501)&gt;=ReviewWait,IF(E501="Reminder sent","Close out","Send reminder"),"—")))</f>
        <v/>
      </c>
      <c r="L501" s="51">
        <f>IF(F501="","",DATE(YEAR(F501),MONTH(F501),1))</f>
        <v/>
      </c>
      <c r="M501" s="51">
        <f>IF(C501="","",DATE(YEAR(C501),MONTH(C501),1))</f>
        <v/>
      </c>
    </row>
    <row r="502">
      <c r="A502" s="38" t="n"/>
      <c r="B502" s="38" t="n"/>
      <c r="C502" s="47" t="n"/>
      <c r="D502" s="38" t="n"/>
      <c r="E502" s="38" t="n"/>
      <c r="F502" s="47" t="n"/>
      <c r="G502" s="57" t="n"/>
      <c r="H502" s="38" t="n"/>
      <c r="I502" s="38" t="n"/>
      <c r="J502" s="50">
        <f>IF(C502="","",IF(OR(E502="Received",E502="Declined"),"",AsOf-C502))</f>
        <v/>
      </c>
      <c r="K502" s="49">
        <f>IF(A502="","",IF(AND(E502="Received",H502&lt;&gt;"Yes"),"Reply to review",IF(N(J502)&gt;=ReviewWait,IF(E502="Reminder sent","Close out","Send reminder"),"—")))</f>
        <v/>
      </c>
      <c r="L502" s="51">
        <f>IF(F502="","",DATE(YEAR(F502),MONTH(F502),1))</f>
        <v/>
      </c>
      <c r="M502" s="51">
        <f>IF(C502="","",DATE(YEAR(C502),MONTH(C502),1))</f>
        <v/>
      </c>
    </row>
    <row r="503">
      <c r="A503" s="38" t="n"/>
      <c r="B503" s="38" t="n"/>
      <c r="C503" s="47" t="n"/>
      <c r="D503" s="38" t="n"/>
      <c r="E503" s="38" t="n"/>
      <c r="F503" s="47" t="n"/>
      <c r="G503" s="57" t="n"/>
      <c r="H503" s="38" t="n"/>
      <c r="I503" s="38" t="n"/>
      <c r="J503" s="50">
        <f>IF(C503="","",IF(OR(E503="Received",E503="Declined"),"",AsOf-C503))</f>
        <v/>
      </c>
      <c r="K503" s="49">
        <f>IF(A503="","",IF(AND(E503="Received",H503&lt;&gt;"Yes"),"Reply to review",IF(N(J503)&gt;=ReviewWait,IF(E503="Reminder sent","Close out","Send reminder"),"—")))</f>
        <v/>
      </c>
      <c r="L503" s="51">
        <f>IF(F503="","",DATE(YEAR(F503),MONTH(F503),1))</f>
        <v/>
      </c>
      <c r="M503" s="51">
        <f>IF(C503="","",DATE(YEAR(C503),MONTH(C503),1))</f>
        <v/>
      </c>
    </row>
    <row r="504">
      <c r="A504" s="38" t="n"/>
      <c r="B504" s="38" t="n"/>
      <c r="C504" s="47" t="n"/>
      <c r="D504" s="38" t="n"/>
      <c r="E504" s="38" t="n"/>
      <c r="F504" s="47" t="n"/>
      <c r="G504" s="57" t="n"/>
      <c r="H504" s="38" t="n"/>
      <c r="I504" s="38" t="n"/>
      <c r="J504" s="50">
        <f>IF(C504="","",IF(OR(E504="Received",E504="Declined"),"",AsOf-C504))</f>
        <v/>
      </c>
      <c r="K504" s="49">
        <f>IF(A504="","",IF(AND(E504="Received",H504&lt;&gt;"Yes"),"Reply to review",IF(N(J504)&gt;=ReviewWait,IF(E504="Reminder sent","Close out","Send reminder"),"—")))</f>
        <v/>
      </c>
      <c r="L504" s="51">
        <f>IF(F504="","",DATE(YEAR(F504),MONTH(F504),1))</f>
        <v/>
      </c>
      <c r="M504" s="51">
        <f>IF(C504="","",DATE(YEAR(C504),MONTH(C504),1))</f>
        <v/>
      </c>
    </row>
  </sheetData>
  <autoFilter ref="A4:M504"/>
  <mergeCells count="2">
    <mergeCell ref="A2:M2"/>
    <mergeCell ref="A1:M1"/>
  </mergeCells>
  <conditionalFormatting sqref="K5:K504">
    <cfRule type="expression" priority="1" dxfId="2">
      <formula>K5="Send reminder"</formula>
    </cfRule>
    <cfRule type="expression" priority="2" dxfId="0">
      <formula>K5="Reply to review"</formula>
    </cfRule>
  </conditionalFormatting>
  <dataValidations count="5">
    <dataValidation sqref="A5:A504" showDropDown="0" showInputMessage="0" showErrorMessage="0" allowBlank="1" type="list">
      <formula1>='CUSTOMERS'!$B$5:$B$404</formula1>
    </dataValidation>
    <dataValidation sqref="B5:B504" showDropDown="0" showInputMessage="0" showErrorMessage="0" allowBlank="1" type="list">
      <formula1>='JOBS'!$A$5:$A$1504</formula1>
    </dataValidation>
    <dataValidation sqref="D5:D504" showDropDown="0" showInputMessage="0" showErrorMessage="0" allowBlank="1" type="list">
      <formula1>='SETTINGS'!$AA$5:$AA$24</formula1>
    </dataValidation>
    <dataValidation sqref="E5:E504" showDropDown="0" showInputMessage="0" showErrorMessage="0" allowBlank="1" type="list">
      <formula1>='SETTINGS'!$AB$5:$AB$9</formula1>
    </dataValidation>
    <dataValidation sqref="H5:H504" showDropDown="0" showInputMessage="0" showErrorMessage="0" allowBlank="1" type="list">
      <formula1>='SETTINGS'!$AI$5:$AI$6</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9.xml><?xml version="1.0" encoding="utf-8"?>
<worksheet xmlns="http://schemas.openxmlformats.org/spreadsheetml/2006/main">
  <sheetPr>
    <tabColor rgb="00E08E2B"/>
    <outlinePr summaryBelow="1" summaryRight="1"/>
    <pageSetUpPr fitToPage="1"/>
  </sheetPr>
  <dimension ref="A1:J2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0" customWidth="1" min="3" max="3"/>
    <col width="20" customWidth="1" min="4" max="4"/>
    <col width="13" customWidth="1" min="5" max="5"/>
    <col width="20" customWidth="1" min="6" max="6"/>
    <col width="13" customWidth="1" min="7" max="7"/>
    <col width="24" customWidth="1" min="8" max="8"/>
    <col width="13" customWidth="1" min="9" max="9"/>
    <col width="13" customWidth="1" min="10" max="10"/>
  </cols>
  <sheetData>
    <row r="1" ht="34" customHeight="1">
      <c r="A1" s="42" t="inlineStr">
        <is>
          <t>REFERRALS</t>
        </is>
      </c>
      <c r="B1" s="1" t="n"/>
      <c r="C1" s="1" t="n"/>
      <c r="D1" s="1" t="n"/>
      <c r="E1" s="1" t="n"/>
      <c r="F1" s="1" t="n"/>
      <c r="G1" s="1" t="n"/>
      <c r="H1" s="1" t="n"/>
      <c r="I1" s="1" t="n"/>
      <c r="J1" s="1" t="n"/>
    </row>
    <row r="2" ht="30" customHeight="1">
      <c r="A2" s="43" t="inlineStr">
        <is>
          <t>Track who sends you business and make sure every thank-you is delivered.</t>
        </is>
      </c>
    </row>
    <row r="3" ht="18" customHeight="1">
      <c r="A3" s="24" t="inlineStr">
        <is>
          <t>← Start Here</t>
        </is>
      </c>
      <c r="B3" s="24" t="inlineStr">
        <is>
          <t>Dashboard →</t>
        </is>
      </c>
    </row>
    <row r="4" ht="42" customHeight="1">
      <c r="A4" s="44" t="inlineStr">
        <is>
          <t>Date Referred</t>
        </is>
      </c>
      <c r="B4" s="44" t="inlineStr">
        <is>
          <t>Referred By (customer)</t>
        </is>
      </c>
      <c r="C4" s="44" t="inlineStr">
        <is>
          <t>New Contact Name</t>
        </is>
      </c>
      <c r="D4" s="44" t="inlineStr">
        <is>
          <t>Phone / Email</t>
        </is>
      </c>
      <c r="E4" s="44" t="inlineStr">
        <is>
          <t>Status</t>
        </is>
      </c>
      <c r="F4" s="44" t="inlineStr">
        <is>
          <t>Reward / Thank-You</t>
        </is>
      </c>
      <c r="G4" s="44" t="inlineStr">
        <is>
          <t>Reward Status</t>
        </is>
      </c>
      <c r="H4" s="44" t="inlineStr">
        <is>
          <t>Notes</t>
        </is>
      </c>
      <c r="I4" s="45" t="inlineStr">
        <is>
          <t>Revenue from Referral ⚙</t>
        </is>
      </c>
      <c r="J4" s="45" t="inlineStr">
        <is>
          <t>Month ⚙</t>
        </is>
      </c>
    </row>
    <row r="5">
      <c r="A5" s="47" t="n">
        <v>46050</v>
      </c>
      <c r="B5" s="38" t="inlineStr">
        <is>
          <t>Quinn Ashworth</t>
        </is>
      </c>
      <c r="C5" s="38" t="inlineStr">
        <is>
          <t>Wren Porter</t>
        </is>
      </c>
      <c r="D5" s="38" t="inlineStr">
        <is>
          <t>555-0123</t>
        </is>
      </c>
      <c r="E5" s="38" t="inlineStr">
        <is>
          <t>Booked</t>
        </is>
      </c>
      <c r="F5" s="38" t="inlineStr">
        <is>
          <t>$25 service credit (example)</t>
        </is>
      </c>
      <c r="G5" s="38" t="inlineStr">
        <is>
          <t>Owed</t>
        </is>
      </c>
      <c r="H5" s="38" t="inlineStr"/>
      <c r="I5" s="54">
        <f>IF(C5="","",SUMIFS('JOBS'!$L$5:$L$1504,'JOBS'!$D$5:$D$1504,C5,'JOBS'!$O$5:$O$1504,"Completed"))</f>
        <v/>
      </c>
      <c r="J5" s="51">
        <f>IF(A5="","",DATE(YEAR(A5),MONTH(A5),1))</f>
        <v/>
      </c>
    </row>
    <row r="6">
      <c r="A6" s="47" t="n">
        <v>46079</v>
      </c>
      <c r="B6" s="38" t="inlineStr">
        <is>
          <t>Quinn Ashworth</t>
        </is>
      </c>
      <c r="C6" s="38" t="inlineStr">
        <is>
          <t>Peyton Underhill</t>
        </is>
      </c>
      <c r="D6" s="38" t="inlineStr">
        <is>
          <t>555-0114</t>
        </is>
      </c>
      <c r="E6" s="38" t="inlineStr">
        <is>
          <t>Booked</t>
        </is>
      </c>
      <c r="F6" s="38" t="inlineStr">
        <is>
          <t>$25 service credit (example)</t>
        </is>
      </c>
      <c r="G6" s="38" t="inlineStr">
        <is>
          <t>Given</t>
        </is>
      </c>
      <c r="H6" s="38" t="inlineStr"/>
      <c r="I6" s="54">
        <f>IF(C6="","",SUMIFS('JOBS'!$L$5:$L$1504,'JOBS'!$D$5:$D$1504,C6,'JOBS'!$O$5:$O$1504,"Completed"))</f>
        <v/>
      </c>
      <c r="J6" s="51">
        <f>IF(A6="","",DATE(YEAR(A6),MONTH(A6),1))</f>
        <v/>
      </c>
    </row>
    <row r="7">
      <c r="A7" s="47" t="n">
        <v>46094</v>
      </c>
      <c r="B7" s="38" t="inlineStr">
        <is>
          <t>Dana Ivers</t>
        </is>
      </c>
      <c r="C7" s="38" t="inlineStr">
        <is>
          <t>Logan Porter</t>
        </is>
      </c>
      <c r="D7" s="38" t="inlineStr">
        <is>
          <t>555-0105</t>
        </is>
      </c>
      <c r="E7" s="38" t="inlineStr">
        <is>
          <t>Booked</t>
        </is>
      </c>
      <c r="F7" s="38" t="inlineStr">
        <is>
          <t>$25 service credit (example)</t>
        </is>
      </c>
      <c r="G7" s="38" t="inlineStr">
        <is>
          <t>Given</t>
        </is>
      </c>
      <c r="H7" s="38" t="inlineStr"/>
      <c r="I7" s="54">
        <f>IF(C7="","",SUMIFS('JOBS'!$L$5:$L$1504,'JOBS'!$D$5:$D$1504,C7,'JOBS'!$O$5:$O$1504,"Completed"))</f>
        <v/>
      </c>
      <c r="J7" s="51">
        <f>IF(A7="","",DATE(YEAR(A7),MONTH(A7),1))</f>
        <v/>
      </c>
    </row>
    <row r="8">
      <c r="A8" s="47" t="n">
        <v>46251</v>
      </c>
      <c r="B8" s="38" t="inlineStr">
        <is>
          <t>Blake Dunmore</t>
        </is>
      </c>
      <c r="C8" s="38" t="inlineStr">
        <is>
          <t>Oakley Kensington</t>
        </is>
      </c>
      <c r="D8" s="38" t="inlineStr">
        <is>
          <t>555-0181</t>
        </is>
      </c>
      <c r="E8" s="38" t="inlineStr">
        <is>
          <t>Not booked</t>
        </is>
      </c>
      <c r="F8" s="38" t="inlineStr">
        <is>
          <t>$25 service credit (example)</t>
        </is>
      </c>
      <c r="G8" s="38" t="inlineStr">
        <is>
          <t>Not due</t>
        </is>
      </c>
      <c r="H8" s="38" t="inlineStr"/>
      <c r="I8" s="54">
        <f>IF(C8="","",SUMIFS('JOBS'!$L$5:$L$1504,'JOBS'!$D$5:$D$1504,C8,'JOBS'!$O$5:$O$1504,"Completed"))</f>
        <v/>
      </c>
      <c r="J8" s="51">
        <f>IF(A8="","",DATE(YEAR(A8),MONTH(A8),1))</f>
        <v/>
      </c>
    </row>
    <row r="9">
      <c r="A9" s="47" t="n">
        <v>46264</v>
      </c>
      <c r="B9" s="38" t="inlineStr">
        <is>
          <t>Emerson Calloway</t>
        </is>
      </c>
      <c r="C9" s="38" t="inlineStr">
        <is>
          <t>Harper Hayes</t>
        </is>
      </c>
      <c r="D9" s="38" t="inlineStr">
        <is>
          <t>555-0116</t>
        </is>
      </c>
      <c r="E9" s="38" t="inlineStr">
        <is>
          <t>Booked</t>
        </is>
      </c>
      <c r="F9" s="38" t="inlineStr">
        <is>
          <t>$25 service credit (example)</t>
        </is>
      </c>
      <c r="G9" s="38" t="inlineStr">
        <is>
          <t>Given</t>
        </is>
      </c>
      <c r="H9" s="38" t="inlineStr"/>
      <c r="I9" s="54">
        <f>IF(C9="","",SUMIFS('JOBS'!$L$5:$L$1504,'JOBS'!$D$5:$D$1504,C9,'JOBS'!$O$5:$O$1504,"Completed"))</f>
        <v/>
      </c>
      <c r="J9" s="51">
        <f>IF(A9="","",DATE(YEAR(A9),MONTH(A9),1))</f>
        <v/>
      </c>
    </row>
    <row r="10">
      <c r="A10" s="47" t="n">
        <v>46265</v>
      </c>
      <c r="B10" s="38" t="inlineStr">
        <is>
          <t>Noel Collins</t>
        </is>
      </c>
      <c r="C10" s="38" t="inlineStr">
        <is>
          <t>Robin Fairbanks</t>
        </is>
      </c>
      <c r="D10" s="38" t="inlineStr">
        <is>
          <t>555-0182</t>
        </is>
      </c>
      <c r="E10" s="38" t="inlineStr">
        <is>
          <t>Referred</t>
        </is>
      </c>
      <c r="F10" s="38" t="inlineStr">
        <is>
          <t>$25 service credit (example)</t>
        </is>
      </c>
      <c r="G10" s="38" t="inlineStr">
        <is>
          <t>Not due</t>
        </is>
      </c>
      <c r="H10" s="38" t="inlineStr"/>
      <c r="I10" s="54">
        <f>IF(C10="","",SUMIFS('JOBS'!$L$5:$L$1504,'JOBS'!$D$5:$D$1504,C10,'JOBS'!$O$5:$O$1504,"Completed"))</f>
        <v/>
      </c>
      <c r="J10" s="51">
        <f>IF(A10="","",DATE(YEAR(A10),MONTH(A10),1))</f>
        <v/>
      </c>
    </row>
    <row r="11">
      <c r="A11" s="47" t="n">
        <v>46281</v>
      </c>
      <c r="B11" s="38" t="inlineStr">
        <is>
          <t>Dana Collins</t>
        </is>
      </c>
      <c r="C11" s="38" t="inlineStr">
        <is>
          <t>Micah Brightwater</t>
        </is>
      </c>
      <c r="D11" s="38" t="inlineStr">
        <is>
          <t>555-0180</t>
        </is>
      </c>
      <c r="E11" s="38" t="inlineStr">
        <is>
          <t>Quoted</t>
        </is>
      </c>
      <c r="F11" s="38" t="inlineStr">
        <is>
          <t>$25 service credit (example)</t>
        </is>
      </c>
      <c r="G11" s="38" t="inlineStr">
        <is>
          <t>Not due</t>
        </is>
      </c>
      <c r="H11" s="38" t="inlineStr"/>
      <c r="I11" s="54">
        <f>IF(C11="","",SUMIFS('JOBS'!$L$5:$L$1504,'JOBS'!$D$5:$D$1504,C11,'JOBS'!$O$5:$O$1504,"Completed"))</f>
        <v/>
      </c>
      <c r="J11" s="51">
        <f>IF(A11="","",DATE(YEAR(A11),MONTH(A11),1))</f>
        <v/>
      </c>
    </row>
    <row r="12">
      <c r="A12" s="47" t="n"/>
      <c r="B12" s="38" t="n"/>
      <c r="C12" s="38" t="n"/>
      <c r="D12" s="38" t="n"/>
      <c r="E12" s="38" t="n"/>
      <c r="F12" s="38" t="n"/>
      <c r="G12" s="38" t="n"/>
      <c r="H12" s="38" t="n"/>
      <c r="I12" s="54">
        <f>IF(C12="","",SUMIFS('JOBS'!$L$5:$L$1504,'JOBS'!$D$5:$D$1504,C12,'JOBS'!$O$5:$O$1504,"Completed"))</f>
        <v/>
      </c>
      <c r="J12" s="51">
        <f>IF(A12="","",DATE(YEAR(A12),MONTH(A12),1))</f>
        <v/>
      </c>
    </row>
    <row r="13">
      <c r="A13" s="47" t="n"/>
      <c r="B13" s="38" t="n"/>
      <c r="C13" s="38" t="n"/>
      <c r="D13" s="38" t="n"/>
      <c r="E13" s="38" t="n"/>
      <c r="F13" s="38" t="n"/>
      <c r="G13" s="38" t="n"/>
      <c r="H13" s="38" t="n"/>
      <c r="I13" s="54">
        <f>IF(C13="","",SUMIFS('JOBS'!$L$5:$L$1504,'JOBS'!$D$5:$D$1504,C13,'JOBS'!$O$5:$O$1504,"Completed"))</f>
        <v/>
      </c>
      <c r="J13" s="51">
        <f>IF(A13="","",DATE(YEAR(A13),MONTH(A13),1))</f>
        <v/>
      </c>
    </row>
    <row r="14">
      <c r="A14" s="47" t="n"/>
      <c r="B14" s="38" t="n"/>
      <c r="C14" s="38" t="n"/>
      <c r="D14" s="38" t="n"/>
      <c r="E14" s="38" t="n"/>
      <c r="F14" s="38" t="n"/>
      <c r="G14" s="38" t="n"/>
      <c r="H14" s="38" t="n"/>
      <c r="I14" s="54">
        <f>IF(C14="","",SUMIFS('JOBS'!$L$5:$L$1504,'JOBS'!$D$5:$D$1504,C14,'JOBS'!$O$5:$O$1504,"Completed"))</f>
        <v/>
      </c>
      <c r="J14" s="51">
        <f>IF(A14="","",DATE(YEAR(A14),MONTH(A14),1))</f>
        <v/>
      </c>
    </row>
    <row r="15">
      <c r="A15" s="47" t="n"/>
      <c r="B15" s="38" t="n"/>
      <c r="C15" s="38" t="n"/>
      <c r="D15" s="38" t="n"/>
      <c r="E15" s="38" t="n"/>
      <c r="F15" s="38" t="n"/>
      <c r="G15" s="38" t="n"/>
      <c r="H15" s="38" t="n"/>
      <c r="I15" s="54">
        <f>IF(C15="","",SUMIFS('JOBS'!$L$5:$L$1504,'JOBS'!$D$5:$D$1504,C15,'JOBS'!$O$5:$O$1504,"Completed"))</f>
        <v/>
      </c>
      <c r="J15" s="51">
        <f>IF(A15="","",DATE(YEAR(A15),MONTH(A15),1))</f>
        <v/>
      </c>
    </row>
    <row r="16">
      <c r="A16" s="47" t="n"/>
      <c r="B16" s="38" t="n"/>
      <c r="C16" s="38" t="n"/>
      <c r="D16" s="38" t="n"/>
      <c r="E16" s="38" t="n"/>
      <c r="F16" s="38" t="n"/>
      <c r="G16" s="38" t="n"/>
      <c r="H16" s="38" t="n"/>
      <c r="I16" s="54">
        <f>IF(C16="","",SUMIFS('JOBS'!$L$5:$L$1504,'JOBS'!$D$5:$D$1504,C16,'JOBS'!$O$5:$O$1504,"Completed"))</f>
        <v/>
      </c>
      <c r="J16" s="51">
        <f>IF(A16="","",DATE(YEAR(A16),MONTH(A16),1))</f>
        <v/>
      </c>
    </row>
    <row r="17">
      <c r="A17" s="47" t="n"/>
      <c r="B17" s="38" t="n"/>
      <c r="C17" s="38" t="n"/>
      <c r="D17" s="38" t="n"/>
      <c r="E17" s="38" t="n"/>
      <c r="F17" s="38" t="n"/>
      <c r="G17" s="38" t="n"/>
      <c r="H17" s="38" t="n"/>
      <c r="I17" s="54">
        <f>IF(C17="","",SUMIFS('JOBS'!$L$5:$L$1504,'JOBS'!$D$5:$D$1504,C17,'JOBS'!$O$5:$O$1504,"Completed"))</f>
        <v/>
      </c>
      <c r="J17" s="51">
        <f>IF(A17="","",DATE(YEAR(A17),MONTH(A17),1))</f>
        <v/>
      </c>
    </row>
    <row r="18">
      <c r="A18" s="47" t="n"/>
      <c r="B18" s="38" t="n"/>
      <c r="C18" s="38" t="n"/>
      <c r="D18" s="38" t="n"/>
      <c r="E18" s="38" t="n"/>
      <c r="F18" s="38" t="n"/>
      <c r="G18" s="38" t="n"/>
      <c r="H18" s="38" t="n"/>
      <c r="I18" s="54">
        <f>IF(C18="","",SUMIFS('JOBS'!$L$5:$L$1504,'JOBS'!$D$5:$D$1504,C18,'JOBS'!$O$5:$O$1504,"Completed"))</f>
        <v/>
      </c>
      <c r="J18" s="51">
        <f>IF(A18="","",DATE(YEAR(A18),MONTH(A18),1))</f>
        <v/>
      </c>
    </row>
    <row r="19">
      <c r="A19" s="47" t="n"/>
      <c r="B19" s="38" t="n"/>
      <c r="C19" s="38" t="n"/>
      <c r="D19" s="38" t="n"/>
      <c r="E19" s="38" t="n"/>
      <c r="F19" s="38" t="n"/>
      <c r="G19" s="38" t="n"/>
      <c r="H19" s="38" t="n"/>
      <c r="I19" s="54">
        <f>IF(C19="","",SUMIFS('JOBS'!$L$5:$L$1504,'JOBS'!$D$5:$D$1504,C19,'JOBS'!$O$5:$O$1504,"Completed"))</f>
        <v/>
      </c>
      <c r="J19" s="51">
        <f>IF(A19="","",DATE(YEAR(A19),MONTH(A19),1))</f>
        <v/>
      </c>
    </row>
    <row r="20">
      <c r="A20" s="47" t="n"/>
      <c r="B20" s="38" t="n"/>
      <c r="C20" s="38" t="n"/>
      <c r="D20" s="38" t="n"/>
      <c r="E20" s="38" t="n"/>
      <c r="F20" s="38" t="n"/>
      <c r="G20" s="38" t="n"/>
      <c r="H20" s="38" t="n"/>
      <c r="I20" s="54">
        <f>IF(C20="","",SUMIFS('JOBS'!$L$5:$L$1504,'JOBS'!$D$5:$D$1504,C20,'JOBS'!$O$5:$O$1504,"Completed"))</f>
        <v/>
      </c>
      <c r="J20" s="51">
        <f>IF(A20="","",DATE(YEAR(A20),MONTH(A20),1))</f>
        <v/>
      </c>
    </row>
    <row r="21">
      <c r="A21" s="47" t="n"/>
      <c r="B21" s="38" t="n"/>
      <c r="C21" s="38" t="n"/>
      <c r="D21" s="38" t="n"/>
      <c r="E21" s="38" t="n"/>
      <c r="F21" s="38" t="n"/>
      <c r="G21" s="38" t="n"/>
      <c r="H21" s="38" t="n"/>
      <c r="I21" s="54">
        <f>IF(C21="","",SUMIFS('JOBS'!$L$5:$L$1504,'JOBS'!$D$5:$D$1504,C21,'JOBS'!$O$5:$O$1504,"Completed"))</f>
        <v/>
      </c>
      <c r="J21" s="51">
        <f>IF(A21="","",DATE(YEAR(A21),MONTH(A21),1))</f>
        <v/>
      </c>
    </row>
    <row r="22">
      <c r="A22" s="47" t="n"/>
      <c r="B22" s="38" t="n"/>
      <c r="C22" s="38" t="n"/>
      <c r="D22" s="38" t="n"/>
      <c r="E22" s="38" t="n"/>
      <c r="F22" s="38" t="n"/>
      <c r="G22" s="38" t="n"/>
      <c r="H22" s="38" t="n"/>
      <c r="I22" s="54">
        <f>IF(C22="","",SUMIFS('JOBS'!$L$5:$L$1504,'JOBS'!$D$5:$D$1504,C22,'JOBS'!$O$5:$O$1504,"Completed"))</f>
        <v/>
      </c>
      <c r="J22" s="51">
        <f>IF(A22="","",DATE(YEAR(A22),MONTH(A22),1))</f>
        <v/>
      </c>
    </row>
    <row r="23">
      <c r="A23" s="47" t="n"/>
      <c r="B23" s="38" t="n"/>
      <c r="C23" s="38" t="n"/>
      <c r="D23" s="38" t="n"/>
      <c r="E23" s="38" t="n"/>
      <c r="F23" s="38" t="n"/>
      <c r="G23" s="38" t="n"/>
      <c r="H23" s="38" t="n"/>
      <c r="I23" s="54">
        <f>IF(C23="","",SUMIFS('JOBS'!$L$5:$L$1504,'JOBS'!$D$5:$D$1504,C23,'JOBS'!$O$5:$O$1504,"Completed"))</f>
        <v/>
      </c>
      <c r="J23" s="51">
        <f>IF(A23="","",DATE(YEAR(A23),MONTH(A23),1))</f>
        <v/>
      </c>
    </row>
    <row r="24">
      <c r="A24" s="47" t="n"/>
      <c r="B24" s="38" t="n"/>
      <c r="C24" s="38" t="n"/>
      <c r="D24" s="38" t="n"/>
      <c r="E24" s="38" t="n"/>
      <c r="F24" s="38" t="n"/>
      <c r="G24" s="38" t="n"/>
      <c r="H24" s="38" t="n"/>
      <c r="I24" s="54">
        <f>IF(C24="","",SUMIFS('JOBS'!$L$5:$L$1504,'JOBS'!$D$5:$D$1504,C24,'JOBS'!$O$5:$O$1504,"Completed"))</f>
        <v/>
      </c>
      <c r="J24" s="51">
        <f>IF(A24="","",DATE(YEAR(A24),MONTH(A24),1))</f>
        <v/>
      </c>
    </row>
    <row r="25">
      <c r="A25" s="47" t="n"/>
      <c r="B25" s="38" t="n"/>
      <c r="C25" s="38" t="n"/>
      <c r="D25" s="38" t="n"/>
      <c r="E25" s="38" t="n"/>
      <c r="F25" s="38" t="n"/>
      <c r="G25" s="38" t="n"/>
      <c r="H25" s="38" t="n"/>
      <c r="I25" s="54">
        <f>IF(C25="","",SUMIFS('JOBS'!$L$5:$L$1504,'JOBS'!$D$5:$D$1504,C25,'JOBS'!$O$5:$O$1504,"Completed"))</f>
        <v/>
      </c>
      <c r="J25" s="51">
        <f>IF(A25="","",DATE(YEAR(A25),MONTH(A25),1))</f>
        <v/>
      </c>
    </row>
    <row r="26">
      <c r="A26" s="47" t="n"/>
      <c r="B26" s="38" t="n"/>
      <c r="C26" s="38" t="n"/>
      <c r="D26" s="38" t="n"/>
      <c r="E26" s="38" t="n"/>
      <c r="F26" s="38" t="n"/>
      <c r="G26" s="38" t="n"/>
      <c r="H26" s="38" t="n"/>
      <c r="I26" s="54">
        <f>IF(C26="","",SUMIFS('JOBS'!$L$5:$L$1504,'JOBS'!$D$5:$D$1504,C26,'JOBS'!$O$5:$O$1504,"Completed"))</f>
        <v/>
      </c>
      <c r="J26" s="51">
        <f>IF(A26="","",DATE(YEAR(A26),MONTH(A26),1))</f>
        <v/>
      </c>
    </row>
    <row r="27">
      <c r="A27" s="47" t="n"/>
      <c r="B27" s="38" t="n"/>
      <c r="C27" s="38" t="n"/>
      <c r="D27" s="38" t="n"/>
      <c r="E27" s="38" t="n"/>
      <c r="F27" s="38" t="n"/>
      <c r="G27" s="38" t="n"/>
      <c r="H27" s="38" t="n"/>
      <c r="I27" s="54">
        <f>IF(C27="","",SUMIFS('JOBS'!$L$5:$L$1504,'JOBS'!$D$5:$D$1504,C27,'JOBS'!$O$5:$O$1504,"Completed"))</f>
        <v/>
      </c>
      <c r="J27" s="51">
        <f>IF(A27="","",DATE(YEAR(A27),MONTH(A27),1))</f>
        <v/>
      </c>
    </row>
    <row r="28">
      <c r="A28" s="47" t="n"/>
      <c r="B28" s="38" t="n"/>
      <c r="C28" s="38" t="n"/>
      <c r="D28" s="38" t="n"/>
      <c r="E28" s="38" t="n"/>
      <c r="F28" s="38" t="n"/>
      <c r="G28" s="38" t="n"/>
      <c r="H28" s="38" t="n"/>
      <c r="I28" s="54">
        <f>IF(C28="","",SUMIFS('JOBS'!$L$5:$L$1504,'JOBS'!$D$5:$D$1504,C28,'JOBS'!$O$5:$O$1504,"Completed"))</f>
        <v/>
      </c>
      <c r="J28" s="51">
        <f>IF(A28="","",DATE(YEAR(A28),MONTH(A28),1))</f>
        <v/>
      </c>
    </row>
    <row r="29">
      <c r="A29" s="47" t="n"/>
      <c r="B29" s="38" t="n"/>
      <c r="C29" s="38" t="n"/>
      <c r="D29" s="38" t="n"/>
      <c r="E29" s="38" t="n"/>
      <c r="F29" s="38" t="n"/>
      <c r="G29" s="38" t="n"/>
      <c r="H29" s="38" t="n"/>
      <c r="I29" s="54">
        <f>IF(C29="","",SUMIFS('JOBS'!$L$5:$L$1504,'JOBS'!$D$5:$D$1504,C29,'JOBS'!$O$5:$O$1504,"Completed"))</f>
        <v/>
      </c>
      <c r="J29" s="51">
        <f>IF(A29="","",DATE(YEAR(A29),MONTH(A29),1))</f>
        <v/>
      </c>
    </row>
    <row r="30">
      <c r="A30" s="47" t="n"/>
      <c r="B30" s="38" t="n"/>
      <c r="C30" s="38" t="n"/>
      <c r="D30" s="38" t="n"/>
      <c r="E30" s="38" t="n"/>
      <c r="F30" s="38" t="n"/>
      <c r="G30" s="38" t="n"/>
      <c r="H30" s="38" t="n"/>
      <c r="I30" s="54">
        <f>IF(C30="","",SUMIFS('JOBS'!$L$5:$L$1504,'JOBS'!$D$5:$D$1504,C30,'JOBS'!$O$5:$O$1504,"Completed"))</f>
        <v/>
      </c>
      <c r="J30" s="51">
        <f>IF(A30="","",DATE(YEAR(A30),MONTH(A30),1))</f>
        <v/>
      </c>
    </row>
    <row r="31">
      <c r="A31" s="47" t="n"/>
      <c r="B31" s="38" t="n"/>
      <c r="C31" s="38" t="n"/>
      <c r="D31" s="38" t="n"/>
      <c r="E31" s="38" t="n"/>
      <c r="F31" s="38" t="n"/>
      <c r="G31" s="38" t="n"/>
      <c r="H31" s="38" t="n"/>
      <c r="I31" s="54">
        <f>IF(C31="","",SUMIFS('JOBS'!$L$5:$L$1504,'JOBS'!$D$5:$D$1504,C31,'JOBS'!$O$5:$O$1504,"Completed"))</f>
        <v/>
      </c>
      <c r="J31" s="51">
        <f>IF(A31="","",DATE(YEAR(A31),MONTH(A31),1))</f>
        <v/>
      </c>
    </row>
    <row r="32">
      <c r="A32" s="47" t="n"/>
      <c r="B32" s="38" t="n"/>
      <c r="C32" s="38" t="n"/>
      <c r="D32" s="38" t="n"/>
      <c r="E32" s="38" t="n"/>
      <c r="F32" s="38" t="n"/>
      <c r="G32" s="38" t="n"/>
      <c r="H32" s="38" t="n"/>
      <c r="I32" s="54">
        <f>IF(C32="","",SUMIFS('JOBS'!$L$5:$L$1504,'JOBS'!$D$5:$D$1504,C32,'JOBS'!$O$5:$O$1504,"Completed"))</f>
        <v/>
      </c>
      <c r="J32" s="51">
        <f>IF(A32="","",DATE(YEAR(A32),MONTH(A32),1))</f>
        <v/>
      </c>
    </row>
    <row r="33">
      <c r="A33" s="47" t="n"/>
      <c r="B33" s="38" t="n"/>
      <c r="C33" s="38" t="n"/>
      <c r="D33" s="38" t="n"/>
      <c r="E33" s="38" t="n"/>
      <c r="F33" s="38" t="n"/>
      <c r="G33" s="38" t="n"/>
      <c r="H33" s="38" t="n"/>
      <c r="I33" s="54">
        <f>IF(C33="","",SUMIFS('JOBS'!$L$5:$L$1504,'JOBS'!$D$5:$D$1504,C33,'JOBS'!$O$5:$O$1504,"Completed"))</f>
        <v/>
      </c>
      <c r="J33" s="51">
        <f>IF(A33="","",DATE(YEAR(A33),MONTH(A33),1))</f>
        <v/>
      </c>
    </row>
    <row r="34">
      <c r="A34" s="47" t="n"/>
      <c r="B34" s="38" t="n"/>
      <c r="C34" s="38" t="n"/>
      <c r="D34" s="38" t="n"/>
      <c r="E34" s="38" t="n"/>
      <c r="F34" s="38" t="n"/>
      <c r="G34" s="38" t="n"/>
      <c r="H34" s="38" t="n"/>
      <c r="I34" s="54">
        <f>IF(C34="","",SUMIFS('JOBS'!$L$5:$L$1504,'JOBS'!$D$5:$D$1504,C34,'JOBS'!$O$5:$O$1504,"Completed"))</f>
        <v/>
      </c>
      <c r="J34" s="51">
        <f>IF(A34="","",DATE(YEAR(A34),MONTH(A34),1))</f>
        <v/>
      </c>
    </row>
    <row r="35">
      <c r="A35" s="47" t="n"/>
      <c r="B35" s="38" t="n"/>
      <c r="C35" s="38" t="n"/>
      <c r="D35" s="38" t="n"/>
      <c r="E35" s="38" t="n"/>
      <c r="F35" s="38" t="n"/>
      <c r="G35" s="38" t="n"/>
      <c r="H35" s="38" t="n"/>
      <c r="I35" s="54">
        <f>IF(C35="","",SUMIFS('JOBS'!$L$5:$L$1504,'JOBS'!$D$5:$D$1504,C35,'JOBS'!$O$5:$O$1504,"Completed"))</f>
        <v/>
      </c>
      <c r="J35" s="51">
        <f>IF(A35="","",DATE(YEAR(A35),MONTH(A35),1))</f>
        <v/>
      </c>
    </row>
    <row r="36">
      <c r="A36" s="47" t="n"/>
      <c r="B36" s="38" t="n"/>
      <c r="C36" s="38" t="n"/>
      <c r="D36" s="38" t="n"/>
      <c r="E36" s="38" t="n"/>
      <c r="F36" s="38" t="n"/>
      <c r="G36" s="38" t="n"/>
      <c r="H36" s="38" t="n"/>
      <c r="I36" s="54">
        <f>IF(C36="","",SUMIFS('JOBS'!$L$5:$L$1504,'JOBS'!$D$5:$D$1504,C36,'JOBS'!$O$5:$O$1504,"Completed"))</f>
        <v/>
      </c>
      <c r="J36" s="51">
        <f>IF(A36="","",DATE(YEAR(A36),MONTH(A36),1))</f>
        <v/>
      </c>
    </row>
    <row r="37">
      <c r="A37" s="47" t="n"/>
      <c r="B37" s="38" t="n"/>
      <c r="C37" s="38" t="n"/>
      <c r="D37" s="38" t="n"/>
      <c r="E37" s="38" t="n"/>
      <c r="F37" s="38" t="n"/>
      <c r="G37" s="38" t="n"/>
      <c r="H37" s="38" t="n"/>
      <c r="I37" s="54">
        <f>IF(C37="","",SUMIFS('JOBS'!$L$5:$L$1504,'JOBS'!$D$5:$D$1504,C37,'JOBS'!$O$5:$O$1504,"Completed"))</f>
        <v/>
      </c>
      <c r="J37" s="51">
        <f>IF(A37="","",DATE(YEAR(A37),MONTH(A37),1))</f>
        <v/>
      </c>
    </row>
    <row r="38">
      <c r="A38" s="47" t="n"/>
      <c r="B38" s="38" t="n"/>
      <c r="C38" s="38" t="n"/>
      <c r="D38" s="38" t="n"/>
      <c r="E38" s="38" t="n"/>
      <c r="F38" s="38" t="n"/>
      <c r="G38" s="38" t="n"/>
      <c r="H38" s="38" t="n"/>
      <c r="I38" s="54">
        <f>IF(C38="","",SUMIFS('JOBS'!$L$5:$L$1504,'JOBS'!$D$5:$D$1504,C38,'JOBS'!$O$5:$O$1504,"Completed"))</f>
        <v/>
      </c>
      <c r="J38" s="51">
        <f>IF(A38="","",DATE(YEAR(A38),MONTH(A38),1))</f>
        <v/>
      </c>
    </row>
    <row r="39">
      <c r="A39" s="47" t="n"/>
      <c r="B39" s="38" t="n"/>
      <c r="C39" s="38" t="n"/>
      <c r="D39" s="38" t="n"/>
      <c r="E39" s="38" t="n"/>
      <c r="F39" s="38" t="n"/>
      <c r="G39" s="38" t="n"/>
      <c r="H39" s="38" t="n"/>
      <c r="I39" s="54">
        <f>IF(C39="","",SUMIFS('JOBS'!$L$5:$L$1504,'JOBS'!$D$5:$D$1504,C39,'JOBS'!$O$5:$O$1504,"Completed"))</f>
        <v/>
      </c>
      <c r="J39" s="51">
        <f>IF(A39="","",DATE(YEAR(A39),MONTH(A39),1))</f>
        <v/>
      </c>
    </row>
    <row r="40">
      <c r="A40" s="47" t="n"/>
      <c r="B40" s="38" t="n"/>
      <c r="C40" s="38" t="n"/>
      <c r="D40" s="38" t="n"/>
      <c r="E40" s="38" t="n"/>
      <c r="F40" s="38" t="n"/>
      <c r="G40" s="38" t="n"/>
      <c r="H40" s="38" t="n"/>
      <c r="I40" s="54">
        <f>IF(C40="","",SUMIFS('JOBS'!$L$5:$L$1504,'JOBS'!$D$5:$D$1504,C40,'JOBS'!$O$5:$O$1504,"Completed"))</f>
        <v/>
      </c>
      <c r="J40" s="51">
        <f>IF(A40="","",DATE(YEAR(A40),MONTH(A40),1))</f>
        <v/>
      </c>
    </row>
    <row r="41">
      <c r="A41" s="47" t="n"/>
      <c r="B41" s="38" t="n"/>
      <c r="C41" s="38" t="n"/>
      <c r="D41" s="38" t="n"/>
      <c r="E41" s="38" t="n"/>
      <c r="F41" s="38" t="n"/>
      <c r="G41" s="38" t="n"/>
      <c r="H41" s="38" t="n"/>
      <c r="I41" s="54">
        <f>IF(C41="","",SUMIFS('JOBS'!$L$5:$L$1504,'JOBS'!$D$5:$D$1504,C41,'JOBS'!$O$5:$O$1504,"Completed"))</f>
        <v/>
      </c>
      <c r="J41" s="51">
        <f>IF(A41="","",DATE(YEAR(A41),MONTH(A41),1))</f>
        <v/>
      </c>
    </row>
    <row r="42">
      <c r="A42" s="47" t="n"/>
      <c r="B42" s="38" t="n"/>
      <c r="C42" s="38" t="n"/>
      <c r="D42" s="38" t="n"/>
      <c r="E42" s="38" t="n"/>
      <c r="F42" s="38" t="n"/>
      <c r="G42" s="38" t="n"/>
      <c r="H42" s="38" t="n"/>
      <c r="I42" s="54">
        <f>IF(C42="","",SUMIFS('JOBS'!$L$5:$L$1504,'JOBS'!$D$5:$D$1504,C42,'JOBS'!$O$5:$O$1504,"Completed"))</f>
        <v/>
      </c>
      <c r="J42" s="51">
        <f>IF(A42="","",DATE(YEAR(A42),MONTH(A42),1))</f>
        <v/>
      </c>
    </row>
    <row r="43">
      <c r="A43" s="47" t="n"/>
      <c r="B43" s="38" t="n"/>
      <c r="C43" s="38" t="n"/>
      <c r="D43" s="38" t="n"/>
      <c r="E43" s="38" t="n"/>
      <c r="F43" s="38" t="n"/>
      <c r="G43" s="38" t="n"/>
      <c r="H43" s="38" t="n"/>
      <c r="I43" s="54">
        <f>IF(C43="","",SUMIFS('JOBS'!$L$5:$L$1504,'JOBS'!$D$5:$D$1504,C43,'JOBS'!$O$5:$O$1504,"Completed"))</f>
        <v/>
      </c>
      <c r="J43" s="51">
        <f>IF(A43="","",DATE(YEAR(A43),MONTH(A43),1))</f>
        <v/>
      </c>
    </row>
    <row r="44">
      <c r="A44" s="47" t="n"/>
      <c r="B44" s="38" t="n"/>
      <c r="C44" s="38" t="n"/>
      <c r="D44" s="38" t="n"/>
      <c r="E44" s="38" t="n"/>
      <c r="F44" s="38" t="n"/>
      <c r="G44" s="38" t="n"/>
      <c r="H44" s="38" t="n"/>
      <c r="I44" s="54">
        <f>IF(C44="","",SUMIFS('JOBS'!$L$5:$L$1504,'JOBS'!$D$5:$D$1504,C44,'JOBS'!$O$5:$O$1504,"Completed"))</f>
        <v/>
      </c>
      <c r="J44" s="51">
        <f>IF(A44="","",DATE(YEAR(A44),MONTH(A44),1))</f>
        <v/>
      </c>
    </row>
    <row r="45">
      <c r="A45" s="47" t="n"/>
      <c r="B45" s="38" t="n"/>
      <c r="C45" s="38" t="n"/>
      <c r="D45" s="38" t="n"/>
      <c r="E45" s="38" t="n"/>
      <c r="F45" s="38" t="n"/>
      <c r="G45" s="38" t="n"/>
      <c r="H45" s="38" t="n"/>
      <c r="I45" s="54">
        <f>IF(C45="","",SUMIFS('JOBS'!$L$5:$L$1504,'JOBS'!$D$5:$D$1504,C45,'JOBS'!$O$5:$O$1504,"Completed"))</f>
        <v/>
      </c>
      <c r="J45" s="51">
        <f>IF(A45="","",DATE(YEAR(A45),MONTH(A45),1))</f>
        <v/>
      </c>
    </row>
    <row r="46">
      <c r="A46" s="47" t="n"/>
      <c r="B46" s="38" t="n"/>
      <c r="C46" s="38" t="n"/>
      <c r="D46" s="38" t="n"/>
      <c r="E46" s="38" t="n"/>
      <c r="F46" s="38" t="n"/>
      <c r="G46" s="38" t="n"/>
      <c r="H46" s="38" t="n"/>
      <c r="I46" s="54">
        <f>IF(C46="","",SUMIFS('JOBS'!$L$5:$L$1504,'JOBS'!$D$5:$D$1504,C46,'JOBS'!$O$5:$O$1504,"Completed"))</f>
        <v/>
      </c>
      <c r="J46" s="51">
        <f>IF(A46="","",DATE(YEAR(A46),MONTH(A46),1))</f>
        <v/>
      </c>
    </row>
    <row r="47">
      <c r="A47" s="47" t="n"/>
      <c r="B47" s="38" t="n"/>
      <c r="C47" s="38" t="n"/>
      <c r="D47" s="38" t="n"/>
      <c r="E47" s="38" t="n"/>
      <c r="F47" s="38" t="n"/>
      <c r="G47" s="38" t="n"/>
      <c r="H47" s="38" t="n"/>
      <c r="I47" s="54">
        <f>IF(C47="","",SUMIFS('JOBS'!$L$5:$L$1504,'JOBS'!$D$5:$D$1504,C47,'JOBS'!$O$5:$O$1504,"Completed"))</f>
        <v/>
      </c>
      <c r="J47" s="51">
        <f>IF(A47="","",DATE(YEAR(A47),MONTH(A47),1))</f>
        <v/>
      </c>
    </row>
    <row r="48">
      <c r="A48" s="47" t="n"/>
      <c r="B48" s="38" t="n"/>
      <c r="C48" s="38" t="n"/>
      <c r="D48" s="38" t="n"/>
      <c r="E48" s="38" t="n"/>
      <c r="F48" s="38" t="n"/>
      <c r="G48" s="38" t="n"/>
      <c r="H48" s="38" t="n"/>
      <c r="I48" s="54">
        <f>IF(C48="","",SUMIFS('JOBS'!$L$5:$L$1504,'JOBS'!$D$5:$D$1504,C48,'JOBS'!$O$5:$O$1504,"Completed"))</f>
        <v/>
      </c>
      <c r="J48" s="51">
        <f>IF(A48="","",DATE(YEAR(A48),MONTH(A48),1))</f>
        <v/>
      </c>
    </row>
    <row r="49">
      <c r="A49" s="47" t="n"/>
      <c r="B49" s="38" t="n"/>
      <c r="C49" s="38" t="n"/>
      <c r="D49" s="38" t="n"/>
      <c r="E49" s="38" t="n"/>
      <c r="F49" s="38" t="n"/>
      <c r="G49" s="38" t="n"/>
      <c r="H49" s="38" t="n"/>
      <c r="I49" s="54">
        <f>IF(C49="","",SUMIFS('JOBS'!$L$5:$L$1504,'JOBS'!$D$5:$D$1504,C49,'JOBS'!$O$5:$O$1504,"Completed"))</f>
        <v/>
      </c>
      <c r="J49" s="51">
        <f>IF(A49="","",DATE(YEAR(A49),MONTH(A49),1))</f>
        <v/>
      </c>
    </row>
    <row r="50">
      <c r="A50" s="47" t="n"/>
      <c r="B50" s="38" t="n"/>
      <c r="C50" s="38" t="n"/>
      <c r="D50" s="38" t="n"/>
      <c r="E50" s="38" t="n"/>
      <c r="F50" s="38" t="n"/>
      <c r="G50" s="38" t="n"/>
      <c r="H50" s="38" t="n"/>
      <c r="I50" s="54">
        <f>IF(C50="","",SUMIFS('JOBS'!$L$5:$L$1504,'JOBS'!$D$5:$D$1504,C50,'JOBS'!$O$5:$O$1504,"Completed"))</f>
        <v/>
      </c>
      <c r="J50" s="51">
        <f>IF(A50="","",DATE(YEAR(A50),MONTH(A50),1))</f>
        <v/>
      </c>
    </row>
    <row r="51">
      <c r="A51" s="47" t="n"/>
      <c r="B51" s="38" t="n"/>
      <c r="C51" s="38" t="n"/>
      <c r="D51" s="38" t="n"/>
      <c r="E51" s="38" t="n"/>
      <c r="F51" s="38" t="n"/>
      <c r="G51" s="38" t="n"/>
      <c r="H51" s="38" t="n"/>
      <c r="I51" s="54">
        <f>IF(C51="","",SUMIFS('JOBS'!$L$5:$L$1504,'JOBS'!$D$5:$D$1504,C51,'JOBS'!$O$5:$O$1504,"Completed"))</f>
        <v/>
      </c>
      <c r="J51" s="51">
        <f>IF(A51="","",DATE(YEAR(A51),MONTH(A51),1))</f>
        <v/>
      </c>
    </row>
    <row r="52">
      <c r="A52" s="47" t="n"/>
      <c r="B52" s="38" t="n"/>
      <c r="C52" s="38" t="n"/>
      <c r="D52" s="38" t="n"/>
      <c r="E52" s="38" t="n"/>
      <c r="F52" s="38" t="n"/>
      <c r="G52" s="38" t="n"/>
      <c r="H52" s="38" t="n"/>
      <c r="I52" s="54">
        <f>IF(C52="","",SUMIFS('JOBS'!$L$5:$L$1504,'JOBS'!$D$5:$D$1504,C52,'JOBS'!$O$5:$O$1504,"Completed"))</f>
        <v/>
      </c>
      <c r="J52" s="51">
        <f>IF(A52="","",DATE(YEAR(A52),MONTH(A52),1))</f>
        <v/>
      </c>
    </row>
    <row r="53">
      <c r="A53" s="47" t="n"/>
      <c r="B53" s="38" t="n"/>
      <c r="C53" s="38" t="n"/>
      <c r="D53" s="38" t="n"/>
      <c r="E53" s="38" t="n"/>
      <c r="F53" s="38" t="n"/>
      <c r="G53" s="38" t="n"/>
      <c r="H53" s="38" t="n"/>
      <c r="I53" s="54">
        <f>IF(C53="","",SUMIFS('JOBS'!$L$5:$L$1504,'JOBS'!$D$5:$D$1504,C53,'JOBS'!$O$5:$O$1504,"Completed"))</f>
        <v/>
      </c>
      <c r="J53" s="51">
        <f>IF(A53="","",DATE(YEAR(A53),MONTH(A53),1))</f>
        <v/>
      </c>
    </row>
    <row r="54">
      <c r="A54" s="47" t="n"/>
      <c r="B54" s="38" t="n"/>
      <c r="C54" s="38" t="n"/>
      <c r="D54" s="38" t="n"/>
      <c r="E54" s="38" t="n"/>
      <c r="F54" s="38" t="n"/>
      <c r="G54" s="38" t="n"/>
      <c r="H54" s="38" t="n"/>
      <c r="I54" s="54">
        <f>IF(C54="","",SUMIFS('JOBS'!$L$5:$L$1504,'JOBS'!$D$5:$D$1504,C54,'JOBS'!$O$5:$O$1504,"Completed"))</f>
        <v/>
      </c>
      <c r="J54" s="51">
        <f>IF(A54="","",DATE(YEAR(A54),MONTH(A54),1))</f>
        <v/>
      </c>
    </row>
    <row r="55">
      <c r="A55" s="47" t="n"/>
      <c r="B55" s="38" t="n"/>
      <c r="C55" s="38" t="n"/>
      <c r="D55" s="38" t="n"/>
      <c r="E55" s="38" t="n"/>
      <c r="F55" s="38" t="n"/>
      <c r="G55" s="38" t="n"/>
      <c r="H55" s="38" t="n"/>
      <c r="I55" s="54">
        <f>IF(C55="","",SUMIFS('JOBS'!$L$5:$L$1504,'JOBS'!$D$5:$D$1504,C55,'JOBS'!$O$5:$O$1504,"Completed"))</f>
        <v/>
      </c>
      <c r="J55" s="51">
        <f>IF(A55="","",DATE(YEAR(A55),MONTH(A55),1))</f>
        <v/>
      </c>
    </row>
    <row r="56">
      <c r="A56" s="47" t="n"/>
      <c r="B56" s="38" t="n"/>
      <c r="C56" s="38" t="n"/>
      <c r="D56" s="38" t="n"/>
      <c r="E56" s="38" t="n"/>
      <c r="F56" s="38" t="n"/>
      <c r="G56" s="38" t="n"/>
      <c r="H56" s="38" t="n"/>
      <c r="I56" s="54">
        <f>IF(C56="","",SUMIFS('JOBS'!$L$5:$L$1504,'JOBS'!$D$5:$D$1504,C56,'JOBS'!$O$5:$O$1504,"Completed"))</f>
        <v/>
      </c>
      <c r="J56" s="51">
        <f>IF(A56="","",DATE(YEAR(A56),MONTH(A56),1))</f>
        <v/>
      </c>
    </row>
    <row r="57">
      <c r="A57" s="47" t="n"/>
      <c r="B57" s="38" t="n"/>
      <c r="C57" s="38" t="n"/>
      <c r="D57" s="38" t="n"/>
      <c r="E57" s="38" t="n"/>
      <c r="F57" s="38" t="n"/>
      <c r="G57" s="38" t="n"/>
      <c r="H57" s="38" t="n"/>
      <c r="I57" s="54">
        <f>IF(C57="","",SUMIFS('JOBS'!$L$5:$L$1504,'JOBS'!$D$5:$D$1504,C57,'JOBS'!$O$5:$O$1504,"Completed"))</f>
        <v/>
      </c>
      <c r="J57" s="51">
        <f>IF(A57="","",DATE(YEAR(A57),MONTH(A57),1))</f>
        <v/>
      </c>
    </row>
    <row r="58">
      <c r="A58" s="47" t="n"/>
      <c r="B58" s="38" t="n"/>
      <c r="C58" s="38" t="n"/>
      <c r="D58" s="38" t="n"/>
      <c r="E58" s="38" t="n"/>
      <c r="F58" s="38" t="n"/>
      <c r="G58" s="38" t="n"/>
      <c r="H58" s="38" t="n"/>
      <c r="I58" s="54">
        <f>IF(C58="","",SUMIFS('JOBS'!$L$5:$L$1504,'JOBS'!$D$5:$D$1504,C58,'JOBS'!$O$5:$O$1504,"Completed"))</f>
        <v/>
      </c>
      <c r="J58" s="51">
        <f>IF(A58="","",DATE(YEAR(A58),MONTH(A58),1))</f>
        <v/>
      </c>
    </row>
    <row r="59">
      <c r="A59" s="47" t="n"/>
      <c r="B59" s="38" t="n"/>
      <c r="C59" s="38" t="n"/>
      <c r="D59" s="38" t="n"/>
      <c r="E59" s="38" t="n"/>
      <c r="F59" s="38" t="n"/>
      <c r="G59" s="38" t="n"/>
      <c r="H59" s="38" t="n"/>
      <c r="I59" s="54">
        <f>IF(C59="","",SUMIFS('JOBS'!$L$5:$L$1504,'JOBS'!$D$5:$D$1504,C59,'JOBS'!$O$5:$O$1504,"Completed"))</f>
        <v/>
      </c>
      <c r="J59" s="51">
        <f>IF(A59="","",DATE(YEAR(A59),MONTH(A59),1))</f>
        <v/>
      </c>
    </row>
    <row r="60">
      <c r="A60" s="47" t="n"/>
      <c r="B60" s="38" t="n"/>
      <c r="C60" s="38" t="n"/>
      <c r="D60" s="38" t="n"/>
      <c r="E60" s="38" t="n"/>
      <c r="F60" s="38" t="n"/>
      <c r="G60" s="38" t="n"/>
      <c r="H60" s="38" t="n"/>
      <c r="I60" s="54">
        <f>IF(C60="","",SUMIFS('JOBS'!$L$5:$L$1504,'JOBS'!$D$5:$D$1504,C60,'JOBS'!$O$5:$O$1504,"Completed"))</f>
        <v/>
      </c>
      <c r="J60" s="51">
        <f>IF(A60="","",DATE(YEAR(A60),MONTH(A60),1))</f>
        <v/>
      </c>
    </row>
    <row r="61">
      <c r="A61" s="47" t="n"/>
      <c r="B61" s="38" t="n"/>
      <c r="C61" s="38" t="n"/>
      <c r="D61" s="38" t="n"/>
      <c r="E61" s="38" t="n"/>
      <c r="F61" s="38" t="n"/>
      <c r="G61" s="38" t="n"/>
      <c r="H61" s="38" t="n"/>
      <c r="I61" s="54">
        <f>IF(C61="","",SUMIFS('JOBS'!$L$5:$L$1504,'JOBS'!$D$5:$D$1504,C61,'JOBS'!$O$5:$O$1504,"Completed"))</f>
        <v/>
      </c>
      <c r="J61" s="51">
        <f>IF(A61="","",DATE(YEAR(A61),MONTH(A61),1))</f>
        <v/>
      </c>
    </row>
    <row r="62">
      <c r="A62" s="47" t="n"/>
      <c r="B62" s="38" t="n"/>
      <c r="C62" s="38" t="n"/>
      <c r="D62" s="38" t="n"/>
      <c r="E62" s="38" t="n"/>
      <c r="F62" s="38" t="n"/>
      <c r="G62" s="38" t="n"/>
      <c r="H62" s="38" t="n"/>
      <c r="I62" s="54">
        <f>IF(C62="","",SUMIFS('JOBS'!$L$5:$L$1504,'JOBS'!$D$5:$D$1504,C62,'JOBS'!$O$5:$O$1504,"Completed"))</f>
        <v/>
      </c>
      <c r="J62" s="51">
        <f>IF(A62="","",DATE(YEAR(A62),MONTH(A62),1))</f>
        <v/>
      </c>
    </row>
    <row r="63">
      <c r="A63" s="47" t="n"/>
      <c r="B63" s="38" t="n"/>
      <c r="C63" s="38" t="n"/>
      <c r="D63" s="38" t="n"/>
      <c r="E63" s="38" t="n"/>
      <c r="F63" s="38" t="n"/>
      <c r="G63" s="38" t="n"/>
      <c r="H63" s="38" t="n"/>
      <c r="I63" s="54">
        <f>IF(C63="","",SUMIFS('JOBS'!$L$5:$L$1504,'JOBS'!$D$5:$D$1504,C63,'JOBS'!$O$5:$O$1504,"Completed"))</f>
        <v/>
      </c>
      <c r="J63" s="51">
        <f>IF(A63="","",DATE(YEAR(A63),MONTH(A63),1))</f>
        <v/>
      </c>
    </row>
    <row r="64">
      <c r="A64" s="47" t="n"/>
      <c r="B64" s="38" t="n"/>
      <c r="C64" s="38" t="n"/>
      <c r="D64" s="38" t="n"/>
      <c r="E64" s="38" t="n"/>
      <c r="F64" s="38" t="n"/>
      <c r="G64" s="38" t="n"/>
      <c r="H64" s="38" t="n"/>
      <c r="I64" s="54">
        <f>IF(C64="","",SUMIFS('JOBS'!$L$5:$L$1504,'JOBS'!$D$5:$D$1504,C64,'JOBS'!$O$5:$O$1504,"Completed"))</f>
        <v/>
      </c>
      <c r="J64" s="51">
        <f>IF(A64="","",DATE(YEAR(A64),MONTH(A64),1))</f>
        <v/>
      </c>
    </row>
    <row r="65">
      <c r="A65" s="47" t="n"/>
      <c r="B65" s="38" t="n"/>
      <c r="C65" s="38" t="n"/>
      <c r="D65" s="38" t="n"/>
      <c r="E65" s="38" t="n"/>
      <c r="F65" s="38" t="n"/>
      <c r="G65" s="38" t="n"/>
      <c r="H65" s="38" t="n"/>
      <c r="I65" s="54">
        <f>IF(C65="","",SUMIFS('JOBS'!$L$5:$L$1504,'JOBS'!$D$5:$D$1504,C65,'JOBS'!$O$5:$O$1504,"Completed"))</f>
        <v/>
      </c>
      <c r="J65" s="51">
        <f>IF(A65="","",DATE(YEAR(A65),MONTH(A65),1))</f>
        <v/>
      </c>
    </row>
    <row r="66">
      <c r="A66" s="47" t="n"/>
      <c r="B66" s="38" t="n"/>
      <c r="C66" s="38" t="n"/>
      <c r="D66" s="38" t="n"/>
      <c r="E66" s="38" t="n"/>
      <c r="F66" s="38" t="n"/>
      <c r="G66" s="38" t="n"/>
      <c r="H66" s="38" t="n"/>
      <c r="I66" s="54">
        <f>IF(C66="","",SUMIFS('JOBS'!$L$5:$L$1504,'JOBS'!$D$5:$D$1504,C66,'JOBS'!$O$5:$O$1504,"Completed"))</f>
        <v/>
      </c>
      <c r="J66" s="51">
        <f>IF(A66="","",DATE(YEAR(A66),MONTH(A66),1))</f>
        <v/>
      </c>
    </row>
    <row r="67">
      <c r="A67" s="47" t="n"/>
      <c r="B67" s="38" t="n"/>
      <c r="C67" s="38" t="n"/>
      <c r="D67" s="38" t="n"/>
      <c r="E67" s="38" t="n"/>
      <c r="F67" s="38" t="n"/>
      <c r="G67" s="38" t="n"/>
      <c r="H67" s="38" t="n"/>
      <c r="I67" s="54">
        <f>IF(C67="","",SUMIFS('JOBS'!$L$5:$L$1504,'JOBS'!$D$5:$D$1504,C67,'JOBS'!$O$5:$O$1504,"Completed"))</f>
        <v/>
      </c>
      <c r="J67" s="51">
        <f>IF(A67="","",DATE(YEAR(A67),MONTH(A67),1))</f>
        <v/>
      </c>
    </row>
    <row r="68">
      <c r="A68" s="47" t="n"/>
      <c r="B68" s="38" t="n"/>
      <c r="C68" s="38" t="n"/>
      <c r="D68" s="38" t="n"/>
      <c r="E68" s="38" t="n"/>
      <c r="F68" s="38" t="n"/>
      <c r="G68" s="38" t="n"/>
      <c r="H68" s="38" t="n"/>
      <c r="I68" s="54">
        <f>IF(C68="","",SUMIFS('JOBS'!$L$5:$L$1504,'JOBS'!$D$5:$D$1504,C68,'JOBS'!$O$5:$O$1504,"Completed"))</f>
        <v/>
      </c>
      <c r="J68" s="51">
        <f>IF(A68="","",DATE(YEAR(A68),MONTH(A68),1))</f>
        <v/>
      </c>
    </row>
    <row r="69">
      <c r="A69" s="47" t="n"/>
      <c r="B69" s="38" t="n"/>
      <c r="C69" s="38" t="n"/>
      <c r="D69" s="38" t="n"/>
      <c r="E69" s="38" t="n"/>
      <c r="F69" s="38" t="n"/>
      <c r="G69" s="38" t="n"/>
      <c r="H69" s="38" t="n"/>
      <c r="I69" s="54">
        <f>IF(C69="","",SUMIFS('JOBS'!$L$5:$L$1504,'JOBS'!$D$5:$D$1504,C69,'JOBS'!$O$5:$O$1504,"Completed"))</f>
        <v/>
      </c>
      <c r="J69" s="51">
        <f>IF(A69="","",DATE(YEAR(A69),MONTH(A69),1))</f>
        <v/>
      </c>
    </row>
    <row r="70">
      <c r="A70" s="47" t="n"/>
      <c r="B70" s="38" t="n"/>
      <c r="C70" s="38" t="n"/>
      <c r="D70" s="38" t="n"/>
      <c r="E70" s="38" t="n"/>
      <c r="F70" s="38" t="n"/>
      <c r="G70" s="38" t="n"/>
      <c r="H70" s="38" t="n"/>
      <c r="I70" s="54">
        <f>IF(C70="","",SUMIFS('JOBS'!$L$5:$L$1504,'JOBS'!$D$5:$D$1504,C70,'JOBS'!$O$5:$O$1504,"Completed"))</f>
        <v/>
      </c>
      <c r="J70" s="51">
        <f>IF(A70="","",DATE(YEAR(A70),MONTH(A70),1))</f>
        <v/>
      </c>
    </row>
    <row r="71">
      <c r="A71" s="47" t="n"/>
      <c r="B71" s="38" t="n"/>
      <c r="C71" s="38" t="n"/>
      <c r="D71" s="38" t="n"/>
      <c r="E71" s="38" t="n"/>
      <c r="F71" s="38" t="n"/>
      <c r="G71" s="38" t="n"/>
      <c r="H71" s="38" t="n"/>
      <c r="I71" s="54">
        <f>IF(C71="","",SUMIFS('JOBS'!$L$5:$L$1504,'JOBS'!$D$5:$D$1504,C71,'JOBS'!$O$5:$O$1504,"Completed"))</f>
        <v/>
      </c>
      <c r="J71" s="51">
        <f>IF(A71="","",DATE(YEAR(A71),MONTH(A71),1))</f>
        <v/>
      </c>
    </row>
    <row r="72">
      <c r="A72" s="47" t="n"/>
      <c r="B72" s="38" t="n"/>
      <c r="C72" s="38" t="n"/>
      <c r="D72" s="38" t="n"/>
      <c r="E72" s="38" t="n"/>
      <c r="F72" s="38" t="n"/>
      <c r="G72" s="38" t="n"/>
      <c r="H72" s="38" t="n"/>
      <c r="I72" s="54">
        <f>IF(C72="","",SUMIFS('JOBS'!$L$5:$L$1504,'JOBS'!$D$5:$D$1504,C72,'JOBS'!$O$5:$O$1504,"Completed"))</f>
        <v/>
      </c>
      <c r="J72" s="51">
        <f>IF(A72="","",DATE(YEAR(A72),MONTH(A72),1))</f>
        <v/>
      </c>
    </row>
    <row r="73">
      <c r="A73" s="47" t="n"/>
      <c r="B73" s="38" t="n"/>
      <c r="C73" s="38" t="n"/>
      <c r="D73" s="38" t="n"/>
      <c r="E73" s="38" t="n"/>
      <c r="F73" s="38" t="n"/>
      <c r="G73" s="38" t="n"/>
      <c r="H73" s="38" t="n"/>
      <c r="I73" s="54">
        <f>IF(C73="","",SUMIFS('JOBS'!$L$5:$L$1504,'JOBS'!$D$5:$D$1504,C73,'JOBS'!$O$5:$O$1504,"Completed"))</f>
        <v/>
      </c>
      <c r="J73" s="51">
        <f>IF(A73="","",DATE(YEAR(A73),MONTH(A73),1))</f>
        <v/>
      </c>
    </row>
    <row r="74">
      <c r="A74" s="47" t="n"/>
      <c r="B74" s="38" t="n"/>
      <c r="C74" s="38" t="n"/>
      <c r="D74" s="38" t="n"/>
      <c r="E74" s="38" t="n"/>
      <c r="F74" s="38" t="n"/>
      <c r="G74" s="38" t="n"/>
      <c r="H74" s="38" t="n"/>
      <c r="I74" s="54">
        <f>IF(C74="","",SUMIFS('JOBS'!$L$5:$L$1504,'JOBS'!$D$5:$D$1504,C74,'JOBS'!$O$5:$O$1504,"Completed"))</f>
        <v/>
      </c>
      <c r="J74" s="51">
        <f>IF(A74="","",DATE(YEAR(A74),MONTH(A74),1))</f>
        <v/>
      </c>
    </row>
    <row r="75">
      <c r="A75" s="47" t="n"/>
      <c r="B75" s="38" t="n"/>
      <c r="C75" s="38" t="n"/>
      <c r="D75" s="38" t="n"/>
      <c r="E75" s="38" t="n"/>
      <c r="F75" s="38" t="n"/>
      <c r="G75" s="38" t="n"/>
      <c r="H75" s="38" t="n"/>
      <c r="I75" s="54">
        <f>IF(C75="","",SUMIFS('JOBS'!$L$5:$L$1504,'JOBS'!$D$5:$D$1504,C75,'JOBS'!$O$5:$O$1504,"Completed"))</f>
        <v/>
      </c>
      <c r="J75" s="51">
        <f>IF(A75="","",DATE(YEAR(A75),MONTH(A75),1))</f>
        <v/>
      </c>
    </row>
    <row r="76">
      <c r="A76" s="47" t="n"/>
      <c r="B76" s="38" t="n"/>
      <c r="C76" s="38" t="n"/>
      <c r="D76" s="38" t="n"/>
      <c r="E76" s="38" t="n"/>
      <c r="F76" s="38" t="n"/>
      <c r="G76" s="38" t="n"/>
      <c r="H76" s="38" t="n"/>
      <c r="I76" s="54">
        <f>IF(C76="","",SUMIFS('JOBS'!$L$5:$L$1504,'JOBS'!$D$5:$D$1504,C76,'JOBS'!$O$5:$O$1504,"Completed"))</f>
        <v/>
      </c>
      <c r="J76" s="51">
        <f>IF(A76="","",DATE(YEAR(A76),MONTH(A76),1))</f>
        <v/>
      </c>
    </row>
    <row r="77">
      <c r="A77" s="47" t="n"/>
      <c r="B77" s="38" t="n"/>
      <c r="C77" s="38" t="n"/>
      <c r="D77" s="38" t="n"/>
      <c r="E77" s="38" t="n"/>
      <c r="F77" s="38" t="n"/>
      <c r="G77" s="38" t="n"/>
      <c r="H77" s="38" t="n"/>
      <c r="I77" s="54">
        <f>IF(C77="","",SUMIFS('JOBS'!$L$5:$L$1504,'JOBS'!$D$5:$D$1504,C77,'JOBS'!$O$5:$O$1504,"Completed"))</f>
        <v/>
      </c>
      <c r="J77" s="51">
        <f>IF(A77="","",DATE(YEAR(A77),MONTH(A77),1))</f>
        <v/>
      </c>
    </row>
    <row r="78">
      <c r="A78" s="47" t="n"/>
      <c r="B78" s="38" t="n"/>
      <c r="C78" s="38" t="n"/>
      <c r="D78" s="38" t="n"/>
      <c r="E78" s="38" t="n"/>
      <c r="F78" s="38" t="n"/>
      <c r="G78" s="38" t="n"/>
      <c r="H78" s="38" t="n"/>
      <c r="I78" s="54">
        <f>IF(C78="","",SUMIFS('JOBS'!$L$5:$L$1504,'JOBS'!$D$5:$D$1504,C78,'JOBS'!$O$5:$O$1504,"Completed"))</f>
        <v/>
      </c>
      <c r="J78" s="51">
        <f>IF(A78="","",DATE(YEAR(A78),MONTH(A78),1))</f>
        <v/>
      </c>
    </row>
    <row r="79">
      <c r="A79" s="47" t="n"/>
      <c r="B79" s="38" t="n"/>
      <c r="C79" s="38" t="n"/>
      <c r="D79" s="38" t="n"/>
      <c r="E79" s="38" t="n"/>
      <c r="F79" s="38" t="n"/>
      <c r="G79" s="38" t="n"/>
      <c r="H79" s="38" t="n"/>
      <c r="I79" s="54">
        <f>IF(C79="","",SUMIFS('JOBS'!$L$5:$L$1504,'JOBS'!$D$5:$D$1504,C79,'JOBS'!$O$5:$O$1504,"Completed"))</f>
        <v/>
      </c>
      <c r="J79" s="51">
        <f>IF(A79="","",DATE(YEAR(A79),MONTH(A79),1))</f>
        <v/>
      </c>
    </row>
    <row r="80">
      <c r="A80" s="47" t="n"/>
      <c r="B80" s="38" t="n"/>
      <c r="C80" s="38" t="n"/>
      <c r="D80" s="38" t="n"/>
      <c r="E80" s="38" t="n"/>
      <c r="F80" s="38" t="n"/>
      <c r="G80" s="38" t="n"/>
      <c r="H80" s="38" t="n"/>
      <c r="I80" s="54">
        <f>IF(C80="","",SUMIFS('JOBS'!$L$5:$L$1504,'JOBS'!$D$5:$D$1504,C80,'JOBS'!$O$5:$O$1504,"Completed"))</f>
        <v/>
      </c>
      <c r="J80" s="51">
        <f>IF(A80="","",DATE(YEAR(A80),MONTH(A80),1))</f>
        <v/>
      </c>
    </row>
    <row r="81">
      <c r="A81" s="47" t="n"/>
      <c r="B81" s="38" t="n"/>
      <c r="C81" s="38" t="n"/>
      <c r="D81" s="38" t="n"/>
      <c r="E81" s="38" t="n"/>
      <c r="F81" s="38" t="n"/>
      <c r="G81" s="38" t="n"/>
      <c r="H81" s="38" t="n"/>
      <c r="I81" s="54">
        <f>IF(C81="","",SUMIFS('JOBS'!$L$5:$L$1504,'JOBS'!$D$5:$D$1504,C81,'JOBS'!$O$5:$O$1504,"Completed"))</f>
        <v/>
      </c>
      <c r="J81" s="51">
        <f>IF(A81="","",DATE(YEAR(A81),MONTH(A81),1))</f>
        <v/>
      </c>
    </row>
    <row r="82">
      <c r="A82" s="47" t="n"/>
      <c r="B82" s="38" t="n"/>
      <c r="C82" s="38" t="n"/>
      <c r="D82" s="38" t="n"/>
      <c r="E82" s="38" t="n"/>
      <c r="F82" s="38" t="n"/>
      <c r="G82" s="38" t="n"/>
      <c r="H82" s="38" t="n"/>
      <c r="I82" s="54">
        <f>IF(C82="","",SUMIFS('JOBS'!$L$5:$L$1504,'JOBS'!$D$5:$D$1504,C82,'JOBS'!$O$5:$O$1504,"Completed"))</f>
        <v/>
      </c>
      <c r="J82" s="51">
        <f>IF(A82="","",DATE(YEAR(A82),MONTH(A82),1))</f>
        <v/>
      </c>
    </row>
    <row r="83">
      <c r="A83" s="47" t="n"/>
      <c r="B83" s="38" t="n"/>
      <c r="C83" s="38" t="n"/>
      <c r="D83" s="38" t="n"/>
      <c r="E83" s="38" t="n"/>
      <c r="F83" s="38" t="n"/>
      <c r="G83" s="38" t="n"/>
      <c r="H83" s="38" t="n"/>
      <c r="I83" s="54">
        <f>IF(C83="","",SUMIFS('JOBS'!$L$5:$L$1504,'JOBS'!$D$5:$D$1504,C83,'JOBS'!$O$5:$O$1504,"Completed"))</f>
        <v/>
      </c>
      <c r="J83" s="51">
        <f>IF(A83="","",DATE(YEAR(A83),MONTH(A83),1))</f>
        <v/>
      </c>
    </row>
    <row r="84">
      <c r="A84" s="47" t="n"/>
      <c r="B84" s="38" t="n"/>
      <c r="C84" s="38" t="n"/>
      <c r="D84" s="38" t="n"/>
      <c r="E84" s="38" t="n"/>
      <c r="F84" s="38" t="n"/>
      <c r="G84" s="38" t="n"/>
      <c r="H84" s="38" t="n"/>
      <c r="I84" s="54">
        <f>IF(C84="","",SUMIFS('JOBS'!$L$5:$L$1504,'JOBS'!$D$5:$D$1504,C84,'JOBS'!$O$5:$O$1504,"Completed"))</f>
        <v/>
      </c>
      <c r="J84" s="51">
        <f>IF(A84="","",DATE(YEAR(A84),MONTH(A84),1))</f>
        <v/>
      </c>
    </row>
    <row r="85">
      <c r="A85" s="47" t="n"/>
      <c r="B85" s="38" t="n"/>
      <c r="C85" s="38" t="n"/>
      <c r="D85" s="38" t="n"/>
      <c r="E85" s="38" t="n"/>
      <c r="F85" s="38" t="n"/>
      <c r="G85" s="38" t="n"/>
      <c r="H85" s="38" t="n"/>
      <c r="I85" s="54">
        <f>IF(C85="","",SUMIFS('JOBS'!$L$5:$L$1504,'JOBS'!$D$5:$D$1504,C85,'JOBS'!$O$5:$O$1504,"Completed"))</f>
        <v/>
      </c>
      <c r="J85" s="51">
        <f>IF(A85="","",DATE(YEAR(A85),MONTH(A85),1))</f>
        <v/>
      </c>
    </row>
    <row r="86">
      <c r="A86" s="47" t="n"/>
      <c r="B86" s="38" t="n"/>
      <c r="C86" s="38" t="n"/>
      <c r="D86" s="38" t="n"/>
      <c r="E86" s="38" t="n"/>
      <c r="F86" s="38" t="n"/>
      <c r="G86" s="38" t="n"/>
      <c r="H86" s="38" t="n"/>
      <c r="I86" s="54">
        <f>IF(C86="","",SUMIFS('JOBS'!$L$5:$L$1504,'JOBS'!$D$5:$D$1504,C86,'JOBS'!$O$5:$O$1504,"Completed"))</f>
        <v/>
      </c>
      <c r="J86" s="51">
        <f>IF(A86="","",DATE(YEAR(A86),MONTH(A86),1))</f>
        <v/>
      </c>
    </row>
    <row r="87">
      <c r="A87" s="47" t="n"/>
      <c r="B87" s="38" t="n"/>
      <c r="C87" s="38" t="n"/>
      <c r="D87" s="38" t="n"/>
      <c r="E87" s="38" t="n"/>
      <c r="F87" s="38" t="n"/>
      <c r="G87" s="38" t="n"/>
      <c r="H87" s="38" t="n"/>
      <c r="I87" s="54">
        <f>IF(C87="","",SUMIFS('JOBS'!$L$5:$L$1504,'JOBS'!$D$5:$D$1504,C87,'JOBS'!$O$5:$O$1504,"Completed"))</f>
        <v/>
      </c>
      <c r="J87" s="51">
        <f>IF(A87="","",DATE(YEAR(A87),MONTH(A87),1))</f>
        <v/>
      </c>
    </row>
    <row r="88">
      <c r="A88" s="47" t="n"/>
      <c r="B88" s="38" t="n"/>
      <c r="C88" s="38" t="n"/>
      <c r="D88" s="38" t="n"/>
      <c r="E88" s="38" t="n"/>
      <c r="F88" s="38" t="n"/>
      <c r="G88" s="38" t="n"/>
      <c r="H88" s="38" t="n"/>
      <c r="I88" s="54">
        <f>IF(C88="","",SUMIFS('JOBS'!$L$5:$L$1504,'JOBS'!$D$5:$D$1504,C88,'JOBS'!$O$5:$O$1504,"Completed"))</f>
        <v/>
      </c>
      <c r="J88" s="51">
        <f>IF(A88="","",DATE(YEAR(A88),MONTH(A88),1))</f>
        <v/>
      </c>
    </row>
    <row r="89">
      <c r="A89" s="47" t="n"/>
      <c r="B89" s="38" t="n"/>
      <c r="C89" s="38" t="n"/>
      <c r="D89" s="38" t="n"/>
      <c r="E89" s="38" t="n"/>
      <c r="F89" s="38" t="n"/>
      <c r="G89" s="38" t="n"/>
      <c r="H89" s="38" t="n"/>
      <c r="I89" s="54">
        <f>IF(C89="","",SUMIFS('JOBS'!$L$5:$L$1504,'JOBS'!$D$5:$D$1504,C89,'JOBS'!$O$5:$O$1504,"Completed"))</f>
        <v/>
      </c>
      <c r="J89" s="51">
        <f>IF(A89="","",DATE(YEAR(A89),MONTH(A89),1))</f>
        <v/>
      </c>
    </row>
    <row r="90">
      <c r="A90" s="47" t="n"/>
      <c r="B90" s="38" t="n"/>
      <c r="C90" s="38" t="n"/>
      <c r="D90" s="38" t="n"/>
      <c r="E90" s="38" t="n"/>
      <c r="F90" s="38" t="n"/>
      <c r="G90" s="38" t="n"/>
      <c r="H90" s="38" t="n"/>
      <c r="I90" s="54">
        <f>IF(C90="","",SUMIFS('JOBS'!$L$5:$L$1504,'JOBS'!$D$5:$D$1504,C90,'JOBS'!$O$5:$O$1504,"Completed"))</f>
        <v/>
      </c>
      <c r="J90" s="51">
        <f>IF(A90="","",DATE(YEAR(A90),MONTH(A90),1))</f>
        <v/>
      </c>
    </row>
    <row r="91">
      <c r="A91" s="47" t="n"/>
      <c r="B91" s="38" t="n"/>
      <c r="C91" s="38" t="n"/>
      <c r="D91" s="38" t="n"/>
      <c r="E91" s="38" t="n"/>
      <c r="F91" s="38" t="n"/>
      <c r="G91" s="38" t="n"/>
      <c r="H91" s="38" t="n"/>
      <c r="I91" s="54">
        <f>IF(C91="","",SUMIFS('JOBS'!$L$5:$L$1504,'JOBS'!$D$5:$D$1504,C91,'JOBS'!$O$5:$O$1504,"Completed"))</f>
        <v/>
      </c>
      <c r="J91" s="51">
        <f>IF(A91="","",DATE(YEAR(A91),MONTH(A91),1))</f>
        <v/>
      </c>
    </row>
    <row r="92">
      <c r="A92" s="47" t="n"/>
      <c r="B92" s="38" t="n"/>
      <c r="C92" s="38" t="n"/>
      <c r="D92" s="38" t="n"/>
      <c r="E92" s="38" t="n"/>
      <c r="F92" s="38" t="n"/>
      <c r="G92" s="38" t="n"/>
      <c r="H92" s="38" t="n"/>
      <c r="I92" s="54">
        <f>IF(C92="","",SUMIFS('JOBS'!$L$5:$L$1504,'JOBS'!$D$5:$D$1504,C92,'JOBS'!$O$5:$O$1504,"Completed"))</f>
        <v/>
      </c>
      <c r="J92" s="51">
        <f>IF(A92="","",DATE(YEAR(A92),MONTH(A92),1))</f>
        <v/>
      </c>
    </row>
    <row r="93">
      <c r="A93" s="47" t="n"/>
      <c r="B93" s="38" t="n"/>
      <c r="C93" s="38" t="n"/>
      <c r="D93" s="38" t="n"/>
      <c r="E93" s="38" t="n"/>
      <c r="F93" s="38" t="n"/>
      <c r="G93" s="38" t="n"/>
      <c r="H93" s="38" t="n"/>
      <c r="I93" s="54">
        <f>IF(C93="","",SUMIFS('JOBS'!$L$5:$L$1504,'JOBS'!$D$5:$D$1504,C93,'JOBS'!$O$5:$O$1504,"Completed"))</f>
        <v/>
      </c>
      <c r="J93" s="51">
        <f>IF(A93="","",DATE(YEAR(A93),MONTH(A93),1))</f>
        <v/>
      </c>
    </row>
    <row r="94">
      <c r="A94" s="47" t="n"/>
      <c r="B94" s="38" t="n"/>
      <c r="C94" s="38" t="n"/>
      <c r="D94" s="38" t="n"/>
      <c r="E94" s="38" t="n"/>
      <c r="F94" s="38" t="n"/>
      <c r="G94" s="38" t="n"/>
      <c r="H94" s="38" t="n"/>
      <c r="I94" s="54">
        <f>IF(C94="","",SUMIFS('JOBS'!$L$5:$L$1504,'JOBS'!$D$5:$D$1504,C94,'JOBS'!$O$5:$O$1504,"Completed"))</f>
        <v/>
      </c>
      <c r="J94" s="51">
        <f>IF(A94="","",DATE(YEAR(A94),MONTH(A94),1))</f>
        <v/>
      </c>
    </row>
    <row r="95">
      <c r="A95" s="47" t="n"/>
      <c r="B95" s="38" t="n"/>
      <c r="C95" s="38" t="n"/>
      <c r="D95" s="38" t="n"/>
      <c r="E95" s="38" t="n"/>
      <c r="F95" s="38" t="n"/>
      <c r="G95" s="38" t="n"/>
      <c r="H95" s="38" t="n"/>
      <c r="I95" s="54">
        <f>IF(C95="","",SUMIFS('JOBS'!$L$5:$L$1504,'JOBS'!$D$5:$D$1504,C95,'JOBS'!$O$5:$O$1504,"Completed"))</f>
        <v/>
      </c>
      <c r="J95" s="51">
        <f>IF(A95="","",DATE(YEAR(A95),MONTH(A95),1))</f>
        <v/>
      </c>
    </row>
    <row r="96">
      <c r="A96" s="47" t="n"/>
      <c r="B96" s="38" t="n"/>
      <c r="C96" s="38" t="n"/>
      <c r="D96" s="38" t="n"/>
      <c r="E96" s="38" t="n"/>
      <c r="F96" s="38" t="n"/>
      <c r="G96" s="38" t="n"/>
      <c r="H96" s="38" t="n"/>
      <c r="I96" s="54">
        <f>IF(C96="","",SUMIFS('JOBS'!$L$5:$L$1504,'JOBS'!$D$5:$D$1504,C96,'JOBS'!$O$5:$O$1504,"Completed"))</f>
        <v/>
      </c>
      <c r="J96" s="51">
        <f>IF(A96="","",DATE(YEAR(A96),MONTH(A96),1))</f>
        <v/>
      </c>
    </row>
    <row r="97">
      <c r="A97" s="47" t="n"/>
      <c r="B97" s="38" t="n"/>
      <c r="C97" s="38" t="n"/>
      <c r="D97" s="38" t="n"/>
      <c r="E97" s="38" t="n"/>
      <c r="F97" s="38" t="n"/>
      <c r="G97" s="38" t="n"/>
      <c r="H97" s="38" t="n"/>
      <c r="I97" s="54">
        <f>IF(C97="","",SUMIFS('JOBS'!$L$5:$L$1504,'JOBS'!$D$5:$D$1504,C97,'JOBS'!$O$5:$O$1504,"Completed"))</f>
        <v/>
      </c>
      <c r="J97" s="51">
        <f>IF(A97="","",DATE(YEAR(A97),MONTH(A97),1))</f>
        <v/>
      </c>
    </row>
    <row r="98">
      <c r="A98" s="47" t="n"/>
      <c r="B98" s="38" t="n"/>
      <c r="C98" s="38" t="n"/>
      <c r="D98" s="38" t="n"/>
      <c r="E98" s="38" t="n"/>
      <c r="F98" s="38" t="n"/>
      <c r="G98" s="38" t="n"/>
      <c r="H98" s="38" t="n"/>
      <c r="I98" s="54">
        <f>IF(C98="","",SUMIFS('JOBS'!$L$5:$L$1504,'JOBS'!$D$5:$D$1504,C98,'JOBS'!$O$5:$O$1504,"Completed"))</f>
        <v/>
      </c>
      <c r="J98" s="51">
        <f>IF(A98="","",DATE(YEAR(A98),MONTH(A98),1))</f>
        <v/>
      </c>
    </row>
    <row r="99">
      <c r="A99" s="47" t="n"/>
      <c r="B99" s="38" t="n"/>
      <c r="C99" s="38" t="n"/>
      <c r="D99" s="38" t="n"/>
      <c r="E99" s="38" t="n"/>
      <c r="F99" s="38" t="n"/>
      <c r="G99" s="38" t="n"/>
      <c r="H99" s="38" t="n"/>
      <c r="I99" s="54">
        <f>IF(C99="","",SUMIFS('JOBS'!$L$5:$L$1504,'JOBS'!$D$5:$D$1504,C99,'JOBS'!$O$5:$O$1504,"Completed"))</f>
        <v/>
      </c>
      <c r="J99" s="51">
        <f>IF(A99="","",DATE(YEAR(A99),MONTH(A99),1))</f>
        <v/>
      </c>
    </row>
    <row r="100">
      <c r="A100" s="47" t="n"/>
      <c r="B100" s="38" t="n"/>
      <c r="C100" s="38" t="n"/>
      <c r="D100" s="38" t="n"/>
      <c r="E100" s="38" t="n"/>
      <c r="F100" s="38" t="n"/>
      <c r="G100" s="38" t="n"/>
      <c r="H100" s="38" t="n"/>
      <c r="I100" s="54">
        <f>IF(C100="","",SUMIFS('JOBS'!$L$5:$L$1504,'JOBS'!$D$5:$D$1504,C100,'JOBS'!$O$5:$O$1504,"Completed"))</f>
        <v/>
      </c>
      <c r="J100" s="51">
        <f>IF(A100="","",DATE(YEAR(A100),MONTH(A100),1))</f>
        <v/>
      </c>
    </row>
    <row r="101">
      <c r="A101" s="47" t="n"/>
      <c r="B101" s="38" t="n"/>
      <c r="C101" s="38" t="n"/>
      <c r="D101" s="38" t="n"/>
      <c r="E101" s="38" t="n"/>
      <c r="F101" s="38" t="n"/>
      <c r="G101" s="38" t="n"/>
      <c r="H101" s="38" t="n"/>
      <c r="I101" s="54">
        <f>IF(C101="","",SUMIFS('JOBS'!$L$5:$L$1504,'JOBS'!$D$5:$D$1504,C101,'JOBS'!$O$5:$O$1504,"Completed"))</f>
        <v/>
      </c>
      <c r="J101" s="51">
        <f>IF(A101="","",DATE(YEAR(A101),MONTH(A101),1))</f>
        <v/>
      </c>
    </row>
    <row r="102">
      <c r="A102" s="47" t="n"/>
      <c r="B102" s="38" t="n"/>
      <c r="C102" s="38" t="n"/>
      <c r="D102" s="38" t="n"/>
      <c r="E102" s="38" t="n"/>
      <c r="F102" s="38" t="n"/>
      <c r="G102" s="38" t="n"/>
      <c r="H102" s="38" t="n"/>
      <c r="I102" s="54">
        <f>IF(C102="","",SUMIFS('JOBS'!$L$5:$L$1504,'JOBS'!$D$5:$D$1504,C102,'JOBS'!$O$5:$O$1504,"Completed"))</f>
        <v/>
      </c>
      <c r="J102" s="51">
        <f>IF(A102="","",DATE(YEAR(A102),MONTH(A102),1))</f>
        <v/>
      </c>
    </row>
    <row r="103">
      <c r="A103" s="47" t="n"/>
      <c r="B103" s="38" t="n"/>
      <c r="C103" s="38" t="n"/>
      <c r="D103" s="38" t="n"/>
      <c r="E103" s="38" t="n"/>
      <c r="F103" s="38" t="n"/>
      <c r="G103" s="38" t="n"/>
      <c r="H103" s="38" t="n"/>
      <c r="I103" s="54">
        <f>IF(C103="","",SUMIFS('JOBS'!$L$5:$L$1504,'JOBS'!$D$5:$D$1504,C103,'JOBS'!$O$5:$O$1504,"Completed"))</f>
        <v/>
      </c>
      <c r="J103" s="51">
        <f>IF(A103="","",DATE(YEAR(A103),MONTH(A103),1))</f>
        <v/>
      </c>
    </row>
    <row r="104">
      <c r="A104" s="47" t="n"/>
      <c r="B104" s="38" t="n"/>
      <c r="C104" s="38" t="n"/>
      <c r="D104" s="38" t="n"/>
      <c r="E104" s="38" t="n"/>
      <c r="F104" s="38" t="n"/>
      <c r="G104" s="38" t="n"/>
      <c r="H104" s="38" t="n"/>
      <c r="I104" s="54">
        <f>IF(C104="","",SUMIFS('JOBS'!$L$5:$L$1504,'JOBS'!$D$5:$D$1504,C104,'JOBS'!$O$5:$O$1504,"Completed"))</f>
        <v/>
      </c>
      <c r="J104" s="51">
        <f>IF(A104="","",DATE(YEAR(A104),MONTH(A104),1))</f>
        <v/>
      </c>
    </row>
    <row r="105">
      <c r="A105" s="47" t="n"/>
      <c r="B105" s="38" t="n"/>
      <c r="C105" s="38" t="n"/>
      <c r="D105" s="38" t="n"/>
      <c r="E105" s="38" t="n"/>
      <c r="F105" s="38" t="n"/>
      <c r="G105" s="38" t="n"/>
      <c r="H105" s="38" t="n"/>
      <c r="I105" s="54">
        <f>IF(C105="","",SUMIFS('JOBS'!$L$5:$L$1504,'JOBS'!$D$5:$D$1504,C105,'JOBS'!$O$5:$O$1504,"Completed"))</f>
        <v/>
      </c>
      <c r="J105" s="51">
        <f>IF(A105="","",DATE(YEAR(A105),MONTH(A105),1))</f>
        <v/>
      </c>
    </row>
    <row r="106">
      <c r="A106" s="47" t="n"/>
      <c r="B106" s="38" t="n"/>
      <c r="C106" s="38" t="n"/>
      <c r="D106" s="38" t="n"/>
      <c r="E106" s="38" t="n"/>
      <c r="F106" s="38" t="n"/>
      <c r="G106" s="38" t="n"/>
      <c r="H106" s="38" t="n"/>
      <c r="I106" s="54">
        <f>IF(C106="","",SUMIFS('JOBS'!$L$5:$L$1504,'JOBS'!$D$5:$D$1504,C106,'JOBS'!$O$5:$O$1504,"Completed"))</f>
        <v/>
      </c>
      <c r="J106" s="51">
        <f>IF(A106="","",DATE(YEAR(A106),MONTH(A106),1))</f>
        <v/>
      </c>
    </row>
    <row r="107">
      <c r="A107" s="47" t="n"/>
      <c r="B107" s="38" t="n"/>
      <c r="C107" s="38" t="n"/>
      <c r="D107" s="38" t="n"/>
      <c r="E107" s="38" t="n"/>
      <c r="F107" s="38" t="n"/>
      <c r="G107" s="38" t="n"/>
      <c r="H107" s="38" t="n"/>
      <c r="I107" s="54">
        <f>IF(C107="","",SUMIFS('JOBS'!$L$5:$L$1504,'JOBS'!$D$5:$D$1504,C107,'JOBS'!$O$5:$O$1504,"Completed"))</f>
        <v/>
      </c>
      <c r="J107" s="51">
        <f>IF(A107="","",DATE(YEAR(A107),MONTH(A107),1))</f>
        <v/>
      </c>
    </row>
    <row r="108">
      <c r="A108" s="47" t="n"/>
      <c r="B108" s="38" t="n"/>
      <c r="C108" s="38" t="n"/>
      <c r="D108" s="38" t="n"/>
      <c r="E108" s="38" t="n"/>
      <c r="F108" s="38" t="n"/>
      <c r="G108" s="38" t="n"/>
      <c r="H108" s="38" t="n"/>
      <c r="I108" s="54">
        <f>IF(C108="","",SUMIFS('JOBS'!$L$5:$L$1504,'JOBS'!$D$5:$D$1504,C108,'JOBS'!$O$5:$O$1504,"Completed"))</f>
        <v/>
      </c>
      <c r="J108" s="51">
        <f>IF(A108="","",DATE(YEAR(A108),MONTH(A108),1))</f>
        <v/>
      </c>
    </row>
    <row r="109">
      <c r="A109" s="47" t="n"/>
      <c r="B109" s="38" t="n"/>
      <c r="C109" s="38" t="n"/>
      <c r="D109" s="38" t="n"/>
      <c r="E109" s="38" t="n"/>
      <c r="F109" s="38" t="n"/>
      <c r="G109" s="38" t="n"/>
      <c r="H109" s="38" t="n"/>
      <c r="I109" s="54">
        <f>IF(C109="","",SUMIFS('JOBS'!$L$5:$L$1504,'JOBS'!$D$5:$D$1504,C109,'JOBS'!$O$5:$O$1504,"Completed"))</f>
        <v/>
      </c>
      <c r="J109" s="51">
        <f>IF(A109="","",DATE(YEAR(A109),MONTH(A109),1))</f>
        <v/>
      </c>
    </row>
    <row r="110">
      <c r="A110" s="47" t="n"/>
      <c r="B110" s="38" t="n"/>
      <c r="C110" s="38" t="n"/>
      <c r="D110" s="38" t="n"/>
      <c r="E110" s="38" t="n"/>
      <c r="F110" s="38" t="n"/>
      <c r="G110" s="38" t="n"/>
      <c r="H110" s="38" t="n"/>
      <c r="I110" s="54">
        <f>IF(C110="","",SUMIFS('JOBS'!$L$5:$L$1504,'JOBS'!$D$5:$D$1504,C110,'JOBS'!$O$5:$O$1504,"Completed"))</f>
        <v/>
      </c>
      <c r="J110" s="51">
        <f>IF(A110="","",DATE(YEAR(A110),MONTH(A110),1))</f>
        <v/>
      </c>
    </row>
    <row r="111">
      <c r="A111" s="47" t="n"/>
      <c r="B111" s="38" t="n"/>
      <c r="C111" s="38" t="n"/>
      <c r="D111" s="38" t="n"/>
      <c r="E111" s="38" t="n"/>
      <c r="F111" s="38" t="n"/>
      <c r="G111" s="38" t="n"/>
      <c r="H111" s="38" t="n"/>
      <c r="I111" s="54">
        <f>IF(C111="","",SUMIFS('JOBS'!$L$5:$L$1504,'JOBS'!$D$5:$D$1504,C111,'JOBS'!$O$5:$O$1504,"Completed"))</f>
        <v/>
      </c>
      <c r="J111" s="51">
        <f>IF(A111="","",DATE(YEAR(A111),MONTH(A111),1))</f>
        <v/>
      </c>
    </row>
    <row r="112">
      <c r="A112" s="47" t="n"/>
      <c r="B112" s="38" t="n"/>
      <c r="C112" s="38" t="n"/>
      <c r="D112" s="38" t="n"/>
      <c r="E112" s="38" t="n"/>
      <c r="F112" s="38" t="n"/>
      <c r="G112" s="38" t="n"/>
      <c r="H112" s="38" t="n"/>
      <c r="I112" s="54">
        <f>IF(C112="","",SUMIFS('JOBS'!$L$5:$L$1504,'JOBS'!$D$5:$D$1504,C112,'JOBS'!$O$5:$O$1504,"Completed"))</f>
        <v/>
      </c>
      <c r="J112" s="51">
        <f>IF(A112="","",DATE(YEAR(A112),MONTH(A112),1))</f>
        <v/>
      </c>
    </row>
    <row r="113">
      <c r="A113" s="47" t="n"/>
      <c r="B113" s="38" t="n"/>
      <c r="C113" s="38" t="n"/>
      <c r="D113" s="38" t="n"/>
      <c r="E113" s="38" t="n"/>
      <c r="F113" s="38" t="n"/>
      <c r="G113" s="38" t="n"/>
      <c r="H113" s="38" t="n"/>
      <c r="I113" s="54">
        <f>IF(C113="","",SUMIFS('JOBS'!$L$5:$L$1504,'JOBS'!$D$5:$D$1504,C113,'JOBS'!$O$5:$O$1504,"Completed"))</f>
        <v/>
      </c>
      <c r="J113" s="51">
        <f>IF(A113="","",DATE(YEAR(A113),MONTH(A113),1))</f>
        <v/>
      </c>
    </row>
    <row r="114">
      <c r="A114" s="47" t="n"/>
      <c r="B114" s="38" t="n"/>
      <c r="C114" s="38" t="n"/>
      <c r="D114" s="38" t="n"/>
      <c r="E114" s="38" t="n"/>
      <c r="F114" s="38" t="n"/>
      <c r="G114" s="38" t="n"/>
      <c r="H114" s="38" t="n"/>
      <c r="I114" s="54">
        <f>IF(C114="","",SUMIFS('JOBS'!$L$5:$L$1504,'JOBS'!$D$5:$D$1504,C114,'JOBS'!$O$5:$O$1504,"Completed"))</f>
        <v/>
      </c>
      <c r="J114" s="51">
        <f>IF(A114="","",DATE(YEAR(A114),MONTH(A114),1))</f>
        <v/>
      </c>
    </row>
    <row r="115">
      <c r="A115" s="47" t="n"/>
      <c r="B115" s="38" t="n"/>
      <c r="C115" s="38" t="n"/>
      <c r="D115" s="38" t="n"/>
      <c r="E115" s="38" t="n"/>
      <c r="F115" s="38" t="n"/>
      <c r="G115" s="38" t="n"/>
      <c r="H115" s="38" t="n"/>
      <c r="I115" s="54">
        <f>IF(C115="","",SUMIFS('JOBS'!$L$5:$L$1504,'JOBS'!$D$5:$D$1504,C115,'JOBS'!$O$5:$O$1504,"Completed"))</f>
        <v/>
      </c>
      <c r="J115" s="51">
        <f>IF(A115="","",DATE(YEAR(A115),MONTH(A115),1))</f>
        <v/>
      </c>
    </row>
    <row r="116">
      <c r="A116" s="47" t="n"/>
      <c r="B116" s="38" t="n"/>
      <c r="C116" s="38" t="n"/>
      <c r="D116" s="38" t="n"/>
      <c r="E116" s="38" t="n"/>
      <c r="F116" s="38" t="n"/>
      <c r="G116" s="38" t="n"/>
      <c r="H116" s="38" t="n"/>
      <c r="I116" s="54">
        <f>IF(C116="","",SUMIFS('JOBS'!$L$5:$L$1504,'JOBS'!$D$5:$D$1504,C116,'JOBS'!$O$5:$O$1504,"Completed"))</f>
        <v/>
      </c>
      <c r="J116" s="51">
        <f>IF(A116="","",DATE(YEAR(A116),MONTH(A116),1))</f>
        <v/>
      </c>
    </row>
    <row r="117">
      <c r="A117" s="47" t="n"/>
      <c r="B117" s="38" t="n"/>
      <c r="C117" s="38" t="n"/>
      <c r="D117" s="38" t="n"/>
      <c r="E117" s="38" t="n"/>
      <c r="F117" s="38" t="n"/>
      <c r="G117" s="38" t="n"/>
      <c r="H117" s="38" t="n"/>
      <c r="I117" s="54">
        <f>IF(C117="","",SUMIFS('JOBS'!$L$5:$L$1504,'JOBS'!$D$5:$D$1504,C117,'JOBS'!$O$5:$O$1504,"Completed"))</f>
        <v/>
      </c>
      <c r="J117" s="51">
        <f>IF(A117="","",DATE(YEAR(A117),MONTH(A117),1))</f>
        <v/>
      </c>
    </row>
    <row r="118">
      <c r="A118" s="47" t="n"/>
      <c r="B118" s="38" t="n"/>
      <c r="C118" s="38" t="n"/>
      <c r="D118" s="38" t="n"/>
      <c r="E118" s="38" t="n"/>
      <c r="F118" s="38" t="n"/>
      <c r="G118" s="38" t="n"/>
      <c r="H118" s="38" t="n"/>
      <c r="I118" s="54">
        <f>IF(C118="","",SUMIFS('JOBS'!$L$5:$L$1504,'JOBS'!$D$5:$D$1504,C118,'JOBS'!$O$5:$O$1504,"Completed"))</f>
        <v/>
      </c>
      <c r="J118" s="51">
        <f>IF(A118="","",DATE(YEAR(A118),MONTH(A118),1))</f>
        <v/>
      </c>
    </row>
    <row r="119">
      <c r="A119" s="47" t="n"/>
      <c r="B119" s="38" t="n"/>
      <c r="C119" s="38" t="n"/>
      <c r="D119" s="38" t="n"/>
      <c r="E119" s="38" t="n"/>
      <c r="F119" s="38" t="n"/>
      <c r="G119" s="38" t="n"/>
      <c r="H119" s="38" t="n"/>
      <c r="I119" s="54">
        <f>IF(C119="","",SUMIFS('JOBS'!$L$5:$L$1504,'JOBS'!$D$5:$D$1504,C119,'JOBS'!$O$5:$O$1504,"Completed"))</f>
        <v/>
      </c>
      <c r="J119" s="51">
        <f>IF(A119="","",DATE(YEAR(A119),MONTH(A119),1))</f>
        <v/>
      </c>
    </row>
    <row r="120">
      <c r="A120" s="47" t="n"/>
      <c r="B120" s="38" t="n"/>
      <c r="C120" s="38" t="n"/>
      <c r="D120" s="38" t="n"/>
      <c r="E120" s="38" t="n"/>
      <c r="F120" s="38" t="n"/>
      <c r="G120" s="38" t="n"/>
      <c r="H120" s="38" t="n"/>
      <c r="I120" s="54">
        <f>IF(C120="","",SUMIFS('JOBS'!$L$5:$L$1504,'JOBS'!$D$5:$D$1504,C120,'JOBS'!$O$5:$O$1504,"Completed"))</f>
        <v/>
      </c>
      <c r="J120" s="51">
        <f>IF(A120="","",DATE(YEAR(A120),MONTH(A120),1))</f>
        <v/>
      </c>
    </row>
    <row r="121">
      <c r="A121" s="47" t="n"/>
      <c r="B121" s="38" t="n"/>
      <c r="C121" s="38" t="n"/>
      <c r="D121" s="38" t="n"/>
      <c r="E121" s="38" t="n"/>
      <c r="F121" s="38" t="n"/>
      <c r="G121" s="38" t="n"/>
      <c r="H121" s="38" t="n"/>
      <c r="I121" s="54">
        <f>IF(C121="","",SUMIFS('JOBS'!$L$5:$L$1504,'JOBS'!$D$5:$D$1504,C121,'JOBS'!$O$5:$O$1504,"Completed"))</f>
        <v/>
      </c>
      <c r="J121" s="51">
        <f>IF(A121="","",DATE(YEAR(A121),MONTH(A121),1))</f>
        <v/>
      </c>
    </row>
    <row r="122">
      <c r="A122" s="47" t="n"/>
      <c r="B122" s="38" t="n"/>
      <c r="C122" s="38" t="n"/>
      <c r="D122" s="38" t="n"/>
      <c r="E122" s="38" t="n"/>
      <c r="F122" s="38" t="n"/>
      <c r="G122" s="38" t="n"/>
      <c r="H122" s="38" t="n"/>
      <c r="I122" s="54">
        <f>IF(C122="","",SUMIFS('JOBS'!$L$5:$L$1504,'JOBS'!$D$5:$D$1504,C122,'JOBS'!$O$5:$O$1504,"Completed"))</f>
        <v/>
      </c>
      <c r="J122" s="51">
        <f>IF(A122="","",DATE(YEAR(A122),MONTH(A122),1))</f>
        <v/>
      </c>
    </row>
    <row r="123">
      <c r="A123" s="47" t="n"/>
      <c r="B123" s="38" t="n"/>
      <c r="C123" s="38" t="n"/>
      <c r="D123" s="38" t="n"/>
      <c r="E123" s="38" t="n"/>
      <c r="F123" s="38" t="n"/>
      <c r="G123" s="38" t="n"/>
      <c r="H123" s="38" t="n"/>
      <c r="I123" s="54">
        <f>IF(C123="","",SUMIFS('JOBS'!$L$5:$L$1504,'JOBS'!$D$5:$D$1504,C123,'JOBS'!$O$5:$O$1504,"Completed"))</f>
        <v/>
      </c>
      <c r="J123" s="51">
        <f>IF(A123="","",DATE(YEAR(A123),MONTH(A123),1))</f>
        <v/>
      </c>
    </row>
    <row r="124">
      <c r="A124" s="47" t="n"/>
      <c r="B124" s="38" t="n"/>
      <c r="C124" s="38" t="n"/>
      <c r="D124" s="38" t="n"/>
      <c r="E124" s="38" t="n"/>
      <c r="F124" s="38" t="n"/>
      <c r="G124" s="38" t="n"/>
      <c r="H124" s="38" t="n"/>
      <c r="I124" s="54">
        <f>IF(C124="","",SUMIFS('JOBS'!$L$5:$L$1504,'JOBS'!$D$5:$D$1504,C124,'JOBS'!$O$5:$O$1504,"Completed"))</f>
        <v/>
      </c>
      <c r="J124" s="51">
        <f>IF(A124="","",DATE(YEAR(A124),MONTH(A124),1))</f>
        <v/>
      </c>
    </row>
    <row r="125">
      <c r="A125" s="47" t="n"/>
      <c r="B125" s="38" t="n"/>
      <c r="C125" s="38" t="n"/>
      <c r="D125" s="38" t="n"/>
      <c r="E125" s="38" t="n"/>
      <c r="F125" s="38" t="n"/>
      <c r="G125" s="38" t="n"/>
      <c r="H125" s="38" t="n"/>
      <c r="I125" s="54">
        <f>IF(C125="","",SUMIFS('JOBS'!$L$5:$L$1504,'JOBS'!$D$5:$D$1504,C125,'JOBS'!$O$5:$O$1504,"Completed"))</f>
        <v/>
      </c>
      <c r="J125" s="51">
        <f>IF(A125="","",DATE(YEAR(A125),MONTH(A125),1))</f>
        <v/>
      </c>
    </row>
    <row r="126">
      <c r="A126" s="47" t="n"/>
      <c r="B126" s="38" t="n"/>
      <c r="C126" s="38" t="n"/>
      <c r="D126" s="38" t="n"/>
      <c r="E126" s="38" t="n"/>
      <c r="F126" s="38" t="n"/>
      <c r="G126" s="38" t="n"/>
      <c r="H126" s="38" t="n"/>
      <c r="I126" s="54">
        <f>IF(C126="","",SUMIFS('JOBS'!$L$5:$L$1504,'JOBS'!$D$5:$D$1504,C126,'JOBS'!$O$5:$O$1504,"Completed"))</f>
        <v/>
      </c>
      <c r="J126" s="51">
        <f>IF(A126="","",DATE(YEAR(A126),MONTH(A126),1))</f>
        <v/>
      </c>
    </row>
    <row r="127">
      <c r="A127" s="47" t="n"/>
      <c r="B127" s="38" t="n"/>
      <c r="C127" s="38" t="n"/>
      <c r="D127" s="38" t="n"/>
      <c r="E127" s="38" t="n"/>
      <c r="F127" s="38" t="n"/>
      <c r="G127" s="38" t="n"/>
      <c r="H127" s="38" t="n"/>
      <c r="I127" s="54">
        <f>IF(C127="","",SUMIFS('JOBS'!$L$5:$L$1504,'JOBS'!$D$5:$D$1504,C127,'JOBS'!$O$5:$O$1504,"Completed"))</f>
        <v/>
      </c>
      <c r="J127" s="51">
        <f>IF(A127="","",DATE(YEAR(A127),MONTH(A127),1))</f>
        <v/>
      </c>
    </row>
    <row r="128">
      <c r="A128" s="47" t="n"/>
      <c r="B128" s="38" t="n"/>
      <c r="C128" s="38" t="n"/>
      <c r="D128" s="38" t="n"/>
      <c r="E128" s="38" t="n"/>
      <c r="F128" s="38" t="n"/>
      <c r="G128" s="38" t="n"/>
      <c r="H128" s="38" t="n"/>
      <c r="I128" s="54">
        <f>IF(C128="","",SUMIFS('JOBS'!$L$5:$L$1504,'JOBS'!$D$5:$D$1504,C128,'JOBS'!$O$5:$O$1504,"Completed"))</f>
        <v/>
      </c>
      <c r="J128" s="51">
        <f>IF(A128="","",DATE(YEAR(A128),MONTH(A128),1))</f>
        <v/>
      </c>
    </row>
    <row r="129">
      <c r="A129" s="47" t="n"/>
      <c r="B129" s="38" t="n"/>
      <c r="C129" s="38" t="n"/>
      <c r="D129" s="38" t="n"/>
      <c r="E129" s="38" t="n"/>
      <c r="F129" s="38" t="n"/>
      <c r="G129" s="38" t="n"/>
      <c r="H129" s="38" t="n"/>
      <c r="I129" s="54">
        <f>IF(C129="","",SUMIFS('JOBS'!$L$5:$L$1504,'JOBS'!$D$5:$D$1504,C129,'JOBS'!$O$5:$O$1504,"Completed"))</f>
        <v/>
      </c>
      <c r="J129" s="51">
        <f>IF(A129="","",DATE(YEAR(A129),MONTH(A129),1))</f>
        <v/>
      </c>
    </row>
    <row r="130">
      <c r="A130" s="47" t="n"/>
      <c r="B130" s="38" t="n"/>
      <c r="C130" s="38" t="n"/>
      <c r="D130" s="38" t="n"/>
      <c r="E130" s="38" t="n"/>
      <c r="F130" s="38" t="n"/>
      <c r="G130" s="38" t="n"/>
      <c r="H130" s="38" t="n"/>
      <c r="I130" s="54">
        <f>IF(C130="","",SUMIFS('JOBS'!$L$5:$L$1504,'JOBS'!$D$5:$D$1504,C130,'JOBS'!$O$5:$O$1504,"Completed"))</f>
        <v/>
      </c>
      <c r="J130" s="51">
        <f>IF(A130="","",DATE(YEAR(A130),MONTH(A130),1))</f>
        <v/>
      </c>
    </row>
    <row r="131">
      <c r="A131" s="47" t="n"/>
      <c r="B131" s="38" t="n"/>
      <c r="C131" s="38" t="n"/>
      <c r="D131" s="38" t="n"/>
      <c r="E131" s="38" t="n"/>
      <c r="F131" s="38" t="n"/>
      <c r="G131" s="38" t="n"/>
      <c r="H131" s="38" t="n"/>
      <c r="I131" s="54">
        <f>IF(C131="","",SUMIFS('JOBS'!$L$5:$L$1504,'JOBS'!$D$5:$D$1504,C131,'JOBS'!$O$5:$O$1504,"Completed"))</f>
        <v/>
      </c>
      <c r="J131" s="51">
        <f>IF(A131="","",DATE(YEAR(A131),MONTH(A131),1))</f>
        <v/>
      </c>
    </row>
    <row r="132">
      <c r="A132" s="47" t="n"/>
      <c r="B132" s="38" t="n"/>
      <c r="C132" s="38" t="n"/>
      <c r="D132" s="38" t="n"/>
      <c r="E132" s="38" t="n"/>
      <c r="F132" s="38" t="n"/>
      <c r="G132" s="38" t="n"/>
      <c r="H132" s="38" t="n"/>
      <c r="I132" s="54">
        <f>IF(C132="","",SUMIFS('JOBS'!$L$5:$L$1504,'JOBS'!$D$5:$D$1504,C132,'JOBS'!$O$5:$O$1504,"Completed"))</f>
        <v/>
      </c>
      <c r="J132" s="51">
        <f>IF(A132="","",DATE(YEAR(A132),MONTH(A132),1))</f>
        <v/>
      </c>
    </row>
    <row r="133">
      <c r="A133" s="47" t="n"/>
      <c r="B133" s="38" t="n"/>
      <c r="C133" s="38" t="n"/>
      <c r="D133" s="38" t="n"/>
      <c r="E133" s="38" t="n"/>
      <c r="F133" s="38" t="n"/>
      <c r="G133" s="38" t="n"/>
      <c r="H133" s="38" t="n"/>
      <c r="I133" s="54">
        <f>IF(C133="","",SUMIFS('JOBS'!$L$5:$L$1504,'JOBS'!$D$5:$D$1504,C133,'JOBS'!$O$5:$O$1504,"Completed"))</f>
        <v/>
      </c>
      <c r="J133" s="51">
        <f>IF(A133="","",DATE(YEAR(A133),MONTH(A133),1))</f>
        <v/>
      </c>
    </row>
    <row r="134">
      <c r="A134" s="47" t="n"/>
      <c r="B134" s="38" t="n"/>
      <c r="C134" s="38" t="n"/>
      <c r="D134" s="38" t="n"/>
      <c r="E134" s="38" t="n"/>
      <c r="F134" s="38" t="n"/>
      <c r="G134" s="38" t="n"/>
      <c r="H134" s="38" t="n"/>
      <c r="I134" s="54">
        <f>IF(C134="","",SUMIFS('JOBS'!$L$5:$L$1504,'JOBS'!$D$5:$D$1504,C134,'JOBS'!$O$5:$O$1504,"Completed"))</f>
        <v/>
      </c>
      <c r="J134" s="51">
        <f>IF(A134="","",DATE(YEAR(A134),MONTH(A134),1))</f>
        <v/>
      </c>
    </row>
    <row r="135">
      <c r="A135" s="47" t="n"/>
      <c r="B135" s="38" t="n"/>
      <c r="C135" s="38" t="n"/>
      <c r="D135" s="38" t="n"/>
      <c r="E135" s="38" t="n"/>
      <c r="F135" s="38" t="n"/>
      <c r="G135" s="38" t="n"/>
      <c r="H135" s="38" t="n"/>
      <c r="I135" s="54">
        <f>IF(C135="","",SUMIFS('JOBS'!$L$5:$L$1504,'JOBS'!$D$5:$D$1504,C135,'JOBS'!$O$5:$O$1504,"Completed"))</f>
        <v/>
      </c>
      <c r="J135" s="51">
        <f>IF(A135="","",DATE(YEAR(A135),MONTH(A135),1))</f>
        <v/>
      </c>
    </row>
    <row r="136">
      <c r="A136" s="47" t="n"/>
      <c r="B136" s="38" t="n"/>
      <c r="C136" s="38" t="n"/>
      <c r="D136" s="38" t="n"/>
      <c r="E136" s="38" t="n"/>
      <c r="F136" s="38" t="n"/>
      <c r="G136" s="38" t="n"/>
      <c r="H136" s="38" t="n"/>
      <c r="I136" s="54">
        <f>IF(C136="","",SUMIFS('JOBS'!$L$5:$L$1504,'JOBS'!$D$5:$D$1504,C136,'JOBS'!$O$5:$O$1504,"Completed"))</f>
        <v/>
      </c>
      <c r="J136" s="51">
        <f>IF(A136="","",DATE(YEAR(A136),MONTH(A136),1))</f>
        <v/>
      </c>
    </row>
    <row r="137">
      <c r="A137" s="47" t="n"/>
      <c r="B137" s="38" t="n"/>
      <c r="C137" s="38" t="n"/>
      <c r="D137" s="38" t="n"/>
      <c r="E137" s="38" t="n"/>
      <c r="F137" s="38" t="n"/>
      <c r="G137" s="38" t="n"/>
      <c r="H137" s="38" t="n"/>
      <c r="I137" s="54">
        <f>IF(C137="","",SUMIFS('JOBS'!$L$5:$L$1504,'JOBS'!$D$5:$D$1504,C137,'JOBS'!$O$5:$O$1504,"Completed"))</f>
        <v/>
      </c>
      <c r="J137" s="51">
        <f>IF(A137="","",DATE(YEAR(A137),MONTH(A137),1))</f>
        <v/>
      </c>
    </row>
    <row r="138">
      <c r="A138" s="47" t="n"/>
      <c r="B138" s="38" t="n"/>
      <c r="C138" s="38" t="n"/>
      <c r="D138" s="38" t="n"/>
      <c r="E138" s="38" t="n"/>
      <c r="F138" s="38" t="n"/>
      <c r="G138" s="38" t="n"/>
      <c r="H138" s="38" t="n"/>
      <c r="I138" s="54">
        <f>IF(C138="","",SUMIFS('JOBS'!$L$5:$L$1504,'JOBS'!$D$5:$D$1504,C138,'JOBS'!$O$5:$O$1504,"Completed"))</f>
        <v/>
      </c>
      <c r="J138" s="51">
        <f>IF(A138="","",DATE(YEAR(A138),MONTH(A138),1))</f>
        <v/>
      </c>
    </row>
    <row r="139">
      <c r="A139" s="47" t="n"/>
      <c r="B139" s="38" t="n"/>
      <c r="C139" s="38" t="n"/>
      <c r="D139" s="38" t="n"/>
      <c r="E139" s="38" t="n"/>
      <c r="F139" s="38" t="n"/>
      <c r="G139" s="38" t="n"/>
      <c r="H139" s="38" t="n"/>
      <c r="I139" s="54">
        <f>IF(C139="","",SUMIFS('JOBS'!$L$5:$L$1504,'JOBS'!$D$5:$D$1504,C139,'JOBS'!$O$5:$O$1504,"Completed"))</f>
        <v/>
      </c>
      <c r="J139" s="51">
        <f>IF(A139="","",DATE(YEAR(A139),MONTH(A139),1))</f>
        <v/>
      </c>
    </row>
    <row r="140">
      <c r="A140" s="47" t="n"/>
      <c r="B140" s="38" t="n"/>
      <c r="C140" s="38" t="n"/>
      <c r="D140" s="38" t="n"/>
      <c r="E140" s="38" t="n"/>
      <c r="F140" s="38" t="n"/>
      <c r="G140" s="38" t="n"/>
      <c r="H140" s="38" t="n"/>
      <c r="I140" s="54">
        <f>IF(C140="","",SUMIFS('JOBS'!$L$5:$L$1504,'JOBS'!$D$5:$D$1504,C140,'JOBS'!$O$5:$O$1504,"Completed"))</f>
        <v/>
      </c>
      <c r="J140" s="51">
        <f>IF(A140="","",DATE(YEAR(A140),MONTH(A140),1))</f>
        <v/>
      </c>
    </row>
    <row r="141">
      <c r="A141" s="47" t="n"/>
      <c r="B141" s="38" t="n"/>
      <c r="C141" s="38" t="n"/>
      <c r="D141" s="38" t="n"/>
      <c r="E141" s="38" t="n"/>
      <c r="F141" s="38" t="n"/>
      <c r="G141" s="38" t="n"/>
      <c r="H141" s="38" t="n"/>
      <c r="I141" s="54">
        <f>IF(C141="","",SUMIFS('JOBS'!$L$5:$L$1504,'JOBS'!$D$5:$D$1504,C141,'JOBS'!$O$5:$O$1504,"Completed"))</f>
        <v/>
      </c>
      <c r="J141" s="51">
        <f>IF(A141="","",DATE(YEAR(A141),MONTH(A141),1))</f>
        <v/>
      </c>
    </row>
    <row r="142">
      <c r="A142" s="47" t="n"/>
      <c r="B142" s="38" t="n"/>
      <c r="C142" s="38" t="n"/>
      <c r="D142" s="38" t="n"/>
      <c r="E142" s="38" t="n"/>
      <c r="F142" s="38" t="n"/>
      <c r="G142" s="38" t="n"/>
      <c r="H142" s="38" t="n"/>
      <c r="I142" s="54">
        <f>IF(C142="","",SUMIFS('JOBS'!$L$5:$L$1504,'JOBS'!$D$5:$D$1504,C142,'JOBS'!$O$5:$O$1504,"Completed"))</f>
        <v/>
      </c>
      <c r="J142" s="51">
        <f>IF(A142="","",DATE(YEAR(A142),MONTH(A142),1))</f>
        <v/>
      </c>
    </row>
    <row r="143">
      <c r="A143" s="47" t="n"/>
      <c r="B143" s="38" t="n"/>
      <c r="C143" s="38" t="n"/>
      <c r="D143" s="38" t="n"/>
      <c r="E143" s="38" t="n"/>
      <c r="F143" s="38" t="n"/>
      <c r="G143" s="38" t="n"/>
      <c r="H143" s="38" t="n"/>
      <c r="I143" s="54">
        <f>IF(C143="","",SUMIFS('JOBS'!$L$5:$L$1504,'JOBS'!$D$5:$D$1504,C143,'JOBS'!$O$5:$O$1504,"Completed"))</f>
        <v/>
      </c>
      <c r="J143" s="51">
        <f>IF(A143="","",DATE(YEAR(A143),MONTH(A143),1))</f>
        <v/>
      </c>
    </row>
    <row r="144">
      <c r="A144" s="47" t="n"/>
      <c r="B144" s="38" t="n"/>
      <c r="C144" s="38" t="n"/>
      <c r="D144" s="38" t="n"/>
      <c r="E144" s="38" t="n"/>
      <c r="F144" s="38" t="n"/>
      <c r="G144" s="38" t="n"/>
      <c r="H144" s="38" t="n"/>
      <c r="I144" s="54">
        <f>IF(C144="","",SUMIFS('JOBS'!$L$5:$L$1504,'JOBS'!$D$5:$D$1504,C144,'JOBS'!$O$5:$O$1504,"Completed"))</f>
        <v/>
      </c>
      <c r="J144" s="51">
        <f>IF(A144="","",DATE(YEAR(A144),MONTH(A144),1))</f>
        <v/>
      </c>
    </row>
    <row r="145">
      <c r="A145" s="47" t="n"/>
      <c r="B145" s="38" t="n"/>
      <c r="C145" s="38" t="n"/>
      <c r="D145" s="38" t="n"/>
      <c r="E145" s="38" t="n"/>
      <c r="F145" s="38" t="n"/>
      <c r="G145" s="38" t="n"/>
      <c r="H145" s="38" t="n"/>
      <c r="I145" s="54">
        <f>IF(C145="","",SUMIFS('JOBS'!$L$5:$L$1504,'JOBS'!$D$5:$D$1504,C145,'JOBS'!$O$5:$O$1504,"Completed"))</f>
        <v/>
      </c>
      <c r="J145" s="51">
        <f>IF(A145="","",DATE(YEAR(A145),MONTH(A145),1))</f>
        <v/>
      </c>
    </row>
    <row r="146">
      <c r="A146" s="47" t="n"/>
      <c r="B146" s="38" t="n"/>
      <c r="C146" s="38" t="n"/>
      <c r="D146" s="38" t="n"/>
      <c r="E146" s="38" t="n"/>
      <c r="F146" s="38" t="n"/>
      <c r="G146" s="38" t="n"/>
      <c r="H146" s="38" t="n"/>
      <c r="I146" s="54">
        <f>IF(C146="","",SUMIFS('JOBS'!$L$5:$L$1504,'JOBS'!$D$5:$D$1504,C146,'JOBS'!$O$5:$O$1504,"Completed"))</f>
        <v/>
      </c>
      <c r="J146" s="51">
        <f>IF(A146="","",DATE(YEAR(A146),MONTH(A146),1))</f>
        <v/>
      </c>
    </row>
    <row r="147">
      <c r="A147" s="47" t="n"/>
      <c r="B147" s="38" t="n"/>
      <c r="C147" s="38" t="n"/>
      <c r="D147" s="38" t="n"/>
      <c r="E147" s="38" t="n"/>
      <c r="F147" s="38" t="n"/>
      <c r="G147" s="38" t="n"/>
      <c r="H147" s="38" t="n"/>
      <c r="I147" s="54">
        <f>IF(C147="","",SUMIFS('JOBS'!$L$5:$L$1504,'JOBS'!$D$5:$D$1504,C147,'JOBS'!$O$5:$O$1504,"Completed"))</f>
        <v/>
      </c>
      <c r="J147" s="51">
        <f>IF(A147="","",DATE(YEAR(A147),MONTH(A147),1))</f>
        <v/>
      </c>
    </row>
    <row r="148">
      <c r="A148" s="47" t="n"/>
      <c r="B148" s="38" t="n"/>
      <c r="C148" s="38" t="n"/>
      <c r="D148" s="38" t="n"/>
      <c r="E148" s="38" t="n"/>
      <c r="F148" s="38" t="n"/>
      <c r="G148" s="38" t="n"/>
      <c r="H148" s="38" t="n"/>
      <c r="I148" s="54">
        <f>IF(C148="","",SUMIFS('JOBS'!$L$5:$L$1504,'JOBS'!$D$5:$D$1504,C148,'JOBS'!$O$5:$O$1504,"Completed"))</f>
        <v/>
      </c>
      <c r="J148" s="51">
        <f>IF(A148="","",DATE(YEAR(A148),MONTH(A148),1))</f>
        <v/>
      </c>
    </row>
    <row r="149">
      <c r="A149" s="47" t="n"/>
      <c r="B149" s="38" t="n"/>
      <c r="C149" s="38" t="n"/>
      <c r="D149" s="38" t="n"/>
      <c r="E149" s="38" t="n"/>
      <c r="F149" s="38" t="n"/>
      <c r="G149" s="38" t="n"/>
      <c r="H149" s="38" t="n"/>
      <c r="I149" s="54">
        <f>IF(C149="","",SUMIFS('JOBS'!$L$5:$L$1504,'JOBS'!$D$5:$D$1504,C149,'JOBS'!$O$5:$O$1504,"Completed"))</f>
        <v/>
      </c>
      <c r="J149" s="51">
        <f>IF(A149="","",DATE(YEAR(A149),MONTH(A149),1))</f>
        <v/>
      </c>
    </row>
    <row r="150">
      <c r="A150" s="47" t="n"/>
      <c r="B150" s="38" t="n"/>
      <c r="C150" s="38" t="n"/>
      <c r="D150" s="38" t="n"/>
      <c r="E150" s="38" t="n"/>
      <c r="F150" s="38" t="n"/>
      <c r="G150" s="38" t="n"/>
      <c r="H150" s="38" t="n"/>
      <c r="I150" s="54">
        <f>IF(C150="","",SUMIFS('JOBS'!$L$5:$L$1504,'JOBS'!$D$5:$D$1504,C150,'JOBS'!$O$5:$O$1504,"Completed"))</f>
        <v/>
      </c>
      <c r="J150" s="51">
        <f>IF(A150="","",DATE(YEAR(A150),MONTH(A150),1))</f>
        <v/>
      </c>
    </row>
    <row r="151">
      <c r="A151" s="47" t="n"/>
      <c r="B151" s="38" t="n"/>
      <c r="C151" s="38" t="n"/>
      <c r="D151" s="38" t="n"/>
      <c r="E151" s="38" t="n"/>
      <c r="F151" s="38" t="n"/>
      <c r="G151" s="38" t="n"/>
      <c r="H151" s="38" t="n"/>
      <c r="I151" s="54">
        <f>IF(C151="","",SUMIFS('JOBS'!$L$5:$L$1504,'JOBS'!$D$5:$D$1504,C151,'JOBS'!$O$5:$O$1504,"Completed"))</f>
        <v/>
      </c>
      <c r="J151" s="51">
        <f>IF(A151="","",DATE(YEAR(A151),MONTH(A151),1))</f>
        <v/>
      </c>
    </row>
    <row r="152">
      <c r="A152" s="47" t="n"/>
      <c r="B152" s="38" t="n"/>
      <c r="C152" s="38" t="n"/>
      <c r="D152" s="38" t="n"/>
      <c r="E152" s="38" t="n"/>
      <c r="F152" s="38" t="n"/>
      <c r="G152" s="38" t="n"/>
      <c r="H152" s="38" t="n"/>
      <c r="I152" s="54">
        <f>IF(C152="","",SUMIFS('JOBS'!$L$5:$L$1504,'JOBS'!$D$5:$D$1504,C152,'JOBS'!$O$5:$O$1504,"Completed"))</f>
        <v/>
      </c>
      <c r="J152" s="51">
        <f>IF(A152="","",DATE(YEAR(A152),MONTH(A152),1))</f>
        <v/>
      </c>
    </row>
    <row r="153">
      <c r="A153" s="47" t="n"/>
      <c r="B153" s="38" t="n"/>
      <c r="C153" s="38" t="n"/>
      <c r="D153" s="38" t="n"/>
      <c r="E153" s="38" t="n"/>
      <c r="F153" s="38" t="n"/>
      <c r="G153" s="38" t="n"/>
      <c r="H153" s="38" t="n"/>
      <c r="I153" s="54">
        <f>IF(C153="","",SUMIFS('JOBS'!$L$5:$L$1504,'JOBS'!$D$5:$D$1504,C153,'JOBS'!$O$5:$O$1504,"Completed"))</f>
        <v/>
      </c>
      <c r="J153" s="51">
        <f>IF(A153="","",DATE(YEAR(A153),MONTH(A153),1))</f>
        <v/>
      </c>
    </row>
    <row r="154">
      <c r="A154" s="47" t="n"/>
      <c r="B154" s="38" t="n"/>
      <c r="C154" s="38" t="n"/>
      <c r="D154" s="38" t="n"/>
      <c r="E154" s="38" t="n"/>
      <c r="F154" s="38" t="n"/>
      <c r="G154" s="38" t="n"/>
      <c r="H154" s="38" t="n"/>
      <c r="I154" s="54">
        <f>IF(C154="","",SUMIFS('JOBS'!$L$5:$L$1504,'JOBS'!$D$5:$D$1504,C154,'JOBS'!$O$5:$O$1504,"Completed"))</f>
        <v/>
      </c>
      <c r="J154" s="51">
        <f>IF(A154="","",DATE(YEAR(A154),MONTH(A154),1))</f>
        <v/>
      </c>
    </row>
    <row r="155">
      <c r="A155" s="47" t="n"/>
      <c r="B155" s="38" t="n"/>
      <c r="C155" s="38" t="n"/>
      <c r="D155" s="38" t="n"/>
      <c r="E155" s="38" t="n"/>
      <c r="F155" s="38" t="n"/>
      <c r="G155" s="38" t="n"/>
      <c r="H155" s="38" t="n"/>
      <c r="I155" s="54">
        <f>IF(C155="","",SUMIFS('JOBS'!$L$5:$L$1504,'JOBS'!$D$5:$D$1504,C155,'JOBS'!$O$5:$O$1504,"Completed"))</f>
        <v/>
      </c>
      <c r="J155" s="51">
        <f>IF(A155="","",DATE(YEAR(A155),MONTH(A155),1))</f>
        <v/>
      </c>
    </row>
    <row r="156">
      <c r="A156" s="47" t="n"/>
      <c r="B156" s="38" t="n"/>
      <c r="C156" s="38" t="n"/>
      <c r="D156" s="38" t="n"/>
      <c r="E156" s="38" t="n"/>
      <c r="F156" s="38" t="n"/>
      <c r="G156" s="38" t="n"/>
      <c r="H156" s="38" t="n"/>
      <c r="I156" s="54">
        <f>IF(C156="","",SUMIFS('JOBS'!$L$5:$L$1504,'JOBS'!$D$5:$D$1504,C156,'JOBS'!$O$5:$O$1504,"Completed"))</f>
        <v/>
      </c>
      <c r="J156" s="51">
        <f>IF(A156="","",DATE(YEAR(A156),MONTH(A156),1))</f>
        <v/>
      </c>
    </row>
    <row r="157">
      <c r="A157" s="47" t="n"/>
      <c r="B157" s="38" t="n"/>
      <c r="C157" s="38" t="n"/>
      <c r="D157" s="38" t="n"/>
      <c r="E157" s="38" t="n"/>
      <c r="F157" s="38" t="n"/>
      <c r="G157" s="38" t="n"/>
      <c r="H157" s="38" t="n"/>
      <c r="I157" s="54">
        <f>IF(C157="","",SUMIFS('JOBS'!$L$5:$L$1504,'JOBS'!$D$5:$D$1504,C157,'JOBS'!$O$5:$O$1504,"Completed"))</f>
        <v/>
      </c>
      <c r="J157" s="51">
        <f>IF(A157="","",DATE(YEAR(A157),MONTH(A157),1))</f>
        <v/>
      </c>
    </row>
    <row r="158">
      <c r="A158" s="47" t="n"/>
      <c r="B158" s="38" t="n"/>
      <c r="C158" s="38" t="n"/>
      <c r="D158" s="38" t="n"/>
      <c r="E158" s="38" t="n"/>
      <c r="F158" s="38" t="n"/>
      <c r="G158" s="38" t="n"/>
      <c r="H158" s="38" t="n"/>
      <c r="I158" s="54">
        <f>IF(C158="","",SUMIFS('JOBS'!$L$5:$L$1504,'JOBS'!$D$5:$D$1504,C158,'JOBS'!$O$5:$O$1504,"Completed"))</f>
        <v/>
      </c>
      <c r="J158" s="51">
        <f>IF(A158="","",DATE(YEAR(A158),MONTH(A158),1))</f>
        <v/>
      </c>
    </row>
    <row r="159">
      <c r="A159" s="47" t="n"/>
      <c r="B159" s="38" t="n"/>
      <c r="C159" s="38" t="n"/>
      <c r="D159" s="38" t="n"/>
      <c r="E159" s="38" t="n"/>
      <c r="F159" s="38" t="n"/>
      <c r="G159" s="38" t="n"/>
      <c r="H159" s="38" t="n"/>
      <c r="I159" s="54">
        <f>IF(C159="","",SUMIFS('JOBS'!$L$5:$L$1504,'JOBS'!$D$5:$D$1504,C159,'JOBS'!$O$5:$O$1504,"Completed"))</f>
        <v/>
      </c>
      <c r="J159" s="51">
        <f>IF(A159="","",DATE(YEAR(A159),MONTH(A159),1))</f>
        <v/>
      </c>
    </row>
    <row r="160">
      <c r="A160" s="47" t="n"/>
      <c r="B160" s="38" t="n"/>
      <c r="C160" s="38" t="n"/>
      <c r="D160" s="38" t="n"/>
      <c r="E160" s="38" t="n"/>
      <c r="F160" s="38" t="n"/>
      <c r="G160" s="38" t="n"/>
      <c r="H160" s="38" t="n"/>
      <c r="I160" s="54">
        <f>IF(C160="","",SUMIFS('JOBS'!$L$5:$L$1504,'JOBS'!$D$5:$D$1504,C160,'JOBS'!$O$5:$O$1504,"Completed"))</f>
        <v/>
      </c>
      <c r="J160" s="51">
        <f>IF(A160="","",DATE(YEAR(A160),MONTH(A160),1))</f>
        <v/>
      </c>
    </row>
    <row r="161">
      <c r="A161" s="47" t="n"/>
      <c r="B161" s="38" t="n"/>
      <c r="C161" s="38" t="n"/>
      <c r="D161" s="38" t="n"/>
      <c r="E161" s="38" t="n"/>
      <c r="F161" s="38" t="n"/>
      <c r="G161" s="38" t="n"/>
      <c r="H161" s="38" t="n"/>
      <c r="I161" s="54">
        <f>IF(C161="","",SUMIFS('JOBS'!$L$5:$L$1504,'JOBS'!$D$5:$D$1504,C161,'JOBS'!$O$5:$O$1504,"Completed"))</f>
        <v/>
      </c>
      <c r="J161" s="51">
        <f>IF(A161="","",DATE(YEAR(A161),MONTH(A161),1))</f>
        <v/>
      </c>
    </row>
    <row r="162">
      <c r="A162" s="47" t="n"/>
      <c r="B162" s="38" t="n"/>
      <c r="C162" s="38" t="n"/>
      <c r="D162" s="38" t="n"/>
      <c r="E162" s="38" t="n"/>
      <c r="F162" s="38" t="n"/>
      <c r="G162" s="38" t="n"/>
      <c r="H162" s="38" t="n"/>
      <c r="I162" s="54">
        <f>IF(C162="","",SUMIFS('JOBS'!$L$5:$L$1504,'JOBS'!$D$5:$D$1504,C162,'JOBS'!$O$5:$O$1504,"Completed"))</f>
        <v/>
      </c>
      <c r="J162" s="51">
        <f>IF(A162="","",DATE(YEAR(A162),MONTH(A162),1))</f>
        <v/>
      </c>
    </row>
    <row r="163">
      <c r="A163" s="47" t="n"/>
      <c r="B163" s="38" t="n"/>
      <c r="C163" s="38" t="n"/>
      <c r="D163" s="38" t="n"/>
      <c r="E163" s="38" t="n"/>
      <c r="F163" s="38" t="n"/>
      <c r="G163" s="38" t="n"/>
      <c r="H163" s="38" t="n"/>
      <c r="I163" s="54">
        <f>IF(C163="","",SUMIFS('JOBS'!$L$5:$L$1504,'JOBS'!$D$5:$D$1504,C163,'JOBS'!$O$5:$O$1504,"Completed"))</f>
        <v/>
      </c>
      <c r="J163" s="51">
        <f>IF(A163="","",DATE(YEAR(A163),MONTH(A163),1))</f>
        <v/>
      </c>
    </row>
    <row r="164">
      <c r="A164" s="47" t="n"/>
      <c r="B164" s="38" t="n"/>
      <c r="C164" s="38" t="n"/>
      <c r="D164" s="38" t="n"/>
      <c r="E164" s="38" t="n"/>
      <c r="F164" s="38" t="n"/>
      <c r="G164" s="38" t="n"/>
      <c r="H164" s="38" t="n"/>
      <c r="I164" s="54">
        <f>IF(C164="","",SUMIFS('JOBS'!$L$5:$L$1504,'JOBS'!$D$5:$D$1504,C164,'JOBS'!$O$5:$O$1504,"Completed"))</f>
        <v/>
      </c>
      <c r="J164" s="51">
        <f>IF(A164="","",DATE(YEAR(A164),MONTH(A164),1))</f>
        <v/>
      </c>
    </row>
    <row r="165">
      <c r="A165" s="47" t="n"/>
      <c r="B165" s="38" t="n"/>
      <c r="C165" s="38" t="n"/>
      <c r="D165" s="38" t="n"/>
      <c r="E165" s="38" t="n"/>
      <c r="F165" s="38" t="n"/>
      <c r="G165" s="38" t="n"/>
      <c r="H165" s="38" t="n"/>
      <c r="I165" s="54">
        <f>IF(C165="","",SUMIFS('JOBS'!$L$5:$L$1504,'JOBS'!$D$5:$D$1504,C165,'JOBS'!$O$5:$O$1504,"Completed"))</f>
        <v/>
      </c>
      <c r="J165" s="51">
        <f>IF(A165="","",DATE(YEAR(A165),MONTH(A165),1))</f>
        <v/>
      </c>
    </row>
    <row r="166">
      <c r="A166" s="47" t="n"/>
      <c r="B166" s="38" t="n"/>
      <c r="C166" s="38" t="n"/>
      <c r="D166" s="38" t="n"/>
      <c r="E166" s="38" t="n"/>
      <c r="F166" s="38" t="n"/>
      <c r="G166" s="38" t="n"/>
      <c r="H166" s="38" t="n"/>
      <c r="I166" s="54">
        <f>IF(C166="","",SUMIFS('JOBS'!$L$5:$L$1504,'JOBS'!$D$5:$D$1504,C166,'JOBS'!$O$5:$O$1504,"Completed"))</f>
        <v/>
      </c>
      <c r="J166" s="51">
        <f>IF(A166="","",DATE(YEAR(A166),MONTH(A166),1))</f>
        <v/>
      </c>
    </row>
    <row r="167">
      <c r="A167" s="47" t="n"/>
      <c r="B167" s="38" t="n"/>
      <c r="C167" s="38" t="n"/>
      <c r="D167" s="38" t="n"/>
      <c r="E167" s="38" t="n"/>
      <c r="F167" s="38" t="n"/>
      <c r="G167" s="38" t="n"/>
      <c r="H167" s="38" t="n"/>
      <c r="I167" s="54">
        <f>IF(C167="","",SUMIFS('JOBS'!$L$5:$L$1504,'JOBS'!$D$5:$D$1504,C167,'JOBS'!$O$5:$O$1504,"Completed"))</f>
        <v/>
      </c>
      <c r="J167" s="51">
        <f>IF(A167="","",DATE(YEAR(A167),MONTH(A167),1))</f>
        <v/>
      </c>
    </row>
    <row r="168">
      <c r="A168" s="47" t="n"/>
      <c r="B168" s="38" t="n"/>
      <c r="C168" s="38" t="n"/>
      <c r="D168" s="38" t="n"/>
      <c r="E168" s="38" t="n"/>
      <c r="F168" s="38" t="n"/>
      <c r="G168" s="38" t="n"/>
      <c r="H168" s="38" t="n"/>
      <c r="I168" s="54">
        <f>IF(C168="","",SUMIFS('JOBS'!$L$5:$L$1504,'JOBS'!$D$5:$D$1504,C168,'JOBS'!$O$5:$O$1504,"Completed"))</f>
        <v/>
      </c>
      <c r="J168" s="51">
        <f>IF(A168="","",DATE(YEAR(A168),MONTH(A168),1))</f>
        <v/>
      </c>
    </row>
    <row r="169">
      <c r="A169" s="47" t="n"/>
      <c r="B169" s="38" t="n"/>
      <c r="C169" s="38" t="n"/>
      <c r="D169" s="38" t="n"/>
      <c r="E169" s="38" t="n"/>
      <c r="F169" s="38" t="n"/>
      <c r="G169" s="38" t="n"/>
      <c r="H169" s="38" t="n"/>
      <c r="I169" s="54">
        <f>IF(C169="","",SUMIFS('JOBS'!$L$5:$L$1504,'JOBS'!$D$5:$D$1504,C169,'JOBS'!$O$5:$O$1504,"Completed"))</f>
        <v/>
      </c>
      <c r="J169" s="51">
        <f>IF(A169="","",DATE(YEAR(A169),MONTH(A169),1))</f>
        <v/>
      </c>
    </row>
    <row r="170">
      <c r="A170" s="47" t="n"/>
      <c r="B170" s="38" t="n"/>
      <c r="C170" s="38" t="n"/>
      <c r="D170" s="38" t="n"/>
      <c r="E170" s="38" t="n"/>
      <c r="F170" s="38" t="n"/>
      <c r="G170" s="38" t="n"/>
      <c r="H170" s="38" t="n"/>
      <c r="I170" s="54">
        <f>IF(C170="","",SUMIFS('JOBS'!$L$5:$L$1504,'JOBS'!$D$5:$D$1504,C170,'JOBS'!$O$5:$O$1504,"Completed"))</f>
        <v/>
      </c>
      <c r="J170" s="51">
        <f>IF(A170="","",DATE(YEAR(A170),MONTH(A170),1))</f>
        <v/>
      </c>
    </row>
    <row r="171">
      <c r="A171" s="47" t="n"/>
      <c r="B171" s="38" t="n"/>
      <c r="C171" s="38" t="n"/>
      <c r="D171" s="38" t="n"/>
      <c r="E171" s="38" t="n"/>
      <c r="F171" s="38" t="n"/>
      <c r="G171" s="38" t="n"/>
      <c r="H171" s="38" t="n"/>
      <c r="I171" s="54">
        <f>IF(C171="","",SUMIFS('JOBS'!$L$5:$L$1504,'JOBS'!$D$5:$D$1504,C171,'JOBS'!$O$5:$O$1504,"Completed"))</f>
        <v/>
      </c>
      <c r="J171" s="51">
        <f>IF(A171="","",DATE(YEAR(A171),MONTH(A171),1))</f>
        <v/>
      </c>
    </row>
    <row r="172">
      <c r="A172" s="47" t="n"/>
      <c r="B172" s="38" t="n"/>
      <c r="C172" s="38" t="n"/>
      <c r="D172" s="38" t="n"/>
      <c r="E172" s="38" t="n"/>
      <c r="F172" s="38" t="n"/>
      <c r="G172" s="38" t="n"/>
      <c r="H172" s="38" t="n"/>
      <c r="I172" s="54">
        <f>IF(C172="","",SUMIFS('JOBS'!$L$5:$L$1504,'JOBS'!$D$5:$D$1504,C172,'JOBS'!$O$5:$O$1504,"Completed"))</f>
        <v/>
      </c>
      <c r="J172" s="51">
        <f>IF(A172="","",DATE(YEAR(A172),MONTH(A172),1))</f>
        <v/>
      </c>
    </row>
    <row r="173">
      <c r="A173" s="47" t="n"/>
      <c r="B173" s="38" t="n"/>
      <c r="C173" s="38" t="n"/>
      <c r="D173" s="38" t="n"/>
      <c r="E173" s="38" t="n"/>
      <c r="F173" s="38" t="n"/>
      <c r="G173" s="38" t="n"/>
      <c r="H173" s="38" t="n"/>
      <c r="I173" s="54">
        <f>IF(C173="","",SUMIFS('JOBS'!$L$5:$L$1504,'JOBS'!$D$5:$D$1504,C173,'JOBS'!$O$5:$O$1504,"Completed"))</f>
        <v/>
      </c>
      <c r="J173" s="51">
        <f>IF(A173="","",DATE(YEAR(A173),MONTH(A173),1))</f>
        <v/>
      </c>
    </row>
    <row r="174">
      <c r="A174" s="47" t="n"/>
      <c r="B174" s="38" t="n"/>
      <c r="C174" s="38" t="n"/>
      <c r="D174" s="38" t="n"/>
      <c r="E174" s="38" t="n"/>
      <c r="F174" s="38" t="n"/>
      <c r="G174" s="38" t="n"/>
      <c r="H174" s="38" t="n"/>
      <c r="I174" s="54">
        <f>IF(C174="","",SUMIFS('JOBS'!$L$5:$L$1504,'JOBS'!$D$5:$D$1504,C174,'JOBS'!$O$5:$O$1504,"Completed"))</f>
        <v/>
      </c>
      <c r="J174" s="51">
        <f>IF(A174="","",DATE(YEAR(A174),MONTH(A174),1))</f>
        <v/>
      </c>
    </row>
    <row r="175">
      <c r="A175" s="47" t="n"/>
      <c r="B175" s="38" t="n"/>
      <c r="C175" s="38" t="n"/>
      <c r="D175" s="38" t="n"/>
      <c r="E175" s="38" t="n"/>
      <c r="F175" s="38" t="n"/>
      <c r="G175" s="38" t="n"/>
      <c r="H175" s="38" t="n"/>
      <c r="I175" s="54">
        <f>IF(C175="","",SUMIFS('JOBS'!$L$5:$L$1504,'JOBS'!$D$5:$D$1504,C175,'JOBS'!$O$5:$O$1504,"Completed"))</f>
        <v/>
      </c>
      <c r="J175" s="51">
        <f>IF(A175="","",DATE(YEAR(A175),MONTH(A175),1))</f>
        <v/>
      </c>
    </row>
    <row r="176">
      <c r="A176" s="47" t="n"/>
      <c r="B176" s="38" t="n"/>
      <c r="C176" s="38" t="n"/>
      <c r="D176" s="38" t="n"/>
      <c r="E176" s="38" t="n"/>
      <c r="F176" s="38" t="n"/>
      <c r="G176" s="38" t="n"/>
      <c r="H176" s="38" t="n"/>
      <c r="I176" s="54">
        <f>IF(C176="","",SUMIFS('JOBS'!$L$5:$L$1504,'JOBS'!$D$5:$D$1504,C176,'JOBS'!$O$5:$O$1504,"Completed"))</f>
        <v/>
      </c>
      <c r="J176" s="51">
        <f>IF(A176="","",DATE(YEAR(A176),MONTH(A176),1))</f>
        <v/>
      </c>
    </row>
    <row r="177">
      <c r="A177" s="47" t="n"/>
      <c r="B177" s="38" t="n"/>
      <c r="C177" s="38" t="n"/>
      <c r="D177" s="38" t="n"/>
      <c r="E177" s="38" t="n"/>
      <c r="F177" s="38" t="n"/>
      <c r="G177" s="38" t="n"/>
      <c r="H177" s="38" t="n"/>
      <c r="I177" s="54">
        <f>IF(C177="","",SUMIFS('JOBS'!$L$5:$L$1504,'JOBS'!$D$5:$D$1504,C177,'JOBS'!$O$5:$O$1504,"Completed"))</f>
        <v/>
      </c>
      <c r="J177" s="51">
        <f>IF(A177="","",DATE(YEAR(A177),MONTH(A177),1))</f>
        <v/>
      </c>
    </row>
    <row r="178">
      <c r="A178" s="47" t="n"/>
      <c r="B178" s="38" t="n"/>
      <c r="C178" s="38" t="n"/>
      <c r="D178" s="38" t="n"/>
      <c r="E178" s="38" t="n"/>
      <c r="F178" s="38" t="n"/>
      <c r="G178" s="38" t="n"/>
      <c r="H178" s="38" t="n"/>
      <c r="I178" s="54">
        <f>IF(C178="","",SUMIFS('JOBS'!$L$5:$L$1504,'JOBS'!$D$5:$D$1504,C178,'JOBS'!$O$5:$O$1504,"Completed"))</f>
        <v/>
      </c>
      <c r="J178" s="51">
        <f>IF(A178="","",DATE(YEAR(A178),MONTH(A178),1))</f>
        <v/>
      </c>
    </row>
    <row r="179">
      <c r="A179" s="47" t="n"/>
      <c r="B179" s="38" t="n"/>
      <c r="C179" s="38" t="n"/>
      <c r="D179" s="38" t="n"/>
      <c r="E179" s="38" t="n"/>
      <c r="F179" s="38" t="n"/>
      <c r="G179" s="38" t="n"/>
      <c r="H179" s="38" t="n"/>
      <c r="I179" s="54">
        <f>IF(C179="","",SUMIFS('JOBS'!$L$5:$L$1504,'JOBS'!$D$5:$D$1504,C179,'JOBS'!$O$5:$O$1504,"Completed"))</f>
        <v/>
      </c>
      <c r="J179" s="51">
        <f>IF(A179="","",DATE(YEAR(A179),MONTH(A179),1))</f>
        <v/>
      </c>
    </row>
    <row r="180">
      <c r="A180" s="47" t="n"/>
      <c r="B180" s="38" t="n"/>
      <c r="C180" s="38" t="n"/>
      <c r="D180" s="38" t="n"/>
      <c r="E180" s="38" t="n"/>
      <c r="F180" s="38" t="n"/>
      <c r="G180" s="38" t="n"/>
      <c r="H180" s="38" t="n"/>
      <c r="I180" s="54">
        <f>IF(C180="","",SUMIFS('JOBS'!$L$5:$L$1504,'JOBS'!$D$5:$D$1504,C180,'JOBS'!$O$5:$O$1504,"Completed"))</f>
        <v/>
      </c>
      <c r="J180" s="51">
        <f>IF(A180="","",DATE(YEAR(A180),MONTH(A180),1))</f>
        <v/>
      </c>
    </row>
    <row r="181">
      <c r="A181" s="47" t="n"/>
      <c r="B181" s="38" t="n"/>
      <c r="C181" s="38" t="n"/>
      <c r="D181" s="38" t="n"/>
      <c r="E181" s="38" t="n"/>
      <c r="F181" s="38" t="n"/>
      <c r="G181" s="38" t="n"/>
      <c r="H181" s="38" t="n"/>
      <c r="I181" s="54">
        <f>IF(C181="","",SUMIFS('JOBS'!$L$5:$L$1504,'JOBS'!$D$5:$D$1504,C181,'JOBS'!$O$5:$O$1504,"Completed"))</f>
        <v/>
      </c>
      <c r="J181" s="51">
        <f>IF(A181="","",DATE(YEAR(A181),MONTH(A181),1))</f>
        <v/>
      </c>
    </row>
    <row r="182">
      <c r="A182" s="47" t="n"/>
      <c r="B182" s="38" t="n"/>
      <c r="C182" s="38" t="n"/>
      <c r="D182" s="38" t="n"/>
      <c r="E182" s="38" t="n"/>
      <c r="F182" s="38" t="n"/>
      <c r="G182" s="38" t="n"/>
      <c r="H182" s="38" t="n"/>
      <c r="I182" s="54">
        <f>IF(C182="","",SUMIFS('JOBS'!$L$5:$L$1504,'JOBS'!$D$5:$D$1504,C182,'JOBS'!$O$5:$O$1504,"Completed"))</f>
        <v/>
      </c>
      <c r="J182" s="51">
        <f>IF(A182="","",DATE(YEAR(A182),MONTH(A182),1))</f>
        <v/>
      </c>
    </row>
    <row r="183">
      <c r="A183" s="47" t="n"/>
      <c r="B183" s="38" t="n"/>
      <c r="C183" s="38" t="n"/>
      <c r="D183" s="38" t="n"/>
      <c r="E183" s="38" t="n"/>
      <c r="F183" s="38" t="n"/>
      <c r="G183" s="38" t="n"/>
      <c r="H183" s="38" t="n"/>
      <c r="I183" s="54">
        <f>IF(C183="","",SUMIFS('JOBS'!$L$5:$L$1504,'JOBS'!$D$5:$D$1504,C183,'JOBS'!$O$5:$O$1504,"Completed"))</f>
        <v/>
      </c>
      <c r="J183" s="51">
        <f>IF(A183="","",DATE(YEAR(A183),MONTH(A183),1))</f>
        <v/>
      </c>
    </row>
    <row r="184">
      <c r="A184" s="47" t="n"/>
      <c r="B184" s="38" t="n"/>
      <c r="C184" s="38" t="n"/>
      <c r="D184" s="38" t="n"/>
      <c r="E184" s="38" t="n"/>
      <c r="F184" s="38" t="n"/>
      <c r="G184" s="38" t="n"/>
      <c r="H184" s="38" t="n"/>
      <c r="I184" s="54">
        <f>IF(C184="","",SUMIFS('JOBS'!$L$5:$L$1504,'JOBS'!$D$5:$D$1504,C184,'JOBS'!$O$5:$O$1504,"Completed"))</f>
        <v/>
      </c>
      <c r="J184" s="51">
        <f>IF(A184="","",DATE(YEAR(A184),MONTH(A184),1))</f>
        <v/>
      </c>
    </row>
    <row r="185">
      <c r="A185" s="47" t="n"/>
      <c r="B185" s="38" t="n"/>
      <c r="C185" s="38" t="n"/>
      <c r="D185" s="38" t="n"/>
      <c r="E185" s="38" t="n"/>
      <c r="F185" s="38" t="n"/>
      <c r="G185" s="38" t="n"/>
      <c r="H185" s="38" t="n"/>
      <c r="I185" s="54">
        <f>IF(C185="","",SUMIFS('JOBS'!$L$5:$L$1504,'JOBS'!$D$5:$D$1504,C185,'JOBS'!$O$5:$O$1504,"Completed"))</f>
        <v/>
      </c>
      <c r="J185" s="51">
        <f>IF(A185="","",DATE(YEAR(A185),MONTH(A185),1))</f>
        <v/>
      </c>
    </row>
    <row r="186">
      <c r="A186" s="47" t="n"/>
      <c r="B186" s="38" t="n"/>
      <c r="C186" s="38" t="n"/>
      <c r="D186" s="38" t="n"/>
      <c r="E186" s="38" t="n"/>
      <c r="F186" s="38" t="n"/>
      <c r="G186" s="38" t="n"/>
      <c r="H186" s="38" t="n"/>
      <c r="I186" s="54">
        <f>IF(C186="","",SUMIFS('JOBS'!$L$5:$L$1504,'JOBS'!$D$5:$D$1504,C186,'JOBS'!$O$5:$O$1504,"Completed"))</f>
        <v/>
      </c>
      <c r="J186" s="51">
        <f>IF(A186="","",DATE(YEAR(A186),MONTH(A186),1))</f>
        <v/>
      </c>
    </row>
    <row r="187">
      <c r="A187" s="47" t="n"/>
      <c r="B187" s="38" t="n"/>
      <c r="C187" s="38" t="n"/>
      <c r="D187" s="38" t="n"/>
      <c r="E187" s="38" t="n"/>
      <c r="F187" s="38" t="n"/>
      <c r="G187" s="38" t="n"/>
      <c r="H187" s="38" t="n"/>
      <c r="I187" s="54">
        <f>IF(C187="","",SUMIFS('JOBS'!$L$5:$L$1504,'JOBS'!$D$5:$D$1504,C187,'JOBS'!$O$5:$O$1504,"Completed"))</f>
        <v/>
      </c>
      <c r="J187" s="51">
        <f>IF(A187="","",DATE(YEAR(A187),MONTH(A187),1))</f>
        <v/>
      </c>
    </row>
    <row r="188">
      <c r="A188" s="47" t="n"/>
      <c r="B188" s="38" t="n"/>
      <c r="C188" s="38" t="n"/>
      <c r="D188" s="38" t="n"/>
      <c r="E188" s="38" t="n"/>
      <c r="F188" s="38" t="n"/>
      <c r="G188" s="38" t="n"/>
      <c r="H188" s="38" t="n"/>
      <c r="I188" s="54">
        <f>IF(C188="","",SUMIFS('JOBS'!$L$5:$L$1504,'JOBS'!$D$5:$D$1504,C188,'JOBS'!$O$5:$O$1504,"Completed"))</f>
        <v/>
      </c>
      <c r="J188" s="51">
        <f>IF(A188="","",DATE(YEAR(A188),MONTH(A188),1))</f>
        <v/>
      </c>
    </row>
    <row r="189">
      <c r="A189" s="47" t="n"/>
      <c r="B189" s="38" t="n"/>
      <c r="C189" s="38" t="n"/>
      <c r="D189" s="38" t="n"/>
      <c r="E189" s="38" t="n"/>
      <c r="F189" s="38" t="n"/>
      <c r="G189" s="38" t="n"/>
      <c r="H189" s="38" t="n"/>
      <c r="I189" s="54">
        <f>IF(C189="","",SUMIFS('JOBS'!$L$5:$L$1504,'JOBS'!$D$5:$D$1504,C189,'JOBS'!$O$5:$O$1504,"Completed"))</f>
        <v/>
      </c>
      <c r="J189" s="51">
        <f>IF(A189="","",DATE(YEAR(A189),MONTH(A189),1))</f>
        <v/>
      </c>
    </row>
    <row r="190">
      <c r="A190" s="47" t="n"/>
      <c r="B190" s="38" t="n"/>
      <c r="C190" s="38" t="n"/>
      <c r="D190" s="38" t="n"/>
      <c r="E190" s="38" t="n"/>
      <c r="F190" s="38" t="n"/>
      <c r="G190" s="38" t="n"/>
      <c r="H190" s="38" t="n"/>
      <c r="I190" s="54">
        <f>IF(C190="","",SUMIFS('JOBS'!$L$5:$L$1504,'JOBS'!$D$5:$D$1504,C190,'JOBS'!$O$5:$O$1504,"Completed"))</f>
        <v/>
      </c>
      <c r="J190" s="51">
        <f>IF(A190="","",DATE(YEAR(A190),MONTH(A190),1))</f>
        <v/>
      </c>
    </row>
    <row r="191">
      <c r="A191" s="47" t="n"/>
      <c r="B191" s="38" t="n"/>
      <c r="C191" s="38" t="n"/>
      <c r="D191" s="38" t="n"/>
      <c r="E191" s="38" t="n"/>
      <c r="F191" s="38" t="n"/>
      <c r="G191" s="38" t="n"/>
      <c r="H191" s="38" t="n"/>
      <c r="I191" s="54">
        <f>IF(C191="","",SUMIFS('JOBS'!$L$5:$L$1504,'JOBS'!$D$5:$D$1504,C191,'JOBS'!$O$5:$O$1504,"Completed"))</f>
        <v/>
      </c>
      <c r="J191" s="51">
        <f>IF(A191="","",DATE(YEAR(A191),MONTH(A191),1))</f>
        <v/>
      </c>
    </row>
    <row r="192">
      <c r="A192" s="47" t="n"/>
      <c r="B192" s="38" t="n"/>
      <c r="C192" s="38" t="n"/>
      <c r="D192" s="38" t="n"/>
      <c r="E192" s="38" t="n"/>
      <c r="F192" s="38" t="n"/>
      <c r="G192" s="38" t="n"/>
      <c r="H192" s="38" t="n"/>
      <c r="I192" s="54">
        <f>IF(C192="","",SUMIFS('JOBS'!$L$5:$L$1504,'JOBS'!$D$5:$D$1504,C192,'JOBS'!$O$5:$O$1504,"Completed"))</f>
        <v/>
      </c>
      <c r="J192" s="51">
        <f>IF(A192="","",DATE(YEAR(A192),MONTH(A192),1))</f>
        <v/>
      </c>
    </row>
    <row r="193">
      <c r="A193" s="47" t="n"/>
      <c r="B193" s="38" t="n"/>
      <c r="C193" s="38" t="n"/>
      <c r="D193" s="38" t="n"/>
      <c r="E193" s="38" t="n"/>
      <c r="F193" s="38" t="n"/>
      <c r="G193" s="38" t="n"/>
      <c r="H193" s="38" t="n"/>
      <c r="I193" s="54">
        <f>IF(C193="","",SUMIFS('JOBS'!$L$5:$L$1504,'JOBS'!$D$5:$D$1504,C193,'JOBS'!$O$5:$O$1504,"Completed"))</f>
        <v/>
      </c>
      <c r="J193" s="51">
        <f>IF(A193="","",DATE(YEAR(A193),MONTH(A193),1))</f>
        <v/>
      </c>
    </row>
    <row r="194">
      <c r="A194" s="47" t="n"/>
      <c r="B194" s="38" t="n"/>
      <c r="C194" s="38" t="n"/>
      <c r="D194" s="38" t="n"/>
      <c r="E194" s="38" t="n"/>
      <c r="F194" s="38" t="n"/>
      <c r="G194" s="38" t="n"/>
      <c r="H194" s="38" t="n"/>
      <c r="I194" s="54">
        <f>IF(C194="","",SUMIFS('JOBS'!$L$5:$L$1504,'JOBS'!$D$5:$D$1504,C194,'JOBS'!$O$5:$O$1504,"Completed"))</f>
        <v/>
      </c>
      <c r="J194" s="51">
        <f>IF(A194="","",DATE(YEAR(A194),MONTH(A194),1))</f>
        <v/>
      </c>
    </row>
    <row r="195">
      <c r="A195" s="47" t="n"/>
      <c r="B195" s="38" t="n"/>
      <c r="C195" s="38" t="n"/>
      <c r="D195" s="38" t="n"/>
      <c r="E195" s="38" t="n"/>
      <c r="F195" s="38" t="n"/>
      <c r="G195" s="38" t="n"/>
      <c r="H195" s="38" t="n"/>
      <c r="I195" s="54">
        <f>IF(C195="","",SUMIFS('JOBS'!$L$5:$L$1504,'JOBS'!$D$5:$D$1504,C195,'JOBS'!$O$5:$O$1504,"Completed"))</f>
        <v/>
      </c>
      <c r="J195" s="51">
        <f>IF(A195="","",DATE(YEAR(A195),MONTH(A195),1))</f>
        <v/>
      </c>
    </row>
    <row r="196">
      <c r="A196" s="47" t="n"/>
      <c r="B196" s="38" t="n"/>
      <c r="C196" s="38" t="n"/>
      <c r="D196" s="38" t="n"/>
      <c r="E196" s="38" t="n"/>
      <c r="F196" s="38" t="n"/>
      <c r="G196" s="38" t="n"/>
      <c r="H196" s="38" t="n"/>
      <c r="I196" s="54">
        <f>IF(C196="","",SUMIFS('JOBS'!$L$5:$L$1504,'JOBS'!$D$5:$D$1504,C196,'JOBS'!$O$5:$O$1504,"Completed"))</f>
        <v/>
      </c>
      <c r="J196" s="51">
        <f>IF(A196="","",DATE(YEAR(A196),MONTH(A196),1))</f>
        <v/>
      </c>
    </row>
    <row r="197">
      <c r="A197" s="47" t="n"/>
      <c r="B197" s="38" t="n"/>
      <c r="C197" s="38" t="n"/>
      <c r="D197" s="38" t="n"/>
      <c r="E197" s="38" t="n"/>
      <c r="F197" s="38" t="n"/>
      <c r="G197" s="38" t="n"/>
      <c r="H197" s="38" t="n"/>
      <c r="I197" s="54">
        <f>IF(C197="","",SUMIFS('JOBS'!$L$5:$L$1504,'JOBS'!$D$5:$D$1504,C197,'JOBS'!$O$5:$O$1504,"Completed"))</f>
        <v/>
      </c>
      <c r="J197" s="51">
        <f>IF(A197="","",DATE(YEAR(A197),MONTH(A197),1))</f>
        <v/>
      </c>
    </row>
    <row r="198">
      <c r="A198" s="47" t="n"/>
      <c r="B198" s="38" t="n"/>
      <c r="C198" s="38" t="n"/>
      <c r="D198" s="38" t="n"/>
      <c r="E198" s="38" t="n"/>
      <c r="F198" s="38" t="n"/>
      <c r="G198" s="38" t="n"/>
      <c r="H198" s="38" t="n"/>
      <c r="I198" s="54">
        <f>IF(C198="","",SUMIFS('JOBS'!$L$5:$L$1504,'JOBS'!$D$5:$D$1504,C198,'JOBS'!$O$5:$O$1504,"Completed"))</f>
        <v/>
      </c>
      <c r="J198" s="51">
        <f>IF(A198="","",DATE(YEAR(A198),MONTH(A198),1))</f>
        <v/>
      </c>
    </row>
    <row r="199">
      <c r="A199" s="47" t="n"/>
      <c r="B199" s="38" t="n"/>
      <c r="C199" s="38" t="n"/>
      <c r="D199" s="38" t="n"/>
      <c r="E199" s="38" t="n"/>
      <c r="F199" s="38" t="n"/>
      <c r="G199" s="38" t="n"/>
      <c r="H199" s="38" t="n"/>
      <c r="I199" s="54">
        <f>IF(C199="","",SUMIFS('JOBS'!$L$5:$L$1504,'JOBS'!$D$5:$D$1504,C199,'JOBS'!$O$5:$O$1504,"Completed"))</f>
        <v/>
      </c>
      <c r="J199" s="51">
        <f>IF(A199="","",DATE(YEAR(A199),MONTH(A199),1))</f>
        <v/>
      </c>
    </row>
    <row r="200">
      <c r="A200" s="47" t="n"/>
      <c r="B200" s="38" t="n"/>
      <c r="C200" s="38" t="n"/>
      <c r="D200" s="38" t="n"/>
      <c r="E200" s="38" t="n"/>
      <c r="F200" s="38" t="n"/>
      <c r="G200" s="38" t="n"/>
      <c r="H200" s="38" t="n"/>
      <c r="I200" s="54">
        <f>IF(C200="","",SUMIFS('JOBS'!$L$5:$L$1504,'JOBS'!$D$5:$D$1504,C200,'JOBS'!$O$5:$O$1504,"Completed"))</f>
        <v/>
      </c>
      <c r="J200" s="51">
        <f>IF(A200="","",DATE(YEAR(A200),MONTH(A200),1))</f>
        <v/>
      </c>
    </row>
    <row r="201">
      <c r="A201" s="47" t="n"/>
      <c r="B201" s="38" t="n"/>
      <c r="C201" s="38" t="n"/>
      <c r="D201" s="38" t="n"/>
      <c r="E201" s="38" t="n"/>
      <c r="F201" s="38" t="n"/>
      <c r="G201" s="38" t="n"/>
      <c r="H201" s="38" t="n"/>
      <c r="I201" s="54">
        <f>IF(C201="","",SUMIFS('JOBS'!$L$5:$L$1504,'JOBS'!$D$5:$D$1504,C201,'JOBS'!$O$5:$O$1504,"Completed"))</f>
        <v/>
      </c>
      <c r="J201" s="51">
        <f>IF(A201="","",DATE(YEAR(A201),MONTH(A201),1))</f>
        <v/>
      </c>
    </row>
    <row r="202">
      <c r="A202" s="47" t="n"/>
      <c r="B202" s="38" t="n"/>
      <c r="C202" s="38" t="n"/>
      <c r="D202" s="38" t="n"/>
      <c r="E202" s="38" t="n"/>
      <c r="F202" s="38" t="n"/>
      <c r="G202" s="38" t="n"/>
      <c r="H202" s="38" t="n"/>
      <c r="I202" s="54">
        <f>IF(C202="","",SUMIFS('JOBS'!$L$5:$L$1504,'JOBS'!$D$5:$D$1504,C202,'JOBS'!$O$5:$O$1504,"Completed"))</f>
        <v/>
      </c>
      <c r="J202" s="51">
        <f>IF(A202="","",DATE(YEAR(A202),MONTH(A202),1))</f>
        <v/>
      </c>
    </row>
    <row r="203">
      <c r="A203" s="47" t="n"/>
      <c r="B203" s="38" t="n"/>
      <c r="C203" s="38" t="n"/>
      <c r="D203" s="38" t="n"/>
      <c r="E203" s="38" t="n"/>
      <c r="F203" s="38" t="n"/>
      <c r="G203" s="38" t="n"/>
      <c r="H203" s="38" t="n"/>
      <c r="I203" s="54">
        <f>IF(C203="","",SUMIFS('JOBS'!$L$5:$L$1504,'JOBS'!$D$5:$D$1504,C203,'JOBS'!$O$5:$O$1504,"Completed"))</f>
        <v/>
      </c>
      <c r="J203" s="51">
        <f>IF(A203="","",DATE(YEAR(A203),MONTH(A203),1))</f>
        <v/>
      </c>
    </row>
    <row r="204">
      <c r="A204" s="47" t="n"/>
      <c r="B204" s="38" t="n"/>
      <c r="C204" s="38" t="n"/>
      <c r="D204" s="38" t="n"/>
      <c r="E204" s="38" t="n"/>
      <c r="F204" s="38" t="n"/>
      <c r="G204" s="38" t="n"/>
      <c r="H204" s="38" t="n"/>
      <c r="I204" s="54">
        <f>IF(C204="","",SUMIFS('JOBS'!$L$5:$L$1504,'JOBS'!$D$5:$D$1504,C204,'JOBS'!$O$5:$O$1504,"Completed"))</f>
        <v/>
      </c>
      <c r="J204" s="51">
        <f>IF(A204="","",DATE(YEAR(A204),MONTH(A204),1))</f>
        <v/>
      </c>
    </row>
  </sheetData>
  <autoFilter ref="A4:J204"/>
  <mergeCells count="2">
    <mergeCell ref="A1:J1"/>
    <mergeCell ref="A2:J2"/>
  </mergeCells>
  <conditionalFormatting sqref="G5:G204">
    <cfRule type="expression" priority="1" dxfId="0">
      <formula>G5="Owed"</formula>
    </cfRule>
  </conditionalFormatting>
  <conditionalFormatting sqref="E5:E204">
    <cfRule type="expression" priority="2" dxfId="3">
      <formula>E5="Booked"</formula>
    </cfRule>
  </conditionalFormatting>
  <dataValidations count="3">
    <dataValidation sqref="B5:B204" showDropDown="0" showInputMessage="0" showErrorMessage="0" allowBlank="1" type="list">
      <formula1>='CUSTOMERS'!$B$5:$B$404</formula1>
    </dataValidation>
    <dataValidation sqref="E5:E204" showDropDown="0" showInputMessage="0" showErrorMessage="0" allowBlank="1" type="list">
      <formula1>='SETTINGS'!$AC$5:$AC$9</formula1>
    </dataValidation>
    <dataValidation sqref="G5:G204" showDropDown="0" showInputMessage="0" showErrorMessage="0" allowBlank="1" type="list">
      <formula1>='SETTINGS'!$AD$5:$AD$7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20.xml><?xml version="1.0" encoding="utf-8"?>
<worksheet xmlns="http://schemas.openxmlformats.org/spreadsheetml/2006/main">
  <sheetPr>
    <tabColor rgb="002BB3A3"/>
    <outlinePr summaryBelow="1" summaryRight="1"/>
    <pageSetUpPr fitToPage="1"/>
  </sheetPr>
  <dimension ref="A1:P46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8" customWidth="1" min="3" max="3"/>
    <col width="15" customWidth="1" min="4" max="4"/>
    <col width="28" customWidth="1" min="5" max="5"/>
    <col width="28" customWidth="1" min="6" max="6"/>
    <col width="28" customWidth="1" min="7" max="7"/>
    <col width="13" customWidth="1" min="8" max="8"/>
    <col width="13" customWidth="1" min="9" max="9"/>
    <col width="13" customWidth="1" min="10" max="10"/>
    <col width="18" customWidth="1" min="11" max="11"/>
    <col width="14" customWidth="1" min="12" max="12"/>
    <col width="13" customWidth="1" min="13" max="13"/>
    <col width="13" customWidth="1" min="14" max="14"/>
    <col width="13" customWidth="1" min="15" max="15"/>
    <col width="13" customWidth="1" min="16" max="16"/>
  </cols>
  <sheetData>
    <row r="1" ht="34" customHeight="1">
      <c r="A1" s="42" t="inlineStr">
        <is>
          <t>QUALITY CONTROL</t>
        </is>
      </c>
      <c r="B1" s="1" t="n"/>
      <c r="C1" s="1" t="n"/>
      <c r="D1" s="1" t="n"/>
      <c r="E1" s="1" t="n"/>
      <c r="F1" s="1" t="n"/>
      <c r="G1" s="1" t="n"/>
      <c r="H1" s="1" t="n"/>
      <c r="I1" s="1" t="n"/>
      <c r="J1" s="1" t="n"/>
      <c r="K1" s="1" t="n"/>
      <c r="L1" s="1" t="n"/>
      <c r="M1" s="1" t="n"/>
      <c r="N1" s="1" t="n"/>
      <c r="O1" s="1" t="n"/>
      <c r="P1" s="1" t="n"/>
    </row>
    <row r="2" ht="30" customHeight="1">
      <c r="A2" s="43" t="inlineStr">
        <is>
          <t>Top: inspection log (score = items passed ÷ items checked). Bottom (row 311+): issue &amp; rework log for complaints and problems.</t>
        </is>
      </c>
    </row>
    <row r="3" ht="18" customHeight="1">
      <c r="A3" s="24" t="inlineStr">
        <is>
          <t>← Start Here</t>
        </is>
      </c>
      <c r="B3" s="24" t="inlineStr">
        <is>
          <t>Dashboard →</t>
        </is>
      </c>
      <c r="D3" s="24" t="inlineStr">
        <is>
          <t>Jump to Issue Log ↓</t>
        </is>
      </c>
    </row>
    <row r="4" ht="42" customHeight="1">
      <c r="A4" s="44" t="inlineStr">
        <is>
          <t>Inspection Date</t>
        </is>
      </c>
      <c r="B4" s="44" t="inlineStr">
        <is>
          <t>Job ID</t>
        </is>
      </c>
      <c r="C4" s="44" t="inlineStr">
        <is>
          <t>Checklist Used</t>
        </is>
      </c>
      <c r="D4" s="44" t="inlineStr">
        <is>
          <t>Inspector</t>
        </is>
      </c>
      <c r="E4" s="44" t="inlineStr">
        <is>
          <t>Items Checked</t>
        </is>
      </c>
      <c r="F4" s="44" t="inlineStr">
        <is>
          <t>Items Passed</t>
        </is>
      </c>
      <c r="G4" s="44" t="inlineStr">
        <is>
          <t>Issues Found</t>
        </is>
      </c>
      <c r="H4" s="44" t="inlineStr">
        <is>
          <t>Rework Needed?</t>
        </is>
      </c>
      <c r="I4" s="44" t="inlineStr">
        <is>
          <t>Rework Date</t>
        </is>
      </c>
      <c r="J4" s="44" t="inlineStr">
        <is>
          <t>Resolved?</t>
        </is>
      </c>
      <c r="K4" s="45" t="inlineStr">
        <is>
          <t>Customer ⚙</t>
        </is>
      </c>
      <c r="L4" s="45" t="inlineStr">
        <is>
          <t>Worker ⚙</t>
        </is>
      </c>
      <c r="M4" s="45" t="inlineStr">
        <is>
          <t>Score ⚙</t>
        </is>
      </c>
      <c r="N4" s="45" t="inlineStr">
        <is>
          <t>Result ⚙</t>
        </is>
      </c>
      <c r="O4" s="45" t="inlineStr">
        <is>
          <t>Rework Status ⚙</t>
        </is>
      </c>
      <c r="P4" s="45" t="inlineStr">
        <is>
          <t>Month ⚙</t>
        </is>
      </c>
    </row>
    <row r="5">
      <c r="A5" s="47" t="n">
        <v>46038</v>
      </c>
      <c r="B5" s="38" t="inlineStr">
        <is>
          <t>J-0003</t>
        </is>
      </c>
      <c r="C5" s="38" t="inlineStr">
        <is>
          <t>Residential Standard</t>
        </is>
      </c>
      <c r="D5" s="38" t="inlineStr">
        <is>
          <t>Jordan Rivera</t>
        </is>
      </c>
      <c r="E5" s="57" t="n">
        <v>23</v>
      </c>
      <c r="F5" s="57" t="n">
        <v>23</v>
      </c>
      <c r="G5" s="38" t="inlineStr"/>
      <c r="H5" s="38" t="inlineStr">
        <is>
          <t>No</t>
        </is>
      </c>
      <c r="I5" s="47" t="n"/>
      <c r="J5" s="38" t="n"/>
      <c r="K5" s="49">
        <f>IF(B5="","",IFERROR(INDEX('JOBS'!$D$5:$D$1504,MATCH(B5,'JOBS'!$A$5:$A$1504,0)),""))</f>
        <v/>
      </c>
      <c r="L5" s="49">
        <f>IF(B5="","",IFERROR(INDEX('JOBS'!$H$5:$H$1504,MATCH(B5,'JOBS'!$A$5:$A$1504,0)),""))</f>
        <v/>
      </c>
      <c r="M5" s="99">
        <f>IF(N(E5)=0,"",MIN(1,N(F5)/E5))</f>
        <v/>
      </c>
      <c r="N5" s="49">
        <f>IF(M5="","",IF(M5&gt;=QCPass,"Pass","Fail"))</f>
        <v/>
      </c>
      <c r="O5" s="49">
        <f>IF(A5="","",IF(H5&lt;&gt;"Yes","—",IF(J5="Yes","Resolved","Rework open")))</f>
        <v/>
      </c>
      <c r="P5" s="51">
        <f>IF(A5="","",DATE(YEAR(A5),MONTH(A5),1))</f>
        <v/>
      </c>
    </row>
    <row r="6">
      <c r="A6" s="47" t="n">
        <v>46049</v>
      </c>
      <c r="B6" s="38" t="inlineStr">
        <is>
          <t>J-0009</t>
        </is>
      </c>
      <c r="C6" s="38" t="inlineStr">
        <is>
          <t>Airbnb Turnover</t>
        </is>
      </c>
      <c r="D6" s="38" t="inlineStr">
        <is>
          <t>Jordan Rivera</t>
        </is>
      </c>
      <c r="E6" s="57" t="n">
        <v>26</v>
      </c>
      <c r="F6" s="57" t="n">
        <v>25</v>
      </c>
      <c r="G6" s="38" t="inlineStr">
        <is>
          <t>Trash not replaced in bath</t>
        </is>
      </c>
      <c r="H6" s="38" t="inlineStr">
        <is>
          <t>No</t>
        </is>
      </c>
      <c r="I6" s="47" t="n"/>
      <c r="J6" s="38" t="n"/>
      <c r="K6" s="49">
        <f>IF(B6="","",IFERROR(INDEX('JOBS'!$D$5:$D$1504,MATCH(B6,'JOBS'!$A$5:$A$1504,0)),""))</f>
        <v/>
      </c>
      <c r="L6" s="49">
        <f>IF(B6="","",IFERROR(INDEX('JOBS'!$H$5:$H$1504,MATCH(B6,'JOBS'!$A$5:$A$1504,0)),""))</f>
        <v/>
      </c>
      <c r="M6" s="99">
        <f>IF(N(E6)=0,"",MIN(1,N(F6)/E6))</f>
        <v/>
      </c>
      <c r="N6" s="49">
        <f>IF(M6="","",IF(M6&gt;=QCPass,"Pass","Fail"))</f>
        <v/>
      </c>
      <c r="O6" s="49">
        <f>IF(A6="","",IF(H6&lt;&gt;"Yes","—",IF(J6="Yes","Resolved","Rework open")))</f>
        <v/>
      </c>
      <c r="P6" s="51">
        <f>IF(A6="","",DATE(YEAR(A6),MONTH(A6),1))</f>
        <v/>
      </c>
    </row>
    <row r="7">
      <c r="A7" s="47" t="n">
        <v>46059</v>
      </c>
      <c r="B7" s="38" t="inlineStr">
        <is>
          <t>J-0015</t>
        </is>
      </c>
      <c r="C7" s="38" t="inlineStr">
        <is>
          <t>Commercial</t>
        </is>
      </c>
      <c r="D7" s="38" t="inlineStr">
        <is>
          <t>Jordan Rivera</t>
        </is>
      </c>
      <c r="E7" s="57" t="n">
        <v>21</v>
      </c>
      <c r="F7" s="57" t="n">
        <v>20</v>
      </c>
      <c r="G7" s="38" t="inlineStr">
        <is>
          <t>Streaks on mirror</t>
        </is>
      </c>
      <c r="H7" s="38" t="inlineStr">
        <is>
          <t>No</t>
        </is>
      </c>
      <c r="I7" s="47" t="n"/>
      <c r="J7" s="38" t="n"/>
      <c r="K7" s="49">
        <f>IF(B7="","",IFERROR(INDEX('JOBS'!$D$5:$D$1504,MATCH(B7,'JOBS'!$A$5:$A$1504,0)),""))</f>
        <v/>
      </c>
      <c r="L7" s="49">
        <f>IF(B7="","",IFERROR(INDEX('JOBS'!$H$5:$H$1504,MATCH(B7,'JOBS'!$A$5:$A$1504,0)),""))</f>
        <v/>
      </c>
      <c r="M7" s="99">
        <f>IF(N(E7)=0,"",MIN(1,N(F7)/E7))</f>
        <v/>
      </c>
      <c r="N7" s="49">
        <f>IF(M7="","",IF(M7&gt;=QCPass,"Pass","Fail"))</f>
        <v/>
      </c>
      <c r="O7" s="49">
        <f>IF(A7="","",IF(H7&lt;&gt;"Yes","—",IF(J7="Yes","Resolved","Rework open")))</f>
        <v/>
      </c>
      <c r="P7" s="51">
        <f>IF(A7="","",DATE(YEAR(A7),MONTH(A7),1))</f>
        <v/>
      </c>
    </row>
    <row r="8">
      <c r="A8" s="47" t="n">
        <v>46063</v>
      </c>
      <c r="B8" s="38" t="inlineStr">
        <is>
          <t>J-0017</t>
        </is>
      </c>
      <c r="C8" s="38" t="inlineStr">
        <is>
          <t>Residential Standard</t>
        </is>
      </c>
      <c r="D8" s="38" t="inlineStr">
        <is>
          <t>Jordan Rivera</t>
        </is>
      </c>
      <c r="E8" s="57" t="n">
        <v>27</v>
      </c>
      <c r="F8" s="57" t="n">
        <v>24</v>
      </c>
      <c r="G8" s="38" t="inlineStr">
        <is>
          <t>Dust on ceiling fan</t>
        </is>
      </c>
      <c r="H8" s="38" t="inlineStr">
        <is>
          <t>Yes</t>
        </is>
      </c>
      <c r="I8" s="47" t="n">
        <v>46064</v>
      </c>
      <c r="J8" s="38" t="inlineStr">
        <is>
          <t>Yes</t>
        </is>
      </c>
      <c r="K8" s="49">
        <f>IF(B8="","",IFERROR(INDEX('JOBS'!$D$5:$D$1504,MATCH(B8,'JOBS'!$A$5:$A$1504,0)),""))</f>
        <v/>
      </c>
      <c r="L8" s="49">
        <f>IF(B8="","",IFERROR(INDEX('JOBS'!$H$5:$H$1504,MATCH(B8,'JOBS'!$A$5:$A$1504,0)),""))</f>
        <v/>
      </c>
      <c r="M8" s="99">
        <f>IF(N(E8)=0,"",MIN(1,N(F8)/E8))</f>
        <v/>
      </c>
      <c r="N8" s="49">
        <f>IF(M8="","",IF(M8&gt;=QCPass,"Pass","Fail"))</f>
        <v/>
      </c>
      <c r="O8" s="49">
        <f>IF(A8="","",IF(H8&lt;&gt;"Yes","—",IF(J8="Yes","Resolved","Rework open")))</f>
        <v/>
      </c>
      <c r="P8" s="51">
        <f>IF(A8="","",DATE(YEAR(A8),MONTH(A8),1))</f>
        <v/>
      </c>
    </row>
    <row r="9">
      <c r="A9" s="47" t="n">
        <v>46065</v>
      </c>
      <c r="B9" s="38" t="inlineStr">
        <is>
          <t>J-0018</t>
        </is>
      </c>
      <c r="C9" s="38" t="inlineStr">
        <is>
          <t>Airbnb Turnover</t>
        </is>
      </c>
      <c r="D9" s="38" t="inlineStr">
        <is>
          <t>Jordan Rivera</t>
        </is>
      </c>
      <c r="E9" s="57" t="n">
        <v>21</v>
      </c>
      <c r="F9" s="57" t="n">
        <v>18</v>
      </c>
      <c r="G9" s="38" t="inlineStr">
        <is>
          <t>Streaks on mirror</t>
        </is>
      </c>
      <c r="H9" s="38" t="inlineStr">
        <is>
          <t>Yes</t>
        </is>
      </c>
      <c r="I9" s="47" t="n">
        <v>46066</v>
      </c>
      <c r="J9" s="38" t="inlineStr">
        <is>
          <t>Yes</t>
        </is>
      </c>
      <c r="K9" s="49">
        <f>IF(B9="","",IFERROR(INDEX('JOBS'!$D$5:$D$1504,MATCH(B9,'JOBS'!$A$5:$A$1504,0)),""))</f>
        <v/>
      </c>
      <c r="L9" s="49">
        <f>IF(B9="","",IFERROR(INDEX('JOBS'!$H$5:$H$1504,MATCH(B9,'JOBS'!$A$5:$A$1504,0)),""))</f>
        <v/>
      </c>
      <c r="M9" s="99">
        <f>IF(N(E9)=0,"",MIN(1,N(F9)/E9))</f>
        <v/>
      </c>
      <c r="N9" s="49">
        <f>IF(M9="","",IF(M9&gt;=QCPass,"Pass","Fail"))</f>
        <v/>
      </c>
      <c r="O9" s="49">
        <f>IF(A9="","",IF(H9&lt;&gt;"Yes","—",IF(J9="Yes","Resolved","Rework open")))</f>
        <v/>
      </c>
      <c r="P9" s="51">
        <f>IF(A9="","",DATE(YEAR(A9),MONTH(A9),1))</f>
        <v/>
      </c>
    </row>
    <row r="10">
      <c r="A10" s="47" t="n">
        <v>46073</v>
      </c>
      <c r="B10" s="38" t="inlineStr">
        <is>
          <t>J-0025</t>
        </is>
      </c>
      <c r="C10" s="38" t="inlineStr">
        <is>
          <t>Commercial</t>
        </is>
      </c>
      <c r="D10" s="38" t="inlineStr">
        <is>
          <t>Jordan Rivera</t>
        </is>
      </c>
      <c r="E10" s="57" t="n">
        <v>24</v>
      </c>
      <c r="F10" s="57" t="n">
        <v>24</v>
      </c>
      <c r="G10" s="38" t="inlineStr"/>
      <c r="H10" s="38" t="inlineStr">
        <is>
          <t>No</t>
        </is>
      </c>
      <c r="I10" s="47" t="n"/>
      <c r="J10" s="38" t="n"/>
      <c r="K10" s="49">
        <f>IF(B10="","",IFERROR(INDEX('JOBS'!$D$5:$D$1504,MATCH(B10,'JOBS'!$A$5:$A$1504,0)),""))</f>
        <v/>
      </c>
      <c r="L10" s="49">
        <f>IF(B10="","",IFERROR(INDEX('JOBS'!$H$5:$H$1504,MATCH(B10,'JOBS'!$A$5:$A$1504,0)),""))</f>
        <v/>
      </c>
      <c r="M10" s="99">
        <f>IF(N(E10)=0,"",MIN(1,N(F10)/E10))</f>
        <v/>
      </c>
      <c r="N10" s="49">
        <f>IF(M10="","",IF(M10&gt;=QCPass,"Pass","Fail"))</f>
        <v/>
      </c>
      <c r="O10" s="49">
        <f>IF(A10="","",IF(H10&lt;&gt;"Yes","—",IF(J10="Yes","Resolved","Rework open")))</f>
        <v/>
      </c>
      <c r="P10" s="51">
        <f>IF(A10="","",DATE(YEAR(A10),MONTH(A10),1))</f>
        <v/>
      </c>
    </row>
    <row r="11">
      <c r="A11" s="47" t="n">
        <v>46083</v>
      </c>
      <c r="B11" s="38" t="inlineStr">
        <is>
          <t>J-0032</t>
        </is>
      </c>
      <c r="C11" s="38" t="inlineStr">
        <is>
          <t>Airbnb Turnover</t>
        </is>
      </c>
      <c r="D11" s="38" t="inlineStr">
        <is>
          <t>Jordan Rivera</t>
        </is>
      </c>
      <c r="E11" s="57" t="n">
        <v>24</v>
      </c>
      <c r="F11" s="57" t="n">
        <v>23</v>
      </c>
      <c r="G11" s="38" t="inlineStr">
        <is>
          <t>Stovetop residue</t>
        </is>
      </c>
      <c r="H11" s="38" t="inlineStr">
        <is>
          <t>No</t>
        </is>
      </c>
      <c r="I11" s="47" t="n"/>
      <c r="J11" s="38" t="n"/>
      <c r="K11" s="49">
        <f>IF(B11="","",IFERROR(INDEX('JOBS'!$D$5:$D$1504,MATCH(B11,'JOBS'!$A$5:$A$1504,0)),""))</f>
        <v/>
      </c>
      <c r="L11" s="49">
        <f>IF(B11="","",IFERROR(INDEX('JOBS'!$H$5:$H$1504,MATCH(B11,'JOBS'!$A$5:$A$1504,0)),""))</f>
        <v/>
      </c>
      <c r="M11" s="99">
        <f>IF(N(E11)=0,"",MIN(1,N(F11)/E11))</f>
        <v/>
      </c>
      <c r="N11" s="49">
        <f>IF(M11="","",IF(M11&gt;=QCPass,"Pass","Fail"))</f>
        <v/>
      </c>
      <c r="O11" s="49">
        <f>IF(A11="","",IF(H11&lt;&gt;"Yes","—",IF(J11="Yes","Resolved","Rework open")))</f>
        <v/>
      </c>
      <c r="P11" s="51">
        <f>IF(A11="","",DATE(YEAR(A11),MONTH(A11),1))</f>
        <v/>
      </c>
    </row>
    <row r="12">
      <c r="A12" s="47" t="n">
        <v>46094</v>
      </c>
      <c r="B12" s="38" t="inlineStr">
        <is>
          <t>J-0042</t>
        </is>
      </c>
      <c r="C12" s="38" t="inlineStr">
        <is>
          <t>Deep Clean</t>
        </is>
      </c>
      <c r="D12" s="38" t="inlineStr">
        <is>
          <t>Jordan Rivera</t>
        </is>
      </c>
      <c r="E12" s="57" t="n">
        <v>21</v>
      </c>
      <c r="F12" s="57" t="n">
        <v>21</v>
      </c>
      <c r="G12" s="38" t="inlineStr"/>
      <c r="H12" s="38" t="inlineStr">
        <is>
          <t>No</t>
        </is>
      </c>
      <c r="I12" s="47" t="n"/>
      <c r="J12" s="38" t="n"/>
      <c r="K12" s="49">
        <f>IF(B12="","",IFERROR(INDEX('JOBS'!$D$5:$D$1504,MATCH(B12,'JOBS'!$A$5:$A$1504,0)),""))</f>
        <v/>
      </c>
      <c r="L12" s="49">
        <f>IF(B12="","",IFERROR(INDEX('JOBS'!$H$5:$H$1504,MATCH(B12,'JOBS'!$A$5:$A$1504,0)),""))</f>
        <v/>
      </c>
      <c r="M12" s="99">
        <f>IF(N(E12)=0,"",MIN(1,N(F12)/E12))</f>
        <v/>
      </c>
      <c r="N12" s="49">
        <f>IF(M12="","",IF(M12&gt;=QCPass,"Pass","Fail"))</f>
        <v/>
      </c>
      <c r="O12" s="49">
        <f>IF(A12="","",IF(H12&lt;&gt;"Yes","—",IF(J12="Yes","Resolved","Rework open")))</f>
        <v/>
      </c>
      <c r="P12" s="51">
        <f>IF(A12="","",DATE(YEAR(A12),MONTH(A12),1))</f>
        <v/>
      </c>
    </row>
    <row r="13">
      <c r="A13" s="47" t="n">
        <v>46095</v>
      </c>
      <c r="B13" s="38" t="inlineStr">
        <is>
          <t>J-0043</t>
        </is>
      </c>
      <c r="C13" s="38" t="inlineStr">
        <is>
          <t>Airbnb Turnover</t>
        </is>
      </c>
      <c r="D13" s="38" t="inlineStr">
        <is>
          <t>Jordan Rivera</t>
        </is>
      </c>
      <c r="E13" s="57" t="n">
        <v>25</v>
      </c>
      <c r="F13" s="57" t="n">
        <v>25</v>
      </c>
      <c r="G13" s="38" t="inlineStr"/>
      <c r="H13" s="38" t="inlineStr">
        <is>
          <t>No</t>
        </is>
      </c>
      <c r="I13" s="47" t="n"/>
      <c r="J13" s="38" t="n"/>
      <c r="K13" s="49">
        <f>IF(B13="","",IFERROR(INDEX('JOBS'!$D$5:$D$1504,MATCH(B13,'JOBS'!$A$5:$A$1504,0)),""))</f>
        <v/>
      </c>
      <c r="L13" s="49">
        <f>IF(B13="","",IFERROR(INDEX('JOBS'!$H$5:$H$1504,MATCH(B13,'JOBS'!$A$5:$A$1504,0)),""))</f>
        <v/>
      </c>
      <c r="M13" s="99">
        <f>IF(N(E13)=0,"",MIN(1,N(F13)/E13))</f>
        <v/>
      </c>
      <c r="N13" s="49">
        <f>IF(M13="","",IF(M13&gt;=QCPass,"Pass","Fail"))</f>
        <v/>
      </c>
      <c r="O13" s="49">
        <f>IF(A13="","",IF(H13&lt;&gt;"Yes","—",IF(J13="Yes","Resolved","Rework open")))</f>
        <v/>
      </c>
      <c r="P13" s="51">
        <f>IF(A13="","",DATE(YEAR(A13),MONTH(A13),1))</f>
        <v/>
      </c>
    </row>
    <row r="14">
      <c r="A14" s="47" t="n">
        <v>46095</v>
      </c>
      <c r="B14" s="38" t="inlineStr">
        <is>
          <t>J-0044</t>
        </is>
      </c>
      <c r="C14" s="38" t="inlineStr">
        <is>
          <t>Deep Clean</t>
        </is>
      </c>
      <c r="D14" s="38" t="inlineStr">
        <is>
          <t>Jordan Rivera</t>
        </is>
      </c>
      <c r="E14" s="57" t="n">
        <v>23</v>
      </c>
      <c r="F14" s="57" t="n">
        <v>23</v>
      </c>
      <c r="G14" s="38" t="inlineStr"/>
      <c r="H14" s="38" t="inlineStr">
        <is>
          <t>No</t>
        </is>
      </c>
      <c r="I14" s="47" t="n"/>
      <c r="J14" s="38" t="n"/>
      <c r="K14" s="49">
        <f>IF(B14="","",IFERROR(INDEX('JOBS'!$D$5:$D$1504,MATCH(B14,'JOBS'!$A$5:$A$1504,0)),""))</f>
        <v/>
      </c>
      <c r="L14" s="49">
        <f>IF(B14="","",IFERROR(INDEX('JOBS'!$H$5:$H$1504,MATCH(B14,'JOBS'!$A$5:$A$1504,0)),""))</f>
        <v/>
      </c>
      <c r="M14" s="99">
        <f>IF(N(E14)=0,"",MIN(1,N(F14)/E14))</f>
        <v/>
      </c>
      <c r="N14" s="49">
        <f>IF(M14="","",IF(M14&gt;=QCPass,"Pass","Fail"))</f>
        <v/>
      </c>
      <c r="O14" s="49">
        <f>IF(A14="","",IF(H14&lt;&gt;"Yes","—",IF(J14="Yes","Resolved","Rework open")))</f>
        <v/>
      </c>
      <c r="P14" s="51">
        <f>IF(A14="","",DATE(YEAR(A14),MONTH(A14),1))</f>
        <v/>
      </c>
    </row>
    <row r="15">
      <c r="A15" s="47" t="n">
        <v>46100</v>
      </c>
      <c r="B15" s="38" t="inlineStr">
        <is>
          <t>J-0048</t>
        </is>
      </c>
      <c r="C15" s="38" t="inlineStr">
        <is>
          <t>Airbnb Turnover</t>
        </is>
      </c>
      <c r="D15" s="38" t="inlineStr">
        <is>
          <t>Jordan Rivera</t>
        </is>
      </c>
      <c r="E15" s="57" t="n">
        <v>27</v>
      </c>
      <c r="F15" s="57" t="n">
        <v>26</v>
      </c>
      <c r="G15" s="38" t="inlineStr">
        <is>
          <t>Trash not replaced in bath</t>
        </is>
      </c>
      <c r="H15" s="38" t="inlineStr">
        <is>
          <t>No</t>
        </is>
      </c>
      <c r="I15" s="47" t="n"/>
      <c r="J15" s="38" t="n"/>
      <c r="K15" s="49">
        <f>IF(B15="","",IFERROR(INDEX('JOBS'!$D$5:$D$1504,MATCH(B15,'JOBS'!$A$5:$A$1504,0)),""))</f>
        <v/>
      </c>
      <c r="L15" s="49">
        <f>IF(B15="","",IFERROR(INDEX('JOBS'!$H$5:$H$1504,MATCH(B15,'JOBS'!$A$5:$A$1504,0)),""))</f>
        <v/>
      </c>
      <c r="M15" s="99">
        <f>IF(N(E15)=0,"",MIN(1,N(F15)/E15))</f>
        <v/>
      </c>
      <c r="N15" s="49">
        <f>IF(M15="","",IF(M15&gt;=QCPass,"Pass","Fail"))</f>
        <v/>
      </c>
      <c r="O15" s="49">
        <f>IF(A15="","",IF(H15&lt;&gt;"Yes","—",IF(J15="Yes","Resolved","Rework open")))</f>
        <v/>
      </c>
      <c r="P15" s="51">
        <f>IF(A15="","",DATE(YEAR(A15),MONTH(A15),1))</f>
        <v/>
      </c>
    </row>
    <row r="16">
      <c r="A16" s="47" t="n">
        <v>46106</v>
      </c>
      <c r="B16" s="38" t="inlineStr">
        <is>
          <t>J-0056</t>
        </is>
      </c>
      <c r="C16" s="38" t="inlineStr">
        <is>
          <t>Deep Clean</t>
        </is>
      </c>
      <c r="D16" s="38" t="inlineStr">
        <is>
          <t>Jordan Rivera</t>
        </is>
      </c>
      <c r="E16" s="57" t="n">
        <v>21</v>
      </c>
      <c r="F16" s="57" t="n">
        <v>20</v>
      </c>
      <c r="G16" s="38" t="inlineStr">
        <is>
          <t>Baseboards missed in hallway</t>
        </is>
      </c>
      <c r="H16" s="38" t="inlineStr">
        <is>
          <t>No</t>
        </is>
      </c>
      <c r="I16" s="47" t="n"/>
      <c r="J16" s="38" t="n"/>
      <c r="K16" s="49">
        <f>IF(B16="","",IFERROR(INDEX('JOBS'!$D$5:$D$1504,MATCH(B16,'JOBS'!$A$5:$A$1504,0)),""))</f>
        <v/>
      </c>
      <c r="L16" s="49">
        <f>IF(B16="","",IFERROR(INDEX('JOBS'!$H$5:$H$1504,MATCH(B16,'JOBS'!$A$5:$A$1504,0)),""))</f>
        <v/>
      </c>
      <c r="M16" s="99">
        <f>IF(N(E16)=0,"",MIN(1,N(F16)/E16))</f>
        <v/>
      </c>
      <c r="N16" s="49">
        <f>IF(M16="","",IF(M16&gt;=QCPass,"Pass","Fail"))</f>
        <v/>
      </c>
      <c r="O16" s="49">
        <f>IF(A16="","",IF(H16&lt;&gt;"Yes","—",IF(J16="Yes","Resolved","Rework open")))</f>
        <v/>
      </c>
      <c r="P16" s="51">
        <f>IF(A16="","",DATE(YEAR(A16),MONTH(A16),1))</f>
        <v/>
      </c>
    </row>
    <row r="17">
      <c r="A17" s="47" t="n">
        <v>46111</v>
      </c>
      <c r="B17" s="38" t="inlineStr">
        <is>
          <t>J-0061</t>
        </is>
      </c>
      <c r="C17" s="38" t="inlineStr">
        <is>
          <t>Airbnb Turnover</t>
        </is>
      </c>
      <c r="D17" s="38" t="inlineStr">
        <is>
          <t>Jordan Rivera</t>
        </is>
      </c>
      <c r="E17" s="57" t="n">
        <v>21</v>
      </c>
      <c r="F17" s="57" t="n">
        <v>19</v>
      </c>
      <c r="G17" s="38" t="inlineStr">
        <is>
          <t>Stovetop residue</t>
        </is>
      </c>
      <c r="H17" s="38" t="inlineStr">
        <is>
          <t>No</t>
        </is>
      </c>
      <c r="I17" s="47" t="n"/>
      <c r="J17" s="38" t="n"/>
      <c r="K17" s="49">
        <f>IF(B17="","",IFERROR(INDEX('JOBS'!$D$5:$D$1504,MATCH(B17,'JOBS'!$A$5:$A$1504,0)),""))</f>
        <v/>
      </c>
      <c r="L17" s="49">
        <f>IF(B17="","",IFERROR(INDEX('JOBS'!$H$5:$H$1504,MATCH(B17,'JOBS'!$A$5:$A$1504,0)),""))</f>
        <v/>
      </c>
      <c r="M17" s="99">
        <f>IF(N(E17)=0,"",MIN(1,N(F17)/E17))</f>
        <v/>
      </c>
      <c r="N17" s="49">
        <f>IF(M17="","",IF(M17&gt;=QCPass,"Pass","Fail"))</f>
        <v/>
      </c>
      <c r="O17" s="49">
        <f>IF(A17="","",IF(H17&lt;&gt;"Yes","—",IF(J17="Yes","Resolved","Rework open")))</f>
        <v/>
      </c>
      <c r="P17" s="51">
        <f>IF(A17="","",DATE(YEAR(A17),MONTH(A17),1))</f>
        <v/>
      </c>
    </row>
    <row r="18">
      <c r="A18" s="47" t="n">
        <v>46116</v>
      </c>
      <c r="B18" s="38" t="inlineStr">
        <is>
          <t>J-0068</t>
        </is>
      </c>
      <c r="C18" s="38" t="inlineStr">
        <is>
          <t>Residential Standard</t>
        </is>
      </c>
      <c r="D18" s="38" t="inlineStr">
        <is>
          <t>Jordan Rivera</t>
        </is>
      </c>
      <c r="E18" s="57" t="n">
        <v>20</v>
      </c>
      <c r="F18" s="57" t="n">
        <v>20</v>
      </c>
      <c r="G18" s="38" t="inlineStr"/>
      <c r="H18" s="38" t="inlineStr">
        <is>
          <t>No</t>
        </is>
      </c>
      <c r="I18" s="47" t="n"/>
      <c r="J18" s="38" t="n"/>
      <c r="K18" s="49">
        <f>IF(B18="","",IFERROR(INDEX('JOBS'!$D$5:$D$1504,MATCH(B18,'JOBS'!$A$5:$A$1504,0)),""))</f>
        <v/>
      </c>
      <c r="L18" s="49">
        <f>IF(B18="","",IFERROR(INDEX('JOBS'!$H$5:$H$1504,MATCH(B18,'JOBS'!$A$5:$A$1504,0)),""))</f>
        <v/>
      </c>
      <c r="M18" s="99">
        <f>IF(N(E18)=0,"",MIN(1,N(F18)/E18))</f>
        <v/>
      </c>
      <c r="N18" s="49">
        <f>IF(M18="","",IF(M18&gt;=QCPass,"Pass","Fail"))</f>
        <v/>
      </c>
      <c r="O18" s="49">
        <f>IF(A18="","",IF(H18&lt;&gt;"Yes","—",IF(J18="Yes","Resolved","Rework open")))</f>
        <v/>
      </c>
      <c r="P18" s="51">
        <f>IF(A18="","",DATE(YEAR(A18),MONTH(A18),1))</f>
        <v/>
      </c>
    </row>
    <row r="19">
      <c r="A19" s="47" t="n">
        <v>46122</v>
      </c>
      <c r="B19" s="38" t="inlineStr">
        <is>
          <t>J-0073</t>
        </is>
      </c>
      <c r="C19" s="38" t="inlineStr">
        <is>
          <t>Commercial</t>
        </is>
      </c>
      <c r="D19" s="38" t="inlineStr">
        <is>
          <t>Jordan Rivera</t>
        </is>
      </c>
      <c r="E19" s="57" t="n">
        <v>24</v>
      </c>
      <c r="F19" s="57" t="n">
        <v>23</v>
      </c>
      <c r="G19" s="38" t="inlineStr">
        <is>
          <t>Dust on ceiling fan</t>
        </is>
      </c>
      <c r="H19" s="38" t="inlineStr">
        <is>
          <t>No</t>
        </is>
      </c>
      <c r="I19" s="47" t="n"/>
      <c r="J19" s="38" t="n"/>
      <c r="K19" s="49">
        <f>IF(B19="","",IFERROR(INDEX('JOBS'!$D$5:$D$1504,MATCH(B19,'JOBS'!$A$5:$A$1504,0)),""))</f>
        <v/>
      </c>
      <c r="L19" s="49">
        <f>IF(B19="","",IFERROR(INDEX('JOBS'!$H$5:$H$1504,MATCH(B19,'JOBS'!$A$5:$A$1504,0)),""))</f>
        <v/>
      </c>
      <c r="M19" s="99">
        <f>IF(N(E19)=0,"",MIN(1,N(F19)/E19))</f>
        <v/>
      </c>
      <c r="N19" s="49">
        <f>IF(M19="","",IF(M19&gt;=QCPass,"Pass","Fail"))</f>
        <v/>
      </c>
      <c r="O19" s="49">
        <f>IF(A19="","",IF(H19&lt;&gt;"Yes","—",IF(J19="Yes","Resolved","Rework open")))</f>
        <v/>
      </c>
      <c r="P19" s="51">
        <f>IF(A19="","",DATE(YEAR(A19),MONTH(A19),1))</f>
        <v/>
      </c>
    </row>
    <row r="20">
      <c r="A20" s="47" t="n">
        <v>46126</v>
      </c>
      <c r="B20" s="38" t="inlineStr">
        <is>
          <t>J-0077</t>
        </is>
      </c>
      <c r="C20" s="38" t="inlineStr">
        <is>
          <t>Residential Standard</t>
        </is>
      </c>
      <c r="D20" s="38" t="inlineStr">
        <is>
          <t>Jordan Rivera</t>
        </is>
      </c>
      <c r="E20" s="57" t="n">
        <v>26</v>
      </c>
      <c r="F20" s="57" t="n">
        <v>24</v>
      </c>
      <c r="G20" s="38" t="inlineStr">
        <is>
          <t>Streaks on mirror</t>
        </is>
      </c>
      <c r="H20" s="38" t="inlineStr">
        <is>
          <t>No</t>
        </is>
      </c>
      <c r="I20" s="47" t="n"/>
      <c r="J20" s="38" t="n"/>
      <c r="K20" s="49">
        <f>IF(B20="","",IFERROR(INDEX('JOBS'!$D$5:$D$1504,MATCH(B20,'JOBS'!$A$5:$A$1504,0)),""))</f>
        <v/>
      </c>
      <c r="L20" s="49">
        <f>IF(B20="","",IFERROR(INDEX('JOBS'!$H$5:$H$1504,MATCH(B20,'JOBS'!$A$5:$A$1504,0)),""))</f>
        <v/>
      </c>
      <c r="M20" s="99">
        <f>IF(N(E20)=0,"",MIN(1,N(F20)/E20))</f>
        <v/>
      </c>
      <c r="N20" s="49">
        <f>IF(M20="","",IF(M20&gt;=QCPass,"Pass","Fail"))</f>
        <v/>
      </c>
      <c r="O20" s="49">
        <f>IF(A20="","",IF(H20&lt;&gt;"Yes","—",IF(J20="Yes","Resolved","Rework open")))</f>
        <v/>
      </c>
      <c r="P20" s="51">
        <f>IF(A20="","",DATE(YEAR(A20),MONTH(A20),1))</f>
        <v/>
      </c>
    </row>
    <row r="21">
      <c r="A21" s="47" t="n">
        <v>46129</v>
      </c>
      <c r="B21" s="38" t="inlineStr">
        <is>
          <t>J-0081</t>
        </is>
      </c>
      <c r="C21" s="38" t="inlineStr">
        <is>
          <t>Residential Standard</t>
        </is>
      </c>
      <c r="D21" s="38" t="inlineStr">
        <is>
          <t>Jordan Rivera</t>
        </is>
      </c>
      <c r="E21" s="57" t="n">
        <v>26</v>
      </c>
      <c r="F21" s="57" t="n">
        <v>26</v>
      </c>
      <c r="G21" s="38" t="inlineStr"/>
      <c r="H21" s="38" t="inlineStr">
        <is>
          <t>No</t>
        </is>
      </c>
      <c r="I21" s="47" t="n"/>
      <c r="J21" s="38" t="n"/>
      <c r="K21" s="49">
        <f>IF(B21="","",IFERROR(INDEX('JOBS'!$D$5:$D$1504,MATCH(B21,'JOBS'!$A$5:$A$1504,0)),""))</f>
        <v/>
      </c>
      <c r="L21" s="49">
        <f>IF(B21="","",IFERROR(INDEX('JOBS'!$H$5:$H$1504,MATCH(B21,'JOBS'!$A$5:$A$1504,0)),""))</f>
        <v/>
      </c>
      <c r="M21" s="99">
        <f>IF(N(E21)=0,"",MIN(1,N(F21)/E21))</f>
        <v/>
      </c>
      <c r="N21" s="49">
        <f>IF(M21="","",IF(M21&gt;=QCPass,"Pass","Fail"))</f>
        <v/>
      </c>
      <c r="O21" s="49">
        <f>IF(A21="","",IF(H21&lt;&gt;"Yes","—",IF(J21="Yes","Resolved","Rework open")))</f>
        <v/>
      </c>
      <c r="P21" s="51">
        <f>IF(A21="","",DATE(YEAR(A21),MONTH(A21),1))</f>
        <v/>
      </c>
    </row>
    <row r="22">
      <c r="A22" s="47" t="n">
        <v>46139</v>
      </c>
      <c r="B22" s="38" t="inlineStr">
        <is>
          <t>J-0094</t>
        </is>
      </c>
      <c r="C22" s="38" t="inlineStr">
        <is>
          <t>Residential Standard</t>
        </is>
      </c>
      <c r="D22" s="38" t="inlineStr">
        <is>
          <t>Jordan Rivera</t>
        </is>
      </c>
      <c r="E22" s="57" t="n">
        <v>26</v>
      </c>
      <c r="F22" s="57" t="n">
        <v>26</v>
      </c>
      <c r="G22" s="38" t="inlineStr"/>
      <c r="H22" s="38" t="inlineStr">
        <is>
          <t>No</t>
        </is>
      </c>
      <c r="I22" s="47" t="n"/>
      <c r="J22" s="38" t="n"/>
      <c r="K22" s="49">
        <f>IF(B22="","",IFERROR(INDEX('JOBS'!$D$5:$D$1504,MATCH(B22,'JOBS'!$A$5:$A$1504,0)),""))</f>
        <v/>
      </c>
      <c r="L22" s="49">
        <f>IF(B22="","",IFERROR(INDEX('JOBS'!$H$5:$H$1504,MATCH(B22,'JOBS'!$A$5:$A$1504,0)),""))</f>
        <v/>
      </c>
      <c r="M22" s="99">
        <f>IF(N(E22)=0,"",MIN(1,N(F22)/E22))</f>
        <v/>
      </c>
      <c r="N22" s="49">
        <f>IF(M22="","",IF(M22&gt;=QCPass,"Pass","Fail"))</f>
        <v/>
      </c>
      <c r="O22" s="49">
        <f>IF(A22="","",IF(H22&lt;&gt;"Yes","—",IF(J22="Yes","Resolved","Rework open")))</f>
        <v/>
      </c>
      <c r="P22" s="51">
        <f>IF(A22="","",DATE(YEAR(A22),MONTH(A22),1))</f>
        <v/>
      </c>
    </row>
    <row r="23">
      <c r="A23" s="47" t="n">
        <v>46141</v>
      </c>
      <c r="B23" s="38" t="inlineStr">
        <is>
          <t>J-0098</t>
        </is>
      </c>
      <c r="C23" s="38" t="inlineStr">
        <is>
          <t>Residential Standard</t>
        </is>
      </c>
      <c r="D23" s="38" t="inlineStr">
        <is>
          <t>Jordan Rivera</t>
        </is>
      </c>
      <c r="E23" s="57" t="n">
        <v>26</v>
      </c>
      <c r="F23" s="57" t="n">
        <v>25</v>
      </c>
      <c r="G23" s="38" t="inlineStr">
        <is>
          <t>Trash not replaced in bath</t>
        </is>
      </c>
      <c r="H23" s="38" t="inlineStr">
        <is>
          <t>No</t>
        </is>
      </c>
      <c r="I23" s="47" t="n"/>
      <c r="J23" s="38" t="n"/>
      <c r="K23" s="49">
        <f>IF(B23="","",IFERROR(INDEX('JOBS'!$D$5:$D$1504,MATCH(B23,'JOBS'!$A$5:$A$1504,0)),""))</f>
        <v/>
      </c>
      <c r="L23" s="49">
        <f>IF(B23="","",IFERROR(INDEX('JOBS'!$H$5:$H$1504,MATCH(B23,'JOBS'!$A$5:$A$1504,0)),""))</f>
        <v/>
      </c>
      <c r="M23" s="99">
        <f>IF(N(E23)=0,"",MIN(1,N(F23)/E23))</f>
        <v/>
      </c>
      <c r="N23" s="49">
        <f>IF(M23="","",IF(M23&gt;=QCPass,"Pass","Fail"))</f>
        <v/>
      </c>
      <c r="O23" s="49">
        <f>IF(A23="","",IF(H23&lt;&gt;"Yes","—",IF(J23="Yes","Resolved","Rework open")))</f>
        <v/>
      </c>
      <c r="P23" s="51">
        <f>IF(A23="","",DATE(YEAR(A23),MONTH(A23),1))</f>
        <v/>
      </c>
    </row>
    <row r="24">
      <c r="A24" s="47" t="n">
        <v>46143</v>
      </c>
      <c r="B24" s="38" t="inlineStr">
        <is>
          <t>J-0099</t>
        </is>
      </c>
      <c r="C24" s="38" t="inlineStr">
        <is>
          <t>Residential Standard</t>
        </is>
      </c>
      <c r="D24" s="38" t="inlineStr">
        <is>
          <t>Jordan Rivera</t>
        </is>
      </c>
      <c r="E24" s="57" t="n">
        <v>23</v>
      </c>
      <c r="F24" s="57" t="n">
        <v>20</v>
      </c>
      <c r="G24" s="38" t="inlineStr">
        <is>
          <t>Streaks on mirror</t>
        </is>
      </c>
      <c r="H24" s="38" t="inlineStr">
        <is>
          <t>Yes</t>
        </is>
      </c>
      <c r="I24" s="47" t="n">
        <v>46144</v>
      </c>
      <c r="J24" s="38" t="inlineStr">
        <is>
          <t>Yes</t>
        </is>
      </c>
      <c r="K24" s="49">
        <f>IF(B24="","",IFERROR(INDEX('JOBS'!$D$5:$D$1504,MATCH(B24,'JOBS'!$A$5:$A$1504,0)),""))</f>
        <v/>
      </c>
      <c r="L24" s="49">
        <f>IF(B24="","",IFERROR(INDEX('JOBS'!$H$5:$H$1504,MATCH(B24,'JOBS'!$A$5:$A$1504,0)),""))</f>
        <v/>
      </c>
      <c r="M24" s="99">
        <f>IF(N(E24)=0,"",MIN(1,N(F24)/E24))</f>
        <v/>
      </c>
      <c r="N24" s="49">
        <f>IF(M24="","",IF(M24&gt;=QCPass,"Pass","Fail"))</f>
        <v/>
      </c>
      <c r="O24" s="49">
        <f>IF(A24="","",IF(H24&lt;&gt;"Yes","—",IF(J24="Yes","Resolved","Rework open")))</f>
        <v/>
      </c>
      <c r="P24" s="51">
        <f>IF(A24="","",DATE(YEAR(A24),MONTH(A24),1))</f>
        <v/>
      </c>
    </row>
    <row r="25">
      <c r="A25" s="47" t="n">
        <v>46157</v>
      </c>
      <c r="B25" s="38" t="inlineStr">
        <is>
          <t>J-0118</t>
        </is>
      </c>
      <c r="C25" s="38" t="inlineStr">
        <is>
          <t>Airbnb Turnover</t>
        </is>
      </c>
      <c r="D25" s="38" t="inlineStr">
        <is>
          <t>Jordan Rivera</t>
        </is>
      </c>
      <c r="E25" s="57" t="n">
        <v>20</v>
      </c>
      <c r="F25" s="57" t="n">
        <v>19</v>
      </c>
      <c r="G25" s="38" t="inlineStr">
        <is>
          <t>Trash not replaced in bath</t>
        </is>
      </c>
      <c r="H25" s="38" t="inlineStr">
        <is>
          <t>No</t>
        </is>
      </c>
      <c r="I25" s="47" t="n"/>
      <c r="J25" s="38" t="n"/>
      <c r="K25" s="49">
        <f>IF(B25="","",IFERROR(INDEX('JOBS'!$D$5:$D$1504,MATCH(B25,'JOBS'!$A$5:$A$1504,0)),""))</f>
        <v/>
      </c>
      <c r="L25" s="49">
        <f>IF(B25="","",IFERROR(INDEX('JOBS'!$H$5:$H$1504,MATCH(B25,'JOBS'!$A$5:$A$1504,0)),""))</f>
        <v/>
      </c>
      <c r="M25" s="99">
        <f>IF(N(E25)=0,"",MIN(1,N(F25)/E25))</f>
        <v/>
      </c>
      <c r="N25" s="49">
        <f>IF(M25="","",IF(M25&gt;=QCPass,"Pass","Fail"))</f>
        <v/>
      </c>
      <c r="O25" s="49">
        <f>IF(A25="","",IF(H25&lt;&gt;"Yes","—",IF(J25="Yes","Resolved","Rework open")))</f>
        <v/>
      </c>
      <c r="P25" s="51">
        <f>IF(A25="","",DATE(YEAR(A25),MONTH(A25),1))</f>
        <v/>
      </c>
    </row>
    <row r="26">
      <c r="A26" s="47" t="n">
        <v>46161</v>
      </c>
      <c r="B26" s="38" t="inlineStr">
        <is>
          <t>J-0122</t>
        </is>
      </c>
      <c r="C26" s="38" t="inlineStr">
        <is>
          <t>Residential Standard</t>
        </is>
      </c>
      <c r="D26" s="38" t="inlineStr">
        <is>
          <t>Jordan Rivera</t>
        </is>
      </c>
      <c r="E26" s="57" t="n">
        <v>24</v>
      </c>
      <c r="F26" s="57" t="n">
        <v>20</v>
      </c>
      <c r="G26" s="38" t="inlineStr">
        <is>
          <t>Dust on ceiling fan</t>
        </is>
      </c>
      <c r="H26" s="38" t="inlineStr">
        <is>
          <t>Yes</t>
        </is>
      </c>
      <c r="I26" s="47" t="n">
        <v>46162</v>
      </c>
      <c r="J26" s="38" t="inlineStr">
        <is>
          <t>Yes</t>
        </is>
      </c>
      <c r="K26" s="49">
        <f>IF(B26="","",IFERROR(INDEX('JOBS'!$D$5:$D$1504,MATCH(B26,'JOBS'!$A$5:$A$1504,0)),""))</f>
        <v/>
      </c>
      <c r="L26" s="49">
        <f>IF(B26="","",IFERROR(INDEX('JOBS'!$H$5:$H$1504,MATCH(B26,'JOBS'!$A$5:$A$1504,0)),""))</f>
        <v/>
      </c>
      <c r="M26" s="99">
        <f>IF(N(E26)=0,"",MIN(1,N(F26)/E26))</f>
        <v/>
      </c>
      <c r="N26" s="49">
        <f>IF(M26="","",IF(M26&gt;=QCPass,"Pass","Fail"))</f>
        <v/>
      </c>
      <c r="O26" s="49">
        <f>IF(A26="","",IF(H26&lt;&gt;"Yes","—",IF(J26="Yes","Resolved","Rework open")))</f>
        <v/>
      </c>
      <c r="P26" s="51">
        <f>IF(A26="","",DATE(YEAR(A26),MONTH(A26),1))</f>
        <v/>
      </c>
    </row>
    <row r="27">
      <c r="A27" s="47" t="n">
        <v>46164</v>
      </c>
      <c r="B27" s="38" t="inlineStr">
        <is>
          <t>J-0127</t>
        </is>
      </c>
      <c r="C27" s="38" t="inlineStr">
        <is>
          <t>Deep Clean</t>
        </is>
      </c>
      <c r="D27" s="38" t="inlineStr">
        <is>
          <t>Jordan Rivera</t>
        </is>
      </c>
      <c r="E27" s="57" t="n">
        <v>26</v>
      </c>
      <c r="F27" s="57" t="n">
        <v>22</v>
      </c>
      <c r="G27" s="38" t="inlineStr">
        <is>
          <t>Dust on ceiling fan</t>
        </is>
      </c>
      <c r="H27" s="38" t="inlineStr">
        <is>
          <t>Yes</t>
        </is>
      </c>
      <c r="I27" s="47" t="n">
        <v>46165</v>
      </c>
      <c r="J27" s="38" t="inlineStr">
        <is>
          <t>Yes</t>
        </is>
      </c>
      <c r="K27" s="49">
        <f>IF(B27="","",IFERROR(INDEX('JOBS'!$D$5:$D$1504,MATCH(B27,'JOBS'!$A$5:$A$1504,0)),""))</f>
        <v/>
      </c>
      <c r="L27" s="49">
        <f>IF(B27="","",IFERROR(INDEX('JOBS'!$H$5:$H$1504,MATCH(B27,'JOBS'!$A$5:$A$1504,0)),""))</f>
        <v/>
      </c>
      <c r="M27" s="99">
        <f>IF(N(E27)=0,"",MIN(1,N(F27)/E27))</f>
        <v/>
      </c>
      <c r="N27" s="49">
        <f>IF(M27="","",IF(M27&gt;=QCPass,"Pass","Fail"))</f>
        <v/>
      </c>
      <c r="O27" s="49">
        <f>IF(A27="","",IF(H27&lt;&gt;"Yes","—",IF(J27="Yes","Resolved","Rework open")))</f>
        <v/>
      </c>
      <c r="P27" s="51">
        <f>IF(A27="","",DATE(YEAR(A27),MONTH(A27),1))</f>
        <v/>
      </c>
    </row>
    <row r="28">
      <c r="A28" s="47" t="n">
        <v>46178</v>
      </c>
      <c r="B28" s="38" t="inlineStr">
        <is>
          <t>J-0149</t>
        </is>
      </c>
      <c r="C28" s="38" t="inlineStr">
        <is>
          <t>Airbnb Turnover</t>
        </is>
      </c>
      <c r="D28" s="38" t="inlineStr">
        <is>
          <t>Jordan Rivera</t>
        </is>
      </c>
      <c r="E28" s="57" t="n">
        <v>25</v>
      </c>
      <c r="F28" s="57" t="n">
        <v>25</v>
      </c>
      <c r="G28" s="38" t="inlineStr"/>
      <c r="H28" s="38" t="inlineStr">
        <is>
          <t>No</t>
        </is>
      </c>
      <c r="I28" s="47" t="n"/>
      <c r="J28" s="38" t="n"/>
      <c r="K28" s="49">
        <f>IF(B28="","",IFERROR(INDEX('JOBS'!$D$5:$D$1504,MATCH(B28,'JOBS'!$A$5:$A$1504,0)),""))</f>
        <v/>
      </c>
      <c r="L28" s="49">
        <f>IF(B28="","",IFERROR(INDEX('JOBS'!$H$5:$H$1504,MATCH(B28,'JOBS'!$A$5:$A$1504,0)),""))</f>
        <v/>
      </c>
      <c r="M28" s="99">
        <f>IF(N(E28)=0,"",MIN(1,N(F28)/E28))</f>
        <v/>
      </c>
      <c r="N28" s="49">
        <f>IF(M28="","",IF(M28&gt;=QCPass,"Pass","Fail"))</f>
        <v/>
      </c>
      <c r="O28" s="49">
        <f>IF(A28="","",IF(H28&lt;&gt;"Yes","—",IF(J28="Yes","Resolved","Rework open")))</f>
        <v/>
      </c>
      <c r="P28" s="51">
        <f>IF(A28="","",DATE(YEAR(A28),MONTH(A28),1))</f>
        <v/>
      </c>
    </row>
    <row r="29">
      <c r="A29" s="47" t="n">
        <v>46190</v>
      </c>
      <c r="B29" s="38" t="inlineStr">
        <is>
          <t>J-0163</t>
        </is>
      </c>
      <c r="C29" s="38" t="inlineStr">
        <is>
          <t>Residential Standard</t>
        </is>
      </c>
      <c r="D29" s="38" t="inlineStr">
        <is>
          <t>Jordan Rivera</t>
        </is>
      </c>
      <c r="E29" s="57" t="n">
        <v>27</v>
      </c>
      <c r="F29" s="57" t="n">
        <v>27</v>
      </c>
      <c r="G29" s="38" t="inlineStr"/>
      <c r="H29" s="38" t="inlineStr">
        <is>
          <t>No</t>
        </is>
      </c>
      <c r="I29" s="47" t="n"/>
      <c r="J29" s="38" t="n"/>
      <c r="K29" s="49">
        <f>IF(B29="","",IFERROR(INDEX('JOBS'!$D$5:$D$1504,MATCH(B29,'JOBS'!$A$5:$A$1504,0)),""))</f>
        <v/>
      </c>
      <c r="L29" s="49">
        <f>IF(B29="","",IFERROR(INDEX('JOBS'!$H$5:$H$1504,MATCH(B29,'JOBS'!$A$5:$A$1504,0)),""))</f>
        <v/>
      </c>
      <c r="M29" s="99">
        <f>IF(N(E29)=0,"",MIN(1,N(F29)/E29))</f>
        <v/>
      </c>
      <c r="N29" s="49">
        <f>IF(M29="","",IF(M29&gt;=QCPass,"Pass","Fail"))</f>
        <v/>
      </c>
      <c r="O29" s="49">
        <f>IF(A29="","",IF(H29&lt;&gt;"Yes","—",IF(J29="Yes","Resolved","Rework open")))</f>
        <v/>
      </c>
      <c r="P29" s="51">
        <f>IF(A29="","",DATE(YEAR(A29),MONTH(A29),1))</f>
        <v/>
      </c>
    </row>
    <row r="30">
      <c r="A30" s="47" t="n">
        <v>46192</v>
      </c>
      <c r="B30" s="38" t="inlineStr">
        <is>
          <t>J-0166</t>
        </is>
      </c>
      <c r="C30" s="38" t="inlineStr">
        <is>
          <t>Commercial</t>
        </is>
      </c>
      <c r="D30" s="38" t="inlineStr">
        <is>
          <t>Jordan Rivera</t>
        </is>
      </c>
      <c r="E30" s="57" t="n">
        <v>25</v>
      </c>
      <c r="F30" s="57" t="n">
        <v>22</v>
      </c>
      <c r="G30" s="38" t="inlineStr">
        <is>
          <t>Trash not replaced in bath</t>
        </is>
      </c>
      <c r="H30" s="38" t="inlineStr">
        <is>
          <t>Yes</t>
        </is>
      </c>
      <c r="I30" s="47" t="n">
        <v>46193</v>
      </c>
      <c r="J30" s="38" t="inlineStr">
        <is>
          <t>Yes</t>
        </is>
      </c>
      <c r="K30" s="49">
        <f>IF(B30="","",IFERROR(INDEX('JOBS'!$D$5:$D$1504,MATCH(B30,'JOBS'!$A$5:$A$1504,0)),""))</f>
        <v/>
      </c>
      <c r="L30" s="49">
        <f>IF(B30="","",IFERROR(INDEX('JOBS'!$H$5:$H$1504,MATCH(B30,'JOBS'!$A$5:$A$1504,0)),""))</f>
        <v/>
      </c>
      <c r="M30" s="99">
        <f>IF(N(E30)=0,"",MIN(1,N(F30)/E30))</f>
        <v/>
      </c>
      <c r="N30" s="49">
        <f>IF(M30="","",IF(M30&gt;=QCPass,"Pass","Fail"))</f>
        <v/>
      </c>
      <c r="O30" s="49">
        <f>IF(A30="","",IF(H30&lt;&gt;"Yes","—",IF(J30="Yes","Resolved","Rework open")))</f>
        <v/>
      </c>
      <c r="P30" s="51">
        <f>IF(A30="","",DATE(YEAR(A30),MONTH(A30),1))</f>
        <v/>
      </c>
    </row>
    <row r="31">
      <c r="A31" s="47" t="n">
        <v>46195</v>
      </c>
      <c r="B31" s="38" t="inlineStr">
        <is>
          <t>J-0171</t>
        </is>
      </c>
      <c r="C31" s="38" t="inlineStr">
        <is>
          <t>Airbnb Turnover</t>
        </is>
      </c>
      <c r="D31" s="38" t="inlineStr">
        <is>
          <t>Jordan Rivera</t>
        </is>
      </c>
      <c r="E31" s="57" t="n">
        <v>21</v>
      </c>
      <c r="F31" s="57" t="n">
        <v>20</v>
      </c>
      <c r="G31" s="38" t="inlineStr">
        <is>
          <t>Stovetop residue</t>
        </is>
      </c>
      <c r="H31" s="38" t="inlineStr">
        <is>
          <t>No</t>
        </is>
      </c>
      <c r="I31" s="47" t="n"/>
      <c r="J31" s="38" t="n"/>
      <c r="K31" s="49">
        <f>IF(B31="","",IFERROR(INDEX('JOBS'!$D$5:$D$1504,MATCH(B31,'JOBS'!$A$5:$A$1504,0)),""))</f>
        <v/>
      </c>
      <c r="L31" s="49">
        <f>IF(B31="","",IFERROR(INDEX('JOBS'!$H$5:$H$1504,MATCH(B31,'JOBS'!$A$5:$A$1504,0)),""))</f>
        <v/>
      </c>
      <c r="M31" s="99">
        <f>IF(N(E31)=0,"",MIN(1,N(F31)/E31))</f>
        <v/>
      </c>
      <c r="N31" s="49">
        <f>IF(M31="","",IF(M31&gt;=QCPass,"Pass","Fail"))</f>
        <v/>
      </c>
      <c r="O31" s="49">
        <f>IF(A31="","",IF(H31&lt;&gt;"Yes","—",IF(J31="Yes","Resolved","Rework open")))</f>
        <v/>
      </c>
      <c r="P31" s="51">
        <f>IF(A31="","",DATE(YEAR(A31),MONTH(A31),1))</f>
        <v/>
      </c>
    </row>
    <row r="32">
      <c r="A32" s="47" t="n">
        <v>46199</v>
      </c>
      <c r="B32" s="38" t="inlineStr">
        <is>
          <t>J-0176</t>
        </is>
      </c>
      <c r="C32" s="38" t="inlineStr">
        <is>
          <t>Residential Standard</t>
        </is>
      </c>
      <c r="D32" s="38" t="inlineStr">
        <is>
          <t>Jordan Rivera</t>
        </is>
      </c>
      <c r="E32" s="57" t="n">
        <v>20</v>
      </c>
      <c r="F32" s="57" t="n">
        <v>20</v>
      </c>
      <c r="G32" s="38" t="inlineStr"/>
      <c r="H32" s="38" t="inlineStr">
        <is>
          <t>No</t>
        </is>
      </c>
      <c r="I32" s="47" t="n"/>
      <c r="J32" s="38" t="n"/>
      <c r="K32" s="49">
        <f>IF(B32="","",IFERROR(INDEX('JOBS'!$D$5:$D$1504,MATCH(B32,'JOBS'!$A$5:$A$1504,0)),""))</f>
        <v/>
      </c>
      <c r="L32" s="49">
        <f>IF(B32="","",IFERROR(INDEX('JOBS'!$H$5:$H$1504,MATCH(B32,'JOBS'!$A$5:$A$1504,0)),""))</f>
        <v/>
      </c>
      <c r="M32" s="99">
        <f>IF(N(E32)=0,"",MIN(1,N(F32)/E32))</f>
        <v/>
      </c>
      <c r="N32" s="49">
        <f>IF(M32="","",IF(M32&gt;=QCPass,"Pass","Fail"))</f>
        <v/>
      </c>
      <c r="O32" s="49">
        <f>IF(A32="","",IF(H32&lt;&gt;"Yes","—",IF(J32="Yes","Resolved","Rework open")))</f>
        <v/>
      </c>
      <c r="P32" s="51">
        <f>IF(A32="","",DATE(YEAR(A32),MONTH(A32),1))</f>
        <v/>
      </c>
    </row>
    <row r="33">
      <c r="A33" s="47" t="n">
        <v>46199</v>
      </c>
      <c r="B33" s="38" t="inlineStr">
        <is>
          <t>J-0178</t>
        </is>
      </c>
      <c r="C33" s="38" t="inlineStr">
        <is>
          <t>Commercial</t>
        </is>
      </c>
      <c r="D33" s="38" t="inlineStr">
        <is>
          <t>Jordan Rivera</t>
        </is>
      </c>
      <c r="E33" s="57" t="n">
        <v>24</v>
      </c>
      <c r="F33" s="57" t="n">
        <v>23</v>
      </c>
      <c r="G33" s="38" t="inlineStr">
        <is>
          <t>Baseboards missed in hallway</t>
        </is>
      </c>
      <c r="H33" s="38" t="inlineStr">
        <is>
          <t>No</t>
        </is>
      </c>
      <c r="I33" s="47" t="n"/>
      <c r="J33" s="38" t="n"/>
      <c r="K33" s="49">
        <f>IF(B33="","",IFERROR(INDEX('JOBS'!$D$5:$D$1504,MATCH(B33,'JOBS'!$A$5:$A$1504,0)),""))</f>
        <v/>
      </c>
      <c r="L33" s="49">
        <f>IF(B33="","",IFERROR(INDEX('JOBS'!$H$5:$H$1504,MATCH(B33,'JOBS'!$A$5:$A$1504,0)),""))</f>
        <v/>
      </c>
      <c r="M33" s="99">
        <f>IF(N(E33)=0,"",MIN(1,N(F33)/E33))</f>
        <v/>
      </c>
      <c r="N33" s="49">
        <f>IF(M33="","",IF(M33&gt;=QCPass,"Pass","Fail"))</f>
        <v/>
      </c>
      <c r="O33" s="49">
        <f>IF(A33="","",IF(H33&lt;&gt;"Yes","—",IF(J33="Yes","Resolved","Rework open")))</f>
        <v/>
      </c>
      <c r="P33" s="51">
        <f>IF(A33="","",DATE(YEAR(A33),MONTH(A33),1))</f>
        <v/>
      </c>
    </row>
    <row r="34">
      <c r="A34" s="47" t="n">
        <v>46204</v>
      </c>
      <c r="B34" s="38" t="inlineStr">
        <is>
          <t>J-0182</t>
        </is>
      </c>
      <c r="C34" s="38" t="inlineStr">
        <is>
          <t>Airbnb Turnover</t>
        </is>
      </c>
      <c r="D34" s="38" t="inlineStr">
        <is>
          <t>Jordan Rivera</t>
        </is>
      </c>
      <c r="E34" s="57" t="n">
        <v>21</v>
      </c>
      <c r="F34" s="57" t="n">
        <v>21</v>
      </c>
      <c r="G34" s="38" t="inlineStr"/>
      <c r="H34" s="38" t="inlineStr">
        <is>
          <t>No</t>
        </is>
      </c>
      <c r="I34" s="47" t="n"/>
      <c r="J34" s="38" t="n"/>
      <c r="K34" s="49">
        <f>IF(B34="","",IFERROR(INDEX('JOBS'!$D$5:$D$1504,MATCH(B34,'JOBS'!$A$5:$A$1504,0)),""))</f>
        <v/>
      </c>
      <c r="L34" s="49">
        <f>IF(B34="","",IFERROR(INDEX('JOBS'!$H$5:$H$1504,MATCH(B34,'JOBS'!$A$5:$A$1504,0)),""))</f>
        <v/>
      </c>
      <c r="M34" s="99">
        <f>IF(N(E34)=0,"",MIN(1,N(F34)/E34))</f>
        <v/>
      </c>
      <c r="N34" s="49">
        <f>IF(M34="","",IF(M34&gt;=QCPass,"Pass","Fail"))</f>
        <v/>
      </c>
      <c r="O34" s="49">
        <f>IF(A34="","",IF(H34&lt;&gt;"Yes","—",IF(J34="Yes","Resolved","Rework open")))</f>
        <v/>
      </c>
      <c r="P34" s="51">
        <f>IF(A34="","",DATE(YEAR(A34),MONTH(A34),1))</f>
        <v/>
      </c>
    </row>
    <row r="35">
      <c r="A35" s="47" t="n">
        <v>46206</v>
      </c>
      <c r="B35" s="38" t="inlineStr">
        <is>
          <t>J-0184</t>
        </is>
      </c>
      <c r="C35" s="38" t="inlineStr">
        <is>
          <t>Commercial</t>
        </is>
      </c>
      <c r="D35" s="38" t="inlineStr">
        <is>
          <t>Jordan Rivera</t>
        </is>
      </c>
      <c r="E35" s="57" t="n">
        <v>20</v>
      </c>
      <c r="F35" s="57" t="n">
        <v>17</v>
      </c>
      <c r="G35" s="38" t="inlineStr">
        <is>
          <t>Stovetop residue</t>
        </is>
      </c>
      <c r="H35" s="38" t="inlineStr">
        <is>
          <t>Yes</t>
        </is>
      </c>
      <c r="I35" s="47" t="n">
        <v>46207</v>
      </c>
      <c r="J35" s="38" t="inlineStr">
        <is>
          <t>Yes</t>
        </is>
      </c>
      <c r="K35" s="49">
        <f>IF(B35="","",IFERROR(INDEX('JOBS'!$D$5:$D$1504,MATCH(B35,'JOBS'!$A$5:$A$1504,0)),""))</f>
        <v/>
      </c>
      <c r="L35" s="49">
        <f>IF(B35="","",IFERROR(INDEX('JOBS'!$H$5:$H$1504,MATCH(B35,'JOBS'!$A$5:$A$1504,0)),""))</f>
        <v/>
      </c>
      <c r="M35" s="99">
        <f>IF(N(E35)=0,"",MIN(1,N(F35)/E35))</f>
        <v/>
      </c>
      <c r="N35" s="49">
        <f>IF(M35="","",IF(M35&gt;=QCPass,"Pass","Fail"))</f>
        <v/>
      </c>
      <c r="O35" s="49">
        <f>IF(A35="","",IF(H35&lt;&gt;"Yes","—",IF(J35="Yes","Resolved","Rework open")))</f>
        <v/>
      </c>
      <c r="P35" s="51">
        <f>IF(A35="","",DATE(YEAR(A35),MONTH(A35),1))</f>
        <v/>
      </c>
    </row>
    <row r="36">
      <c r="A36" s="47" t="n">
        <v>46206</v>
      </c>
      <c r="B36" s="38" t="inlineStr">
        <is>
          <t>J-0183</t>
        </is>
      </c>
      <c r="C36" s="38" t="inlineStr">
        <is>
          <t>Residential Standard</t>
        </is>
      </c>
      <c r="D36" s="38" t="inlineStr">
        <is>
          <t>Jordan Rivera</t>
        </is>
      </c>
      <c r="E36" s="57" t="n">
        <v>20</v>
      </c>
      <c r="F36" s="57" t="n">
        <v>20</v>
      </c>
      <c r="G36" s="38" t="inlineStr"/>
      <c r="H36" s="38" t="inlineStr">
        <is>
          <t>No</t>
        </is>
      </c>
      <c r="I36" s="47" t="n"/>
      <c r="J36" s="38" t="n"/>
      <c r="K36" s="49">
        <f>IF(B36="","",IFERROR(INDEX('JOBS'!$D$5:$D$1504,MATCH(B36,'JOBS'!$A$5:$A$1504,0)),""))</f>
        <v/>
      </c>
      <c r="L36" s="49">
        <f>IF(B36="","",IFERROR(INDEX('JOBS'!$H$5:$H$1504,MATCH(B36,'JOBS'!$A$5:$A$1504,0)),""))</f>
        <v/>
      </c>
      <c r="M36" s="99">
        <f>IF(N(E36)=0,"",MIN(1,N(F36)/E36))</f>
        <v/>
      </c>
      <c r="N36" s="49">
        <f>IF(M36="","",IF(M36&gt;=QCPass,"Pass","Fail"))</f>
        <v/>
      </c>
      <c r="O36" s="49">
        <f>IF(A36="","",IF(H36&lt;&gt;"Yes","—",IF(J36="Yes","Resolved","Rework open")))</f>
        <v/>
      </c>
      <c r="P36" s="51">
        <f>IF(A36="","",DATE(YEAR(A36),MONTH(A36),1))</f>
        <v/>
      </c>
    </row>
    <row r="37">
      <c r="A37" s="47" t="n">
        <v>46209</v>
      </c>
      <c r="B37" s="38" t="inlineStr">
        <is>
          <t>J-0187</t>
        </is>
      </c>
      <c r="C37" s="38" t="inlineStr">
        <is>
          <t>Airbnb Turnover</t>
        </is>
      </c>
      <c r="D37" s="38" t="inlineStr">
        <is>
          <t>Jordan Rivera</t>
        </is>
      </c>
      <c r="E37" s="57" t="n">
        <v>25</v>
      </c>
      <c r="F37" s="57" t="n">
        <v>25</v>
      </c>
      <c r="G37" s="38" t="inlineStr"/>
      <c r="H37" s="38" t="inlineStr">
        <is>
          <t>No</t>
        </is>
      </c>
      <c r="I37" s="47" t="n"/>
      <c r="J37" s="38" t="n"/>
      <c r="K37" s="49">
        <f>IF(B37="","",IFERROR(INDEX('JOBS'!$D$5:$D$1504,MATCH(B37,'JOBS'!$A$5:$A$1504,0)),""))</f>
        <v/>
      </c>
      <c r="L37" s="49">
        <f>IF(B37="","",IFERROR(INDEX('JOBS'!$H$5:$H$1504,MATCH(B37,'JOBS'!$A$5:$A$1504,0)),""))</f>
        <v/>
      </c>
      <c r="M37" s="99">
        <f>IF(N(E37)=0,"",MIN(1,N(F37)/E37))</f>
        <v/>
      </c>
      <c r="N37" s="49">
        <f>IF(M37="","",IF(M37&gt;=QCPass,"Pass","Fail"))</f>
        <v/>
      </c>
      <c r="O37" s="49">
        <f>IF(A37="","",IF(H37&lt;&gt;"Yes","—",IF(J37="Yes","Resolved","Rework open")))</f>
        <v/>
      </c>
      <c r="P37" s="51">
        <f>IF(A37="","",DATE(YEAR(A37),MONTH(A37),1))</f>
        <v/>
      </c>
    </row>
    <row r="38">
      <c r="A38" s="47" t="n">
        <v>46213</v>
      </c>
      <c r="B38" s="38" t="inlineStr">
        <is>
          <t>J-0193</t>
        </is>
      </c>
      <c r="C38" s="38" t="inlineStr">
        <is>
          <t>Commercial</t>
        </is>
      </c>
      <c r="D38" s="38" t="inlineStr">
        <is>
          <t>Jordan Rivera</t>
        </is>
      </c>
      <c r="E38" s="57" t="n">
        <v>27</v>
      </c>
      <c r="F38" s="57" t="n">
        <v>23</v>
      </c>
      <c r="G38" s="38" t="inlineStr">
        <is>
          <t>Stovetop residue</t>
        </is>
      </c>
      <c r="H38" s="38" t="inlineStr">
        <is>
          <t>Yes</t>
        </is>
      </c>
      <c r="I38" s="47" t="n">
        <v>46214</v>
      </c>
      <c r="J38" s="38" t="inlineStr">
        <is>
          <t>Yes</t>
        </is>
      </c>
      <c r="K38" s="49">
        <f>IF(B38="","",IFERROR(INDEX('JOBS'!$D$5:$D$1504,MATCH(B38,'JOBS'!$A$5:$A$1504,0)),""))</f>
        <v/>
      </c>
      <c r="L38" s="49">
        <f>IF(B38="","",IFERROR(INDEX('JOBS'!$H$5:$H$1504,MATCH(B38,'JOBS'!$A$5:$A$1504,0)),""))</f>
        <v/>
      </c>
      <c r="M38" s="99">
        <f>IF(N(E38)=0,"",MIN(1,N(F38)/E38))</f>
        <v/>
      </c>
      <c r="N38" s="49">
        <f>IF(M38="","",IF(M38&gt;=QCPass,"Pass","Fail"))</f>
        <v/>
      </c>
      <c r="O38" s="49">
        <f>IF(A38="","",IF(H38&lt;&gt;"Yes","—",IF(J38="Yes","Resolved","Rework open")))</f>
        <v/>
      </c>
      <c r="P38" s="51">
        <f>IF(A38="","",DATE(YEAR(A38),MONTH(A38),1))</f>
        <v/>
      </c>
    </row>
    <row r="39">
      <c r="A39" s="47" t="n">
        <v>46213</v>
      </c>
      <c r="B39" s="38" t="inlineStr">
        <is>
          <t>J-0192</t>
        </is>
      </c>
      <c r="C39" s="38" t="inlineStr">
        <is>
          <t>Residential Standard</t>
        </is>
      </c>
      <c r="D39" s="38" t="inlineStr">
        <is>
          <t>Jordan Rivera</t>
        </is>
      </c>
      <c r="E39" s="57" t="n">
        <v>22</v>
      </c>
      <c r="F39" s="57" t="n">
        <v>22</v>
      </c>
      <c r="G39" s="38" t="inlineStr"/>
      <c r="H39" s="38" t="inlineStr">
        <is>
          <t>No</t>
        </is>
      </c>
      <c r="I39" s="47" t="n"/>
      <c r="J39" s="38" t="n"/>
      <c r="K39" s="49">
        <f>IF(B39="","",IFERROR(INDEX('JOBS'!$D$5:$D$1504,MATCH(B39,'JOBS'!$A$5:$A$1504,0)),""))</f>
        <v/>
      </c>
      <c r="L39" s="49">
        <f>IF(B39="","",IFERROR(INDEX('JOBS'!$H$5:$H$1504,MATCH(B39,'JOBS'!$A$5:$A$1504,0)),""))</f>
        <v/>
      </c>
      <c r="M39" s="99">
        <f>IF(N(E39)=0,"",MIN(1,N(F39)/E39))</f>
        <v/>
      </c>
      <c r="N39" s="49">
        <f>IF(M39="","",IF(M39&gt;=QCPass,"Pass","Fail"))</f>
        <v/>
      </c>
      <c r="O39" s="49">
        <f>IF(A39="","",IF(H39&lt;&gt;"Yes","—",IF(J39="Yes","Resolved","Rework open")))</f>
        <v/>
      </c>
      <c r="P39" s="51">
        <f>IF(A39="","",DATE(YEAR(A39),MONTH(A39),1))</f>
        <v/>
      </c>
    </row>
    <row r="40">
      <c r="A40" s="47" t="n">
        <v>46217</v>
      </c>
      <c r="B40" s="38" t="inlineStr">
        <is>
          <t>J-0199</t>
        </is>
      </c>
      <c r="C40" s="38" t="inlineStr">
        <is>
          <t>Airbnb Turnover</t>
        </is>
      </c>
      <c r="D40" s="38" t="inlineStr">
        <is>
          <t>Jordan Rivera</t>
        </is>
      </c>
      <c r="E40" s="57" t="n">
        <v>26</v>
      </c>
      <c r="F40" s="57" t="n">
        <v>26</v>
      </c>
      <c r="G40" s="38" t="inlineStr"/>
      <c r="H40" s="38" t="inlineStr">
        <is>
          <t>No</t>
        </is>
      </c>
      <c r="I40" s="47" t="n"/>
      <c r="J40" s="38" t="n"/>
      <c r="K40" s="49">
        <f>IF(B40="","",IFERROR(INDEX('JOBS'!$D$5:$D$1504,MATCH(B40,'JOBS'!$A$5:$A$1504,0)),""))</f>
        <v/>
      </c>
      <c r="L40" s="49">
        <f>IF(B40="","",IFERROR(INDEX('JOBS'!$H$5:$H$1504,MATCH(B40,'JOBS'!$A$5:$A$1504,0)),""))</f>
        <v/>
      </c>
      <c r="M40" s="99">
        <f>IF(N(E40)=0,"",MIN(1,N(F40)/E40))</f>
        <v/>
      </c>
      <c r="N40" s="49">
        <f>IF(M40="","",IF(M40&gt;=QCPass,"Pass","Fail"))</f>
        <v/>
      </c>
      <c r="O40" s="49">
        <f>IF(A40="","",IF(H40&lt;&gt;"Yes","—",IF(J40="Yes","Resolved","Rework open")))</f>
        <v/>
      </c>
      <c r="P40" s="51">
        <f>IF(A40="","",DATE(YEAR(A40),MONTH(A40),1))</f>
        <v/>
      </c>
    </row>
    <row r="41">
      <c r="A41" s="47" t="n">
        <v>46220</v>
      </c>
      <c r="B41" s="38" t="inlineStr">
        <is>
          <t>J-0202</t>
        </is>
      </c>
      <c r="C41" s="38" t="inlineStr">
        <is>
          <t>Commercial</t>
        </is>
      </c>
      <c r="D41" s="38" t="inlineStr">
        <is>
          <t>Jordan Rivera</t>
        </is>
      </c>
      <c r="E41" s="57" t="n">
        <v>26</v>
      </c>
      <c r="F41" s="57" t="n">
        <v>22</v>
      </c>
      <c r="G41" s="38" t="inlineStr">
        <is>
          <t>Trash not replaced in bath</t>
        </is>
      </c>
      <c r="H41" s="38" t="inlineStr">
        <is>
          <t>Yes</t>
        </is>
      </c>
      <c r="I41" s="47" t="n">
        <v>46221</v>
      </c>
      <c r="J41" s="38" t="inlineStr">
        <is>
          <t>Yes</t>
        </is>
      </c>
      <c r="K41" s="49">
        <f>IF(B41="","",IFERROR(INDEX('JOBS'!$D$5:$D$1504,MATCH(B41,'JOBS'!$A$5:$A$1504,0)),""))</f>
        <v/>
      </c>
      <c r="L41" s="49">
        <f>IF(B41="","",IFERROR(INDEX('JOBS'!$H$5:$H$1504,MATCH(B41,'JOBS'!$A$5:$A$1504,0)),""))</f>
        <v/>
      </c>
      <c r="M41" s="99">
        <f>IF(N(E41)=0,"",MIN(1,N(F41)/E41))</f>
        <v/>
      </c>
      <c r="N41" s="49">
        <f>IF(M41="","",IF(M41&gt;=QCPass,"Pass","Fail"))</f>
        <v/>
      </c>
      <c r="O41" s="49">
        <f>IF(A41="","",IF(H41&lt;&gt;"Yes","—",IF(J41="Yes","Resolved","Rework open")))</f>
        <v/>
      </c>
      <c r="P41" s="51">
        <f>IF(A41="","",DATE(YEAR(A41),MONTH(A41),1))</f>
        <v/>
      </c>
    </row>
    <row r="42">
      <c r="A42" s="47" t="n">
        <v>46234</v>
      </c>
      <c r="B42" s="38" t="inlineStr">
        <is>
          <t>J-0222</t>
        </is>
      </c>
      <c r="C42" s="38" t="inlineStr">
        <is>
          <t>Residential Standard</t>
        </is>
      </c>
      <c r="D42" s="38" t="inlineStr">
        <is>
          <t>Jordan Rivera</t>
        </is>
      </c>
      <c r="E42" s="57" t="n">
        <v>21</v>
      </c>
      <c r="F42" s="57" t="n">
        <v>20</v>
      </c>
      <c r="G42" s="38" t="inlineStr">
        <is>
          <t>Trash not replaced in bath</t>
        </is>
      </c>
      <c r="H42" s="38" t="inlineStr">
        <is>
          <t>No</t>
        </is>
      </c>
      <c r="I42" s="47" t="n"/>
      <c r="J42" s="38" t="n"/>
      <c r="K42" s="49">
        <f>IF(B42="","",IFERROR(INDEX('JOBS'!$D$5:$D$1504,MATCH(B42,'JOBS'!$A$5:$A$1504,0)),""))</f>
        <v/>
      </c>
      <c r="L42" s="49">
        <f>IF(B42="","",IFERROR(INDEX('JOBS'!$H$5:$H$1504,MATCH(B42,'JOBS'!$A$5:$A$1504,0)),""))</f>
        <v/>
      </c>
      <c r="M42" s="99">
        <f>IF(N(E42)=0,"",MIN(1,N(F42)/E42))</f>
        <v/>
      </c>
      <c r="N42" s="49">
        <f>IF(M42="","",IF(M42&gt;=QCPass,"Pass","Fail"))</f>
        <v/>
      </c>
      <c r="O42" s="49">
        <f>IF(A42="","",IF(H42&lt;&gt;"Yes","—",IF(J42="Yes","Resolved","Rework open")))</f>
        <v/>
      </c>
      <c r="P42" s="51">
        <f>IF(A42="","",DATE(YEAR(A42),MONTH(A42),1))</f>
        <v/>
      </c>
    </row>
    <row r="43">
      <c r="A43" s="47" t="n">
        <v>46241</v>
      </c>
      <c r="B43" s="38" t="inlineStr">
        <is>
          <t>J-0229</t>
        </is>
      </c>
      <c r="C43" s="38" t="inlineStr">
        <is>
          <t>Commercial</t>
        </is>
      </c>
      <c r="D43" s="38" t="inlineStr">
        <is>
          <t>Jordan Rivera</t>
        </is>
      </c>
      <c r="E43" s="57" t="n">
        <v>24</v>
      </c>
      <c r="F43" s="57" t="n">
        <v>20</v>
      </c>
      <c r="G43" s="38" t="inlineStr">
        <is>
          <t>Trash not replaced in bath</t>
        </is>
      </c>
      <c r="H43" s="38" t="inlineStr">
        <is>
          <t>Yes</t>
        </is>
      </c>
      <c r="I43" s="47" t="n">
        <v>46242</v>
      </c>
      <c r="J43" s="38" t="inlineStr">
        <is>
          <t>Yes</t>
        </is>
      </c>
      <c r="K43" s="49">
        <f>IF(B43="","",IFERROR(INDEX('JOBS'!$D$5:$D$1504,MATCH(B43,'JOBS'!$A$5:$A$1504,0)),""))</f>
        <v/>
      </c>
      <c r="L43" s="49">
        <f>IF(B43="","",IFERROR(INDEX('JOBS'!$H$5:$H$1504,MATCH(B43,'JOBS'!$A$5:$A$1504,0)),""))</f>
        <v/>
      </c>
      <c r="M43" s="99">
        <f>IF(N(E43)=0,"",MIN(1,N(F43)/E43))</f>
        <v/>
      </c>
      <c r="N43" s="49">
        <f>IF(M43="","",IF(M43&gt;=QCPass,"Pass","Fail"))</f>
        <v/>
      </c>
      <c r="O43" s="49">
        <f>IF(A43="","",IF(H43&lt;&gt;"Yes","—",IF(J43="Yes","Resolved","Rework open")))</f>
        <v/>
      </c>
      <c r="P43" s="51">
        <f>IF(A43="","",DATE(YEAR(A43),MONTH(A43),1))</f>
        <v/>
      </c>
    </row>
    <row r="44">
      <c r="A44" s="47" t="n">
        <v>46242</v>
      </c>
      <c r="B44" s="38" t="inlineStr">
        <is>
          <t>J-0233</t>
        </is>
      </c>
      <c r="C44" s="38" t="inlineStr">
        <is>
          <t>Residential Standard</t>
        </is>
      </c>
      <c r="D44" s="38" t="inlineStr">
        <is>
          <t>Jordan Rivera</t>
        </is>
      </c>
      <c r="E44" s="57" t="n">
        <v>22</v>
      </c>
      <c r="F44" s="57" t="n">
        <v>21</v>
      </c>
      <c r="G44" s="38" t="inlineStr">
        <is>
          <t>Trash not replaced in bath</t>
        </is>
      </c>
      <c r="H44" s="38" t="inlineStr">
        <is>
          <t>No</t>
        </is>
      </c>
      <c r="I44" s="47" t="n"/>
      <c r="J44" s="38" t="n"/>
      <c r="K44" s="49">
        <f>IF(B44="","",IFERROR(INDEX('JOBS'!$D$5:$D$1504,MATCH(B44,'JOBS'!$A$5:$A$1504,0)),""))</f>
        <v/>
      </c>
      <c r="L44" s="49">
        <f>IF(B44="","",IFERROR(INDEX('JOBS'!$H$5:$H$1504,MATCH(B44,'JOBS'!$A$5:$A$1504,0)),""))</f>
        <v/>
      </c>
      <c r="M44" s="99">
        <f>IF(N(E44)=0,"",MIN(1,N(F44)/E44))</f>
        <v/>
      </c>
      <c r="N44" s="49">
        <f>IF(M44="","",IF(M44&gt;=QCPass,"Pass","Fail"))</f>
        <v/>
      </c>
      <c r="O44" s="49">
        <f>IF(A44="","",IF(H44&lt;&gt;"Yes","—",IF(J44="Yes","Resolved","Rework open")))</f>
        <v/>
      </c>
      <c r="P44" s="51">
        <f>IF(A44="","",DATE(YEAR(A44),MONTH(A44),1))</f>
        <v/>
      </c>
    </row>
    <row r="45">
      <c r="A45" s="47" t="n">
        <v>46248</v>
      </c>
      <c r="B45" s="38" t="inlineStr">
        <is>
          <t>J-0239</t>
        </is>
      </c>
      <c r="C45" s="38" t="inlineStr">
        <is>
          <t>Commercial</t>
        </is>
      </c>
      <c r="D45" s="38" t="inlineStr">
        <is>
          <t>Jordan Rivera</t>
        </is>
      </c>
      <c r="E45" s="57" t="n">
        <v>28</v>
      </c>
      <c r="F45" s="57" t="n">
        <v>24</v>
      </c>
      <c r="G45" s="38" t="inlineStr">
        <is>
          <t>Stovetop residue</t>
        </is>
      </c>
      <c r="H45" s="38" t="inlineStr">
        <is>
          <t>Yes</t>
        </is>
      </c>
      <c r="I45" s="47" t="n">
        <v>46249</v>
      </c>
      <c r="J45" s="38" t="inlineStr">
        <is>
          <t>Yes</t>
        </is>
      </c>
      <c r="K45" s="49">
        <f>IF(B45="","",IFERROR(INDEX('JOBS'!$D$5:$D$1504,MATCH(B45,'JOBS'!$A$5:$A$1504,0)),""))</f>
        <v/>
      </c>
      <c r="L45" s="49">
        <f>IF(B45="","",IFERROR(INDEX('JOBS'!$H$5:$H$1504,MATCH(B45,'JOBS'!$A$5:$A$1504,0)),""))</f>
        <v/>
      </c>
      <c r="M45" s="99">
        <f>IF(N(E45)=0,"",MIN(1,N(F45)/E45))</f>
        <v/>
      </c>
      <c r="N45" s="49">
        <f>IF(M45="","",IF(M45&gt;=QCPass,"Pass","Fail"))</f>
        <v/>
      </c>
      <c r="O45" s="49">
        <f>IF(A45="","",IF(H45&lt;&gt;"Yes","—",IF(J45="Yes","Resolved","Rework open")))</f>
        <v/>
      </c>
      <c r="P45" s="51">
        <f>IF(A45="","",DATE(YEAR(A45),MONTH(A45),1))</f>
        <v/>
      </c>
    </row>
    <row r="46">
      <c r="A46" s="47" t="n">
        <v>46253</v>
      </c>
      <c r="B46" s="38" t="inlineStr">
        <is>
          <t>J-0245</t>
        </is>
      </c>
      <c r="C46" s="38" t="inlineStr">
        <is>
          <t>Residential Standard</t>
        </is>
      </c>
      <c r="D46" s="38" t="inlineStr">
        <is>
          <t>Jordan Rivera</t>
        </is>
      </c>
      <c r="E46" s="57" t="n">
        <v>20</v>
      </c>
      <c r="F46" s="57" t="n">
        <v>16</v>
      </c>
      <c r="G46" s="38" t="inlineStr">
        <is>
          <t>Stovetop residue</t>
        </is>
      </c>
      <c r="H46" s="38" t="inlineStr">
        <is>
          <t>Yes</t>
        </is>
      </c>
      <c r="I46" s="47" t="n">
        <v>46254</v>
      </c>
      <c r="J46" s="38" t="inlineStr">
        <is>
          <t>Yes</t>
        </is>
      </c>
      <c r="K46" s="49">
        <f>IF(B46="","",IFERROR(INDEX('JOBS'!$D$5:$D$1504,MATCH(B46,'JOBS'!$A$5:$A$1504,0)),""))</f>
        <v/>
      </c>
      <c r="L46" s="49">
        <f>IF(B46="","",IFERROR(INDEX('JOBS'!$H$5:$H$1504,MATCH(B46,'JOBS'!$A$5:$A$1504,0)),""))</f>
        <v/>
      </c>
      <c r="M46" s="99">
        <f>IF(N(E46)=0,"",MIN(1,N(F46)/E46))</f>
        <v/>
      </c>
      <c r="N46" s="49">
        <f>IF(M46="","",IF(M46&gt;=QCPass,"Pass","Fail"))</f>
        <v/>
      </c>
      <c r="O46" s="49">
        <f>IF(A46="","",IF(H46&lt;&gt;"Yes","—",IF(J46="Yes","Resolved","Rework open")))</f>
        <v/>
      </c>
      <c r="P46" s="51">
        <f>IF(A46="","",DATE(YEAR(A46),MONTH(A46),1))</f>
        <v/>
      </c>
    </row>
    <row r="47">
      <c r="A47" s="47" t="n">
        <v>46255</v>
      </c>
      <c r="B47" s="38" t="inlineStr">
        <is>
          <t>J-0248</t>
        </is>
      </c>
      <c r="C47" s="38" t="inlineStr">
        <is>
          <t>Commercial</t>
        </is>
      </c>
      <c r="D47" s="38" t="inlineStr">
        <is>
          <t>Jordan Rivera</t>
        </is>
      </c>
      <c r="E47" s="57" t="n">
        <v>28</v>
      </c>
      <c r="F47" s="57" t="n">
        <v>28</v>
      </c>
      <c r="G47" s="38" t="inlineStr"/>
      <c r="H47" s="38" t="inlineStr">
        <is>
          <t>No</t>
        </is>
      </c>
      <c r="I47" s="47" t="n"/>
      <c r="J47" s="38" t="n"/>
      <c r="K47" s="49">
        <f>IF(B47="","",IFERROR(INDEX('JOBS'!$D$5:$D$1504,MATCH(B47,'JOBS'!$A$5:$A$1504,0)),""))</f>
        <v/>
      </c>
      <c r="L47" s="49">
        <f>IF(B47="","",IFERROR(INDEX('JOBS'!$H$5:$H$1504,MATCH(B47,'JOBS'!$A$5:$A$1504,0)),""))</f>
        <v/>
      </c>
      <c r="M47" s="99">
        <f>IF(N(E47)=0,"",MIN(1,N(F47)/E47))</f>
        <v/>
      </c>
      <c r="N47" s="49">
        <f>IF(M47="","",IF(M47&gt;=QCPass,"Pass","Fail"))</f>
        <v/>
      </c>
      <c r="O47" s="49">
        <f>IF(A47="","",IF(H47&lt;&gt;"Yes","—",IF(J47="Yes","Resolved","Rework open")))</f>
        <v/>
      </c>
      <c r="P47" s="51">
        <f>IF(A47="","",DATE(YEAR(A47),MONTH(A47),1))</f>
        <v/>
      </c>
    </row>
    <row r="48">
      <c r="A48" s="47" t="n">
        <v>46269</v>
      </c>
      <c r="B48" s="38" t="inlineStr">
        <is>
          <t>J-0265</t>
        </is>
      </c>
      <c r="C48" s="38" t="inlineStr">
        <is>
          <t>Residential Standard</t>
        </is>
      </c>
      <c r="D48" s="38" t="inlineStr">
        <is>
          <t>Jordan Rivera</t>
        </is>
      </c>
      <c r="E48" s="57" t="n">
        <v>27</v>
      </c>
      <c r="F48" s="57" t="n">
        <v>27</v>
      </c>
      <c r="G48" s="38" t="inlineStr"/>
      <c r="H48" s="38" t="inlineStr">
        <is>
          <t>No</t>
        </is>
      </c>
      <c r="I48" s="47" t="n"/>
      <c r="J48" s="38" t="n"/>
      <c r="K48" s="49">
        <f>IF(B48="","",IFERROR(INDEX('JOBS'!$D$5:$D$1504,MATCH(B48,'JOBS'!$A$5:$A$1504,0)),""))</f>
        <v/>
      </c>
      <c r="L48" s="49">
        <f>IF(B48="","",IFERROR(INDEX('JOBS'!$H$5:$H$1504,MATCH(B48,'JOBS'!$A$5:$A$1504,0)),""))</f>
        <v/>
      </c>
      <c r="M48" s="99">
        <f>IF(N(E48)=0,"",MIN(1,N(F48)/E48))</f>
        <v/>
      </c>
      <c r="N48" s="49">
        <f>IF(M48="","",IF(M48&gt;=QCPass,"Pass","Fail"))</f>
        <v/>
      </c>
      <c r="O48" s="49">
        <f>IF(A48="","",IF(H48&lt;&gt;"Yes","—",IF(J48="Yes","Resolved","Rework open")))</f>
        <v/>
      </c>
      <c r="P48" s="51">
        <f>IF(A48="","",DATE(YEAR(A48),MONTH(A48),1))</f>
        <v/>
      </c>
    </row>
    <row r="49">
      <c r="A49" s="47" t="n">
        <v>46279</v>
      </c>
      <c r="B49" s="38" t="inlineStr">
        <is>
          <t>J-0276</t>
        </is>
      </c>
      <c r="C49" s="38" t="inlineStr">
        <is>
          <t>Residential Standard</t>
        </is>
      </c>
      <c r="D49" s="38" t="inlineStr">
        <is>
          <t>Jordan Rivera</t>
        </is>
      </c>
      <c r="E49" s="57" t="n">
        <v>26</v>
      </c>
      <c r="F49" s="57" t="n">
        <v>26</v>
      </c>
      <c r="G49" s="38" t="inlineStr"/>
      <c r="H49" s="38" t="inlineStr">
        <is>
          <t>No</t>
        </is>
      </c>
      <c r="I49" s="47" t="n"/>
      <c r="J49" s="38" t="n"/>
      <c r="K49" s="49">
        <f>IF(B49="","",IFERROR(INDEX('JOBS'!$D$5:$D$1504,MATCH(B49,'JOBS'!$A$5:$A$1504,0)),""))</f>
        <v/>
      </c>
      <c r="L49" s="49">
        <f>IF(B49="","",IFERROR(INDEX('JOBS'!$H$5:$H$1504,MATCH(B49,'JOBS'!$A$5:$A$1504,0)),""))</f>
        <v/>
      </c>
      <c r="M49" s="99">
        <f>IF(N(E49)=0,"",MIN(1,N(F49)/E49))</f>
        <v/>
      </c>
      <c r="N49" s="49">
        <f>IF(M49="","",IF(M49&gt;=QCPass,"Pass","Fail"))</f>
        <v/>
      </c>
      <c r="O49" s="49">
        <f>IF(A49="","",IF(H49&lt;&gt;"Yes","—",IF(J49="Yes","Resolved","Rework open")))</f>
        <v/>
      </c>
      <c r="P49" s="51">
        <f>IF(A49="","",DATE(YEAR(A49),MONTH(A49),1))</f>
        <v/>
      </c>
    </row>
    <row r="50">
      <c r="A50" s="47" t="n">
        <v>46283</v>
      </c>
      <c r="B50" s="38" t="inlineStr">
        <is>
          <t>J-0282</t>
        </is>
      </c>
      <c r="C50" s="38" t="inlineStr">
        <is>
          <t>Commercial</t>
        </is>
      </c>
      <c r="D50" s="38" t="inlineStr">
        <is>
          <t>Jordan Rivera</t>
        </is>
      </c>
      <c r="E50" s="57" t="n">
        <v>22</v>
      </c>
      <c r="F50" s="57" t="n">
        <v>21</v>
      </c>
      <c r="G50" s="38" t="inlineStr">
        <is>
          <t>Baseboards missed in hallway</t>
        </is>
      </c>
      <c r="H50" s="38" t="inlineStr">
        <is>
          <t>No</t>
        </is>
      </c>
      <c r="I50" s="47" t="n"/>
      <c r="J50" s="38" t="n"/>
      <c r="K50" s="49">
        <f>IF(B50="","",IFERROR(INDEX('JOBS'!$D$5:$D$1504,MATCH(B50,'JOBS'!$A$5:$A$1504,0)),""))</f>
        <v/>
      </c>
      <c r="L50" s="49">
        <f>IF(B50="","",IFERROR(INDEX('JOBS'!$H$5:$H$1504,MATCH(B50,'JOBS'!$A$5:$A$1504,0)),""))</f>
        <v/>
      </c>
      <c r="M50" s="99">
        <f>IF(N(E50)=0,"",MIN(1,N(F50)/E50))</f>
        <v/>
      </c>
      <c r="N50" s="49">
        <f>IF(M50="","",IF(M50&gt;=QCPass,"Pass","Fail"))</f>
        <v/>
      </c>
      <c r="O50" s="49">
        <f>IF(A50="","",IF(H50&lt;&gt;"Yes","—",IF(J50="Yes","Resolved","Rework open")))</f>
        <v/>
      </c>
      <c r="P50" s="51">
        <f>IF(A50="","",DATE(YEAR(A50),MONTH(A50),1))</f>
        <v/>
      </c>
    </row>
    <row r="51">
      <c r="A51" s="47" t="n">
        <v>46286</v>
      </c>
      <c r="B51" s="38" t="inlineStr">
        <is>
          <t>J-0288</t>
        </is>
      </c>
      <c r="C51" s="38" t="inlineStr">
        <is>
          <t>Residential Standard</t>
        </is>
      </c>
      <c r="D51" s="38" t="inlineStr">
        <is>
          <t>Jordan Rivera</t>
        </is>
      </c>
      <c r="E51" s="57" t="n">
        <v>27</v>
      </c>
      <c r="F51" s="57" t="n">
        <v>27</v>
      </c>
      <c r="G51" s="38" t="inlineStr"/>
      <c r="H51" s="38" t="inlineStr">
        <is>
          <t>No</t>
        </is>
      </c>
      <c r="I51" s="47" t="n"/>
      <c r="J51" s="38" t="n"/>
      <c r="K51" s="49">
        <f>IF(B51="","",IFERROR(INDEX('JOBS'!$D$5:$D$1504,MATCH(B51,'JOBS'!$A$5:$A$1504,0)),""))</f>
        <v/>
      </c>
      <c r="L51" s="49">
        <f>IF(B51="","",IFERROR(INDEX('JOBS'!$H$5:$H$1504,MATCH(B51,'JOBS'!$A$5:$A$1504,0)),""))</f>
        <v/>
      </c>
      <c r="M51" s="99">
        <f>IF(N(E51)=0,"",MIN(1,N(F51)/E51))</f>
        <v/>
      </c>
      <c r="N51" s="49">
        <f>IF(M51="","",IF(M51&gt;=QCPass,"Pass","Fail"))</f>
        <v/>
      </c>
      <c r="O51" s="49">
        <f>IF(A51="","",IF(H51&lt;&gt;"Yes","—",IF(J51="Yes","Resolved","Rework open")))</f>
        <v/>
      </c>
      <c r="P51" s="51">
        <f>IF(A51="","",DATE(YEAR(A51),MONTH(A51),1))</f>
        <v/>
      </c>
    </row>
    <row r="52">
      <c r="A52" s="47" t="n">
        <v>46293</v>
      </c>
      <c r="B52" s="38" t="inlineStr">
        <is>
          <t>J-0295</t>
        </is>
      </c>
      <c r="C52" s="38" t="inlineStr">
        <is>
          <t>Airbnb Turnover</t>
        </is>
      </c>
      <c r="D52" s="38" t="inlineStr">
        <is>
          <t>Jordan Rivera</t>
        </is>
      </c>
      <c r="E52" s="57" t="n">
        <v>24</v>
      </c>
      <c r="F52" s="57" t="n">
        <v>22</v>
      </c>
      <c r="G52" s="38" t="inlineStr">
        <is>
          <t>Streaks on mirror</t>
        </is>
      </c>
      <c r="H52" s="38" t="inlineStr">
        <is>
          <t>No</t>
        </is>
      </c>
      <c r="I52" s="47" t="n"/>
      <c r="J52" s="38" t="n"/>
      <c r="K52" s="49">
        <f>IF(B52="","",IFERROR(INDEX('JOBS'!$D$5:$D$1504,MATCH(B52,'JOBS'!$A$5:$A$1504,0)),""))</f>
        <v/>
      </c>
      <c r="L52" s="49">
        <f>IF(B52="","",IFERROR(INDEX('JOBS'!$H$5:$H$1504,MATCH(B52,'JOBS'!$A$5:$A$1504,0)),""))</f>
        <v/>
      </c>
      <c r="M52" s="99">
        <f>IF(N(E52)=0,"",MIN(1,N(F52)/E52))</f>
        <v/>
      </c>
      <c r="N52" s="49">
        <f>IF(M52="","",IF(M52&gt;=QCPass,"Pass","Fail"))</f>
        <v/>
      </c>
      <c r="O52" s="49">
        <f>IF(A52="","",IF(H52&lt;&gt;"Yes","—",IF(J52="Yes","Resolved","Rework open")))</f>
        <v/>
      </c>
      <c r="P52" s="51">
        <f>IF(A52="","",DATE(YEAR(A52),MONTH(A52),1))</f>
        <v/>
      </c>
    </row>
    <row r="53">
      <c r="A53" s="47" t="n"/>
      <c r="B53" s="38" t="n"/>
      <c r="C53" s="38" t="n"/>
      <c r="D53" s="38" t="n"/>
      <c r="E53" s="57" t="n"/>
      <c r="F53" s="57" t="n"/>
      <c r="G53" s="38" t="n"/>
      <c r="H53" s="38" t="n"/>
      <c r="I53" s="47" t="n"/>
      <c r="J53" s="38" t="n"/>
      <c r="K53" s="49">
        <f>IF(B53="","",IFERROR(INDEX('JOBS'!$D$5:$D$1504,MATCH(B53,'JOBS'!$A$5:$A$1504,0)),""))</f>
        <v/>
      </c>
      <c r="L53" s="49">
        <f>IF(B53="","",IFERROR(INDEX('JOBS'!$H$5:$H$1504,MATCH(B53,'JOBS'!$A$5:$A$1504,0)),""))</f>
        <v/>
      </c>
      <c r="M53" s="99">
        <f>IF(N(E53)=0,"",MIN(1,N(F53)/E53))</f>
        <v/>
      </c>
      <c r="N53" s="49">
        <f>IF(M53="","",IF(M53&gt;=QCPass,"Pass","Fail"))</f>
        <v/>
      </c>
      <c r="O53" s="49">
        <f>IF(A53="","",IF(H53&lt;&gt;"Yes","—",IF(J53="Yes","Resolved","Rework open")))</f>
        <v/>
      </c>
      <c r="P53" s="51">
        <f>IF(A53="","",DATE(YEAR(A53),MONTH(A53),1))</f>
        <v/>
      </c>
    </row>
    <row r="54">
      <c r="A54" s="47" t="n"/>
      <c r="B54" s="38" t="n"/>
      <c r="C54" s="38" t="n"/>
      <c r="D54" s="38" t="n"/>
      <c r="E54" s="57" t="n"/>
      <c r="F54" s="57" t="n"/>
      <c r="G54" s="38" t="n"/>
      <c r="H54" s="38" t="n"/>
      <c r="I54" s="47" t="n"/>
      <c r="J54" s="38" t="n"/>
      <c r="K54" s="49">
        <f>IF(B54="","",IFERROR(INDEX('JOBS'!$D$5:$D$1504,MATCH(B54,'JOBS'!$A$5:$A$1504,0)),""))</f>
        <v/>
      </c>
      <c r="L54" s="49">
        <f>IF(B54="","",IFERROR(INDEX('JOBS'!$H$5:$H$1504,MATCH(B54,'JOBS'!$A$5:$A$1504,0)),""))</f>
        <v/>
      </c>
      <c r="M54" s="99">
        <f>IF(N(E54)=0,"",MIN(1,N(F54)/E54))</f>
        <v/>
      </c>
      <c r="N54" s="49">
        <f>IF(M54="","",IF(M54&gt;=QCPass,"Pass","Fail"))</f>
        <v/>
      </c>
      <c r="O54" s="49">
        <f>IF(A54="","",IF(H54&lt;&gt;"Yes","—",IF(J54="Yes","Resolved","Rework open")))</f>
        <v/>
      </c>
      <c r="P54" s="51">
        <f>IF(A54="","",DATE(YEAR(A54),MONTH(A54),1))</f>
        <v/>
      </c>
    </row>
    <row r="55">
      <c r="A55" s="47" t="n"/>
      <c r="B55" s="38" t="n"/>
      <c r="C55" s="38" t="n"/>
      <c r="D55" s="38" t="n"/>
      <c r="E55" s="57" t="n"/>
      <c r="F55" s="57" t="n"/>
      <c r="G55" s="38" t="n"/>
      <c r="H55" s="38" t="n"/>
      <c r="I55" s="47" t="n"/>
      <c r="J55" s="38" t="n"/>
      <c r="K55" s="49">
        <f>IF(B55="","",IFERROR(INDEX('JOBS'!$D$5:$D$1504,MATCH(B55,'JOBS'!$A$5:$A$1504,0)),""))</f>
        <v/>
      </c>
      <c r="L55" s="49">
        <f>IF(B55="","",IFERROR(INDEX('JOBS'!$H$5:$H$1504,MATCH(B55,'JOBS'!$A$5:$A$1504,0)),""))</f>
        <v/>
      </c>
      <c r="M55" s="99">
        <f>IF(N(E55)=0,"",MIN(1,N(F55)/E55))</f>
        <v/>
      </c>
      <c r="N55" s="49">
        <f>IF(M55="","",IF(M55&gt;=QCPass,"Pass","Fail"))</f>
        <v/>
      </c>
      <c r="O55" s="49">
        <f>IF(A55="","",IF(H55&lt;&gt;"Yes","—",IF(J55="Yes","Resolved","Rework open")))</f>
        <v/>
      </c>
      <c r="P55" s="51">
        <f>IF(A55="","",DATE(YEAR(A55),MONTH(A55),1))</f>
        <v/>
      </c>
    </row>
    <row r="56">
      <c r="A56" s="47" t="n"/>
      <c r="B56" s="38" t="n"/>
      <c r="C56" s="38" t="n"/>
      <c r="D56" s="38" t="n"/>
      <c r="E56" s="57" t="n"/>
      <c r="F56" s="57" t="n"/>
      <c r="G56" s="38" t="n"/>
      <c r="H56" s="38" t="n"/>
      <c r="I56" s="47" t="n"/>
      <c r="J56" s="38" t="n"/>
      <c r="K56" s="49">
        <f>IF(B56="","",IFERROR(INDEX('JOBS'!$D$5:$D$1504,MATCH(B56,'JOBS'!$A$5:$A$1504,0)),""))</f>
        <v/>
      </c>
      <c r="L56" s="49">
        <f>IF(B56="","",IFERROR(INDEX('JOBS'!$H$5:$H$1504,MATCH(B56,'JOBS'!$A$5:$A$1504,0)),""))</f>
        <v/>
      </c>
      <c r="M56" s="99">
        <f>IF(N(E56)=0,"",MIN(1,N(F56)/E56))</f>
        <v/>
      </c>
      <c r="N56" s="49">
        <f>IF(M56="","",IF(M56&gt;=QCPass,"Pass","Fail"))</f>
        <v/>
      </c>
      <c r="O56" s="49">
        <f>IF(A56="","",IF(H56&lt;&gt;"Yes","—",IF(J56="Yes","Resolved","Rework open")))</f>
        <v/>
      </c>
      <c r="P56" s="51">
        <f>IF(A56="","",DATE(YEAR(A56),MONTH(A56),1))</f>
        <v/>
      </c>
    </row>
    <row r="57">
      <c r="A57" s="47" t="n"/>
      <c r="B57" s="38" t="n"/>
      <c r="C57" s="38" t="n"/>
      <c r="D57" s="38" t="n"/>
      <c r="E57" s="57" t="n"/>
      <c r="F57" s="57" t="n"/>
      <c r="G57" s="38" t="n"/>
      <c r="H57" s="38" t="n"/>
      <c r="I57" s="47" t="n"/>
      <c r="J57" s="38" t="n"/>
      <c r="K57" s="49">
        <f>IF(B57="","",IFERROR(INDEX('JOBS'!$D$5:$D$1504,MATCH(B57,'JOBS'!$A$5:$A$1504,0)),""))</f>
        <v/>
      </c>
      <c r="L57" s="49">
        <f>IF(B57="","",IFERROR(INDEX('JOBS'!$H$5:$H$1504,MATCH(B57,'JOBS'!$A$5:$A$1504,0)),""))</f>
        <v/>
      </c>
      <c r="M57" s="99">
        <f>IF(N(E57)=0,"",MIN(1,N(F57)/E57))</f>
        <v/>
      </c>
      <c r="N57" s="49">
        <f>IF(M57="","",IF(M57&gt;=QCPass,"Pass","Fail"))</f>
        <v/>
      </c>
      <c r="O57" s="49">
        <f>IF(A57="","",IF(H57&lt;&gt;"Yes","—",IF(J57="Yes","Resolved","Rework open")))</f>
        <v/>
      </c>
      <c r="P57" s="51">
        <f>IF(A57="","",DATE(YEAR(A57),MONTH(A57),1))</f>
        <v/>
      </c>
    </row>
    <row r="58">
      <c r="A58" s="47" t="n"/>
      <c r="B58" s="38" t="n"/>
      <c r="C58" s="38" t="n"/>
      <c r="D58" s="38" t="n"/>
      <c r="E58" s="57" t="n"/>
      <c r="F58" s="57" t="n"/>
      <c r="G58" s="38" t="n"/>
      <c r="H58" s="38" t="n"/>
      <c r="I58" s="47" t="n"/>
      <c r="J58" s="38" t="n"/>
      <c r="K58" s="49">
        <f>IF(B58="","",IFERROR(INDEX('JOBS'!$D$5:$D$1504,MATCH(B58,'JOBS'!$A$5:$A$1504,0)),""))</f>
        <v/>
      </c>
      <c r="L58" s="49">
        <f>IF(B58="","",IFERROR(INDEX('JOBS'!$H$5:$H$1504,MATCH(B58,'JOBS'!$A$5:$A$1504,0)),""))</f>
        <v/>
      </c>
      <c r="M58" s="99">
        <f>IF(N(E58)=0,"",MIN(1,N(F58)/E58))</f>
        <v/>
      </c>
      <c r="N58" s="49">
        <f>IF(M58="","",IF(M58&gt;=QCPass,"Pass","Fail"))</f>
        <v/>
      </c>
      <c r="O58" s="49">
        <f>IF(A58="","",IF(H58&lt;&gt;"Yes","—",IF(J58="Yes","Resolved","Rework open")))</f>
        <v/>
      </c>
      <c r="P58" s="51">
        <f>IF(A58="","",DATE(YEAR(A58),MONTH(A58),1))</f>
        <v/>
      </c>
    </row>
    <row r="59">
      <c r="A59" s="47" t="n"/>
      <c r="B59" s="38" t="n"/>
      <c r="C59" s="38" t="n"/>
      <c r="D59" s="38" t="n"/>
      <c r="E59" s="57" t="n"/>
      <c r="F59" s="57" t="n"/>
      <c r="G59" s="38" t="n"/>
      <c r="H59" s="38" t="n"/>
      <c r="I59" s="47" t="n"/>
      <c r="J59" s="38" t="n"/>
      <c r="K59" s="49">
        <f>IF(B59="","",IFERROR(INDEX('JOBS'!$D$5:$D$1504,MATCH(B59,'JOBS'!$A$5:$A$1504,0)),""))</f>
        <v/>
      </c>
      <c r="L59" s="49">
        <f>IF(B59="","",IFERROR(INDEX('JOBS'!$H$5:$H$1504,MATCH(B59,'JOBS'!$A$5:$A$1504,0)),""))</f>
        <v/>
      </c>
      <c r="M59" s="99">
        <f>IF(N(E59)=0,"",MIN(1,N(F59)/E59))</f>
        <v/>
      </c>
      <c r="N59" s="49">
        <f>IF(M59="","",IF(M59&gt;=QCPass,"Pass","Fail"))</f>
        <v/>
      </c>
      <c r="O59" s="49">
        <f>IF(A59="","",IF(H59&lt;&gt;"Yes","—",IF(J59="Yes","Resolved","Rework open")))</f>
        <v/>
      </c>
      <c r="P59" s="51">
        <f>IF(A59="","",DATE(YEAR(A59),MONTH(A59),1))</f>
        <v/>
      </c>
    </row>
    <row r="60">
      <c r="A60" s="47" t="n"/>
      <c r="B60" s="38" t="n"/>
      <c r="C60" s="38" t="n"/>
      <c r="D60" s="38" t="n"/>
      <c r="E60" s="57" t="n"/>
      <c r="F60" s="57" t="n"/>
      <c r="G60" s="38" t="n"/>
      <c r="H60" s="38" t="n"/>
      <c r="I60" s="47" t="n"/>
      <c r="J60" s="38" t="n"/>
      <c r="K60" s="49">
        <f>IF(B60="","",IFERROR(INDEX('JOBS'!$D$5:$D$1504,MATCH(B60,'JOBS'!$A$5:$A$1504,0)),""))</f>
        <v/>
      </c>
      <c r="L60" s="49">
        <f>IF(B60="","",IFERROR(INDEX('JOBS'!$H$5:$H$1504,MATCH(B60,'JOBS'!$A$5:$A$1504,0)),""))</f>
        <v/>
      </c>
      <c r="M60" s="99">
        <f>IF(N(E60)=0,"",MIN(1,N(F60)/E60))</f>
        <v/>
      </c>
      <c r="N60" s="49">
        <f>IF(M60="","",IF(M60&gt;=QCPass,"Pass","Fail"))</f>
        <v/>
      </c>
      <c r="O60" s="49">
        <f>IF(A60="","",IF(H60&lt;&gt;"Yes","—",IF(J60="Yes","Resolved","Rework open")))</f>
        <v/>
      </c>
      <c r="P60" s="51">
        <f>IF(A60="","",DATE(YEAR(A60),MONTH(A60),1))</f>
        <v/>
      </c>
    </row>
    <row r="61">
      <c r="A61" s="47" t="n"/>
      <c r="B61" s="38" t="n"/>
      <c r="C61" s="38" t="n"/>
      <c r="D61" s="38" t="n"/>
      <c r="E61" s="57" t="n"/>
      <c r="F61" s="57" t="n"/>
      <c r="G61" s="38" t="n"/>
      <c r="H61" s="38" t="n"/>
      <c r="I61" s="47" t="n"/>
      <c r="J61" s="38" t="n"/>
      <c r="K61" s="49">
        <f>IF(B61="","",IFERROR(INDEX('JOBS'!$D$5:$D$1504,MATCH(B61,'JOBS'!$A$5:$A$1504,0)),""))</f>
        <v/>
      </c>
      <c r="L61" s="49">
        <f>IF(B61="","",IFERROR(INDEX('JOBS'!$H$5:$H$1504,MATCH(B61,'JOBS'!$A$5:$A$1504,0)),""))</f>
        <v/>
      </c>
      <c r="M61" s="99">
        <f>IF(N(E61)=0,"",MIN(1,N(F61)/E61))</f>
        <v/>
      </c>
      <c r="N61" s="49">
        <f>IF(M61="","",IF(M61&gt;=QCPass,"Pass","Fail"))</f>
        <v/>
      </c>
      <c r="O61" s="49">
        <f>IF(A61="","",IF(H61&lt;&gt;"Yes","—",IF(J61="Yes","Resolved","Rework open")))</f>
        <v/>
      </c>
      <c r="P61" s="51">
        <f>IF(A61="","",DATE(YEAR(A61),MONTH(A61),1))</f>
        <v/>
      </c>
    </row>
    <row r="62">
      <c r="A62" s="47" t="n"/>
      <c r="B62" s="38" t="n"/>
      <c r="C62" s="38" t="n"/>
      <c r="D62" s="38" t="n"/>
      <c r="E62" s="57" t="n"/>
      <c r="F62" s="57" t="n"/>
      <c r="G62" s="38" t="n"/>
      <c r="H62" s="38" t="n"/>
      <c r="I62" s="47" t="n"/>
      <c r="J62" s="38" t="n"/>
      <c r="K62" s="49">
        <f>IF(B62="","",IFERROR(INDEX('JOBS'!$D$5:$D$1504,MATCH(B62,'JOBS'!$A$5:$A$1504,0)),""))</f>
        <v/>
      </c>
      <c r="L62" s="49">
        <f>IF(B62="","",IFERROR(INDEX('JOBS'!$H$5:$H$1504,MATCH(B62,'JOBS'!$A$5:$A$1504,0)),""))</f>
        <v/>
      </c>
      <c r="M62" s="99">
        <f>IF(N(E62)=0,"",MIN(1,N(F62)/E62))</f>
        <v/>
      </c>
      <c r="N62" s="49">
        <f>IF(M62="","",IF(M62&gt;=QCPass,"Pass","Fail"))</f>
        <v/>
      </c>
      <c r="O62" s="49">
        <f>IF(A62="","",IF(H62&lt;&gt;"Yes","—",IF(J62="Yes","Resolved","Rework open")))</f>
        <v/>
      </c>
      <c r="P62" s="51">
        <f>IF(A62="","",DATE(YEAR(A62),MONTH(A62),1))</f>
        <v/>
      </c>
    </row>
    <row r="63">
      <c r="A63" s="47" t="n"/>
      <c r="B63" s="38" t="n"/>
      <c r="C63" s="38" t="n"/>
      <c r="D63" s="38" t="n"/>
      <c r="E63" s="57" t="n"/>
      <c r="F63" s="57" t="n"/>
      <c r="G63" s="38" t="n"/>
      <c r="H63" s="38" t="n"/>
      <c r="I63" s="47" t="n"/>
      <c r="J63" s="38" t="n"/>
      <c r="K63" s="49">
        <f>IF(B63="","",IFERROR(INDEX('JOBS'!$D$5:$D$1504,MATCH(B63,'JOBS'!$A$5:$A$1504,0)),""))</f>
        <v/>
      </c>
      <c r="L63" s="49">
        <f>IF(B63="","",IFERROR(INDEX('JOBS'!$H$5:$H$1504,MATCH(B63,'JOBS'!$A$5:$A$1504,0)),""))</f>
        <v/>
      </c>
      <c r="M63" s="99">
        <f>IF(N(E63)=0,"",MIN(1,N(F63)/E63))</f>
        <v/>
      </c>
      <c r="N63" s="49">
        <f>IF(M63="","",IF(M63&gt;=QCPass,"Pass","Fail"))</f>
        <v/>
      </c>
      <c r="O63" s="49">
        <f>IF(A63="","",IF(H63&lt;&gt;"Yes","—",IF(J63="Yes","Resolved","Rework open")))</f>
        <v/>
      </c>
      <c r="P63" s="51">
        <f>IF(A63="","",DATE(YEAR(A63),MONTH(A63),1))</f>
        <v/>
      </c>
    </row>
    <row r="64">
      <c r="A64" s="47" t="n"/>
      <c r="B64" s="38" t="n"/>
      <c r="C64" s="38" t="n"/>
      <c r="D64" s="38" t="n"/>
      <c r="E64" s="57" t="n"/>
      <c r="F64" s="57" t="n"/>
      <c r="G64" s="38" t="n"/>
      <c r="H64" s="38" t="n"/>
      <c r="I64" s="47" t="n"/>
      <c r="J64" s="38" t="n"/>
      <c r="K64" s="49">
        <f>IF(B64="","",IFERROR(INDEX('JOBS'!$D$5:$D$1504,MATCH(B64,'JOBS'!$A$5:$A$1504,0)),""))</f>
        <v/>
      </c>
      <c r="L64" s="49">
        <f>IF(B64="","",IFERROR(INDEX('JOBS'!$H$5:$H$1504,MATCH(B64,'JOBS'!$A$5:$A$1504,0)),""))</f>
        <v/>
      </c>
      <c r="M64" s="99">
        <f>IF(N(E64)=0,"",MIN(1,N(F64)/E64))</f>
        <v/>
      </c>
      <c r="N64" s="49">
        <f>IF(M64="","",IF(M64&gt;=QCPass,"Pass","Fail"))</f>
        <v/>
      </c>
      <c r="O64" s="49">
        <f>IF(A64="","",IF(H64&lt;&gt;"Yes","—",IF(J64="Yes","Resolved","Rework open")))</f>
        <v/>
      </c>
      <c r="P64" s="51">
        <f>IF(A64="","",DATE(YEAR(A64),MONTH(A64),1))</f>
        <v/>
      </c>
    </row>
    <row r="65">
      <c r="A65" s="47" t="n"/>
      <c r="B65" s="38" t="n"/>
      <c r="C65" s="38" t="n"/>
      <c r="D65" s="38" t="n"/>
      <c r="E65" s="57" t="n"/>
      <c r="F65" s="57" t="n"/>
      <c r="G65" s="38" t="n"/>
      <c r="H65" s="38" t="n"/>
      <c r="I65" s="47" t="n"/>
      <c r="J65" s="38" t="n"/>
      <c r="K65" s="49">
        <f>IF(B65="","",IFERROR(INDEX('JOBS'!$D$5:$D$1504,MATCH(B65,'JOBS'!$A$5:$A$1504,0)),""))</f>
        <v/>
      </c>
      <c r="L65" s="49">
        <f>IF(B65="","",IFERROR(INDEX('JOBS'!$H$5:$H$1504,MATCH(B65,'JOBS'!$A$5:$A$1504,0)),""))</f>
        <v/>
      </c>
      <c r="M65" s="99">
        <f>IF(N(E65)=0,"",MIN(1,N(F65)/E65))</f>
        <v/>
      </c>
      <c r="N65" s="49">
        <f>IF(M65="","",IF(M65&gt;=QCPass,"Pass","Fail"))</f>
        <v/>
      </c>
      <c r="O65" s="49">
        <f>IF(A65="","",IF(H65&lt;&gt;"Yes","—",IF(J65="Yes","Resolved","Rework open")))</f>
        <v/>
      </c>
      <c r="P65" s="51">
        <f>IF(A65="","",DATE(YEAR(A65),MONTH(A65),1))</f>
        <v/>
      </c>
    </row>
    <row r="66">
      <c r="A66" s="47" t="n"/>
      <c r="B66" s="38" t="n"/>
      <c r="C66" s="38" t="n"/>
      <c r="D66" s="38" t="n"/>
      <c r="E66" s="57" t="n"/>
      <c r="F66" s="57" t="n"/>
      <c r="G66" s="38" t="n"/>
      <c r="H66" s="38" t="n"/>
      <c r="I66" s="47" t="n"/>
      <c r="J66" s="38" t="n"/>
      <c r="K66" s="49">
        <f>IF(B66="","",IFERROR(INDEX('JOBS'!$D$5:$D$1504,MATCH(B66,'JOBS'!$A$5:$A$1504,0)),""))</f>
        <v/>
      </c>
      <c r="L66" s="49">
        <f>IF(B66="","",IFERROR(INDEX('JOBS'!$H$5:$H$1504,MATCH(B66,'JOBS'!$A$5:$A$1504,0)),""))</f>
        <v/>
      </c>
      <c r="M66" s="99">
        <f>IF(N(E66)=0,"",MIN(1,N(F66)/E66))</f>
        <v/>
      </c>
      <c r="N66" s="49">
        <f>IF(M66="","",IF(M66&gt;=QCPass,"Pass","Fail"))</f>
        <v/>
      </c>
      <c r="O66" s="49">
        <f>IF(A66="","",IF(H66&lt;&gt;"Yes","—",IF(J66="Yes","Resolved","Rework open")))</f>
        <v/>
      </c>
      <c r="P66" s="51">
        <f>IF(A66="","",DATE(YEAR(A66),MONTH(A66),1))</f>
        <v/>
      </c>
    </row>
    <row r="67">
      <c r="A67" s="47" t="n"/>
      <c r="B67" s="38" t="n"/>
      <c r="C67" s="38" t="n"/>
      <c r="D67" s="38" t="n"/>
      <c r="E67" s="57" t="n"/>
      <c r="F67" s="57" t="n"/>
      <c r="G67" s="38" t="n"/>
      <c r="H67" s="38" t="n"/>
      <c r="I67" s="47" t="n"/>
      <c r="J67" s="38" t="n"/>
      <c r="K67" s="49">
        <f>IF(B67="","",IFERROR(INDEX('JOBS'!$D$5:$D$1504,MATCH(B67,'JOBS'!$A$5:$A$1504,0)),""))</f>
        <v/>
      </c>
      <c r="L67" s="49">
        <f>IF(B67="","",IFERROR(INDEX('JOBS'!$H$5:$H$1504,MATCH(B67,'JOBS'!$A$5:$A$1504,0)),""))</f>
        <v/>
      </c>
      <c r="M67" s="99">
        <f>IF(N(E67)=0,"",MIN(1,N(F67)/E67))</f>
        <v/>
      </c>
      <c r="N67" s="49">
        <f>IF(M67="","",IF(M67&gt;=QCPass,"Pass","Fail"))</f>
        <v/>
      </c>
      <c r="O67" s="49">
        <f>IF(A67="","",IF(H67&lt;&gt;"Yes","—",IF(J67="Yes","Resolved","Rework open")))</f>
        <v/>
      </c>
      <c r="P67" s="51">
        <f>IF(A67="","",DATE(YEAR(A67),MONTH(A67),1))</f>
        <v/>
      </c>
    </row>
    <row r="68">
      <c r="A68" s="47" t="n"/>
      <c r="B68" s="38" t="n"/>
      <c r="C68" s="38" t="n"/>
      <c r="D68" s="38" t="n"/>
      <c r="E68" s="57" t="n"/>
      <c r="F68" s="57" t="n"/>
      <c r="G68" s="38" t="n"/>
      <c r="H68" s="38" t="n"/>
      <c r="I68" s="47" t="n"/>
      <c r="J68" s="38" t="n"/>
      <c r="K68" s="49">
        <f>IF(B68="","",IFERROR(INDEX('JOBS'!$D$5:$D$1504,MATCH(B68,'JOBS'!$A$5:$A$1504,0)),""))</f>
        <v/>
      </c>
      <c r="L68" s="49">
        <f>IF(B68="","",IFERROR(INDEX('JOBS'!$H$5:$H$1504,MATCH(B68,'JOBS'!$A$5:$A$1504,0)),""))</f>
        <v/>
      </c>
      <c r="M68" s="99">
        <f>IF(N(E68)=0,"",MIN(1,N(F68)/E68))</f>
        <v/>
      </c>
      <c r="N68" s="49">
        <f>IF(M68="","",IF(M68&gt;=QCPass,"Pass","Fail"))</f>
        <v/>
      </c>
      <c r="O68" s="49">
        <f>IF(A68="","",IF(H68&lt;&gt;"Yes","—",IF(J68="Yes","Resolved","Rework open")))</f>
        <v/>
      </c>
      <c r="P68" s="51">
        <f>IF(A68="","",DATE(YEAR(A68),MONTH(A68),1))</f>
        <v/>
      </c>
    </row>
    <row r="69">
      <c r="A69" s="47" t="n"/>
      <c r="B69" s="38" t="n"/>
      <c r="C69" s="38" t="n"/>
      <c r="D69" s="38" t="n"/>
      <c r="E69" s="57" t="n"/>
      <c r="F69" s="57" t="n"/>
      <c r="G69" s="38" t="n"/>
      <c r="H69" s="38" t="n"/>
      <c r="I69" s="47" t="n"/>
      <c r="J69" s="38" t="n"/>
      <c r="K69" s="49">
        <f>IF(B69="","",IFERROR(INDEX('JOBS'!$D$5:$D$1504,MATCH(B69,'JOBS'!$A$5:$A$1504,0)),""))</f>
        <v/>
      </c>
      <c r="L69" s="49">
        <f>IF(B69="","",IFERROR(INDEX('JOBS'!$H$5:$H$1504,MATCH(B69,'JOBS'!$A$5:$A$1504,0)),""))</f>
        <v/>
      </c>
      <c r="M69" s="99">
        <f>IF(N(E69)=0,"",MIN(1,N(F69)/E69))</f>
        <v/>
      </c>
      <c r="N69" s="49">
        <f>IF(M69="","",IF(M69&gt;=QCPass,"Pass","Fail"))</f>
        <v/>
      </c>
      <c r="O69" s="49">
        <f>IF(A69="","",IF(H69&lt;&gt;"Yes","—",IF(J69="Yes","Resolved","Rework open")))</f>
        <v/>
      </c>
      <c r="P69" s="51">
        <f>IF(A69="","",DATE(YEAR(A69),MONTH(A69),1))</f>
        <v/>
      </c>
    </row>
    <row r="70">
      <c r="A70" s="47" t="n"/>
      <c r="B70" s="38" t="n"/>
      <c r="C70" s="38" t="n"/>
      <c r="D70" s="38" t="n"/>
      <c r="E70" s="57" t="n"/>
      <c r="F70" s="57" t="n"/>
      <c r="G70" s="38" t="n"/>
      <c r="H70" s="38" t="n"/>
      <c r="I70" s="47" t="n"/>
      <c r="J70" s="38" t="n"/>
      <c r="K70" s="49">
        <f>IF(B70="","",IFERROR(INDEX('JOBS'!$D$5:$D$1504,MATCH(B70,'JOBS'!$A$5:$A$1504,0)),""))</f>
        <v/>
      </c>
      <c r="L70" s="49">
        <f>IF(B70="","",IFERROR(INDEX('JOBS'!$H$5:$H$1504,MATCH(B70,'JOBS'!$A$5:$A$1504,0)),""))</f>
        <v/>
      </c>
      <c r="M70" s="99">
        <f>IF(N(E70)=0,"",MIN(1,N(F70)/E70))</f>
        <v/>
      </c>
      <c r="N70" s="49">
        <f>IF(M70="","",IF(M70&gt;=QCPass,"Pass","Fail"))</f>
        <v/>
      </c>
      <c r="O70" s="49">
        <f>IF(A70="","",IF(H70&lt;&gt;"Yes","—",IF(J70="Yes","Resolved","Rework open")))</f>
        <v/>
      </c>
      <c r="P70" s="51">
        <f>IF(A70="","",DATE(YEAR(A70),MONTH(A70),1))</f>
        <v/>
      </c>
    </row>
    <row r="71">
      <c r="A71" s="47" t="n"/>
      <c r="B71" s="38" t="n"/>
      <c r="C71" s="38" t="n"/>
      <c r="D71" s="38" t="n"/>
      <c r="E71" s="57" t="n"/>
      <c r="F71" s="57" t="n"/>
      <c r="G71" s="38" t="n"/>
      <c r="H71" s="38" t="n"/>
      <c r="I71" s="47" t="n"/>
      <c r="J71" s="38" t="n"/>
      <c r="K71" s="49">
        <f>IF(B71="","",IFERROR(INDEX('JOBS'!$D$5:$D$1504,MATCH(B71,'JOBS'!$A$5:$A$1504,0)),""))</f>
        <v/>
      </c>
      <c r="L71" s="49">
        <f>IF(B71="","",IFERROR(INDEX('JOBS'!$H$5:$H$1504,MATCH(B71,'JOBS'!$A$5:$A$1504,0)),""))</f>
        <v/>
      </c>
      <c r="M71" s="99">
        <f>IF(N(E71)=0,"",MIN(1,N(F71)/E71))</f>
        <v/>
      </c>
      <c r="N71" s="49">
        <f>IF(M71="","",IF(M71&gt;=QCPass,"Pass","Fail"))</f>
        <v/>
      </c>
      <c r="O71" s="49">
        <f>IF(A71="","",IF(H71&lt;&gt;"Yes","—",IF(J71="Yes","Resolved","Rework open")))</f>
        <v/>
      </c>
      <c r="P71" s="51">
        <f>IF(A71="","",DATE(YEAR(A71),MONTH(A71),1))</f>
        <v/>
      </c>
    </row>
    <row r="72">
      <c r="A72" s="47" t="n"/>
      <c r="B72" s="38" t="n"/>
      <c r="C72" s="38" t="n"/>
      <c r="D72" s="38" t="n"/>
      <c r="E72" s="57" t="n"/>
      <c r="F72" s="57" t="n"/>
      <c r="G72" s="38" t="n"/>
      <c r="H72" s="38" t="n"/>
      <c r="I72" s="47" t="n"/>
      <c r="J72" s="38" t="n"/>
      <c r="K72" s="49">
        <f>IF(B72="","",IFERROR(INDEX('JOBS'!$D$5:$D$1504,MATCH(B72,'JOBS'!$A$5:$A$1504,0)),""))</f>
        <v/>
      </c>
      <c r="L72" s="49">
        <f>IF(B72="","",IFERROR(INDEX('JOBS'!$H$5:$H$1504,MATCH(B72,'JOBS'!$A$5:$A$1504,0)),""))</f>
        <v/>
      </c>
      <c r="M72" s="99">
        <f>IF(N(E72)=0,"",MIN(1,N(F72)/E72))</f>
        <v/>
      </c>
      <c r="N72" s="49">
        <f>IF(M72="","",IF(M72&gt;=QCPass,"Pass","Fail"))</f>
        <v/>
      </c>
      <c r="O72" s="49">
        <f>IF(A72="","",IF(H72&lt;&gt;"Yes","—",IF(J72="Yes","Resolved","Rework open")))</f>
        <v/>
      </c>
      <c r="P72" s="51">
        <f>IF(A72="","",DATE(YEAR(A72),MONTH(A72),1))</f>
        <v/>
      </c>
    </row>
    <row r="73">
      <c r="A73" s="47" t="n"/>
      <c r="B73" s="38" t="n"/>
      <c r="C73" s="38" t="n"/>
      <c r="D73" s="38" t="n"/>
      <c r="E73" s="57" t="n"/>
      <c r="F73" s="57" t="n"/>
      <c r="G73" s="38" t="n"/>
      <c r="H73" s="38" t="n"/>
      <c r="I73" s="47" t="n"/>
      <c r="J73" s="38" t="n"/>
      <c r="K73" s="49">
        <f>IF(B73="","",IFERROR(INDEX('JOBS'!$D$5:$D$1504,MATCH(B73,'JOBS'!$A$5:$A$1504,0)),""))</f>
        <v/>
      </c>
      <c r="L73" s="49">
        <f>IF(B73="","",IFERROR(INDEX('JOBS'!$H$5:$H$1504,MATCH(B73,'JOBS'!$A$5:$A$1504,0)),""))</f>
        <v/>
      </c>
      <c r="M73" s="99">
        <f>IF(N(E73)=0,"",MIN(1,N(F73)/E73))</f>
        <v/>
      </c>
      <c r="N73" s="49">
        <f>IF(M73="","",IF(M73&gt;=QCPass,"Pass","Fail"))</f>
        <v/>
      </c>
      <c r="O73" s="49">
        <f>IF(A73="","",IF(H73&lt;&gt;"Yes","—",IF(J73="Yes","Resolved","Rework open")))</f>
        <v/>
      </c>
      <c r="P73" s="51">
        <f>IF(A73="","",DATE(YEAR(A73),MONTH(A73),1))</f>
        <v/>
      </c>
    </row>
    <row r="74">
      <c r="A74" s="47" t="n"/>
      <c r="B74" s="38" t="n"/>
      <c r="C74" s="38" t="n"/>
      <c r="D74" s="38" t="n"/>
      <c r="E74" s="57" t="n"/>
      <c r="F74" s="57" t="n"/>
      <c r="G74" s="38" t="n"/>
      <c r="H74" s="38" t="n"/>
      <c r="I74" s="47" t="n"/>
      <c r="J74" s="38" t="n"/>
      <c r="K74" s="49">
        <f>IF(B74="","",IFERROR(INDEX('JOBS'!$D$5:$D$1504,MATCH(B74,'JOBS'!$A$5:$A$1504,0)),""))</f>
        <v/>
      </c>
      <c r="L74" s="49">
        <f>IF(B74="","",IFERROR(INDEX('JOBS'!$H$5:$H$1504,MATCH(B74,'JOBS'!$A$5:$A$1504,0)),""))</f>
        <v/>
      </c>
      <c r="M74" s="99">
        <f>IF(N(E74)=0,"",MIN(1,N(F74)/E74))</f>
        <v/>
      </c>
      <c r="N74" s="49">
        <f>IF(M74="","",IF(M74&gt;=QCPass,"Pass","Fail"))</f>
        <v/>
      </c>
      <c r="O74" s="49">
        <f>IF(A74="","",IF(H74&lt;&gt;"Yes","—",IF(J74="Yes","Resolved","Rework open")))</f>
        <v/>
      </c>
      <c r="P74" s="51">
        <f>IF(A74="","",DATE(YEAR(A74),MONTH(A74),1))</f>
        <v/>
      </c>
    </row>
    <row r="75">
      <c r="A75" s="47" t="n"/>
      <c r="B75" s="38" t="n"/>
      <c r="C75" s="38" t="n"/>
      <c r="D75" s="38" t="n"/>
      <c r="E75" s="57" t="n"/>
      <c r="F75" s="57" t="n"/>
      <c r="G75" s="38" t="n"/>
      <c r="H75" s="38" t="n"/>
      <c r="I75" s="47" t="n"/>
      <c r="J75" s="38" t="n"/>
      <c r="K75" s="49">
        <f>IF(B75="","",IFERROR(INDEX('JOBS'!$D$5:$D$1504,MATCH(B75,'JOBS'!$A$5:$A$1504,0)),""))</f>
        <v/>
      </c>
      <c r="L75" s="49">
        <f>IF(B75="","",IFERROR(INDEX('JOBS'!$H$5:$H$1504,MATCH(B75,'JOBS'!$A$5:$A$1504,0)),""))</f>
        <v/>
      </c>
      <c r="M75" s="99">
        <f>IF(N(E75)=0,"",MIN(1,N(F75)/E75))</f>
        <v/>
      </c>
      <c r="N75" s="49">
        <f>IF(M75="","",IF(M75&gt;=QCPass,"Pass","Fail"))</f>
        <v/>
      </c>
      <c r="O75" s="49">
        <f>IF(A75="","",IF(H75&lt;&gt;"Yes","—",IF(J75="Yes","Resolved","Rework open")))</f>
        <v/>
      </c>
      <c r="P75" s="51">
        <f>IF(A75="","",DATE(YEAR(A75),MONTH(A75),1))</f>
        <v/>
      </c>
    </row>
    <row r="76">
      <c r="A76" s="47" t="n"/>
      <c r="B76" s="38" t="n"/>
      <c r="C76" s="38" t="n"/>
      <c r="D76" s="38" t="n"/>
      <c r="E76" s="57" t="n"/>
      <c r="F76" s="57" t="n"/>
      <c r="G76" s="38" t="n"/>
      <c r="H76" s="38" t="n"/>
      <c r="I76" s="47" t="n"/>
      <c r="J76" s="38" t="n"/>
      <c r="K76" s="49">
        <f>IF(B76="","",IFERROR(INDEX('JOBS'!$D$5:$D$1504,MATCH(B76,'JOBS'!$A$5:$A$1504,0)),""))</f>
        <v/>
      </c>
      <c r="L76" s="49">
        <f>IF(B76="","",IFERROR(INDEX('JOBS'!$H$5:$H$1504,MATCH(B76,'JOBS'!$A$5:$A$1504,0)),""))</f>
        <v/>
      </c>
      <c r="M76" s="99">
        <f>IF(N(E76)=0,"",MIN(1,N(F76)/E76))</f>
        <v/>
      </c>
      <c r="N76" s="49">
        <f>IF(M76="","",IF(M76&gt;=QCPass,"Pass","Fail"))</f>
        <v/>
      </c>
      <c r="O76" s="49">
        <f>IF(A76="","",IF(H76&lt;&gt;"Yes","—",IF(J76="Yes","Resolved","Rework open")))</f>
        <v/>
      </c>
      <c r="P76" s="51">
        <f>IF(A76="","",DATE(YEAR(A76),MONTH(A76),1))</f>
        <v/>
      </c>
    </row>
    <row r="77">
      <c r="A77" s="47" t="n"/>
      <c r="B77" s="38" t="n"/>
      <c r="C77" s="38" t="n"/>
      <c r="D77" s="38" t="n"/>
      <c r="E77" s="57" t="n"/>
      <c r="F77" s="57" t="n"/>
      <c r="G77" s="38" t="n"/>
      <c r="H77" s="38" t="n"/>
      <c r="I77" s="47" t="n"/>
      <c r="J77" s="38" t="n"/>
      <c r="K77" s="49">
        <f>IF(B77="","",IFERROR(INDEX('JOBS'!$D$5:$D$1504,MATCH(B77,'JOBS'!$A$5:$A$1504,0)),""))</f>
        <v/>
      </c>
      <c r="L77" s="49">
        <f>IF(B77="","",IFERROR(INDEX('JOBS'!$H$5:$H$1504,MATCH(B77,'JOBS'!$A$5:$A$1504,0)),""))</f>
        <v/>
      </c>
      <c r="M77" s="99">
        <f>IF(N(E77)=0,"",MIN(1,N(F77)/E77))</f>
        <v/>
      </c>
      <c r="N77" s="49">
        <f>IF(M77="","",IF(M77&gt;=QCPass,"Pass","Fail"))</f>
        <v/>
      </c>
      <c r="O77" s="49">
        <f>IF(A77="","",IF(H77&lt;&gt;"Yes","—",IF(J77="Yes","Resolved","Rework open")))</f>
        <v/>
      </c>
      <c r="P77" s="51">
        <f>IF(A77="","",DATE(YEAR(A77),MONTH(A77),1))</f>
        <v/>
      </c>
    </row>
    <row r="78">
      <c r="A78" s="47" t="n"/>
      <c r="B78" s="38" t="n"/>
      <c r="C78" s="38" t="n"/>
      <c r="D78" s="38" t="n"/>
      <c r="E78" s="57" t="n"/>
      <c r="F78" s="57" t="n"/>
      <c r="G78" s="38" t="n"/>
      <c r="H78" s="38" t="n"/>
      <c r="I78" s="47" t="n"/>
      <c r="J78" s="38" t="n"/>
      <c r="K78" s="49">
        <f>IF(B78="","",IFERROR(INDEX('JOBS'!$D$5:$D$1504,MATCH(B78,'JOBS'!$A$5:$A$1504,0)),""))</f>
        <v/>
      </c>
      <c r="L78" s="49">
        <f>IF(B78="","",IFERROR(INDEX('JOBS'!$H$5:$H$1504,MATCH(B78,'JOBS'!$A$5:$A$1504,0)),""))</f>
        <v/>
      </c>
      <c r="M78" s="99">
        <f>IF(N(E78)=0,"",MIN(1,N(F78)/E78))</f>
        <v/>
      </c>
      <c r="N78" s="49">
        <f>IF(M78="","",IF(M78&gt;=QCPass,"Pass","Fail"))</f>
        <v/>
      </c>
      <c r="O78" s="49">
        <f>IF(A78="","",IF(H78&lt;&gt;"Yes","—",IF(J78="Yes","Resolved","Rework open")))</f>
        <v/>
      </c>
      <c r="P78" s="51">
        <f>IF(A78="","",DATE(YEAR(A78),MONTH(A78),1))</f>
        <v/>
      </c>
    </row>
    <row r="79">
      <c r="A79" s="47" t="n"/>
      <c r="B79" s="38" t="n"/>
      <c r="C79" s="38" t="n"/>
      <c r="D79" s="38" t="n"/>
      <c r="E79" s="57" t="n"/>
      <c r="F79" s="57" t="n"/>
      <c r="G79" s="38" t="n"/>
      <c r="H79" s="38" t="n"/>
      <c r="I79" s="47" t="n"/>
      <c r="J79" s="38" t="n"/>
      <c r="K79" s="49">
        <f>IF(B79="","",IFERROR(INDEX('JOBS'!$D$5:$D$1504,MATCH(B79,'JOBS'!$A$5:$A$1504,0)),""))</f>
        <v/>
      </c>
      <c r="L79" s="49">
        <f>IF(B79="","",IFERROR(INDEX('JOBS'!$H$5:$H$1504,MATCH(B79,'JOBS'!$A$5:$A$1504,0)),""))</f>
        <v/>
      </c>
      <c r="M79" s="99">
        <f>IF(N(E79)=0,"",MIN(1,N(F79)/E79))</f>
        <v/>
      </c>
      <c r="N79" s="49">
        <f>IF(M79="","",IF(M79&gt;=QCPass,"Pass","Fail"))</f>
        <v/>
      </c>
      <c r="O79" s="49">
        <f>IF(A79="","",IF(H79&lt;&gt;"Yes","—",IF(J79="Yes","Resolved","Rework open")))</f>
        <v/>
      </c>
      <c r="P79" s="51">
        <f>IF(A79="","",DATE(YEAR(A79),MONTH(A79),1))</f>
        <v/>
      </c>
    </row>
    <row r="80">
      <c r="A80" s="47" t="n"/>
      <c r="B80" s="38" t="n"/>
      <c r="C80" s="38" t="n"/>
      <c r="D80" s="38" t="n"/>
      <c r="E80" s="57" t="n"/>
      <c r="F80" s="57" t="n"/>
      <c r="G80" s="38" t="n"/>
      <c r="H80" s="38" t="n"/>
      <c r="I80" s="47" t="n"/>
      <c r="J80" s="38" t="n"/>
      <c r="K80" s="49">
        <f>IF(B80="","",IFERROR(INDEX('JOBS'!$D$5:$D$1504,MATCH(B80,'JOBS'!$A$5:$A$1504,0)),""))</f>
        <v/>
      </c>
      <c r="L80" s="49">
        <f>IF(B80="","",IFERROR(INDEX('JOBS'!$H$5:$H$1504,MATCH(B80,'JOBS'!$A$5:$A$1504,0)),""))</f>
        <v/>
      </c>
      <c r="M80" s="99">
        <f>IF(N(E80)=0,"",MIN(1,N(F80)/E80))</f>
        <v/>
      </c>
      <c r="N80" s="49">
        <f>IF(M80="","",IF(M80&gt;=QCPass,"Pass","Fail"))</f>
        <v/>
      </c>
      <c r="O80" s="49">
        <f>IF(A80="","",IF(H80&lt;&gt;"Yes","—",IF(J80="Yes","Resolved","Rework open")))</f>
        <v/>
      </c>
      <c r="P80" s="51">
        <f>IF(A80="","",DATE(YEAR(A80),MONTH(A80),1))</f>
        <v/>
      </c>
    </row>
    <row r="81">
      <c r="A81" s="47" t="n"/>
      <c r="B81" s="38" t="n"/>
      <c r="C81" s="38" t="n"/>
      <c r="D81" s="38" t="n"/>
      <c r="E81" s="57" t="n"/>
      <c r="F81" s="57" t="n"/>
      <c r="G81" s="38" t="n"/>
      <c r="H81" s="38" t="n"/>
      <c r="I81" s="47" t="n"/>
      <c r="J81" s="38" t="n"/>
      <c r="K81" s="49">
        <f>IF(B81="","",IFERROR(INDEX('JOBS'!$D$5:$D$1504,MATCH(B81,'JOBS'!$A$5:$A$1504,0)),""))</f>
        <v/>
      </c>
      <c r="L81" s="49">
        <f>IF(B81="","",IFERROR(INDEX('JOBS'!$H$5:$H$1504,MATCH(B81,'JOBS'!$A$5:$A$1504,0)),""))</f>
        <v/>
      </c>
      <c r="M81" s="99">
        <f>IF(N(E81)=0,"",MIN(1,N(F81)/E81))</f>
        <v/>
      </c>
      <c r="N81" s="49">
        <f>IF(M81="","",IF(M81&gt;=QCPass,"Pass","Fail"))</f>
        <v/>
      </c>
      <c r="O81" s="49">
        <f>IF(A81="","",IF(H81&lt;&gt;"Yes","—",IF(J81="Yes","Resolved","Rework open")))</f>
        <v/>
      </c>
      <c r="P81" s="51">
        <f>IF(A81="","",DATE(YEAR(A81),MONTH(A81),1))</f>
        <v/>
      </c>
    </row>
    <row r="82">
      <c r="A82" s="47" t="n"/>
      <c r="B82" s="38" t="n"/>
      <c r="C82" s="38" t="n"/>
      <c r="D82" s="38" t="n"/>
      <c r="E82" s="57" t="n"/>
      <c r="F82" s="57" t="n"/>
      <c r="G82" s="38" t="n"/>
      <c r="H82" s="38" t="n"/>
      <c r="I82" s="47" t="n"/>
      <c r="J82" s="38" t="n"/>
      <c r="K82" s="49">
        <f>IF(B82="","",IFERROR(INDEX('JOBS'!$D$5:$D$1504,MATCH(B82,'JOBS'!$A$5:$A$1504,0)),""))</f>
        <v/>
      </c>
      <c r="L82" s="49">
        <f>IF(B82="","",IFERROR(INDEX('JOBS'!$H$5:$H$1504,MATCH(B82,'JOBS'!$A$5:$A$1504,0)),""))</f>
        <v/>
      </c>
      <c r="M82" s="99">
        <f>IF(N(E82)=0,"",MIN(1,N(F82)/E82))</f>
        <v/>
      </c>
      <c r="N82" s="49">
        <f>IF(M82="","",IF(M82&gt;=QCPass,"Pass","Fail"))</f>
        <v/>
      </c>
      <c r="O82" s="49">
        <f>IF(A82="","",IF(H82&lt;&gt;"Yes","—",IF(J82="Yes","Resolved","Rework open")))</f>
        <v/>
      </c>
      <c r="P82" s="51">
        <f>IF(A82="","",DATE(YEAR(A82),MONTH(A82),1))</f>
        <v/>
      </c>
    </row>
    <row r="83">
      <c r="A83" s="47" t="n"/>
      <c r="B83" s="38" t="n"/>
      <c r="C83" s="38" t="n"/>
      <c r="D83" s="38" t="n"/>
      <c r="E83" s="57" t="n"/>
      <c r="F83" s="57" t="n"/>
      <c r="G83" s="38" t="n"/>
      <c r="H83" s="38" t="n"/>
      <c r="I83" s="47" t="n"/>
      <c r="J83" s="38" t="n"/>
      <c r="K83" s="49">
        <f>IF(B83="","",IFERROR(INDEX('JOBS'!$D$5:$D$1504,MATCH(B83,'JOBS'!$A$5:$A$1504,0)),""))</f>
        <v/>
      </c>
      <c r="L83" s="49">
        <f>IF(B83="","",IFERROR(INDEX('JOBS'!$H$5:$H$1504,MATCH(B83,'JOBS'!$A$5:$A$1504,0)),""))</f>
        <v/>
      </c>
      <c r="M83" s="99">
        <f>IF(N(E83)=0,"",MIN(1,N(F83)/E83))</f>
        <v/>
      </c>
      <c r="N83" s="49">
        <f>IF(M83="","",IF(M83&gt;=QCPass,"Pass","Fail"))</f>
        <v/>
      </c>
      <c r="O83" s="49">
        <f>IF(A83="","",IF(H83&lt;&gt;"Yes","—",IF(J83="Yes","Resolved","Rework open")))</f>
        <v/>
      </c>
      <c r="P83" s="51">
        <f>IF(A83="","",DATE(YEAR(A83),MONTH(A83),1))</f>
        <v/>
      </c>
    </row>
    <row r="84">
      <c r="A84" s="47" t="n"/>
      <c r="B84" s="38" t="n"/>
      <c r="C84" s="38" t="n"/>
      <c r="D84" s="38" t="n"/>
      <c r="E84" s="57" t="n"/>
      <c r="F84" s="57" t="n"/>
      <c r="G84" s="38" t="n"/>
      <c r="H84" s="38" t="n"/>
      <c r="I84" s="47" t="n"/>
      <c r="J84" s="38" t="n"/>
      <c r="K84" s="49">
        <f>IF(B84="","",IFERROR(INDEX('JOBS'!$D$5:$D$1504,MATCH(B84,'JOBS'!$A$5:$A$1504,0)),""))</f>
        <v/>
      </c>
      <c r="L84" s="49">
        <f>IF(B84="","",IFERROR(INDEX('JOBS'!$H$5:$H$1504,MATCH(B84,'JOBS'!$A$5:$A$1504,0)),""))</f>
        <v/>
      </c>
      <c r="M84" s="99">
        <f>IF(N(E84)=0,"",MIN(1,N(F84)/E84))</f>
        <v/>
      </c>
      <c r="N84" s="49">
        <f>IF(M84="","",IF(M84&gt;=QCPass,"Pass","Fail"))</f>
        <v/>
      </c>
      <c r="O84" s="49">
        <f>IF(A84="","",IF(H84&lt;&gt;"Yes","—",IF(J84="Yes","Resolved","Rework open")))</f>
        <v/>
      </c>
      <c r="P84" s="51">
        <f>IF(A84="","",DATE(YEAR(A84),MONTH(A84),1))</f>
        <v/>
      </c>
    </row>
    <row r="85">
      <c r="A85" s="47" t="n"/>
      <c r="B85" s="38" t="n"/>
      <c r="C85" s="38" t="n"/>
      <c r="D85" s="38" t="n"/>
      <c r="E85" s="57" t="n"/>
      <c r="F85" s="57" t="n"/>
      <c r="G85" s="38" t="n"/>
      <c r="H85" s="38" t="n"/>
      <c r="I85" s="47" t="n"/>
      <c r="J85" s="38" t="n"/>
      <c r="K85" s="49">
        <f>IF(B85="","",IFERROR(INDEX('JOBS'!$D$5:$D$1504,MATCH(B85,'JOBS'!$A$5:$A$1504,0)),""))</f>
        <v/>
      </c>
      <c r="L85" s="49">
        <f>IF(B85="","",IFERROR(INDEX('JOBS'!$H$5:$H$1504,MATCH(B85,'JOBS'!$A$5:$A$1504,0)),""))</f>
        <v/>
      </c>
      <c r="M85" s="99">
        <f>IF(N(E85)=0,"",MIN(1,N(F85)/E85))</f>
        <v/>
      </c>
      <c r="N85" s="49">
        <f>IF(M85="","",IF(M85&gt;=QCPass,"Pass","Fail"))</f>
        <v/>
      </c>
      <c r="O85" s="49">
        <f>IF(A85="","",IF(H85&lt;&gt;"Yes","—",IF(J85="Yes","Resolved","Rework open")))</f>
        <v/>
      </c>
      <c r="P85" s="51">
        <f>IF(A85="","",DATE(YEAR(A85),MONTH(A85),1))</f>
        <v/>
      </c>
    </row>
    <row r="86">
      <c r="A86" s="47" t="n"/>
      <c r="B86" s="38" t="n"/>
      <c r="C86" s="38" t="n"/>
      <c r="D86" s="38" t="n"/>
      <c r="E86" s="57" t="n"/>
      <c r="F86" s="57" t="n"/>
      <c r="G86" s="38" t="n"/>
      <c r="H86" s="38" t="n"/>
      <c r="I86" s="47" t="n"/>
      <c r="J86" s="38" t="n"/>
      <c r="K86" s="49">
        <f>IF(B86="","",IFERROR(INDEX('JOBS'!$D$5:$D$1504,MATCH(B86,'JOBS'!$A$5:$A$1504,0)),""))</f>
        <v/>
      </c>
      <c r="L86" s="49">
        <f>IF(B86="","",IFERROR(INDEX('JOBS'!$H$5:$H$1504,MATCH(B86,'JOBS'!$A$5:$A$1504,0)),""))</f>
        <v/>
      </c>
      <c r="M86" s="99">
        <f>IF(N(E86)=0,"",MIN(1,N(F86)/E86))</f>
        <v/>
      </c>
      <c r="N86" s="49">
        <f>IF(M86="","",IF(M86&gt;=QCPass,"Pass","Fail"))</f>
        <v/>
      </c>
      <c r="O86" s="49">
        <f>IF(A86="","",IF(H86&lt;&gt;"Yes","—",IF(J86="Yes","Resolved","Rework open")))</f>
        <v/>
      </c>
      <c r="P86" s="51">
        <f>IF(A86="","",DATE(YEAR(A86),MONTH(A86),1))</f>
        <v/>
      </c>
    </row>
    <row r="87">
      <c r="A87" s="47" t="n"/>
      <c r="B87" s="38" t="n"/>
      <c r="C87" s="38" t="n"/>
      <c r="D87" s="38" t="n"/>
      <c r="E87" s="57" t="n"/>
      <c r="F87" s="57" t="n"/>
      <c r="G87" s="38" t="n"/>
      <c r="H87" s="38" t="n"/>
      <c r="I87" s="47" t="n"/>
      <c r="J87" s="38" t="n"/>
      <c r="K87" s="49">
        <f>IF(B87="","",IFERROR(INDEX('JOBS'!$D$5:$D$1504,MATCH(B87,'JOBS'!$A$5:$A$1504,0)),""))</f>
        <v/>
      </c>
      <c r="L87" s="49">
        <f>IF(B87="","",IFERROR(INDEX('JOBS'!$H$5:$H$1504,MATCH(B87,'JOBS'!$A$5:$A$1504,0)),""))</f>
        <v/>
      </c>
      <c r="M87" s="99">
        <f>IF(N(E87)=0,"",MIN(1,N(F87)/E87))</f>
        <v/>
      </c>
      <c r="N87" s="49">
        <f>IF(M87="","",IF(M87&gt;=QCPass,"Pass","Fail"))</f>
        <v/>
      </c>
      <c r="O87" s="49">
        <f>IF(A87="","",IF(H87&lt;&gt;"Yes","—",IF(J87="Yes","Resolved","Rework open")))</f>
        <v/>
      </c>
      <c r="P87" s="51">
        <f>IF(A87="","",DATE(YEAR(A87),MONTH(A87),1))</f>
        <v/>
      </c>
    </row>
    <row r="88">
      <c r="A88" s="47" t="n"/>
      <c r="B88" s="38" t="n"/>
      <c r="C88" s="38" t="n"/>
      <c r="D88" s="38" t="n"/>
      <c r="E88" s="57" t="n"/>
      <c r="F88" s="57" t="n"/>
      <c r="G88" s="38" t="n"/>
      <c r="H88" s="38" t="n"/>
      <c r="I88" s="47" t="n"/>
      <c r="J88" s="38" t="n"/>
      <c r="K88" s="49">
        <f>IF(B88="","",IFERROR(INDEX('JOBS'!$D$5:$D$1504,MATCH(B88,'JOBS'!$A$5:$A$1504,0)),""))</f>
        <v/>
      </c>
      <c r="L88" s="49">
        <f>IF(B88="","",IFERROR(INDEX('JOBS'!$H$5:$H$1504,MATCH(B88,'JOBS'!$A$5:$A$1504,0)),""))</f>
        <v/>
      </c>
      <c r="M88" s="99">
        <f>IF(N(E88)=0,"",MIN(1,N(F88)/E88))</f>
        <v/>
      </c>
      <c r="N88" s="49">
        <f>IF(M88="","",IF(M88&gt;=QCPass,"Pass","Fail"))</f>
        <v/>
      </c>
      <c r="O88" s="49">
        <f>IF(A88="","",IF(H88&lt;&gt;"Yes","—",IF(J88="Yes","Resolved","Rework open")))</f>
        <v/>
      </c>
      <c r="P88" s="51">
        <f>IF(A88="","",DATE(YEAR(A88),MONTH(A88),1))</f>
        <v/>
      </c>
    </row>
    <row r="89">
      <c r="A89" s="47" t="n"/>
      <c r="B89" s="38" t="n"/>
      <c r="C89" s="38" t="n"/>
      <c r="D89" s="38" t="n"/>
      <c r="E89" s="57" t="n"/>
      <c r="F89" s="57" t="n"/>
      <c r="G89" s="38" t="n"/>
      <c r="H89" s="38" t="n"/>
      <c r="I89" s="47" t="n"/>
      <c r="J89" s="38" t="n"/>
      <c r="K89" s="49">
        <f>IF(B89="","",IFERROR(INDEX('JOBS'!$D$5:$D$1504,MATCH(B89,'JOBS'!$A$5:$A$1504,0)),""))</f>
        <v/>
      </c>
      <c r="L89" s="49">
        <f>IF(B89="","",IFERROR(INDEX('JOBS'!$H$5:$H$1504,MATCH(B89,'JOBS'!$A$5:$A$1504,0)),""))</f>
        <v/>
      </c>
      <c r="M89" s="99">
        <f>IF(N(E89)=0,"",MIN(1,N(F89)/E89))</f>
        <v/>
      </c>
      <c r="N89" s="49">
        <f>IF(M89="","",IF(M89&gt;=QCPass,"Pass","Fail"))</f>
        <v/>
      </c>
      <c r="O89" s="49">
        <f>IF(A89="","",IF(H89&lt;&gt;"Yes","—",IF(J89="Yes","Resolved","Rework open")))</f>
        <v/>
      </c>
      <c r="P89" s="51">
        <f>IF(A89="","",DATE(YEAR(A89),MONTH(A89),1))</f>
        <v/>
      </c>
    </row>
    <row r="90">
      <c r="A90" s="47" t="n"/>
      <c r="B90" s="38" t="n"/>
      <c r="C90" s="38" t="n"/>
      <c r="D90" s="38" t="n"/>
      <c r="E90" s="57" t="n"/>
      <c r="F90" s="57" t="n"/>
      <c r="G90" s="38" t="n"/>
      <c r="H90" s="38" t="n"/>
      <c r="I90" s="47" t="n"/>
      <c r="J90" s="38" t="n"/>
      <c r="K90" s="49">
        <f>IF(B90="","",IFERROR(INDEX('JOBS'!$D$5:$D$1504,MATCH(B90,'JOBS'!$A$5:$A$1504,0)),""))</f>
        <v/>
      </c>
      <c r="L90" s="49">
        <f>IF(B90="","",IFERROR(INDEX('JOBS'!$H$5:$H$1504,MATCH(B90,'JOBS'!$A$5:$A$1504,0)),""))</f>
        <v/>
      </c>
      <c r="M90" s="99">
        <f>IF(N(E90)=0,"",MIN(1,N(F90)/E90))</f>
        <v/>
      </c>
      <c r="N90" s="49">
        <f>IF(M90="","",IF(M90&gt;=QCPass,"Pass","Fail"))</f>
        <v/>
      </c>
      <c r="O90" s="49">
        <f>IF(A90="","",IF(H90&lt;&gt;"Yes","—",IF(J90="Yes","Resolved","Rework open")))</f>
        <v/>
      </c>
      <c r="P90" s="51">
        <f>IF(A90="","",DATE(YEAR(A90),MONTH(A90),1))</f>
        <v/>
      </c>
    </row>
    <row r="91">
      <c r="A91" s="47" t="n"/>
      <c r="B91" s="38" t="n"/>
      <c r="C91" s="38" t="n"/>
      <c r="D91" s="38" t="n"/>
      <c r="E91" s="57" t="n"/>
      <c r="F91" s="57" t="n"/>
      <c r="G91" s="38" t="n"/>
      <c r="H91" s="38" t="n"/>
      <c r="I91" s="47" t="n"/>
      <c r="J91" s="38" t="n"/>
      <c r="K91" s="49">
        <f>IF(B91="","",IFERROR(INDEX('JOBS'!$D$5:$D$1504,MATCH(B91,'JOBS'!$A$5:$A$1504,0)),""))</f>
        <v/>
      </c>
      <c r="L91" s="49">
        <f>IF(B91="","",IFERROR(INDEX('JOBS'!$H$5:$H$1504,MATCH(B91,'JOBS'!$A$5:$A$1504,0)),""))</f>
        <v/>
      </c>
      <c r="M91" s="99">
        <f>IF(N(E91)=0,"",MIN(1,N(F91)/E91))</f>
        <v/>
      </c>
      <c r="N91" s="49">
        <f>IF(M91="","",IF(M91&gt;=QCPass,"Pass","Fail"))</f>
        <v/>
      </c>
      <c r="O91" s="49">
        <f>IF(A91="","",IF(H91&lt;&gt;"Yes","—",IF(J91="Yes","Resolved","Rework open")))</f>
        <v/>
      </c>
      <c r="P91" s="51">
        <f>IF(A91="","",DATE(YEAR(A91),MONTH(A91),1))</f>
        <v/>
      </c>
    </row>
    <row r="92">
      <c r="A92" s="47" t="n"/>
      <c r="B92" s="38" t="n"/>
      <c r="C92" s="38" t="n"/>
      <c r="D92" s="38" t="n"/>
      <c r="E92" s="57" t="n"/>
      <c r="F92" s="57" t="n"/>
      <c r="G92" s="38" t="n"/>
      <c r="H92" s="38" t="n"/>
      <c r="I92" s="47" t="n"/>
      <c r="J92" s="38" t="n"/>
      <c r="K92" s="49">
        <f>IF(B92="","",IFERROR(INDEX('JOBS'!$D$5:$D$1504,MATCH(B92,'JOBS'!$A$5:$A$1504,0)),""))</f>
        <v/>
      </c>
      <c r="L92" s="49">
        <f>IF(B92="","",IFERROR(INDEX('JOBS'!$H$5:$H$1504,MATCH(B92,'JOBS'!$A$5:$A$1504,0)),""))</f>
        <v/>
      </c>
      <c r="M92" s="99">
        <f>IF(N(E92)=0,"",MIN(1,N(F92)/E92))</f>
        <v/>
      </c>
      <c r="N92" s="49">
        <f>IF(M92="","",IF(M92&gt;=QCPass,"Pass","Fail"))</f>
        <v/>
      </c>
      <c r="O92" s="49">
        <f>IF(A92="","",IF(H92&lt;&gt;"Yes","—",IF(J92="Yes","Resolved","Rework open")))</f>
        <v/>
      </c>
      <c r="P92" s="51">
        <f>IF(A92="","",DATE(YEAR(A92),MONTH(A92),1))</f>
        <v/>
      </c>
    </row>
    <row r="93">
      <c r="A93" s="47" t="n"/>
      <c r="B93" s="38" t="n"/>
      <c r="C93" s="38" t="n"/>
      <c r="D93" s="38" t="n"/>
      <c r="E93" s="57" t="n"/>
      <c r="F93" s="57" t="n"/>
      <c r="G93" s="38" t="n"/>
      <c r="H93" s="38" t="n"/>
      <c r="I93" s="47" t="n"/>
      <c r="J93" s="38" t="n"/>
      <c r="K93" s="49">
        <f>IF(B93="","",IFERROR(INDEX('JOBS'!$D$5:$D$1504,MATCH(B93,'JOBS'!$A$5:$A$1504,0)),""))</f>
        <v/>
      </c>
      <c r="L93" s="49">
        <f>IF(B93="","",IFERROR(INDEX('JOBS'!$H$5:$H$1504,MATCH(B93,'JOBS'!$A$5:$A$1504,0)),""))</f>
        <v/>
      </c>
      <c r="M93" s="99">
        <f>IF(N(E93)=0,"",MIN(1,N(F93)/E93))</f>
        <v/>
      </c>
      <c r="N93" s="49">
        <f>IF(M93="","",IF(M93&gt;=QCPass,"Pass","Fail"))</f>
        <v/>
      </c>
      <c r="O93" s="49">
        <f>IF(A93="","",IF(H93&lt;&gt;"Yes","—",IF(J93="Yes","Resolved","Rework open")))</f>
        <v/>
      </c>
      <c r="P93" s="51">
        <f>IF(A93="","",DATE(YEAR(A93),MONTH(A93),1))</f>
        <v/>
      </c>
    </row>
    <row r="94">
      <c r="A94" s="47" t="n"/>
      <c r="B94" s="38" t="n"/>
      <c r="C94" s="38" t="n"/>
      <c r="D94" s="38" t="n"/>
      <c r="E94" s="57" t="n"/>
      <c r="F94" s="57" t="n"/>
      <c r="G94" s="38" t="n"/>
      <c r="H94" s="38" t="n"/>
      <c r="I94" s="47" t="n"/>
      <c r="J94" s="38" t="n"/>
      <c r="K94" s="49">
        <f>IF(B94="","",IFERROR(INDEX('JOBS'!$D$5:$D$1504,MATCH(B94,'JOBS'!$A$5:$A$1504,0)),""))</f>
        <v/>
      </c>
      <c r="L94" s="49">
        <f>IF(B94="","",IFERROR(INDEX('JOBS'!$H$5:$H$1504,MATCH(B94,'JOBS'!$A$5:$A$1504,0)),""))</f>
        <v/>
      </c>
      <c r="M94" s="99">
        <f>IF(N(E94)=0,"",MIN(1,N(F94)/E94))</f>
        <v/>
      </c>
      <c r="N94" s="49">
        <f>IF(M94="","",IF(M94&gt;=QCPass,"Pass","Fail"))</f>
        <v/>
      </c>
      <c r="O94" s="49">
        <f>IF(A94="","",IF(H94&lt;&gt;"Yes","—",IF(J94="Yes","Resolved","Rework open")))</f>
        <v/>
      </c>
      <c r="P94" s="51">
        <f>IF(A94="","",DATE(YEAR(A94),MONTH(A94),1))</f>
        <v/>
      </c>
    </row>
    <row r="95">
      <c r="A95" s="47" t="n"/>
      <c r="B95" s="38" t="n"/>
      <c r="C95" s="38" t="n"/>
      <c r="D95" s="38" t="n"/>
      <c r="E95" s="57" t="n"/>
      <c r="F95" s="57" t="n"/>
      <c r="G95" s="38" t="n"/>
      <c r="H95" s="38" t="n"/>
      <c r="I95" s="47" t="n"/>
      <c r="J95" s="38" t="n"/>
      <c r="K95" s="49">
        <f>IF(B95="","",IFERROR(INDEX('JOBS'!$D$5:$D$1504,MATCH(B95,'JOBS'!$A$5:$A$1504,0)),""))</f>
        <v/>
      </c>
      <c r="L95" s="49">
        <f>IF(B95="","",IFERROR(INDEX('JOBS'!$H$5:$H$1504,MATCH(B95,'JOBS'!$A$5:$A$1504,0)),""))</f>
        <v/>
      </c>
      <c r="M95" s="99">
        <f>IF(N(E95)=0,"",MIN(1,N(F95)/E95))</f>
        <v/>
      </c>
      <c r="N95" s="49">
        <f>IF(M95="","",IF(M95&gt;=QCPass,"Pass","Fail"))</f>
        <v/>
      </c>
      <c r="O95" s="49">
        <f>IF(A95="","",IF(H95&lt;&gt;"Yes","—",IF(J95="Yes","Resolved","Rework open")))</f>
        <v/>
      </c>
      <c r="P95" s="51">
        <f>IF(A95="","",DATE(YEAR(A95),MONTH(A95),1))</f>
        <v/>
      </c>
    </row>
    <row r="96">
      <c r="A96" s="47" t="n"/>
      <c r="B96" s="38" t="n"/>
      <c r="C96" s="38" t="n"/>
      <c r="D96" s="38" t="n"/>
      <c r="E96" s="57" t="n"/>
      <c r="F96" s="57" t="n"/>
      <c r="G96" s="38" t="n"/>
      <c r="H96" s="38" t="n"/>
      <c r="I96" s="47" t="n"/>
      <c r="J96" s="38" t="n"/>
      <c r="K96" s="49">
        <f>IF(B96="","",IFERROR(INDEX('JOBS'!$D$5:$D$1504,MATCH(B96,'JOBS'!$A$5:$A$1504,0)),""))</f>
        <v/>
      </c>
      <c r="L96" s="49">
        <f>IF(B96="","",IFERROR(INDEX('JOBS'!$H$5:$H$1504,MATCH(B96,'JOBS'!$A$5:$A$1504,0)),""))</f>
        <v/>
      </c>
      <c r="M96" s="99">
        <f>IF(N(E96)=0,"",MIN(1,N(F96)/E96))</f>
        <v/>
      </c>
      <c r="N96" s="49">
        <f>IF(M96="","",IF(M96&gt;=QCPass,"Pass","Fail"))</f>
        <v/>
      </c>
      <c r="O96" s="49">
        <f>IF(A96="","",IF(H96&lt;&gt;"Yes","—",IF(J96="Yes","Resolved","Rework open")))</f>
        <v/>
      </c>
      <c r="P96" s="51">
        <f>IF(A96="","",DATE(YEAR(A96),MONTH(A96),1))</f>
        <v/>
      </c>
    </row>
    <row r="97">
      <c r="A97" s="47" t="n"/>
      <c r="B97" s="38" t="n"/>
      <c r="C97" s="38" t="n"/>
      <c r="D97" s="38" t="n"/>
      <c r="E97" s="57" t="n"/>
      <c r="F97" s="57" t="n"/>
      <c r="G97" s="38" t="n"/>
      <c r="H97" s="38" t="n"/>
      <c r="I97" s="47" t="n"/>
      <c r="J97" s="38" t="n"/>
      <c r="K97" s="49">
        <f>IF(B97="","",IFERROR(INDEX('JOBS'!$D$5:$D$1504,MATCH(B97,'JOBS'!$A$5:$A$1504,0)),""))</f>
        <v/>
      </c>
      <c r="L97" s="49">
        <f>IF(B97="","",IFERROR(INDEX('JOBS'!$H$5:$H$1504,MATCH(B97,'JOBS'!$A$5:$A$1504,0)),""))</f>
        <v/>
      </c>
      <c r="M97" s="99">
        <f>IF(N(E97)=0,"",MIN(1,N(F97)/E97))</f>
        <v/>
      </c>
      <c r="N97" s="49">
        <f>IF(M97="","",IF(M97&gt;=QCPass,"Pass","Fail"))</f>
        <v/>
      </c>
      <c r="O97" s="49">
        <f>IF(A97="","",IF(H97&lt;&gt;"Yes","—",IF(J97="Yes","Resolved","Rework open")))</f>
        <v/>
      </c>
      <c r="P97" s="51">
        <f>IF(A97="","",DATE(YEAR(A97),MONTH(A97),1))</f>
        <v/>
      </c>
    </row>
    <row r="98">
      <c r="A98" s="47" t="n"/>
      <c r="B98" s="38" t="n"/>
      <c r="C98" s="38" t="n"/>
      <c r="D98" s="38" t="n"/>
      <c r="E98" s="57" t="n"/>
      <c r="F98" s="57" t="n"/>
      <c r="G98" s="38" t="n"/>
      <c r="H98" s="38" t="n"/>
      <c r="I98" s="47" t="n"/>
      <c r="J98" s="38" t="n"/>
      <c r="K98" s="49">
        <f>IF(B98="","",IFERROR(INDEX('JOBS'!$D$5:$D$1504,MATCH(B98,'JOBS'!$A$5:$A$1504,0)),""))</f>
        <v/>
      </c>
      <c r="L98" s="49">
        <f>IF(B98="","",IFERROR(INDEX('JOBS'!$H$5:$H$1504,MATCH(B98,'JOBS'!$A$5:$A$1504,0)),""))</f>
        <v/>
      </c>
      <c r="M98" s="99">
        <f>IF(N(E98)=0,"",MIN(1,N(F98)/E98))</f>
        <v/>
      </c>
      <c r="N98" s="49">
        <f>IF(M98="","",IF(M98&gt;=QCPass,"Pass","Fail"))</f>
        <v/>
      </c>
      <c r="O98" s="49">
        <f>IF(A98="","",IF(H98&lt;&gt;"Yes","—",IF(J98="Yes","Resolved","Rework open")))</f>
        <v/>
      </c>
      <c r="P98" s="51">
        <f>IF(A98="","",DATE(YEAR(A98),MONTH(A98),1))</f>
        <v/>
      </c>
    </row>
    <row r="99">
      <c r="A99" s="47" t="n"/>
      <c r="B99" s="38" t="n"/>
      <c r="C99" s="38" t="n"/>
      <c r="D99" s="38" t="n"/>
      <c r="E99" s="57" t="n"/>
      <c r="F99" s="57" t="n"/>
      <c r="G99" s="38" t="n"/>
      <c r="H99" s="38" t="n"/>
      <c r="I99" s="47" t="n"/>
      <c r="J99" s="38" t="n"/>
      <c r="K99" s="49">
        <f>IF(B99="","",IFERROR(INDEX('JOBS'!$D$5:$D$1504,MATCH(B99,'JOBS'!$A$5:$A$1504,0)),""))</f>
        <v/>
      </c>
      <c r="L99" s="49">
        <f>IF(B99="","",IFERROR(INDEX('JOBS'!$H$5:$H$1504,MATCH(B99,'JOBS'!$A$5:$A$1504,0)),""))</f>
        <v/>
      </c>
      <c r="M99" s="99">
        <f>IF(N(E99)=0,"",MIN(1,N(F99)/E99))</f>
        <v/>
      </c>
      <c r="N99" s="49">
        <f>IF(M99="","",IF(M99&gt;=QCPass,"Pass","Fail"))</f>
        <v/>
      </c>
      <c r="O99" s="49">
        <f>IF(A99="","",IF(H99&lt;&gt;"Yes","—",IF(J99="Yes","Resolved","Rework open")))</f>
        <v/>
      </c>
      <c r="P99" s="51">
        <f>IF(A99="","",DATE(YEAR(A99),MONTH(A99),1))</f>
        <v/>
      </c>
    </row>
    <row r="100">
      <c r="A100" s="47" t="n"/>
      <c r="B100" s="38" t="n"/>
      <c r="C100" s="38" t="n"/>
      <c r="D100" s="38" t="n"/>
      <c r="E100" s="57" t="n"/>
      <c r="F100" s="57" t="n"/>
      <c r="G100" s="38" t="n"/>
      <c r="H100" s="38" t="n"/>
      <c r="I100" s="47" t="n"/>
      <c r="J100" s="38" t="n"/>
      <c r="K100" s="49">
        <f>IF(B100="","",IFERROR(INDEX('JOBS'!$D$5:$D$1504,MATCH(B100,'JOBS'!$A$5:$A$1504,0)),""))</f>
        <v/>
      </c>
      <c r="L100" s="49">
        <f>IF(B100="","",IFERROR(INDEX('JOBS'!$H$5:$H$1504,MATCH(B100,'JOBS'!$A$5:$A$1504,0)),""))</f>
        <v/>
      </c>
      <c r="M100" s="99">
        <f>IF(N(E100)=0,"",MIN(1,N(F100)/E100))</f>
        <v/>
      </c>
      <c r="N100" s="49">
        <f>IF(M100="","",IF(M100&gt;=QCPass,"Pass","Fail"))</f>
        <v/>
      </c>
      <c r="O100" s="49">
        <f>IF(A100="","",IF(H100&lt;&gt;"Yes","—",IF(J100="Yes","Resolved","Rework open")))</f>
        <v/>
      </c>
      <c r="P100" s="51">
        <f>IF(A100="","",DATE(YEAR(A100),MONTH(A100),1))</f>
        <v/>
      </c>
    </row>
    <row r="101">
      <c r="A101" s="47" t="n"/>
      <c r="B101" s="38" t="n"/>
      <c r="C101" s="38" t="n"/>
      <c r="D101" s="38" t="n"/>
      <c r="E101" s="57" t="n"/>
      <c r="F101" s="57" t="n"/>
      <c r="G101" s="38" t="n"/>
      <c r="H101" s="38" t="n"/>
      <c r="I101" s="47" t="n"/>
      <c r="J101" s="38" t="n"/>
      <c r="K101" s="49">
        <f>IF(B101="","",IFERROR(INDEX('JOBS'!$D$5:$D$1504,MATCH(B101,'JOBS'!$A$5:$A$1504,0)),""))</f>
        <v/>
      </c>
      <c r="L101" s="49">
        <f>IF(B101="","",IFERROR(INDEX('JOBS'!$H$5:$H$1504,MATCH(B101,'JOBS'!$A$5:$A$1504,0)),""))</f>
        <v/>
      </c>
      <c r="M101" s="99">
        <f>IF(N(E101)=0,"",MIN(1,N(F101)/E101))</f>
        <v/>
      </c>
      <c r="N101" s="49">
        <f>IF(M101="","",IF(M101&gt;=QCPass,"Pass","Fail"))</f>
        <v/>
      </c>
      <c r="O101" s="49">
        <f>IF(A101="","",IF(H101&lt;&gt;"Yes","—",IF(J101="Yes","Resolved","Rework open")))</f>
        <v/>
      </c>
      <c r="P101" s="51">
        <f>IF(A101="","",DATE(YEAR(A101),MONTH(A101),1))</f>
        <v/>
      </c>
    </row>
    <row r="102">
      <c r="A102" s="47" t="n"/>
      <c r="B102" s="38" t="n"/>
      <c r="C102" s="38" t="n"/>
      <c r="D102" s="38" t="n"/>
      <c r="E102" s="57" t="n"/>
      <c r="F102" s="57" t="n"/>
      <c r="G102" s="38" t="n"/>
      <c r="H102" s="38" t="n"/>
      <c r="I102" s="47" t="n"/>
      <c r="J102" s="38" t="n"/>
      <c r="K102" s="49">
        <f>IF(B102="","",IFERROR(INDEX('JOBS'!$D$5:$D$1504,MATCH(B102,'JOBS'!$A$5:$A$1504,0)),""))</f>
        <v/>
      </c>
      <c r="L102" s="49">
        <f>IF(B102="","",IFERROR(INDEX('JOBS'!$H$5:$H$1504,MATCH(B102,'JOBS'!$A$5:$A$1504,0)),""))</f>
        <v/>
      </c>
      <c r="M102" s="99">
        <f>IF(N(E102)=0,"",MIN(1,N(F102)/E102))</f>
        <v/>
      </c>
      <c r="N102" s="49">
        <f>IF(M102="","",IF(M102&gt;=QCPass,"Pass","Fail"))</f>
        <v/>
      </c>
      <c r="O102" s="49">
        <f>IF(A102="","",IF(H102&lt;&gt;"Yes","—",IF(J102="Yes","Resolved","Rework open")))</f>
        <v/>
      </c>
      <c r="P102" s="51">
        <f>IF(A102="","",DATE(YEAR(A102),MONTH(A102),1))</f>
        <v/>
      </c>
    </row>
    <row r="103">
      <c r="A103" s="47" t="n"/>
      <c r="B103" s="38" t="n"/>
      <c r="C103" s="38" t="n"/>
      <c r="D103" s="38" t="n"/>
      <c r="E103" s="57" t="n"/>
      <c r="F103" s="57" t="n"/>
      <c r="G103" s="38" t="n"/>
      <c r="H103" s="38" t="n"/>
      <c r="I103" s="47" t="n"/>
      <c r="J103" s="38" t="n"/>
      <c r="K103" s="49">
        <f>IF(B103="","",IFERROR(INDEX('JOBS'!$D$5:$D$1504,MATCH(B103,'JOBS'!$A$5:$A$1504,0)),""))</f>
        <v/>
      </c>
      <c r="L103" s="49">
        <f>IF(B103="","",IFERROR(INDEX('JOBS'!$H$5:$H$1504,MATCH(B103,'JOBS'!$A$5:$A$1504,0)),""))</f>
        <v/>
      </c>
      <c r="M103" s="99">
        <f>IF(N(E103)=0,"",MIN(1,N(F103)/E103))</f>
        <v/>
      </c>
      <c r="N103" s="49">
        <f>IF(M103="","",IF(M103&gt;=QCPass,"Pass","Fail"))</f>
        <v/>
      </c>
      <c r="O103" s="49">
        <f>IF(A103="","",IF(H103&lt;&gt;"Yes","—",IF(J103="Yes","Resolved","Rework open")))</f>
        <v/>
      </c>
      <c r="P103" s="51">
        <f>IF(A103="","",DATE(YEAR(A103),MONTH(A103),1))</f>
        <v/>
      </c>
    </row>
    <row r="104">
      <c r="A104" s="47" t="n"/>
      <c r="B104" s="38" t="n"/>
      <c r="C104" s="38" t="n"/>
      <c r="D104" s="38" t="n"/>
      <c r="E104" s="57" t="n"/>
      <c r="F104" s="57" t="n"/>
      <c r="G104" s="38" t="n"/>
      <c r="H104" s="38" t="n"/>
      <c r="I104" s="47" t="n"/>
      <c r="J104" s="38" t="n"/>
      <c r="K104" s="49">
        <f>IF(B104="","",IFERROR(INDEX('JOBS'!$D$5:$D$1504,MATCH(B104,'JOBS'!$A$5:$A$1504,0)),""))</f>
        <v/>
      </c>
      <c r="L104" s="49">
        <f>IF(B104="","",IFERROR(INDEX('JOBS'!$H$5:$H$1504,MATCH(B104,'JOBS'!$A$5:$A$1504,0)),""))</f>
        <v/>
      </c>
      <c r="M104" s="99">
        <f>IF(N(E104)=0,"",MIN(1,N(F104)/E104))</f>
        <v/>
      </c>
      <c r="N104" s="49">
        <f>IF(M104="","",IF(M104&gt;=QCPass,"Pass","Fail"))</f>
        <v/>
      </c>
      <c r="O104" s="49">
        <f>IF(A104="","",IF(H104&lt;&gt;"Yes","—",IF(J104="Yes","Resolved","Rework open")))</f>
        <v/>
      </c>
      <c r="P104" s="51">
        <f>IF(A104="","",DATE(YEAR(A104),MONTH(A104),1))</f>
        <v/>
      </c>
    </row>
    <row r="105">
      <c r="A105" s="47" t="n"/>
      <c r="B105" s="38" t="n"/>
      <c r="C105" s="38" t="n"/>
      <c r="D105" s="38" t="n"/>
      <c r="E105" s="57" t="n"/>
      <c r="F105" s="57" t="n"/>
      <c r="G105" s="38" t="n"/>
      <c r="H105" s="38" t="n"/>
      <c r="I105" s="47" t="n"/>
      <c r="J105" s="38" t="n"/>
      <c r="K105" s="49">
        <f>IF(B105="","",IFERROR(INDEX('JOBS'!$D$5:$D$1504,MATCH(B105,'JOBS'!$A$5:$A$1504,0)),""))</f>
        <v/>
      </c>
      <c r="L105" s="49">
        <f>IF(B105="","",IFERROR(INDEX('JOBS'!$H$5:$H$1504,MATCH(B105,'JOBS'!$A$5:$A$1504,0)),""))</f>
        <v/>
      </c>
      <c r="M105" s="99">
        <f>IF(N(E105)=0,"",MIN(1,N(F105)/E105))</f>
        <v/>
      </c>
      <c r="N105" s="49">
        <f>IF(M105="","",IF(M105&gt;=QCPass,"Pass","Fail"))</f>
        <v/>
      </c>
      <c r="O105" s="49">
        <f>IF(A105="","",IF(H105&lt;&gt;"Yes","—",IF(J105="Yes","Resolved","Rework open")))</f>
        <v/>
      </c>
      <c r="P105" s="51">
        <f>IF(A105="","",DATE(YEAR(A105),MONTH(A105),1))</f>
        <v/>
      </c>
    </row>
    <row r="106">
      <c r="A106" s="47" t="n"/>
      <c r="B106" s="38" t="n"/>
      <c r="C106" s="38" t="n"/>
      <c r="D106" s="38" t="n"/>
      <c r="E106" s="57" t="n"/>
      <c r="F106" s="57" t="n"/>
      <c r="G106" s="38" t="n"/>
      <c r="H106" s="38" t="n"/>
      <c r="I106" s="47" t="n"/>
      <c r="J106" s="38" t="n"/>
      <c r="K106" s="49">
        <f>IF(B106="","",IFERROR(INDEX('JOBS'!$D$5:$D$1504,MATCH(B106,'JOBS'!$A$5:$A$1504,0)),""))</f>
        <v/>
      </c>
      <c r="L106" s="49">
        <f>IF(B106="","",IFERROR(INDEX('JOBS'!$H$5:$H$1504,MATCH(B106,'JOBS'!$A$5:$A$1504,0)),""))</f>
        <v/>
      </c>
      <c r="M106" s="99">
        <f>IF(N(E106)=0,"",MIN(1,N(F106)/E106))</f>
        <v/>
      </c>
      <c r="N106" s="49">
        <f>IF(M106="","",IF(M106&gt;=QCPass,"Pass","Fail"))</f>
        <v/>
      </c>
      <c r="O106" s="49">
        <f>IF(A106="","",IF(H106&lt;&gt;"Yes","—",IF(J106="Yes","Resolved","Rework open")))</f>
        <v/>
      </c>
      <c r="P106" s="51">
        <f>IF(A106="","",DATE(YEAR(A106),MONTH(A106),1))</f>
        <v/>
      </c>
    </row>
    <row r="107">
      <c r="A107" s="47" t="n"/>
      <c r="B107" s="38" t="n"/>
      <c r="C107" s="38" t="n"/>
      <c r="D107" s="38" t="n"/>
      <c r="E107" s="57" t="n"/>
      <c r="F107" s="57" t="n"/>
      <c r="G107" s="38" t="n"/>
      <c r="H107" s="38" t="n"/>
      <c r="I107" s="47" t="n"/>
      <c r="J107" s="38" t="n"/>
      <c r="K107" s="49">
        <f>IF(B107="","",IFERROR(INDEX('JOBS'!$D$5:$D$1504,MATCH(B107,'JOBS'!$A$5:$A$1504,0)),""))</f>
        <v/>
      </c>
      <c r="L107" s="49">
        <f>IF(B107="","",IFERROR(INDEX('JOBS'!$H$5:$H$1504,MATCH(B107,'JOBS'!$A$5:$A$1504,0)),""))</f>
        <v/>
      </c>
      <c r="M107" s="99">
        <f>IF(N(E107)=0,"",MIN(1,N(F107)/E107))</f>
        <v/>
      </c>
      <c r="N107" s="49">
        <f>IF(M107="","",IF(M107&gt;=QCPass,"Pass","Fail"))</f>
        <v/>
      </c>
      <c r="O107" s="49">
        <f>IF(A107="","",IF(H107&lt;&gt;"Yes","—",IF(J107="Yes","Resolved","Rework open")))</f>
        <v/>
      </c>
      <c r="P107" s="51">
        <f>IF(A107="","",DATE(YEAR(A107),MONTH(A107),1))</f>
        <v/>
      </c>
    </row>
    <row r="108">
      <c r="A108" s="47" t="n"/>
      <c r="B108" s="38" t="n"/>
      <c r="C108" s="38" t="n"/>
      <c r="D108" s="38" t="n"/>
      <c r="E108" s="57" t="n"/>
      <c r="F108" s="57" t="n"/>
      <c r="G108" s="38" t="n"/>
      <c r="H108" s="38" t="n"/>
      <c r="I108" s="47" t="n"/>
      <c r="J108" s="38" t="n"/>
      <c r="K108" s="49">
        <f>IF(B108="","",IFERROR(INDEX('JOBS'!$D$5:$D$1504,MATCH(B108,'JOBS'!$A$5:$A$1504,0)),""))</f>
        <v/>
      </c>
      <c r="L108" s="49">
        <f>IF(B108="","",IFERROR(INDEX('JOBS'!$H$5:$H$1504,MATCH(B108,'JOBS'!$A$5:$A$1504,0)),""))</f>
        <v/>
      </c>
      <c r="M108" s="99">
        <f>IF(N(E108)=0,"",MIN(1,N(F108)/E108))</f>
        <v/>
      </c>
      <c r="N108" s="49">
        <f>IF(M108="","",IF(M108&gt;=QCPass,"Pass","Fail"))</f>
        <v/>
      </c>
      <c r="O108" s="49">
        <f>IF(A108="","",IF(H108&lt;&gt;"Yes","—",IF(J108="Yes","Resolved","Rework open")))</f>
        <v/>
      </c>
      <c r="P108" s="51">
        <f>IF(A108="","",DATE(YEAR(A108),MONTH(A108),1))</f>
        <v/>
      </c>
    </row>
    <row r="109">
      <c r="A109" s="47" t="n"/>
      <c r="B109" s="38" t="n"/>
      <c r="C109" s="38" t="n"/>
      <c r="D109" s="38" t="n"/>
      <c r="E109" s="57" t="n"/>
      <c r="F109" s="57" t="n"/>
      <c r="G109" s="38" t="n"/>
      <c r="H109" s="38" t="n"/>
      <c r="I109" s="47" t="n"/>
      <c r="J109" s="38" t="n"/>
      <c r="K109" s="49">
        <f>IF(B109="","",IFERROR(INDEX('JOBS'!$D$5:$D$1504,MATCH(B109,'JOBS'!$A$5:$A$1504,0)),""))</f>
        <v/>
      </c>
      <c r="L109" s="49">
        <f>IF(B109="","",IFERROR(INDEX('JOBS'!$H$5:$H$1504,MATCH(B109,'JOBS'!$A$5:$A$1504,0)),""))</f>
        <v/>
      </c>
      <c r="M109" s="99">
        <f>IF(N(E109)=0,"",MIN(1,N(F109)/E109))</f>
        <v/>
      </c>
      <c r="N109" s="49">
        <f>IF(M109="","",IF(M109&gt;=QCPass,"Pass","Fail"))</f>
        <v/>
      </c>
      <c r="O109" s="49">
        <f>IF(A109="","",IF(H109&lt;&gt;"Yes","—",IF(J109="Yes","Resolved","Rework open")))</f>
        <v/>
      </c>
      <c r="P109" s="51">
        <f>IF(A109="","",DATE(YEAR(A109),MONTH(A109),1))</f>
        <v/>
      </c>
    </row>
    <row r="110">
      <c r="A110" s="47" t="n"/>
      <c r="B110" s="38" t="n"/>
      <c r="C110" s="38" t="n"/>
      <c r="D110" s="38" t="n"/>
      <c r="E110" s="57" t="n"/>
      <c r="F110" s="57" t="n"/>
      <c r="G110" s="38" t="n"/>
      <c r="H110" s="38" t="n"/>
      <c r="I110" s="47" t="n"/>
      <c r="J110" s="38" t="n"/>
      <c r="K110" s="49">
        <f>IF(B110="","",IFERROR(INDEX('JOBS'!$D$5:$D$1504,MATCH(B110,'JOBS'!$A$5:$A$1504,0)),""))</f>
        <v/>
      </c>
      <c r="L110" s="49">
        <f>IF(B110="","",IFERROR(INDEX('JOBS'!$H$5:$H$1504,MATCH(B110,'JOBS'!$A$5:$A$1504,0)),""))</f>
        <v/>
      </c>
      <c r="M110" s="99">
        <f>IF(N(E110)=0,"",MIN(1,N(F110)/E110))</f>
        <v/>
      </c>
      <c r="N110" s="49">
        <f>IF(M110="","",IF(M110&gt;=QCPass,"Pass","Fail"))</f>
        <v/>
      </c>
      <c r="O110" s="49">
        <f>IF(A110="","",IF(H110&lt;&gt;"Yes","—",IF(J110="Yes","Resolved","Rework open")))</f>
        <v/>
      </c>
      <c r="P110" s="51">
        <f>IF(A110="","",DATE(YEAR(A110),MONTH(A110),1))</f>
        <v/>
      </c>
    </row>
    <row r="111">
      <c r="A111" s="47" t="n"/>
      <c r="B111" s="38" t="n"/>
      <c r="C111" s="38" t="n"/>
      <c r="D111" s="38" t="n"/>
      <c r="E111" s="57" t="n"/>
      <c r="F111" s="57" t="n"/>
      <c r="G111" s="38" t="n"/>
      <c r="H111" s="38" t="n"/>
      <c r="I111" s="47" t="n"/>
      <c r="J111" s="38" t="n"/>
      <c r="K111" s="49">
        <f>IF(B111="","",IFERROR(INDEX('JOBS'!$D$5:$D$1504,MATCH(B111,'JOBS'!$A$5:$A$1504,0)),""))</f>
        <v/>
      </c>
      <c r="L111" s="49">
        <f>IF(B111="","",IFERROR(INDEX('JOBS'!$H$5:$H$1504,MATCH(B111,'JOBS'!$A$5:$A$1504,0)),""))</f>
        <v/>
      </c>
      <c r="M111" s="99">
        <f>IF(N(E111)=0,"",MIN(1,N(F111)/E111))</f>
        <v/>
      </c>
      <c r="N111" s="49">
        <f>IF(M111="","",IF(M111&gt;=QCPass,"Pass","Fail"))</f>
        <v/>
      </c>
      <c r="O111" s="49">
        <f>IF(A111="","",IF(H111&lt;&gt;"Yes","—",IF(J111="Yes","Resolved","Rework open")))</f>
        <v/>
      </c>
      <c r="P111" s="51">
        <f>IF(A111="","",DATE(YEAR(A111),MONTH(A111),1))</f>
        <v/>
      </c>
    </row>
    <row r="112">
      <c r="A112" s="47" t="n"/>
      <c r="B112" s="38" t="n"/>
      <c r="C112" s="38" t="n"/>
      <c r="D112" s="38" t="n"/>
      <c r="E112" s="57" t="n"/>
      <c r="F112" s="57" t="n"/>
      <c r="G112" s="38" t="n"/>
      <c r="H112" s="38" t="n"/>
      <c r="I112" s="47" t="n"/>
      <c r="J112" s="38" t="n"/>
      <c r="K112" s="49">
        <f>IF(B112="","",IFERROR(INDEX('JOBS'!$D$5:$D$1504,MATCH(B112,'JOBS'!$A$5:$A$1504,0)),""))</f>
        <v/>
      </c>
      <c r="L112" s="49">
        <f>IF(B112="","",IFERROR(INDEX('JOBS'!$H$5:$H$1504,MATCH(B112,'JOBS'!$A$5:$A$1504,0)),""))</f>
        <v/>
      </c>
      <c r="M112" s="99">
        <f>IF(N(E112)=0,"",MIN(1,N(F112)/E112))</f>
        <v/>
      </c>
      <c r="N112" s="49">
        <f>IF(M112="","",IF(M112&gt;=QCPass,"Pass","Fail"))</f>
        <v/>
      </c>
      <c r="O112" s="49">
        <f>IF(A112="","",IF(H112&lt;&gt;"Yes","—",IF(J112="Yes","Resolved","Rework open")))</f>
        <v/>
      </c>
      <c r="P112" s="51">
        <f>IF(A112="","",DATE(YEAR(A112),MONTH(A112),1))</f>
        <v/>
      </c>
    </row>
    <row r="113">
      <c r="A113" s="47" t="n"/>
      <c r="B113" s="38" t="n"/>
      <c r="C113" s="38" t="n"/>
      <c r="D113" s="38" t="n"/>
      <c r="E113" s="57" t="n"/>
      <c r="F113" s="57" t="n"/>
      <c r="G113" s="38" t="n"/>
      <c r="H113" s="38" t="n"/>
      <c r="I113" s="47" t="n"/>
      <c r="J113" s="38" t="n"/>
      <c r="K113" s="49">
        <f>IF(B113="","",IFERROR(INDEX('JOBS'!$D$5:$D$1504,MATCH(B113,'JOBS'!$A$5:$A$1504,0)),""))</f>
        <v/>
      </c>
      <c r="L113" s="49">
        <f>IF(B113="","",IFERROR(INDEX('JOBS'!$H$5:$H$1504,MATCH(B113,'JOBS'!$A$5:$A$1504,0)),""))</f>
        <v/>
      </c>
      <c r="M113" s="99">
        <f>IF(N(E113)=0,"",MIN(1,N(F113)/E113))</f>
        <v/>
      </c>
      <c r="N113" s="49">
        <f>IF(M113="","",IF(M113&gt;=QCPass,"Pass","Fail"))</f>
        <v/>
      </c>
      <c r="O113" s="49">
        <f>IF(A113="","",IF(H113&lt;&gt;"Yes","—",IF(J113="Yes","Resolved","Rework open")))</f>
        <v/>
      </c>
      <c r="P113" s="51">
        <f>IF(A113="","",DATE(YEAR(A113),MONTH(A113),1))</f>
        <v/>
      </c>
    </row>
    <row r="114">
      <c r="A114" s="47" t="n"/>
      <c r="B114" s="38" t="n"/>
      <c r="C114" s="38" t="n"/>
      <c r="D114" s="38" t="n"/>
      <c r="E114" s="57" t="n"/>
      <c r="F114" s="57" t="n"/>
      <c r="G114" s="38" t="n"/>
      <c r="H114" s="38" t="n"/>
      <c r="I114" s="47" t="n"/>
      <c r="J114" s="38" t="n"/>
      <c r="K114" s="49">
        <f>IF(B114="","",IFERROR(INDEX('JOBS'!$D$5:$D$1504,MATCH(B114,'JOBS'!$A$5:$A$1504,0)),""))</f>
        <v/>
      </c>
      <c r="L114" s="49">
        <f>IF(B114="","",IFERROR(INDEX('JOBS'!$H$5:$H$1504,MATCH(B114,'JOBS'!$A$5:$A$1504,0)),""))</f>
        <v/>
      </c>
      <c r="M114" s="99">
        <f>IF(N(E114)=0,"",MIN(1,N(F114)/E114))</f>
        <v/>
      </c>
      <c r="N114" s="49">
        <f>IF(M114="","",IF(M114&gt;=QCPass,"Pass","Fail"))</f>
        <v/>
      </c>
      <c r="O114" s="49">
        <f>IF(A114="","",IF(H114&lt;&gt;"Yes","—",IF(J114="Yes","Resolved","Rework open")))</f>
        <v/>
      </c>
      <c r="P114" s="51">
        <f>IF(A114="","",DATE(YEAR(A114),MONTH(A114),1))</f>
        <v/>
      </c>
    </row>
    <row r="115">
      <c r="A115" s="47" t="n"/>
      <c r="B115" s="38" t="n"/>
      <c r="C115" s="38" t="n"/>
      <c r="D115" s="38" t="n"/>
      <c r="E115" s="57" t="n"/>
      <c r="F115" s="57" t="n"/>
      <c r="G115" s="38" t="n"/>
      <c r="H115" s="38" t="n"/>
      <c r="I115" s="47" t="n"/>
      <c r="J115" s="38" t="n"/>
      <c r="K115" s="49">
        <f>IF(B115="","",IFERROR(INDEX('JOBS'!$D$5:$D$1504,MATCH(B115,'JOBS'!$A$5:$A$1504,0)),""))</f>
        <v/>
      </c>
      <c r="L115" s="49">
        <f>IF(B115="","",IFERROR(INDEX('JOBS'!$H$5:$H$1504,MATCH(B115,'JOBS'!$A$5:$A$1504,0)),""))</f>
        <v/>
      </c>
      <c r="M115" s="99">
        <f>IF(N(E115)=0,"",MIN(1,N(F115)/E115))</f>
        <v/>
      </c>
      <c r="N115" s="49">
        <f>IF(M115="","",IF(M115&gt;=QCPass,"Pass","Fail"))</f>
        <v/>
      </c>
      <c r="O115" s="49">
        <f>IF(A115="","",IF(H115&lt;&gt;"Yes","—",IF(J115="Yes","Resolved","Rework open")))</f>
        <v/>
      </c>
      <c r="P115" s="51">
        <f>IF(A115="","",DATE(YEAR(A115),MONTH(A115),1))</f>
        <v/>
      </c>
    </row>
    <row r="116">
      <c r="A116" s="47" t="n"/>
      <c r="B116" s="38" t="n"/>
      <c r="C116" s="38" t="n"/>
      <c r="D116" s="38" t="n"/>
      <c r="E116" s="57" t="n"/>
      <c r="F116" s="57" t="n"/>
      <c r="G116" s="38" t="n"/>
      <c r="H116" s="38" t="n"/>
      <c r="I116" s="47" t="n"/>
      <c r="J116" s="38" t="n"/>
      <c r="K116" s="49">
        <f>IF(B116="","",IFERROR(INDEX('JOBS'!$D$5:$D$1504,MATCH(B116,'JOBS'!$A$5:$A$1504,0)),""))</f>
        <v/>
      </c>
      <c r="L116" s="49">
        <f>IF(B116="","",IFERROR(INDEX('JOBS'!$H$5:$H$1504,MATCH(B116,'JOBS'!$A$5:$A$1504,0)),""))</f>
        <v/>
      </c>
      <c r="M116" s="99">
        <f>IF(N(E116)=0,"",MIN(1,N(F116)/E116))</f>
        <v/>
      </c>
      <c r="N116" s="49">
        <f>IF(M116="","",IF(M116&gt;=QCPass,"Pass","Fail"))</f>
        <v/>
      </c>
      <c r="O116" s="49">
        <f>IF(A116="","",IF(H116&lt;&gt;"Yes","—",IF(J116="Yes","Resolved","Rework open")))</f>
        <v/>
      </c>
      <c r="P116" s="51">
        <f>IF(A116="","",DATE(YEAR(A116),MONTH(A116),1))</f>
        <v/>
      </c>
    </row>
    <row r="117">
      <c r="A117" s="47" t="n"/>
      <c r="B117" s="38" t="n"/>
      <c r="C117" s="38" t="n"/>
      <c r="D117" s="38" t="n"/>
      <c r="E117" s="57" t="n"/>
      <c r="F117" s="57" t="n"/>
      <c r="G117" s="38" t="n"/>
      <c r="H117" s="38" t="n"/>
      <c r="I117" s="47" t="n"/>
      <c r="J117" s="38" t="n"/>
      <c r="K117" s="49">
        <f>IF(B117="","",IFERROR(INDEX('JOBS'!$D$5:$D$1504,MATCH(B117,'JOBS'!$A$5:$A$1504,0)),""))</f>
        <v/>
      </c>
      <c r="L117" s="49">
        <f>IF(B117="","",IFERROR(INDEX('JOBS'!$H$5:$H$1504,MATCH(B117,'JOBS'!$A$5:$A$1504,0)),""))</f>
        <v/>
      </c>
      <c r="M117" s="99">
        <f>IF(N(E117)=0,"",MIN(1,N(F117)/E117))</f>
        <v/>
      </c>
      <c r="N117" s="49">
        <f>IF(M117="","",IF(M117&gt;=QCPass,"Pass","Fail"))</f>
        <v/>
      </c>
      <c r="O117" s="49">
        <f>IF(A117="","",IF(H117&lt;&gt;"Yes","—",IF(J117="Yes","Resolved","Rework open")))</f>
        <v/>
      </c>
      <c r="P117" s="51">
        <f>IF(A117="","",DATE(YEAR(A117),MONTH(A117),1))</f>
        <v/>
      </c>
    </row>
    <row r="118">
      <c r="A118" s="47" t="n"/>
      <c r="B118" s="38" t="n"/>
      <c r="C118" s="38" t="n"/>
      <c r="D118" s="38" t="n"/>
      <c r="E118" s="57" t="n"/>
      <c r="F118" s="57" t="n"/>
      <c r="G118" s="38" t="n"/>
      <c r="H118" s="38" t="n"/>
      <c r="I118" s="47" t="n"/>
      <c r="J118" s="38" t="n"/>
      <c r="K118" s="49">
        <f>IF(B118="","",IFERROR(INDEX('JOBS'!$D$5:$D$1504,MATCH(B118,'JOBS'!$A$5:$A$1504,0)),""))</f>
        <v/>
      </c>
      <c r="L118" s="49">
        <f>IF(B118="","",IFERROR(INDEX('JOBS'!$H$5:$H$1504,MATCH(B118,'JOBS'!$A$5:$A$1504,0)),""))</f>
        <v/>
      </c>
      <c r="M118" s="99">
        <f>IF(N(E118)=0,"",MIN(1,N(F118)/E118))</f>
        <v/>
      </c>
      <c r="N118" s="49">
        <f>IF(M118="","",IF(M118&gt;=QCPass,"Pass","Fail"))</f>
        <v/>
      </c>
      <c r="O118" s="49">
        <f>IF(A118="","",IF(H118&lt;&gt;"Yes","—",IF(J118="Yes","Resolved","Rework open")))</f>
        <v/>
      </c>
      <c r="P118" s="51">
        <f>IF(A118="","",DATE(YEAR(A118),MONTH(A118),1))</f>
        <v/>
      </c>
    </row>
    <row r="119">
      <c r="A119" s="47" t="n"/>
      <c r="B119" s="38" t="n"/>
      <c r="C119" s="38" t="n"/>
      <c r="D119" s="38" t="n"/>
      <c r="E119" s="57" t="n"/>
      <c r="F119" s="57" t="n"/>
      <c r="G119" s="38" t="n"/>
      <c r="H119" s="38" t="n"/>
      <c r="I119" s="47" t="n"/>
      <c r="J119" s="38" t="n"/>
      <c r="K119" s="49">
        <f>IF(B119="","",IFERROR(INDEX('JOBS'!$D$5:$D$1504,MATCH(B119,'JOBS'!$A$5:$A$1504,0)),""))</f>
        <v/>
      </c>
      <c r="L119" s="49">
        <f>IF(B119="","",IFERROR(INDEX('JOBS'!$H$5:$H$1504,MATCH(B119,'JOBS'!$A$5:$A$1504,0)),""))</f>
        <v/>
      </c>
      <c r="M119" s="99">
        <f>IF(N(E119)=0,"",MIN(1,N(F119)/E119))</f>
        <v/>
      </c>
      <c r="N119" s="49">
        <f>IF(M119="","",IF(M119&gt;=QCPass,"Pass","Fail"))</f>
        <v/>
      </c>
      <c r="O119" s="49">
        <f>IF(A119="","",IF(H119&lt;&gt;"Yes","—",IF(J119="Yes","Resolved","Rework open")))</f>
        <v/>
      </c>
      <c r="P119" s="51">
        <f>IF(A119="","",DATE(YEAR(A119),MONTH(A119),1))</f>
        <v/>
      </c>
    </row>
    <row r="120">
      <c r="A120" s="47" t="n"/>
      <c r="B120" s="38" t="n"/>
      <c r="C120" s="38" t="n"/>
      <c r="D120" s="38" t="n"/>
      <c r="E120" s="57" t="n"/>
      <c r="F120" s="57" t="n"/>
      <c r="G120" s="38" t="n"/>
      <c r="H120" s="38" t="n"/>
      <c r="I120" s="47" t="n"/>
      <c r="J120" s="38" t="n"/>
      <c r="K120" s="49">
        <f>IF(B120="","",IFERROR(INDEX('JOBS'!$D$5:$D$1504,MATCH(B120,'JOBS'!$A$5:$A$1504,0)),""))</f>
        <v/>
      </c>
      <c r="L120" s="49">
        <f>IF(B120="","",IFERROR(INDEX('JOBS'!$H$5:$H$1504,MATCH(B120,'JOBS'!$A$5:$A$1504,0)),""))</f>
        <v/>
      </c>
      <c r="M120" s="99">
        <f>IF(N(E120)=0,"",MIN(1,N(F120)/E120))</f>
        <v/>
      </c>
      <c r="N120" s="49">
        <f>IF(M120="","",IF(M120&gt;=QCPass,"Pass","Fail"))</f>
        <v/>
      </c>
      <c r="O120" s="49">
        <f>IF(A120="","",IF(H120&lt;&gt;"Yes","—",IF(J120="Yes","Resolved","Rework open")))</f>
        <v/>
      </c>
      <c r="P120" s="51">
        <f>IF(A120="","",DATE(YEAR(A120),MONTH(A120),1))</f>
        <v/>
      </c>
    </row>
    <row r="121">
      <c r="A121" s="47" t="n"/>
      <c r="B121" s="38" t="n"/>
      <c r="C121" s="38" t="n"/>
      <c r="D121" s="38" t="n"/>
      <c r="E121" s="57" t="n"/>
      <c r="F121" s="57" t="n"/>
      <c r="G121" s="38" t="n"/>
      <c r="H121" s="38" t="n"/>
      <c r="I121" s="47" t="n"/>
      <c r="J121" s="38" t="n"/>
      <c r="K121" s="49">
        <f>IF(B121="","",IFERROR(INDEX('JOBS'!$D$5:$D$1504,MATCH(B121,'JOBS'!$A$5:$A$1504,0)),""))</f>
        <v/>
      </c>
      <c r="L121" s="49">
        <f>IF(B121="","",IFERROR(INDEX('JOBS'!$H$5:$H$1504,MATCH(B121,'JOBS'!$A$5:$A$1504,0)),""))</f>
        <v/>
      </c>
      <c r="M121" s="99">
        <f>IF(N(E121)=0,"",MIN(1,N(F121)/E121))</f>
        <v/>
      </c>
      <c r="N121" s="49">
        <f>IF(M121="","",IF(M121&gt;=QCPass,"Pass","Fail"))</f>
        <v/>
      </c>
      <c r="O121" s="49">
        <f>IF(A121="","",IF(H121&lt;&gt;"Yes","—",IF(J121="Yes","Resolved","Rework open")))</f>
        <v/>
      </c>
      <c r="P121" s="51">
        <f>IF(A121="","",DATE(YEAR(A121),MONTH(A121),1))</f>
        <v/>
      </c>
    </row>
    <row r="122">
      <c r="A122" s="47" t="n"/>
      <c r="B122" s="38" t="n"/>
      <c r="C122" s="38" t="n"/>
      <c r="D122" s="38" t="n"/>
      <c r="E122" s="57" t="n"/>
      <c r="F122" s="57" t="n"/>
      <c r="G122" s="38" t="n"/>
      <c r="H122" s="38" t="n"/>
      <c r="I122" s="47" t="n"/>
      <c r="J122" s="38" t="n"/>
      <c r="K122" s="49">
        <f>IF(B122="","",IFERROR(INDEX('JOBS'!$D$5:$D$1504,MATCH(B122,'JOBS'!$A$5:$A$1504,0)),""))</f>
        <v/>
      </c>
      <c r="L122" s="49">
        <f>IF(B122="","",IFERROR(INDEX('JOBS'!$H$5:$H$1504,MATCH(B122,'JOBS'!$A$5:$A$1504,0)),""))</f>
        <v/>
      </c>
      <c r="M122" s="99">
        <f>IF(N(E122)=0,"",MIN(1,N(F122)/E122))</f>
        <v/>
      </c>
      <c r="N122" s="49">
        <f>IF(M122="","",IF(M122&gt;=QCPass,"Pass","Fail"))</f>
        <v/>
      </c>
      <c r="O122" s="49">
        <f>IF(A122="","",IF(H122&lt;&gt;"Yes","—",IF(J122="Yes","Resolved","Rework open")))</f>
        <v/>
      </c>
      <c r="P122" s="51">
        <f>IF(A122="","",DATE(YEAR(A122),MONTH(A122),1))</f>
        <v/>
      </c>
    </row>
    <row r="123">
      <c r="A123" s="47" t="n"/>
      <c r="B123" s="38" t="n"/>
      <c r="C123" s="38" t="n"/>
      <c r="D123" s="38" t="n"/>
      <c r="E123" s="57" t="n"/>
      <c r="F123" s="57" t="n"/>
      <c r="G123" s="38" t="n"/>
      <c r="H123" s="38" t="n"/>
      <c r="I123" s="47" t="n"/>
      <c r="J123" s="38" t="n"/>
      <c r="K123" s="49">
        <f>IF(B123="","",IFERROR(INDEX('JOBS'!$D$5:$D$1504,MATCH(B123,'JOBS'!$A$5:$A$1504,0)),""))</f>
        <v/>
      </c>
      <c r="L123" s="49">
        <f>IF(B123="","",IFERROR(INDEX('JOBS'!$H$5:$H$1504,MATCH(B123,'JOBS'!$A$5:$A$1504,0)),""))</f>
        <v/>
      </c>
      <c r="M123" s="99">
        <f>IF(N(E123)=0,"",MIN(1,N(F123)/E123))</f>
        <v/>
      </c>
      <c r="N123" s="49">
        <f>IF(M123="","",IF(M123&gt;=QCPass,"Pass","Fail"))</f>
        <v/>
      </c>
      <c r="O123" s="49">
        <f>IF(A123="","",IF(H123&lt;&gt;"Yes","—",IF(J123="Yes","Resolved","Rework open")))</f>
        <v/>
      </c>
      <c r="P123" s="51">
        <f>IF(A123="","",DATE(YEAR(A123),MONTH(A123),1))</f>
        <v/>
      </c>
    </row>
    <row r="124">
      <c r="A124" s="47" t="n"/>
      <c r="B124" s="38" t="n"/>
      <c r="C124" s="38" t="n"/>
      <c r="D124" s="38" t="n"/>
      <c r="E124" s="57" t="n"/>
      <c r="F124" s="57" t="n"/>
      <c r="G124" s="38" t="n"/>
      <c r="H124" s="38" t="n"/>
      <c r="I124" s="47" t="n"/>
      <c r="J124" s="38" t="n"/>
      <c r="K124" s="49">
        <f>IF(B124="","",IFERROR(INDEX('JOBS'!$D$5:$D$1504,MATCH(B124,'JOBS'!$A$5:$A$1504,0)),""))</f>
        <v/>
      </c>
      <c r="L124" s="49">
        <f>IF(B124="","",IFERROR(INDEX('JOBS'!$H$5:$H$1504,MATCH(B124,'JOBS'!$A$5:$A$1504,0)),""))</f>
        <v/>
      </c>
      <c r="M124" s="99">
        <f>IF(N(E124)=0,"",MIN(1,N(F124)/E124))</f>
        <v/>
      </c>
      <c r="N124" s="49">
        <f>IF(M124="","",IF(M124&gt;=QCPass,"Pass","Fail"))</f>
        <v/>
      </c>
      <c r="O124" s="49">
        <f>IF(A124="","",IF(H124&lt;&gt;"Yes","—",IF(J124="Yes","Resolved","Rework open")))</f>
        <v/>
      </c>
      <c r="P124" s="51">
        <f>IF(A124="","",DATE(YEAR(A124),MONTH(A124),1))</f>
        <v/>
      </c>
    </row>
    <row r="125">
      <c r="A125" s="47" t="n"/>
      <c r="B125" s="38" t="n"/>
      <c r="C125" s="38" t="n"/>
      <c r="D125" s="38" t="n"/>
      <c r="E125" s="57" t="n"/>
      <c r="F125" s="57" t="n"/>
      <c r="G125" s="38" t="n"/>
      <c r="H125" s="38" t="n"/>
      <c r="I125" s="47" t="n"/>
      <c r="J125" s="38" t="n"/>
      <c r="K125" s="49">
        <f>IF(B125="","",IFERROR(INDEX('JOBS'!$D$5:$D$1504,MATCH(B125,'JOBS'!$A$5:$A$1504,0)),""))</f>
        <v/>
      </c>
      <c r="L125" s="49">
        <f>IF(B125="","",IFERROR(INDEX('JOBS'!$H$5:$H$1504,MATCH(B125,'JOBS'!$A$5:$A$1504,0)),""))</f>
        <v/>
      </c>
      <c r="M125" s="99">
        <f>IF(N(E125)=0,"",MIN(1,N(F125)/E125))</f>
        <v/>
      </c>
      <c r="N125" s="49">
        <f>IF(M125="","",IF(M125&gt;=QCPass,"Pass","Fail"))</f>
        <v/>
      </c>
      <c r="O125" s="49">
        <f>IF(A125="","",IF(H125&lt;&gt;"Yes","—",IF(J125="Yes","Resolved","Rework open")))</f>
        <v/>
      </c>
      <c r="P125" s="51">
        <f>IF(A125="","",DATE(YEAR(A125),MONTH(A125),1))</f>
        <v/>
      </c>
    </row>
    <row r="126">
      <c r="A126" s="47" t="n"/>
      <c r="B126" s="38" t="n"/>
      <c r="C126" s="38" t="n"/>
      <c r="D126" s="38" t="n"/>
      <c r="E126" s="57" t="n"/>
      <c r="F126" s="57" t="n"/>
      <c r="G126" s="38" t="n"/>
      <c r="H126" s="38" t="n"/>
      <c r="I126" s="47" t="n"/>
      <c r="J126" s="38" t="n"/>
      <c r="K126" s="49">
        <f>IF(B126="","",IFERROR(INDEX('JOBS'!$D$5:$D$1504,MATCH(B126,'JOBS'!$A$5:$A$1504,0)),""))</f>
        <v/>
      </c>
      <c r="L126" s="49">
        <f>IF(B126="","",IFERROR(INDEX('JOBS'!$H$5:$H$1504,MATCH(B126,'JOBS'!$A$5:$A$1504,0)),""))</f>
        <v/>
      </c>
      <c r="M126" s="99">
        <f>IF(N(E126)=0,"",MIN(1,N(F126)/E126))</f>
        <v/>
      </c>
      <c r="N126" s="49">
        <f>IF(M126="","",IF(M126&gt;=QCPass,"Pass","Fail"))</f>
        <v/>
      </c>
      <c r="O126" s="49">
        <f>IF(A126="","",IF(H126&lt;&gt;"Yes","—",IF(J126="Yes","Resolved","Rework open")))</f>
        <v/>
      </c>
      <c r="P126" s="51">
        <f>IF(A126="","",DATE(YEAR(A126),MONTH(A126),1))</f>
        <v/>
      </c>
    </row>
    <row r="127">
      <c r="A127" s="47" t="n"/>
      <c r="B127" s="38" t="n"/>
      <c r="C127" s="38" t="n"/>
      <c r="D127" s="38" t="n"/>
      <c r="E127" s="57" t="n"/>
      <c r="F127" s="57" t="n"/>
      <c r="G127" s="38" t="n"/>
      <c r="H127" s="38" t="n"/>
      <c r="I127" s="47" t="n"/>
      <c r="J127" s="38" t="n"/>
      <c r="K127" s="49">
        <f>IF(B127="","",IFERROR(INDEX('JOBS'!$D$5:$D$1504,MATCH(B127,'JOBS'!$A$5:$A$1504,0)),""))</f>
        <v/>
      </c>
      <c r="L127" s="49">
        <f>IF(B127="","",IFERROR(INDEX('JOBS'!$H$5:$H$1504,MATCH(B127,'JOBS'!$A$5:$A$1504,0)),""))</f>
        <v/>
      </c>
      <c r="M127" s="99">
        <f>IF(N(E127)=0,"",MIN(1,N(F127)/E127))</f>
        <v/>
      </c>
      <c r="N127" s="49">
        <f>IF(M127="","",IF(M127&gt;=QCPass,"Pass","Fail"))</f>
        <v/>
      </c>
      <c r="O127" s="49">
        <f>IF(A127="","",IF(H127&lt;&gt;"Yes","—",IF(J127="Yes","Resolved","Rework open")))</f>
        <v/>
      </c>
      <c r="P127" s="51">
        <f>IF(A127="","",DATE(YEAR(A127),MONTH(A127),1))</f>
        <v/>
      </c>
    </row>
    <row r="128">
      <c r="A128" s="47" t="n"/>
      <c r="B128" s="38" t="n"/>
      <c r="C128" s="38" t="n"/>
      <c r="D128" s="38" t="n"/>
      <c r="E128" s="57" t="n"/>
      <c r="F128" s="57" t="n"/>
      <c r="G128" s="38" t="n"/>
      <c r="H128" s="38" t="n"/>
      <c r="I128" s="47" t="n"/>
      <c r="J128" s="38" t="n"/>
      <c r="K128" s="49">
        <f>IF(B128="","",IFERROR(INDEX('JOBS'!$D$5:$D$1504,MATCH(B128,'JOBS'!$A$5:$A$1504,0)),""))</f>
        <v/>
      </c>
      <c r="L128" s="49">
        <f>IF(B128="","",IFERROR(INDEX('JOBS'!$H$5:$H$1504,MATCH(B128,'JOBS'!$A$5:$A$1504,0)),""))</f>
        <v/>
      </c>
      <c r="M128" s="99">
        <f>IF(N(E128)=0,"",MIN(1,N(F128)/E128))</f>
        <v/>
      </c>
      <c r="N128" s="49">
        <f>IF(M128="","",IF(M128&gt;=QCPass,"Pass","Fail"))</f>
        <v/>
      </c>
      <c r="O128" s="49">
        <f>IF(A128="","",IF(H128&lt;&gt;"Yes","—",IF(J128="Yes","Resolved","Rework open")))</f>
        <v/>
      </c>
      <c r="P128" s="51">
        <f>IF(A128="","",DATE(YEAR(A128),MONTH(A128),1))</f>
        <v/>
      </c>
    </row>
    <row r="129">
      <c r="A129" s="47" t="n"/>
      <c r="B129" s="38" t="n"/>
      <c r="C129" s="38" t="n"/>
      <c r="D129" s="38" t="n"/>
      <c r="E129" s="57" t="n"/>
      <c r="F129" s="57" t="n"/>
      <c r="G129" s="38" t="n"/>
      <c r="H129" s="38" t="n"/>
      <c r="I129" s="47" t="n"/>
      <c r="J129" s="38" t="n"/>
      <c r="K129" s="49">
        <f>IF(B129="","",IFERROR(INDEX('JOBS'!$D$5:$D$1504,MATCH(B129,'JOBS'!$A$5:$A$1504,0)),""))</f>
        <v/>
      </c>
      <c r="L129" s="49">
        <f>IF(B129="","",IFERROR(INDEX('JOBS'!$H$5:$H$1504,MATCH(B129,'JOBS'!$A$5:$A$1504,0)),""))</f>
        <v/>
      </c>
      <c r="M129" s="99">
        <f>IF(N(E129)=0,"",MIN(1,N(F129)/E129))</f>
        <v/>
      </c>
      <c r="N129" s="49">
        <f>IF(M129="","",IF(M129&gt;=QCPass,"Pass","Fail"))</f>
        <v/>
      </c>
      <c r="O129" s="49">
        <f>IF(A129="","",IF(H129&lt;&gt;"Yes","—",IF(J129="Yes","Resolved","Rework open")))</f>
        <v/>
      </c>
      <c r="P129" s="51">
        <f>IF(A129="","",DATE(YEAR(A129),MONTH(A129),1))</f>
        <v/>
      </c>
    </row>
    <row r="130">
      <c r="A130" s="47" t="n"/>
      <c r="B130" s="38" t="n"/>
      <c r="C130" s="38" t="n"/>
      <c r="D130" s="38" t="n"/>
      <c r="E130" s="57" t="n"/>
      <c r="F130" s="57" t="n"/>
      <c r="G130" s="38" t="n"/>
      <c r="H130" s="38" t="n"/>
      <c r="I130" s="47" t="n"/>
      <c r="J130" s="38" t="n"/>
      <c r="K130" s="49">
        <f>IF(B130="","",IFERROR(INDEX('JOBS'!$D$5:$D$1504,MATCH(B130,'JOBS'!$A$5:$A$1504,0)),""))</f>
        <v/>
      </c>
      <c r="L130" s="49">
        <f>IF(B130="","",IFERROR(INDEX('JOBS'!$H$5:$H$1504,MATCH(B130,'JOBS'!$A$5:$A$1504,0)),""))</f>
        <v/>
      </c>
      <c r="M130" s="99">
        <f>IF(N(E130)=0,"",MIN(1,N(F130)/E130))</f>
        <v/>
      </c>
      <c r="N130" s="49">
        <f>IF(M130="","",IF(M130&gt;=QCPass,"Pass","Fail"))</f>
        <v/>
      </c>
      <c r="O130" s="49">
        <f>IF(A130="","",IF(H130&lt;&gt;"Yes","—",IF(J130="Yes","Resolved","Rework open")))</f>
        <v/>
      </c>
      <c r="P130" s="51">
        <f>IF(A130="","",DATE(YEAR(A130),MONTH(A130),1))</f>
        <v/>
      </c>
    </row>
    <row r="131">
      <c r="A131" s="47" t="n"/>
      <c r="B131" s="38" t="n"/>
      <c r="C131" s="38" t="n"/>
      <c r="D131" s="38" t="n"/>
      <c r="E131" s="57" t="n"/>
      <c r="F131" s="57" t="n"/>
      <c r="G131" s="38" t="n"/>
      <c r="H131" s="38" t="n"/>
      <c r="I131" s="47" t="n"/>
      <c r="J131" s="38" t="n"/>
      <c r="K131" s="49">
        <f>IF(B131="","",IFERROR(INDEX('JOBS'!$D$5:$D$1504,MATCH(B131,'JOBS'!$A$5:$A$1504,0)),""))</f>
        <v/>
      </c>
      <c r="L131" s="49">
        <f>IF(B131="","",IFERROR(INDEX('JOBS'!$H$5:$H$1504,MATCH(B131,'JOBS'!$A$5:$A$1504,0)),""))</f>
        <v/>
      </c>
      <c r="M131" s="99">
        <f>IF(N(E131)=0,"",MIN(1,N(F131)/E131))</f>
        <v/>
      </c>
      <c r="N131" s="49">
        <f>IF(M131="","",IF(M131&gt;=QCPass,"Pass","Fail"))</f>
        <v/>
      </c>
      <c r="O131" s="49">
        <f>IF(A131="","",IF(H131&lt;&gt;"Yes","—",IF(J131="Yes","Resolved","Rework open")))</f>
        <v/>
      </c>
      <c r="P131" s="51">
        <f>IF(A131="","",DATE(YEAR(A131),MONTH(A131),1))</f>
        <v/>
      </c>
    </row>
    <row r="132">
      <c r="A132" s="47" t="n"/>
      <c r="B132" s="38" t="n"/>
      <c r="C132" s="38" t="n"/>
      <c r="D132" s="38" t="n"/>
      <c r="E132" s="57" t="n"/>
      <c r="F132" s="57" t="n"/>
      <c r="G132" s="38" t="n"/>
      <c r="H132" s="38" t="n"/>
      <c r="I132" s="47" t="n"/>
      <c r="J132" s="38" t="n"/>
      <c r="K132" s="49">
        <f>IF(B132="","",IFERROR(INDEX('JOBS'!$D$5:$D$1504,MATCH(B132,'JOBS'!$A$5:$A$1504,0)),""))</f>
        <v/>
      </c>
      <c r="L132" s="49">
        <f>IF(B132="","",IFERROR(INDEX('JOBS'!$H$5:$H$1504,MATCH(B132,'JOBS'!$A$5:$A$1504,0)),""))</f>
        <v/>
      </c>
      <c r="M132" s="99">
        <f>IF(N(E132)=0,"",MIN(1,N(F132)/E132))</f>
        <v/>
      </c>
      <c r="N132" s="49">
        <f>IF(M132="","",IF(M132&gt;=QCPass,"Pass","Fail"))</f>
        <v/>
      </c>
      <c r="O132" s="49">
        <f>IF(A132="","",IF(H132&lt;&gt;"Yes","—",IF(J132="Yes","Resolved","Rework open")))</f>
        <v/>
      </c>
      <c r="P132" s="51">
        <f>IF(A132="","",DATE(YEAR(A132),MONTH(A132),1))</f>
        <v/>
      </c>
    </row>
    <row r="133">
      <c r="A133" s="47" t="n"/>
      <c r="B133" s="38" t="n"/>
      <c r="C133" s="38" t="n"/>
      <c r="D133" s="38" t="n"/>
      <c r="E133" s="57" t="n"/>
      <c r="F133" s="57" t="n"/>
      <c r="G133" s="38" t="n"/>
      <c r="H133" s="38" t="n"/>
      <c r="I133" s="47" t="n"/>
      <c r="J133" s="38" t="n"/>
      <c r="K133" s="49">
        <f>IF(B133="","",IFERROR(INDEX('JOBS'!$D$5:$D$1504,MATCH(B133,'JOBS'!$A$5:$A$1504,0)),""))</f>
        <v/>
      </c>
      <c r="L133" s="49">
        <f>IF(B133="","",IFERROR(INDEX('JOBS'!$H$5:$H$1504,MATCH(B133,'JOBS'!$A$5:$A$1504,0)),""))</f>
        <v/>
      </c>
      <c r="M133" s="99">
        <f>IF(N(E133)=0,"",MIN(1,N(F133)/E133))</f>
        <v/>
      </c>
      <c r="N133" s="49">
        <f>IF(M133="","",IF(M133&gt;=QCPass,"Pass","Fail"))</f>
        <v/>
      </c>
      <c r="O133" s="49">
        <f>IF(A133="","",IF(H133&lt;&gt;"Yes","—",IF(J133="Yes","Resolved","Rework open")))</f>
        <v/>
      </c>
      <c r="P133" s="51">
        <f>IF(A133="","",DATE(YEAR(A133),MONTH(A133),1))</f>
        <v/>
      </c>
    </row>
    <row r="134">
      <c r="A134" s="47" t="n"/>
      <c r="B134" s="38" t="n"/>
      <c r="C134" s="38" t="n"/>
      <c r="D134" s="38" t="n"/>
      <c r="E134" s="57" t="n"/>
      <c r="F134" s="57" t="n"/>
      <c r="G134" s="38" t="n"/>
      <c r="H134" s="38" t="n"/>
      <c r="I134" s="47" t="n"/>
      <c r="J134" s="38" t="n"/>
      <c r="K134" s="49">
        <f>IF(B134="","",IFERROR(INDEX('JOBS'!$D$5:$D$1504,MATCH(B134,'JOBS'!$A$5:$A$1504,0)),""))</f>
        <v/>
      </c>
      <c r="L134" s="49">
        <f>IF(B134="","",IFERROR(INDEX('JOBS'!$H$5:$H$1504,MATCH(B134,'JOBS'!$A$5:$A$1504,0)),""))</f>
        <v/>
      </c>
      <c r="M134" s="99">
        <f>IF(N(E134)=0,"",MIN(1,N(F134)/E134))</f>
        <v/>
      </c>
      <c r="N134" s="49">
        <f>IF(M134="","",IF(M134&gt;=QCPass,"Pass","Fail"))</f>
        <v/>
      </c>
      <c r="O134" s="49">
        <f>IF(A134="","",IF(H134&lt;&gt;"Yes","—",IF(J134="Yes","Resolved","Rework open")))</f>
        <v/>
      </c>
      <c r="P134" s="51">
        <f>IF(A134="","",DATE(YEAR(A134),MONTH(A134),1))</f>
        <v/>
      </c>
    </row>
    <row r="135">
      <c r="A135" s="47" t="n"/>
      <c r="B135" s="38" t="n"/>
      <c r="C135" s="38" t="n"/>
      <c r="D135" s="38" t="n"/>
      <c r="E135" s="57" t="n"/>
      <c r="F135" s="57" t="n"/>
      <c r="G135" s="38" t="n"/>
      <c r="H135" s="38" t="n"/>
      <c r="I135" s="47" t="n"/>
      <c r="J135" s="38" t="n"/>
      <c r="K135" s="49">
        <f>IF(B135="","",IFERROR(INDEX('JOBS'!$D$5:$D$1504,MATCH(B135,'JOBS'!$A$5:$A$1504,0)),""))</f>
        <v/>
      </c>
      <c r="L135" s="49">
        <f>IF(B135="","",IFERROR(INDEX('JOBS'!$H$5:$H$1504,MATCH(B135,'JOBS'!$A$5:$A$1504,0)),""))</f>
        <v/>
      </c>
      <c r="M135" s="99">
        <f>IF(N(E135)=0,"",MIN(1,N(F135)/E135))</f>
        <v/>
      </c>
      <c r="N135" s="49">
        <f>IF(M135="","",IF(M135&gt;=QCPass,"Pass","Fail"))</f>
        <v/>
      </c>
      <c r="O135" s="49">
        <f>IF(A135="","",IF(H135&lt;&gt;"Yes","—",IF(J135="Yes","Resolved","Rework open")))</f>
        <v/>
      </c>
      <c r="P135" s="51">
        <f>IF(A135="","",DATE(YEAR(A135),MONTH(A135),1))</f>
        <v/>
      </c>
    </row>
    <row r="136">
      <c r="A136" s="47" t="n"/>
      <c r="B136" s="38" t="n"/>
      <c r="C136" s="38" t="n"/>
      <c r="D136" s="38" t="n"/>
      <c r="E136" s="57" t="n"/>
      <c r="F136" s="57" t="n"/>
      <c r="G136" s="38" t="n"/>
      <c r="H136" s="38" t="n"/>
      <c r="I136" s="47" t="n"/>
      <c r="J136" s="38" t="n"/>
      <c r="K136" s="49">
        <f>IF(B136="","",IFERROR(INDEX('JOBS'!$D$5:$D$1504,MATCH(B136,'JOBS'!$A$5:$A$1504,0)),""))</f>
        <v/>
      </c>
      <c r="L136" s="49">
        <f>IF(B136="","",IFERROR(INDEX('JOBS'!$H$5:$H$1504,MATCH(B136,'JOBS'!$A$5:$A$1504,0)),""))</f>
        <v/>
      </c>
      <c r="M136" s="99">
        <f>IF(N(E136)=0,"",MIN(1,N(F136)/E136))</f>
        <v/>
      </c>
      <c r="N136" s="49">
        <f>IF(M136="","",IF(M136&gt;=QCPass,"Pass","Fail"))</f>
        <v/>
      </c>
      <c r="O136" s="49">
        <f>IF(A136="","",IF(H136&lt;&gt;"Yes","—",IF(J136="Yes","Resolved","Rework open")))</f>
        <v/>
      </c>
      <c r="P136" s="51">
        <f>IF(A136="","",DATE(YEAR(A136),MONTH(A136),1))</f>
        <v/>
      </c>
    </row>
    <row r="137">
      <c r="A137" s="47" t="n"/>
      <c r="B137" s="38" t="n"/>
      <c r="C137" s="38" t="n"/>
      <c r="D137" s="38" t="n"/>
      <c r="E137" s="57" t="n"/>
      <c r="F137" s="57" t="n"/>
      <c r="G137" s="38" t="n"/>
      <c r="H137" s="38" t="n"/>
      <c r="I137" s="47" t="n"/>
      <c r="J137" s="38" t="n"/>
      <c r="K137" s="49">
        <f>IF(B137="","",IFERROR(INDEX('JOBS'!$D$5:$D$1504,MATCH(B137,'JOBS'!$A$5:$A$1504,0)),""))</f>
        <v/>
      </c>
      <c r="L137" s="49">
        <f>IF(B137="","",IFERROR(INDEX('JOBS'!$H$5:$H$1504,MATCH(B137,'JOBS'!$A$5:$A$1504,0)),""))</f>
        <v/>
      </c>
      <c r="M137" s="99">
        <f>IF(N(E137)=0,"",MIN(1,N(F137)/E137))</f>
        <v/>
      </c>
      <c r="N137" s="49">
        <f>IF(M137="","",IF(M137&gt;=QCPass,"Pass","Fail"))</f>
        <v/>
      </c>
      <c r="O137" s="49">
        <f>IF(A137="","",IF(H137&lt;&gt;"Yes","—",IF(J137="Yes","Resolved","Rework open")))</f>
        <v/>
      </c>
      <c r="P137" s="51">
        <f>IF(A137="","",DATE(YEAR(A137),MONTH(A137),1))</f>
        <v/>
      </c>
    </row>
    <row r="138">
      <c r="A138" s="47" t="n"/>
      <c r="B138" s="38" t="n"/>
      <c r="C138" s="38" t="n"/>
      <c r="D138" s="38" t="n"/>
      <c r="E138" s="57" t="n"/>
      <c r="F138" s="57" t="n"/>
      <c r="G138" s="38" t="n"/>
      <c r="H138" s="38" t="n"/>
      <c r="I138" s="47" t="n"/>
      <c r="J138" s="38" t="n"/>
      <c r="K138" s="49">
        <f>IF(B138="","",IFERROR(INDEX('JOBS'!$D$5:$D$1504,MATCH(B138,'JOBS'!$A$5:$A$1504,0)),""))</f>
        <v/>
      </c>
      <c r="L138" s="49">
        <f>IF(B138="","",IFERROR(INDEX('JOBS'!$H$5:$H$1504,MATCH(B138,'JOBS'!$A$5:$A$1504,0)),""))</f>
        <v/>
      </c>
      <c r="M138" s="99">
        <f>IF(N(E138)=0,"",MIN(1,N(F138)/E138))</f>
        <v/>
      </c>
      <c r="N138" s="49">
        <f>IF(M138="","",IF(M138&gt;=QCPass,"Pass","Fail"))</f>
        <v/>
      </c>
      <c r="O138" s="49">
        <f>IF(A138="","",IF(H138&lt;&gt;"Yes","—",IF(J138="Yes","Resolved","Rework open")))</f>
        <v/>
      </c>
      <c r="P138" s="51">
        <f>IF(A138="","",DATE(YEAR(A138),MONTH(A138),1))</f>
        <v/>
      </c>
    </row>
    <row r="139">
      <c r="A139" s="47" t="n"/>
      <c r="B139" s="38" t="n"/>
      <c r="C139" s="38" t="n"/>
      <c r="D139" s="38" t="n"/>
      <c r="E139" s="57" t="n"/>
      <c r="F139" s="57" t="n"/>
      <c r="G139" s="38" t="n"/>
      <c r="H139" s="38" t="n"/>
      <c r="I139" s="47" t="n"/>
      <c r="J139" s="38" t="n"/>
      <c r="K139" s="49">
        <f>IF(B139="","",IFERROR(INDEX('JOBS'!$D$5:$D$1504,MATCH(B139,'JOBS'!$A$5:$A$1504,0)),""))</f>
        <v/>
      </c>
      <c r="L139" s="49">
        <f>IF(B139="","",IFERROR(INDEX('JOBS'!$H$5:$H$1504,MATCH(B139,'JOBS'!$A$5:$A$1504,0)),""))</f>
        <v/>
      </c>
      <c r="M139" s="99">
        <f>IF(N(E139)=0,"",MIN(1,N(F139)/E139))</f>
        <v/>
      </c>
      <c r="N139" s="49">
        <f>IF(M139="","",IF(M139&gt;=QCPass,"Pass","Fail"))</f>
        <v/>
      </c>
      <c r="O139" s="49">
        <f>IF(A139="","",IF(H139&lt;&gt;"Yes","—",IF(J139="Yes","Resolved","Rework open")))</f>
        <v/>
      </c>
      <c r="P139" s="51">
        <f>IF(A139="","",DATE(YEAR(A139),MONTH(A139),1))</f>
        <v/>
      </c>
    </row>
    <row r="140">
      <c r="A140" s="47" t="n"/>
      <c r="B140" s="38" t="n"/>
      <c r="C140" s="38" t="n"/>
      <c r="D140" s="38" t="n"/>
      <c r="E140" s="57" t="n"/>
      <c r="F140" s="57" t="n"/>
      <c r="G140" s="38" t="n"/>
      <c r="H140" s="38" t="n"/>
      <c r="I140" s="47" t="n"/>
      <c r="J140" s="38" t="n"/>
      <c r="K140" s="49">
        <f>IF(B140="","",IFERROR(INDEX('JOBS'!$D$5:$D$1504,MATCH(B140,'JOBS'!$A$5:$A$1504,0)),""))</f>
        <v/>
      </c>
      <c r="L140" s="49">
        <f>IF(B140="","",IFERROR(INDEX('JOBS'!$H$5:$H$1504,MATCH(B140,'JOBS'!$A$5:$A$1504,0)),""))</f>
        <v/>
      </c>
      <c r="M140" s="99">
        <f>IF(N(E140)=0,"",MIN(1,N(F140)/E140))</f>
        <v/>
      </c>
      <c r="N140" s="49">
        <f>IF(M140="","",IF(M140&gt;=QCPass,"Pass","Fail"))</f>
        <v/>
      </c>
      <c r="O140" s="49">
        <f>IF(A140="","",IF(H140&lt;&gt;"Yes","—",IF(J140="Yes","Resolved","Rework open")))</f>
        <v/>
      </c>
      <c r="P140" s="51">
        <f>IF(A140="","",DATE(YEAR(A140),MONTH(A140),1))</f>
        <v/>
      </c>
    </row>
    <row r="141">
      <c r="A141" s="47" t="n"/>
      <c r="B141" s="38" t="n"/>
      <c r="C141" s="38" t="n"/>
      <c r="D141" s="38" t="n"/>
      <c r="E141" s="57" t="n"/>
      <c r="F141" s="57" t="n"/>
      <c r="G141" s="38" t="n"/>
      <c r="H141" s="38" t="n"/>
      <c r="I141" s="47" t="n"/>
      <c r="J141" s="38" t="n"/>
      <c r="K141" s="49">
        <f>IF(B141="","",IFERROR(INDEX('JOBS'!$D$5:$D$1504,MATCH(B141,'JOBS'!$A$5:$A$1504,0)),""))</f>
        <v/>
      </c>
      <c r="L141" s="49">
        <f>IF(B141="","",IFERROR(INDEX('JOBS'!$H$5:$H$1504,MATCH(B141,'JOBS'!$A$5:$A$1504,0)),""))</f>
        <v/>
      </c>
      <c r="M141" s="99">
        <f>IF(N(E141)=0,"",MIN(1,N(F141)/E141))</f>
        <v/>
      </c>
      <c r="N141" s="49">
        <f>IF(M141="","",IF(M141&gt;=QCPass,"Pass","Fail"))</f>
        <v/>
      </c>
      <c r="O141" s="49">
        <f>IF(A141="","",IF(H141&lt;&gt;"Yes","—",IF(J141="Yes","Resolved","Rework open")))</f>
        <v/>
      </c>
      <c r="P141" s="51">
        <f>IF(A141="","",DATE(YEAR(A141),MONTH(A141),1))</f>
        <v/>
      </c>
    </row>
    <row r="142">
      <c r="A142" s="47" t="n"/>
      <c r="B142" s="38" t="n"/>
      <c r="C142" s="38" t="n"/>
      <c r="D142" s="38" t="n"/>
      <c r="E142" s="57" t="n"/>
      <c r="F142" s="57" t="n"/>
      <c r="G142" s="38" t="n"/>
      <c r="H142" s="38" t="n"/>
      <c r="I142" s="47" t="n"/>
      <c r="J142" s="38" t="n"/>
      <c r="K142" s="49">
        <f>IF(B142="","",IFERROR(INDEX('JOBS'!$D$5:$D$1504,MATCH(B142,'JOBS'!$A$5:$A$1504,0)),""))</f>
        <v/>
      </c>
      <c r="L142" s="49">
        <f>IF(B142="","",IFERROR(INDEX('JOBS'!$H$5:$H$1504,MATCH(B142,'JOBS'!$A$5:$A$1504,0)),""))</f>
        <v/>
      </c>
      <c r="M142" s="99">
        <f>IF(N(E142)=0,"",MIN(1,N(F142)/E142))</f>
        <v/>
      </c>
      <c r="N142" s="49">
        <f>IF(M142="","",IF(M142&gt;=QCPass,"Pass","Fail"))</f>
        <v/>
      </c>
      <c r="O142" s="49">
        <f>IF(A142="","",IF(H142&lt;&gt;"Yes","—",IF(J142="Yes","Resolved","Rework open")))</f>
        <v/>
      </c>
      <c r="P142" s="51">
        <f>IF(A142="","",DATE(YEAR(A142),MONTH(A142),1))</f>
        <v/>
      </c>
    </row>
    <row r="143">
      <c r="A143" s="47" t="n"/>
      <c r="B143" s="38" t="n"/>
      <c r="C143" s="38" t="n"/>
      <c r="D143" s="38" t="n"/>
      <c r="E143" s="57" t="n"/>
      <c r="F143" s="57" t="n"/>
      <c r="G143" s="38" t="n"/>
      <c r="H143" s="38" t="n"/>
      <c r="I143" s="47" t="n"/>
      <c r="J143" s="38" t="n"/>
      <c r="K143" s="49">
        <f>IF(B143="","",IFERROR(INDEX('JOBS'!$D$5:$D$1504,MATCH(B143,'JOBS'!$A$5:$A$1504,0)),""))</f>
        <v/>
      </c>
      <c r="L143" s="49">
        <f>IF(B143="","",IFERROR(INDEX('JOBS'!$H$5:$H$1504,MATCH(B143,'JOBS'!$A$5:$A$1504,0)),""))</f>
        <v/>
      </c>
      <c r="M143" s="99">
        <f>IF(N(E143)=0,"",MIN(1,N(F143)/E143))</f>
        <v/>
      </c>
      <c r="N143" s="49">
        <f>IF(M143="","",IF(M143&gt;=QCPass,"Pass","Fail"))</f>
        <v/>
      </c>
      <c r="O143" s="49">
        <f>IF(A143="","",IF(H143&lt;&gt;"Yes","—",IF(J143="Yes","Resolved","Rework open")))</f>
        <v/>
      </c>
      <c r="P143" s="51">
        <f>IF(A143="","",DATE(YEAR(A143),MONTH(A143),1))</f>
        <v/>
      </c>
    </row>
    <row r="144">
      <c r="A144" s="47" t="n"/>
      <c r="B144" s="38" t="n"/>
      <c r="C144" s="38" t="n"/>
      <c r="D144" s="38" t="n"/>
      <c r="E144" s="57" t="n"/>
      <c r="F144" s="57" t="n"/>
      <c r="G144" s="38" t="n"/>
      <c r="H144" s="38" t="n"/>
      <c r="I144" s="47" t="n"/>
      <c r="J144" s="38" t="n"/>
      <c r="K144" s="49">
        <f>IF(B144="","",IFERROR(INDEX('JOBS'!$D$5:$D$1504,MATCH(B144,'JOBS'!$A$5:$A$1504,0)),""))</f>
        <v/>
      </c>
      <c r="L144" s="49">
        <f>IF(B144="","",IFERROR(INDEX('JOBS'!$H$5:$H$1504,MATCH(B144,'JOBS'!$A$5:$A$1504,0)),""))</f>
        <v/>
      </c>
      <c r="M144" s="99">
        <f>IF(N(E144)=0,"",MIN(1,N(F144)/E144))</f>
        <v/>
      </c>
      <c r="N144" s="49">
        <f>IF(M144="","",IF(M144&gt;=QCPass,"Pass","Fail"))</f>
        <v/>
      </c>
      <c r="O144" s="49">
        <f>IF(A144="","",IF(H144&lt;&gt;"Yes","—",IF(J144="Yes","Resolved","Rework open")))</f>
        <v/>
      </c>
      <c r="P144" s="51">
        <f>IF(A144="","",DATE(YEAR(A144),MONTH(A144),1))</f>
        <v/>
      </c>
    </row>
    <row r="145">
      <c r="A145" s="47" t="n"/>
      <c r="B145" s="38" t="n"/>
      <c r="C145" s="38" t="n"/>
      <c r="D145" s="38" t="n"/>
      <c r="E145" s="57" t="n"/>
      <c r="F145" s="57" t="n"/>
      <c r="G145" s="38" t="n"/>
      <c r="H145" s="38" t="n"/>
      <c r="I145" s="47" t="n"/>
      <c r="J145" s="38" t="n"/>
      <c r="K145" s="49">
        <f>IF(B145="","",IFERROR(INDEX('JOBS'!$D$5:$D$1504,MATCH(B145,'JOBS'!$A$5:$A$1504,0)),""))</f>
        <v/>
      </c>
      <c r="L145" s="49">
        <f>IF(B145="","",IFERROR(INDEX('JOBS'!$H$5:$H$1504,MATCH(B145,'JOBS'!$A$5:$A$1504,0)),""))</f>
        <v/>
      </c>
      <c r="M145" s="99">
        <f>IF(N(E145)=0,"",MIN(1,N(F145)/E145))</f>
        <v/>
      </c>
      <c r="N145" s="49">
        <f>IF(M145="","",IF(M145&gt;=QCPass,"Pass","Fail"))</f>
        <v/>
      </c>
      <c r="O145" s="49">
        <f>IF(A145="","",IF(H145&lt;&gt;"Yes","—",IF(J145="Yes","Resolved","Rework open")))</f>
        <v/>
      </c>
      <c r="P145" s="51">
        <f>IF(A145="","",DATE(YEAR(A145),MONTH(A145),1))</f>
        <v/>
      </c>
    </row>
    <row r="146">
      <c r="A146" s="47" t="n"/>
      <c r="B146" s="38" t="n"/>
      <c r="C146" s="38" t="n"/>
      <c r="D146" s="38" t="n"/>
      <c r="E146" s="57" t="n"/>
      <c r="F146" s="57" t="n"/>
      <c r="G146" s="38" t="n"/>
      <c r="H146" s="38" t="n"/>
      <c r="I146" s="47" t="n"/>
      <c r="J146" s="38" t="n"/>
      <c r="K146" s="49">
        <f>IF(B146="","",IFERROR(INDEX('JOBS'!$D$5:$D$1504,MATCH(B146,'JOBS'!$A$5:$A$1504,0)),""))</f>
        <v/>
      </c>
      <c r="L146" s="49">
        <f>IF(B146="","",IFERROR(INDEX('JOBS'!$H$5:$H$1504,MATCH(B146,'JOBS'!$A$5:$A$1504,0)),""))</f>
        <v/>
      </c>
      <c r="M146" s="99">
        <f>IF(N(E146)=0,"",MIN(1,N(F146)/E146))</f>
        <v/>
      </c>
      <c r="N146" s="49">
        <f>IF(M146="","",IF(M146&gt;=QCPass,"Pass","Fail"))</f>
        <v/>
      </c>
      <c r="O146" s="49">
        <f>IF(A146="","",IF(H146&lt;&gt;"Yes","—",IF(J146="Yes","Resolved","Rework open")))</f>
        <v/>
      </c>
      <c r="P146" s="51">
        <f>IF(A146="","",DATE(YEAR(A146),MONTH(A146),1))</f>
        <v/>
      </c>
    </row>
    <row r="147">
      <c r="A147" s="47" t="n"/>
      <c r="B147" s="38" t="n"/>
      <c r="C147" s="38" t="n"/>
      <c r="D147" s="38" t="n"/>
      <c r="E147" s="57" t="n"/>
      <c r="F147" s="57" t="n"/>
      <c r="G147" s="38" t="n"/>
      <c r="H147" s="38" t="n"/>
      <c r="I147" s="47" t="n"/>
      <c r="J147" s="38" t="n"/>
      <c r="K147" s="49">
        <f>IF(B147="","",IFERROR(INDEX('JOBS'!$D$5:$D$1504,MATCH(B147,'JOBS'!$A$5:$A$1504,0)),""))</f>
        <v/>
      </c>
      <c r="L147" s="49">
        <f>IF(B147="","",IFERROR(INDEX('JOBS'!$H$5:$H$1504,MATCH(B147,'JOBS'!$A$5:$A$1504,0)),""))</f>
        <v/>
      </c>
      <c r="M147" s="99">
        <f>IF(N(E147)=0,"",MIN(1,N(F147)/E147))</f>
        <v/>
      </c>
      <c r="N147" s="49">
        <f>IF(M147="","",IF(M147&gt;=QCPass,"Pass","Fail"))</f>
        <v/>
      </c>
      <c r="O147" s="49">
        <f>IF(A147="","",IF(H147&lt;&gt;"Yes","—",IF(J147="Yes","Resolved","Rework open")))</f>
        <v/>
      </c>
      <c r="P147" s="51">
        <f>IF(A147="","",DATE(YEAR(A147),MONTH(A147),1))</f>
        <v/>
      </c>
    </row>
    <row r="148">
      <c r="A148" s="47" t="n"/>
      <c r="B148" s="38" t="n"/>
      <c r="C148" s="38" t="n"/>
      <c r="D148" s="38" t="n"/>
      <c r="E148" s="57" t="n"/>
      <c r="F148" s="57" t="n"/>
      <c r="G148" s="38" t="n"/>
      <c r="H148" s="38" t="n"/>
      <c r="I148" s="47" t="n"/>
      <c r="J148" s="38" t="n"/>
      <c r="K148" s="49">
        <f>IF(B148="","",IFERROR(INDEX('JOBS'!$D$5:$D$1504,MATCH(B148,'JOBS'!$A$5:$A$1504,0)),""))</f>
        <v/>
      </c>
      <c r="L148" s="49">
        <f>IF(B148="","",IFERROR(INDEX('JOBS'!$H$5:$H$1504,MATCH(B148,'JOBS'!$A$5:$A$1504,0)),""))</f>
        <v/>
      </c>
      <c r="M148" s="99">
        <f>IF(N(E148)=0,"",MIN(1,N(F148)/E148))</f>
        <v/>
      </c>
      <c r="N148" s="49">
        <f>IF(M148="","",IF(M148&gt;=QCPass,"Pass","Fail"))</f>
        <v/>
      </c>
      <c r="O148" s="49">
        <f>IF(A148="","",IF(H148&lt;&gt;"Yes","—",IF(J148="Yes","Resolved","Rework open")))</f>
        <v/>
      </c>
      <c r="P148" s="51">
        <f>IF(A148="","",DATE(YEAR(A148),MONTH(A148),1))</f>
        <v/>
      </c>
    </row>
    <row r="149">
      <c r="A149" s="47" t="n"/>
      <c r="B149" s="38" t="n"/>
      <c r="C149" s="38" t="n"/>
      <c r="D149" s="38" t="n"/>
      <c r="E149" s="57" t="n"/>
      <c r="F149" s="57" t="n"/>
      <c r="G149" s="38" t="n"/>
      <c r="H149" s="38" t="n"/>
      <c r="I149" s="47" t="n"/>
      <c r="J149" s="38" t="n"/>
      <c r="K149" s="49">
        <f>IF(B149="","",IFERROR(INDEX('JOBS'!$D$5:$D$1504,MATCH(B149,'JOBS'!$A$5:$A$1504,0)),""))</f>
        <v/>
      </c>
      <c r="L149" s="49">
        <f>IF(B149="","",IFERROR(INDEX('JOBS'!$H$5:$H$1504,MATCH(B149,'JOBS'!$A$5:$A$1504,0)),""))</f>
        <v/>
      </c>
      <c r="M149" s="99">
        <f>IF(N(E149)=0,"",MIN(1,N(F149)/E149))</f>
        <v/>
      </c>
      <c r="N149" s="49">
        <f>IF(M149="","",IF(M149&gt;=QCPass,"Pass","Fail"))</f>
        <v/>
      </c>
      <c r="O149" s="49">
        <f>IF(A149="","",IF(H149&lt;&gt;"Yes","—",IF(J149="Yes","Resolved","Rework open")))</f>
        <v/>
      </c>
      <c r="P149" s="51">
        <f>IF(A149="","",DATE(YEAR(A149),MONTH(A149),1))</f>
        <v/>
      </c>
    </row>
    <row r="150">
      <c r="A150" s="47" t="n"/>
      <c r="B150" s="38" t="n"/>
      <c r="C150" s="38" t="n"/>
      <c r="D150" s="38" t="n"/>
      <c r="E150" s="57" t="n"/>
      <c r="F150" s="57" t="n"/>
      <c r="G150" s="38" t="n"/>
      <c r="H150" s="38" t="n"/>
      <c r="I150" s="47" t="n"/>
      <c r="J150" s="38" t="n"/>
      <c r="K150" s="49">
        <f>IF(B150="","",IFERROR(INDEX('JOBS'!$D$5:$D$1504,MATCH(B150,'JOBS'!$A$5:$A$1504,0)),""))</f>
        <v/>
      </c>
      <c r="L150" s="49">
        <f>IF(B150="","",IFERROR(INDEX('JOBS'!$H$5:$H$1504,MATCH(B150,'JOBS'!$A$5:$A$1504,0)),""))</f>
        <v/>
      </c>
      <c r="M150" s="99">
        <f>IF(N(E150)=0,"",MIN(1,N(F150)/E150))</f>
        <v/>
      </c>
      <c r="N150" s="49">
        <f>IF(M150="","",IF(M150&gt;=QCPass,"Pass","Fail"))</f>
        <v/>
      </c>
      <c r="O150" s="49">
        <f>IF(A150="","",IF(H150&lt;&gt;"Yes","—",IF(J150="Yes","Resolved","Rework open")))</f>
        <v/>
      </c>
      <c r="P150" s="51">
        <f>IF(A150="","",DATE(YEAR(A150),MONTH(A150),1))</f>
        <v/>
      </c>
    </row>
    <row r="151">
      <c r="A151" s="47" t="n"/>
      <c r="B151" s="38" t="n"/>
      <c r="C151" s="38" t="n"/>
      <c r="D151" s="38" t="n"/>
      <c r="E151" s="57" t="n"/>
      <c r="F151" s="57" t="n"/>
      <c r="G151" s="38" t="n"/>
      <c r="H151" s="38" t="n"/>
      <c r="I151" s="47" t="n"/>
      <c r="J151" s="38" t="n"/>
      <c r="K151" s="49">
        <f>IF(B151="","",IFERROR(INDEX('JOBS'!$D$5:$D$1504,MATCH(B151,'JOBS'!$A$5:$A$1504,0)),""))</f>
        <v/>
      </c>
      <c r="L151" s="49">
        <f>IF(B151="","",IFERROR(INDEX('JOBS'!$H$5:$H$1504,MATCH(B151,'JOBS'!$A$5:$A$1504,0)),""))</f>
        <v/>
      </c>
      <c r="M151" s="99">
        <f>IF(N(E151)=0,"",MIN(1,N(F151)/E151))</f>
        <v/>
      </c>
      <c r="N151" s="49">
        <f>IF(M151="","",IF(M151&gt;=QCPass,"Pass","Fail"))</f>
        <v/>
      </c>
      <c r="O151" s="49">
        <f>IF(A151="","",IF(H151&lt;&gt;"Yes","—",IF(J151="Yes","Resolved","Rework open")))</f>
        <v/>
      </c>
      <c r="P151" s="51">
        <f>IF(A151="","",DATE(YEAR(A151),MONTH(A151),1))</f>
        <v/>
      </c>
    </row>
    <row r="152">
      <c r="A152" s="47" t="n"/>
      <c r="B152" s="38" t="n"/>
      <c r="C152" s="38" t="n"/>
      <c r="D152" s="38" t="n"/>
      <c r="E152" s="57" t="n"/>
      <c r="F152" s="57" t="n"/>
      <c r="G152" s="38" t="n"/>
      <c r="H152" s="38" t="n"/>
      <c r="I152" s="47" t="n"/>
      <c r="J152" s="38" t="n"/>
      <c r="K152" s="49">
        <f>IF(B152="","",IFERROR(INDEX('JOBS'!$D$5:$D$1504,MATCH(B152,'JOBS'!$A$5:$A$1504,0)),""))</f>
        <v/>
      </c>
      <c r="L152" s="49">
        <f>IF(B152="","",IFERROR(INDEX('JOBS'!$H$5:$H$1504,MATCH(B152,'JOBS'!$A$5:$A$1504,0)),""))</f>
        <v/>
      </c>
      <c r="M152" s="99">
        <f>IF(N(E152)=0,"",MIN(1,N(F152)/E152))</f>
        <v/>
      </c>
      <c r="N152" s="49">
        <f>IF(M152="","",IF(M152&gt;=QCPass,"Pass","Fail"))</f>
        <v/>
      </c>
      <c r="O152" s="49">
        <f>IF(A152="","",IF(H152&lt;&gt;"Yes","—",IF(J152="Yes","Resolved","Rework open")))</f>
        <v/>
      </c>
      <c r="P152" s="51">
        <f>IF(A152="","",DATE(YEAR(A152),MONTH(A152),1))</f>
        <v/>
      </c>
    </row>
    <row r="153">
      <c r="A153" s="47" t="n"/>
      <c r="B153" s="38" t="n"/>
      <c r="C153" s="38" t="n"/>
      <c r="D153" s="38" t="n"/>
      <c r="E153" s="57" t="n"/>
      <c r="F153" s="57" t="n"/>
      <c r="G153" s="38" t="n"/>
      <c r="H153" s="38" t="n"/>
      <c r="I153" s="47" t="n"/>
      <c r="J153" s="38" t="n"/>
      <c r="K153" s="49">
        <f>IF(B153="","",IFERROR(INDEX('JOBS'!$D$5:$D$1504,MATCH(B153,'JOBS'!$A$5:$A$1504,0)),""))</f>
        <v/>
      </c>
      <c r="L153" s="49">
        <f>IF(B153="","",IFERROR(INDEX('JOBS'!$H$5:$H$1504,MATCH(B153,'JOBS'!$A$5:$A$1504,0)),""))</f>
        <v/>
      </c>
      <c r="M153" s="99">
        <f>IF(N(E153)=0,"",MIN(1,N(F153)/E153))</f>
        <v/>
      </c>
      <c r="N153" s="49">
        <f>IF(M153="","",IF(M153&gt;=QCPass,"Pass","Fail"))</f>
        <v/>
      </c>
      <c r="O153" s="49">
        <f>IF(A153="","",IF(H153&lt;&gt;"Yes","—",IF(J153="Yes","Resolved","Rework open")))</f>
        <v/>
      </c>
      <c r="P153" s="51">
        <f>IF(A153="","",DATE(YEAR(A153),MONTH(A153),1))</f>
        <v/>
      </c>
    </row>
    <row r="154">
      <c r="A154" s="47" t="n"/>
      <c r="B154" s="38" t="n"/>
      <c r="C154" s="38" t="n"/>
      <c r="D154" s="38" t="n"/>
      <c r="E154" s="57" t="n"/>
      <c r="F154" s="57" t="n"/>
      <c r="G154" s="38" t="n"/>
      <c r="H154" s="38" t="n"/>
      <c r="I154" s="47" t="n"/>
      <c r="J154" s="38" t="n"/>
      <c r="K154" s="49">
        <f>IF(B154="","",IFERROR(INDEX('JOBS'!$D$5:$D$1504,MATCH(B154,'JOBS'!$A$5:$A$1504,0)),""))</f>
        <v/>
      </c>
      <c r="L154" s="49">
        <f>IF(B154="","",IFERROR(INDEX('JOBS'!$H$5:$H$1504,MATCH(B154,'JOBS'!$A$5:$A$1504,0)),""))</f>
        <v/>
      </c>
      <c r="M154" s="99">
        <f>IF(N(E154)=0,"",MIN(1,N(F154)/E154))</f>
        <v/>
      </c>
      <c r="N154" s="49">
        <f>IF(M154="","",IF(M154&gt;=QCPass,"Pass","Fail"))</f>
        <v/>
      </c>
      <c r="O154" s="49">
        <f>IF(A154="","",IF(H154&lt;&gt;"Yes","—",IF(J154="Yes","Resolved","Rework open")))</f>
        <v/>
      </c>
      <c r="P154" s="51">
        <f>IF(A154="","",DATE(YEAR(A154),MONTH(A154),1))</f>
        <v/>
      </c>
    </row>
    <row r="155">
      <c r="A155" s="47" t="n"/>
      <c r="B155" s="38" t="n"/>
      <c r="C155" s="38" t="n"/>
      <c r="D155" s="38" t="n"/>
      <c r="E155" s="57" t="n"/>
      <c r="F155" s="57" t="n"/>
      <c r="G155" s="38" t="n"/>
      <c r="H155" s="38" t="n"/>
      <c r="I155" s="47" t="n"/>
      <c r="J155" s="38" t="n"/>
      <c r="K155" s="49">
        <f>IF(B155="","",IFERROR(INDEX('JOBS'!$D$5:$D$1504,MATCH(B155,'JOBS'!$A$5:$A$1504,0)),""))</f>
        <v/>
      </c>
      <c r="L155" s="49">
        <f>IF(B155="","",IFERROR(INDEX('JOBS'!$H$5:$H$1504,MATCH(B155,'JOBS'!$A$5:$A$1504,0)),""))</f>
        <v/>
      </c>
      <c r="M155" s="99">
        <f>IF(N(E155)=0,"",MIN(1,N(F155)/E155))</f>
        <v/>
      </c>
      <c r="N155" s="49">
        <f>IF(M155="","",IF(M155&gt;=QCPass,"Pass","Fail"))</f>
        <v/>
      </c>
      <c r="O155" s="49">
        <f>IF(A155="","",IF(H155&lt;&gt;"Yes","—",IF(J155="Yes","Resolved","Rework open")))</f>
        <v/>
      </c>
      <c r="P155" s="51">
        <f>IF(A155="","",DATE(YEAR(A155),MONTH(A155),1))</f>
        <v/>
      </c>
    </row>
    <row r="156">
      <c r="A156" s="47" t="n"/>
      <c r="B156" s="38" t="n"/>
      <c r="C156" s="38" t="n"/>
      <c r="D156" s="38" t="n"/>
      <c r="E156" s="57" t="n"/>
      <c r="F156" s="57" t="n"/>
      <c r="G156" s="38" t="n"/>
      <c r="H156" s="38" t="n"/>
      <c r="I156" s="47" t="n"/>
      <c r="J156" s="38" t="n"/>
      <c r="K156" s="49">
        <f>IF(B156="","",IFERROR(INDEX('JOBS'!$D$5:$D$1504,MATCH(B156,'JOBS'!$A$5:$A$1504,0)),""))</f>
        <v/>
      </c>
      <c r="L156" s="49">
        <f>IF(B156="","",IFERROR(INDEX('JOBS'!$H$5:$H$1504,MATCH(B156,'JOBS'!$A$5:$A$1504,0)),""))</f>
        <v/>
      </c>
      <c r="M156" s="99">
        <f>IF(N(E156)=0,"",MIN(1,N(F156)/E156))</f>
        <v/>
      </c>
      <c r="N156" s="49">
        <f>IF(M156="","",IF(M156&gt;=QCPass,"Pass","Fail"))</f>
        <v/>
      </c>
      <c r="O156" s="49">
        <f>IF(A156="","",IF(H156&lt;&gt;"Yes","—",IF(J156="Yes","Resolved","Rework open")))</f>
        <v/>
      </c>
      <c r="P156" s="51">
        <f>IF(A156="","",DATE(YEAR(A156),MONTH(A156),1))</f>
        <v/>
      </c>
    </row>
    <row r="157">
      <c r="A157" s="47" t="n"/>
      <c r="B157" s="38" t="n"/>
      <c r="C157" s="38" t="n"/>
      <c r="D157" s="38" t="n"/>
      <c r="E157" s="57" t="n"/>
      <c r="F157" s="57" t="n"/>
      <c r="G157" s="38" t="n"/>
      <c r="H157" s="38" t="n"/>
      <c r="I157" s="47" t="n"/>
      <c r="J157" s="38" t="n"/>
      <c r="K157" s="49">
        <f>IF(B157="","",IFERROR(INDEX('JOBS'!$D$5:$D$1504,MATCH(B157,'JOBS'!$A$5:$A$1504,0)),""))</f>
        <v/>
      </c>
      <c r="L157" s="49">
        <f>IF(B157="","",IFERROR(INDEX('JOBS'!$H$5:$H$1504,MATCH(B157,'JOBS'!$A$5:$A$1504,0)),""))</f>
        <v/>
      </c>
      <c r="M157" s="99">
        <f>IF(N(E157)=0,"",MIN(1,N(F157)/E157))</f>
        <v/>
      </c>
      <c r="N157" s="49">
        <f>IF(M157="","",IF(M157&gt;=QCPass,"Pass","Fail"))</f>
        <v/>
      </c>
      <c r="O157" s="49">
        <f>IF(A157="","",IF(H157&lt;&gt;"Yes","—",IF(J157="Yes","Resolved","Rework open")))</f>
        <v/>
      </c>
      <c r="P157" s="51">
        <f>IF(A157="","",DATE(YEAR(A157),MONTH(A157),1))</f>
        <v/>
      </c>
    </row>
    <row r="158">
      <c r="A158" s="47" t="n"/>
      <c r="B158" s="38" t="n"/>
      <c r="C158" s="38" t="n"/>
      <c r="D158" s="38" t="n"/>
      <c r="E158" s="57" t="n"/>
      <c r="F158" s="57" t="n"/>
      <c r="G158" s="38" t="n"/>
      <c r="H158" s="38" t="n"/>
      <c r="I158" s="47" t="n"/>
      <c r="J158" s="38" t="n"/>
      <c r="K158" s="49">
        <f>IF(B158="","",IFERROR(INDEX('JOBS'!$D$5:$D$1504,MATCH(B158,'JOBS'!$A$5:$A$1504,0)),""))</f>
        <v/>
      </c>
      <c r="L158" s="49">
        <f>IF(B158="","",IFERROR(INDEX('JOBS'!$H$5:$H$1504,MATCH(B158,'JOBS'!$A$5:$A$1504,0)),""))</f>
        <v/>
      </c>
      <c r="M158" s="99">
        <f>IF(N(E158)=0,"",MIN(1,N(F158)/E158))</f>
        <v/>
      </c>
      <c r="N158" s="49">
        <f>IF(M158="","",IF(M158&gt;=QCPass,"Pass","Fail"))</f>
        <v/>
      </c>
      <c r="O158" s="49">
        <f>IF(A158="","",IF(H158&lt;&gt;"Yes","—",IF(J158="Yes","Resolved","Rework open")))</f>
        <v/>
      </c>
      <c r="P158" s="51">
        <f>IF(A158="","",DATE(YEAR(A158),MONTH(A158),1))</f>
        <v/>
      </c>
    </row>
    <row r="159">
      <c r="A159" s="47" t="n"/>
      <c r="B159" s="38" t="n"/>
      <c r="C159" s="38" t="n"/>
      <c r="D159" s="38" t="n"/>
      <c r="E159" s="57" t="n"/>
      <c r="F159" s="57" t="n"/>
      <c r="G159" s="38" t="n"/>
      <c r="H159" s="38" t="n"/>
      <c r="I159" s="47" t="n"/>
      <c r="J159" s="38" t="n"/>
      <c r="K159" s="49">
        <f>IF(B159="","",IFERROR(INDEX('JOBS'!$D$5:$D$1504,MATCH(B159,'JOBS'!$A$5:$A$1504,0)),""))</f>
        <v/>
      </c>
      <c r="L159" s="49">
        <f>IF(B159="","",IFERROR(INDEX('JOBS'!$H$5:$H$1504,MATCH(B159,'JOBS'!$A$5:$A$1504,0)),""))</f>
        <v/>
      </c>
      <c r="M159" s="99">
        <f>IF(N(E159)=0,"",MIN(1,N(F159)/E159))</f>
        <v/>
      </c>
      <c r="N159" s="49">
        <f>IF(M159="","",IF(M159&gt;=QCPass,"Pass","Fail"))</f>
        <v/>
      </c>
      <c r="O159" s="49">
        <f>IF(A159="","",IF(H159&lt;&gt;"Yes","—",IF(J159="Yes","Resolved","Rework open")))</f>
        <v/>
      </c>
      <c r="P159" s="51">
        <f>IF(A159="","",DATE(YEAR(A159),MONTH(A159),1))</f>
        <v/>
      </c>
    </row>
    <row r="160">
      <c r="A160" s="47" t="n"/>
      <c r="B160" s="38" t="n"/>
      <c r="C160" s="38" t="n"/>
      <c r="D160" s="38" t="n"/>
      <c r="E160" s="57" t="n"/>
      <c r="F160" s="57" t="n"/>
      <c r="G160" s="38" t="n"/>
      <c r="H160" s="38" t="n"/>
      <c r="I160" s="47" t="n"/>
      <c r="J160" s="38" t="n"/>
      <c r="K160" s="49">
        <f>IF(B160="","",IFERROR(INDEX('JOBS'!$D$5:$D$1504,MATCH(B160,'JOBS'!$A$5:$A$1504,0)),""))</f>
        <v/>
      </c>
      <c r="L160" s="49">
        <f>IF(B160="","",IFERROR(INDEX('JOBS'!$H$5:$H$1504,MATCH(B160,'JOBS'!$A$5:$A$1504,0)),""))</f>
        <v/>
      </c>
      <c r="M160" s="99">
        <f>IF(N(E160)=0,"",MIN(1,N(F160)/E160))</f>
        <v/>
      </c>
      <c r="N160" s="49">
        <f>IF(M160="","",IF(M160&gt;=QCPass,"Pass","Fail"))</f>
        <v/>
      </c>
      <c r="O160" s="49">
        <f>IF(A160="","",IF(H160&lt;&gt;"Yes","—",IF(J160="Yes","Resolved","Rework open")))</f>
        <v/>
      </c>
      <c r="P160" s="51">
        <f>IF(A160="","",DATE(YEAR(A160),MONTH(A160),1))</f>
        <v/>
      </c>
    </row>
    <row r="161">
      <c r="A161" s="47" t="n"/>
      <c r="B161" s="38" t="n"/>
      <c r="C161" s="38" t="n"/>
      <c r="D161" s="38" t="n"/>
      <c r="E161" s="57" t="n"/>
      <c r="F161" s="57" t="n"/>
      <c r="G161" s="38" t="n"/>
      <c r="H161" s="38" t="n"/>
      <c r="I161" s="47" t="n"/>
      <c r="J161" s="38" t="n"/>
      <c r="K161" s="49">
        <f>IF(B161="","",IFERROR(INDEX('JOBS'!$D$5:$D$1504,MATCH(B161,'JOBS'!$A$5:$A$1504,0)),""))</f>
        <v/>
      </c>
      <c r="L161" s="49">
        <f>IF(B161="","",IFERROR(INDEX('JOBS'!$H$5:$H$1504,MATCH(B161,'JOBS'!$A$5:$A$1504,0)),""))</f>
        <v/>
      </c>
      <c r="M161" s="99">
        <f>IF(N(E161)=0,"",MIN(1,N(F161)/E161))</f>
        <v/>
      </c>
      <c r="N161" s="49">
        <f>IF(M161="","",IF(M161&gt;=QCPass,"Pass","Fail"))</f>
        <v/>
      </c>
      <c r="O161" s="49">
        <f>IF(A161="","",IF(H161&lt;&gt;"Yes","—",IF(J161="Yes","Resolved","Rework open")))</f>
        <v/>
      </c>
      <c r="P161" s="51">
        <f>IF(A161="","",DATE(YEAR(A161),MONTH(A161),1))</f>
        <v/>
      </c>
    </row>
    <row r="162">
      <c r="A162" s="47" t="n"/>
      <c r="B162" s="38" t="n"/>
      <c r="C162" s="38" t="n"/>
      <c r="D162" s="38" t="n"/>
      <c r="E162" s="57" t="n"/>
      <c r="F162" s="57" t="n"/>
      <c r="G162" s="38" t="n"/>
      <c r="H162" s="38" t="n"/>
      <c r="I162" s="47" t="n"/>
      <c r="J162" s="38" t="n"/>
      <c r="K162" s="49">
        <f>IF(B162="","",IFERROR(INDEX('JOBS'!$D$5:$D$1504,MATCH(B162,'JOBS'!$A$5:$A$1504,0)),""))</f>
        <v/>
      </c>
      <c r="L162" s="49">
        <f>IF(B162="","",IFERROR(INDEX('JOBS'!$H$5:$H$1504,MATCH(B162,'JOBS'!$A$5:$A$1504,0)),""))</f>
        <v/>
      </c>
      <c r="M162" s="99">
        <f>IF(N(E162)=0,"",MIN(1,N(F162)/E162))</f>
        <v/>
      </c>
      <c r="N162" s="49">
        <f>IF(M162="","",IF(M162&gt;=QCPass,"Pass","Fail"))</f>
        <v/>
      </c>
      <c r="O162" s="49">
        <f>IF(A162="","",IF(H162&lt;&gt;"Yes","—",IF(J162="Yes","Resolved","Rework open")))</f>
        <v/>
      </c>
      <c r="P162" s="51">
        <f>IF(A162="","",DATE(YEAR(A162),MONTH(A162),1))</f>
        <v/>
      </c>
    </row>
    <row r="163">
      <c r="A163" s="47" t="n"/>
      <c r="B163" s="38" t="n"/>
      <c r="C163" s="38" t="n"/>
      <c r="D163" s="38" t="n"/>
      <c r="E163" s="57" t="n"/>
      <c r="F163" s="57" t="n"/>
      <c r="G163" s="38" t="n"/>
      <c r="H163" s="38" t="n"/>
      <c r="I163" s="47" t="n"/>
      <c r="J163" s="38" t="n"/>
      <c r="K163" s="49">
        <f>IF(B163="","",IFERROR(INDEX('JOBS'!$D$5:$D$1504,MATCH(B163,'JOBS'!$A$5:$A$1504,0)),""))</f>
        <v/>
      </c>
      <c r="L163" s="49">
        <f>IF(B163="","",IFERROR(INDEX('JOBS'!$H$5:$H$1504,MATCH(B163,'JOBS'!$A$5:$A$1504,0)),""))</f>
        <v/>
      </c>
      <c r="M163" s="99">
        <f>IF(N(E163)=0,"",MIN(1,N(F163)/E163))</f>
        <v/>
      </c>
      <c r="N163" s="49">
        <f>IF(M163="","",IF(M163&gt;=QCPass,"Pass","Fail"))</f>
        <v/>
      </c>
      <c r="O163" s="49">
        <f>IF(A163="","",IF(H163&lt;&gt;"Yes","—",IF(J163="Yes","Resolved","Rework open")))</f>
        <v/>
      </c>
      <c r="P163" s="51">
        <f>IF(A163="","",DATE(YEAR(A163),MONTH(A163),1))</f>
        <v/>
      </c>
    </row>
    <row r="164">
      <c r="A164" s="47" t="n"/>
      <c r="B164" s="38" t="n"/>
      <c r="C164" s="38" t="n"/>
      <c r="D164" s="38" t="n"/>
      <c r="E164" s="57" t="n"/>
      <c r="F164" s="57" t="n"/>
      <c r="G164" s="38" t="n"/>
      <c r="H164" s="38" t="n"/>
      <c r="I164" s="47" t="n"/>
      <c r="J164" s="38" t="n"/>
      <c r="K164" s="49">
        <f>IF(B164="","",IFERROR(INDEX('JOBS'!$D$5:$D$1504,MATCH(B164,'JOBS'!$A$5:$A$1504,0)),""))</f>
        <v/>
      </c>
      <c r="L164" s="49">
        <f>IF(B164="","",IFERROR(INDEX('JOBS'!$H$5:$H$1504,MATCH(B164,'JOBS'!$A$5:$A$1504,0)),""))</f>
        <v/>
      </c>
      <c r="M164" s="99">
        <f>IF(N(E164)=0,"",MIN(1,N(F164)/E164))</f>
        <v/>
      </c>
      <c r="N164" s="49">
        <f>IF(M164="","",IF(M164&gt;=QCPass,"Pass","Fail"))</f>
        <v/>
      </c>
      <c r="O164" s="49">
        <f>IF(A164="","",IF(H164&lt;&gt;"Yes","—",IF(J164="Yes","Resolved","Rework open")))</f>
        <v/>
      </c>
      <c r="P164" s="51">
        <f>IF(A164="","",DATE(YEAR(A164),MONTH(A164),1))</f>
        <v/>
      </c>
    </row>
    <row r="165">
      <c r="A165" s="47" t="n"/>
      <c r="B165" s="38" t="n"/>
      <c r="C165" s="38" t="n"/>
      <c r="D165" s="38" t="n"/>
      <c r="E165" s="57" t="n"/>
      <c r="F165" s="57" t="n"/>
      <c r="G165" s="38" t="n"/>
      <c r="H165" s="38" t="n"/>
      <c r="I165" s="47" t="n"/>
      <c r="J165" s="38" t="n"/>
      <c r="K165" s="49">
        <f>IF(B165="","",IFERROR(INDEX('JOBS'!$D$5:$D$1504,MATCH(B165,'JOBS'!$A$5:$A$1504,0)),""))</f>
        <v/>
      </c>
      <c r="L165" s="49">
        <f>IF(B165="","",IFERROR(INDEX('JOBS'!$H$5:$H$1504,MATCH(B165,'JOBS'!$A$5:$A$1504,0)),""))</f>
        <v/>
      </c>
      <c r="M165" s="99">
        <f>IF(N(E165)=0,"",MIN(1,N(F165)/E165))</f>
        <v/>
      </c>
      <c r="N165" s="49">
        <f>IF(M165="","",IF(M165&gt;=QCPass,"Pass","Fail"))</f>
        <v/>
      </c>
      <c r="O165" s="49">
        <f>IF(A165="","",IF(H165&lt;&gt;"Yes","—",IF(J165="Yes","Resolved","Rework open")))</f>
        <v/>
      </c>
      <c r="P165" s="51">
        <f>IF(A165="","",DATE(YEAR(A165),MONTH(A165),1))</f>
        <v/>
      </c>
    </row>
    <row r="166">
      <c r="A166" s="47" t="n"/>
      <c r="B166" s="38" t="n"/>
      <c r="C166" s="38" t="n"/>
      <c r="D166" s="38" t="n"/>
      <c r="E166" s="57" t="n"/>
      <c r="F166" s="57" t="n"/>
      <c r="G166" s="38" t="n"/>
      <c r="H166" s="38" t="n"/>
      <c r="I166" s="47" t="n"/>
      <c r="J166" s="38" t="n"/>
      <c r="K166" s="49">
        <f>IF(B166="","",IFERROR(INDEX('JOBS'!$D$5:$D$1504,MATCH(B166,'JOBS'!$A$5:$A$1504,0)),""))</f>
        <v/>
      </c>
      <c r="L166" s="49">
        <f>IF(B166="","",IFERROR(INDEX('JOBS'!$H$5:$H$1504,MATCH(B166,'JOBS'!$A$5:$A$1504,0)),""))</f>
        <v/>
      </c>
      <c r="M166" s="99">
        <f>IF(N(E166)=0,"",MIN(1,N(F166)/E166))</f>
        <v/>
      </c>
      <c r="N166" s="49">
        <f>IF(M166="","",IF(M166&gt;=QCPass,"Pass","Fail"))</f>
        <v/>
      </c>
      <c r="O166" s="49">
        <f>IF(A166="","",IF(H166&lt;&gt;"Yes","—",IF(J166="Yes","Resolved","Rework open")))</f>
        <v/>
      </c>
      <c r="P166" s="51">
        <f>IF(A166="","",DATE(YEAR(A166),MONTH(A166),1))</f>
        <v/>
      </c>
    </row>
    <row r="167">
      <c r="A167" s="47" t="n"/>
      <c r="B167" s="38" t="n"/>
      <c r="C167" s="38" t="n"/>
      <c r="D167" s="38" t="n"/>
      <c r="E167" s="57" t="n"/>
      <c r="F167" s="57" t="n"/>
      <c r="G167" s="38" t="n"/>
      <c r="H167" s="38" t="n"/>
      <c r="I167" s="47" t="n"/>
      <c r="J167" s="38" t="n"/>
      <c r="K167" s="49">
        <f>IF(B167="","",IFERROR(INDEX('JOBS'!$D$5:$D$1504,MATCH(B167,'JOBS'!$A$5:$A$1504,0)),""))</f>
        <v/>
      </c>
      <c r="L167" s="49">
        <f>IF(B167="","",IFERROR(INDEX('JOBS'!$H$5:$H$1504,MATCH(B167,'JOBS'!$A$5:$A$1504,0)),""))</f>
        <v/>
      </c>
      <c r="M167" s="99">
        <f>IF(N(E167)=0,"",MIN(1,N(F167)/E167))</f>
        <v/>
      </c>
      <c r="N167" s="49">
        <f>IF(M167="","",IF(M167&gt;=QCPass,"Pass","Fail"))</f>
        <v/>
      </c>
      <c r="O167" s="49">
        <f>IF(A167="","",IF(H167&lt;&gt;"Yes","—",IF(J167="Yes","Resolved","Rework open")))</f>
        <v/>
      </c>
      <c r="P167" s="51">
        <f>IF(A167="","",DATE(YEAR(A167),MONTH(A167),1))</f>
        <v/>
      </c>
    </row>
    <row r="168">
      <c r="A168" s="47" t="n"/>
      <c r="B168" s="38" t="n"/>
      <c r="C168" s="38" t="n"/>
      <c r="D168" s="38" t="n"/>
      <c r="E168" s="57" t="n"/>
      <c r="F168" s="57" t="n"/>
      <c r="G168" s="38" t="n"/>
      <c r="H168" s="38" t="n"/>
      <c r="I168" s="47" t="n"/>
      <c r="J168" s="38" t="n"/>
      <c r="K168" s="49">
        <f>IF(B168="","",IFERROR(INDEX('JOBS'!$D$5:$D$1504,MATCH(B168,'JOBS'!$A$5:$A$1504,0)),""))</f>
        <v/>
      </c>
      <c r="L168" s="49">
        <f>IF(B168="","",IFERROR(INDEX('JOBS'!$H$5:$H$1504,MATCH(B168,'JOBS'!$A$5:$A$1504,0)),""))</f>
        <v/>
      </c>
      <c r="M168" s="99">
        <f>IF(N(E168)=0,"",MIN(1,N(F168)/E168))</f>
        <v/>
      </c>
      <c r="N168" s="49">
        <f>IF(M168="","",IF(M168&gt;=QCPass,"Pass","Fail"))</f>
        <v/>
      </c>
      <c r="O168" s="49">
        <f>IF(A168="","",IF(H168&lt;&gt;"Yes","—",IF(J168="Yes","Resolved","Rework open")))</f>
        <v/>
      </c>
      <c r="P168" s="51">
        <f>IF(A168="","",DATE(YEAR(A168),MONTH(A168),1))</f>
        <v/>
      </c>
    </row>
    <row r="169">
      <c r="A169" s="47" t="n"/>
      <c r="B169" s="38" t="n"/>
      <c r="C169" s="38" t="n"/>
      <c r="D169" s="38" t="n"/>
      <c r="E169" s="57" t="n"/>
      <c r="F169" s="57" t="n"/>
      <c r="G169" s="38" t="n"/>
      <c r="H169" s="38" t="n"/>
      <c r="I169" s="47" t="n"/>
      <c r="J169" s="38" t="n"/>
      <c r="K169" s="49">
        <f>IF(B169="","",IFERROR(INDEX('JOBS'!$D$5:$D$1504,MATCH(B169,'JOBS'!$A$5:$A$1504,0)),""))</f>
        <v/>
      </c>
      <c r="L169" s="49">
        <f>IF(B169="","",IFERROR(INDEX('JOBS'!$H$5:$H$1504,MATCH(B169,'JOBS'!$A$5:$A$1504,0)),""))</f>
        <v/>
      </c>
      <c r="M169" s="99">
        <f>IF(N(E169)=0,"",MIN(1,N(F169)/E169))</f>
        <v/>
      </c>
      <c r="N169" s="49">
        <f>IF(M169="","",IF(M169&gt;=QCPass,"Pass","Fail"))</f>
        <v/>
      </c>
      <c r="O169" s="49">
        <f>IF(A169="","",IF(H169&lt;&gt;"Yes","—",IF(J169="Yes","Resolved","Rework open")))</f>
        <v/>
      </c>
      <c r="P169" s="51">
        <f>IF(A169="","",DATE(YEAR(A169),MONTH(A169),1))</f>
        <v/>
      </c>
    </row>
    <row r="170">
      <c r="A170" s="47" t="n"/>
      <c r="B170" s="38" t="n"/>
      <c r="C170" s="38" t="n"/>
      <c r="D170" s="38" t="n"/>
      <c r="E170" s="57" t="n"/>
      <c r="F170" s="57" t="n"/>
      <c r="G170" s="38" t="n"/>
      <c r="H170" s="38" t="n"/>
      <c r="I170" s="47" t="n"/>
      <c r="J170" s="38" t="n"/>
      <c r="K170" s="49">
        <f>IF(B170="","",IFERROR(INDEX('JOBS'!$D$5:$D$1504,MATCH(B170,'JOBS'!$A$5:$A$1504,0)),""))</f>
        <v/>
      </c>
      <c r="L170" s="49">
        <f>IF(B170="","",IFERROR(INDEX('JOBS'!$H$5:$H$1504,MATCH(B170,'JOBS'!$A$5:$A$1504,0)),""))</f>
        <v/>
      </c>
      <c r="M170" s="99">
        <f>IF(N(E170)=0,"",MIN(1,N(F170)/E170))</f>
        <v/>
      </c>
      <c r="N170" s="49">
        <f>IF(M170="","",IF(M170&gt;=QCPass,"Pass","Fail"))</f>
        <v/>
      </c>
      <c r="O170" s="49">
        <f>IF(A170="","",IF(H170&lt;&gt;"Yes","—",IF(J170="Yes","Resolved","Rework open")))</f>
        <v/>
      </c>
      <c r="P170" s="51">
        <f>IF(A170="","",DATE(YEAR(A170),MONTH(A170),1))</f>
        <v/>
      </c>
    </row>
    <row r="171">
      <c r="A171" s="47" t="n"/>
      <c r="B171" s="38" t="n"/>
      <c r="C171" s="38" t="n"/>
      <c r="D171" s="38" t="n"/>
      <c r="E171" s="57" t="n"/>
      <c r="F171" s="57" t="n"/>
      <c r="G171" s="38" t="n"/>
      <c r="H171" s="38" t="n"/>
      <c r="I171" s="47" t="n"/>
      <c r="J171" s="38" t="n"/>
      <c r="K171" s="49">
        <f>IF(B171="","",IFERROR(INDEX('JOBS'!$D$5:$D$1504,MATCH(B171,'JOBS'!$A$5:$A$1504,0)),""))</f>
        <v/>
      </c>
      <c r="L171" s="49">
        <f>IF(B171="","",IFERROR(INDEX('JOBS'!$H$5:$H$1504,MATCH(B171,'JOBS'!$A$5:$A$1504,0)),""))</f>
        <v/>
      </c>
      <c r="M171" s="99">
        <f>IF(N(E171)=0,"",MIN(1,N(F171)/E171))</f>
        <v/>
      </c>
      <c r="N171" s="49">
        <f>IF(M171="","",IF(M171&gt;=QCPass,"Pass","Fail"))</f>
        <v/>
      </c>
      <c r="O171" s="49">
        <f>IF(A171="","",IF(H171&lt;&gt;"Yes","—",IF(J171="Yes","Resolved","Rework open")))</f>
        <v/>
      </c>
      <c r="P171" s="51">
        <f>IF(A171="","",DATE(YEAR(A171),MONTH(A171),1))</f>
        <v/>
      </c>
    </row>
    <row r="172">
      <c r="A172" s="47" t="n"/>
      <c r="B172" s="38" t="n"/>
      <c r="C172" s="38" t="n"/>
      <c r="D172" s="38" t="n"/>
      <c r="E172" s="57" t="n"/>
      <c r="F172" s="57" t="n"/>
      <c r="G172" s="38" t="n"/>
      <c r="H172" s="38" t="n"/>
      <c r="I172" s="47" t="n"/>
      <c r="J172" s="38" t="n"/>
      <c r="K172" s="49">
        <f>IF(B172="","",IFERROR(INDEX('JOBS'!$D$5:$D$1504,MATCH(B172,'JOBS'!$A$5:$A$1504,0)),""))</f>
        <v/>
      </c>
      <c r="L172" s="49">
        <f>IF(B172="","",IFERROR(INDEX('JOBS'!$H$5:$H$1504,MATCH(B172,'JOBS'!$A$5:$A$1504,0)),""))</f>
        <v/>
      </c>
      <c r="M172" s="99">
        <f>IF(N(E172)=0,"",MIN(1,N(F172)/E172))</f>
        <v/>
      </c>
      <c r="N172" s="49">
        <f>IF(M172="","",IF(M172&gt;=QCPass,"Pass","Fail"))</f>
        <v/>
      </c>
      <c r="O172" s="49">
        <f>IF(A172="","",IF(H172&lt;&gt;"Yes","—",IF(J172="Yes","Resolved","Rework open")))</f>
        <v/>
      </c>
      <c r="P172" s="51">
        <f>IF(A172="","",DATE(YEAR(A172),MONTH(A172),1))</f>
        <v/>
      </c>
    </row>
    <row r="173">
      <c r="A173" s="47" t="n"/>
      <c r="B173" s="38" t="n"/>
      <c r="C173" s="38" t="n"/>
      <c r="D173" s="38" t="n"/>
      <c r="E173" s="57" t="n"/>
      <c r="F173" s="57" t="n"/>
      <c r="G173" s="38" t="n"/>
      <c r="H173" s="38" t="n"/>
      <c r="I173" s="47" t="n"/>
      <c r="J173" s="38" t="n"/>
      <c r="K173" s="49">
        <f>IF(B173="","",IFERROR(INDEX('JOBS'!$D$5:$D$1504,MATCH(B173,'JOBS'!$A$5:$A$1504,0)),""))</f>
        <v/>
      </c>
      <c r="L173" s="49">
        <f>IF(B173="","",IFERROR(INDEX('JOBS'!$H$5:$H$1504,MATCH(B173,'JOBS'!$A$5:$A$1504,0)),""))</f>
        <v/>
      </c>
      <c r="M173" s="99">
        <f>IF(N(E173)=0,"",MIN(1,N(F173)/E173))</f>
        <v/>
      </c>
      <c r="N173" s="49">
        <f>IF(M173="","",IF(M173&gt;=QCPass,"Pass","Fail"))</f>
        <v/>
      </c>
      <c r="O173" s="49">
        <f>IF(A173="","",IF(H173&lt;&gt;"Yes","—",IF(J173="Yes","Resolved","Rework open")))</f>
        <v/>
      </c>
      <c r="P173" s="51">
        <f>IF(A173="","",DATE(YEAR(A173),MONTH(A173),1))</f>
        <v/>
      </c>
    </row>
    <row r="174">
      <c r="A174" s="47" t="n"/>
      <c r="B174" s="38" t="n"/>
      <c r="C174" s="38" t="n"/>
      <c r="D174" s="38" t="n"/>
      <c r="E174" s="57" t="n"/>
      <c r="F174" s="57" t="n"/>
      <c r="G174" s="38" t="n"/>
      <c r="H174" s="38" t="n"/>
      <c r="I174" s="47" t="n"/>
      <c r="J174" s="38" t="n"/>
      <c r="K174" s="49">
        <f>IF(B174="","",IFERROR(INDEX('JOBS'!$D$5:$D$1504,MATCH(B174,'JOBS'!$A$5:$A$1504,0)),""))</f>
        <v/>
      </c>
      <c r="L174" s="49">
        <f>IF(B174="","",IFERROR(INDEX('JOBS'!$H$5:$H$1504,MATCH(B174,'JOBS'!$A$5:$A$1504,0)),""))</f>
        <v/>
      </c>
      <c r="M174" s="99">
        <f>IF(N(E174)=0,"",MIN(1,N(F174)/E174))</f>
        <v/>
      </c>
      <c r="N174" s="49">
        <f>IF(M174="","",IF(M174&gt;=QCPass,"Pass","Fail"))</f>
        <v/>
      </c>
      <c r="O174" s="49">
        <f>IF(A174="","",IF(H174&lt;&gt;"Yes","—",IF(J174="Yes","Resolved","Rework open")))</f>
        <v/>
      </c>
      <c r="P174" s="51">
        <f>IF(A174="","",DATE(YEAR(A174),MONTH(A174),1))</f>
        <v/>
      </c>
    </row>
    <row r="175">
      <c r="A175" s="47" t="n"/>
      <c r="B175" s="38" t="n"/>
      <c r="C175" s="38" t="n"/>
      <c r="D175" s="38" t="n"/>
      <c r="E175" s="57" t="n"/>
      <c r="F175" s="57" t="n"/>
      <c r="G175" s="38" t="n"/>
      <c r="H175" s="38" t="n"/>
      <c r="I175" s="47" t="n"/>
      <c r="J175" s="38" t="n"/>
      <c r="K175" s="49">
        <f>IF(B175="","",IFERROR(INDEX('JOBS'!$D$5:$D$1504,MATCH(B175,'JOBS'!$A$5:$A$1504,0)),""))</f>
        <v/>
      </c>
      <c r="L175" s="49">
        <f>IF(B175="","",IFERROR(INDEX('JOBS'!$H$5:$H$1504,MATCH(B175,'JOBS'!$A$5:$A$1504,0)),""))</f>
        <v/>
      </c>
      <c r="M175" s="99">
        <f>IF(N(E175)=0,"",MIN(1,N(F175)/E175))</f>
        <v/>
      </c>
      <c r="N175" s="49">
        <f>IF(M175="","",IF(M175&gt;=QCPass,"Pass","Fail"))</f>
        <v/>
      </c>
      <c r="O175" s="49">
        <f>IF(A175="","",IF(H175&lt;&gt;"Yes","—",IF(J175="Yes","Resolved","Rework open")))</f>
        <v/>
      </c>
      <c r="P175" s="51">
        <f>IF(A175="","",DATE(YEAR(A175),MONTH(A175),1))</f>
        <v/>
      </c>
    </row>
    <row r="176">
      <c r="A176" s="47" t="n"/>
      <c r="B176" s="38" t="n"/>
      <c r="C176" s="38" t="n"/>
      <c r="D176" s="38" t="n"/>
      <c r="E176" s="57" t="n"/>
      <c r="F176" s="57" t="n"/>
      <c r="G176" s="38" t="n"/>
      <c r="H176" s="38" t="n"/>
      <c r="I176" s="47" t="n"/>
      <c r="J176" s="38" t="n"/>
      <c r="K176" s="49">
        <f>IF(B176="","",IFERROR(INDEX('JOBS'!$D$5:$D$1504,MATCH(B176,'JOBS'!$A$5:$A$1504,0)),""))</f>
        <v/>
      </c>
      <c r="L176" s="49">
        <f>IF(B176="","",IFERROR(INDEX('JOBS'!$H$5:$H$1504,MATCH(B176,'JOBS'!$A$5:$A$1504,0)),""))</f>
        <v/>
      </c>
      <c r="M176" s="99">
        <f>IF(N(E176)=0,"",MIN(1,N(F176)/E176))</f>
        <v/>
      </c>
      <c r="N176" s="49">
        <f>IF(M176="","",IF(M176&gt;=QCPass,"Pass","Fail"))</f>
        <v/>
      </c>
      <c r="O176" s="49">
        <f>IF(A176="","",IF(H176&lt;&gt;"Yes","—",IF(J176="Yes","Resolved","Rework open")))</f>
        <v/>
      </c>
      <c r="P176" s="51">
        <f>IF(A176="","",DATE(YEAR(A176),MONTH(A176),1))</f>
        <v/>
      </c>
    </row>
    <row r="177">
      <c r="A177" s="47" t="n"/>
      <c r="B177" s="38" t="n"/>
      <c r="C177" s="38" t="n"/>
      <c r="D177" s="38" t="n"/>
      <c r="E177" s="57" t="n"/>
      <c r="F177" s="57" t="n"/>
      <c r="G177" s="38" t="n"/>
      <c r="H177" s="38" t="n"/>
      <c r="I177" s="47" t="n"/>
      <c r="J177" s="38" t="n"/>
      <c r="K177" s="49">
        <f>IF(B177="","",IFERROR(INDEX('JOBS'!$D$5:$D$1504,MATCH(B177,'JOBS'!$A$5:$A$1504,0)),""))</f>
        <v/>
      </c>
      <c r="L177" s="49">
        <f>IF(B177="","",IFERROR(INDEX('JOBS'!$H$5:$H$1504,MATCH(B177,'JOBS'!$A$5:$A$1504,0)),""))</f>
        <v/>
      </c>
      <c r="M177" s="99">
        <f>IF(N(E177)=0,"",MIN(1,N(F177)/E177))</f>
        <v/>
      </c>
      <c r="N177" s="49">
        <f>IF(M177="","",IF(M177&gt;=QCPass,"Pass","Fail"))</f>
        <v/>
      </c>
      <c r="O177" s="49">
        <f>IF(A177="","",IF(H177&lt;&gt;"Yes","—",IF(J177="Yes","Resolved","Rework open")))</f>
        <v/>
      </c>
      <c r="P177" s="51">
        <f>IF(A177="","",DATE(YEAR(A177),MONTH(A177),1))</f>
        <v/>
      </c>
    </row>
    <row r="178">
      <c r="A178" s="47" t="n"/>
      <c r="B178" s="38" t="n"/>
      <c r="C178" s="38" t="n"/>
      <c r="D178" s="38" t="n"/>
      <c r="E178" s="57" t="n"/>
      <c r="F178" s="57" t="n"/>
      <c r="G178" s="38" t="n"/>
      <c r="H178" s="38" t="n"/>
      <c r="I178" s="47" t="n"/>
      <c r="J178" s="38" t="n"/>
      <c r="K178" s="49">
        <f>IF(B178="","",IFERROR(INDEX('JOBS'!$D$5:$D$1504,MATCH(B178,'JOBS'!$A$5:$A$1504,0)),""))</f>
        <v/>
      </c>
      <c r="L178" s="49">
        <f>IF(B178="","",IFERROR(INDEX('JOBS'!$H$5:$H$1504,MATCH(B178,'JOBS'!$A$5:$A$1504,0)),""))</f>
        <v/>
      </c>
      <c r="M178" s="99">
        <f>IF(N(E178)=0,"",MIN(1,N(F178)/E178))</f>
        <v/>
      </c>
      <c r="N178" s="49">
        <f>IF(M178="","",IF(M178&gt;=QCPass,"Pass","Fail"))</f>
        <v/>
      </c>
      <c r="O178" s="49">
        <f>IF(A178="","",IF(H178&lt;&gt;"Yes","—",IF(J178="Yes","Resolved","Rework open")))</f>
        <v/>
      </c>
      <c r="P178" s="51">
        <f>IF(A178="","",DATE(YEAR(A178),MONTH(A178),1))</f>
        <v/>
      </c>
    </row>
    <row r="179">
      <c r="A179" s="47" t="n"/>
      <c r="B179" s="38" t="n"/>
      <c r="C179" s="38" t="n"/>
      <c r="D179" s="38" t="n"/>
      <c r="E179" s="57" t="n"/>
      <c r="F179" s="57" t="n"/>
      <c r="G179" s="38" t="n"/>
      <c r="H179" s="38" t="n"/>
      <c r="I179" s="47" t="n"/>
      <c r="J179" s="38" t="n"/>
      <c r="K179" s="49">
        <f>IF(B179="","",IFERROR(INDEX('JOBS'!$D$5:$D$1504,MATCH(B179,'JOBS'!$A$5:$A$1504,0)),""))</f>
        <v/>
      </c>
      <c r="L179" s="49">
        <f>IF(B179="","",IFERROR(INDEX('JOBS'!$H$5:$H$1504,MATCH(B179,'JOBS'!$A$5:$A$1504,0)),""))</f>
        <v/>
      </c>
      <c r="M179" s="99">
        <f>IF(N(E179)=0,"",MIN(1,N(F179)/E179))</f>
        <v/>
      </c>
      <c r="N179" s="49">
        <f>IF(M179="","",IF(M179&gt;=QCPass,"Pass","Fail"))</f>
        <v/>
      </c>
      <c r="O179" s="49">
        <f>IF(A179="","",IF(H179&lt;&gt;"Yes","—",IF(J179="Yes","Resolved","Rework open")))</f>
        <v/>
      </c>
      <c r="P179" s="51">
        <f>IF(A179="","",DATE(YEAR(A179),MONTH(A179),1))</f>
        <v/>
      </c>
    </row>
    <row r="180">
      <c r="A180" s="47" t="n"/>
      <c r="B180" s="38" t="n"/>
      <c r="C180" s="38" t="n"/>
      <c r="D180" s="38" t="n"/>
      <c r="E180" s="57" t="n"/>
      <c r="F180" s="57" t="n"/>
      <c r="G180" s="38" t="n"/>
      <c r="H180" s="38" t="n"/>
      <c r="I180" s="47" t="n"/>
      <c r="J180" s="38" t="n"/>
      <c r="K180" s="49">
        <f>IF(B180="","",IFERROR(INDEX('JOBS'!$D$5:$D$1504,MATCH(B180,'JOBS'!$A$5:$A$1504,0)),""))</f>
        <v/>
      </c>
      <c r="L180" s="49">
        <f>IF(B180="","",IFERROR(INDEX('JOBS'!$H$5:$H$1504,MATCH(B180,'JOBS'!$A$5:$A$1504,0)),""))</f>
        <v/>
      </c>
      <c r="M180" s="99">
        <f>IF(N(E180)=0,"",MIN(1,N(F180)/E180))</f>
        <v/>
      </c>
      <c r="N180" s="49">
        <f>IF(M180="","",IF(M180&gt;=QCPass,"Pass","Fail"))</f>
        <v/>
      </c>
      <c r="O180" s="49">
        <f>IF(A180="","",IF(H180&lt;&gt;"Yes","—",IF(J180="Yes","Resolved","Rework open")))</f>
        <v/>
      </c>
      <c r="P180" s="51">
        <f>IF(A180="","",DATE(YEAR(A180),MONTH(A180),1))</f>
        <v/>
      </c>
    </row>
    <row r="181">
      <c r="A181" s="47" t="n"/>
      <c r="B181" s="38" t="n"/>
      <c r="C181" s="38" t="n"/>
      <c r="D181" s="38" t="n"/>
      <c r="E181" s="57" t="n"/>
      <c r="F181" s="57" t="n"/>
      <c r="G181" s="38" t="n"/>
      <c r="H181" s="38" t="n"/>
      <c r="I181" s="47" t="n"/>
      <c r="J181" s="38" t="n"/>
      <c r="K181" s="49">
        <f>IF(B181="","",IFERROR(INDEX('JOBS'!$D$5:$D$1504,MATCH(B181,'JOBS'!$A$5:$A$1504,0)),""))</f>
        <v/>
      </c>
      <c r="L181" s="49">
        <f>IF(B181="","",IFERROR(INDEX('JOBS'!$H$5:$H$1504,MATCH(B181,'JOBS'!$A$5:$A$1504,0)),""))</f>
        <v/>
      </c>
      <c r="M181" s="99">
        <f>IF(N(E181)=0,"",MIN(1,N(F181)/E181))</f>
        <v/>
      </c>
      <c r="N181" s="49">
        <f>IF(M181="","",IF(M181&gt;=QCPass,"Pass","Fail"))</f>
        <v/>
      </c>
      <c r="O181" s="49">
        <f>IF(A181="","",IF(H181&lt;&gt;"Yes","—",IF(J181="Yes","Resolved","Rework open")))</f>
        <v/>
      </c>
      <c r="P181" s="51">
        <f>IF(A181="","",DATE(YEAR(A181),MONTH(A181),1))</f>
        <v/>
      </c>
    </row>
    <row r="182">
      <c r="A182" s="47" t="n"/>
      <c r="B182" s="38" t="n"/>
      <c r="C182" s="38" t="n"/>
      <c r="D182" s="38" t="n"/>
      <c r="E182" s="57" t="n"/>
      <c r="F182" s="57" t="n"/>
      <c r="G182" s="38" t="n"/>
      <c r="H182" s="38" t="n"/>
      <c r="I182" s="47" t="n"/>
      <c r="J182" s="38" t="n"/>
      <c r="K182" s="49">
        <f>IF(B182="","",IFERROR(INDEX('JOBS'!$D$5:$D$1504,MATCH(B182,'JOBS'!$A$5:$A$1504,0)),""))</f>
        <v/>
      </c>
      <c r="L182" s="49">
        <f>IF(B182="","",IFERROR(INDEX('JOBS'!$H$5:$H$1504,MATCH(B182,'JOBS'!$A$5:$A$1504,0)),""))</f>
        <v/>
      </c>
      <c r="M182" s="99">
        <f>IF(N(E182)=0,"",MIN(1,N(F182)/E182))</f>
        <v/>
      </c>
      <c r="N182" s="49">
        <f>IF(M182="","",IF(M182&gt;=QCPass,"Pass","Fail"))</f>
        <v/>
      </c>
      <c r="O182" s="49">
        <f>IF(A182="","",IF(H182&lt;&gt;"Yes","—",IF(J182="Yes","Resolved","Rework open")))</f>
        <v/>
      </c>
      <c r="P182" s="51">
        <f>IF(A182="","",DATE(YEAR(A182),MONTH(A182),1))</f>
        <v/>
      </c>
    </row>
    <row r="183">
      <c r="A183" s="47" t="n"/>
      <c r="B183" s="38" t="n"/>
      <c r="C183" s="38" t="n"/>
      <c r="D183" s="38" t="n"/>
      <c r="E183" s="57" t="n"/>
      <c r="F183" s="57" t="n"/>
      <c r="G183" s="38" t="n"/>
      <c r="H183" s="38" t="n"/>
      <c r="I183" s="47" t="n"/>
      <c r="J183" s="38" t="n"/>
      <c r="K183" s="49">
        <f>IF(B183="","",IFERROR(INDEX('JOBS'!$D$5:$D$1504,MATCH(B183,'JOBS'!$A$5:$A$1504,0)),""))</f>
        <v/>
      </c>
      <c r="L183" s="49">
        <f>IF(B183="","",IFERROR(INDEX('JOBS'!$H$5:$H$1504,MATCH(B183,'JOBS'!$A$5:$A$1504,0)),""))</f>
        <v/>
      </c>
      <c r="M183" s="99">
        <f>IF(N(E183)=0,"",MIN(1,N(F183)/E183))</f>
        <v/>
      </c>
      <c r="N183" s="49">
        <f>IF(M183="","",IF(M183&gt;=QCPass,"Pass","Fail"))</f>
        <v/>
      </c>
      <c r="O183" s="49">
        <f>IF(A183="","",IF(H183&lt;&gt;"Yes","—",IF(J183="Yes","Resolved","Rework open")))</f>
        <v/>
      </c>
      <c r="P183" s="51">
        <f>IF(A183="","",DATE(YEAR(A183),MONTH(A183),1))</f>
        <v/>
      </c>
    </row>
    <row r="184">
      <c r="A184" s="47" t="n"/>
      <c r="B184" s="38" t="n"/>
      <c r="C184" s="38" t="n"/>
      <c r="D184" s="38" t="n"/>
      <c r="E184" s="57" t="n"/>
      <c r="F184" s="57" t="n"/>
      <c r="G184" s="38" t="n"/>
      <c r="H184" s="38" t="n"/>
      <c r="I184" s="47" t="n"/>
      <c r="J184" s="38" t="n"/>
      <c r="K184" s="49">
        <f>IF(B184="","",IFERROR(INDEX('JOBS'!$D$5:$D$1504,MATCH(B184,'JOBS'!$A$5:$A$1504,0)),""))</f>
        <v/>
      </c>
      <c r="L184" s="49">
        <f>IF(B184="","",IFERROR(INDEX('JOBS'!$H$5:$H$1504,MATCH(B184,'JOBS'!$A$5:$A$1504,0)),""))</f>
        <v/>
      </c>
      <c r="M184" s="99">
        <f>IF(N(E184)=0,"",MIN(1,N(F184)/E184))</f>
        <v/>
      </c>
      <c r="N184" s="49">
        <f>IF(M184="","",IF(M184&gt;=QCPass,"Pass","Fail"))</f>
        <v/>
      </c>
      <c r="O184" s="49">
        <f>IF(A184="","",IF(H184&lt;&gt;"Yes","—",IF(J184="Yes","Resolved","Rework open")))</f>
        <v/>
      </c>
      <c r="P184" s="51">
        <f>IF(A184="","",DATE(YEAR(A184),MONTH(A184),1))</f>
        <v/>
      </c>
    </row>
    <row r="185">
      <c r="A185" s="47" t="n"/>
      <c r="B185" s="38" t="n"/>
      <c r="C185" s="38" t="n"/>
      <c r="D185" s="38" t="n"/>
      <c r="E185" s="57" t="n"/>
      <c r="F185" s="57" t="n"/>
      <c r="G185" s="38" t="n"/>
      <c r="H185" s="38" t="n"/>
      <c r="I185" s="47" t="n"/>
      <c r="J185" s="38" t="n"/>
      <c r="K185" s="49">
        <f>IF(B185="","",IFERROR(INDEX('JOBS'!$D$5:$D$1504,MATCH(B185,'JOBS'!$A$5:$A$1504,0)),""))</f>
        <v/>
      </c>
      <c r="L185" s="49">
        <f>IF(B185="","",IFERROR(INDEX('JOBS'!$H$5:$H$1504,MATCH(B185,'JOBS'!$A$5:$A$1504,0)),""))</f>
        <v/>
      </c>
      <c r="M185" s="99">
        <f>IF(N(E185)=0,"",MIN(1,N(F185)/E185))</f>
        <v/>
      </c>
      <c r="N185" s="49">
        <f>IF(M185="","",IF(M185&gt;=QCPass,"Pass","Fail"))</f>
        <v/>
      </c>
      <c r="O185" s="49">
        <f>IF(A185="","",IF(H185&lt;&gt;"Yes","—",IF(J185="Yes","Resolved","Rework open")))</f>
        <v/>
      </c>
      <c r="P185" s="51">
        <f>IF(A185="","",DATE(YEAR(A185),MONTH(A185),1))</f>
        <v/>
      </c>
    </row>
    <row r="186">
      <c r="A186" s="47" t="n"/>
      <c r="B186" s="38" t="n"/>
      <c r="C186" s="38" t="n"/>
      <c r="D186" s="38" t="n"/>
      <c r="E186" s="57" t="n"/>
      <c r="F186" s="57" t="n"/>
      <c r="G186" s="38" t="n"/>
      <c r="H186" s="38" t="n"/>
      <c r="I186" s="47" t="n"/>
      <c r="J186" s="38" t="n"/>
      <c r="K186" s="49">
        <f>IF(B186="","",IFERROR(INDEX('JOBS'!$D$5:$D$1504,MATCH(B186,'JOBS'!$A$5:$A$1504,0)),""))</f>
        <v/>
      </c>
      <c r="L186" s="49">
        <f>IF(B186="","",IFERROR(INDEX('JOBS'!$H$5:$H$1504,MATCH(B186,'JOBS'!$A$5:$A$1504,0)),""))</f>
        <v/>
      </c>
      <c r="M186" s="99">
        <f>IF(N(E186)=0,"",MIN(1,N(F186)/E186))</f>
        <v/>
      </c>
      <c r="N186" s="49">
        <f>IF(M186="","",IF(M186&gt;=QCPass,"Pass","Fail"))</f>
        <v/>
      </c>
      <c r="O186" s="49">
        <f>IF(A186="","",IF(H186&lt;&gt;"Yes","—",IF(J186="Yes","Resolved","Rework open")))</f>
        <v/>
      </c>
      <c r="P186" s="51">
        <f>IF(A186="","",DATE(YEAR(A186),MONTH(A186),1))</f>
        <v/>
      </c>
    </row>
    <row r="187">
      <c r="A187" s="47" t="n"/>
      <c r="B187" s="38" t="n"/>
      <c r="C187" s="38" t="n"/>
      <c r="D187" s="38" t="n"/>
      <c r="E187" s="57" t="n"/>
      <c r="F187" s="57" t="n"/>
      <c r="G187" s="38" t="n"/>
      <c r="H187" s="38" t="n"/>
      <c r="I187" s="47" t="n"/>
      <c r="J187" s="38" t="n"/>
      <c r="K187" s="49">
        <f>IF(B187="","",IFERROR(INDEX('JOBS'!$D$5:$D$1504,MATCH(B187,'JOBS'!$A$5:$A$1504,0)),""))</f>
        <v/>
      </c>
      <c r="L187" s="49">
        <f>IF(B187="","",IFERROR(INDEX('JOBS'!$H$5:$H$1504,MATCH(B187,'JOBS'!$A$5:$A$1504,0)),""))</f>
        <v/>
      </c>
      <c r="M187" s="99">
        <f>IF(N(E187)=0,"",MIN(1,N(F187)/E187))</f>
        <v/>
      </c>
      <c r="N187" s="49">
        <f>IF(M187="","",IF(M187&gt;=QCPass,"Pass","Fail"))</f>
        <v/>
      </c>
      <c r="O187" s="49">
        <f>IF(A187="","",IF(H187&lt;&gt;"Yes","—",IF(J187="Yes","Resolved","Rework open")))</f>
        <v/>
      </c>
      <c r="P187" s="51">
        <f>IF(A187="","",DATE(YEAR(A187),MONTH(A187),1))</f>
        <v/>
      </c>
    </row>
    <row r="188">
      <c r="A188" s="47" t="n"/>
      <c r="B188" s="38" t="n"/>
      <c r="C188" s="38" t="n"/>
      <c r="D188" s="38" t="n"/>
      <c r="E188" s="57" t="n"/>
      <c r="F188" s="57" t="n"/>
      <c r="G188" s="38" t="n"/>
      <c r="H188" s="38" t="n"/>
      <c r="I188" s="47" t="n"/>
      <c r="J188" s="38" t="n"/>
      <c r="K188" s="49">
        <f>IF(B188="","",IFERROR(INDEX('JOBS'!$D$5:$D$1504,MATCH(B188,'JOBS'!$A$5:$A$1504,0)),""))</f>
        <v/>
      </c>
      <c r="L188" s="49">
        <f>IF(B188="","",IFERROR(INDEX('JOBS'!$H$5:$H$1504,MATCH(B188,'JOBS'!$A$5:$A$1504,0)),""))</f>
        <v/>
      </c>
      <c r="M188" s="99">
        <f>IF(N(E188)=0,"",MIN(1,N(F188)/E188))</f>
        <v/>
      </c>
      <c r="N188" s="49">
        <f>IF(M188="","",IF(M188&gt;=QCPass,"Pass","Fail"))</f>
        <v/>
      </c>
      <c r="O188" s="49">
        <f>IF(A188="","",IF(H188&lt;&gt;"Yes","—",IF(J188="Yes","Resolved","Rework open")))</f>
        <v/>
      </c>
      <c r="P188" s="51">
        <f>IF(A188="","",DATE(YEAR(A188),MONTH(A188),1))</f>
        <v/>
      </c>
    </row>
    <row r="189">
      <c r="A189" s="47" t="n"/>
      <c r="B189" s="38" t="n"/>
      <c r="C189" s="38" t="n"/>
      <c r="D189" s="38" t="n"/>
      <c r="E189" s="57" t="n"/>
      <c r="F189" s="57" t="n"/>
      <c r="G189" s="38" t="n"/>
      <c r="H189" s="38" t="n"/>
      <c r="I189" s="47" t="n"/>
      <c r="J189" s="38" t="n"/>
      <c r="K189" s="49">
        <f>IF(B189="","",IFERROR(INDEX('JOBS'!$D$5:$D$1504,MATCH(B189,'JOBS'!$A$5:$A$1504,0)),""))</f>
        <v/>
      </c>
      <c r="L189" s="49">
        <f>IF(B189="","",IFERROR(INDEX('JOBS'!$H$5:$H$1504,MATCH(B189,'JOBS'!$A$5:$A$1504,0)),""))</f>
        <v/>
      </c>
      <c r="M189" s="99">
        <f>IF(N(E189)=0,"",MIN(1,N(F189)/E189))</f>
        <v/>
      </c>
      <c r="N189" s="49">
        <f>IF(M189="","",IF(M189&gt;=QCPass,"Pass","Fail"))</f>
        <v/>
      </c>
      <c r="O189" s="49">
        <f>IF(A189="","",IF(H189&lt;&gt;"Yes","—",IF(J189="Yes","Resolved","Rework open")))</f>
        <v/>
      </c>
      <c r="P189" s="51">
        <f>IF(A189="","",DATE(YEAR(A189),MONTH(A189),1))</f>
        <v/>
      </c>
    </row>
    <row r="190">
      <c r="A190" s="47" t="n"/>
      <c r="B190" s="38" t="n"/>
      <c r="C190" s="38" t="n"/>
      <c r="D190" s="38" t="n"/>
      <c r="E190" s="57" t="n"/>
      <c r="F190" s="57" t="n"/>
      <c r="G190" s="38" t="n"/>
      <c r="H190" s="38" t="n"/>
      <c r="I190" s="47" t="n"/>
      <c r="J190" s="38" t="n"/>
      <c r="K190" s="49">
        <f>IF(B190="","",IFERROR(INDEX('JOBS'!$D$5:$D$1504,MATCH(B190,'JOBS'!$A$5:$A$1504,0)),""))</f>
        <v/>
      </c>
      <c r="L190" s="49">
        <f>IF(B190="","",IFERROR(INDEX('JOBS'!$H$5:$H$1504,MATCH(B190,'JOBS'!$A$5:$A$1504,0)),""))</f>
        <v/>
      </c>
      <c r="M190" s="99">
        <f>IF(N(E190)=0,"",MIN(1,N(F190)/E190))</f>
        <v/>
      </c>
      <c r="N190" s="49">
        <f>IF(M190="","",IF(M190&gt;=QCPass,"Pass","Fail"))</f>
        <v/>
      </c>
      <c r="O190" s="49">
        <f>IF(A190="","",IF(H190&lt;&gt;"Yes","—",IF(J190="Yes","Resolved","Rework open")))</f>
        <v/>
      </c>
      <c r="P190" s="51">
        <f>IF(A190="","",DATE(YEAR(A190),MONTH(A190),1))</f>
        <v/>
      </c>
    </row>
    <row r="191">
      <c r="A191" s="47" t="n"/>
      <c r="B191" s="38" t="n"/>
      <c r="C191" s="38" t="n"/>
      <c r="D191" s="38" t="n"/>
      <c r="E191" s="57" t="n"/>
      <c r="F191" s="57" t="n"/>
      <c r="G191" s="38" t="n"/>
      <c r="H191" s="38" t="n"/>
      <c r="I191" s="47" t="n"/>
      <c r="J191" s="38" t="n"/>
      <c r="K191" s="49">
        <f>IF(B191="","",IFERROR(INDEX('JOBS'!$D$5:$D$1504,MATCH(B191,'JOBS'!$A$5:$A$1504,0)),""))</f>
        <v/>
      </c>
      <c r="L191" s="49">
        <f>IF(B191="","",IFERROR(INDEX('JOBS'!$H$5:$H$1504,MATCH(B191,'JOBS'!$A$5:$A$1504,0)),""))</f>
        <v/>
      </c>
      <c r="M191" s="99">
        <f>IF(N(E191)=0,"",MIN(1,N(F191)/E191))</f>
        <v/>
      </c>
      <c r="N191" s="49">
        <f>IF(M191="","",IF(M191&gt;=QCPass,"Pass","Fail"))</f>
        <v/>
      </c>
      <c r="O191" s="49">
        <f>IF(A191="","",IF(H191&lt;&gt;"Yes","—",IF(J191="Yes","Resolved","Rework open")))</f>
        <v/>
      </c>
      <c r="P191" s="51">
        <f>IF(A191="","",DATE(YEAR(A191),MONTH(A191),1))</f>
        <v/>
      </c>
    </row>
    <row r="192">
      <c r="A192" s="47" t="n"/>
      <c r="B192" s="38" t="n"/>
      <c r="C192" s="38" t="n"/>
      <c r="D192" s="38" t="n"/>
      <c r="E192" s="57" t="n"/>
      <c r="F192" s="57" t="n"/>
      <c r="G192" s="38" t="n"/>
      <c r="H192" s="38" t="n"/>
      <c r="I192" s="47" t="n"/>
      <c r="J192" s="38" t="n"/>
      <c r="K192" s="49">
        <f>IF(B192="","",IFERROR(INDEX('JOBS'!$D$5:$D$1504,MATCH(B192,'JOBS'!$A$5:$A$1504,0)),""))</f>
        <v/>
      </c>
      <c r="L192" s="49">
        <f>IF(B192="","",IFERROR(INDEX('JOBS'!$H$5:$H$1504,MATCH(B192,'JOBS'!$A$5:$A$1504,0)),""))</f>
        <v/>
      </c>
      <c r="M192" s="99">
        <f>IF(N(E192)=0,"",MIN(1,N(F192)/E192))</f>
        <v/>
      </c>
      <c r="N192" s="49">
        <f>IF(M192="","",IF(M192&gt;=QCPass,"Pass","Fail"))</f>
        <v/>
      </c>
      <c r="O192" s="49">
        <f>IF(A192="","",IF(H192&lt;&gt;"Yes","—",IF(J192="Yes","Resolved","Rework open")))</f>
        <v/>
      </c>
      <c r="P192" s="51">
        <f>IF(A192="","",DATE(YEAR(A192),MONTH(A192),1))</f>
        <v/>
      </c>
    </row>
    <row r="193">
      <c r="A193" s="47" t="n"/>
      <c r="B193" s="38" t="n"/>
      <c r="C193" s="38" t="n"/>
      <c r="D193" s="38" t="n"/>
      <c r="E193" s="57" t="n"/>
      <c r="F193" s="57" t="n"/>
      <c r="G193" s="38" t="n"/>
      <c r="H193" s="38" t="n"/>
      <c r="I193" s="47" t="n"/>
      <c r="J193" s="38" t="n"/>
      <c r="K193" s="49">
        <f>IF(B193="","",IFERROR(INDEX('JOBS'!$D$5:$D$1504,MATCH(B193,'JOBS'!$A$5:$A$1504,0)),""))</f>
        <v/>
      </c>
      <c r="L193" s="49">
        <f>IF(B193="","",IFERROR(INDEX('JOBS'!$H$5:$H$1504,MATCH(B193,'JOBS'!$A$5:$A$1504,0)),""))</f>
        <v/>
      </c>
      <c r="M193" s="99">
        <f>IF(N(E193)=0,"",MIN(1,N(F193)/E193))</f>
        <v/>
      </c>
      <c r="N193" s="49">
        <f>IF(M193="","",IF(M193&gt;=QCPass,"Pass","Fail"))</f>
        <v/>
      </c>
      <c r="O193" s="49">
        <f>IF(A193="","",IF(H193&lt;&gt;"Yes","—",IF(J193="Yes","Resolved","Rework open")))</f>
        <v/>
      </c>
      <c r="P193" s="51">
        <f>IF(A193="","",DATE(YEAR(A193),MONTH(A193),1))</f>
        <v/>
      </c>
    </row>
    <row r="194">
      <c r="A194" s="47" t="n"/>
      <c r="B194" s="38" t="n"/>
      <c r="C194" s="38" t="n"/>
      <c r="D194" s="38" t="n"/>
      <c r="E194" s="57" t="n"/>
      <c r="F194" s="57" t="n"/>
      <c r="G194" s="38" t="n"/>
      <c r="H194" s="38" t="n"/>
      <c r="I194" s="47" t="n"/>
      <c r="J194" s="38" t="n"/>
      <c r="K194" s="49">
        <f>IF(B194="","",IFERROR(INDEX('JOBS'!$D$5:$D$1504,MATCH(B194,'JOBS'!$A$5:$A$1504,0)),""))</f>
        <v/>
      </c>
      <c r="L194" s="49">
        <f>IF(B194="","",IFERROR(INDEX('JOBS'!$H$5:$H$1504,MATCH(B194,'JOBS'!$A$5:$A$1504,0)),""))</f>
        <v/>
      </c>
      <c r="M194" s="99">
        <f>IF(N(E194)=0,"",MIN(1,N(F194)/E194))</f>
        <v/>
      </c>
      <c r="N194" s="49">
        <f>IF(M194="","",IF(M194&gt;=QCPass,"Pass","Fail"))</f>
        <v/>
      </c>
      <c r="O194" s="49">
        <f>IF(A194="","",IF(H194&lt;&gt;"Yes","—",IF(J194="Yes","Resolved","Rework open")))</f>
        <v/>
      </c>
      <c r="P194" s="51">
        <f>IF(A194="","",DATE(YEAR(A194),MONTH(A194),1))</f>
        <v/>
      </c>
    </row>
    <row r="195">
      <c r="A195" s="47" t="n"/>
      <c r="B195" s="38" t="n"/>
      <c r="C195" s="38" t="n"/>
      <c r="D195" s="38" t="n"/>
      <c r="E195" s="57" t="n"/>
      <c r="F195" s="57" t="n"/>
      <c r="G195" s="38" t="n"/>
      <c r="H195" s="38" t="n"/>
      <c r="I195" s="47" t="n"/>
      <c r="J195" s="38" t="n"/>
      <c r="K195" s="49">
        <f>IF(B195="","",IFERROR(INDEX('JOBS'!$D$5:$D$1504,MATCH(B195,'JOBS'!$A$5:$A$1504,0)),""))</f>
        <v/>
      </c>
      <c r="L195" s="49">
        <f>IF(B195="","",IFERROR(INDEX('JOBS'!$H$5:$H$1504,MATCH(B195,'JOBS'!$A$5:$A$1504,0)),""))</f>
        <v/>
      </c>
      <c r="M195" s="99">
        <f>IF(N(E195)=0,"",MIN(1,N(F195)/E195))</f>
        <v/>
      </c>
      <c r="N195" s="49">
        <f>IF(M195="","",IF(M195&gt;=QCPass,"Pass","Fail"))</f>
        <v/>
      </c>
      <c r="O195" s="49">
        <f>IF(A195="","",IF(H195&lt;&gt;"Yes","—",IF(J195="Yes","Resolved","Rework open")))</f>
        <v/>
      </c>
      <c r="P195" s="51">
        <f>IF(A195="","",DATE(YEAR(A195),MONTH(A195),1))</f>
        <v/>
      </c>
    </row>
    <row r="196">
      <c r="A196" s="47" t="n"/>
      <c r="B196" s="38" t="n"/>
      <c r="C196" s="38" t="n"/>
      <c r="D196" s="38" t="n"/>
      <c r="E196" s="57" t="n"/>
      <c r="F196" s="57" t="n"/>
      <c r="G196" s="38" t="n"/>
      <c r="H196" s="38" t="n"/>
      <c r="I196" s="47" t="n"/>
      <c r="J196" s="38" t="n"/>
      <c r="K196" s="49">
        <f>IF(B196="","",IFERROR(INDEX('JOBS'!$D$5:$D$1504,MATCH(B196,'JOBS'!$A$5:$A$1504,0)),""))</f>
        <v/>
      </c>
      <c r="L196" s="49">
        <f>IF(B196="","",IFERROR(INDEX('JOBS'!$H$5:$H$1504,MATCH(B196,'JOBS'!$A$5:$A$1504,0)),""))</f>
        <v/>
      </c>
      <c r="M196" s="99">
        <f>IF(N(E196)=0,"",MIN(1,N(F196)/E196))</f>
        <v/>
      </c>
      <c r="N196" s="49">
        <f>IF(M196="","",IF(M196&gt;=QCPass,"Pass","Fail"))</f>
        <v/>
      </c>
      <c r="O196" s="49">
        <f>IF(A196="","",IF(H196&lt;&gt;"Yes","—",IF(J196="Yes","Resolved","Rework open")))</f>
        <v/>
      </c>
      <c r="P196" s="51">
        <f>IF(A196="","",DATE(YEAR(A196),MONTH(A196),1))</f>
        <v/>
      </c>
    </row>
    <row r="197">
      <c r="A197" s="47" t="n"/>
      <c r="B197" s="38" t="n"/>
      <c r="C197" s="38" t="n"/>
      <c r="D197" s="38" t="n"/>
      <c r="E197" s="57" t="n"/>
      <c r="F197" s="57" t="n"/>
      <c r="G197" s="38" t="n"/>
      <c r="H197" s="38" t="n"/>
      <c r="I197" s="47" t="n"/>
      <c r="J197" s="38" t="n"/>
      <c r="K197" s="49">
        <f>IF(B197="","",IFERROR(INDEX('JOBS'!$D$5:$D$1504,MATCH(B197,'JOBS'!$A$5:$A$1504,0)),""))</f>
        <v/>
      </c>
      <c r="L197" s="49">
        <f>IF(B197="","",IFERROR(INDEX('JOBS'!$H$5:$H$1504,MATCH(B197,'JOBS'!$A$5:$A$1504,0)),""))</f>
        <v/>
      </c>
      <c r="M197" s="99">
        <f>IF(N(E197)=0,"",MIN(1,N(F197)/E197))</f>
        <v/>
      </c>
      <c r="N197" s="49">
        <f>IF(M197="","",IF(M197&gt;=QCPass,"Pass","Fail"))</f>
        <v/>
      </c>
      <c r="O197" s="49">
        <f>IF(A197="","",IF(H197&lt;&gt;"Yes","—",IF(J197="Yes","Resolved","Rework open")))</f>
        <v/>
      </c>
      <c r="P197" s="51">
        <f>IF(A197="","",DATE(YEAR(A197),MONTH(A197),1))</f>
        <v/>
      </c>
    </row>
    <row r="198">
      <c r="A198" s="47" t="n"/>
      <c r="B198" s="38" t="n"/>
      <c r="C198" s="38" t="n"/>
      <c r="D198" s="38" t="n"/>
      <c r="E198" s="57" t="n"/>
      <c r="F198" s="57" t="n"/>
      <c r="G198" s="38" t="n"/>
      <c r="H198" s="38" t="n"/>
      <c r="I198" s="47" t="n"/>
      <c r="J198" s="38" t="n"/>
      <c r="K198" s="49">
        <f>IF(B198="","",IFERROR(INDEX('JOBS'!$D$5:$D$1504,MATCH(B198,'JOBS'!$A$5:$A$1504,0)),""))</f>
        <v/>
      </c>
      <c r="L198" s="49">
        <f>IF(B198="","",IFERROR(INDEX('JOBS'!$H$5:$H$1504,MATCH(B198,'JOBS'!$A$5:$A$1504,0)),""))</f>
        <v/>
      </c>
      <c r="M198" s="99">
        <f>IF(N(E198)=0,"",MIN(1,N(F198)/E198))</f>
        <v/>
      </c>
      <c r="N198" s="49">
        <f>IF(M198="","",IF(M198&gt;=QCPass,"Pass","Fail"))</f>
        <v/>
      </c>
      <c r="O198" s="49">
        <f>IF(A198="","",IF(H198&lt;&gt;"Yes","—",IF(J198="Yes","Resolved","Rework open")))</f>
        <v/>
      </c>
      <c r="P198" s="51">
        <f>IF(A198="","",DATE(YEAR(A198),MONTH(A198),1))</f>
        <v/>
      </c>
    </row>
    <row r="199">
      <c r="A199" s="47" t="n"/>
      <c r="B199" s="38" t="n"/>
      <c r="C199" s="38" t="n"/>
      <c r="D199" s="38" t="n"/>
      <c r="E199" s="57" t="n"/>
      <c r="F199" s="57" t="n"/>
      <c r="G199" s="38" t="n"/>
      <c r="H199" s="38" t="n"/>
      <c r="I199" s="47" t="n"/>
      <c r="J199" s="38" t="n"/>
      <c r="K199" s="49">
        <f>IF(B199="","",IFERROR(INDEX('JOBS'!$D$5:$D$1504,MATCH(B199,'JOBS'!$A$5:$A$1504,0)),""))</f>
        <v/>
      </c>
      <c r="L199" s="49">
        <f>IF(B199="","",IFERROR(INDEX('JOBS'!$H$5:$H$1504,MATCH(B199,'JOBS'!$A$5:$A$1504,0)),""))</f>
        <v/>
      </c>
      <c r="M199" s="99">
        <f>IF(N(E199)=0,"",MIN(1,N(F199)/E199))</f>
        <v/>
      </c>
      <c r="N199" s="49">
        <f>IF(M199="","",IF(M199&gt;=QCPass,"Pass","Fail"))</f>
        <v/>
      </c>
      <c r="O199" s="49">
        <f>IF(A199="","",IF(H199&lt;&gt;"Yes","—",IF(J199="Yes","Resolved","Rework open")))</f>
        <v/>
      </c>
      <c r="P199" s="51">
        <f>IF(A199="","",DATE(YEAR(A199),MONTH(A199),1))</f>
        <v/>
      </c>
    </row>
    <row r="200">
      <c r="A200" s="47" t="n"/>
      <c r="B200" s="38" t="n"/>
      <c r="C200" s="38" t="n"/>
      <c r="D200" s="38" t="n"/>
      <c r="E200" s="57" t="n"/>
      <c r="F200" s="57" t="n"/>
      <c r="G200" s="38" t="n"/>
      <c r="H200" s="38" t="n"/>
      <c r="I200" s="47" t="n"/>
      <c r="J200" s="38" t="n"/>
      <c r="K200" s="49">
        <f>IF(B200="","",IFERROR(INDEX('JOBS'!$D$5:$D$1504,MATCH(B200,'JOBS'!$A$5:$A$1504,0)),""))</f>
        <v/>
      </c>
      <c r="L200" s="49">
        <f>IF(B200="","",IFERROR(INDEX('JOBS'!$H$5:$H$1504,MATCH(B200,'JOBS'!$A$5:$A$1504,0)),""))</f>
        <v/>
      </c>
      <c r="M200" s="99">
        <f>IF(N(E200)=0,"",MIN(1,N(F200)/E200))</f>
        <v/>
      </c>
      <c r="N200" s="49">
        <f>IF(M200="","",IF(M200&gt;=QCPass,"Pass","Fail"))</f>
        <v/>
      </c>
      <c r="O200" s="49">
        <f>IF(A200="","",IF(H200&lt;&gt;"Yes","—",IF(J200="Yes","Resolved","Rework open")))</f>
        <v/>
      </c>
      <c r="P200" s="51">
        <f>IF(A200="","",DATE(YEAR(A200),MONTH(A200),1))</f>
        <v/>
      </c>
    </row>
    <row r="201">
      <c r="A201" s="47" t="n"/>
      <c r="B201" s="38" t="n"/>
      <c r="C201" s="38" t="n"/>
      <c r="D201" s="38" t="n"/>
      <c r="E201" s="57" t="n"/>
      <c r="F201" s="57" t="n"/>
      <c r="G201" s="38" t="n"/>
      <c r="H201" s="38" t="n"/>
      <c r="I201" s="47" t="n"/>
      <c r="J201" s="38" t="n"/>
      <c r="K201" s="49">
        <f>IF(B201="","",IFERROR(INDEX('JOBS'!$D$5:$D$1504,MATCH(B201,'JOBS'!$A$5:$A$1504,0)),""))</f>
        <v/>
      </c>
      <c r="L201" s="49">
        <f>IF(B201="","",IFERROR(INDEX('JOBS'!$H$5:$H$1504,MATCH(B201,'JOBS'!$A$5:$A$1504,0)),""))</f>
        <v/>
      </c>
      <c r="M201" s="99">
        <f>IF(N(E201)=0,"",MIN(1,N(F201)/E201))</f>
        <v/>
      </c>
      <c r="N201" s="49">
        <f>IF(M201="","",IF(M201&gt;=QCPass,"Pass","Fail"))</f>
        <v/>
      </c>
      <c r="O201" s="49">
        <f>IF(A201="","",IF(H201&lt;&gt;"Yes","—",IF(J201="Yes","Resolved","Rework open")))</f>
        <v/>
      </c>
      <c r="P201" s="51">
        <f>IF(A201="","",DATE(YEAR(A201),MONTH(A201),1))</f>
        <v/>
      </c>
    </row>
    <row r="202">
      <c r="A202" s="47" t="n"/>
      <c r="B202" s="38" t="n"/>
      <c r="C202" s="38" t="n"/>
      <c r="D202" s="38" t="n"/>
      <c r="E202" s="57" t="n"/>
      <c r="F202" s="57" t="n"/>
      <c r="G202" s="38" t="n"/>
      <c r="H202" s="38" t="n"/>
      <c r="I202" s="47" t="n"/>
      <c r="J202" s="38" t="n"/>
      <c r="K202" s="49">
        <f>IF(B202="","",IFERROR(INDEX('JOBS'!$D$5:$D$1504,MATCH(B202,'JOBS'!$A$5:$A$1504,0)),""))</f>
        <v/>
      </c>
      <c r="L202" s="49">
        <f>IF(B202="","",IFERROR(INDEX('JOBS'!$H$5:$H$1504,MATCH(B202,'JOBS'!$A$5:$A$1504,0)),""))</f>
        <v/>
      </c>
      <c r="M202" s="99">
        <f>IF(N(E202)=0,"",MIN(1,N(F202)/E202))</f>
        <v/>
      </c>
      <c r="N202" s="49">
        <f>IF(M202="","",IF(M202&gt;=QCPass,"Pass","Fail"))</f>
        <v/>
      </c>
      <c r="O202" s="49">
        <f>IF(A202="","",IF(H202&lt;&gt;"Yes","—",IF(J202="Yes","Resolved","Rework open")))</f>
        <v/>
      </c>
      <c r="P202" s="51">
        <f>IF(A202="","",DATE(YEAR(A202),MONTH(A202),1))</f>
        <v/>
      </c>
    </row>
    <row r="203">
      <c r="A203" s="47" t="n"/>
      <c r="B203" s="38" t="n"/>
      <c r="C203" s="38" t="n"/>
      <c r="D203" s="38" t="n"/>
      <c r="E203" s="57" t="n"/>
      <c r="F203" s="57" t="n"/>
      <c r="G203" s="38" t="n"/>
      <c r="H203" s="38" t="n"/>
      <c r="I203" s="47" t="n"/>
      <c r="J203" s="38" t="n"/>
      <c r="K203" s="49">
        <f>IF(B203="","",IFERROR(INDEX('JOBS'!$D$5:$D$1504,MATCH(B203,'JOBS'!$A$5:$A$1504,0)),""))</f>
        <v/>
      </c>
      <c r="L203" s="49">
        <f>IF(B203="","",IFERROR(INDEX('JOBS'!$H$5:$H$1504,MATCH(B203,'JOBS'!$A$5:$A$1504,0)),""))</f>
        <v/>
      </c>
      <c r="M203" s="99">
        <f>IF(N(E203)=0,"",MIN(1,N(F203)/E203))</f>
        <v/>
      </c>
      <c r="N203" s="49">
        <f>IF(M203="","",IF(M203&gt;=QCPass,"Pass","Fail"))</f>
        <v/>
      </c>
      <c r="O203" s="49">
        <f>IF(A203="","",IF(H203&lt;&gt;"Yes","—",IF(J203="Yes","Resolved","Rework open")))</f>
        <v/>
      </c>
      <c r="P203" s="51">
        <f>IF(A203="","",DATE(YEAR(A203),MONTH(A203),1))</f>
        <v/>
      </c>
    </row>
    <row r="204">
      <c r="A204" s="47" t="n"/>
      <c r="B204" s="38" t="n"/>
      <c r="C204" s="38" t="n"/>
      <c r="D204" s="38" t="n"/>
      <c r="E204" s="57" t="n"/>
      <c r="F204" s="57" t="n"/>
      <c r="G204" s="38" t="n"/>
      <c r="H204" s="38" t="n"/>
      <c r="I204" s="47" t="n"/>
      <c r="J204" s="38" t="n"/>
      <c r="K204" s="49">
        <f>IF(B204="","",IFERROR(INDEX('JOBS'!$D$5:$D$1504,MATCH(B204,'JOBS'!$A$5:$A$1504,0)),""))</f>
        <v/>
      </c>
      <c r="L204" s="49">
        <f>IF(B204="","",IFERROR(INDEX('JOBS'!$H$5:$H$1504,MATCH(B204,'JOBS'!$A$5:$A$1504,0)),""))</f>
        <v/>
      </c>
      <c r="M204" s="99">
        <f>IF(N(E204)=0,"",MIN(1,N(F204)/E204))</f>
        <v/>
      </c>
      <c r="N204" s="49">
        <f>IF(M204="","",IF(M204&gt;=QCPass,"Pass","Fail"))</f>
        <v/>
      </c>
      <c r="O204" s="49">
        <f>IF(A204="","",IF(H204&lt;&gt;"Yes","—",IF(J204="Yes","Resolved","Rework open")))</f>
        <v/>
      </c>
      <c r="P204" s="51">
        <f>IF(A204="","",DATE(YEAR(A204),MONTH(A204),1))</f>
        <v/>
      </c>
    </row>
    <row r="205">
      <c r="A205" s="47" t="n"/>
      <c r="B205" s="38" t="n"/>
      <c r="C205" s="38" t="n"/>
      <c r="D205" s="38" t="n"/>
      <c r="E205" s="57" t="n"/>
      <c r="F205" s="57" t="n"/>
      <c r="G205" s="38" t="n"/>
      <c r="H205" s="38" t="n"/>
      <c r="I205" s="47" t="n"/>
      <c r="J205" s="38" t="n"/>
      <c r="K205" s="49">
        <f>IF(B205="","",IFERROR(INDEX('JOBS'!$D$5:$D$1504,MATCH(B205,'JOBS'!$A$5:$A$1504,0)),""))</f>
        <v/>
      </c>
      <c r="L205" s="49">
        <f>IF(B205="","",IFERROR(INDEX('JOBS'!$H$5:$H$1504,MATCH(B205,'JOBS'!$A$5:$A$1504,0)),""))</f>
        <v/>
      </c>
      <c r="M205" s="99">
        <f>IF(N(E205)=0,"",MIN(1,N(F205)/E205))</f>
        <v/>
      </c>
      <c r="N205" s="49">
        <f>IF(M205="","",IF(M205&gt;=QCPass,"Pass","Fail"))</f>
        <v/>
      </c>
      <c r="O205" s="49">
        <f>IF(A205="","",IF(H205&lt;&gt;"Yes","—",IF(J205="Yes","Resolved","Rework open")))</f>
        <v/>
      </c>
      <c r="P205" s="51">
        <f>IF(A205="","",DATE(YEAR(A205),MONTH(A205),1))</f>
        <v/>
      </c>
    </row>
    <row r="206">
      <c r="A206" s="47" t="n"/>
      <c r="B206" s="38" t="n"/>
      <c r="C206" s="38" t="n"/>
      <c r="D206" s="38" t="n"/>
      <c r="E206" s="57" t="n"/>
      <c r="F206" s="57" t="n"/>
      <c r="G206" s="38" t="n"/>
      <c r="H206" s="38" t="n"/>
      <c r="I206" s="47" t="n"/>
      <c r="J206" s="38" t="n"/>
      <c r="K206" s="49">
        <f>IF(B206="","",IFERROR(INDEX('JOBS'!$D$5:$D$1504,MATCH(B206,'JOBS'!$A$5:$A$1504,0)),""))</f>
        <v/>
      </c>
      <c r="L206" s="49">
        <f>IF(B206="","",IFERROR(INDEX('JOBS'!$H$5:$H$1504,MATCH(B206,'JOBS'!$A$5:$A$1504,0)),""))</f>
        <v/>
      </c>
      <c r="M206" s="99">
        <f>IF(N(E206)=0,"",MIN(1,N(F206)/E206))</f>
        <v/>
      </c>
      <c r="N206" s="49">
        <f>IF(M206="","",IF(M206&gt;=QCPass,"Pass","Fail"))</f>
        <v/>
      </c>
      <c r="O206" s="49">
        <f>IF(A206="","",IF(H206&lt;&gt;"Yes","—",IF(J206="Yes","Resolved","Rework open")))</f>
        <v/>
      </c>
      <c r="P206" s="51">
        <f>IF(A206="","",DATE(YEAR(A206),MONTH(A206),1))</f>
        <v/>
      </c>
    </row>
    <row r="207">
      <c r="A207" s="47" t="n"/>
      <c r="B207" s="38" t="n"/>
      <c r="C207" s="38" t="n"/>
      <c r="D207" s="38" t="n"/>
      <c r="E207" s="57" t="n"/>
      <c r="F207" s="57" t="n"/>
      <c r="G207" s="38" t="n"/>
      <c r="H207" s="38" t="n"/>
      <c r="I207" s="47" t="n"/>
      <c r="J207" s="38" t="n"/>
      <c r="K207" s="49">
        <f>IF(B207="","",IFERROR(INDEX('JOBS'!$D$5:$D$1504,MATCH(B207,'JOBS'!$A$5:$A$1504,0)),""))</f>
        <v/>
      </c>
      <c r="L207" s="49">
        <f>IF(B207="","",IFERROR(INDEX('JOBS'!$H$5:$H$1504,MATCH(B207,'JOBS'!$A$5:$A$1504,0)),""))</f>
        <v/>
      </c>
      <c r="M207" s="99">
        <f>IF(N(E207)=0,"",MIN(1,N(F207)/E207))</f>
        <v/>
      </c>
      <c r="N207" s="49">
        <f>IF(M207="","",IF(M207&gt;=QCPass,"Pass","Fail"))</f>
        <v/>
      </c>
      <c r="O207" s="49">
        <f>IF(A207="","",IF(H207&lt;&gt;"Yes","—",IF(J207="Yes","Resolved","Rework open")))</f>
        <v/>
      </c>
      <c r="P207" s="51">
        <f>IF(A207="","",DATE(YEAR(A207),MONTH(A207),1))</f>
        <v/>
      </c>
    </row>
    <row r="208">
      <c r="A208" s="47" t="n"/>
      <c r="B208" s="38" t="n"/>
      <c r="C208" s="38" t="n"/>
      <c r="D208" s="38" t="n"/>
      <c r="E208" s="57" t="n"/>
      <c r="F208" s="57" t="n"/>
      <c r="G208" s="38" t="n"/>
      <c r="H208" s="38" t="n"/>
      <c r="I208" s="47" t="n"/>
      <c r="J208" s="38" t="n"/>
      <c r="K208" s="49">
        <f>IF(B208="","",IFERROR(INDEX('JOBS'!$D$5:$D$1504,MATCH(B208,'JOBS'!$A$5:$A$1504,0)),""))</f>
        <v/>
      </c>
      <c r="L208" s="49">
        <f>IF(B208="","",IFERROR(INDEX('JOBS'!$H$5:$H$1504,MATCH(B208,'JOBS'!$A$5:$A$1504,0)),""))</f>
        <v/>
      </c>
      <c r="M208" s="99">
        <f>IF(N(E208)=0,"",MIN(1,N(F208)/E208))</f>
        <v/>
      </c>
      <c r="N208" s="49">
        <f>IF(M208="","",IF(M208&gt;=QCPass,"Pass","Fail"))</f>
        <v/>
      </c>
      <c r="O208" s="49">
        <f>IF(A208="","",IF(H208&lt;&gt;"Yes","—",IF(J208="Yes","Resolved","Rework open")))</f>
        <v/>
      </c>
      <c r="P208" s="51">
        <f>IF(A208="","",DATE(YEAR(A208),MONTH(A208),1))</f>
        <v/>
      </c>
    </row>
    <row r="209">
      <c r="A209" s="47" t="n"/>
      <c r="B209" s="38" t="n"/>
      <c r="C209" s="38" t="n"/>
      <c r="D209" s="38" t="n"/>
      <c r="E209" s="57" t="n"/>
      <c r="F209" s="57" t="n"/>
      <c r="G209" s="38" t="n"/>
      <c r="H209" s="38" t="n"/>
      <c r="I209" s="47" t="n"/>
      <c r="J209" s="38" t="n"/>
      <c r="K209" s="49">
        <f>IF(B209="","",IFERROR(INDEX('JOBS'!$D$5:$D$1504,MATCH(B209,'JOBS'!$A$5:$A$1504,0)),""))</f>
        <v/>
      </c>
      <c r="L209" s="49">
        <f>IF(B209="","",IFERROR(INDEX('JOBS'!$H$5:$H$1504,MATCH(B209,'JOBS'!$A$5:$A$1504,0)),""))</f>
        <v/>
      </c>
      <c r="M209" s="99">
        <f>IF(N(E209)=0,"",MIN(1,N(F209)/E209))</f>
        <v/>
      </c>
      <c r="N209" s="49">
        <f>IF(M209="","",IF(M209&gt;=QCPass,"Pass","Fail"))</f>
        <v/>
      </c>
      <c r="O209" s="49">
        <f>IF(A209="","",IF(H209&lt;&gt;"Yes","—",IF(J209="Yes","Resolved","Rework open")))</f>
        <v/>
      </c>
      <c r="P209" s="51">
        <f>IF(A209="","",DATE(YEAR(A209),MONTH(A209),1))</f>
        <v/>
      </c>
    </row>
    <row r="210">
      <c r="A210" s="47" t="n"/>
      <c r="B210" s="38" t="n"/>
      <c r="C210" s="38" t="n"/>
      <c r="D210" s="38" t="n"/>
      <c r="E210" s="57" t="n"/>
      <c r="F210" s="57" t="n"/>
      <c r="G210" s="38" t="n"/>
      <c r="H210" s="38" t="n"/>
      <c r="I210" s="47" t="n"/>
      <c r="J210" s="38" t="n"/>
      <c r="K210" s="49">
        <f>IF(B210="","",IFERROR(INDEX('JOBS'!$D$5:$D$1504,MATCH(B210,'JOBS'!$A$5:$A$1504,0)),""))</f>
        <v/>
      </c>
      <c r="L210" s="49">
        <f>IF(B210="","",IFERROR(INDEX('JOBS'!$H$5:$H$1504,MATCH(B210,'JOBS'!$A$5:$A$1504,0)),""))</f>
        <v/>
      </c>
      <c r="M210" s="99">
        <f>IF(N(E210)=0,"",MIN(1,N(F210)/E210))</f>
        <v/>
      </c>
      <c r="N210" s="49">
        <f>IF(M210="","",IF(M210&gt;=QCPass,"Pass","Fail"))</f>
        <v/>
      </c>
      <c r="O210" s="49">
        <f>IF(A210="","",IF(H210&lt;&gt;"Yes","—",IF(J210="Yes","Resolved","Rework open")))</f>
        <v/>
      </c>
      <c r="P210" s="51">
        <f>IF(A210="","",DATE(YEAR(A210),MONTH(A210),1))</f>
        <v/>
      </c>
    </row>
    <row r="211">
      <c r="A211" s="47" t="n"/>
      <c r="B211" s="38" t="n"/>
      <c r="C211" s="38" t="n"/>
      <c r="D211" s="38" t="n"/>
      <c r="E211" s="57" t="n"/>
      <c r="F211" s="57" t="n"/>
      <c r="G211" s="38" t="n"/>
      <c r="H211" s="38" t="n"/>
      <c r="I211" s="47" t="n"/>
      <c r="J211" s="38" t="n"/>
      <c r="K211" s="49">
        <f>IF(B211="","",IFERROR(INDEX('JOBS'!$D$5:$D$1504,MATCH(B211,'JOBS'!$A$5:$A$1504,0)),""))</f>
        <v/>
      </c>
      <c r="L211" s="49">
        <f>IF(B211="","",IFERROR(INDEX('JOBS'!$H$5:$H$1504,MATCH(B211,'JOBS'!$A$5:$A$1504,0)),""))</f>
        <v/>
      </c>
      <c r="M211" s="99">
        <f>IF(N(E211)=0,"",MIN(1,N(F211)/E211))</f>
        <v/>
      </c>
      <c r="N211" s="49">
        <f>IF(M211="","",IF(M211&gt;=QCPass,"Pass","Fail"))</f>
        <v/>
      </c>
      <c r="O211" s="49">
        <f>IF(A211="","",IF(H211&lt;&gt;"Yes","—",IF(J211="Yes","Resolved","Rework open")))</f>
        <v/>
      </c>
      <c r="P211" s="51">
        <f>IF(A211="","",DATE(YEAR(A211),MONTH(A211),1))</f>
        <v/>
      </c>
    </row>
    <row r="212">
      <c r="A212" s="47" t="n"/>
      <c r="B212" s="38" t="n"/>
      <c r="C212" s="38" t="n"/>
      <c r="D212" s="38" t="n"/>
      <c r="E212" s="57" t="n"/>
      <c r="F212" s="57" t="n"/>
      <c r="G212" s="38" t="n"/>
      <c r="H212" s="38" t="n"/>
      <c r="I212" s="47" t="n"/>
      <c r="J212" s="38" t="n"/>
      <c r="K212" s="49">
        <f>IF(B212="","",IFERROR(INDEX('JOBS'!$D$5:$D$1504,MATCH(B212,'JOBS'!$A$5:$A$1504,0)),""))</f>
        <v/>
      </c>
      <c r="L212" s="49">
        <f>IF(B212="","",IFERROR(INDEX('JOBS'!$H$5:$H$1504,MATCH(B212,'JOBS'!$A$5:$A$1504,0)),""))</f>
        <v/>
      </c>
      <c r="M212" s="99">
        <f>IF(N(E212)=0,"",MIN(1,N(F212)/E212))</f>
        <v/>
      </c>
      <c r="N212" s="49">
        <f>IF(M212="","",IF(M212&gt;=QCPass,"Pass","Fail"))</f>
        <v/>
      </c>
      <c r="O212" s="49">
        <f>IF(A212="","",IF(H212&lt;&gt;"Yes","—",IF(J212="Yes","Resolved","Rework open")))</f>
        <v/>
      </c>
      <c r="P212" s="51">
        <f>IF(A212="","",DATE(YEAR(A212),MONTH(A212),1))</f>
        <v/>
      </c>
    </row>
    <row r="213">
      <c r="A213" s="47" t="n"/>
      <c r="B213" s="38" t="n"/>
      <c r="C213" s="38" t="n"/>
      <c r="D213" s="38" t="n"/>
      <c r="E213" s="57" t="n"/>
      <c r="F213" s="57" t="n"/>
      <c r="G213" s="38" t="n"/>
      <c r="H213" s="38" t="n"/>
      <c r="I213" s="47" t="n"/>
      <c r="J213" s="38" t="n"/>
      <c r="K213" s="49">
        <f>IF(B213="","",IFERROR(INDEX('JOBS'!$D$5:$D$1504,MATCH(B213,'JOBS'!$A$5:$A$1504,0)),""))</f>
        <v/>
      </c>
      <c r="L213" s="49">
        <f>IF(B213="","",IFERROR(INDEX('JOBS'!$H$5:$H$1504,MATCH(B213,'JOBS'!$A$5:$A$1504,0)),""))</f>
        <v/>
      </c>
      <c r="M213" s="99">
        <f>IF(N(E213)=0,"",MIN(1,N(F213)/E213))</f>
        <v/>
      </c>
      <c r="N213" s="49">
        <f>IF(M213="","",IF(M213&gt;=QCPass,"Pass","Fail"))</f>
        <v/>
      </c>
      <c r="O213" s="49">
        <f>IF(A213="","",IF(H213&lt;&gt;"Yes","—",IF(J213="Yes","Resolved","Rework open")))</f>
        <v/>
      </c>
      <c r="P213" s="51">
        <f>IF(A213="","",DATE(YEAR(A213),MONTH(A213),1))</f>
        <v/>
      </c>
    </row>
    <row r="214">
      <c r="A214" s="47" t="n"/>
      <c r="B214" s="38" t="n"/>
      <c r="C214" s="38" t="n"/>
      <c r="D214" s="38" t="n"/>
      <c r="E214" s="57" t="n"/>
      <c r="F214" s="57" t="n"/>
      <c r="G214" s="38" t="n"/>
      <c r="H214" s="38" t="n"/>
      <c r="I214" s="47" t="n"/>
      <c r="J214" s="38" t="n"/>
      <c r="K214" s="49">
        <f>IF(B214="","",IFERROR(INDEX('JOBS'!$D$5:$D$1504,MATCH(B214,'JOBS'!$A$5:$A$1504,0)),""))</f>
        <v/>
      </c>
      <c r="L214" s="49">
        <f>IF(B214="","",IFERROR(INDEX('JOBS'!$H$5:$H$1504,MATCH(B214,'JOBS'!$A$5:$A$1504,0)),""))</f>
        <v/>
      </c>
      <c r="M214" s="99">
        <f>IF(N(E214)=0,"",MIN(1,N(F214)/E214))</f>
        <v/>
      </c>
      <c r="N214" s="49">
        <f>IF(M214="","",IF(M214&gt;=QCPass,"Pass","Fail"))</f>
        <v/>
      </c>
      <c r="O214" s="49">
        <f>IF(A214="","",IF(H214&lt;&gt;"Yes","—",IF(J214="Yes","Resolved","Rework open")))</f>
        <v/>
      </c>
      <c r="P214" s="51">
        <f>IF(A214="","",DATE(YEAR(A214),MONTH(A214),1))</f>
        <v/>
      </c>
    </row>
    <row r="215">
      <c r="A215" s="47" t="n"/>
      <c r="B215" s="38" t="n"/>
      <c r="C215" s="38" t="n"/>
      <c r="D215" s="38" t="n"/>
      <c r="E215" s="57" t="n"/>
      <c r="F215" s="57" t="n"/>
      <c r="G215" s="38" t="n"/>
      <c r="H215" s="38" t="n"/>
      <c r="I215" s="47" t="n"/>
      <c r="J215" s="38" t="n"/>
      <c r="K215" s="49">
        <f>IF(B215="","",IFERROR(INDEX('JOBS'!$D$5:$D$1504,MATCH(B215,'JOBS'!$A$5:$A$1504,0)),""))</f>
        <v/>
      </c>
      <c r="L215" s="49">
        <f>IF(B215="","",IFERROR(INDEX('JOBS'!$H$5:$H$1504,MATCH(B215,'JOBS'!$A$5:$A$1504,0)),""))</f>
        <v/>
      </c>
      <c r="M215" s="99">
        <f>IF(N(E215)=0,"",MIN(1,N(F215)/E215))</f>
        <v/>
      </c>
      <c r="N215" s="49">
        <f>IF(M215="","",IF(M215&gt;=QCPass,"Pass","Fail"))</f>
        <v/>
      </c>
      <c r="O215" s="49">
        <f>IF(A215="","",IF(H215&lt;&gt;"Yes","—",IF(J215="Yes","Resolved","Rework open")))</f>
        <v/>
      </c>
      <c r="P215" s="51">
        <f>IF(A215="","",DATE(YEAR(A215),MONTH(A215),1))</f>
        <v/>
      </c>
    </row>
    <row r="216">
      <c r="A216" s="47" t="n"/>
      <c r="B216" s="38" t="n"/>
      <c r="C216" s="38" t="n"/>
      <c r="D216" s="38" t="n"/>
      <c r="E216" s="57" t="n"/>
      <c r="F216" s="57" t="n"/>
      <c r="G216" s="38" t="n"/>
      <c r="H216" s="38" t="n"/>
      <c r="I216" s="47" t="n"/>
      <c r="J216" s="38" t="n"/>
      <c r="K216" s="49">
        <f>IF(B216="","",IFERROR(INDEX('JOBS'!$D$5:$D$1504,MATCH(B216,'JOBS'!$A$5:$A$1504,0)),""))</f>
        <v/>
      </c>
      <c r="L216" s="49">
        <f>IF(B216="","",IFERROR(INDEX('JOBS'!$H$5:$H$1504,MATCH(B216,'JOBS'!$A$5:$A$1504,0)),""))</f>
        <v/>
      </c>
      <c r="M216" s="99">
        <f>IF(N(E216)=0,"",MIN(1,N(F216)/E216))</f>
        <v/>
      </c>
      <c r="N216" s="49">
        <f>IF(M216="","",IF(M216&gt;=QCPass,"Pass","Fail"))</f>
        <v/>
      </c>
      <c r="O216" s="49">
        <f>IF(A216="","",IF(H216&lt;&gt;"Yes","—",IF(J216="Yes","Resolved","Rework open")))</f>
        <v/>
      </c>
      <c r="P216" s="51">
        <f>IF(A216="","",DATE(YEAR(A216),MONTH(A216),1))</f>
        <v/>
      </c>
    </row>
    <row r="217">
      <c r="A217" s="47" t="n"/>
      <c r="B217" s="38" t="n"/>
      <c r="C217" s="38" t="n"/>
      <c r="D217" s="38" t="n"/>
      <c r="E217" s="57" t="n"/>
      <c r="F217" s="57" t="n"/>
      <c r="G217" s="38" t="n"/>
      <c r="H217" s="38" t="n"/>
      <c r="I217" s="47" t="n"/>
      <c r="J217" s="38" t="n"/>
      <c r="K217" s="49">
        <f>IF(B217="","",IFERROR(INDEX('JOBS'!$D$5:$D$1504,MATCH(B217,'JOBS'!$A$5:$A$1504,0)),""))</f>
        <v/>
      </c>
      <c r="L217" s="49">
        <f>IF(B217="","",IFERROR(INDEX('JOBS'!$H$5:$H$1504,MATCH(B217,'JOBS'!$A$5:$A$1504,0)),""))</f>
        <v/>
      </c>
      <c r="M217" s="99">
        <f>IF(N(E217)=0,"",MIN(1,N(F217)/E217))</f>
        <v/>
      </c>
      <c r="N217" s="49">
        <f>IF(M217="","",IF(M217&gt;=QCPass,"Pass","Fail"))</f>
        <v/>
      </c>
      <c r="O217" s="49">
        <f>IF(A217="","",IF(H217&lt;&gt;"Yes","—",IF(J217="Yes","Resolved","Rework open")))</f>
        <v/>
      </c>
      <c r="P217" s="51">
        <f>IF(A217="","",DATE(YEAR(A217),MONTH(A217),1))</f>
        <v/>
      </c>
    </row>
    <row r="218">
      <c r="A218" s="47" t="n"/>
      <c r="B218" s="38" t="n"/>
      <c r="C218" s="38" t="n"/>
      <c r="D218" s="38" t="n"/>
      <c r="E218" s="57" t="n"/>
      <c r="F218" s="57" t="n"/>
      <c r="G218" s="38" t="n"/>
      <c r="H218" s="38" t="n"/>
      <c r="I218" s="47" t="n"/>
      <c r="J218" s="38" t="n"/>
      <c r="K218" s="49">
        <f>IF(B218="","",IFERROR(INDEX('JOBS'!$D$5:$D$1504,MATCH(B218,'JOBS'!$A$5:$A$1504,0)),""))</f>
        <v/>
      </c>
      <c r="L218" s="49">
        <f>IF(B218="","",IFERROR(INDEX('JOBS'!$H$5:$H$1504,MATCH(B218,'JOBS'!$A$5:$A$1504,0)),""))</f>
        <v/>
      </c>
      <c r="M218" s="99">
        <f>IF(N(E218)=0,"",MIN(1,N(F218)/E218))</f>
        <v/>
      </c>
      <c r="N218" s="49">
        <f>IF(M218="","",IF(M218&gt;=QCPass,"Pass","Fail"))</f>
        <v/>
      </c>
      <c r="O218" s="49">
        <f>IF(A218="","",IF(H218&lt;&gt;"Yes","—",IF(J218="Yes","Resolved","Rework open")))</f>
        <v/>
      </c>
      <c r="P218" s="51">
        <f>IF(A218="","",DATE(YEAR(A218),MONTH(A218),1))</f>
        <v/>
      </c>
    </row>
    <row r="219">
      <c r="A219" s="47" t="n"/>
      <c r="B219" s="38" t="n"/>
      <c r="C219" s="38" t="n"/>
      <c r="D219" s="38" t="n"/>
      <c r="E219" s="57" t="n"/>
      <c r="F219" s="57" t="n"/>
      <c r="G219" s="38" t="n"/>
      <c r="H219" s="38" t="n"/>
      <c r="I219" s="47" t="n"/>
      <c r="J219" s="38" t="n"/>
      <c r="K219" s="49">
        <f>IF(B219="","",IFERROR(INDEX('JOBS'!$D$5:$D$1504,MATCH(B219,'JOBS'!$A$5:$A$1504,0)),""))</f>
        <v/>
      </c>
      <c r="L219" s="49">
        <f>IF(B219="","",IFERROR(INDEX('JOBS'!$H$5:$H$1504,MATCH(B219,'JOBS'!$A$5:$A$1504,0)),""))</f>
        <v/>
      </c>
      <c r="M219" s="99">
        <f>IF(N(E219)=0,"",MIN(1,N(F219)/E219))</f>
        <v/>
      </c>
      <c r="N219" s="49">
        <f>IF(M219="","",IF(M219&gt;=QCPass,"Pass","Fail"))</f>
        <v/>
      </c>
      <c r="O219" s="49">
        <f>IF(A219="","",IF(H219&lt;&gt;"Yes","—",IF(J219="Yes","Resolved","Rework open")))</f>
        <v/>
      </c>
      <c r="P219" s="51">
        <f>IF(A219="","",DATE(YEAR(A219),MONTH(A219),1))</f>
        <v/>
      </c>
    </row>
    <row r="220">
      <c r="A220" s="47" t="n"/>
      <c r="B220" s="38" t="n"/>
      <c r="C220" s="38" t="n"/>
      <c r="D220" s="38" t="n"/>
      <c r="E220" s="57" t="n"/>
      <c r="F220" s="57" t="n"/>
      <c r="G220" s="38" t="n"/>
      <c r="H220" s="38" t="n"/>
      <c r="I220" s="47" t="n"/>
      <c r="J220" s="38" t="n"/>
      <c r="K220" s="49">
        <f>IF(B220="","",IFERROR(INDEX('JOBS'!$D$5:$D$1504,MATCH(B220,'JOBS'!$A$5:$A$1504,0)),""))</f>
        <v/>
      </c>
      <c r="L220" s="49">
        <f>IF(B220="","",IFERROR(INDEX('JOBS'!$H$5:$H$1504,MATCH(B220,'JOBS'!$A$5:$A$1504,0)),""))</f>
        <v/>
      </c>
      <c r="M220" s="99">
        <f>IF(N(E220)=0,"",MIN(1,N(F220)/E220))</f>
        <v/>
      </c>
      <c r="N220" s="49">
        <f>IF(M220="","",IF(M220&gt;=QCPass,"Pass","Fail"))</f>
        <v/>
      </c>
      <c r="O220" s="49">
        <f>IF(A220="","",IF(H220&lt;&gt;"Yes","—",IF(J220="Yes","Resolved","Rework open")))</f>
        <v/>
      </c>
      <c r="P220" s="51">
        <f>IF(A220="","",DATE(YEAR(A220),MONTH(A220),1))</f>
        <v/>
      </c>
    </row>
    <row r="221">
      <c r="A221" s="47" t="n"/>
      <c r="B221" s="38" t="n"/>
      <c r="C221" s="38" t="n"/>
      <c r="D221" s="38" t="n"/>
      <c r="E221" s="57" t="n"/>
      <c r="F221" s="57" t="n"/>
      <c r="G221" s="38" t="n"/>
      <c r="H221" s="38" t="n"/>
      <c r="I221" s="47" t="n"/>
      <c r="J221" s="38" t="n"/>
      <c r="K221" s="49">
        <f>IF(B221="","",IFERROR(INDEX('JOBS'!$D$5:$D$1504,MATCH(B221,'JOBS'!$A$5:$A$1504,0)),""))</f>
        <v/>
      </c>
      <c r="L221" s="49">
        <f>IF(B221="","",IFERROR(INDEX('JOBS'!$H$5:$H$1504,MATCH(B221,'JOBS'!$A$5:$A$1504,0)),""))</f>
        <v/>
      </c>
      <c r="M221" s="99">
        <f>IF(N(E221)=0,"",MIN(1,N(F221)/E221))</f>
        <v/>
      </c>
      <c r="N221" s="49">
        <f>IF(M221="","",IF(M221&gt;=QCPass,"Pass","Fail"))</f>
        <v/>
      </c>
      <c r="O221" s="49">
        <f>IF(A221="","",IF(H221&lt;&gt;"Yes","—",IF(J221="Yes","Resolved","Rework open")))</f>
        <v/>
      </c>
      <c r="P221" s="51">
        <f>IF(A221="","",DATE(YEAR(A221),MONTH(A221),1))</f>
        <v/>
      </c>
    </row>
    <row r="222">
      <c r="A222" s="47" t="n"/>
      <c r="B222" s="38" t="n"/>
      <c r="C222" s="38" t="n"/>
      <c r="D222" s="38" t="n"/>
      <c r="E222" s="57" t="n"/>
      <c r="F222" s="57" t="n"/>
      <c r="G222" s="38" t="n"/>
      <c r="H222" s="38" t="n"/>
      <c r="I222" s="47" t="n"/>
      <c r="J222" s="38" t="n"/>
      <c r="K222" s="49">
        <f>IF(B222="","",IFERROR(INDEX('JOBS'!$D$5:$D$1504,MATCH(B222,'JOBS'!$A$5:$A$1504,0)),""))</f>
        <v/>
      </c>
      <c r="L222" s="49">
        <f>IF(B222="","",IFERROR(INDEX('JOBS'!$H$5:$H$1504,MATCH(B222,'JOBS'!$A$5:$A$1504,0)),""))</f>
        <v/>
      </c>
      <c r="M222" s="99">
        <f>IF(N(E222)=0,"",MIN(1,N(F222)/E222))</f>
        <v/>
      </c>
      <c r="N222" s="49">
        <f>IF(M222="","",IF(M222&gt;=QCPass,"Pass","Fail"))</f>
        <v/>
      </c>
      <c r="O222" s="49">
        <f>IF(A222="","",IF(H222&lt;&gt;"Yes","—",IF(J222="Yes","Resolved","Rework open")))</f>
        <v/>
      </c>
      <c r="P222" s="51">
        <f>IF(A222="","",DATE(YEAR(A222),MONTH(A222),1))</f>
        <v/>
      </c>
    </row>
    <row r="223">
      <c r="A223" s="47" t="n"/>
      <c r="B223" s="38" t="n"/>
      <c r="C223" s="38" t="n"/>
      <c r="D223" s="38" t="n"/>
      <c r="E223" s="57" t="n"/>
      <c r="F223" s="57" t="n"/>
      <c r="G223" s="38" t="n"/>
      <c r="H223" s="38" t="n"/>
      <c r="I223" s="47" t="n"/>
      <c r="J223" s="38" t="n"/>
      <c r="K223" s="49">
        <f>IF(B223="","",IFERROR(INDEX('JOBS'!$D$5:$D$1504,MATCH(B223,'JOBS'!$A$5:$A$1504,0)),""))</f>
        <v/>
      </c>
      <c r="L223" s="49">
        <f>IF(B223="","",IFERROR(INDEX('JOBS'!$H$5:$H$1504,MATCH(B223,'JOBS'!$A$5:$A$1504,0)),""))</f>
        <v/>
      </c>
      <c r="M223" s="99">
        <f>IF(N(E223)=0,"",MIN(1,N(F223)/E223))</f>
        <v/>
      </c>
      <c r="N223" s="49">
        <f>IF(M223="","",IF(M223&gt;=QCPass,"Pass","Fail"))</f>
        <v/>
      </c>
      <c r="O223" s="49">
        <f>IF(A223="","",IF(H223&lt;&gt;"Yes","—",IF(J223="Yes","Resolved","Rework open")))</f>
        <v/>
      </c>
      <c r="P223" s="51">
        <f>IF(A223="","",DATE(YEAR(A223),MONTH(A223),1))</f>
        <v/>
      </c>
    </row>
    <row r="224">
      <c r="A224" s="47" t="n"/>
      <c r="B224" s="38" t="n"/>
      <c r="C224" s="38" t="n"/>
      <c r="D224" s="38" t="n"/>
      <c r="E224" s="57" t="n"/>
      <c r="F224" s="57" t="n"/>
      <c r="G224" s="38" t="n"/>
      <c r="H224" s="38" t="n"/>
      <c r="I224" s="47" t="n"/>
      <c r="J224" s="38" t="n"/>
      <c r="K224" s="49">
        <f>IF(B224="","",IFERROR(INDEX('JOBS'!$D$5:$D$1504,MATCH(B224,'JOBS'!$A$5:$A$1504,0)),""))</f>
        <v/>
      </c>
      <c r="L224" s="49">
        <f>IF(B224="","",IFERROR(INDEX('JOBS'!$H$5:$H$1504,MATCH(B224,'JOBS'!$A$5:$A$1504,0)),""))</f>
        <v/>
      </c>
      <c r="M224" s="99">
        <f>IF(N(E224)=0,"",MIN(1,N(F224)/E224))</f>
        <v/>
      </c>
      <c r="N224" s="49">
        <f>IF(M224="","",IF(M224&gt;=QCPass,"Pass","Fail"))</f>
        <v/>
      </c>
      <c r="O224" s="49">
        <f>IF(A224="","",IF(H224&lt;&gt;"Yes","—",IF(J224="Yes","Resolved","Rework open")))</f>
        <v/>
      </c>
      <c r="P224" s="51">
        <f>IF(A224="","",DATE(YEAR(A224),MONTH(A224),1))</f>
        <v/>
      </c>
    </row>
    <row r="225">
      <c r="A225" s="47" t="n"/>
      <c r="B225" s="38" t="n"/>
      <c r="C225" s="38" t="n"/>
      <c r="D225" s="38" t="n"/>
      <c r="E225" s="57" t="n"/>
      <c r="F225" s="57" t="n"/>
      <c r="G225" s="38" t="n"/>
      <c r="H225" s="38" t="n"/>
      <c r="I225" s="47" t="n"/>
      <c r="J225" s="38" t="n"/>
      <c r="K225" s="49">
        <f>IF(B225="","",IFERROR(INDEX('JOBS'!$D$5:$D$1504,MATCH(B225,'JOBS'!$A$5:$A$1504,0)),""))</f>
        <v/>
      </c>
      <c r="L225" s="49">
        <f>IF(B225="","",IFERROR(INDEX('JOBS'!$H$5:$H$1504,MATCH(B225,'JOBS'!$A$5:$A$1504,0)),""))</f>
        <v/>
      </c>
      <c r="M225" s="99">
        <f>IF(N(E225)=0,"",MIN(1,N(F225)/E225))</f>
        <v/>
      </c>
      <c r="N225" s="49">
        <f>IF(M225="","",IF(M225&gt;=QCPass,"Pass","Fail"))</f>
        <v/>
      </c>
      <c r="O225" s="49">
        <f>IF(A225="","",IF(H225&lt;&gt;"Yes","—",IF(J225="Yes","Resolved","Rework open")))</f>
        <v/>
      </c>
      <c r="P225" s="51">
        <f>IF(A225="","",DATE(YEAR(A225),MONTH(A225),1))</f>
        <v/>
      </c>
    </row>
    <row r="226">
      <c r="A226" s="47" t="n"/>
      <c r="B226" s="38" t="n"/>
      <c r="C226" s="38" t="n"/>
      <c r="D226" s="38" t="n"/>
      <c r="E226" s="57" t="n"/>
      <c r="F226" s="57" t="n"/>
      <c r="G226" s="38" t="n"/>
      <c r="H226" s="38" t="n"/>
      <c r="I226" s="47" t="n"/>
      <c r="J226" s="38" t="n"/>
      <c r="K226" s="49">
        <f>IF(B226="","",IFERROR(INDEX('JOBS'!$D$5:$D$1504,MATCH(B226,'JOBS'!$A$5:$A$1504,0)),""))</f>
        <v/>
      </c>
      <c r="L226" s="49">
        <f>IF(B226="","",IFERROR(INDEX('JOBS'!$H$5:$H$1504,MATCH(B226,'JOBS'!$A$5:$A$1504,0)),""))</f>
        <v/>
      </c>
      <c r="M226" s="99">
        <f>IF(N(E226)=0,"",MIN(1,N(F226)/E226))</f>
        <v/>
      </c>
      <c r="N226" s="49">
        <f>IF(M226="","",IF(M226&gt;=QCPass,"Pass","Fail"))</f>
        <v/>
      </c>
      <c r="O226" s="49">
        <f>IF(A226="","",IF(H226&lt;&gt;"Yes","—",IF(J226="Yes","Resolved","Rework open")))</f>
        <v/>
      </c>
      <c r="P226" s="51">
        <f>IF(A226="","",DATE(YEAR(A226),MONTH(A226),1))</f>
        <v/>
      </c>
    </row>
    <row r="227">
      <c r="A227" s="47" t="n"/>
      <c r="B227" s="38" t="n"/>
      <c r="C227" s="38" t="n"/>
      <c r="D227" s="38" t="n"/>
      <c r="E227" s="57" t="n"/>
      <c r="F227" s="57" t="n"/>
      <c r="G227" s="38" t="n"/>
      <c r="H227" s="38" t="n"/>
      <c r="I227" s="47" t="n"/>
      <c r="J227" s="38" t="n"/>
      <c r="K227" s="49">
        <f>IF(B227="","",IFERROR(INDEX('JOBS'!$D$5:$D$1504,MATCH(B227,'JOBS'!$A$5:$A$1504,0)),""))</f>
        <v/>
      </c>
      <c r="L227" s="49">
        <f>IF(B227="","",IFERROR(INDEX('JOBS'!$H$5:$H$1504,MATCH(B227,'JOBS'!$A$5:$A$1504,0)),""))</f>
        <v/>
      </c>
      <c r="M227" s="99">
        <f>IF(N(E227)=0,"",MIN(1,N(F227)/E227))</f>
        <v/>
      </c>
      <c r="N227" s="49">
        <f>IF(M227="","",IF(M227&gt;=QCPass,"Pass","Fail"))</f>
        <v/>
      </c>
      <c r="O227" s="49">
        <f>IF(A227="","",IF(H227&lt;&gt;"Yes","—",IF(J227="Yes","Resolved","Rework open")))</f>
        <v/>
      </c>
      <c r="P227" s="51">
        <f>IF(A227="","",DATE(YEAR(A227),MONTH(A227),1))</f>
        <v/>
      </c>
    </row>
    <row r="228">
      <c r="A228" s="47" t="n"/>
      <c r="B228" s="38" t="n"/>
      <c r="C228" s="38" t="n"/>
      <c r="D228" s="38" t="n"/>
      <c r="E228" s="57" t="n"/>
      <c r="F228" s="57" t="n"/>
      <c r="G228" s="38" t="n"/>
      <c r="H228" s="38" t="n"/>
      <c r="I228" s="47" t="n"/>
      <c r="J228" s="38" t="n"/>
      <c r="K228" s="49">
        <f>IF(B228="","",IFERROR(INDEX('JOBS'!$D$5:$D$1504,MATCH(B228,'JOBS'!$A$5:$A$1504,0)),""))</f>
        <v/>
      </c>
      <c r="L228" s="49">
        <f>IF(B228="","",IFERROR(INDEX('JOBS'!$H$5:$H$1504,MATCH(B228,'JOBS'!$A$5:$A$1504,0)),""))</f>
        <v/>
      </c>
      <c r="M228" s="99">
        <f>IF(N(E228)=0,"",MIN(1,N(F228)/E228))</f>
        <v/>
      </c>
      <c r="N228" s="49">
        <f>IF(M228="","",IF(M228&gt;=QCPass,"Pass","Fail"))</f>
        <v/>
      </c>
      <c r="O228" s="49">
        <f>IF(A228="","",IF(H228&lt;&gt;"Yes","—",IF(J228="Yes","Resolved","Rework open")))</f>
        <v/>
      </c>
      <c r="P228" s="51">
        <f>IF(A228="","",DATE(YEAR(A228),MONTH(A228),1))</f>
        <v/>
      </c>
    </row>
    <row r="229">
      <c r="A229" s="47" t="n"/>
      <c r="B229" s="38" t="n"/>
      <c r="C229" s="38" t="n"/>
      <c r="D229" s="38" t="n"/>
      <c r="E229" s="57" t="n"/>
      <c r="F229" s="57" t="n"/>
      <c r="G229" s="38" t="n"/>
      <c r="H229" s="38" t="n"/>
      <c r="I229" s="47" t="n"/>
      <c r="J229" s="38" t="n"/>
      <c r="K229" s="49">
        <f>IF(B229="","",IFERROR(INDEX('JOBS'!$D$5:$D$1504,MATCH(B229,'JOBS'!$A$5:$A$1504,0)),""))</f>
        <v/>
      </c>
      <c r="L229" s="49">
        <f>IF(B229="","",IFERROR(INDEX('JOBS'!$H$5:$H$1504,MATCH(B229,'JOBS'!$A$5:$A$1504,0)),""))</f>
        <v/>
      </c>
      <c r="M229" s="99">
        <f>IF(N(E229)=0,"",MIN(1,N(F229)/E229))</f>
        <v/>
      </c>
      <c r="N229" s="49">
        <f>IF(M229="","",IF(M229&gt;=QCPass,"Pass","Fail"))</f>
        <v/>
      </c>
      <c r="O229" s="49">
        <f>IF(A229="","",IF(H229&lt;&gt;"Yes","—",IF(J229="Yes","Resolved","Rework open")))</f>
        <v/>
      </c>
      <c r="P229" s="51">
        <f>IF(A229="","",DATE(YEAR(A229),MONTH(A229),1))</f>
        <v/>
      </c>
    </row>
    <row r="230">
      <c r="A230" s="47" t="n"/>
      <c r="B230" s="38" t="n"/>
      <c r="C230" s="38" t="n"/>
      <c r="D230" s="38" t="n"/>
      <c r="E230" s="57" t="n"/>
      <c r="F230" s="57" t="n"/>
      <c r="G230" s="38" t="n"/>
      <c r="H230" s="38" t="n"/>
      <c r="I230" s="47" t="n"/>
      <c r="J230" s="38" t="n"/>
      <c r="K230" s="49">
        <f>IF(B230="","",IFERROR(INDEX('JOBS'!$D$5:$D$1504,MATCH(B230,'JOBS'!$A$5:$A$1504,0)),""))</f>
        <v/>
      </c>
      <c r="L230" s="49">
        <f>IF(B230="","",IFERROR(INDEX('JOBS'!$H$5:$H$1504,MATCH(B230,'JOBS'!$A$5:$A$1504,0)),""))</f>
        <v/>
      </c>
      <c r="M230" s="99">
        <f>IF(N(E230)=0,"",MIN(1,N(F230)/E230))</f>
        <v/>
      </c>
      <c r="N230" s="49">
        <f>IF(M230="","",IF(M230&gt;=QCPass,"Pass","Fail"))</f>
        <v/>
      </c>
      <c r="O230" s="49">
        <f>IF(A230="","",IF(H230&lt;&gt;"Yes","—",IF(J230="Yes","Resolved","Rework open")))</f>
        <v/>
      </c>
      <c r="P230" s="51">
        <f>IF(A230="","",DATE(YEAR(A230),MONTH(A230),1))</f>
        <v/>
      </c>
    </row>
    <row r="231">
      <c r="A231" s="47" t="n"/>
      <c r="B231" s="38" t="n"/>
      <c r="C231" s="38" t="n"/>
      <c r="D231" s="38" t="n"/>
      <c r="E231" s="57" t="n"/>
      <c r="F231" s="57" t="n"/>
      <c r="G231" s="38" t="n"/>
      <c r="H231" s="38" t="n"/>
      <c r="I231" s="47" t="n"/>
      <c r="J231" s="38" t="n"/>
      <c r="K231" s="49">
        <f>IF(B231="","",IFERROR(INDEX('JOBS'!$D$5:$D$1504,MATCH(B231,'JOBS'!$A$5:$A$1504,0)),""))</f>
        <v/>
      </c>
      <c r="L231" s="49">
        <f>IF(B231="","",IFERROR(INDEX('JOBS'!$H$5:$H$1504,MATCH(B231,'JOBS'!$A$5:$A$1504,0)),""))</f>
        <v/>
      </c>
      <c r="M231" s="99">
        <f>IF(N(E231)=0,"",MIN(1,N(F231)/E231))</f>
        <v/>
      </c>
      <c r="N231" s="49">
        <f>IF(M231="","",IF(M231&gt;=QCPass,"Pass","Fail"))</f>
        <v/>
      </c>
      <c r="O231" s="49">
        <f>IF(A231="","",IF(H231&lt;&gt;"Yes","—",IF(J231="Yes","Resolved","Rework open")))</f>
        <v/>
      </c>
      <c r="P231" s="51">
        <f>IF(A231="","",DATE(YEAR(A231),MONTH(A231),1))</f>
        <v/>
      </c>
    </row>
    <row r="232">
      <c r="A232" s="47" t="n"/>
      <c r="B232" s="38" t="n"/>
      <c r="C232" s="38" t="n"/>
      <c r="D232" s="38" t="n"/>
      <c r="E232" s="57" t="n"/>
      <c r="F232" s="57" t="n"/>
      <c r="G232" s="38" t="n"/>
      <c r="H232" s="38" t="n"/>
      <c r="I232" s="47" t="n"/>
      <c r="J232" s="38" t="n"/>
      <c r="K232" s="49">
        <f>IF(B232="","",IFERROR(INDEX('JOBS'!$D$5:$D$1504,MATCH(B232,'JOBS'!$A$5:$A$1504,0)),""))</f>
        <v/>
      </c>
      <c r="L232" s="49">
        <f>IF(B232="","",IFERROR(INDEX('JOBS'!$H$5:$H$1504,MATCH(B232,'JOBS'!$A$5:$A$1504,0)),""))</f>
        <v/>
      </c>
      <c r="M232" s="99">
        <f>IF(N(E232)=0,"",MIN(1,N(F232)/E232))</f>
        <v/>
      </c>
      <c r="N232" s="49">
        <f>IF(M232="","",IF(M232&gt;=QCPass,"Pass","Fail"))</f>
        <v/>
      </c>
      <c r="O232" s="49">
        <f>IF(A232="","",IF(H232&lt;&gt;"Yes","—",IF(J232="Yes","Resolved","Rework open")))</f>
        <v/>
      </c>
      <c r="P232" s="51">
        <f>IF(A232="","",DATE(YEAR(A232),MONTH(A232),1))</f>
        <v/>
      </c>
    </row>
    <row r="233">
      <c r="A233" s="47" t="n"/>
      <c r="B233" s="38" t="n"/>
      <c r="C233" s="38" t="n"/>
      <c r="D233" s="38" t="n"/>
      <c r="E233" s="57" t="n"/>
      <c r="F233" s="57" t="n"/>
      <c r="G233" s="38" t="n"/>
      <c r="H233" s="38" t="n"/>
      <c r="I233" s="47" t="n"/>
      <c r="J233" s="38" t="n"/>
      <c r="K233" s="49">
        <f>IF(B233="","",IFERROR(INDEX('JOBS'!$D$5:$D$1504,MATCH(B233,'JOBS'!$A$5:$A$1504,0)),""))</f>
        <v/>
      </c>
      <c r="L233" s="49">
        <f>IF(B233="","",IFERROR(INDEX('JOBS'!$H$5:$H$1504,MATCH(B233,'JOBS'!$A$5:$A$1504,0)),""))</f>
        <v/>
      </c>
      <c r="M233" s="99">
        <f>IF(N(E233)=0,"",MIN(1,N(F233)/E233))</f>
        <v/>
      </c>
      <c r="N233" s="49">
        <f>IF(M233="","",IF(M233&gt;=QCPass,"Pass","Fail"))</f>
        <v/>
      </c>
      <c r="O233" s="49">
        <f>IF(A233="","",IF(H233&lt;&gt;"Yes","—",IF(J233="Yes","Resolved","Rework open")))</f>
        <v/>
      </c>
      <c r="P233" s="51">
        <f>IF(A233="","",DATE(YEAR(A233),MONTH(A233),1))</f>
        <v/>
      </c>
    </row>
    <row r="234">
      <c r="A234" s="47" t="n"/>
      <c r="B234" s="38" t="n"/>
      <c r="C234" s="38" t="n"/>
      <c r="D234" s="38" t="n"/>
      <c r="E234" s="57" t="n"/>
      <c r="F234" s="57" t="n"/>
      <c r="G234" s="38" t="n"/>
      <c r="H234" s="38" t="n"/>
      <c r="I234" s="47" t="n"/>
      <c r="J234" s="38" t="n"/>
      <c r="K234" s="49">
        <f>IF(B234="","",IFERROR(INDEX('JOBS'!$D$5:$D$1504,MATCH(B234,'JOBS'!$A$5:$A$1504,0)),""))</f>
        <v/>
      </c>
      <c r="L234" s="49">
        <f>IF(B234="","",IFERROR(INDEX('JOBS'!$H$5:$H$1504,MATCH(B234,'JOBS'!$A$5:$A$1504,0)),""))</f>
        <v/>
      </c>
      <c r="M234" s="99">
        <f>IF(N(E234)=0,"",MIN(1,N(F234)/E234))</f>
        <v/>
      </c>
      <c r="N234" s="49">
        <f>IF(M234="","",IF(M234&gt;=QCPass,"Pass","Fail"))</f>
        <v/>
      </c>
      <c r="O234" s="49">
        <f>IF(A234="","",IF(H234&lt;&gt;"Yes","—",IF(J234="Yes","Resolved","Rework open")))</f>
        <v/>
      </c>
      <c r="P234" s="51">
        <f>IF(A234="","",DATE(YEAR(A234),MONTH(A234),1))</f>
        <v/>
      </c>
    </row>
    <row r="235">
      <c r="A235" s="47" t="n"/>
      <c r="B235" s="38" t="n"/>
      <c r="C235" s="38" t="n"/>
      <c r="D235" s="38" t="n"/>
      <c r="E235" s="57" t="n"/>
      <c r="F235" s="57" t="n"/>
      <c r="G235" s="38" t="n"/>
      <c r="H235" s="38" t="n"/>
      <c r="I235" s="47" t="n"/>
      <c r="J235" s="38" t="n"/>
      <c r="K235" s="49">
        <f>IF(B235="","",IFERROR(INDEX('JOBS'!$D$5:$D$1504,MATCH(B235,'JOBS'!$A$5:$A$1504,0)),""))</f>
        <v/>
      </c>
      <c r="L235" s="49">
        <f>IF(B235="","",IFERROR(INDEX('JOBS'!$H$5:$H$1504,MATCH(B235,'JOBS'!$A$5:$A$1504,0)),""))</f>
        <v/>
      </c>
      <c r="M235" s="99">
        <f>IF(N(E235)=0,"",MIN(1,N(F235)/E235))</f>
        <v/>
      </c>
      <c r="N235" s="49">
        <f>IF(M235="","",IF(M235&gt;=QCPass,"Pass","Fail"))</f>
        <v/>
      </c>
      <c r="O235" s="49">
        <f>IF(A235="","",IF(H235&lt;&gt;"Yes","—",IF(J235="Yes","Resolved","Rework open")))</f>
        <v/>
      </c>
      <c r="P235" s="51">
        <f>IF(A235="","",DATE(YEAR(A235),MONTH(A235),1))</f>
        <v/>
      </c>
    </row>
    <row r="236">
      <c r="A236" s="47" t="n"/>
      <c r="B236" s="38" t="n"/>
      <c r="C236" s="38" t="n"/>
      <c r="D236" s="38" t="n"/>
      <c r="E236" s="57" t="n"/>
      <c r="F236" s="57" t="n"/>
      <c r="G236" s="38" t="n"/>
      <c r="H236" s="38" t="n"/>
      <c r="I236" s="47" t="n"/>
      <c r="J236" s="38" t="n"/>
      <c r="K236" s="49">
        <f>IF(B236="","",IFERROR(INDEX('JOBS'!$D$5:$D$1504,MATCH(B236,'JOBS'!$A$5:$A$1504,0)),""))</f>
        <v/>
      </c>
      <c r="L236" s="49">
        <f>IF(B236="","",IFERROR(INDEX('JOBS'!$H$5:$H$1504,MATCH(B236,'JOBS'!$A$5:$A$1504,0)),""))</f>
        <v/>
      </c>
      <c r="M236" s="99">
        <f>IF(N(E236)=0,"",MIN(1,N(F236)/E236))</f>
        <v/>
      </c>
      <c r="N236" s="49">
        <f>IF(M236="","",IF(M236&gt;=QCPass,"Pass","Fail"))</f>
        <v/>
      </c>
      <c r="O236" s="49">
        <f>IF(A236="","",IF(H236&lt;&gt;"Yes","—",IF(J236="Yes","Resolved","Rework open")))</f>
        <v/>
      </c>
      <c r="P236" s="51">
        <f>IF(A236="","",DATE(YEAR(A236),MONTH(A236),1))</f>
        <v/>
      </c>
    </row>
    <row r="237">
      <c r="A237" s="47" t="n"/>
      <c r="B237" s="38" t="n"/>
      <c r="C237" s="38" t="n"/>
      <c r="D237" s="38" t="n"/>
      <c r="E237" s="57" t="n"/>
      <c r="F237" s="57" t="n"/>
      <c r="G237" s="38" t="n"/>
      <c r="H237" s="38" t="n"/>
      <c r="I237" s="47" t="n"/>
      <c r="J237" s="38" t="n"/>
      <c r="K237" s="49">
        <f>IF(B237="","",IFERROR(INDEX('JOBS'!$D$5:$D$1504,MATCH(B237,'JOBS'!$A$5:$A$1504,0)),""))</f>
        <v/>
      </c>
      <c r="L237" s="49">
        <f>IF(B237="","",IFERROR(INDEX('JOBS'!$H$5:$H$1504,MATCH(B237,'JOBS'!$A$5:$A$1504,0)),""))</f>
        <v/>
      </c>
      <c r="M237" s="99">
        <f>IF(N(E237)=0,"",MIN(1,N(F237)/E237))</f>
        <v/>
      </c>
      <c r="N237" s="49">
        <f>IF(M237="","",IF(M237&gt;=QCPass,"Pass","Fail"))</f>
        <v/>
      </c>
      <c r="O237" s="49">
        <f>IF(A237="","",IF(H237&lt;&gt;"Yes","—",IF(J237="Yes","Resolved","Rework open")))</f>
        <v/>
      </c>
      <c r="P237" s="51">
        <f>IF(A237="","",DATE(YEAR(A237),MONTH(A237),1))</f>
        <v/>
      </c>
    </row>
    <row r="238">
      <c r="A238" s="47" t="n"/>
      <c r="B238" s="38" t="n"/>
      <c r="C238" s="38" t="n"/>
      <c r="D238" s="38" t="n"/>
      <c r="E238" s="57" t="n"/>
      <c r="F238" s="57" t="n"/>
      <c r="G238" s="38" t="n"/>
      <c r="H238" s="38" t="n"/>
      <c r="I238" s="47" t="n"/>
      <c r="J238" s="38" t="n"/>
      <c r="K238" s="49">
        <f>IF(B238="","",IFERROR(INDEX('JOBS'!$D$5:$D$1504,MATCH(B238,'JOBS'!$A$5:$A$1504,0)),""))</f>
        <v/>
      </c>
      <c r="L238" s="49">
        <f>IF(B238="","",IFERROR(INDEX('JOBS'!$H$5:$H$1504,MATCH(B238,'JOBS'!$A$5:$A$1504,0)),""))</f>
        <v/>
      </c>
      <c r="M238" s="99">
        <f>IF(N(E238)=0,"",MIN(1,N(F238)/E238))</f>
        <v/>
      </c>
      <c r="N238" s="49">
        <f>IF(M238="","",IF(M238&gt;=QCPass,"Pass","Fail"))</f>
        <v/>
      </c>
      <c r="O238" s="49">
        <f>IF(A238="","",IF(H238&lt;&gt;"Yes","—",IF(J238="Yes","Resolved","Rework open")))</f>
        <v/>
      </c>
      <c r="P238" s="51">
        <f>IF(A238="","",DATE(YEAR(A238),MONTH(A238),1))</f>
        <v/>
      </c>
    </row>
    <row r="239">
      <c r="A239" s="47" t="n"/>
      <c r="B239" s="38" t="n"/>
      <c r="C239" s="38" t="n"/>
      <c r="D239" s="38" t="n"/>
      <c r="E239" s="57" t="n"/>
      <c r="F239" s="57" t="n"/>
      <c r="G239" s="38" t="n"/>
      <c r="H239" s="38" t="n"/>
      <c r="I239" s="47" t="n"/>
      <c r="J239" s="38" t="n"/>
      <c r="K239" s="49">
        <f>IF(B239="","",IFERROR(INDEX('JOBS'!$D$5:$D$1504,MATCH(B239,'JOBS'!$A$5:$A$1504,0)),""))</f>
        <v/>
      </c>
      <c r="L239" s="49">
        <f>IF(B239="","",IFERROR(INDEX('JOBS'!$H$5:$H$1504,MATCH(B239,'JOBS'!$A$5:$A$1504,0)),""))</f>
        <v/>
      </c>
      <c r="M239" s="99">
        <f>IF(N(E239)=0,"",MIN(1,N(F239)/E239))</f>
        <v/>
      </c>
      <c r="N239" s="49">
        <f>IF(M239="","",IF(M239&gt;=QCPass,"Pass","Fail"))</f>
        <v/>
      </c>
      <c r="O239" s="49">
        <f>IF(A239="","",IF(H239&lt;&gt;"Yes","—",IF(J239="Yes","Resolved","Rework open")))</f>
        <v/>
      </c>
      <c r="P239" s="51">
        <f>IF(A239="","",DATE(YEAR(A239),MONTH(A239),1))</f>
        <v/>
      </c>
    </row>
    <row r="240">
      <c r="A240" s="47" t="n"/>
      <c r="B240" s="38" t="n"/>
      <c r="C240" s="38" t="n"/>
      <c r="D240" s="38" t="n"/>
      <c r="E240" s="57" t="n"/>
      <c r="F240" s="57" t="n"/>
      <c r="G240" s="38" t="n"/>
      <c r="H240" s="38" t="n"/>
      <c r="I240" s="47" t="n"/>
      <c r="J240" s="38" t="n"/>
      <c r="K240" s="49">
        <f>IF(B240="","",IFERROR(INDEX('JOBS'!$D$5:$D$1504,MATCH(B240,'JOBS'!$A$5:$A$1504,0)),""))</f>
        <v/>
      </c>
      <c r="L240" s="49">
        <f>IF(B240="","",IFERROR(INDEX('JOBS'!$H$5:$H$1504,MATCH(B240,'JOBS'!$A$5:$A$1504,0)),""))</f>
        <v/>
      </c>
      <c r="M240" s="99">
        <f>IF(N(E240)=0,"",MIN(1,N(F240)/E240))</f>
        <v/>
      </c>
      <c r="N240" s="49">
        <f>IF(M240="","",IF(M240&gt;=QCPass,"Pass","Fail"))</f>
        <v/>
      </c>
      <c r="O240" s="49">
        <f>IF(A240="","",IF(H240&lt;&gt;"Yes","—",IF(J240="Yes","Resolved","Rework open")))</f>
        <v/>
      </c>
      <c r="P240" s="51">
        <f>IF(A240="","",DATE(YEAR(A240),MONTH(A240),1))</f>
        <v/>
      </c>
    </row>
    <row r="241">
      <c r="A241" s="47" t="n"/>
      <c r="B241" s="38" t="n"/>
      <c r="C241" s="38" t="n"/>
      <c r="D241" s="38" t="n"/>
      <c r="E241" s="57" t="n"/>
      <c r="F241" s="57" t="n"/>
      <c r="G241" s="38" t="n"/>
      <c r="H241" s="38" t="n"/>
      <c r="I241" s="47" t="n"/>
      <c r="J241" s="38" t="n"/>
      <c r="K241" s="49">
        <f>IF(B241="","",IFERROR(INDEX('JOBS'!$D$5:$D$1504,MATCH(B241,'JOBS'!$A$5:$A$1504,0)),""))</f>
        <v/>
      </c>
      <c r="L241" s="49">
        <f>IF(B241="","",IFERROR(INDEX('JOBS'!$H$5:$H$1504,MATCH(B241,'JOBS'!$A$5:$A$1504,0)),""))</f>
        <v/>
      </c>
      <c r="M241" s="99">
        <f>IF(N(E241)=0,"",MIN(1,N(F241)/E241))</f>
        <v/>
      </c>
      <c r="N241" s="49">
        <f>IF(M241="","",IF(M241&gt;=QCPass,"Pass","Fail"))</f>
        <v/>
      </c>
      <c r="O241" s="49">
        <f>IF(A241="","",IF(H241&lt;&gt;"Yes","—",IF(J241="Yes","Resolved","Rework open")))</f>
        <v/>
      </c>
      <c r="P241" s="51">
        <f>IF(A241="","",DATE(YEAR(A241),MONTH(A241),1))</f>
        <v/>
      </c>
    </row>
    <row r="242">
      <c r="A242" s="47" t="n"/>
      <c r="B242" s="38" t="n"/>
      <c r="C242" s="38" t="n"/>
      <c r="D242" s="38" t="n"/>
      <c r="E242" s="57" t="n"/>
      <c r="F242" s="57" t="n"/>
      <c r="G242" s="38" t="n"/>
      <c r="H242" s="38" t="n"/>
      <c r="I242" s="47" t="n"/>
      <c r="J242" s="38" t="n"/>
      <c r="K242" s="49">
        <f>IF(B242="","",IFERROR(INDEX('JOBS'!$D$5:$D$1504,MATCH(B242,'JOBS'!$A$5:$A$1504,0)),""))</f>
        <v/>
      </c>
      <c r="L242" s="49">
        <f>IF(B242="","",IFERROR(INDEX('JOBS'!$H$5:$H$1504,MATCH(B242,'JOBS'!$A$5:$A$1504,0)),""))</f>
        <v/>
      </c>
      <c r="M242" s="99">
        <f>IF(N(E242)=0,"",MIN(1,N(F242)/E242))</f>
        <v/>
      </c>
      <c r="N242" s="49">
        <f>IF(M242="","",IF(M242&gt;=QCPass,"Pass","Fail"))</f>
        <v/>
      </c>
      <c r="O242" s="49">
        <f>IF(A242="","",IF(H242&lt;&gt;"Yes","—",IF(J242="Yes","Resolved","Rework open")))</f>
        <v/>
      </c>
      <c r="P242" s="51">
        <f>IF(A242="","",DATE(YEAR(A242),MONTH(A242),1))</f>
        <v/>
      </c>
    </row>
    <row r="243">
      <c r="A243" s="47" t="n"/>
      <c r="B243" s="38" t="n"/>
      <c r="C243" s="38" t="n"/>
      <c r="D243" s="38" t="n"/>
      <c r="E243" s="57" t="n"/>
      <c r="F243" s="57" t="n"/>
      <c r="G243" s="38" t="n"/>
      <c r="H243" s="38" t="n"/>
      <c r="I243" s="47" t="n"/>
      <c r="J243" s="38" t="n"/>
      <c r="K243" s="49">
        <f>IF(B243="","",IFERROR(INDEX('JOBS'!$D$5:$D$1504,MATCH(B243,'JOBS'!$A$5:$A$1504,0)),""))</f>
        <v/>
      </c>
      <c r="L243" s="49">
        <f>IF(B243="","",IFERROR(INDEX('JOBS'!$H$5:$H$1504,MATCH(B243,'JOBS'!$A$5:$A$1504,0)),""))</f>
        <v/>
      </c>
      <c r="M243" s="99">
        <f>IF(N(E243)=0,"",MIN(1,N(F243)/E243))</f>
        <v/>
      </c>
      <c r="N243" s="49">
        <f>IF(M243="","",IF(M243&gt;=QCPass,"Pass","Fail"))</f>
        <v/>
      </c>
      <c r="O243" s="49">
        <f>IF(A243="","",IF(H243&lt;&gt;"Yes","—",IF(J243="Yes","Resolved","Rework open")))</f>
        <v/>
      </c>
      <c r="P243" s="51">
        <f>IF(A243="","",DATE(YEAR(A243),MONTH(A243),1))</f>
        <v/>
      </c>
    </row>
    <row r="244">
      <c r="A244" s="47" t="n"/>
      <c r="B244" s="38" t="n"/>
      <c r="C244" s="38" t="n"/>
      <c r="D244" s="38" t="n"/>
      <c r="E244" s="57" t="n"/>
      <c r="F244" s="57" t="n"/>
      <c r="G244" s="38" t="n"/>
      <c r="H244" s="38" t="n"/>
      <c r="I244" s="47" t="n"/>
      <c r="J244" s="38" t="n"/>
      <c r="K244" s="49">
        <f>IF(B244="","",IFERROR(INDEX('JOBS'!$D$5:$D$1504,MATCH(B244,'JOBS'!$A$5:$A$1504,0)),""))</f>
        <v/>
      </c>
      <c r="L244" s="49">
        <f>IF(B244="","",IFERROR(INDEX('JOBS'!$H$5:$H$1504,MATCH(B244,'JOBS'!$A$5:$A$1504,0)),""))</f>
        <v/>
      </c>
      <c r="M244" s="99">
        <f>IF(N(E244)=0,"",MIN(1,N(F244)/E244))</f>
        <v/>
      </c>
      <c r="N244" s="49">
        <f>IF(M244="","",IF(M244&gt;=QCPass,"Pass","Fail"))</f>
        <v/>
      </c>
      <c r="O244" s="49">
        <f>IF(A244="","",IF(H244&lt;&gt;"Yes","—",IF(J244="Yes","Resolved","Rework open")))</f>
        <v/>
      </c>
      <c r="P244" s="51">
        <f>IF(A244="","",DATE(YEAR(A244),MONTH(A244),1))</f>
        <v/>
      </c>
    </row>
    <row r="245">
      <c r="A245" s="47" t="n"/>
      <c r="B245" s="38" t="n"/>
      <c r="C245" s="38" t="n"/>
      <c r="D245" s="38" t="n"/>
      <c r="E245" s="57" t="n"/>
      <c r="F245" s="57" t="n"/>
      <c r="G245" s="38" t="n"/>
      <c r="H245" s="38" t="n"/>
      <c r="I245" s="47" t="n"/>
      <c r="J245" s="38" t="n"/>
      <c r="K245" s="49">
        <f>IF(B245="","",IFERROR(INDEX('JOBS'!$D$5:$D$1504,MATCH(B245,'JOBS'!$A$5:$A$1504,0)),""))</f>
        <v/>
      </c>
      <c r="L245" s="49">
        <f>IF(B245="","",IFERROR(INDEX('JOBS'!$H$5:$H$1504,MATCH(B245,'JOBS'!$A$5:$A$1504,0)),""))</f>
        <v/>
      </c>
      <c r="M245" s="99">
        <f>IF(N(E245)=0,"",MIN(1,N(F245)/E245))</f>
        <v/>
      </c>
      <c r="N245" s="49">
        <f>IF(M245="","",IF(M245&gt;=QCPass,"Pass","Fail"))</f>
        <v/>
      </c>
      <c r="O245" s="49">
        <f>IF(A245="","",IF(H245&lt;&gt;"Yes","—",IF(J245="Yes","Resolved","Rework open")))</f>
        <v/>
      </c>
      <c r="P245" s="51">
        <f>IF(A245="","",DATE(YEAR(A245),MONTH(A245),1))</f>
        <v/>
      </c>
    </row>
    <row r="246">
      <c r="A246" s="47" t="n"/>
      <c r="B246" s="38" t="n"/>
      <c r="C246" s="38" t="n"/>
      <c r="D246" s="38" t="n"/>
      <c r="E246" s="57" t="n"/>
      <c r="F246" s="57" t="n"/>
      <c r="G246" s="38" t="n"/>
      <c r="H246" s="38" t="n"/>
      <c r="I246" s="47" t="n"/>
      <c r="J246" s="38" t="n"/>
      <c r="K246" s="49">
        <f>IF(B246="","",IFERROR(INDEX('JOBS'!$D$5:$D$1504,MATCH(B246,'JOBS'!$A$5:$A$1504,0)),""))</f>
        <v/>
      </c>
      <c r="L246" s="49">
        <f>IF(B246="","",IFERROR(INDEX('JOBS'!$H$5:$H$1504,MATCH(B246,'JOBS'!$A$5:$A$1504,0)),""))</f>
        <v/>
      </c>
      <c r="M246" s="99">
        <f>IF(N(E246)=0,"",MIN(1,N(F246)/E246))</f>
        <v/>
      </c>
      <c r="N246" s="49">
        <f>IF(M246="","",IF(M246&gt;=QCPass,"Pass","Fail"))</f>
        <v/>
      </c>
      <c r="O246" s="49">
        <f>IF(A246="","",IF(H246&lt;&gt;"Yes","—",IF(J246="Yes","Resolved","Rework open")))</f>
        <v/>
      </c>
      <c r="P246" s="51">
        <f>IF(A246="","",DATE(YEAR(A246),MONTH(A246),1))</f>
        <v/>
      </c>
    </row>
    <row r="247">
      <c r="A247" s="47" t="n"/>
      <c r="B247" s="38" t="n"/>
      <c r="C247" s="38" t="n"/>
      <c r="D247" s="38" t="n"/>
      <c r="E247" s="57" t="n"/>
      <c r="F247" s="57" t="n"/>
      <c r="G247" s="38" t="n"/>
      <c r="H247" s="38" t="n"/>
      <c r="I247" s="47" t="n"/>
      <c r="J247" s="38" t="n"/>
      <c r="K247" s="49">
        <f>IF(B247="","",IFERROR(INDEX('JOBS'!$D$5:$D$1504,MATCH(B247,'JOBS'!$A$5:$A$1504,0)),""))</f>
        <v/>
      </c>
      <c r="L247" s="49">
        <f>IF(B247="","",IFERROR(INDEX('JOBS'!$H$5:$H$1504,MATCH(B247,'JOBS'!$A$5:$A$1504,0)),""))</f>
        <v/>
      </c>
      <c r="M247" s="99">
        <f>IF(N(E247)=0,"",MIN(1,N(F247)/E247))</f>
        <v/>
      </c>
      <c r="N247" s="49">
        <f>IF(M247="","",IF(M247&gt;=QCPass,"Pass","Fail"))</f>
        <v/>
      </c>
      <c r="O247" s="49">
        <f>IF(A247="","",IF(H247&lt;&gt;"Yes","—",IF(J247="Yes","Resolved","Rework open")))</f>
        <v/>
      </c>
      <c r="P247" s="51">
        <f>IF(A247="","",DATE(YEAR(A247),MONTH(A247),1))</f>
        <v/>
      </c>
    </row>
    <row r="248">
      <c r="A248" s="47" t="n"/>
      <c r="B248" s="38" t="n"/>
      <c r="C248" s="38" t="n"/>
      <c r="D248" s="38" t="n"/>
      <c r="E248" s="57" t="n"/>
      <c r="F248" s="57" t="n"/>
      <c r="G248" s="38" t="n"/>
      <c r="H248" s="38" t="n"/>
      <c r="I248" s="47" t="n"/>
      <c r="J248" s="38" t="n"/>
      <c r="K248" s="49">
        <f>IF(B248="","",IFERROR(INDEX('JOBS'!$D$5:$D$1504,MATCH(B248,'JOBS'!$A$5:$A$1504,0)),""))</f>
        <v/>
      </c>
      <c r="L248" s="49">
        <f>IF(B248="","",IFERROR(INDEX('JOBS'!$H$5:$H$1504,MATCH(B248,'JOBS'!$A$5:$A$1504,0)),""))</f>
        <v/>
      </c>
      <c r="M248" s="99">
        <f>IF(N(E248)=0,"",MIN(1,N(F248)/E248))</f>
        <v/>
      </c>
      <c r="N248" s="49">
        <f>IF(M248="","",IF(M248&gt;=QCPass,"Pass","Fail"))</f>
        <v/>
      </c>
      <c r="O248" s="49">
        <f>IF(A248="","",IF(H248&lt;&gt;"Yes","—",IF(J248="Yes","Resolved","Rework open")))</f>
        <v/>
      </c>
      <c r="P248" s="51">
        <f>IF(A248="","",DATE(YEAR(A248),MONTH(A248),1))</f>
        <v/>
      </c>
    </row>
    <row r="249">
      <c r="A249" s="47" t="n"/>
      <c r="B249" s="38" t="n"/>
      <c r="C249" s="38" t="n"/>
      <c r="D249" s="38" t="n"/>
      <c r="E249" s="57" t="n"/>
      <c r="F249" s="57" t="n"/>
      <c r="G249" s="38" t="n"/>
      <c r="H249" s="38" t="n"/>
      <c r="I249" s="47" t="n"/>
      <c r="J249" s="38" t="n"/>
      <c r="K249" s="49">
        <f>IF(B249="","",IFERROR(INDEX('JOBS'!$D$5:$D$1504,MATCH(B249,'JOBS'!$A$5:$A$1504,0)),""))</f>
        <v/>
      </c>
      <c r="L249" s="49">
        <f>IF(B249="","",IFERROR(INDEX('JOBS'!$H$5:$H$1504,MATCH(B249,'JOBS'!$A$5:$A$1504,0)),""))</f>
        <v/>
      </c>
      <c r="M249" s="99">
        <f>IF(N(E249)=0,"",MIN(1,N(F249)/E249))</f>
        <v/>
      </c>
      <c r="N249" s="49">
        <f>IF(M249="","",IF(M249&gt;=QCPass,"Pass","Fail"))</f>
        <v/>
      </c>
      <c r="O249" s="49">
        <f>IF(A249="","",IF(H249&lt;&gt;"Yes","—",IF(J249="Yes","Resolved","Rework open")))</f>
        <v/>
      </c>
      <c r="P249" s="51">
        <f>IF(A249="","",DATE(YEAR(A249),MONTH(A249),1))</f>
        <v/>
      </c>
    </row>
    <row r="250">
      <c r="A250" s="47" t="n"/>
      <c r="B250" s="38" t="n"/>
      <c r="C250" s="38" t="n"/>
      <c r="D250" s="38" t="n"/>
      <c r="E250" s="57" t="n"/>
      <c r="F250" s="57" t="n"/>
      <c r="G250" s="38" t="n"/>
      <c r="H250" s="38" t="n"/>
      <c r="I250" s="47" t="n"/>
      <c r="J250" s="38" t="n"/>
      <c r="K250" s="49">
        <f>IF(B250="","",IFERROR(INDEX('JOBS'!$D$5:$D$1504,MATCH(B250,'JOBS'!$A$5:$A$1504,0)),""))</f>
        <v/>
      </c>
      <c r="L250" s="49">
        <f>IF(B250="","",IFERROR(INDEX('JOBS'!$H$5:$H$1504,MATCH(B250,'JOBS'!$A$5:$A$1504,0)),""))</f>
        <v/>
      </c>
      <c r="M250" s="99">
        <f>IF(N(E250)=0,"",MIN(1,N(F250)/E250))</f>
        <v/>
      </c>
      <c r="N250" s="49">
        <f>IF(M250="","",IF(M250&gt;=QCPass,"Pass","Fail"))</f>
        <v/>
      </c>
      <c r="O250" s="49">
        <f>IF(A250="","",IF(H250&lt;&gt;"Yes","—",IF(J250="Yes","Resolved","Rework open")))</f>
        <v/>
      </c>
      <c r="P250" s="51">
        <f>IF(A250="","",DATE(YEAR(A250),MONTH(A250),1))</f>
        <v/>
      </c>
    </row>
    <row r="251">
      <c r="A251" s="47" t="n"/>
      <c r="B251" s="38" t="n"/>
      <c r="C251" s="38" t="n"/>
      <c r="D251" s="38" t="n"/>
      <c r="E251" s="57" t="n"/>
      <c r="F251" s="57" t="n"/>
      <c r="G251" s="38" t="n"/>
      <c r="H251" s="38" t="n"/>
      <c r="I251" s="47" t="n"/>
      <c r="J251" s="38" t="n"/>
      <c r="K251" s="49">
        <f>IF(B251="","",IFERROR(INDEX('JOBS'!$D$5:$D$1504,MATCH(B251,'JOBS'!$A$5:$A$1504,0)),""))</f>
        <v/>
      </c>
      <c r="L251" s="49">
        <f>IF(B251="","",IFERROR(INDEX('JOBS'!$H$5:$H$1504,MATCH(B251,'JOBS'!$A$5:$A$1504,0)),""))</f>
        <v/>
      </c>
      <c r="M251" s="99">
        <f>IF(N(E251)=0,"",MIN(1,N(F251)/E251))</f>
        <v/>
      </c>
      <c r="N251" s="49">
        <f>IF(M251="","",IF(M251&gt;=QCPass,"Pass","Fail"))</f>
        <v/>
      </c>
      <c r="O251" s="49">
        <f>IF(A251="","",IF(H251&lt;&gt;"Yes","—",IF(J251="Yes","Resolved","Rework open")))</f>
        <v/>
      </c>
      <c r="P251" s="51">
        <f>IF(A251="","",DATE(YEAR(A251),MONTH(A251),1))</f>
        <v/>
      </c>
    </row>
    <row r="252">
      <c r="A252" s="47" t="n"/>
      <c r="B252" s="38" t="n"/>
      <c r="C252" s="38" t="n"/>
      <c r="D252" s="38" t="n"/>
      <c r="E252" s="57" t="n"/>
      <c r="F252" s="57" t="n"/>
      <c r="G252" s="38" t="n"/>
      <c r="H252" s="38" t="n"/>
      <c r="I252" s="47" t="n"/>
      <c r="J252" s="38" t="n"/>
      <c r="K252" s="49">
        <f>IF(B252="","",IFERROR(INDEX('JOBS'!$D$5:$D$1504,MATCH(B252,'JOBS'!$A$5:$A$1504,0)),""))</f>
        <v/>
      </c>
      <c r="L252" s="49">
        <f>IF(B252="","",IFERROR(INDEX('JOBS'!$H$5:$H$1504,MATCH(B252,'JOBS'!$A$5:$A$1504,0)),""))</f>
        <v/>
      </c>
      <c r="M252" s="99">
        <f>IF(N(E252)=0,"",MIN(1,N(F252)/E252))</f>
        <v/>
      </c>
      <c r="N252" s="49">
        <f>IF(M252="","",IF(M252&gt;=QCPass,"Pass","Fail"))</f>
        <v/>
      </c>
      <c r="O252" s="49">
        <f>IF(A252="","",IF(H252&lt;&gt;"Yes","—",IF(J252="Yes","Resolved","Rework open")))</f>
        <v/>
      </c>
      <c r="P252" s="51">
        <f>IF(A252="","",DATE(YEAR(A252),MONTH(A252),1))</f>
        <v/>
      </c>
    </row>
    <row r="253">
      <c r="A253" s="47" t="n"/>
      <c r="B253" s="38" t="n"/>
      <c r="C253" s="38" t="n"/>
      <c r="D253" s="38" t="n"/>
      <c r="E253" s="57" t="n"/>
      <c r="F253" s="57" t="n"/>
      <c r="G253" s="38" t="n"/>
      <c r="H253" s="38" t="n"/>
      <c r="I253" s="47" t="n"/>
      <c r="J253" s="38" t="n"/>
      <c r="K253" s="49">
        <f>IF(B253="","",IFERROR(INDEX('JOBS'!$D$5:$D$1504,MATCH(B253,'JOBS'!$A$5:$A$1504,0)),""))</f>
        <v/>
      </c>
      <c r="L253" s="49">
        <f>IF(B253="","",IFERROR(INDEX('JOBS'!$H$5:$H$1504,MATCH(B253,'JOBS'!$A$5:$A$1504,0)),""))</f>
        <v/>
      </c>
      <c r="M253" s="99">
        <f>IF(N(E253)=0,"",MIN(1,N(F253)/E253))</f>
        <v/>
      </c>
      <c r="N253" s="49">
        <f>IF(M253="","",IF(M253&gt;=QCPass,"Pass","Fail"))</f>
        <v/>
      </c>
      <c r="O253" s="49">
        <f>IF(A253="","",IF(H253&lt;&gt;"Yes","—",IF(J253="Yes","Resolved","Rework open")))</f>
        <v/>
      </c>
      <c r="P253" s="51">
        <f>IF(A253="","",DATE(YEAR(A253),MONTH(A253),1))</f>
        <v/>
      </c>
    </row>
    <row r="254">
      <c r="A254" s="47" t="n"/>
      <c r="B254" s="38" t="n"/>
      <c r="C254" s="38" t="n"/>
      <c r="D254" s="38" t="n"/>
      <c r="E254" s="57" t="n"/>
      <c r="F254" s="57" t="n"/>
      <c r="G254" s="38" t="n"/>
      <c r="H254" s="38" t="n"/>
      <c r="I254" s="47" t="n"/>
      <c r="J254" s="38" t="n"/>
      <c r="K254" s="49">
        <f>IF(B254="","",IFERROR(INDEX('JOBS'!$D$5:$D$1504,MATCH(B254,'JOBS'!$A$5:$A$1504,0)),""))</f>
        <v/>
      </c>
      <c r="L254" s="49">
        <f>IF(B254="","",IFERROR(INDEX('JOBS'!$H$5:$H$1504,MATCH(B254,'JOBS'!$A$5:$A$1504,0)),""))</f>
        <v/>
      </c>
      <c r="M254" s="99">
        <f>IF(N(E254)=0,"",MIN(1,N(F254)/E254))</f>
        <v/>
      </c>
      <c r="N254" s="49">
        <f>IF(M254="","",IF(M254&gt;=QCPass,"Pass","Fail"))</f>
        <v/>
      </c>
      <c r="O254" s="49">
        <f>IF(A254="","",IF(H254&lt;&gt;"Yes","—",IF(J254="Yes","Resolved","Rework open")))</f>
        <v/>
      </c>
      <c r="P254" s="51">
        <f>IF(A254="","",DATE(YEAR(A254),MONTH(A254),1))</f>
        <v/>
      </c>
    </row>
    <row r="255">
      <c r="A255" s="47" t="n"/>
      <c r="B255" s="38" t="n"/>
      <c r="C255" s="38" t="n"/>
      <c r="D255" s="38" t="n"/>
      <c r="E255" s="57" t="n"/>
      <c r="F255" s="57" t="n"/>
      <c r="G255" s="38" t="n"/>
      <c r="H255" s="38" t="n"/>
      <c r="I255" s="47" t="n"/>
      <c r="J255" s="38" t="n"/>
      <c r="K255" s="49">
        <f>IF(B255="","",IFERROR(INDEX('JOBS'!$D$5:$D$1504,MATCH(B255,'JOBS'!$A$5:$A$1504,0)),""))</f>
        <v/>
      </c>
      <c r="L255" s="49">
        <f>IF(B255="","",IFERROR(INDEX('JOBS'!$H$5:$H$1504,MATCH(B255,'JOBS'!$A$5:$A$1504,0)),""))</f>
        <v/>
      </c>
      <c r="M255" s="99">
        <f>IF(N(E255)=0,"",MIN(1,N(F255)/E255))</f>
        <v/>
      </c>
      <c r="N255" s="49">
        <f>IF(M255="","",IF(M255&gt;=QCPass,"Pass","Fail"))</f>
        <v/>
      </c>
      <c r="O255" s="49">
        <f>IF(A255="","",IF(H255&lt;&gt;"Yes","—",IF(J255="Yes","Resolved","Rework open")))</f>
        <v/>
      </c>
      <c r="P255" s="51">
        <f>IF(A255="","",DATE(YEAR(A255),MONTH(A255),1))</f>
        <v/>
      </c>
    </row>
    <row r="256">
      <c r="A256" s="47" t="n"/>
      <c r="B256" s="38" t="n"/>
      <c r="C256" s="38" t="n"/>
      <c r="D256" s="38" t="n"/>
      <c r="E256" s="57" t="n"/>
      <c r="F256" s="57" t="n"/>
      <c r="G256" s="38" t="n"/>
      <c r="H256" s="38" t="n"/>
      <c r="I256" s="47" t="n"/>
      <c r="J256" s="38" t="n"/>
      <c r="K256" s="49">
        <f>IF(B256="","",IFERROR(INDEX('JOBS'!$D$5:$D$1504,MATCH(B256,'JOBS'!$A$5:$A$1504,0)),""))</f>
        <v/>
      </c>
      <c r="L256" s="49">
        <f>IF(B256="","",IFERROR(INDEX('JOBS'!$H$5:$H$1504,MATCH(B256,'JOBS'!$A$5:$A$1504,0)),""))</f>
        <v/>
      </c>
      <c r="M256" s="99">
        <f>IF(N(E256)=0,"",MIN(1,N(F256)/E256))</f>
        <v/>
      </c>
      <c r="N256" s="49">
        <f>IF(M256="","",IF(M256&gt;=QCPass,"Pass","Fail"))</f>
        <v/>
      </c>
      <c r="O256" s="49">
        <f>IF(A256="","",IF(H256&lt;&gt;"Yes","—",IF(J256="Yes","Resolved","Rework open")))</f>
        <v/>
      </c>
      <c r="P256" s="51">
        <f>IF(A256="","",DATE(YEAR(A256),MONTH(A256),1))</f>
        <v/>
      </c>
    </row>
    <row r="257">
      <c r="A257" s="47" t="n"/>
      <c r="B257" s="38" t="n"/>
      <c r="C257" s="38" t="n"/>
      <c r="D257" s="38" t="n"/>
      <c r="E257" s="57" t="n"/>
      <c r="F257" s="57" t="n"/>
      <c r="G257" s="38" t="n"/>
      <c r="H257" s="38" t="n"/>
      <c r="I257" s="47" t="n"/>
      <c r="J257" s="38" t="n"/>
      <c r="K257" s="49">
        <f>IF(B257="","",IFERROR(INDEX('JOBS'!$D$5:$D$1504,MATCH(B257,'JOBS'!$A$5:$A$1504,0)),""))</f>
        <v/>
      </c>
      <c r="L257" s="49">
        <f>IF(B257="","",IFERROR(INDEX('JOBS'!$H$5:$H$1504,MATCH(B257,'JOBS'!$A$5:$A$1504,0)),""))</f>
        <v/>
      </c>
      <c r="M257" s="99">
        <f>IF(N(E257)=0,"",MIN(1,N(F257)/E257))</f>
        <v/>
      </c>
      <c r="N257" s="49">
        <f>IF(M257="","",IF(M257&gt;=QCPass,"Pass","Fail"))</f>
        <v/>
      </c>
      <c r="O257" s="49">
        <f>IF(A257="","",IF(H257&lt;&gt;"Yes","—",IF(J257="Yes","Resolved","Rework open")))</f>
        <v/>
      </c>
      <c r="P257" s="51">
        <f>IF(A257="","",DATE(YEAR(A257),MONTH(A257),1))</f>
        <v/>
      </c>
    </row>
    <row r="258">
      <c r="A258" s="47" t="n"/>
      <c r="B258" s="38" t="n"/>
      <c r="C258" s="38" t="n"/>
      <c r="D258" s="38" t="n"/>
      <c r="E258" s="57" t="n"/>
      <c r="F258" s="57" t="n"/>
      <c r="G258" s="38" t="n"/>
      <c r="H258" s="38" t="n"/>
      <c r="I258" s="47" t="n"/>
      <c r="J258" s="38" t="n"/>
      <c r="K258" s="49">
        <f>IF(B258="","",IFERROR(INDEX('JOBS'!$D$5:$D$1504,MATCH(B258,'JOBS'!$A$5:$A$1504,0)),""))</f>
        <v/>
      </c>
      <c r="L258" s="49">
        <f>IF(B258="","",IFERROR(INDEX('JOBS'!$H$5:$H$1504,MATCH(B258,'JOBS'!$A$5:$A$1504,0)),""))</f>
        <v/>
      </c>
      <c r="M258" s="99">
        <f>IF(N(E258)=0,"",MIN(1,N(F258)/E258))</f>
        <v/>
      </c>
      <c r="N258" s="49">
        <f>IF(M258="","",IF(M258&gt;=QCPass,"Pass","Fail"))</f>
        <v/>
      </c>
      <c r="O258" s="49">
        <f>IF(A258="","",IF(H258&lt;&gt;"Yes","—",IF(J258="Yes","Resolved","Rework open")))</f>
        <v/>
      </c>
      <c r="P258" s="51">
        <f>IF(A258="","",DATE(YEAR(A258),MONTH(A258),1))</f>
        <v/>
      </c>
    </row>
    <row r="259">
      <c r="A259" s="47" t="n"/>
      <c r="B259" s="38" t="n"/>
      <c r="C259" s="38" t="n"/>
      <c r="D259" s="38" t="n"/>
      <c r="E259" s="57" t="n"/>
      <c r="F259" s="57" t="n"/>
      <c r="G259" s="38" t="n"/>
      <c r="H259" s="38" t="n"/>
      <c r="I259" s="47" t="n"/>
      <c r="J259" s="38" t="n"/>
      <c r="K259" s="49">
        <f>IF(B259="","",IFERROR(INDEX('JOBS'!$D$5:$D$1504,MATCH(B259,'JOBS'!$A$5:$A$1504,0)),""))</f>
        <v/>
      </c>
      <c r="L259" s="49">
        <f>IF(B259="","",IFERROR(INDEX('JOBS'!$H$5:$H$1504,MATCH(B259,'JOBS'!$A$5:$A$1504,0)),""))</f>
        <v/>
      </c>
      <c r="M259" s="99">
        <f>IF(N(E259)=0,"",MIN(1,N(F259)/E259))</f>
        <v/>
      </c>
      <c r="N259" s="49">
        <f>IF(M259="","",IF(M259&gt;=QCPass,"Pass","Fail"))</f>
        <v/>
      </c>
      <c r="O259" s="49">
        <f>IF(A259="","",IF(H259&lt;&gt;"Yes","—",IF(J259="Yes","Resolved","Rework open")))</f>
        <v/>
      </c>
      <c r="P259" s="51">
        <f>IF(A259="","",DATE(YEAR(A259),MONTH(A259),1))</f>
        <v/>
      </c>
    </row>
    <row r="260">
      <c r="A260" s="47" t="n"/>
      <c r="B260" s="38" t="n"/>
      <c r="C260" s="38" t="n"/>
      <c r="D260" s="38" t="n"/>
      <c r="E260" s="57" t="n"/>
      <c r="F260" s="57" t="n"/>
      <c r="G260" s="38" t="n"/>
      <c r="H260" s="38" t="n"/>
      <c r="I260" s="47" t="n"/>
      <c r="J260" s="38" t="n"/>
      <c r="K260" s="49">
        <f>IF(B260="","",IFERROR(INDEX('JOBS'!$D$5:$D$1504,MATCH(B260,'JOBS'!$A$5:$A$1504,0)),""))</f>
        <v/>
      </c>
      <c r="L260" s="49">
        <f>IF(B260="","",IFERROR(INDEX('JOBS'!$H$5:$H$1504,MATCH(B260,'JOBS'!$A$5:$A$1504,0)),""))</f>
        <v/>
      </c>
      <c r="M260" s="99">
        <f>IF(N(E260)=0,"",MIN(1,N(F260)/E260))</f>
        <v/>
      </c>
      <c r="N260" s="49">
        <f>IF(M260="","",IF(M260&gt;=QCPass,"Pass","Fail"))</f>
        <v/>
      </c>
      <c r="O260" s="49">
        <f>IF(A260="","",IF(H260&lt;&gt;"Yes","—",IF(J260="Yes","Resolved","Rework open")))</f>
        <v/>
      </c>
      <c r="P260" s="51">
        <f>IF(A260="","",DATE(YEAR(A260),MONTH(A260),1))</f>
        <v/>
      </c>
    </row>
    <row r="261">
      <c r="A261" s="47" t="n"/>
      <c r="B261" s="38" t="n"/>
      <c r="C261" s="38" t="n"/>
      <c r="D261" s="38" t="n"/>
      <c r="E261" s="57" t="n"/>
      <c r="F261" s="57" t="n"/>
      <c r="G261" s="38" t="n"/>
      <c r="H261" s="38" t="n"/>
      <c r="I261" s="47" t="n"/>
      <c r="J261" s="38" t="n"/>
      <c r="K261" s="49">
        <f>IF(B261="","",IFERROR(INDEX('JOBS'!$D$5:$D$1504,MATCH(B261,'JOBS'!$A$5:$A$1504,0)),""))</f>
        <v/>
      </c>
      <c r="L261" s="49">
        <f>IF(B261="","",IFERROR(INDEX('JOBS'!$H$5:$H$1504,MATCH(B261,'JOBS'!$A$5:$A$1504,0)),""))</f>
        <v/>
      </c>
      <c r="M261" s="99">
        <f>IF(N(E261)=0,"",MIN(1,N(F261)/E261))</f>
        <v/>
      </c>
      <c r="N261" s="49">
        <f>IF(M261="","",IF(M261&gt;=QCPass,"Pass","Fail"))</f>
        <v/>
      </c>
      <c r="O261" s="49">
        <f>IF(A261="","",IF(H261&lt;&gt;"Yes","—",IF(J261="Yes","Resolved","Rework open")))</f>
        <v/>
      </c>
      <c r="P261" s="51">
        <f>IF(A261="","",DATE(YEAR(A261),MONTH(A261),1))</f>
        <v/>
      </c>
    </row>
    <row r="262">
      <c r="A262" s="47" t="n"/>
      <c r="B262" s="38" t="n"/>
      <c r="C262" s="38" t="n"/>
      <c r="D262" s="38" t="n"/>
      <c r="E262" s="57" t="n"/>
      <c r="F262" s="57" t="n"/>
      <c r="G262" s="38" t="n"/>
      <c r="H262" s="38" t="n"/>
      <c r="I262" s="47" t="n"/>
      <c r="J262" s="38" t="n"/>
      <c r="K262" s="49">
        <f>IF(B262="","",IFERROR(INDEX('JOBS'!$D$5:$D$1504,MATCH(B262,'JOBS'!$A$5:$A$1504,0)),""))</f>
        <v/>
      </c>
      <c r="L262" s="49">
        <f>IF(B262="","",IFERROR(INDEX('JOBS'!$H$5:$H$1504,MATCH(B262,'JOBS'!$A$5:$A$1504,0)),""))</f>
        <v/>
      </c>
      <c r="M262" s="99">
        <f>IF(N(E262)=0,"",MIN(1,N(F262)/E262))</f>
        <v/>
      </c>
      <c r="N262" s="49">
        <f>IF(M262="","",IF(M262&gt;=QCPass,"Pass","Fail"))</f>
        <v/>
      </c>
      <c r="O262" s="49">
        <f>IF(A262="","",IF(H262&lt;&gt;"Yes","—",IF(J262="Yes","Resolved","Rework open")))</f>
        <v/>
      </c>
      <c r="P262" s="51">
        <f>IF(A262="","",DATE(YEAR(A262),MONTH(A262),1))</f>
        <v/>
      </c>
    </row>
    <row r="263">
      <c r="A263" s="47" t="n"/>
      <c r="B263" s="38" t="n"/>
      <c r="C263" s="38" t="n"/>
      <c r="D263" s="38" t="n"/>
      <c r="E263" s="57" t="n"/>
      <c r="F263" s="57" t="n"/>
      <c r="G263" s="38" t="n"/>
      <c r="H263" s="38" t="n"/>
      <c r="I263" s="47" t="n"/>
      <c r="J263" s="38" t="n"/>
      <c r="K263" s="49">
        <f>IF(B263="","",IFERROR(INDEX('JOBS'!$D$5:$D$1504,MATCH(B263,'JOBS'!$A$5:$A$1504,0)),""))</f>
        <v/>
      </c>
      <c r="L263" s="49">
        <f>IF(B263="","",IFERROR(INDEX('JOBS'!$H$5:$H$1504,MATCH(B263,'JOBS'!$A$5:$A$1504,0)),""))</f>
        <v/>
      </c>
      <c r="M263" s="99">
        <f>IF(N(E263)=0,"",MIN(1,N(F263)/E263))</f>
        <v/>
      </c>
      <c r="N263" s="49">
        <f>IF(M263="","",IF(M263&gt;=QCPass,"Pass","Fail"))</f>
        <v/>
      </c>
      <c r="O263" s="49">
        <f>IF(A263="","",IF(H263&lt;&gt;"Yes","—",IF(J263="Yes","Resolved","Rework open")))</f>
        <v/>
      </c>
      <c r="P263" s="51">
        <f>IF(A263="","",DATE(YEAR(A263),MONTH(A263),1))</f>
        <v/>
      </c>
    </row>
    <row r="264">
      <c r="A264" s="47" t="n"/>
      <c r="B264" s="38" t="n"/>
      <c r="C264" s="38" t="n"/>
      <c r="D264" s="38" t="n"/>
      <c r="E264" s="57" t="n"/>
      <c r="F264" s="57" t="n"/>
      <c r="G264" s="38" t="n"/>
      <c r="H264" s="38" t="n"/>
      <c r="I264" s="47" t="n"/>
      <c r="J264" s="38" t="n"/>
      <c r="K264" s="49">
        <f>IF(B264="","",IFERROR(INDEX('JOBS'!$D$5:$D$1504,MATCH(B264,'JOBS'!$A$5:$A$1504,0)),""))</f>
        <v/>
      </c>
      <c r="L264" s="49">
        <f>IF(B264="","",IFERROR(INDEX('JOBS'!$H$5:$H$1504,MATCH(B264,'JOBS'!$A$5:$A$1504,0)),""))</f>
        <v/>
      </c>
      <c r="M264" s="99">
        <f>IF(N(E264)=0,"",MIN(1,N(F264)/E264))</f>
        <v/>
      </c>
      <c r="N264" s="49">
        <f>IF(M264="","",IF(M264&gt;=QCPass,"Pass","Fail"))</f>
        <v/>
      </c>
      <c r="O264" s="49">
        <f>IF(A264="","",IF(H264&lt;&gt;"Yes","—",IF(J264="Yes","Resolved","Rework open")))</f>
        <v/>
      </c>
      <c r="P264" s="51">
        <f>IF(A264="","",DATE(YEAR(A264),MONTH(A264),1))</f>
        <v/>
      </c>
    </row>
    <row r="265">
      <c r="A265" s="47" t="n"/>
      <c r="B265" s="38" t="n"/>
      <c r="C265" s="38" t="n"/>
      <c r="D265" s="38" t="n"/>
      <c r="E265" s="57" t="n"/>
      <c r="F265" s="57" t="n"/>
      <c r="G265" s="38" t="n"/>
      <c r="H265" s="38" t="n"/>
      <c r="I265" s="47" t="n"/>
      <c r="J265" s="38" t="n"/>
      <c r="K265" s="49">
        <f>IF(B265="","",IFERROR(INDEX('JOBS'!$D$5:$D$1504,MATCH(B265,'JOBS'!$A$5:$A$1504,0)),""))</f>
        <v/>
      </c>
      <c r="L265" s="49">
        <f>IF(B265="","",IFERROR(INDEX('JOBS'!$H$5:$H$1504,MATCH(B265,'JOBS'!$A$5:$A$1504,0)),""))</f>
        <v/>
      </c>
      <c r="M265" s="99">
        <f>IF(N(E265)=0,"",MIN(1,N(F265)/E265))</f>
        <v/>
      </c>
      <c r="N265" s="49">
        <f>IF(M265="","",IF(M265&gt;=QCPass,"Pass","Fail"))</f>
        <v/>
      </c>
      <c r="O265" s="49">
        <f>IF(A265="","",IF(H265&lt;&gt;"Yes","—",IF(J265="Yes","Resolved","Rework open")))</f>
        <v/>
      </c>
      <c r="P265" s="51">
        <f>IF(A265="","",DATE(YEAR(A265),MONTH(A265),1))</f>
        <v/>
      </c>
    </row>
    <row r="266">
      <c r="A266" s="47" t="n"/>
      <c r="B266" s="38" t="n"/>
      <c r="C266" s="38" t="n"/>
      <c r="D266" s="38" t="n"/>
      <c r="E266" s="57" t="n"/>
      <c r="F266" s="57" t="n"/>
      <c r="G266" s="38" t="n"/>
      <c r="H266" s="38" t="n"/>
      <c r="I266" s="47" t="n"/>
      <c r="J266" s="38" t="n"/>
      <c r="K266" s="49">
        <f>IF(B266="","",IFERROR(INDEX('JOBS'!$D$5:$D$1504,MATCH(B266,'JOBS'!$A$5:$A$1504,0)),""))</f>
        <v/>
      </c>
      <c r="L266" s="49">
        <f>IF(B266="","",IFERROR(INDEX('JOBS'!$H$5:$H$1504,MATCH(B266,'JOBS'!$A$5:$A$1504,0)),""))</f>
        <v/>
      </c>
      <c r="M266" s="99">
        <f>IF(N(E266)=0,"",MIN(1,N(F266)/E266))</f>
        <v/>
      </c>
      <c r="N266" s="49">
        <f>IF(M266="","",IF(M266&gt;=QCPass,"Pass","Fail"))</f>
        <v/>
      </c>
      <c r="O266" s="49">
        <f>IF(A266="","",IF(H266&lt;&gt;"Yes","—",IF(J266="Yes","Resolved","Rework open")))</f>
        <v/>
      </c>
      <c r="P266" s="51">
        <f>IF(A266="","",DATE(YEAR(A266),MONTH(A266),1))</f>
        <v/>
      </c>
    </row>
    <row r="267">
      <c r="A267" s="47" t="n"/>
      <c r="B267" s="38" t="n"/>
      <c r="C267" s="38" t="n"/>
      <c r="D267" s="38" t="n"/>
      <c r="E267" s="57" t="n"/>
      <c r="F267" s="57" t="n"/>
      <c r="G267" s="38" t="n"/>
      <c r="H267" s="38" t="n"/>
      <c r="I267" s="47" t="n"/>
      <c r="J267" s="38" t="n"/>
      <c r="K267" s="49">
        <f>IF(B267="","",IFERROR(INDEX('JOBS'!$D$5:$D$1504,MATCH(B267,'JOBS'!$A$5:$A$1504,0)),""))</f>
        <v/>
      </c>
      <c r="L267" s="49">
        <f>IF(B267="","",IFERROR(INDEX('JOBS'!$H$5:$H$1504,MATCH(B267,'JOBS'!$A$5:$A$1504,0)),""))</f>
        <v/>
      </c>
      <c r="M267" s="99">
        <f>IF(N(E267)=0,"",MIN(1,N(F267)/E267))</f>
        <v/>
      </c>
      <c r="N267" s="49">
        <f>IF(M267="","",IF(M267&gt;=QCPass,"Pass","Fail"))</f>
        <v/>
      </c>
      <c r="O267" s="49">
        <f>IF(A267="","",IF(H267&lt;&gt;"Yes","—",IF(J267="Yes","Resolved","Rework open")))</f>
        <v/>
      </c>
      <c r="P267" s="51">
        <f>IF(A267="","",DATE(YEAR(A267),MONTH(A267),1))</f>
        <v/>
      </c>
    </row>
    <row r="268">
      <c r="A268" s="47" t="n"/>
      <c r="B268" s="38" t="n"/>
      <c r="C268" s="38" t="n"/>
      <c r="D268" s="38" t="n"/>
      <c r="E268" s="57" t="n"/>
      <c r="F268" s="57" t="n"/>
      <c r="G268" s="38" t="n"/>
      <c r="H268" s="38" t="n"/>
      <c r="I268" s="47" t="n"/>
      <c r="J268" s="38" t="n"/>
      <c r="K268" s="49">
        <f>IF(B268="","",IFERROR(INDEX('JOBS'!$D$5:$D$1504,MATCH(B268,'JOBS'!$A$5:$A$1504,0)),""))</f>
        <v/>
      </c>
      <c r="L268" s="49">
        <f>IF(B268="","",IFERROR(INDEX('JOBS'!$H$5:$H$1504,MATCH(B268,'JOBS'!$A$5:$A$1504,0)),""))</f>
        <v/>
      </c>
      <c r="M268" s="99">
        <f>IF(N(E268)=0,"",MIN(1,N(F268)/E268))</f>
        <v/>
      </c>
      <c r="N268" s="49">
        <f>IF(M268="","",IF(M268&gt;=QCPass,"Pass","Fail"))</f>
        <v/>
      </c>
      <c r="O268" s="49">
        <f>IF(A268="","",IF(H268&lt;&gt;"Yes","—",IF(J268="Yes","Resolved","Rework open")))</f>
        <v/>
      </c>
      <c r="P268" s="51">
        <f>IF(A268="","",DATE(YEAR(A268),MONTH(A268),1))</f>
        <v/>
      </c>
    </row>
    <row r="269">
      <c r="A269" s="47" t="n"/>
      <c r="B269" s="38" t="n"/>
      <c r="C269" s="38" t="n"/>
      <c r="D269" s="38" t="n"/>
      <c r="E269" s="57" t="n"/>
      <c r="F269" s="57" t="n"/>
      <c r="G269" s="38" t="n"/>
      <c r="H269" s="38" t="n"/>
      <c r="I269" s="47" t="n"/>
      <c r="J269" s="38" t="n"/>
      <c r="K269" s="49">
        <f>IF(B269="","",IFERROR(INDEX('JOBS'!$D$5:$D$1504,MATCH(B269,'JOBS'!$A$5:$A$1504,0)),""))</f>
        <v/>
      </c>
      <c r="L269" s="49">
        <f>IF(B269="","",IFERROR(INDEX('JOBS'!$H$5:$H$1504,MATCH(B269,'JOBS'!$A$5:$A$1504,0)),""))</f>
        <v/>
      </c>
      <c r="M269" s="99">
        <f>IF(N(E269)=0,"",MIN(1,N(F269)/E269))</f>
        <v/>
      </c>
      <c r="N269" s="49">
        <f>IF(M269="","",IF(M269&gt;=QCPass,"Pass","Fail"))</f>
        <v/>
      </c>
      <c r="O269" s="49">
        <f>IF(A269="","",IF(H269&lt;&gt;"Yes","—",IF(J269="Yes","Resolved","Rework open")))</f>
        <v/>
      </c>
      <c r="P269" s="51">
        <f>IF(A269="","",DATE(YEAR(A269),MONTH(A269),1))</f>
        <v/>
      </c>
    </row>
    <row r="270">
      <c r="A270" s="47" t="n"/>
      <c r="B270" s="38" t="n"/>
      <c r="C270" s="38" t="n"/>
      <c r="D270" s="38" t="n"/>
      <c r="E270" s="57" t="n"/>
      <c r="F270" s="57" t="n"/>
      <c r="G270" s="38" t="n"/>
      <c r="H270" s="38" t="n"/>
      <c r="I270" s="47" t="n"/>
      <c r="J270" s="38" t="n"/>
      <c r="K270" s="49">
        <f>IF(B270="","",IFERROR(INDEX('JOBS'!$D$5:$D$1504,MATCH(B270,'JOBS'!$A$5:$A$1504,0)),""))</f>
        <v/>
      </c>
      <c r="L270" s="49">
        <f>IF(B270="","",IFERROR(INDEX('JOBS'!$H$5:$H$1504,MATCH(B270,'JOBS'!$A$5:$A$1504,0)),""))</f>
        <v/>
      </c>
      <c r="M270" s="99">
        <f>IF(N(E270)=0,"",MIN(1,N(F270)/E270))</f>
        <v/>
      </c>
      <c r="N270" s="49">
        <f>IF(M270="","",IF(M270&gt;=QCPass,"Pass","Fail"))</f>
        <v/>
      </c>
      <c r="O270" s="49">
        <f>IF(A270="","",IF(H270&lt;&gt;"Yes","—",IF(J270="Yes","Resolved","Rework open")))</f>
        <v/>
      </c>
      <c r="P270" s="51">
        <f>IF(A270="","",DATE(YEAR(A270),MONTH(A270),1))</f>
        <v/>
      </c>
    </row>
    <row r="271">
      <c r="A271" s="47" t="n"/>
      <c r="B271" s="38" t="n"/>
      <c r="C271" s="38" t="n"/>
      <c r="D271" s="38" t="n"/>
      <c r="E271" s="57" t="n"/>
      <c r="F271" s="57" t="n"/>
      <c r="G271" s="38" t="n"/>
      <c r="H271" s="38" t="n"/>
      <c r="I271" s="47" t="n"/>
      <c r="J271" s="38" t="n"/>
      <c r="K271" s="49">
        <f>IF(B271="","",IFERROR(INDEX('JOBS'!$D$5:$D$1504,MATCH(B271,'JOBS'!$A$5:$A$1504,0)),""))</f>
        <v/>
      </c>
      <c r="L271" s="49">
        <f>IF(B271="","",IFERROR(INDEX('JOBS'!$H$5:$H$1504,MATCH(B271,'JOBS'!$A$5:$A$1504,0)),""))</f>
        <v/>
      </c>
      <c r="M271" s="99">
        <f>IF(N(E271)=0,"",MIN(1,N(F271)/E271))</f>
        <v/>
      </c>
      <c r="N271" s="49">
        <f>IF(M271="","",IF(M271&gt;=QCPass,"Pass","Fail"))</f>
        <v/>
      </c>
      <c r="O271" s="49">
        <f>IF(A271="","",IF(H271&lt;&gt;"Yes","—",IF(J271="Yes","Resolved","Rework open")))</f>
        <v/>
      </c>
      <c r="P271" s="51">
        <f>IF(A271="","",DATE(YEAR(A271),MONTH(A271),1))</f>
        <v/>
      </c>
    </row>
    <row r="272">
      <c r="A272" s="47" t="n"/>
      <c r="B272" s="38" t="n"/>
      <c r="C272" s="38" t="n"/>
      <c r="D272" s="38" t="n"/>
      <c r="E272" s="57" t="n"/>
      <c r="F272" s="57" t="n"/>
      <c r="G272" s="38" t="n"/>
      <c r="H272" s="38" t="n"/>
      <c r="I272" s="47" t="n"/>
      <c r="J272" s="38" t="n"/>
      <c r="K272" s="49">
        <f>IF(B272="","",IFERROR(INDEX('JOBS'!$D$5:$D$1504,MATCH(B272,'JOBS'!$A$5:$A$1504,0)),""))</f>
        <v/>
      </c>
      <c r="L272" s="49">
        <f>IF(B272="","",IFERROR(INDEX('JOBS'!$H$5:$H$1504,MATCH(B272,'JOBS'!$A$5:$A$1504,0)),""))</f>
        <v/>
      </c>
      <c r="M272" s="99">
        <f>IF(N(E272)=0,"",MIN(1,N(F272)/E272))</f>
        <v/>
      </c>
      <c r="N272" s="49">
        <f>IF(M272="","",IF(M272&gt;=QCPass,"Pass","Fail"))</f>
        <v/>
      </c>
      <c r="O272" s="49">
        <f>IF(A272="","",IF(H272&lt;&gt;"Yes","—",IF(J272="Yes","Resolved","Rework open")))</f>
        <v/>
      </c>
      <c r="P272" s="51">
        <f>IF(A272="","",DATE(YEAR(A272),MONTH(A272),1))</f>
        <v/>
      </c>
    </row>
    <row r="273">
      <c r="A273" s="47" t="n"/>
      <c r="B273" s="38" t="n"/>
      <c r="C273" s="38" t="n"/>
      <c r="D273" s="38" t="n"/>
      <c r="E273" s="57" t="n"/>
      <c r="F273" s="57" t="n"/>
      <c r="G273" s="38" t="n"/>
      <c r="H273" s="38" t="n"/>
      <c r="I273" s="47" t="n"/>
      <c r="J273" s="38" t="n"/>
      <c r="K273" s="49">
        <f>IF(B273="","",IFERROR(INDEX('JOBS'!$D$5:$D$1504,MATCH(B273,'JOBS'!$A$5:$A$1504,0)),""))</f>
        <v/>
      </c>
      <c r="L273" s="49">
        <f>IF(B273="","",IFERROR(INDEX('JOBS'!$H$5:$H$1504,MATCH(B273,'JOBS'!$A$5:$A$1504,0)),""))</f>
        <v/>
      </c>
      <c r="M273" s="99">
        <f>IF(N(E273)=0,"",MIN(1,N(F273)/E273))</f>
        <v/>
      </c>
      <c r="N273" s="49">
        <f>IF(M273="","",IF(M273&gt;=QCPass,"Pass","Fail"))</f>
        <v/>
      </c>
      <c r="O273" s="49">
        <f>IF(A273="","",IF(H273&lt;&gt;"Yes","—",IF(J273="Yes","Resolved","Rework open")))</f>
        <v/>
      </c>
      <c r="P273" s="51">
        <f>IF(A273="","",DATE(YEAR(A273),MONTH(A273),1))</f>
        <v/>
      </c>
    </row>
    <row r="274">
      <c r="A274" s="47" t="n"/>
      <c r="B274" s="38" t="n"/>
      <c r="C274" s="38" t="n"/>
      <c r="D274" s="38" t="n"/>
      <c r="E274" s="57" t="n"/>
      <c r="F274" s="57" t="n"/>
      <c r="G274" s="38" t="n"/>
      <c r="H274" s="38" t="n"/>
      <c r="I274" s="47" t="n"/>
      <c r="J274" s="38" t="n"/>
      <c r="K274" s="49">
        <f>IF(B274="","",IFERROR(INDEX('JOBS'!$D$5:$D$1504,MATCH(B274,'JOBS'!$A$5:$A$1504,0)),""))</f>
        <v/>
      </c>
      <c r="L274" s="49">
        <f>IF(B274="","",IFERROR(INDEX('JOBS'!$H$5:$H$1504,MATCH(B274,'JOBS'!$A$5:$A$1504,0)),""))</f>
        <v/>
      </c>
      <c r="M274" s="99">
        <f>IF(N(E274)=0,"",MIN(1,N(F274)/E274))</f>
        <v/>
      </c>
      <c r="N274" s="49">
        <f>IF(M274="","",IF(M274&gt;=QCPass,"Pass","Fail"))</f>
        <v/>
      </c>
      <c r="O274" s="49">
        <f>IF(A274="","",IF(H274&lt;&gt;"Yes","—",IF(J274="Yes","Resolved","Rework open")))</f>
        <v/>
      </c>
      <c r="P274" s="51">
        <f>IF(A274="","",DATE(YEAR(A274),MONTH(A274),1))</f>
        <v/>
      </c>
    </row>
    <row r="275">
      <c r="A275" s="47" t="n"/>
      <c r="B275" s="38" t="n"/>
      <c r="C275" s="38" t="n"/>
      <c r="D275" s="38" t="n"/>
      <c r="E275" s="57" t="n"/>
      <c r="F275" s="57" t="n"/>
      <c r="G275" s="38" t="n"/>
      <c r="H275" s="38" t="n"/>
      <c r="I275" s="47" t="n"/>
      <c r="J275" s="38" t="n"/>
      <c r="K275" s="49">
        <f>IF(B275="","",IFERROR(INDEX('JOBS'!$D$5:$D$1504,MATCH(B275,'JOBS'!$A$5:$A$1504,0)),""))</f>
        <v/>
      </c>
      <c r="L275" s="49">
        <f>IF(B275="","",IFERROR(INDEX('JOBS'!$H$5:$H$1504,MATCH(B275,'JOBS'!$A$5:$A$1504,0)),""))</f>
        <v/>
      </c>
      <c r="M275" s="99">
        <f>IF(N(E275)=0,"",MIN(1,N(F275)/E275))</f>
        <v/>
      </c>
      <c r="N275" s="49">
        <f>IF(M275="","",IF(M275&gt;=QCPass,"Pass","Fail"))</f>
        <v/>
      </c>
      <c r="O275" s="49">
        <f>IF(A275="","",IF(H275&lt;&gt;"Yes","—",IF(J275="Yes","Resolved","Rework open")))</f>
        <v/>
      </c>
      <c r="P275" s="51">
        <f>IF(A275="","",DATE(YEAR(A275),MONTH(A275),1))</f>
        <v/>
      </c>
    </row>
    <row r="276">
      <c r="A276" s="47" t="n"/>
      <c r="B276" s="38" t="n"/>
      <c r="C276" s="38" t="n"/>
      <c r="D276" s="38" t="n"/>
      <c r="E276" s="57" t="n"/>
      <c r="F276" s="57" t="n"/>
      <c r="G276" s="38" t="n"/>
      <c r="H276" s="38" t="n"/>
      <c r="I276" s="47" t="n"/>
      <c r="J276" s="38" t="n"/>
      <c r="K276" s="49">
        <f>IF(B276="","",IFERROR(INDEX('JOBS'!$D$5:$D$1504,MATCH(B276,'JOBS'!$A$5:$A$1504,0)),""))</f>
        <v/>
      </c>
      <c r="L276" s="49">
        <f>IF(B276="","",IFERROR(INDEX('JOBS'!$H$5:$H$1504,MATCH(B276,'JOBS'!$A$5:$A$1504,0)),""))</f>
        <v/>
      </c>
      <c r="M276" s="99">
        <f>IF(N(E276)=0,"",MIN(1,N(F276)/E276))</f>
        <v/>
      </c>
      <c r="N276" s="49">
        <f>IF(M276="","",IF(M276&gt;=QCPass,"Pass","Fail"))</f>
        <v/>
      </c>
      <c r="O276" s="49">
        <f>IF(A276="","",IF(H276&lt;&gt;"Yes","—",IF(J276="Yes","Resolved","Rework open")))</f>
        <v/>
      </c>
      <c r="P276" s="51">
        <f>IF(A276="","",DATE(YEAR(A276),MONTH(A276),1))</f>
        <v/>
      </c>
    </row>
    <row r="277">
      <c r="A277" s="47" t="n"/>
      <c r="B277" s="38" t="n"/>
      <c r="C277" s="38" t="n"/>
      <c r="D277" s="38" t="n"/>
      <c r="E277" s="57" t="n"/>
      <c r="F277" s="57" t="n"/>
      <c r="G277" s="38" t="n"/>
      <c r="H277" s="38" t="n"/>
      <c r="I277" s="47" t="n"/>
      <c r="J277" s="38" t="n"/>
      <c r="K277" s="49">
        <f>IF(B277="","",IFERROR(INDEX('JOBS'!$D$5:$D$1504,MATCH(B277,'JOBS'!$A$5:$A$1504,0)),""))</f>
        <v/>
      </c>
      <c r="L277" s="49">
        <f>IF(B277="","",IFERROR(INDEX('JOBS'!$H$5:$H$1504,MATCH(B277,'JOBS'!$A$5:$A$1504,0)),""))</f>
        <v/>
      </c>
      <c r="M277" s="99">
        <f>IF(N(E277)=0,"",MIN(1,N(F277)/E277))</f>
        <v/>
      </c>
      <c r="N277" s="49">
        <f>IF(M277="","",IF(M277&gt;=QCPass,"Pass","Fail"))</f>
        <v/>
      </c>
      <c r="O277" s="49">
        <f>IF(A277="","",IF(H277&lt;&gt;"Yes","—",IF(J277="Yes","Resolved","Rework open")))</f>
        <v/>
      </c>
      <c r="P277" s="51">
        <f>IF(A277="","",DATE(YEAR(A277),MONTH(A277),1))</f>
        <v/>
      </c>
    </row>
    <row r="278">
      <c r="A278" s="47" t="n"/>
      <c r="B278" s="38" t="n"/>
      <c r="C278" s="38" t="n"/>
      <c r="D278" s="38" t="n"/>
      <c r="E278" s="57" t="n"/>
      <c r="F278" s="57" t="n"/>
      <c r="G278" s="38" t="n"/>
      <c r="H278" s="38" t="n"/>
      <c r="I278" s="47" t="n"/>
      <c r="J278" s="38" t="n"/>
      <c r="K278" s="49">
        <f>IF(B278="","",IFERROR(INDEX('JOBS'!$D$5:$D$1504,MATCH(B278,'JOBS'!$A$5:$A$1504,0)),""))</f>
        <v/>
      </c>
      <c r="L278" s="49">
        <f>IF(B278="","",IFERROR(INDEX('JOBS'!$H$5:$H$1504,MATCH(B278,'JOBS'!$A$5:$A$1504,0)),""))</f>
        <v/>
      </c>
      <c r="M278" s="99">
        <f>IF(N(E278)=0,"",MIN(1,N(F278)/E278))</f>
        <v/>
      </c>
      <c r="N278" s="49">
        <f>IF(M278="","",IF(M278&gt;=QCPass,"Pass","Fail"))</f>
        <v/>
      </c>
      <c r="O278" s="49">
        <f>IF(A278="","",IF(H278&lt;&gt;"Yes","—",IF(J278="Yes","Resolved","Rework open")))</f>
        <v/>
      </c>
      <c r="P278" s="51">
        <f>IF(A278="","",DATE(YEAR(A278),MONTH(A278),1))</f>
        <v/>
      </c>
    </row>
    <row r="279">
      <c r="A279" s="47" t="n"/>
      <c r="B279" s="38" t="n"/>
      <c r="C279" s="38" t="n"/>
      <c r="D279" s="38" t="n"/>
      <c r="E279" s="57" t="n"/>
      <c r="F279" s="57" t="n"/>
      <c r="G279" s="38" t="n"/>
      <c r="H279" s="38" t="n"/>
      <c r="I279" s="47" t="n"/>
      <c r="J279" s="38" t="n"/>
      <c r="K279" s="49">
        <f>IF(B279="","",IFERROR(INDEX('JOBS'!$D$5:$D$1504,MATCH(B279,'JOBS'!$A$5:$A$1504,0)),""))</f>
        <v/>
      </c>
      <c r="L279" s="49">
        <f>IF(B279="","",IFERROR(INDEX('JOBS'!$H$5:$H$1504,MATCH(B279,'JOBS'!$A$5:$A$1504,0)),""))</f>
        <v/>
      </c>
      <c r="M279" s="99">
        <f>IF(N(E279)=0,"",MIN(1,N(F279)/E279))</f>
        <v/>
      </c>
      <c r="N279" s="49">
        <f>IF(M279="","",IF(M279&gt;=QCPass,"Pass","Fail"))</f>
        <v/>
      </c>
      <c r="O279" s="49">
        <f>IF(A279="","",IF(H279&lt;&gt;"Yes","—",IF(J279="Yes","Resolved","Rework open")))</f>
        <v/>
      </c>
      <c r="P279" s="51">
        <f>IF(A279="","",DATE(YEAR(A279),MONTH(A279),1))</f>
        <v/>
      </c>
    </row>
    <row r="280">
      <c r="A280" s="47" t="n"/>
      <c r="B280" s="38" t="n"/>
      <c r="C280" s="38" t="n"/>
      <c r="D280" s="38" t="n"/>
      <c r="E280" s="57" t="n"/>
      <c r="F280" s="57" t="n"/>
      <c r="G280" s="38" t="n"/>
      <c r="H280" s="38" t="n"/>
      <c r="I280" s="47" t="n"/>
      <c r="J280" s="38" t="n"/>
      <c r="K280" s="49">
        <f>IF(B280="","",IFERROR(INDEX('JOBS'!$D$5:$D$1504,MATCH(B280,'JOBS'!$A$5:$A$1504,0)),""))</f>
        <v/>
      </c>
      <c r="L280" s="49">
        <f>IF(B280="","",IFERROR(INDEX('JOBS'!$H$5:$H$1504,MATCH(B280,'JOBS'!$A$5:$A$1504,0)),""))</f>
        <v/>
      </c>
      <c r="M280" s="99">
        <f>IF(N(E280)=0,"",MIN(1,N(F280)/E280))</f>
        <v/>
      </c>
      <c r="N280" s="49">
        <f>IF(M280="","",IF(M280&gt;=QCPass,"Pass","Fail"))</f>
        <v/>
      </c>
      <c r="O280" s="49">
        <f>IF(A280="","",IF(H280&lt;&gt;"Yes","—",IF(J280="Yes","Resolved","Rework open")))</f>
        <v/>
      </c>
      <c r="P280" s="51">
        <f>IF(A280="","",DATE(YEAR(A280),MONTH(A280),1))</f>
        <v/>
      </c>
    </row>
    <row r="281">
      <c r="A281" s="47" t="n"/>
      <c r="B281" s="38" t="n"/>
      <c r="C281" s="38" t="n"/>
      <c r="D281" s="38" t="n"/>
      <c r="E281" s="57" t="n"/>
      <c r="F281" s="57" t="n"/>
      <c r="G281" s="38" t="n"/>
      <c r="H281" s="38" t="n"/>
      <c r="I281" s="47" t="n"/>
      <c r="J281" s="38" t="n"/>
      <c r="K281" s="49">
        <f>IF(B281="","",IFERROR(INDEX('JOBS'!$D$5:$D$1504,MATCH(B281,'JOBS'!$A$5:$A$1504,0)),""))</f>
        <v/>
      </c>
      <c r="L281" s="49">
        <f>IF(B281="","",IFERROR(INDEX('JOBS'!$H$5:$H$1504,MATCH(B281,'JOBS'!$A$5:$A$1504,0)),""))</f>
        <v/>
      </c>
      <c r="M281" s="99">
        <f>IF(N(E281)=0,"",MIN(1,N(F281)/E281))</f>
        <v/>
      </c>
      <c r="N281" s="49">
        <f>IF(M281="","",IF(M281&gt;=QCPass,"Pass","Fail"))</f>
        <v/>
      </c>
      <c r="O281" s="49">
        <f>IF(A281="","",IF(H281&lt;&gt;"Yes","—",IF(J281="Yes","Resolved","Rework open")))</f>
        <v/>
      </c>
      <c r="P281" s="51">
        <f>IF(A281="","",DATE(YEAR(A281),MONTH(A281),1))</f>
        <v/>
      </c>
    </row>
    <row r="282">
      <c r="A282" s="47" t="n"/>
      <c r="B282" s="38" t="n"/>
      <c r="C282" s="38" t="n"/>
      <c r="D282" s="38" t="n"/>
      <c r="E282" s="57" t="n"/>
      <c r="F282" s="57" t="n"/>
      <c r="G282" s="38" t="n"/>
      <c r="H282" s="38" t="n"/>
      <c r="I282" s="47" t="n"/>
      <c r="J282" s="38" t="n"/>
      <c r="K282" s="49">
        <f>IF(B282="","",IFERROR(INDEX('JOBS'!$D$5:$D$1504,MATCH(B282,'JOBS'!$A$5:$A$1504,0)),""))</f>
        <v/>
      </c>
      <c r="L282" s="49">
        <f>IF(B282="","",IFERROR(INDEX('JOBS'!$H$5:$H$1504,MATCH(B282,'JOBS'!$A$5:$A$1504,0)),""))</f>
        <v/>
      </c>
      <c r="M282" s="99">
        <f>IF(N(E282)=0,"",MIN(1,N(F282)/E282))</f>
        <v/>
      </c>
      <c r="N282" s="49">
        <f>IF(M282="","",IF(M282&gt;=QCPass,"Pass","Fail"))</f>
        <v/>
      </c>
      <c r="O282" s="49">
        <f>IF(A282="","",IF(H282&lt;&gt;"Yes","—",IF(J282="Yes","Resolved","Rework open")))</f>
        <v/>
      </c>
      <c r="P282" s="51">
        <f>IF(A282="","",DATE(YEAR(A282),MONTH(A282),1))</f>
        <v/>
      </c>
    </row>
    <row r="283">
      <c r="A283" s="47" t="n"/>
      <c r="B283" s="38" t="n"/>
      <c r="C283" s="38" t="n"/>
      <c r="D283" s="38" t="n"/>
      <c r="E283" s="57" t="n"/>
      <c r="F283" s="57" t="n"/>
      <c r="G283" s="38" t="n"/>
      <c r="H283" s="38" t="n"/>
      <c r="I283" s="47" t="n"/>
      <c r="J283" s="38" t="n"/>
      <c r="K283" s="49">
        <f>IF(B283="","",IFERROR(INDEX('JOBS'!$D$5:$D$1504,MATCH(B283,'JOBS'!$A$5:$A$1504,0)),""))</f>
        <v/>
      </c>
      <c r="L283" s="49">
        <f>IF(B283="","",IFERROR(INDEX('JOBS'!$H$5:$H$1504,MATCH(B283,'JOBS'!$A$5:$A$1504,0)),""))</f>
        <v/>
      </c>
      <c r="M283" s="99">
        <f>IF(N(E283)=0,"",MIN(1,N(F283)/E283))</f>
        <v/>
      </c>
      <c r="N283" s="49">
        <f>IF(M283="","",IF(M283&gt;=QCPass,"Pass","Fail"))</f>
        <v/>
      </c>
      <c r="O283" s="49">
        <f>IF(A283="","",IF(H283&lt;&gt;"Yes","—",IF(J283="Yes","Resolved","Rework open")))</f>
        <v/>
      </c>
      <c r="P283" s="51">
        <f>IF(A283="","",DATE(YEAR(A283),MONTH(A283),1))</f>
        <v/>
      </c>
    </row>
    <row r="284">
      <c r="A284" s="47" t="n"/>
      <c r="B284" s="38" t="n"/>
      <c r="C284" s="38" t="n"/>
      <c r="D284" s="38" t="n"/>
      <c r="E284" s="57" t="n"/>
      <c r="F284" s="57" t="n"/>
      <c r="G284" s="38" t="n"/>
      <c r="H284" s="38" t="n"/>
      <c r="I284" s="47" t="n"/>
      <c r="J284" s="38" t="n"/>
      <c r="K284" s="49">
        <f>IF(B284="","",IFERROR(INDEX('JOBS'!$D$5:$D$1504,MATCH(B284,'JOBS'!$A$5:$A$1504,0)),""))</f>
        <v/>
      </c>
      <c r="L284" s="49">
        <f>IF(B284="","",IFERROR(INDEX('JOBS'!$H$5:$H$1504,MATCH(B284,'JOBS'!$A$5:$A$1504,0)),""))</f>
        <v/>
      </c>
      <c r="M284" s="99">
        <f>IF(N(E284)=0,"",MIN(1,N(F284)/E284))</f>
        <v/>
      </c>
      <c r="N284" s="49">
        <f>IF(M284="","",IF(M284&gt;=QCPass,"Pass","Fail"))</f>
        <v/>
      </c>
      <c r="O284" s="49">
        <f>IF(A284="","",IF(H284&lt;&gt;"Yes","—",IF(J284="Yes","Resolved","Rework open")))</f>
        <v/>
      </c>
      <c r="P284" s="51">
        <f>IF(A284="","",DATE(YEAR(A284),MONTH(A284),1))</f>
        <v/>
      </c>
    </row>
    <row r="285">
      <c r="A285" s="47" t="n"/>
      <c r="B285" s="38" t="n"/>
      <c r="C285" s="38" t="n"/>
      <c r="D285" s="38" t="n"/>
      <c r="E285" s="57" t="n"/>
      <c r="F285" s="57" t="n"/>
      <c r="G285" s="38" t="n"/>
      <c r="H285" s="38" t="n"/>
      <c r="I285" s="47" t="n"/>
      <c r="J285" s="38" t="n"/>
      <c r="K285" s="49">
        <f>IF(B285="","",IFERROR(INDEX('JOBS'!$D$5:$D$1504,MATCH(B285,'JOBS'!$A$5:$A$1504,0)),""))</f>
        <v/>
      </c>
      <c r="L285" s="49">
        <f>IF(B285="","",IFERROR(INDEX('JOBS'!$H$5:$H$1504,MATCH(B285,'JOBS'!$A$5:$A$1504,0)),""))</f>
        <v/>
      </c>
      <c r="M285" s="99">
        <f>IF(N(E285)=0,"",MIN(1,N(F285)/E285))</f>
        <v/>
      </c>
      <c r="N285" s="49">
        <f>IF(M285="","",IF(M285&gt;=QCPass,"Pass","Fail"))</f>
        <v/>
      </c>
      <c r="O285" s="49">
        <f>IF(A285="","",IF(H285&lt;&gt;"Yes","—",IF(J285="Yes","Resolved","Rework open")))</f>
        <v/>
      </c>
      <c r="P285" s="51">
        <f>IF(A285="","",DATE(YEAR(A285),MONTH(A285),1))</f>
        <v/>
      </c>
    </row>
    <row r="286">
      <c r="A286" s="47" t="n"/>
      <c r="B286" s="38" t="n"/>
      <c r="C286" s="38" t="n"/>
      <c r="D286" s="38" t="n"/>
      <c r="E286" s="57" t="n"/>
      <c r="F286" s="57" t="n"/>
      <c r="G286" s="38" t="n"/>
      <c r="H286" s="38" t="n"/>
      <c r="I286" s="47" t="n"/>
      <c r="J286" s="38" t="n"/>
      <c r="K286" s="49">
        <f>IF(B286="","",IFERROR(INDEX('JOBS'!$D$5:$D$1504,MATCH(B286,'JOBS'!$A$5:$A$1504,0)),""))</f>
        <v/>
      </c>
      <c r="L286" s="49">
        <f>IF(B286="","",IFERROR(INDEX('JOBS'!$H$5:$H$1504,MATCH(B286,'JOBS'!$A$5:$A$1504,0)),""))</f>
        <v/>
      </c>
      <c r="M286" s="99">
        <f>IF(N(E286)=0,"",MIN(1,N(F286)/E286))</f>
        <v/>
      </c>
      <c r="N286" s="49">
        <f>IF(M286="","",IF(M286&gt;=QCPass,"Pass","Fail"))</f>
        <v/>
      </c>
      <c r="O286" s="49">
        <f>IF(A286="","",IF(H286&lt;&gt;"Yes","—",IF(J286="Yes","Resolved","Rework open")))</f>
        <v/>
      </c>
      <c r="P286" s="51">
        <f>IF(A286="","",DATE(YEAR(A286),MONTH(A286),1))</f>
        <v/>
      </c>
    </row>
    <row r="287">
      <c r="A287" s="47" t="n"/>
      <c r="B287" s="38" t="n"/>
      <c r="C287" s="38" t="n"/>
      <c r="D287" s="38" t="n"/>
      <c r="E287" s="57" t="n"/>
      <c r="F287" s="57" t="n"/>
      <c r="G287" s="38" t="n"/>
      <c r="H287" s="38" t="n"/>
      <c r="I287" s="47" t="n"/>
      <c r="J287" s="38" t="n"/>
      <c r="K287" s="49">
        <f>IF(B287="","",IFERROR(INDEX('JOBS'!$D$5:$D$1504,MATCH(B287,'JOBS'!$A$5:$A$1504,0)),""))</f>
        <v/>
      </c>
      <c r="L287" s="49">
        <f>IF(B287="","",IFERROR(INDEX('JOBS'!$H$5:$H$1504,MATCH(B287,'JOBS'!$A$5:$A$1504,0)),""))</f>
        <v/>
      </c>
      <c r="M287" s="99">
        <f>IF(N(E287)=0,"",MIN(1,N(F287)/E287))</f>
        <v/>
      </c>
      <c r="N287" s="49">
        <f>IF(M287="","",IF(M287&gt;=QCPass,"Pass","Fail"))</f>
        <v/>
      </c>
      <c r="O287" s="49">
        <f>IF(A287="","",IF(H287&lt;&gt;"Yes","—",IF(J287="Yes","Resolved","Rework open")))</f>
        <v/>
      </c>
      <c r="P287" s="51">
        <f>IF(A287="","",DATE(YEAR(A287),MONTH(A287),1))</f>
        <v/>
      </c>
    </row>
    <row r="288">
      <c r="A288" s="47" t="n"/>
      <c r="B288" s="38" t="n"/>
      <c r="C288" s="38" t="n"/>
      <c r="D288" s="38" t="n"/>
      <c r="E288" s="57" t="n"/>
      <c r="F288" s="57" t="n"/>
      <c r="G288" s="38" t="n"/>
      <c r="H288" s="38" t="n"/>
      <c r="I288" s="47" t="n"/>
      <c r="J288" s="38" t="n"/>
      <c r="K288" s="49">
        <f>IF(B288="","",IFERROR(INDEX('JOBS'!$D$5:$D$1504,MATCH(B288,'JOBS'!$A$5:$A$1504,0)),""))</f>
        <v/>
      </c>
      <c r="L288" s="49">
        <f>IF(B288="","",IFERROR(INDEX('JOBS'!$H$5:$H$1504,MATCH(B288,'JOBS'!$A$5:$A$1504,0)),""))</f>
        <v/>
      </c>
      <c r="M288" s="99">
        <f>IF(N(E288)=0,"",MIN(1,N(F288)/E288))</f>
        <v/>
      </c>
      <c r="N288" s="49">
        <f>IF(M288="","",IF(M288&gt;=QCPass,"Pass","Fail"))</f>
        <v/>
      </c>
      <c r="O288" s="49">
        <f>IF(A288="","",IF(H288&lt;&gt;"Yes","—",IF(J288="Yes","Resolved","Rework open")))</f>
        <v/>
      </c>
      <c r="P288" s="51">
        <f>IF(A288="","",DATE(YEAR(A288),MONTH(A288),1))</f>
        <v/>
      </c>
    </row>
    <row r="289">
      <c r="A289" s="47" t="n"/>
      <c r="B289" s="38" t="n"/>
      <c r="C289" s="38" t="n"/>
      <c r="D289" s="38" t="n"/>
      <c r="E289" s="57" t="n"/>
      <c r="F289" s="57" t="n"/>
      <c r="G289" s="38" t="n"/>
      <c r="H289" s="38" t="n"/>
      <c r="I289" s="47" t="n"/>
      <c r="J289" s="38" t="n"/>
      <c r="K289" s="49">
        <f>IF(B289="","",IFERROR(INDEX('JOBS'!$D$5:$D$1504,MATCH(B289,'JOBS'!$A$5:$A$1504,0)),""))</f>
        <v/>
      </c>
      <c r="L289" s="49">
        <f>IF(B289="","",IFERROR(INDEX('JOBS'!$H$5:$H$1504,MATCH(B289,'JOBS'!$A$5:$A$1504,0)),""))</f>
        <v/>
      </c>
      <c r="M289" s="99">
        <f>IF(N(E289)=0,"",MIN(1,N(F289)/E289))</f>
        <v/>
      </c>
      <c r="N289" s="49">
        <f>IF(M289="","",IF(M289&gt;=QCPass,"Pass","Fail"))</f>
        <v/>
      </c>
      <c r="O289" s="49">
        <f>IF(A289="","",IF(H289&lt;&gt;"Yes","—",IF(J289="Yes","Resolved","Rework open")))</f>
        <v/>
      </c>
      <c r="P289" s="51">
        <f>IF(A289="","",DATE(YEAR(A289),MONTH(A289),1))</f>
        <v/>
      </c>
    </row>
    <row r="290">
      <c r="A290" s="47" t="n"/>
      <c r="B290" s="38" t="n"/>
      <c r="C290" s="38" t="n"/>
      <c r="D290" s="38" t="n"/>
      <c r="E290" s="57" t="n"/>
      <c r="F290" s="57" t="n"/>
      <c r="G290" s="38" t="n"/>
      <c r="H290" s="38" t="n"/>
      <c r="I290" s="47" t="n"/>
      <c r="J290" s="38" t="n"/>
      <c r="K290" s="49">
        <f>IF(B290="","",IFERROR(INDEX('JOBS'!$D$5:$D$1504,MATCH(B290,'JOBS'!$A$5:$A$1504,0)),""))</f>
        <v/>
      </c>
      <c r="L290" s="49">
        <f>IF(B290="","",IFERROR(INDEX('JOBS'!$H$5:$H$1504,MATCH(B290,'JOBS'!$A$5:$A$1504,0)),""))</f>
        <v/>
      </c>
      <c r="M290" s="99">
        <f>IF(N(E290)=0,"",MIN(1,N(F290)/E290))</f>
        <v/>
      </c>
      <c r="N290" s="49">
        <f>IF(M290="","",IF(M290&gt;=QCPass,"Pass","Fail"))</f>
        <v/>
      </c>
      <c r="O290" s="49">
        <f>IF(A290="","",IF(H290&lt;&gt;"Yes","—",IF(J290="Yes","Resolved","Rework open")))</f>
        <v/>
      </c>
      <c r="P290" s="51">
        <f>IF(A290="","",DATE(YEAR(A290),MONTH(A290),1))</f>
        <v/>
      </c>
    </row>
    <row r="291">
      <c r="A291" s="47" t="n"/>
      <c r="B291" s="38" t="n"/>
      <c r="C291" s="38" t="n"/>
      <c r="D291" s="38" t="n"/>
      <c r="E291" s="57" t="n"/>
      <c r="F291" s="57" t="n"/>
      <c r="G291" s="38" t="n"/>
      <c r="H291" s="38" t="n"/>
      <c r="I291" s="47" t="n"/>
      <c r="J291" s="38" t="n"/>
      <c r="K291" s="49">
        <f>IF(B291="","",IFERROR(INDEX('JOBS'!$D$5:$D$1504,MATCH(B291,'JOBS'!$A$5:$A$1504,0)),""))</f>
        <v/>
      </c>
      <c r="L291" s="49">
        <f>IF(B291="","",IFERROR(INDEX('JOBS'!$H$5:$H$1504,MATCH(B291,'JOBS'!$A$5:$A$1504,0)),""))</f>
        <v/>
      </c>
      <c r="M291" s="99">
        <f>IF(N(E291)=0,"",MIN(1,N(F291)/E291))</f>
        <v/>
      </c>
      <c r="N291" s="49">
        <f>IF(M291="","",IF(M291&gt;=QCPass,"Pass","Fail"))</f>
        <v/>
      </c>
      <c r="O291" s="49">
        <f>IF(A291="","",IF(H291&lt;&gt;"Yes","—",IF(J291="Yes","Resolved","Rework open")))</f>
        <v/>
      </c>
      <c r="P291" s="51">
        <f>IF(A291="","",DATE(YEAR(A291),MONTH(A291),1))</f>
        <v/>
      </c>
    </row>
    <row r="292">
      <c r="A292" s="47" t="n"/>
      <c r="B292" s="38" t="n"/>
      <c r="C292" s="38" t="n"/>
      <c r="D292" s="38" t="n"/>
      <c r="E292" s="57" t="n"/>
      <c r="F292" s="57" t="n"/>
      <c r="G292" s="38" t="n"/>
      <c r="H292" s="38" t="n"/>
      <c r="I292" s="47" t="n"/>
      <c r="J292" s="38" t="n"/>
      <c r="K292" s="49">
        <f>IF(B292="","",IFERROR(INDEX('JOBS'!$D$5:$D$1504,MATCH(B292,'JOBS'!$A$5:$A$1504,0)),""))</f>
        <v/>
      </c>
      <c r="L292" s="49">
        <f>IF(B292="","",IFERROR(INDEX('JOBS'!$H$5:$H$1504,MATCH(B292,'JOBS'!$A$5:$A$1504,0)),""))</f>
        <v/>
      </c>
      <c r="M292" s="99">
        <f>IF(N(E292)=0,"",MIN(1,N(F292)/E292))</f>
        <v/>
      </c>
      <c r="N292" s="49">
        <f>IF(M292="","",IF(M292&gt;=QCPass,"Pass","Fail"))</f>
        <v/>
      </c>
      <c r="O292" s="49">
        <f>IF(A292="","",IF(H292&lt;&gt;"Yes","—",IF(J292="Yes","Resolved","Rework open")))</f>
        <v/>
      </c>
      <c r="P292" s="51">
        <f>IF(A292="","",DATE(YEAR(A292),MONTH(A292),1))</f>
        <v/>
      </c>
    </row>
    <row r="293">
      <c r="A293" s="47" t="n"/>
      <c r="B293" s="38" t="n"/>
      <c r="C293" s="38" t="n"/>
      <c r="D293" s="38" t="n"/>
      <c r="E293" s="57" t="n"/>
      <c r="F293" s="57" t="n"/>
      <c r="G293" s="38" t="n"/>
      <c r="H293" s="38" t="n"/>
      <c r="I293" s="47" t="n"/>
      <c r="J293" s="38" t="n"/>
      <c r="K293" s="49">
        <f>IF(B293="","",IFERROR(INDEX('JOBS'!$D$5:$D$1504,MATCH(B293,'JOBS'!$A$5:$A$1504,0)),""))</f>
        <v/>
      </c>
      <c r="L293" s="49">
        <f>IF(B293="","",IFERROR(INDEX('JOBS'!$H$5:$H$1504,MATCH(B293,'JOBS'!$A$5:$A$1504,0)),""))</f>
        <v/>
      </c>
      <c r="M293" s="99">
        <f>IF(N(E293)=0,"",MIN(1,N(F293)/E293))</f>
        <v/>
      </c>
      <c r="N293" s="49">
        <f>IF(M293="","",IF(M293&gt;=QCPass,"Pass","Fail"))</f>
        <v/>
      </c>
      <c r="O293" s="49">
        <f>IF(A293="","",IF(H293&lt;&gt;"Yes","—",IF(J293="Yes","Resolved","Rework open")))</f>
        <v/>
      </c>
      <c r="P293" s="51">
        <f>IF(A293="","",DATE(YEAR(A293),MONTH(A293),1))</f>
        <v/>
      </c>
    </row>
    <row r="294">
      <c r="A294" s="47" t="n"/>
      <c r="B294" s="38" t="n"/>
      <c r="C294" s="38" t="n"/>
      <c r="D294" s="38" t="n"/>
      <c r="E294" s="57" t="n"/>
      <c r="F294" s="57" t="n"/>
      <c r="G294" s="38" t="n"/>
      <c r="H294" s="38" t="n"/>
      <c r="I294" s="47" t="n"/>
      <c r="J294" s="38" t="n"/>
      <c r="K294" s="49">
        <f>IF(B294="","",IFERROR(INDEX('JOBS'!$D$5:$D$1504,MATCH(B294,'JOBS'!$A$5:$A$1504,0)),""))</f>
        <v/>
      </c>
      <c r="L294" s="49">
        <f>IF(B294="","",IFERROR(INDEX('JOBS'!$H$5:$H$1504,MATCH(B294,'JOBS'!$A$5:$A$1504,0)),""))</f>
        <v/>
      </c>
      <c r="M294" s="99">
        <f>IF(N(E294)=0,"",MIN(1,N(F294)/E294))</f>
        <v/>
      </c>
      <c r="N294" s="49">
        <f>IF(M294="","",IF(M294&gt;=QCPass,"Pass","Fail"))</f>
        <v/>
      </c>
      <c r="O294" s="49">
        <f>IF(A294="","",IF(H294&lt;&gt;"Yes","—",IF(J294="Yes","Resolved","Rework open")))</f>
        <v/>
      </c>
      <c r="P294" s="51">
        <f>IF(A294="","",DATE(YEAR(A294),MONTH(A294),1))</f>
        <v/>
      </c>
    </row>
    <row r="295">
      <c r="A295" s="47" t="n"/>
      <c r="B295" s="38" t="n"/>
      <c r="C295" s="38" t="n"/>
      <c r="D295" s="38" t="n"/>
      <c r="E295" s="57" t="n"/>
      <c r="F295" s="57" t="n"/>
      <c r="G295" s="38" t="n"/>
      <c r="H295" s="38" t="n"/>
      <c r="I295" s="47" t="n"/>
      <c r="J295" s="38" t="n"/>
      <c r="K295" s="49">
        <f>IF(B295="","",IFERROR(INDEX('JOBS'!$D$5:$D$1504,MATCH(B295,'JOBS'!$A$5:$A$1504,0)),""))</f>
        <v/>
      </c>
      <c r="L295" s="49">
        <f>IF(B295="","",IFERROR(INDEX('JOBS'!$H$5:$H$1504,MATCH(B295,'JOBS'!$A$5:$A$1504,0)),""))</f>
        <v/>
      </c>
      <c r="M295" s="99">
        <f>IF(N(E295)=0,"",MIN(1,N(F295)/E295))</f>
        <v/>
      </c>
      <c r="N295" s="49">
        <f>IF(M295="","",IF(M295&gt;=QCPass,"Pass","Fail"))</f>
        <v/>
      </c>
      <c r="O295" s="49">
        <f>IF(A295="","",IF(H295&lt;&gt;"Yes","—",IF(J295="Yes","Resolved","Rework open")))</f>
        <v/>
      </c>
      <c r="P295" s="51">
        <f>IF(A295="","",DATE(YEAR(A295),MONTH(A295),1))</f>
        <v/>
      </c>
    </row>
    <row r="296">
      <c r="A296" s="47" t="n"/>
      <c r="B296" s="38" t="n"/>
      <c r="C296" s="38" t="n"/>
      <c r="D296" s="38" t="n"/>
      <c r="E296" s="57" t="n"/>
      <c r="F296" s="57" t="n"/>
      <c r="G296" s="38" t="n"/>
      <c r="H296" s="38" t="n"/>
      <c r="I296" s="47" t="n"/>
      <c r="J296" s="38" t="n"/>
      <c r="K296" s="49">
        <f>IF(B296="","",IFERROR(INDEX('JOBS'!$D$5:$D$1504,MATCH(B296,'JOBS'!$A$5:$A$1504,0)),""))</f>
        <v/>
      </c>
      <c r="L296" s="49">
        <f>IF(B296="","",IFERROR(INDEX('JOBS'!$H$5:$H$1504,MATCH(B296,'JOBS'!$A$5:$A$1504,0)),""))</f>
        <v/>
      </c>
      <c r="M296" s="99">
        <f>IF(N(E296)=0,"",MIN(1,N(F296)/E296))</f>
        <v/>
      </c>
      <c r="N296" s="49">
        <f>IF(M296="","",IF(M296&gt;=QCPass,"Pass","Fail"))</f>
        <v/>
      </c>
      <c r="O296" s="49">
        <f>IF(A296="","",IF(H296&lt;&gt;"Yes","—",IF(J296="Yes","Resolved","Rework open")))</f>
        <v/>
      </c>
      <c r="P296" s="51">
        <f>IF(A296="","",DATE(YEAR(A296),MONTH(A296),1))</f>
        <v/>
      </c>
    </row>
    <row r="297">
      <c r="A297" s="47" t="n"/>
      <c r="B297" s="38" t="n"/>
      <c r="C297" s="38" t="n"/>
      <c r="D297" s="38" t="n"/>
      <c r="E297" s="57" t="n"/>
      <c r="F297" s="57" t="n"/>
      <c r="G297" s="38" t="n"/>
      <c r="H297" s="38" t="n"/>
      <c r="I297" s="47" t="n"/>
      <c r="J297" s="38" t="n"/>
      <c r="K297" s="49">
        <f>IF(B297="","",IFERROR(INDEX('JOBS'!$D$5:$D$1504,MATCH(B297,'JOBS'!$A$5:$A$1504,0)),""))</f>
        <v/>
      </c>
      <c r="L297" s="49">
        <f>IF(B297="","",IFERROR(INDEX('JOBS'!$H$5:$H$1504,MATCH(B297,'JOBS'!$A$5:$A$1504,0)),""))</f>
        <v/>
      </c>
      <c r="M297" s="99">
        <f>IF(N(E297)=0,"",MIN(1,N(F297)/E297))</f>
        <v/>
      </c>
      <c r="N297" s="49">
        <f>IF(M297="","",IF(M297&gt;=QCPass,"Pass","Fail"))</f>
        <v/>
      </c>
      <c r="O297" s="49">
        <f>IF(A297="","",IF(H297&lt;&gt;"Yes","—",IF(J297="Yes","Resolved","Rework open")))</f>
        <v/>
      </c>
      <c r="P297" s="51">
        <f>IF(A297="","",DATE(YEAR(A297),MONTH(A297),1))</f>
        <v/>
      </c>
    </row>
    <row r="298">
      <c r="A298" s="47" t="n"/>
      <c r="B298" s="38" t="n"/>
      <c r="C298" s="38" t="n"/>
      <c r="D298" s="38" t="n"/>
      <c r="E298" s="57" t="n"/>
      <c r="F298" s="57" t="n"/>
      <c r="G298" s="38" t="n"/>
      <c r="H298" s="38" t="n"/>
      <c r="I298" s="47" t="n"/>
      <c r="J298" s="38" t="n"/>
      <c r="K298" s="49">
        <f>IF(B298="","",IFERROR(INDEX('JOBS'!$D$5:$D$1504,MATCH(B298,'JOBS'!$A$5:$A$1504,0)),""))</f>
        <v/>
      </c>
      <c r="L298" s="49">
        <f>IF(B298="","",IFERROR(INDEX('JOBS'!$H$5:$H$1504,MATCH(B298,'JOBS'!$A$5:$A$1504,0)),""))</f>
        <v/>
      </c>
      <c r="M298" s="99">
        <f>IF(N(E298)=0,"",MIN(1,N(F298)/E298))</f>
        <v/>
      </c>
      <c r="N298" s="49">
        <f>IF(M298="","",IF(M298&gt;=QCPass,"Pass","Fail"))</f>
        <v/>
      </c>
      <c r="O298" s="49">
        <f>IF(A298="","",IF(H298&lt;&gt;"Yes","—",IF(J298="Yes","Resolved","Rework open")))</f>
        <v/>
      </c>
      <c r="P298" s="51">
        <f>IF(A298="","",DATE(YEAR(A298),MONTH(A298),1))</f>
        <v/>
      </c>
    </row>
    <row r="299">
      <c r="A299" s="47" t="n"/>
      <c r="B299" s="38" t="n"/>
      <c r="C299" s="38" t="n"/>
      <c r="D299" s="38" t="n"/>
      <c r="E299" s="57" t="n"/>
      <c r="F299" s="57" t="n"/>
      <c r="G299" s="38" t="n"/>
      <c r="H299" s="38" t="n"/>
      <c r="I299" s="47" t="n"/>
      <c r="J299" s="38" t="n"/>
      <c r="K299" s="49">
        <f>IF(B299="","",IFERROR(INDEX('JOBS'!$D$5:$D$1504,MATCH(B299,'JOBS'!$A$5:$A$1504,0)),""))</f>
        <v/>
      </c>
      <c r="L299" s="49">
        <f>IF(B299="","",IFERROR(INDEX('JOBS'!$H$5:$H$1504,MATCH(B299,'JOBS'!$A$5:$A$1504,0)),""))</f>
        <v/>
      </c>
      <c r="M299" s="99">
        <f>IF(N(E299)=0,"",MIN(1,N(F299)/E299))</f>
        <v/>
      </c>
      <c r="N299" s="49">
        <f>IF(M299="","",IF(M299&gt;=QCPass,"Pass","Fail"))</f>
        <v/>
      </c>
      <c r="O299" s="49">
        <f>IF(A299="","",IF(H299&lt;&gt;"Yes","—",IF(J299="Yes","Resolved","Rework open")))</f>
        <v/>
      </c>
      <c r="P299" s="51">
        <f>IF(A299="","",DATE(YEAR(A299),MONTH(A299),1))</f>
        <v/>
      </c>
    </row>
    <row r="300">
      <c r="A300" s="47" t="n"/>
      <c r="B300" s="38" t="n"/>
      <c r="C300" s="38" t="n"/>
      <c r="D300" s="38" t="n"/>
      <c r="E300" s="57" t="n"/>
      <c r="F300" s="57" t="n"/>
      <c r="G300" s="38" t="n"/>
      <c r="H300" s="38" t="n"/>
      <c r="I300" s="47" t="n"/>
      <c r="J300" s="38" t="n"/>
      <c r="K300" s="49">
        <f>IF(B300="","",IFERROR(INDEX('JOBS'!$D$5:$D$1504,MATCH(B300,'JOBS'!$A$5:$A$1504,0)),""))</f>
        <v/>
      </c>
      <c r="L300" s="49">
        <f>IF(B300="","",IFERROR(INDEX('JOBS'!$H$5:$H$1504,MATCH(B300,'JOBS'!$A$5:$A$1504,0)),""))</f>
        <v/>
      </c>
      <c r="M300" s="99">
        <f>IF(N(E300)=0,"",MIN(1,N(F300)/E300))</f>
        <v/>
      </c>
      <c r="N300" s="49">
        <f>IF(M300="","",IF(M300&gt;=QCPass,"Pass","Fail"))</f>
        <v/>
      </c>
      <c r="O300" s="49">
        <f>IF(A300="","",IF(H300&lt;&gt;"Yes","—",IF(J300="Yes","Resolved","Rework open")))</f>
        <v/>
      </c>
      <c r="P300" s="51">
        <f>IF(A300="","",DATE(YEAR(A300),MONTH(A300),1))</f>
        <v/>
      </c>
    </row>
    <row r="301">
      <c r="A301" s="47" t="n"/>
      <c r="B301" s="38" t="n"/>
      <c r="C301" s="38" t="n"/>
      <c r="D301" s="38" t="n"/>
      <c r="E301" s="57" t="n"/>
      <c r="F301" s="57" t="n"/>
      <c r="G301" s="38" t="n"/>
      <c r="H301" s="38" t="n"/>
      <c r="I301" s="47" t="n"/>
      <c r="J301" s="38" t="n"/>
      <c r="K301" s="49">
        <f>IF(B301="","",IFERROR(INDEX('JOBS'!$D$5:$D$1504,MATCH(B301,'JOBS'!$A$5:$A$1504,0)),""))</f>
        <v/>
      </c>
      <c r="L301" s="49">
        <f>IF(B301="","",IFERROR(INDEX('JOBS'!$H$5:$H$1504,MATCH(B301,'JOBS'!$A$5:$A$1504,0)),""))</f>
        <v/>
      </c>
      <c r="M301" s="99">
        <f>IF(N(E301)=0,"",MIN(1,N(F301)/E301))</f>
        <v/>
      </c>
      <c r="N301" s="49">
        <f>IF(M301="","",IF(M301&gt;=QCPass,"Pass","Fail"))</f>
        <v/>
      </c>
      <c r="O301" s="49">
        <f>IF(A301="","",IF(H301&lt;&gt;"Yes","—",IF(J301="Yes","Resolved","Rework open")))</f>
        <v/>
      </c>
      <c r="P301" s="51">
        <f>IF(A301="","",DATE(YEAR(A301),MONTH(A301),1))</f>
        <v/>
      </c>
    </row>
    <row r="302">
      <c r="A302" s="47" t="n"/>
      <c r="B302" s="38" t="n"/>
      <c r="C302" s="38" t="n"/>
      <c r="D302" s="38" t="n"/>
      <c r="E302" s="57" t="n"/>
      <c r="F302" s="57" t="n"/>
      <c r="G302" s="38" t="n"/>
      <c r="H302" s="38" t="n"/>
      <c r="I302" s="47" t="n"/>
      <c r="J302" s="38" t="n"/>
      <c r="K302" s="49">
        <f>IF(B302="","",IFERROR(INDEX('JOBS'!$D$5:$D$1504,MATCH(B302,'JOBS'!$A$5:$A$1504,0)),""))</f>
        <v/>
      </c>
      <c r="L302" s="49">
        <f>IF(B302="","",IFERROR(INDEX('JOBS'!$H$5:$H$1504,MATCH(B302,'JOBS'!$A$5:$A$1504,0)),""))</f>
        <v/>
      </c>
      <c r="M302" s="99">
        <f>IF(N(E302)=0,"",MIN(1,N(F302)/E302))</f>
        <v/>
      </c>
      <c r="N302" s="49">
        <f>IF(M302="","",IF(M302&gt;=QCPass,"Pass","Fail"))</f>
        <v/>
      </c>
      <c r="O302" s="49">
        <f>IF(A302="","",IF(H302&lt;&gt;"Yes","—",IF(J302="Yes","Resolved","Rework open")))</f>
        <v/>
      </c>
      <c r="P302" s="51">
        <f>IF(A302="","",DATE(YEAR(A302),MONTH(A302),1))</f>
        <v/>
      </c>
    </row>
    <row r="303">
      <c r="A303" s="47" t="n"/>
      <c r="B303" s="38" t="n"/>
      <c r="C303" s="38" t="n"/>
      <c r="D303" s="38" t="n"/>
      <c r="E303" s="57" t="n"/>
      <c r="F303" s="57" t="n"/>
      <c r="G303" s="38" t="n"/>
      <c r="H303" s="38" t="n"/>
      <c r="I303" s="47" t="n"/>
      <c r="J303" s="38" t="n"/>
      <c r="K303" s="49">
        <f>IF(B303="","",IFERROR(INDEX('JOBS'!$D$5:$D$1504,MATCH(B303,'JOBS'!$A$5:$A$1504,0)),""))</f>
        <v/>
      </c>
      <c r="L303" s="49">
        <f>IF(B303="","",IFERROR(INDEX('JOBS'!$H$5:$H$1504,MATCH(B303,'JOBS'!$A$5:$A$1504,0)),""))</f>
        <v/>
      </c>
      <c r="M303" s="99">
        <f>IF(N(E303)=0,"",MIN(1,N(F303)/E303))</f>
        <v/>
      </c>
      <c r="N303" s="49">
        <f>IF(M303="","",IF(M303&gt;=QCPass,"Pass","Fail"))</f>
        <v/>
      </c>
      <c r="O303" s="49">
        <f>IF(A303="","",IF(H303&lt;&gt;"Yes","—",IF(J303="Yes","Resolved","Rework open")))</f>
        <v/>
      </c>
      <c r="P303" s="51">
        <f>IF(A303="","",DATE(YEAR(A303),MONTH(A303),1))</f>
        <v/>
      </c>
    </row>
    <row r="304">
      <c r="A304" s="47" t="n"/>
      <c r="B304" s="38" t="n"/>
      <c r="C304" s="38" t="n"/>
      <c r="D304" s="38" t="n"/>
      <c r="E304" s="57" t="n"/>
      <c r="F304" s="57" t="n"/>
      <c r="G304" s="38" t="n"/>
      <c r="H304" s="38" t="n"/>
      <c r="I304" s="47" t="n"/>
      <c r="J304" s="38" t="n"/>
      <c r="K304" s="49">
        <f>IF(B304="","",IFERROR(INDEX('JOBS'!$D$5:$D$1504,MATCH(B304,'JOBS'!$A$5:$A$1504,0)),""))</f>
        <v/>
      </c>
      <c r="L304" s="49">
        <f>IF(B304="","",IFERROR(INDEX('JOBS'!$H$5:$H$1504,MATCH(B304,'JOBS'!$A$5:$A$1504,0)),""))</f>
        <v/>
      </c>
      <c r="M304" s="99">
        <f>IF(N(E304)=0,"",MIN(1,N(F304)/E304))</f>
        <v/>
      </c>
      <c r="N304" s="49">
        <f>IF(M304="","",IF(M304&gt;=QCPass,"Pass","Fail"))</f>
        <v/>
      </c>
      <c r="O304" s="49">
        <f>IF(A304="","",IF(H304&lt;&gt;"Yes","—",IF(J304="Yes","Resolved","Rework open")))</f>
        <v/>
      </c>
      <c r="P304" s="51">
        <f>IF(A304="","",DATE(YEAR(A304),MONTH(A304),1))</f>
        <v/>
      </c>
    </row>
    <row r="308">
      <c r="A308" s="115" t="inlineStr">
        <is>
          <t>ISSUE &amp; REWORK LOG</t>
        </is>
      </c>
    </row>
    <row r="309">
      <c r="A309" s="41" t="inlineStr">
        <is>
          <t>Log every complaint or problem, what you did about it and when it was resolved. Use AI Workflow 17 to draft the reply.</t>
        </is>
      </c>
    </row>
    <row r="311" ht="42" customHeight="1">
      <c r="A311" s="44" t="inlineStr">
        <is>
          <t>Date Reported</t>
        </is>
      </c>
      <c r="B311" s="44" t="inlineStr">
        <is>
          <t>Job ID</t>
        </is>
      </c>
      <c r="C311" s="44" t="inlineStr">
        <is>
          <t>Reported By</t>
        </is>
      </c>
      <c r="D311" s="44" t="inlineStr">
        <is>
          <t>Issue Type</t>
        </is>
      </c>
      <c r="E311" s="44" t="inlineStr">
        <is>
          <t>What Happened</t>
        </is>
      </c>
      <c r="F311" s="44" t="inlineStr">
        <is>
          <t>Action Taken / Planned</t>
        </is>
      </c>
      <c r="G311" s="44" t="inlineStr">
        <is>
          <t>Rework / Fix Date</t>
        </is>
      </c>
      <c r="H311" s="44" t="inlineStr">
        <is>
          <t>Status</t>
        </is>
      </c>
      <c r="I311" s="44" t="inlineStr">
        <is>
          <t>Cost of Fix ($)</t>
        </is>
      </c>
      <c r="J311" s="44" t="inlineStr">
        <is>
          <t>Resolved Date</t>
        </is>
      </c>
      <c r="K311" s="45" t="inlineStr">
        <is>
          <t>Customer ⚙</t>
        </is>
      </c>
      <c r="L311" s="45" t="inlineStr">
        <is>
          <t>Worker ⚙</t>
        </is>
      </c>
      <c r="M311" s="45" t="inlineStr">
        <is>
          <t>Days Open ⚙</t>
        </is>
      </c>
      <c r="N311" s="45" t="inlineStr">
        <is>
          <t>Month ⚙</t>
        </is>
      </c>
    </row>
    <row r="312">
      <c r="A312" s="47" t="n">
        <v>46096</v>
      </c>
      <c r="B312" s="38" t="inlineStr">
        <is>
          <t>J-0043</t>
        </is>
      </c>
      <c r="C312" s="38" t="inlineStr">
        <is>
          <t>Customer</t>
        </is>
      </c>
      <c r="D312" s="38" t="inlineStr">
        <is>
          <t>Missed area</t>
        </is>
      </c>
      <c r="E312" s="38" t="inlineStr">
        <is>
          <t>Guest bath floor not mopped</t>
        </is>
      </c>
      <c r="F312" s="38" t="inlineStr">
        <is>
          <t>Returned next morning at no charge</t>
        </is>
      </c>
      <c r="G312" s="47" t="n">
        <v>46097</v>
      </c>
      <c r="H312" s="38" t="inlineStr">
        <is>
          <t>Resolved</t>
        </is>
      </c>
      <c r="I312" s="48" t="n">
        <v>40</v>
      </c>
      <c r="J312" s="47" t="n">
        <v>46100</v>
      </c>
      <c r="K312" s="49">
        <f>IF(B312="","",IFERROR(INDEX('JOBS'!$D$5:$D$1504,MATCH(B312,'JOBS'!$A$5:$A$1504,0)),""))</f>
        <v/>
      </c>
      <c r="L312" s="49">
        <f>IF(B312="","",IFERROR(INDEX('JOBS'!$H$5:$H$1504,MATCH(B312,'JOBS'!$A$5:$A$1504,0)),""))</f>
        <v/>
      </c>
      <c r="M312" s="50">
        <f>IF(A312="","",IF(H312="Resolved",IF(J312="","",J312-A312),AsOf-A312))</f>
        <v/>
      </c>
      <c r="N312" s="51">
        <f>IF(A312="","",DATE(YEAR(A312),MONTH(A312),1))</f>
        <v/>
      </c>
    </row>
    <row r="313">
      <c r="A313" s="47" t="n">
        <v>46158</v>
      </c>
      <c r="B313" s="38" t="inlineStr">
        <is>
          <t>J-0119</t>
        </is>
      </c>
      <c r="C313" s="38" t="inlineStr">
        <is>
          <t>Customer</t>
        </is>
      </c>
      <c r="D313" s="38" t="inlineStr">
        <is>
          <t>Late / no-show</t>
        </is>
      </c>
      <c r="E313" s="38" t="inlineStr">
        <is>
          <t>Crew arrived 50 minutes late</t>
        </is>
      </c>
      <c r="F313" s="38" t="inlineStr">
        <is>
          <t>Apologized; 10% credit on next visit</t>
        </is>
      </c>
      <c r="G313" s="47" t="n"/>
      <c r="H313" s="38" t="inlineStr">
        <is>
          <t>Resolved</t>
        </is>
      </c>
      <c r="I313" s="48" t="n">
        <v>40</v>
      </c>
      <c r="J313" s="47" t="n">
        <v>46159</v>
      </c>
      <c r="K313" s="49">
        <f>IF(B313="","",IFERROR(INDEX('JOBS'!$D$5:$D$1504,MATCH(B313,'JOBS'!$A$5:$A$1504,0)),""))</f>
        <v/>
      </c>
      <c r="L313" s="49">
        <f>IF(B313="","",IFERROR(INDEX('JOBS'!$H$5:$H$1504,MATCH(B313,'JOBS'!$A$5:$A$1504,0)),""))</f>
        <v/>
      </c>
      <c r="M313" s="50">
        <f>IF(A313="","",IF(H313="Resolved",IF(J313="","",J313-A313),AsOf-A313))</f>
        <v/>
      </c>
      <c r="N313" s="51">
        <f>IF(A313="","",DATE(YEAR(A313),MONTH(A313),1))</f>
        <v/>
      </c>
    </row>
    <row r="314">
      <c r="A314" s="47" t="n">
        <v>46176</v>
      </c>
      <c r="B314" s="38" t="inlineStr">
        <is>
          <t>J-0144</t>
        </is>
      </c>
      <c r="C314" s="38" t="inlineStr">
        <is>
          <t>Staff</t>
        </is>
      </c>
      <c r="D314" s="38" t="inlineStr">
        <is>
          <t>Access problem</t>
        </is>
      </c>
      <c r="E314" s="38" t="inlineStr">
        <is>
          <t>Lockbox code did not work</t>
        </is>
      </c>
      <c r="F314" s="38" t="inlineStr">
        <is>
          <t>Rescheduled; updated access notes</t>
        </is>
      </c>
      <c r="G314" s="47" t="n"/>
      <c r="H314" s="38" t="inlineStr">
        <is>
          <t>Resolved</t>
        </is>
      </c>
      <c r="I314" s="48" t="n">
        <v>40</v>
      </c>
      <c r="J314" s="47" t="n">
        <v>46177</v>
      </c>
      <c r="K314" s="49">
        <f>IF(B314="","",IFERROR(INDEX('JOBS'!$D$5:$D$1504,MATCH(B314,'JOBS'!$A$5:$A$1504,0)),""))</f>
        <v/>
      </c>
      <c r="L314" s="49">
        <f>IF(B314="","",IFERROR(INDEX('JOBS'!$H$5:$H$1504,MATCH(B314,'JOBS'!$A$5:$A$1504,0)),""))</f>
        <v/>
      </c>
      <c r="M314" s="50">
        <f>IF(A314="","",IF(H314="Resolved",IF(J314="","",J314-A314),AsOf-A314))</f>
        <v/>
      </c>
      <c r="N314" s="51">
        <f>IF(A314="","",DATE(YEAR(A314),MONTH(A314),1))</f>
        <v/>
      </c>
    </row>
    <row r="315">
      <c r="A315" s="47" t="n">
        <v>46197</v>
      </c>
      <c r="B315" s="38" t="inlineStr">
        <is>
          <t>J-0172</t>
        </is>
      </c>
      <c r="C315" s="38" t="inlineStr">
        <is>
          <t>Inspection</t>
        </is>
      </c>
      <c r="D315" s="38" t="inlineStr">
        <is>
          <t>Quality complaint</t>
        </is>
      </c>
      <c r="E315" s="38" t="inlineStr">
        <is>
          <t>Kitchen backsplash streaky</t>
        </is>
      </c>
      <c r="F315" s="38" t="inlineStr">
        <is>
          <t>Coaching with cleaner; re-cleaned</t>
        </is>
      </c>
      <c r="G315" s="47" t="n">
        <v>46198</v>
      </c>
      <c r="H315" s="38" t="inlineStr">
        <is>
          <t>Resolved</t>
        </is>
      </c>
      <c r="I315" s="48" t="n">
        <v>0</v>
      </c>
      <c r="J315" s="47" t="n">
        <v>46201</v>
      </c>
      <c r="K315" s="49">
        <f>IF(B315="","",IFERROR(INDEX('JOBS'!$D$5:$D$1504,MATCH(B315,'JOBS'!$A$5:$A$1504,0)),""))</f>
        <v/>
      </c>
      <c r="L315" s="49">
        <f>IF(B315="","",IFERROR(INDEX('JOBS'!$H$5:$H$1504,MATCH(B315,'JOBS'!$A$5:$A$1504,0)),""))</f>
        <v/>
      </c>
      <c r="M315" s="50">
        <f>IF(A315="","",IF(H315="Resolved",IF(J315="","",J315-A315),AsOf-A315))</f>
        <v/>
      </c>
      <c r="N315" s="51">
        <f>IF(A315="","",DATE(YEAR(A315),MONTH(A315),1))</f>
        <v/>
      </c>
    </row>
    <row r="316">
      <c r="A316" s="47" t="n">
        <v>46290</v>
      </c>
      <c r="B316" s="38" t="inlineStr">
        <is>
          <t>J-0197</t>
        </is>
      </c>
      <c r="C316" s="38" t="inlineStr">
        <is>
          <t>Customer</t>
        </is>
      </c>
      <c r="D316" s="38" t="inlineStr">
        <is>
          <t>Damage report</t>
        </is>
      </c>
      <c r="E316" s="38" t="inlineStr">
        <is>
          <t>Customer reports chipped vase</t>
        </is>
      </c>
      <c r="F316" s="38" t="inlineStr">
        <is>
          <t>Documented with photos; owner reviewing</t>
        </is>
      </c>
      <c r="G316" s="47" t="n"/>
      <c r="H316" s="38" t="inlineStr">
        <is>
          <t>In progress</t>
        </is>
      </c>
      <c r="I316" s="48" t="n"/>
      <c r="J316" s="47" t="n"/>
      <c r="K316" s="49">
        <f>IF(B316="","",IFERROR(INDEX('JOBS'!$D$5:$D$1504,MATCH(B316,'JOBS'!$A$5:$A$1504,0)),""))</f>
        <v/>
      </c>
      <c r="L316" s="49">
        <f>IF(B316="","",IFERROR(INDEX('JOBS'!$H$5:$H$1504,MATCH(B316,'JOBS'!$A$5:$A$1504,0)),""))</f>
        <v/>
      </c>
      <c r="M316" s="50">
        <f>IF(A316="","",IF(H316="Resolved",IF(J316="","",J316-A316),AsOf-A316))</f>
        <v/>
      </c>
      <c r="N316" s="51">
        <f>IF(A316="","",DATE(YEAR(A316),MONTH(A316),1))</f>
        <v/>
      </c>
    </row>
    <row r="317">
      <c r="A317" s="47" t="n">
        <v>46292</v>
      </c>
      <c r="B317" s="38" t="inlineStr">
        <is>
          <t>J-0214</t>
        </is>
      </c>
      <c r="C317" s="38" t="inlineStr">
        <is>
          <t>Customer</t>
        </is>
      </c>
      <c r="D317" s="38" t="inlineStr">
        <is>
          <t>Billing question</t>
        </is>
      </c>
      <c r="E317" s="38" t="inlineStr">
        <is>
          <t>Charged for add-on not requested</t>
        </is>
      </c>
      <c r="F317" s="38" t="inlineStr">
        <is>
          <t>Checking job notes</t>
        </is>
      </c>
      <c r="G317" s="47" t="n"/>
      <c r="H317" s="38" t="inlineStr">
        <is>
          <t>Open</t>
        </is>
      </c>
      <c r="I317" s="48" t="n"/>
      <c r="J317" s="47" t="n"/>
      <c r="K317" s="49">
        <f>IF(B317="","",IFERROR(INDEX('JOBS'!$D$5:$D$1504,MATCH(B317,'JOBS'!$A$5:$A$1504,0)),""))</f>
        <v/>
      </c>
      <c r="L317" s="49">
        <f>IF(B317="","",IFERROR(INDEX('JOBS'!$H$5:$H$1504,MATCH(B317,'JOBS'!$A$5:$A$1504,0)),""))</f>
        <v/>
      </c>
      <c r="M317" s="50">
        <f>IF(A317="","",IF(H317="Resolved",IF(J317="","",J317-A317),AsOf-A317))</f>
        <v/>
      </c>
      <c r="N317" s="51">
        <f>IF(A317="","",DATE(YEAR(A317),MONTH(A317),1))</f>
        <v/>
      </c>
    </row>
    <row r="318">
      <c r="A318" s="47" t="n"/>
      <c r="B318" s="38" t="n"/>
      <c r="C318" s="38" t="n"/>
      <c r="D318" s="38" t="n"/>
      <c r="E318" s="38" t="n"/>
      <c r="F318" s="38" t="n"/>
      <c r="G318" s="47" t="n"/>
      <c r="H318" s="38" t="n"/>
      <c r="I318" s="48" t="n"/>
      <c r="J318" s="47" t="n"/>
      <c r="K318" s="49">
        <f>IF(B318="","",IFERROR(INDEX('JOBS'!$D$5:$D$1504,MATCH(B318,'JOBS'!$A$5:$A$1504,0)),""))</f>
        <v/>
      </c>
      <c r="L318" s="49">
        <f>IF(B318="","",IFERROR(INDEX('JOBS'!$H$5:$H$1504,MATCH(B318,'JOBS'!$A$5:$A$1504,0)),""))</f>
        <v/>
      </c>
      <c r="M318" s="50">
        <f>IF(A318="","",IF(H318="Resolved",IF(J318="","",J318-A318),AsOf-A318))</f>
        <v/>
      </c>
      <c r="N318" s="51">
        <f>IF(A318="","",DATE(YEAR(A318),MONTH(A318),1))</f>
        <v/>
      </c>
    </row>
    <row r="319">
      <c r="A319" s="47" t="n"/>
      <c r="B319" s="38" t="n"/>
      <c r="C319" s="38" t="n"/>
      <c r="D319" s="38" t="n"/>
      <c r="E319" s="38" t="n"/>
      <c r="F319" s="38" t="n"/>
      <c r="G319" s="47" t="n"/>
      <c r="H319" s="38" t="n"/>
      <c r="I319" s="48" t="n"/>
      <c r="J319" s="47" t="n"/>
      <c r="K319" s="49">
        <f>IF(B319="","",IFERROR(INDEX('JOBS'!$D$5:$D$1504,MATCH(B319,'JOBS'!$A$5:$A$1504,0)),""))</f>
        <v/>
      </c>
      <c r="L319" s="49">
        <f>IF(B319="","",IFERROR(INDEX('JOBS'!$H$5:$H$1504,MATCH(B319,'JOBS'!$A$5:$A$1504,0)),""))</f>
        <v/>
      </c>
      <c r="M319" s="50">
        <f>IF(A319="","",IF(H319="Resolved",IF(J319="","",J319-A319),AsOf-A319))</f>
        <v/>
      </c>
      <c r="N319" s="51">
        <f>IF(A319="","",DATE(YEAR(A319),MONTH(A319),1))</f>
        <v/>
      </c>
    </row>
    <row r="320">
      <c r="A320" s="47" t="n"/>
      <c r="B320" s="38" t="n"/>
      <c r="C320" s="38" t="n"/>
      <c r="D320" s="38" t="n"/>
      <c r="E320" s="38" t="n"/>
      <c r="F320" s="38" t="n"/>
      <c r="G320" s="47" t="n"/>
      <c r="H320" s="38" t="n"/>
      <c r="I320" s="48" t="n"/>
      <c r="J320" s="47" t="n"/>
      <c r="K320" s="49">
        <f>IF(B320="","",IFERROR(INDEX('JOBS'!$D$5:$D$1504,MATCH(B320,'JOBS'!$A$5:$A$1504,0)),""))</f>
        <v/>
      </c>
      <c r="L320" s="49">
        <f>IF(B320="","",IFERROR(INDEX('JOBS'!$H$5:$H$1504,MATCH(B320,'JOBS'!$A$5:$A$1504,0)),""))</f>
        <v/>
      </c>
      <c r="M320" s="50">
        <f>IF(A320="","",IF(H320="Resolved",IF(J320="","",J320-A320),AsOf-A320))</f>
        <v/>
      </c>
      <c r="N320" s="51">
        <f>IF(A320="","",DATE(YEAR(A320),MONTH(A320),1))</f>
        <v/>
      </c>
    </row>
    <row r="321">
      <c r="A321" s="47" t="n"/>
      <c r="B321" s="38" t="n"/>
      <c r="C321" s="38" t="n"/>
      <c r="D321" s="38" t="n"/>
      <c r="E321" s="38" t="n"/>
      <c r="F321" s="38" t="n"/>
      <c r="G321" s="47" t="n"/>
      <c r="H321" s="38" t="n"/>
      <c r="I321" s="48" t="n"/>
      <c r="J321" s="47" t="n"/>
      <c r="K321" s="49">
        <f>IF(B321="","",IFERROR(INDEX('JOBS'!$D$5:$D$1504,MATCH(B321,'JOBS'!$A$5:$A$1504,0)),""))</f>
        <v/>
      </c>
      <c r="L321" s="49">
        <f>IF(B321="","",IFERROR(INDEX('JOBS'!$H$5:$H$1504,MATCH(B321,'JOBS'!$A$5:$A$1504,0)),""))</f>
        <v/>
      </c>
      <c r="M321" s="50">
        <f>IF(A321="","",IF(H321="Resolved",IF(J321="","",J321-A321),AsOf-A321))</f>
        <v/>
      </c>
      <c r="N321" s="51">
        <f>IF(A321="","",DATE(YEAR(A321),MONTH(A321),1))</f>
        <v/>
      </c>
    </row>
    <row r="322">
      <c r="A322" s="47" t="n"/>
      <c r="B322" s="38" t="n"/>
      <c r="C322" s="38" t="n"/>
      <c r="D322" s="38" t="n"/>
      <c r="E322" s="38" t="n"/>
      <c r="F322" s="38" t="n"/>
      <c r="G322" s="47" t="n"/>
      <c r="H322" s="38" t="n"/>
      <c r="I322" s="48" t="n"/>
      <c r="J322" s="47" t="n"/>
      <c r="K322" s="49">
        <f>IF(B322="","",IFERROR(INDEX('JOBS'!$D$5:$D$1504,MATCH(B322,'JOBS'!$A$5:$A$1504,0)),""))</f>
        <v/>
      </c>
      <c r="L322" s="49">
        <f>IF(B322="","",IFERROR(INDEX('JOBS'!$H$5:$H$1504,MATCH(B322,'JOBS'!$A$5:$A$1504,0)),""))</f>
        <v/>
      </c>
      <c r="M322" s="50">
        <f>IF(A322="","",IF(H322="Resolved",IF(J322="","",J322-A322),AsOf-A322))</f>
        <v/>
      </c>
      <c r="N322" s="51">
        <f>IF(A322="","",DATE(YEAR(A322),MONTH(A322),1))</f>
        <v/>
      </c>
    </row>
    <row r="323">
      <c r="A323" s="47" t="n"/>
      <c r="B323" s="38" t="n"/>
      <c r="C323" s="38" t="n"/>
      <c r="D323" s="38" t="n"/>
      <c r="E323" s="38" t="n"/>
      <c r="F323" s="38" t="n"/>
      <c r="G323" s="47" t="n"/>
      <c r="H323" s="38" t="n"/>
      <c r="I323" s="48" t="n"/>
      <c r="J323" s="47" t="n"/>
      <c r="K323" s="49">
        <f>IF(B323="","",IFERROR(INDEX('JOBS'!$D$5:$D$1504,MATCH(B323,'JOBS'!$A$5:$A$1504,0)),""))</f>
        <v/>
      </c>
      <c r="L323" s="49">
        <f>IF(B323="","",IFERROR(INDEX('JOBS'!$H$5:$H$1504,MATCH(B323,'JOBS'!$A$5:$A$1504,0)),""))</f>
        <v/>
      </c>
      <c r="M323" s="50">
        <f>IF(A323="","",IF(H323="Resolved",IF(J323="","",J323-A323),AsOf-A323))</f>
        <v/>
      </c>
      <c r="N323" s="51">
        <f>IF(A323="","",DATE(YEAR(A323),MONTH(A323),1))</f>
        <v/>
      </c>
    </row>
    <row r="324">
      <c r="A324" s="47" t="n"/>
      <c r="B324" s="38" t="n"/>
      <c r="C324" s="38" t="n"/>
      <c r="D324" s="38" t="n"/>
      <c r="E324" s="38" t="n"/>
      <c r="F324" s="38" t="n"/>
      <c r="G324" s="47" t="n"/>
      <c r="H324" s="38" t="n"/>
      <c r="I324" s="48" t="n"/>
      <c r="J324" s="47" t="n"/>
      <c r="K324" s="49">
        <f>IF(B324="","",IFERROR(INDEX('JOBS'!$D$5:$D$1504,MATCH(B324,'JOBS'!$A$5:$A$1504,0)),""))</f>
        <v/>
      </c>
      <c r="L324" s="49">
        <f>IF(B324="","",IFERROR(INDEX('JOBS'!$H$5:$H$1504,MATCH(B324,'JOBS'!$A$5:$A$1504,0)),""))</f>
        <v/>
      </c>
      <c r="M324" s="50">
        <f>IF(A324="","",IF(H324="Resolved",IF(J324="","",J324-A324),AsOf-A324))</f>
        <v/>
      </c>
      <c r="N324" s="51">
        <f>IF(A324="","",DATE(YEAR(A324),MONTH(A324),1))</f>
        <v/>
      </c>
    </row>
    <row r="325">
      <c r="A325" s="47" t="n"/>
      <c r="B325" s="38" t="n"/>
      <c r="C325" s="38" t="n"/>
      <c r="D325" s="38" t="n"/>
      <c r="E325" s="38" t="n"/>
      <c r="F325" s="38" t="n"/>
      <c r="G325" s="47" t="n"/>
      <c r="H325" s="38" t="n"/>
      <c r="I325" s="48" t="n"/>
      <c r="J325" s="47" t="n"/>
      <c r="K325" s="49">
        <f>IF(B325="","",IFERROR(INDEX('JOBS'!$D$5:$D$1504,MATCH(B325,'JOBS'!$A$5:$A$1504,0)),""))</f>
        <v/>
      </c>
      <c r="L325" s="49">
        <f>IF(B325="","",IFERROR(INDEX('JOBS'!$H$5:$H$1504,MATCH(B325,'JOBS'!$A$5:$A$1504,0)),""))</f>
        <v/>
      </c>
      <c r="M325" s="50">
        <f>IF(A325="","",IF(H325="Resolved",IF(J325="","",J325-A325),AsOf-A325))</f>
        <v/>
      </c>
      <c r="N325" s="51">
        <f>IF(A325="","",DATE(YEAR(A325),MONTH(A325),1))</f>
        <v/>
      </c>
    </row>
    <row r="326">
      <c r="A326" s="47" t="n"/>
      <c r="B326" s="38" t="n"/>
      <c r="C326" s="38" t="n"/>
      <c r="D326" s="38" t="n"/>
      <c r="E326" s="38" t="n"/>
      <c r="F326" s="38" t="n"/>
      <c r="G326" s="47" t="n"/>
      <c r="H326" s="38" t="n"/>
      <c r="I326" s="48" t="n"/>
      <c r="J326" s="47" t="n"/>
      <c r="K326" s="49">
        <f>IF(B326="","",IFERROR(INDEX('JOBS'!$D$5:$D$1504,MATCH(B326,'JOBS'!$A$5:$A$1504,0)),""))</f>
        <v/>
      </c>
      <c r="L326" s="49">
        <f>IF(B326="","",IFERROR(INDEX('JOBS'!$H$5:$H$1504,MATCH(B326,'JOBS'!$A$5:$A$1504,0)),""))</f>
        <v/>
      </c>
      <c r="M326" s="50">
        <f>IF(A326="","",IF(H326="Resolved",IF(J326="","",J326-A326),AsOf-A326))</f>
        <v/>
      </c>
      <c r="N326" s="51">
        <f>IF(A326="","",DATE(YEAR(A326),MONTH(A326),1))</f>
        <v/>
      </c>
    </row>
    <row r="327">
      <c r="A327" s="47" t="n"/>
      <c r="B327" s="38" t="n"/>
      <c r="C327" s="38" t="n"/>
      <c r="D327" s="38" t="n"/>
      <c r="E327" s="38" t="n"/>
      <c r="F327" s="38" t="n"/>
      <c r="G327" s="47" t="n"/>
      <c r="H327" s="38" t="n"/>
      <c r="I327" s="48" t="n"/>
      <c r="J327" s="47" t="n"/>
      <c r="K327" s="49">
        <f>IF(B327="","",IFERROR(INDEX('JOBS'!$D$5:$D$1504,MATCH(B327,'JOBS'!$A$5:$A$1504,0)),""))</f>
        <v/>
      </c>
      <c r="L327" s="49">
        <f>IF(B327="","",IFERROR(INDEX('JOBS'!$H$5:$H$1504,MATCH(B327,'JOBS'!$A$5:$A$1504,0)),""))</f>
        <v/>
      </c>
      <c r="M327" s="50">
        <f>IF(A327="","",IF(H327="Resolved",IF(J327="","",J327-A327),AsOf-A327))</f>
        <v/>
      </c>
      <c r="N327" s="51">
        <f>IF(A327="","",DATE(YEAR(A327),MONTH(A327),1))</f>
        <v/>
      </c>
    </row>
    <row r="328">
      <c r="A328" s="47" t="n"/>
      <c r="B328" s="38" t="n"/>
      <c r="C328" s="38" t="n"/>
      <c r="D328" s="38" t="n"/>
      <c r="E328" s="38" t="n"/>
      <c r="F328" s="38" t="n"/>
      <c r="G328" s="47" t="n"/>
      <c r="H328" s="38" t="n"/>
      <c r="I328" s="48" t="n"/>
      <c r="J328" s="47" t="n"/>
      <c r="K328" s="49">
        <f>IF(B328="","",IFERROR(INDEX('JOBS'!$D$5:$D$1504,MATCH(B328,'JOBS'!$A$5:$A$1504,0)),""))</f>
        <v/>
      </c>
      <c r="L328" s="49">
        <f>IF(B328="","",IFERROR(INDEX('JOBS'!$H$5:$H$1504,MATCH(B328,'JOBS'!$A$5:$A$1504,0)),""))</f>
        <v/>
      </c>
      <c r="M328" s="50">
        <f>IF(A328="","",IF(H328="Resolved",IF(J328="","",J328-A328),AsOf-A328))</f>
        <v/>
      </c>
      <c r="N328" s="51">
        <f>IF(A328="","",DATE(YEAR(A328),MONTH(A328),1))</f>
        <v/>
      </c>
    </row>
    <row r="329">
      <c r="A329" s="47" t="n"/>
      <c r="B329" s="38" t="n"/>
      <c r="C329" s="38" t="n"/>
      <c r="D329" s="38" t="n"/>
      <c r="E329" s="38" t="n"/>
      <c r="F329" s="38" t="n"/>
      <c r="G329" s="47" t="n"/>
      <c r="H329" s="38" t="n"/>
      <c r="I329" s="48" t="n"/>
      <c r="J329" s="47" t="n"/>
      <c r="K329" s="49">
        <f>IF(B329="","",IFERROR(INDEX('JOBS'!$D$5:$D$1504,MATCH(B329,'JOBS'!$A$5:$A$1504,0)),""))</f>
        <v/>
      </c>
      <c r="L329" s="49">
        <f>IF(B329="","",IFERROR(INDEX('JOBS'!$H$5:$H$1504,MATCH(B329,'JOBS'!$A$5:$A$1504,0)),""))</f>
        <v/>
      </c>
      <c r="M329" s="50">
        <f>IF(A329="","",IF(H329="Resolved",IF(J329="","",J329-A329),AsOf-A329))</f>
        <v/>
      </c>
      <c r="N329" s="51">
        <f>IF(A329="","",DATE(YEAR(A329),MONTH(A329),1))</f>
        <v/>
      </c>
    </row>
    <row r="330">
      <c r="A330" s="47" t="n"/>
      <c r="B330" s="38" t="n"/>
      <c r="C330" s="38" t="n"/>
      <c r="D330" s="38" t="n"/>
      <c r="E330" s="38" t="n"/>
      <c r="F330" s="38" t="n"/>
      <c r="G330" s="47" t="n"/>
      <c r="H330" s="38" t="n"/>
      <c r="I330" s="48" t="n"/>
      <c r="J330" s="47" t="n"/>
      <c r="K330" s="49">
        <f>IF(B330="","",IFERROR(INDEX('JOBS'!$D$5:$D$1504,MATCH(B330,'JOBS'!$A$5:$A$1504,0)),""))</f>
        <v/>
      </c>
      <c r="L330" s="49">
        <f>IF(B330="","",IFERROR(INDEX('JOBS'!$H$5:$H$1504,MATCH(B330,'JOBS'!$A$5:$A$1504,0)),""))</f>
        <v/>
      </c>
      <c r="M330" s="50">
        <f>IF(A330="","",IF(H330="Resolved",IF(J330="","",J330-A330),AsOf-A330))</f>
        <v/>
      </c>
      <c r="N330" s="51">
        <f>IF(A330="","",DATE(YEAR(A330),MONTH(A330),1))</f>
        <v/>
      </c>
    </row>
    <row r="331">
      <c r="A331" s="47" t="n"/>
      <c r="B331" s="38" t="n"/>
      <c r="C331" s="38" t="n"/>
      <c r="D331" s="38" t="n"/>
      <c r="E331" s="38" t="n"/>
      <c r="F331" s="38" t="n"/>
      <c r="G331" s="47" t="n"/>
      <c r="H331" s="38" t="n"/>
      <c r="I331" s="48" t="n"/>
      <c r="J331" s="47" t="n"/>
      <c r="K331" s="49">
        <f>IF(B331="","",IFERROR(INDEX('JOBS'!$D$5:$D$1504,MATCH(B331,'JOBS'!$A$5:$A$1504,0)),""))</f>
        <v/>
      </c>
      <c r="L331" s="49">
        <f>IF(B331="","",IFERROR(INDEX('JOBS'!$H$5:$H$1504,MATCH(B331,'JOBS'!$A$5:$A$1504,0)),""))</f>
        <v/>
      </c>
      <c r="M331" s="50">
        <f>IF(A331="","",IF(H331="Resolved",IF(J331="","",J331-A331),AsOf-A331))</f>
        <v/>
      </c>
      <c r="N331" s="51">
        <f>IF(A331="","",DATE(YEAR(A331),MONTH(A331),1))</f>
        <v/>
      </c>
    </row>
    <row r="332">
      <c r="A332" s="47" t="n"/>
      <c r="B332" s="38" t="n"/>
      <c r="C332" s="38" t="n"/>
      <c r="D332" s="38" t="n"/>
      <c r="E332" s="38" t="n"/>
      <c r="F332" s="38" t="n"/>
      <c r="G332" s="47" t="n"/>
      <c r="H332" s="38" t="n"/>
      <c r="I332" s="48" t="n"/>
      <c r="J332" s="47" t="n"/>
      <c r="K332" s="49">
        <f>IF(B332="","",IFERROR(INDEX('JOBS'!$D$5:$D$1504,MATCH(B332,'JOBS'!$A$5:$A$1504,0)),""))</f>
        <v/>
      </c>
      <c r="L332" s="49">
        <f>IF(B332="","",IFERROR(INDEX('JOBS'!$H$5:$H$1504,MATCH(B332,'JOBS'!$A$5:$A$1504,0)),""))</f>
        <v/>
      </c>
      <c r="M332" s="50">
        <f>IF(A332="","",IF(H332="Resolved",IF(J332="","",J332-A332),AsOf-A332))</f>
        <v/>
      </c>
      <c r="N332" s="51">
        <f>IF(A332="","",DATE(YEAR(A332),MONTH(A332),1))</f>
        <v/>
      </c>
    </row>
    <row r="333">
      <c r="A333" s="47" t="n"/>
      <c r="B333" s="38" t="n"/>
      <c r="C333" s="38" t="n"/>
      <c r="D333" s="38" t="n"/>
      <c r="E333" s="38" t="n"/>
      <c r="F333" s="38" t="n"/>
      <c r="G333" s="47" t="n"/>
      <c r="H333" s="38" t="n"/>
      <c r="I333" s="48" t="n"/>
      <c r="J333" s="47" t="n"/>
      <c r="K333" s="49">
        <f>IF(B333="","",IFERROR(INDEX('JOBS'!$D$5:$D$1504,MATCH(B333,'JOBS'!$A$5:$A$1504,0)),""))</f>
        <v/>
      </c>
      <c r="L333" s="49">
        <f>IF(B333="","",IFERROR(INDEX('JOBS'!$H$5:$H$1504,MATCH(B333,'JOBS'!$A$5:$A$1504,0)),""))</f>
        <v/>
      </c>
      <c r="M333" s="50">
        <f>IF(A333="","",IF(H333="Resolved",IF(J333="","",J333-A333),AsOf-A333))</f>
        <v/>
      </c>
      <c r="N333" s="51">
        <f>IF(A333="","",DATE(YEAR(A333),MONTH(A333),1))</f>
        <v/>
      </c>
    </row>
    <row r="334">
      <c r="A334" s="47" t="n"/>
      <c r="B334" s="38" t="n"/>
      <c r="C334" s="38" t="n"/>
      <c r="D334" s="38" t="n"/>
      <c r="E334" s="38" t="n"/>
      <c r="F334" s="38" t="n"/>
      <c r="G334" s="47" t="n"/>
      <c r="H334" s="38" t="n"/>
      <c r="I334" s="48" t="n"/>
      <c r="J334" s="47" t="n"/>
      <c r="K334" s="49">
        <f>IF(B334="","",IFERROR(INDEX('JOBS'!$D$5:$D$1504,MATCH(B334,'JOBS'!$A$5:$A$1504,0)),""))</f>
        <v/>
      </c>
      <c r="L334" s="49">
        <f>IF(B334="","",IFERROR(INDEX('JOBS'!$H$5:$H$1504,MATCH(B334,'JOBS'!$A$5:$A$1504,0)),""))</f>
        <v/>
      </c>
      <c r="M334" s="50">
        <f>IF(A334="","",IF(H334="Resolved",IF(J334="","",J334-A334),AsOf-A334))</f>
        <v/>
      </c>
      <c r="N334" s="51">
        <f>IF(A334="","",DATE(YEAR(A334),MONTH(A334),1))</f>
        <v/>
      </c>
    </row>
    <row r="335">
      <c r="A335" s="47" t="n"/>
      <c r="B335" s="38" t="n"/>
      <c r="C335" s="38" t="n"/>
      <c r="D335" s="38" t="n"/>
      <c r="E335" s="38" t="n"/>
      <c r="F335" s="38" t="n"/>
      <c r="G335" s="47" t="n"/>
      <c r="H335" s="38" t="n"/>
      <c r="I335" s="48" t="n"/>
      <c r="J335" s="47" t="n"/>
      <c r="K335" s="49">
        <f>IF(B335="","",IFERROR(INDEX('JOBS'!$D$5:$D$1504,MATCH(B335,'JOBS'!$A$5:$A$1504,0)),""))</f>
        <v/>
      </c>
      <c r="L335" s="49">
        <f>IF(B335="","",IFERROR(INDEX('JOBS'!$H$5:$H$1504,MATCH(B335,'JOBS'!$A$5:$A$1504,0)),""))</f>
        <v/>
      </c>
      <c r="M335" s="50">
        <f>IF(A335="","",IF(H335="Resolved",IF(J335="","",J335-A335),AsOf-A335))</f>
        <v/>
      </c>
      <c r="N335" s="51">
        <f>IF(A335="","",DATE(YEAR(A335),MONTH(A335),1))</f>
        <v/>
      </c>
    </row>
    <row r="336">
      <c r="A336" s="47" t="n"/>
      <c r="B336" s="38" t="n"/>
      <c r="C336" s="38" t="n"/>
      <c r="D336" s="38" t="n"/>
      <c r="E336" s="38" t="n"/>
      <c r="F336" s="38" t="n"/>
      <c r="G336" s="47" t="n"/>
      <c r="H336" s="38" t="n"/>
      <c r="I336" s="48" t="n"/>
      <c r="J336" s="47" t="n"/>
      <c r="K336" s="49">
        <f>IF(B336="","",IFERROR(INDEX('JOBS'!$D$5:$D$1504,MATCH(B336,'JOBS'!$A$5:$A$1504,0)),""))</f>
        <v/>
      </c>
      <c r="L336" s="49">
        <f>IF(B336="","",IFERROR(INDEX('JOBS'!$H$5:$H$1504,MATCH(B336,'JOBS'!$A$5:$A$1504,0)),""))</f>
        <v/>
      </c>
      <c r="M336" s="50">
        <f>IF(A336="","",IF(H336="Resolved",IF(J336="","",J336-A336),AsOf-A336))</f>
        <v/>
      </c>
      <c r="N336" s="51">
        <f>IF(A336="","",DATE(YEAR(A336),MONTH(A336),1))</f>
        <v/>
      </c>
    </row>
    <row r="337">
      <c r="A337" s="47" t="n"/>
      <c r="B337" s="38" t="n"/>
      <c r="C337" s="38" t="n"/>
      <c r="D337" s="38" t="n"/>
      <c r="E337" s="38" t="n"/>
      <c r="F337" s="38" t="n"/>
      <c r="G337" s="47" t="n"/>
      <c r="H337" s="38" t="n"/>
      <c r="I337" s="48" t="n"/>
      <c r="J337" s="47" t="n"/>
      <c r="K337" s="49">
        <f>IF(B337="","",IFERROR(INDEX('JOBS'!$D$5:$D$1504,MATCH(B337,'JOBS'!$A$5:$A$1504,0)),""))</f>
        <v/>
      </c>
      <c r="L337" s="49">
        <f>IF(B337="","",IFERROR(INDEX('JOBS'!$H$5:$H$1504,MATCH(B337,'JOBS'!$A$5:$A$1504,0)),""))</f>
        <v/>
      </c>
      <c r="M337" s="50">
        <f>IF(A337="","",IF(H337="Resolved",IF(J337="","",J337-A337),AsOf-A337))</f>
        <v/>
      </c>
      <c r="N337" s="51">
        <f>IF(A337="","",DATE(YEAR(A337),MONTH(A337),1))</f>
        <v/>
      </c>
    </row>
    <row r="338">
      <c r="A338" s="47" t="n"/>
      <c r="B338" s="38" t="n"/>
      <c r="C338" s="38" t="n"/>
      <c r="D338" s="38" t="n"/>
      <c r="E338" s="38" t="n"/>
      <c r="F338" s="38" t="n"/>
      <c r="G338" s="47" t="n"/>
      <c r="H338" s="38" t="n"/>
      <c r="I338" s="48" t="n"/>
      <c r="J338" s="47" t="n"/>
      <c r="K338" s="49">
        <f>IF(B338="","",IFERROR(INDEX('JOBS'!$D$5:$D$1504,MATCH(B338,'JOBS'!$A$5:$A$1504,0)),""))</f>
        <v/>
      </c>
      <c r="L338" s="49">
        <f>IF(B338="","",IFERROR(INDEX('JOBS'!$H$5:$H$1504,MATCH(B338,'JOBS'!$A$5:$A$1504,0)),""))</f>
        <v/>
      </c>
      <c r="M338" s="50">
        <f>IF(A338="","",IF(H338="Resolved",IF(J338="","",J338-A338),AsOf-A338))</f>
        <v/>
      </c>
      <c r="N338" s="51">
        <f>IF(A338="","",DATE(YEAR(A338),MONTH(A338),1))</f>
        <v/>
      </c>
    </row>
    <row r="339">
      <c r="A339" s="47" t="n"/>
      <c r="B339" s="38" t="n"/>
      <c r="C339" s="38" t="n"/>
      <c r="D339" s="38" t="n"/>
      <c r="E339" s="38" t="n"/>
      <c r="F339" s="38" t="n"/>
      <c r="G339" s="47" t="n"/>
      <c r="H339" s="38" t="n"/>
      <c r="I339" s="48" t="n"/>
      <c r="J339" s="47" t="n"/>
      <c r="K339" s="49">
        <f>IF(B339="","",IFERROR(INDEX('JOBS'!$D$5:$D$1504,MATCH(B339,'JOBS'!$A$5:$A$1504,0)),""))</f>
        <v/>
      </c>
      <c r="L339" s="49">
        <f>IF(B339="","",IFERROR(INDEX('JOBS'!$H$5:$H$1504,MATCH(B339,'JOBS'!$A$5:$A$1504,0)),""))</f>
        <v/>
      </c>
      <c r="M339" s="50">
        <f>IF(A339="","",IF(H339="Resolved",IF(J339="","",J339-A339),AsOf-A339))</f>
        <v/>
      </c>
      <c r="N339" s="51">
        <f>IF(A339="","",DATE(YEAR(A339),MONTH(A339),1))</f>
        <v/>
      </c>
    </row>
    <row r="340">
      <c r="A340" s="47" t="n"/>
      <c r="B340" s="38" t="n"/>
      <c r="C340" s="38" t="n"/>
      <c r="D340" s="38" t="n"/>
      <c r="E340" s="38" t="n"/>
      <c r="F340" s="38" t="n"/>
      <c r="G340" s="47" t="n"/>
      <c r="H340" s="38" t="n"/>
      <c r="I340" s="48" t="n"/>
      <c r="J340" s="47" t="n"/>
      <c r="K340" s="49">
        <f>IF(B340="","",IFERROR(INDEX('JOBS'!$D$5:$D$1504,MATCH(B340,'JOBS'!$A$5:$A$1504,0)),""))</f>
        <v/>
      </c>
      <c r="L340" s="49">
        <f>IF(B340="","",IFERROR(INDEX('JOBS'!$H$5:$H$1504,MATCH(B340,'JOBS'!$A$5:$A$1504,0)),""))</f>
        <v/>
      </c>
      <c r="M340" s="50">
        <f>IF(A340="","",IF(H340="Resolved",IF(J340="","",J340-A340),AsOf-A340))</f>
        <v/>
      </c>
      <c r="N340" s="51">
        <f>IF(A340="","",DATE(YEAR(A340),MONTH(A340),1))</f>
        <v/>
      </c>
    </row>
    <row r="341">
      <c r="A341" s="47" t="n"/>
      <c r="B341" s="38" t="n"/>
      <c r="C341" s="38" t="n"/>
      <c r="D341" s="38" t="n"/>
      <c r="E341" s="38" t="n"/>
      <c r="F341" s="38" t="n"/>
      <c r="G341" s="47" t="n"/>
      <c r="H341" s="38" t="n"/>
      <c r="I341" s="48" t="n"/>
      <c r="J341" s="47" t="n"/>
      <c r="K341" s="49">
        <f>IF(B341="","",IFERROR(INDEX('JOBS'!$D$5:$D$1504,MATCH(B341,'JOBS'!$A$5:$A$1504,0)),""))</f>
        <v/>
      </c>
      <c r="L341" s="49">
        <f>IF(B341="","",IFERROR(INDEX('JOBS'!$H$5:$H$1504,MATCH(B341,'JOBS'!$A$5:$A$1504,0)),""))</f>
        <v/>
      </c>
      <c r="M341" s="50">
        <f>IF(A341="","",IF(H341="Resolved",IF(J341="","",J341-A341),AsOf-A341))</f>
        <v/>
      </c>
      <c r="N341" s="51">
        <f>IF(A341="","",DATE(YEAR(A341),MONTH(A341),1))</f>
        <v/>
      </c>
    </row>
    <row r="342">
      <c r="A342" s="47" t="n"/>
      <c r="B342" s="38" t="n"/>
      <c r="C342" s="38" t="n"/>
      <c r="D342" s="38" t="n"/>
      <c r="E342" s="38" t="n"/>
      <c r="F342" s="38" t="n"/>
      <c r="G342" s="47" t="n"/>
      <c r="H342" s="38" t="n"/>
      <c r="I342" s="48" t="n"/>
      <c r="J342" s="47" t="n"/>
      <c r="K342" s="49">
        <f>IF(B342="","",IFERROR(INDEX('JOBS'!$D$5:$D$1504,MATCH(B342,'JOBS'!$A$5:$A$1504,0)),""))</f>
        <v/>
      </c>
      <c r="L342" s="49">
        <f>IF(B342="","",IFERROR(INDEX('JOBS'!$H$5:$H$1504,MATCH(B342,'JOBS'!$A$5:$A$1504,0)),""))</f>
        <v/>
      </c>
      <c r="M342" s="50">
        <f>IF(A342="","",IF(H342="Resolved",IF(J342="","",J342-A342),AsOf-A342))</f>
        <v/>
      </c>
      <c r="N342" s="51">
        <f>IF(A342="","",DATE(YEAR(A342),MONTH(A342),1))</f>
        <v/>
      </c>
    </row>
    <row r="343">
      <c r="A343" s="47" t="n"/>
      <c r="B343" s="38" t="n"/>
      <c r="C343" s="38" t="n"/>
      <c r="D343" s="38" t="n"/>
      <c r="E343" s="38" t="n"/>
      <c r="F343" s="38" t="n"/>
      <c r="G343" s="47" t="n"/>
      <c r="H343" s="38" t="n"/>
      <c r="I343" s="48" t="n"/>
      <c r="J343" s="47" t="n"/>
      <c r="K343" s="49">
        <f>IF(B343="","",IFERROR(INDEX('JOBS'!$D$5:$D$1504,MATCH(B343,'JOBS'!$A$5:$A$1504,0)),""))</f>
        <v/>
      </c>
      <c r="L343" s="49">
        <f>IF(B343="","",IFERROR(INDEX('JOBS'!$H$5:$H$1504,MATCH(B343,'JOBS'!$A$5:$A$1504,0)),""))</f>
        <v/>
      </c>
      <c r="M343" s="50">
        <f>IF(A343="","",IF(H343="Resolved",IF(J343="","",J343-A343),AsOf-A343))</f>
        <v/>
      </c>
      <c r="N343" s="51">
        <f>IF(A343="","",DATE(YEAR(A343),MONTH(A343),1))</f>
        <v/>
      </c>
    </row>
    <row r="344">
      <c r="A344" s="47" t="n"/>
      <c r="B344" s="38" t="n"/>
      <c r="C344" s="38" t="n"/>
      <c r="D344" s="38" t="n"/>
      <c r="E344" s="38" t="n"/>
      <c r="F344" s="38" t="n"/>
      <c r="G344" s="47" t="n"/>
      <c r="H344" s="38" t="n"/>
      <c r="I344" s="48" t="n"/>
      <c r="J344" s="47" t="n"/>
      <c r="K344" s="49">
        <f>IF(B344="","",IFERROR(INDEX('JOBS'!$D$5:$D$1504,MATCH(B344,'JOBS'!$A$5:$A$1504,0)),""))</f>
        <v/>
      </c>
      <c r="L344" s="49">
        <f>IF(B344="","",IFERROR(INDEX('JOBS'!$H$5:$H$1504,MATCH(B344,'JOBS'!$A$5:$A$1504,0)),""))</f>
        <v/>
      </c>
      <c r="M344" s="50">
        <f>IF(A344="","",IF(H344="Resolved",IF(J344="","",J344-A344),AsOf-A344))</f>
        <v/>
      </c>
      <c r="N344" s="51">
        <f>IF(A344="","",DATE(YEAR(A344),MONTH(A344),1))</f>
        <v/>
      </c>
    </row>
    <row r="345">
      <c r="A345" s="47" t="n"/>
      <c r="B345" s="38" t="n"/>
      <c r="C345" s="38" t="n"/>
      <c r="D345" s="38" t="n"/>
      <c r="E345" s="38" t="n"/>
      <c r="F345" s="38" t="n"/>
      <c r="G345" s="47" t="n"/>
      <c r="H345" s="38" t="n"/>
      <c r="I345" s="48" t="n"/>
      <c r="J345" s="47" t="n"/>
      <c r="K345" s="49">
        <f>IF(B345="","",IFERROR(INDEX('JOBS'!$D$5:$D$1504,MATCH(B345,'JOBS'!$A$5:$A$1504,0)),""))</f>
        <v/>
      </c>
      <c r="L345" s="49">
        <f>IF(B345="","",IFERROR(INDEX('JOBS'!$H$5:$H$1504,MATCH(B345,'JOBS'!$A$5:$A$1504,0)),""))</f>
        <v/>
      </c>
      <c r="M345" s="50">
        <f>IF(A345="","",IF(H345="Resolved",IF(J345="","",J345-A345),AsOf-A345))</f>
        <v/>
      </c>
      <c r="N345" s="51">
        <f>IF(A345="","",DATE(YEAR(A345),MONTH(A345),1))</f>
        <v/>
      </c>
    </row>
    <row r="346">
      <c r="A346" s="47" t="n"/>
      <c r="B346" s="38" t="n"/>
      <c r="C346" s="38" t="n"/>
      <c r="D346" s="38" t="n"/>
      <c r="E346" s="38" t="n"/>
      <c r="F346" s="38" t="n"/>
      <c r="G346" s="47" t="n"/>
      <c r="H346" s="38" t="n"/>
      <c r="I346" s="48" t="n"/>
      <c r="J346" s="47" t="n"/>
      <c r="K346" s="49">
        <f>IF(B346="","",IFERROR(INDEX('JOBS'!$D$5:$D$1504,MATCH(B346,'JOBS'!$A$5:$A$1504,0)),""))</f>
        <v/>
      </c>
      <c r="L346" s="49">
        <f>IF(B346="","",IFERROR(INDEX('JOBS'!$H$5:$H$1504,MATCH(B346,'JOBS'!$A$5:$A$1504,0)),""))</f>
        <v/>
      </c>
      <c r="M346" s="50">
        <f>IF(A346="","",IF(H346="Resolved",IF(J346="","",J346-A346),AsOf-A346))</f>
        <v/>
      </c>
      <c r="N346" s="51">
        <f>IF(A346="","",DATE(YEAR(A346),MONTH(A346),1))</f>
        <v/>
      </c>
    </row>
    <row r="347">
      <c r="A347" s="47" t="n"/>
      <c r="B347" s="38" t="n"/>
      <c r="C347" s="38" t="n"/>
      <c r="D347" s="38" t="n"/>
      <c r="E347" s="38" t="n"/>
      <c r="F347" s="38" t="n"/>
      <c r="G347" s="47" t="n"/>
      <c r="H347" s="38" t="n"/>
      <c r="I347" s="48" t="n"/>
      <c r="J347" s="47" t="n"/>
      <c r="K347" s="49">
        <f>IF(B347="","",IFERROR(INDEX('JOBS'!$D$5:$D$1504,MATCH(B347,'JOBS'!$A$5:$A$1504,0)),""))</f>
        <v/>
      </c>
      <c r="L347" s="49">
        <f>IF(B347="","",IFERROR(INDEX('JOBS'!$H$5:$H$1504,MATCH(B347,'JOBS'!$A$5:$A$1504,0)),""))</f>
        <v/>
      </c>
      <c r="M347" s="50">
        <f>IF(A347="","",IF(H347="Resolved",IF(J347="","",J347-A347),AsOf-A347))</f>
        <v/>
      </c>
      <c r="N347" s="51">
        <f>IF(A347="","",DATE(YEAR(A347),MONTH(A347),1))</f>
        <v/>
      </c>
    </row>
    <row r="348">
      <c r="A348" s="47" t="n"/>
      <c r="B348" s="38" t="n"/>
      <c r="C348" s="38" t="n"/>
      <c r="D348" s="38" t="n"/>
      <c r="E348" s="38" t="n"/>
      <c r="F348" s="38" t="n"/>
      <c r="G348" s="47" t="n"/>
      <c r="H348" s="38" t="n"/>
      <c r="I348" s="48" t="n"/>
      <c r="J348" s="47" t="n"/>
      <c r="K348" s="49">
        <f>IF(B348="","",IFERROR(INDEX('JOBS'!$D$5:$D$1504,MATCH(B348,'JOBS'!$A$5:$A$1504,0)),""))</f>
        <v/>
      </c>
      <c r="L348" s="49">
        <f>IF(B348="","",IFERROR(INDEX('JOBS'!$H$5:$H$1504,MATCH(B348,'JOBS'!$A$5:$A$1504,0)),""))</f>
        <v/>
      </c>
      <c r="M348" s="50">
        <f>IF(A348="","",IF(H348="Resolved",IF(J348="","",J348-A348),AsOf-A348))</f>
        <v/>
      </c>
      <c r="N348" s="51">
        <f>IF(A348="","",DATE(YEAR(A348),MONTH(A348),1))</f>
        <v/>
      </c>
    </row>
    <row r="349">
      <c r="A349" s="47" t="n"/>
      <c r="B349" s="38" t="n"/>
      <c r="C349" s="38" t="n"/>
      <c r="D349" s="38" t="n"/>
      <c r="E349" s="38" t="n"/>
      <c r="F349" s="38" t="n"/>
      <c r="G349" s="47" t="n"/>
      <c r="H349" s="38" t="n"/>
      <c r="I349" s="48" t="n"/>
      <c r="J349" s="47" t="n"/>
      <c r="K349" s="49">
        <f>IF(B349="","",IFERROR(INDEX('JOBS'!$D$5:$D$1504,MATCH(B349,'JOBS'!$A$5:$A$1504,0)),""))</f>
        <v/>
      </c>
      <c r="L349" s="49">
        <f>IF(B349="","",IFERROR(INDEX('JOBS'!$H$5:$H$1504,MATCH(B349,'JOBS'!$A$5:$A$1504,0)),""))</f>
        <v/>
      </c>
      <c r="M349" s="50">
        <f>IF(A349="","",IF(H349="Resolved",IF(J349="","",J349-A349),AsOf-A349))</f>
        <v/>
      </c>
      <c r="N349" s="51">
        <f>IF(A349="","",DATE(YEAR(A349),MONTH(A349),1))</f>
        <v/>
      </c>
    </row>
    <row r="350">
      <c r="A350" s="47" t="n"/>
      <c r="B350" s="38" t="n"/>
      <c r="C350" s="38" t="n"/>
      <c r="D350" s="38" t="n"/>
      <c r="E350" s="38" t="n"/>
      <c r="F350" s="38" t="n"/>
      <c r="G350" s="47" t="n"/>
      <c r="H350" s="38" t="n"/>
      <c r="I350" s="48" t="n"/>
      <c r="J350" s="47" t="n"/>
      <c r="K350" s="49">
        <f>IF(B350="","",IFERROR(INDEX('JOBS'!$D$5:$D$1504,MATCH(B350,'JOBS'!$A$5:$A$1504,0)),""))</f>
        <v/>
      </c>
      <c r="L350" s="49">
        <f>IF(B350="","",IFERROR(INDEX('JOBS'!$H$5:$H$1504,MATCH(B350,'JOBS'!$A$5:$A$1504,0)),""))</f>
        <v/>
      </c>
      <c r="M350" s="50">
        <f>IF(A350="","",IF(H350="Resolved",IF(J350="","",J350-A350),AsOf-A350))</f>
        <v/>
      </c>
      <c r="N350" s="51">
        <f>IF(A350="","",DATE(YEAR(A350),MONTH(A350),1))</f>
        <v/>
      </c>
    </row>
    <row r="351">
      <c r="A351" s="47" t="n"/>
      <c r="B351" s="38" t="n"/>
      <c r="C351" s="38" t="n"/>
      <c r="D351" s="38" t="n"/>
      <c r="E351" s="38" t="n"/>
      <c r="F351" s="38" t="n"/>
      <c r="G351" s="47" t="n"/>
      <c r="H351" s="38" t="n"/>
      <c r="I351" s="48" t="n"/>
      <c r="J351" s="47" t="n"/>
      <c r="K351" s="49">
        <f>IF(B351="","",IFERROR(INDEX('JOBS'!$D$5:$D$1504,MATCH(B351,'JOBS'!$A$5:$A$1504,0)),""))</f>
        <v/>
      </c>
      <c r="L351" s="49">
        <f>IF(B351="","",IFERROR(INDEX('JOBS'!$H$5:$H$1504,MATCH(B351,'JOBS'!$A$5:$A$1504,0)),""))</f>
        <v/>
      </c>
      <c r="M351" s="50">
        <f>IF(A351="","",IF(H351="Resolved",IF(J351="","",J351-A351),AsOf-A351))</f>
        <v/>
      </c>
      <c r="N351" s="51">
        <f>IF(A351="","",DATE(YEAR(A351),MONTH(A351),1))</f>
        <v/>
      </c>
    </row>
    <row r="352">
      <c r="A352" s="47" t="n"/>
      <c r="B352" s="38" t="n"/>
      <c r="C352" s="38" t="n"/>
      <c r="D352" s="38" t="n"/>
      <c r="E352" s="38" t="n"/>
      <c r="F352" s="38" t="n"/>
      <c r="G352" s="47" t="n"/>
      <c r="H352" s="38" t="n"/>
      <c r="I352" s="48" t="n"/>
      <c r="J352" s="47" t="n"/>
      <c r="K352" s="49">
        <f>IF(B352="","",IFERROR(INDEX('JOBS'!$D$5:$D$1504,MATCH(B352,'JOBS'!$A$5:$A$1504,0)),""))</f>
        <v/>
      </c>
      <c r="L352" s="49">
        <f>IF(B352="","",IFERROR(INDEX('JOBS'!$H$5:$H$1504,MATCH(B352,'JOBS'!$A$5:$A$1504,0)),""))</f>
        <v/>
      </c>
      <c r="M352" s="50">
        <f>IF(A352="","",IF(H352="Resolved",IF(J352="","",J352-A352),AsOf-A352))</f>
        <v/>
      </c>
      <c r="N352" s="51">
        <f>IF(A352="","",DATE(YEAR(A352),MONTH(A352),1))</f>
        <v/>
      </c>
    </row>
    <row r="353">
      <c r="A353" s="47" t="n"/>
      <c r="B353" s="38" t="n"/>
      <c r="C353" s="38" t="n"/>
      <c r="D353" s="38" t="n"/>
      <c r="E353" s="38" t="n"/>
      <c r="F353" s="38" t="n"/>
      <c r="G353" s="47" t="n"/>
      <c r="H353" s="38" t="n"/>
      <c r="I353" s="48" t="n"/>
      <c r="J353" s="47" t="n"/>
      <c r="K353" s="49">
        <f>IF(B353="","",IFERROR(INDEX('JOBS'!$D$5:$D$1504,MATCH(B353,'JOBS'!$A$5:$A$1504,0)),""))</f>
        <v/>
      </c>
      <c r="L353" s="49">
        <f>IF(B353="","",IFERROR(INDEX('JOBS'!$H$5:$H$1504,MATCH(B353,'JOBS'!$A$5:$A$1504,0)),""))</f>
        <v/>
      </c>
      <c r="M353" s="50">
        <f>IF(A353="","",IF(H353="Resolved",IF(J353="","",J353-A353),AsOf-A353))</f>
        <v/>
      </c>
      <c r="N353" s="51">
        <f>IF(A353="","",DATE(YEAR(A353),MONTH(A353),1))</f>
        <v/>
      </c>
    </row>
    <row r="354">
      <c r="A354" s="47" t="n"/>
      <c r="B354" s="38" t="n"/>
      <c r="C354" s="38" t="n"/>
      <c r="D354" s="38" t="n"/>
      <c r="E354" s="38" t="n"/>
      <c r="F354" s="38" t="n"/>
      <c r="G354" s="47" t="n"/>
      <c r="H354" s="38" t="n"/>
      <c r="I354" s="48" t="n"/>
      <c r="J354" s="47" t="n"/>
      <c r="K354" s="49">
        <f>IF(B354="","",IFERROR(INDEX('JOBS'!$D$5:$D$1504,MATCH(B354,'JOBS'!$A$5:$A$1504,0)),""))</f>
        <v/>
      </c>
      <c r="L354" s="49">
        <f>IF(B354="","",IFERROR(INDEX('JOBS'!$H$5:$H$1504,MATCH(B354,'JOBS'!$A$5:$A$1504,0)),""))</f>
        <v/>
      </c>
      <c r="M354" s="50">
        <f>IF(A354="","",IF(H354="Resolved",IF(J354="","",J354-A354),AsOf-A354))</f>
        <v/>
      </c>
      <c r="N354" s="51">
        <f>IF(A354="","",DATE(YEAR(A354),MONTH(A354),1))</f>
        <v/>
      </c>
    </row>
    <row r="355">
      <c r="A355" s="47" t="n"/>
      <c r="B355" s="38" t="n"/>
      <c r="C355" s="38" t="n"/>
      <c r="D355" s="38" t="n"/>
      <c r="E355" s="38" t="n"/>
      <c r="F355" s="38" t="n"/>
      <c r="G355" s="47" t="n"/>
      <c r="H355" s="38" t="n"/>
      <c r="I355" s="48" t="n"/>
      <c r="J355" s="47" t="n"/>
      <c r="K355" s="49">
        <f>IF(B355="","",IFERROR(INDEX('JOBS'!$D$5:$D$1504,MATCH(B355,'JOBS'!$A$5:$A$1504,0)),""))</f>
        <v/>
      </c>
      <c r="L355" s="49">
        <f>IF(B355="","",IFERROR(INDEX('JOBS'!$H$5:$H$1504,MATCH(B355,'JOBS'!$A$5:$A$1504,0)),""))</f>
        <v/>
      </c>
      <c r="M355" s="50">
        <f>IF(A355="","",IF(H355="Resolved",IF(J355="","",J355-A355),AsOf-A355))</f>
        <v/>
      </c>
      <c r="N355" s="51">
        <f>IF(A355="","",DATE(YEAR(A355),MONTH(A355),1))</f>
        <v/>
      </c>
    </row>
    <row r="356">
      <c r="A356" s="47" t="n"/>
      <c r="B356" s="38" t="n"/>
      <c r="C356" s="38" t="n"/>
      <c r="D356" s="38" t="n"/>
      <c r="E356" s="38" t="n"/>
      <c r="F356" s="38" t="n"/>
      <c r="G356" s="47" t="n"/>
      <c r="H356" s="38" t="n"/>
      <c r="I356" s="48" t="n"/>
      <c r="J356" s="47" t="n"/>
      <c r="K356" s="49">
        <f>IF(B356="","",IFERROR(INDEX('JOBS'!$D$5:$D$1504,MATCH(B356,'JOBS'!$A$5:$A$1504,0)),""))</f>
        <v/>
      </c>
      <c r="L356" s="49">
        <f>IF(B356="","",IFERROR(INDEX('JOBS'!$H$5:$H$1504,MATCH(B356,'JOBS'!$A$5:$A$1504,0)),""))</f>
        <v/>
      </c>
      <c r="M356" s="50">
        <f>IF(A356="","",IF(H356="Resolved",IF(J356="","",J356-A356),AsOf-A356))</f>
        <v/>
      </c>
      <c r="N356" s="51">
        <f>IF(A356="","",DATE(YEAR(A356),MONTH(A356),1))</f>
        <v/>
      </c>
    </row>
    <row r="357">
      <c r="A357" s="47" t="n"/>
      <c r="B357" s="38" t="n"/>
      <c r="C357" s="38" t="n"/>
      <c r="D357" s="38" t="n"/>
      <c r="E357" s="38" t="n"/>
      <c r="F357" s="38" t="n"/>
      <c r="G357" s="47" t="n"/>
      <c r="H357" s="38" t="n"/>
      <c r="I357" s="48" t="n"/>
      <c r="J357" s="47" t="n"/>
      <c r="K357" s="49">
        <f>IF(B357="","",IFERROR(INDEX('JOBS'!$D$5:$D$1504,MATCH(B357,'JOBS'!$A$5:$A$1504,0)),""))</f>
        <v/>
      </c>
      <c r="L357" s="49">
        <f>IF(B357="","",IFERROR(INDEX('JOBS'!$H$5:$H$1504,MATCH(B357,'JOBS'!$A$5:$A$1504,0)),""))</f>
        <v/>
      </c>
      <c r="M357" s="50">
        <f>IF(A357="","",IF(H357="Resolved",IF(J357="","",J357-A357),AsOf-A357))</f>
        <v/>
      </c>
      <c r="N357" s="51">
        <f>IF(A357="","",DATE(YEAR(A357),MONTH(A357),1))</f>
        <v/>
      </c>
    </row>
    <row r="358">
      <c r="A358" s="47" t="n"/>
      <c r="B358" s="38" t="n"/>
      <c r="C358" s="38" t="n"/>
      <c r="D358" s="38" t="n"/>
      <c r="E358" s="38" t="n"/>
      <c r="F358" s="38" t="n"/>
      <c r="G358" s="47" t="n"/>
      <c r="H358" s="38" t="n"/>
      <c r="I358" s="48" t="n"/>
      <c r="J358" s="47" t="n"/>
      <c r="K358" s="49">
        <f>IF(B358="","",IFERROR(INDEX('JOBS'!$D$5:$D$1504,MATCH(B358,'JOBS'!$A$5:$A$1504,0)),""))</f>
        <v/>
      </c>
      <c r="L358" s="49">
        <f>IF(B358="","",IFERROR(INDEX('JOBS'!$H$5:$H$1504,MATCH(B358,'JOBS'!$A$5:$A$1504,0)),""))</f>
        <v/>
      </c>
      <c r="M358" s="50">
        <f>IF(A358="","",IF(H358="Resolved",IF(J358="","",J358-A358),AsOf-A358))</f>
        <v/>
      </c>
      <c r="N358" s="51">
        <f>IF(A358="","",DATE(YEAR(A358),MONTH(A358),1))</f>
        <v/>
      </c>
    </row>
    <row r="359">
      <c r="A359" s="47" t="n"/>
      <c r="B359" s="38" t="n"/>
      <c r="C359" s="38" t="n"/>
      <c r="D359" s="38" t="n"/>
      <c r="E359" s="38" t="n"/>
      <c r="F359" s="38" t="n"/>
      <c r="G359" s="47" t="n"/>
      <c r="H359" s="38" t="n"/>
      <c r="I359" s="48" t="n"/>
      <c r="J359" s="47" t="n"/>
      <c r="K359" s="49">
        <f>IF(B359="","",IFERROR(INDEX('JOBS'!$D$5:$D$1504,MATCH(B359,'JOBS'!$A$5:$A$1504,0)),""))</f>
        <v/>
      </c>
      <c r="L359" s="49">
        <f>IF(B359="","",IFERROR(INDEX('JOBS'!$H$5:$H$1504,MATCH(B359,'JOBS'!$A$5:$A$1504,0)),""))</f>
        <v/>
      </c>
      <c r="M359" s="50">
        <f>IF(A359="","",IF(H359="Resolved",IF(J359="","",J359-A359),AsOf-A359))</f>
        <v/>
      </c>
      <c r="N359" s="51">
        <f>IF(A359="","",DATE(YEAR(A359),MONTH(A359),1))</f>
        <v/>
      </c>
    </row>
    <row r="360">
      <c r="A360" s="47" t="n"/>
      <c r="B360" s="38" t="n"/>
      <c r="C360" s="38" t="n"/>
      <c r="D360" s="38" t="n"/>
      <c r="E360" s="38" t="n"/>
      <c r="F360" s="38" t="n"/>
      <c r="G360" s="47" t="n"/>
      <c r="H360" s="38" t="n"/>
      <c r="I360" s="48" t="n"/>
      <c r="J360" s="47" t="n"/>
      <c r="K360" s="49">
        <f>IF(B360="","",IFERROR(INDEX('JOBS'!$D$5:$D$1504,MATCH(B360,'JOBS'!$A$5:$A$1504,0)),""))</f>
        <v/>
      </c>
      <c r="L360" s="49">
        <f>IF(B360="","",IFERROR(INDEX('JOBS'!$H$5:$H$1504,MATCH(B360,'JOBS'!$A$5:$A$1504,0)),""))</f>
        <v/>
      </c>
      <c r="M360" s="50">
        <f>IF(A360="","",IF(H360="Resolved",IF(J360="","",J360-A360),AsOf-A360))</f>
        <v/>
      </c>
      <c r="N360" s="51">
        <f>IF(A360="","",DATE(YEAR(A360),MONTH(A360),1))</f>
        <v/>
      </c>
    </row>
    <row r="361">
      <c r="A361" s="47" t="n"/>
      <c r="B361" s="38" t="n"/>
      <c r="C361" s="38" t="n"/>
      <c r="D361" s="38" t="n"/>
      <c r="E361" s="38" t="n"/>
      <c r="F361" s="38" t="n"/>
      <c r="G361" s="47" t="n"/>
      <c r="H361" s="38" t="n"/>
      <c r="I361" s="48" t="n"/>
      <c r="J361" s="47" t="n"/>
      <c r="K361" s="49">
        <f>IF(B361="","",IFERROR(INDEX('JOBS'!$D$5:$D$1504,MATCH(B361,'JOBS'!$A$5:$A$1504,0)),""))</f>
        <v/>
      </c>
      <c r="L361" s="49">
        <f>IF(B361="","",IFERROR(INDEX('JOBS'!$H$5:$H$1504,MATCH(B361,'JOBS'!$A$5:$A$1504,0)),""))</f>
        <v/>
      </c>
      <c r="M361" s="50">
        <f>IF(A361="","",IF(H361="Resolved",IF(J361="","",J361-A361),AsOf-A361))</f>
        <v/>
      </c>
      <c r="N361" s="51">
        <f>IF(A361="","",DATE(YEAR(A361),MONTH(A361),1))</f>
        <v/>
      </c>
    </row>
    <row r="362">
      <c r="A362" s="47" t="n"/>
      <c r="B362" s="38" t="n"/>
      <c r="C362" s="38" t="n"/>
      <c r="D362" s="38" t="n"/>
      <c r="E362" s="38" t="n"/>
      <c r="F362" s="38" t="n"/>
      <c r="G362" s="47" t="n"/>
      <c r="H362" s="38" t="n"/>
      <c r="I362" s="48" t="n"/>
      <c r="J362" s="47" t="n"/>
      <c r="K362" s="49">
        <f>IF(B362="","",IFERROR(INDEX('JOBS'!$D$5:$D$1504,MATCH(B362,'JOBS'!$A$5:$A$1504,0)),""))</f>
        <v/>
      </c>
      <c r="L362" s="49">
        <f>IF(B362="","",IFERROR(INDEX('JOBS'!$H$5:$H$1504,MATCH(B362,'JOBS'!$A$5:$A$1504,0)),""))</f>
        <v/>
      </c>
      <c r="M362" s="50">
        <f>IF(A362="","",IF(H362="Resolved",IF(J362="","",J362-A362),AsOf-A362))</f>
        <v/>
      </c>
      <c r="N362" s="51">
        <f>IF(A362="","",DATE(YEAR(A362),MONTH(A362),1))</f>
        <v/>
      </c>
    </row>
    <row r="363">
      <c r="A363" s="47" t="n"/>
      <c r="B363" s="38" t="n"/>
      <c r="C363" s="38" t="n"/>
      <c r="D363" s="38" t="n"/>
      <c r="E363" s="38" t="n"/>
      <c r="F363" s="38" t="n"/>
      <c r="G363" s="47" t="n"/>
      <c r="H363" s="38" t="n"/>
      <c r="I363" s="48" t="n"/>
      <c r="J363" s="47" t="n"/>
      <c r="K363" s="49">
        <f>IF(B363="","",IFERROR(INDEX('JOBS'!$D$5:$D$1504,MATCH(B363,'JOBS'!$A$5:$A$1504,0)),""))</f>
        <v/>
      </c>
      <c r="L363" s="49">
        <f>IF(B363="","",IFERROR(INDEX('JOBS'!$H$5:$H$1504,MATCH(B363,'JOBS'!$A$5:$A$1504,0)),""))</f>
        <v/>
      </c>
      <c r="M363" s="50">
        <f>IF(A363="","",IF(H363="Resolved",IF(J363="","",J363-A363),AsOf-A363))</f>
        <v/>
      </c>
      <c r="N363" s="51">
        <f>IF(A363="","",DATE(YEAR(A363),MONTH(A363),1))</f>
        <v/>
      </c>
    </row>
    <row r="364">
      <c r="A364" s="47" t="n"/>
      <c r="B364" s="38" t="n"/>
      <c r="C364" s="38" t="n"/>
      <c r="D364" s="38" t="n"/>
      <c r="E364" s="38" t="n"/>
      <c r="F364" s="38" t="n"/>
      <c r="G364" s="47" t="n"/>
      <c r="H364" s="38" t="n"/>
      <c r="I364" s="48" t="n"/>
      <c r="J364" s="47" t="n"/>
      <c r="K364" s="49">
        <f>IF(B364="","",IFERROR(INDEX('JOBS'!$D$5:$D$1504,MATCH(B364,'JOBS'!$A$5:$A$1504,0)),""))</f>
        <v/>
      </c>
      <c r="L364" s="49">
        <f>IF(B364="","",IFERROR(INDEX('JOBS'!$H$5:$H$1504,MATCH(B364,'JOBS'!$A$5:$A$1504,0)),""))</f>
        <v/>
      </c>
      <c r="M364" s="50">
        <f>IF(A364="","",IF(H364="Resolved",IF(J364="","",J364-A364),AsOf-A364))</f>
        <v/>
      </c>
      <c r="N364" s="51">
        <f>IF(A364="","",DATE(YEAR(A364),MONTH(A364),1))</f>
        <v/>
      </c>
    </row>
    <row r="365">
      <c r="A365" s="47" t="n"/>
      <c r="B365" s="38" t="n"/>
      <c r="C365" s="38" t="n"/>
      <c r="D365" s="38" t="n"/>
      <c r="E365" s="38" t="n"/>
      <c r="F365" s="38" t="n"/>
      <c r="G365" s="47" t="n"/>
      <c r="H365" s="38" t="n"/>
      <c r="I365" s="48" t="n"/>
      <c r="J365" s="47" t="n"/>
      <c r="K365" s="49">
        <f>IF(B365="","",IFERROR(INDEX('JOBS'!$D$5:$D$1504,MATCH(B365,'JOBS'!$A$5:$A$1504,0)),""))</f>
        <v/>
      </c>
      <c r="L365" s="49">
        <f>IF(B365="","",IFERROR(INDEX('JOBS'!$H$5:$H$1504,MATCH(B365,'JOBS'!$A$5:$A$1504,0)),""))</f>
        <v/>
      </c>
      <c r="M365" s="50">
        <f>IF(A365="","",IF(H365="Resolved",IF(J365="","",J365-A365),AsOf-A365))</f>
        <v/>
      </c>
      <c r="N365" s="51">
        <f>IF(A365="","",DATE(YEAR(A365),MONTH(A365),1))</f>
        <v/>
      </c>
    </row>
    <row r="366">
      <c r="A366" s="47" t="n"/>
      <c r="B366" s="38" t="n"/>
      <c r="C366" s="38" t="n"/>
      <c r="D366" s="38" t="n"/>
      <c r="E366" s="38" t="n"/>
      <c r="F366" s="38" t="n"/>
      <c r="G366" s="47" t="n"/>
      <c r="H366" s="38" t="n"/>
      <c r="I366" s="48" t="n"/>
      <c r="J366" s="47" t="n"/>
      <c r="K366" s="49">
        <f>IF(B366="","",IFERROR(INDEX('JOBS'!$D$5:$D$1504,MATCH(B366,'JOBS'!$A$5:$A$1504,0)),""))</f>
        <v/>
      </c>
      <c r="L366" s="49">
        <f>IF(B366="","",IFERROR(INDEX('JOBS'!$H$5:$H$1504,MATCH(B366,'JOBS'!$A$5:$A$1504,0)),""))</f>
        <v/>
      </c>
      <c r="M366" s="50">
        <f>IF(A366="","",IF(H366="Resolved",IF(J366="","",J366-A366),AsOf-A366))</f>
        <v/>
      </c>
      <c r="N366" s="51">
        <f>IF(A366="","",DATE(YEAR(A366),MONTH(A366),1))</f>
        <v/>
      </c>
    </row>
    <row r="367">
      <c r="A367" s="47" t="n"/>
      <c r="B367" s="38" t="n"/>
      <c r="C367" s="38" t="n"/>
      <c r="D367" s="38" t="n"/>
      <c r="E367" s="38" t="n"/>
      <c r="F367" s="38" t="n"/>
      <c r="G367" s="47" t="n"/>
      <c r="H367" s="38" t="n"/>
      <c r="I367" s="48" t="n"/>
      <c r="J367" s="47" t="n"/>
      <c r="K367" s="49">
        <f>IF(B367="","",IFERROR(INDEX('JOBS'!$D$5:$D$1504,MATCH(B367,'JOBS'!$A$5:$A$1504,0)),""))</f>
        <v/>
      </c>
      <c r="L367" s="49">
        <f>IF(B367="","",IFERROR(INDEX('JOBS'!$H$5:$H$1504,MATCH(B367,'JOBS'!$A$5:$A$1504,0)),""))</f>
        <v/>
      </c>
      <c r="M367" s="50">
        <f>IF(A367="","",IF(H367="Resolved",IF(J367="","",J367-A367),AsOf-A367))</f>
        <v/>
      </c>
      <c r="N367" s="51">
        <f>IF(A367="","",DATE(YEAR(A367),MONTH(A367),1))</f>
        <v/>
      </c>
    </row>
    <row r="368">
      <c r="A368" s="47" t="n"/>
      <c r="B368" s="38" t="n"/>
      <c r="C368" s="38" t="n"/>
      <c r="D368" s="38" t="n"/>
      <c r="E368" s="38" t="n"/>
      <c r="F368" s="38" t="n"/>
      <c r="G368" s="47" t="n"/>
      <c r="H368" s="38" t="n"/>
      <c r="I368" s="48" t="n"/>
      <c r="J368" s="47" t="n"/>
      <c r="K368" s="49">
        <f>IF(B368="","",IFERROR(INDEX('JOBS'!$D$5:$D$1504,MATCH(B368,'JOBS'!$A$5:$A$1504,0)),""))</f>
        <v/>
      </c>
      <c r="L368" s="49">
        <f>IF(B368="","",IFERROR(INDEX('JOBS'!$H$5:$H$1504,MATCH(B368,'JOBS'!$A$5:$A$1504,0)),""))</f>
        <v/>
      </c>
      <c r="M368" s="50">
        <f>IF(A368="","",IF(H368="Resolved",IF(J368="","",J368-A368),AsOf-A368))</f>
        <v/>
      </c>
      <c r="N368" s="51">
        <f>IF(A368="","",DATE(YEAR(A368),MONTH(A368),1))</f>
        <v/>
      </c>
    </row>
    <row r="369">
      <c r="A369" s="47" t="n"/>
      <c r="B369" s="38" t="n"/>
      <c r="C369" s="38" t="n"/>
      <c r="D369" s="38" t="n"/>
      <c r="E369" s="38" t="n"/>
      <c r="F369" s="38" t="n"/>
      <c r="G369" s="47" t="n"/>
      <c r="H369" s="38" t="n"/>
      <c r="I369" s="48" t="n"/>
      <c r="J369" s="47" t="n"/>
      <c r="K369" s="49">
        <f>IF(B369="","",IFERROR(INDEX('JOBS'!$D$5:$D$1504,MATCH(B369,'JOBS'!$A$5:$A$1504,0)),""))</f>
        <v/>
      </c>
      <c r="L369" s="49">
        <f>IF(B369="","",IFERROR(INDEX('JOBS'!$H$5:$H$1504,MATCH(B369,'JOBS'!$A$5:$A$1504,0)),""))</f>
        <v/>
      </c>
      <c r="M369" s="50">
        <f>IF(A369="","",IF(H369="Resolved",IF(J369="","",J369-A369),AsOf-A369))</f>
        <v/>
      </c>
      <c r="N369" s="51">
        <f>IF(A369="","",DATE(YEAR(A369),MONTH(A369),1))</f>
        <v/>
      </c>
    </row>
    <row r="370">
      <c r="A370" s="47" t="n"/>
      <c r="B370" s="38" t="n"/>
      <c r="C370" s="38" t="n"/>
      <c r="D370" s="38" t="n"/>
      <c r="E370" s="38" t="n"/>
      <c r="F370" s="38" t="n"/>
      <c r="G370" s="47" t="n"/>
      <c r="H370" s="38" t="n"/>
      <c r="I370" s="48" t="n"/>
      <c r="J370" s="47" t="n"/>
      <c r="K370" s="49">
        <f>IF(B370="","",IFERROR(INDEX('JOBS'!$D$5:$D$1504,MATCH(B370,'JOBS'!$A$5:$A$1504,0)),""))</f>
        <v/>
      </c>
      <c r="L370" s="49">
        <f>IF(B370="","",IFERROR(INDEX('JOBS'!$H$5:$H$1504,MATCH(B370,'JOBS'!$A$5:$A$1504,0)),""))</f>
        <v/>
      </c>
      <c r="M370" s="50">
        <f>IF(A370="","",IF(H370="Resolved",IF(J370="","",J370-A370),AsOf-A370))</f>
        <v/>
      </c>
      <c r="N370" s="51">
        <f>IF(A370="","",DATE(YEAR(A370),MONTH(A370),1))</f>
        <v/>
      </c>
    </row>
    <row r="371">
      <c r="A371" s="47" t="n"/>
      <c r="B371" s="38" t="n"/>
      <c r="C371" s="38" t="n"/>
      <c r="D371" s="38" t="n"/>
      <c r="E371" s="38" t="n"/>
      <c r="F371" s="38" t="n"/>
      <c r="G371" s="47" t="n"/>
      <c r="H371" s="38" t="n"/>
      <c r="I371" s="48" t="n"/>
      <c r="J371" s="47" t="n"/>
      <c r="K371" s="49">
        <f>IF(B371="","",IFERROR(INDEX('JOBS'!$D$5:$D$1504,MATCH(B371,'JOBS'!$A$5:$A$1504,0)),""))</f>
        <v/>
      </c>
      <c r="L371" s="49">
        <f>IF(B371="","",IFERROR(INDEX('JOBS'!$H$5:$H$1504,MATCH(B371,'JOBS'!$A$5:$A$1504,0)),""))</f>
        <v/>
      </c>
      <c r="M371" s="50">
        <f>IF(A371="","",IF(H371="Resolved",IF(J371="","",J371-A371),AsOf-A371))</f>
        <v/>
      </c>
      <c r="N371" s="51">
        <f>IF(A371="","",DATE(YEAR(A371),MONTH(A371),1))</f>
        <v/>
      </c>
    </row>
    <row r="372">
      <c r="A372" s="47" t="n"/>
      <c r="B372" s="38" t="n"/>
      <c r="C372" s="38" t="n"/>
      <c r="D372" s="38" t="n"/>
      <c r="E372" s="38" t="n"/>
      <c r="F372" s="38" t="n"/>
      <c r="G372" s="47" t="n"/>
      <c r="H372" s="38" t="n"/>
      <c r="I372" s="48" t="n"/>
      <c r="J372" s="47" t="n"/>
      <c r="K372" s="49">
        <f>IF(B372="","",IFERROR(INDEX('JOBS'!$D$5:$D$1504,MATCH(B372,'JOBS'!$A$5:$A$1504,0)),""))</f>
        <v/>
      </c>
      <c r="L372" s="49">
        <f>IF(B372="","",IFERROR(INDEX('JOBS'!$H$5:$H$1504,MATCH(B372,'JOBS'!$A$5:$A$1504,0)),""))</f>
        <v/>
      </c>
      <c r="M372" s="50">
        <f>IF(A372="","",IF(H372="Resolved",IF(J372="","",J372-A372),AsOf-A372))</f>
        <v/>
      </c>
      <c r="N372" s="51">
        <f>IF(A372="","",DATE(YEAR(A372),MONTH(A372),1))</f>
        <v/>
      </c>
    </row>
    <row r="373">
      <c r="A373" s="47" t="n"/>
      <c r="B373" s="38" t="n"/>
      <c r="C373" s="38" t="n"/>
      <c r="D373" s="38" t="n"/>
      <c r="E373" s="38" t="n"/>
      <c r="F373" s="38" t="n"/>
      <c r="G373" s="47" t="n"/>
      <c r="H373" s="38" t="n"/>
      <c r="I373" s="48" t="n"/>
      <c r="J373" s="47" t="n"/>
      <c r="K373" s="49">
        <f>IF(B373="","",IFERROR(INDEX('JOBS'!$D$5:$D$1504,MATCH(B373,'JOBS'!$A$5:$A$1504,0)),""))</f>
        <v/>
      </c>
      <c r="L373" s="49">
        <f>IF(B373="","",IFERROR(INDEX('JOBS'!$H$5:$H$1504,MATCH(B373,'JOBS'!$A$5:$A$1504,0)),""))</f>
        <v/>
      </c>
      <c r="M373" s="50">
        <f>IF(A373="","",IF(H373="Resolved",IF(J373="","",J373-A373),AsOf-A373))</f>
        <v/>
      </c>
      <c r="N373" s="51">
        <f>IF(A373="","",DATE(YEAR(A373),MONTH(A373),1))</f>
        <v/>
      </c>
    </row>
    <row r="374">
      <c r="A374" s="47" t="n"/>
      <c r="B374" s="38" t="n"/>
      <c r="C374" s="38" t="n"/>
      <c r="D374" s="38" t="n"/>
      <c r="E374" s="38" t="n"/>
      <c r="F374" s="38" t="n"/>
      <c r="G374" s="47" t="n"/>
      <c r="H374" s="38" t="n"/>
      <c r="I374" s="48" t="n"/>
      <c r="J374" s="47" t="n"/>
      <c r="K374" s="49">
        <f>IF(B374="","",IFERROR(INDEX('JOBS'!$D$5:$D$1504,MATCH(B374,'JOBS'!$A$5:$A$1504,0)),""))</f>
        <v/>
      </c>
      <c r="L374" s="49">
        <f>IF(B374="","",IFERROR(INDEX('JOBS'!$H$5:$H$1504,MATCH(B374,'JOBS'!$A$5:$A$1504,0)),""))</f>
        <v/>
      </c>
      <c r="M374" s="50">
        <f>IF(A374="","",IF(H374="Resolved",IF(J374="","",J374-A374),AsOf-A374))</f>
        <v/>
      </c>
      <c r="N374" s="51">
        <f>IF(A374="","",DATE(YEAR(A374),MONTH(A374),1))</f>
        <v/>
      </c>
    </row>
    <row r="375">
      <c r="A375" s="47" t="n"/>
      <c r="B375" s="38" t="n"/>
      <c r="C375" s="38" t="n"/>
      <c r="D375" s="38" t="n"/>
      <c r="E375" s="38" t="n"/>
      <c r="F375" s="38" t="n"/>
      <c r="G375" s="47" t="n"/>
      <c r="H375" s="38" t="n"/>
      <c r="I375" s="48" t="n"/>
      <c r="J375" s="47" t="n"/>
      <c r="K375" s="49">
        <f>IF(B375="","",IFERROR(INDEX('JOBS'!$D$5:$D$1504,MATCH(B375,'JOBS'!$A$5:$A$1504,0)),""))</f>
        <v/>
      </c>
      <c r="L375" s="49">
        <f>IF(B375="","",IFERROR(INDEX('JOBS'!$H$5:$H$1504,MATCH(B375,'JOBS'!$A$5:$A$1504,0)),""))</f>
        <v/>
      </c>
      <c r="M375" s="50">
        <f>IF(A375="","",IF(H375="Resolved",IF(J375="","",J375-A375),AsOf-A375))</f>
        <v/>
      </c>
      <c r="N375" s="51">
        <f>IF(A375="","",DATE(YEAR(A375),MONTH(A375),1))</f>
        <v/>
      </c>
    </row>
    <row r="376">
      <c r="A376" s="47" t="n"/>
      <c r="B376" s="38" t="n"/>
      <c r="C376" s="38" t="n"/>
      <c r="D376" s="38" t="n"/>
      <c r="E376" s="38" t="n"/>
      <c r="F376" s="38" t="n"/>
      <c r="G376" s="47" t="n"/>
      <c r="H376" s="38" t="n"/>
      <c r="I376" s="48" t="n"/>
      <c r="J376" s="47" t="n"/>
      <c r="K376" s="49">
        <f>IF(B376="","",IFERROR(INDEX('JOBS'!$D$5:$D$1504,MATCH(B376,'JOBS'!$A$5:$A$1504,0)),""))</f>
        <v/>
      </c>
      <c r="L376" s="49">
        <f>IF(B376="","",IFERROR(INDEX('JOBS'!$H$5:$H$1504,MATCH(B376,'JOBS'!$A$5:$A$1504,0)),""))</f>
        <v/>
      </c>
      <c r="M376" s="50">
        <f>IF(A376="","",IF(H376="Resolved",IF(J376="","",J376-A376),AsOf-A376))</f>
        <v/>
      </c>
      <c r="N376" s="51">
        <f>IF(A376="","",DATE(YEAR(A376),MONTH(A376),1))</f>
        <v/>
      </c>
    </row>
    <row r="377">
      <c r="A377" s="47" t="n"/>
      <c r="B377" s="38" t="n"/>
      <c r="C377" s="38" t="n"/>
      <c r="D377" s="38" t="n"/>
      <c r="E377" s="38" t="n"/>
      <c r="F377" s="38" t="n"/>
      <c r="G377" s="47" t="n"/>
      <c r="H377" s="38" t="n"/>
      <c r="I377" s="48" t="n"/>
      <c r="J377" s="47" t="n"/>
      <c r="K377" s="49">
        <f>IF(B377="","",IFERROR(INDEX('JOBS'!$D$5:$D$1504,MATCH(B377,'JOBS'!$A$5:$A$1504,0)),""))</f>
        <v/>
      </c>
      <c r="L377" s="49">
        <f>IF(B377="","",IFERROR(INDEX('JOBS'!$H$5:$H$1504,MATCH(B377,'JOBS'!$A$5:$A$1504,0)),""))</f>
        <v/>
      </c>
      <c r="M377" s="50">
        <f>IF(A377="","",IF(H377="Resolved",IF(J377="","",J377-A377),AsOf-A377))</f>
        <v/>
      </c>
      <c r="N377" s="51">
        <f>IF(A377="","",DATE(YEAR(A377),MONTH(A377),1))</f>
        <v/>
      </c>
    </row>
    <row r="378">
      <c r="A378" s="47" t="n"/>
      <c r="B378" s="38" t="n"/>
      <c r="C378" s="38" t="n"/>
      <c r="D378" s="38" t="n"/>
      <c r="E378" s="38" t="n"/>
      <c r="F378" s="38" t="n"/>
      <c r="G378" s="47" t="n"/>
      <c r="H378" s="38" t="n"/>
      <c r="I378" s="48" t="n"/>
      <c r="J378" s="47" t="n"/>
      <c r="K378" s="49">
        <f>IF(B378="","",IFERROR(INDEX('JOBS'!$D$5:$D$1504,MATCH(B378,'JOBS'!$A$5:$A$1504,0)),""))</f>
        <v/>
      </c>
      <c r="L378" s="49">
        <f>IF(B378="","",IFERROR(INDEX('JOBS'!$H$5:$H$1504,MATCH(B378,'JOBS'!$A$5:$A$1504,0)),""))</f>
        <v/>
      </c>
      <c r="M378" s="50">
        <f>IF(A378="","",IF(H378="Resolved",IF(J378="","",J378-A378),AsOf-A378))</f>
        <v/>
      </c>
      <c r="N378" s="51">
        <f>IF(A378="","",DATE(YEAR(A378),MONTH(A378),1))</f>
        <v/>
      </c>
    </row>
    <row r="379">
      <c r="A379" s="47" t="n"/>
      <c r="B379" s="38" t="n"/>
      <c r="C379" s="38" t="n"/>
      <c r="D379" s="38" t="n"/>
      <c r="E379" s="38" t="n"/>
      <c r="F379" s="38" t="n"/>
      <c r="G379" s="47" t="n"/>
      <c r="H379" s="38" t="n"/>
      <c r="I379" s="48" t="n"/>
      <c r="J379" s="47" t="n"/>
      <c r="K379" s="49">
        <f>IF(B379="","",IFERROR(INDEX('JOBS'!$D$5:$D$1504,MATCH(B379,'JOBS'!$A$5:$A$1504,0)),""))</f>
        <v/>
      </c>
      <c r="L379" s="49">
        <f>IF(B379="","",IFERROR(INDEX('JOBS'!$H$5:$H$1504,MATCH(B379,'JOBS'!$A$5:$A$1504,0)),""))</f>
        <v/>
      </c>
      <c r="M379" s="50">
        <f>IF(A379="","",IF(H379="Resolved",IF(J379="","",J379-A379),AsOf-A379))</f>
        <v/>
      </c>
      <c r="N379" s="51">
        <f>IF(A379="","",DATE(YEAR(A379),MONTH(A379),1))</f>
        <v/>
      </c>
    </row>
    <row r="380">
      <c r="A380" s="47" t="n"/>
      <c r="B380" s="38" t="n"/>
      <c r="C380" s="38" t="n"/>
      <c r="D380" s="38" t="n"/>
      <c r="E380" s="38" t="n"/>
      <c r="F380" s="38" t="n"/>
      <c r="G380" s="47" t="n"/>
      <c r="H380" s="38" t="n"/>
      <c r="I380" s="48" t="n"/>
      <c r="J380" s="47" t="n"/>
      <c r="K380" s="49">
        <f>IF(B380="","",IFERROR(INDEX('JOBS'!$D$5:$D$1504,MATCH(B380,'JOBS'!$A$5:$A$1504,0)),""))</f>
        <v/>
      </c>
      <c r="L380" s="49">
        <f>IF(B380="","",IFERROR(INDEX('JOBS'!$H$5:$H$1504,MATCH(B380,'JOBS'!$A$5:$A$1504,0)),""))</f>
        <v/>
      </c>
      <c r="M380" s="50">
        <f>IF(A380="","",IF(H380="Resolved",IF(J380="","",J380-A380),AsOf-A380))</f>
        <v/>
      </c>
      <c r="N380" s="51">
        <f>IF(A380="","",DATE(YEAR(A380),MONTH(A380),1))</f>
        <v/>
      </c>
    </row>
    <row r="381">
      <c r="A381" s="47" t="n"/>
      <c r="B381" s="38" t="n"/>
      <c r="C381" s="38" t="n"/>
      <c r="D381" s="38" t="n"/>
      <c r="E381" s="38" t="n"/>
      <c r="F381" s="38" t="n"/>
      <c r="G381" s="47" t="n"/>
      <c r="H381" s="38" t="n"/>
      <c r="I381" s="48" t="n"/>
      <c r="J381" s="47" t="n"/>
      <c r="K381" s="49">
        <f>IF(B381="","",IFERROR(INDEX('JOBS'!$D$5:$D$1504,MATCH(B381,'JOBS'!$A$5:$A$1504,0)),""))</f>
        <v/>
      </c>
      <c r="L381" s="49">
        <f>IF(B381="","",IFERROR(INDEX('JOBS'!$H$5:$H$1504,MATCH(B381,'JOBS'!$A$5:$A$1504,0)),""))</f>
        <v/>
      </c>
      <c r="M381" s="50">
        <f>IF(A381="","",IF(H381="Resolved",IF(J381="","",J381-A381),AsOf-A381))</f>
        <v/>
      </c>
      <c r="N381" s="51">
        <f>IF(A381="","",DATE(YEAR(A381),MONTH(A381),1))</f>
        <v/>
      </c>
    </row>
    <row r="382">
      <c r="A382" s="47" t="n"/>
      <c r="B382" s="38" t="n"/>
      <c r="C382" s="38" t="n"/>
      <c r="D382" s="38" t="n"/>
      <c r="E382" s="38" t="n"/>
      <c r="F382" s="38" t="n"/>
      <c r="G382" s="47" t="n"/>
      <c r="H382" s="38" t="n"/>
      <c r="I382" s="48" t="n"/>
      <c r="J382" s="47" t="n"/>
      <c r="K382" s="49">
        <f>IF(B382="","",IFERROR(INDEX('JOBS'!$D$5:$D$1504,MATCH(B382,'JOBS'!$A$5:$A$1504,0)),""))</f>
        <v/>
      </c>
      <c r="L382" s="49">
        <f>IF(B382="","",IFERROR(INDEX('JOBS'!$H$5:$H$1504,MATCH(B382,'JOBS'!$A$5:$A$1504,0)),""))</f>
        <v/>
      </c>
      <c r="M382" s="50">
        <f>IF(A382="","",IF(H382="Resolved",IF(J382="","",J382-A382),AsOf-A382))</f>
        <v/>
      </c>
      <c r="N382" s="51">
        <f>IF(A382="","",DATE(YEAR(A382),MONTH(A382),1))</f>
        <v/>
      </c>
    </row>
    <row r="383">
      <c r="A383" s="47" t="n"/>
      <c r="B383" s="38" t="n"/>
      <c r="C383" s="38" t="n"/>
      <c r="D383" s="38" t="n"/>
      <c r="E383" s="38" t="n"/>
      <c r="F383" s="38" t="n"/>
      <c r="G383" s="47" t="n"/>
      <c r="H383" s="38" t="n"/>
      <c r="I383" s="48" t="n"/>
      <c r="J383" s="47" t="n"/>
      <c r="K383" s="49">
        <f>IF(B383="","",IFERROR(INDEX('JOBS'!$D$5:$D$1504,MATCH(B383,'JOBS'!$A$5:$A$1504,0)),""))</f>
        <v/>
      </c>
      <c r="L383" s="49">
        <f>IF(B383="","",IFERROR(INDEX('JOBS'!$H$5:$H$1504,MATCH(B383,'JOBS'!$A$5:$A$1504,0)),""))</f>
        <v/>
      </c>
      <c r="M383" s="50">
        <f>IF(A383="","",IF(H383="Resolved",IF(J383="","",J383-A383),AsOf-A383))</f>
        <v/>
      </c>
      <c r="N383" s="51">
        <f>IF(A383="","",DATE(YEAR(A383),MONTH(A383),1))</f>
        <v/>
      </c>
    </row>
    <row r="384">
      <c r="A384" s="47" t="n"/>
      <c r="B384" s="38" t="n"/>
      <c r="C384" s="38" t="n"/>
      <c r="D384" s="38" t="n"/>
      <c r="E384" s="38" t="n"/>
      <c r="F384" s="38" t="n"/>
      <c r="G384" s="47" t="n"/>
      <c r="H384" s="38" t="n"/>
      <c r="I384" s="48" t="n"/>
      <c r="J384" s="47" t="n"/>
      <c r="K384" s="49">
        <f>IF(B384="","",IFERROR(INDEX('JOBS'!$D$5:$D$1504,MATCH(B384,'JOBS'!$A$5:$A$1504,0)),""))</f>
        <v/>
      </c>
      <c r="L384" s="49">
        <f>IF(B384="","",IFERROR(INDEX('JOBS'!$H$5:$H$1504,MATCH(B384,'JOBS'!$A$5:$A$1504,0)),""))</f>
        <v/>
      </c>
      <c r="M384" s="50">
        <f>IF(A384="","",IF(H384="Resolved",IF(J384="","",J384-A384),AsOf-A384))</f>
        <v/>
      </c>
      <c r="N384" s="51">
        <f>IF(A384="","",DATE(YEAR(A384),MONTH(A384),1))</f>
        <v/>
      </c>
    </row>
    <row r="385">
      <c r="A385" s="47" t="n"/>
      <c r="B385" s="38" t="n"/>
      <c r="C385" s="38" t="n"/>
      <c r="D385" s="38" t="n"/>
      <c r="E385" s="38" t="n"/>
      <c r="F385" s="38" t="n"/>
      <c r="G385" s="47" t="n"/>
      <c r="H385" s="38" t="n"/>
      <c r="I385" s="48" t="n"/>
      <c r="J385" s="47" t="n"/>
      <c r="K385" s="49">
        <f>IF(B385="","",IFERROR(INDEX('JOBS'!$D$5:$D$1504,MATCH(B385,'JOBS'!$A$5:$A$1504,0)),""))</f>
        <v/>
      </c>
      <c r="L385" s="49">
        <f>IF(B385="","",IFERROR(INDEX('JOBS'!$H$5:$H$1504,MATCH(B385,'JOBS'!$A$5:$A$1504,0)),""))</f>
        <v/>
      </c>
      <c r="M385" s="50">
        <f>IF(A385="","",IF(H385="Resolved",IF(J385="","",J385-A385),AsOf-A385))</f>
        <v/>
      </c>
      <c r="N385" s="51">
        <f>IF(A385="","",DATE(YEAR(A385),MONTH(A385),1))</f>
        <v/>
      </c>
    </row>
    <row r="386">
      <c r="A386" s="47" t="n"/>
      <c r="B386" s="38" t="n"/>
      <c r="C386" s="38" t="n"/>
      <c r="D386" s="38" t="n"/>
      <c r="E386" s="38" t="n"/>
      <c r="F386" s="38" t="n"/>
      <c r="G386" s="47" t="n"/>
      <c r="H386" s="38" t="n"/>
      <c r="I386" s="48" t="n"/>
      <c r="J386" s="47" t="n"/>
      <c r="K386" s="49">
        <f>IF(B386="","",IFERROR(INDEX('JOBS'!$D$5:$D$1504,MATCH(B386,'JOBS'!$A$5:$A$1504,0)),""))</f>
        <v/>
      </c>
      <c r="L386" s="49">
        <f>IF(B386="","",IFERROR(INDEX('JOBS'!$H$5:$H$1504,MATCH(B386,'JOBS'!$A$5:$A$1504,0)),""))</f>
        <v/>
      </c>
      <c r="M386" s="50">
        <f>IF(A386="","",IF(H386="Resolved",IF(J386="","",J386-A386),AsOf-A386))</f>
        <v/>
      </c>
      <c r="N386" s="51">
        <f>IF(A386="","",DATE(YEAR(A386),MONTH(A386),1))</f>
        <v/>
      </c>
    </row>
    <row r="387">
      <c r="A387" s="47" t="n"/>
      <c r="B387" s="38" t="n"/>
      <c r="C387" s="38" t="n"/>
      <c r="D387" s="38" t="n"/>
      <c r="E387" s="38" t="n"/>
      <c r="F387" s="38" t="n"/>
      <c r="G387" s="47" t="n"/>
      <c r="H387" s="38" t="n"/>
      <c r="I387" s="48" t="n"/>
      <c r="J387" s="47" t="n"/>
      <c r="K387" s="49">
        <f>IF(B387="","",IFERROR(INDEX('JOBS'!$D$5:$D$1504,MATCH(B387,'JOBS'!$A$5:$A$1504,0)),""))</f>
        <v/>
      </c>
      <c r="L387" s="49">
        <f>IF(B387="","",IFERROR(INDEX('JOBS'!$H$5:$H$1504,MATCH(B387,'JOBS'!$A$5:$A$1504,0)),""))</f>
        <v/>
      </c>
      <c r="M387" s="50">
        <f>IF(A387="","",IF(H387="Resolved",IF(J387="","",J387-A387),AsOf-A387))</f>
        <v/>
      </c>
      <c r="N387" s="51">
        <f>IF(A387="","",DATE(YEAR(A387),MONTH(A387),1))</f>
        <v/>
      </c>
    </row>
    <row r="388">
      <c r="A388" s="47" t="n"/>
      <c r="B388" s="38" t="n"/>
      <c r="C388" s="38" t="n"/>
      <c r="D388" s="38" t="n"/>
      <c r="E388" s="38" t="n"/>
      <c r="F388" s="38" t="n"/>
      <c r="G388" s="47" t="n"/>
      <c r="H388" s="38" t="n"/>
      <c r="I388" s="48" t="n"/>
      <c r="J388" s="47" t="n"/>
      <c r="K388" s="49">
        <f>IF(B388="","",IFERROR(INDEX('JOBS'!$D$5:$D$1504,MATCH(B388,'JOBS'!$A$5:$A$1504,0)),""))</f>
        <v/>
      </c>
      <c r="L388" s="49">
        <f>IF(B388="","",IFERROR(INDEX('JOBS'!$H$5:$H$1504,MATCH(B388,'JOBS'!$A$5:$A$1504,0)),""))</f>
        <v/>
      </c>
      <c r="M388" s="50">
        <f>IF(A388="","",IF(H388="Resolved",IF(J388="","",J388-A388),AsOf-A388))</f>
        <v/>
      </c>
      <c r="N388" s="51">
        <f>IF(A388="","",DATE(YEAR(A388),MONTH(A388),1))</f>
        <v/>
      </c>
    </row>
    <row r="389">
      <c r="A389" s="47" t="n"/>
      <c r="B389" s="38" t="n"/>
      <c r="C389" s="38" t="n"/>
      <c r="D389" s="38" t="n"/>
      <c r="E389" s="38" t="n"/>
      <c r="F389" s="38" t="n"/>
      <c r="G389" s="47" t="n"/>
      <c r="H389" s="38" t="n"/>
      <c r="I389" s="48" t="n"/>
      <c r="J389" s="47" t="n"/>
      <c r="K389" s="49">
        <f>IF(B389="","",IFERROR(INDEX('JOBS'!$D$5:$D$1504,MATCH(B389,'JOBS'!$A$5:$A$1504,0)),""))</f>
        <v/>
      </c>
      <c r="L389" s="49">
        <f>IF(B389="","",IFERROR(INDEX('JOBS'!$H$5:$H$1504,MATCH(B389,'JOBS'!$A$5:$A$1504,0)),""))</f>
        <v/>
      </c>
      <c r="M389" s="50">
        <f>IF(A389="","",IF(H389="Resolved",IF(J389="","",J389-A389),AsOf-A389))</f>
        <v/>
      </c>
      <c r="N389" s="51">
        <f>IF(A389="","",DATE(YEAR(A389),MONTH(A389),1))</f>
        <v/>
      </c>
    </row>
    <row r="390">
      <c r="A390" s="47" t="n"/>
      <c r="B390" s="38" t="n"/>
      <c r="C390" s="38" t="n"/>
      <c r="D390" s="38" t="n"/>
      <c r="E390" s="38" t="n"/>
      <c r="F390" s="38" t="n"/>
      <c r="G390" s="47" t="n"/>
      <c r="H390" s="38" t="n"/>
      <c r="I390" s="48" t="n"/>
      <c r="J390" s="47" t="n"/>
      <c r="K390" s="49">
        <f>IF(B390="","",IFERROR(INDEX('JOBS'!$D$5:$D$1504,MATCH(B390,'JOBS'!$A$5:$A$1504,0)),""))</f>
        <v/>
      </c>
      <c r="L390" s="49">
        <f>IF(B390="","",IFERROR(INDEX('JOBS'!$H$5:$H$1504,MATCH(B390,'JOBS'!$A$5:$A$1504,0)),""))</f>
        <v/>
      </c>
      <c r="M390" s="50">
        <f>IF(A390="","",IF(H390="Resolved",IF(J390="","",J390-A390),AsOf-A390))</f>
        <v/>
      </c>
      <c r="N390" s="51">
        <f>IF(A390="","",DATE(YEAR(A390),MONTH(A390),1))</f>
        <v/>
      </c>
    </row>
    <row r="391">
      <c r="A391" s="47" t="n"/>
      <c r="B391" s="38" t="n"/>
      <c r="C391" s="38" t="n"/>
      <c r="D391" s="38" t="n"/>
      <c r="E391" s="38" t="n"/>
      <c r="F391" s="38" t="n"/>
      <c r="G391" s="47" t="n"/>
      <c r="H391" s="38" t="n"/>
      <c r="I391" s="48" t="n"/>
      <c r="J391" s="47" t="n"/>
      <c r="K391" s="49">
        <f>IF(B391="","",IFERROR(INDEX('JOBS'!$D$5:$D$1504,MATCH(B391,'JOBS'!$A$5:$A$1504,0)),""))</f>
        <v/>
      </c>
      <c r="L391" s="49">
        <f>IF(B391="","",IFERROR(INDEX('JOBS'!$H$5:$H$1504,MATCH(B391,'JOBS'!$A$5:$A$1504,0)),""))</f>
        <v/>
      </c>
      <c r="M391" s="50">
        <f>IF(A391="","",IF(H391="Resolved",IF(J391="","",J391-A391),AsOf-A391))</f>
        <v/>
      </c>
      <c r="N391" s="51">
        <f>IF(A391="","",DATE(YEAR(A391),MONTH(A391),1))</f>
        <v/>
      </c>
    </row>
    <row r="392">
      <c r="A392" s="47" t="n"/>
      <c r="B392" s="38" t="n"/>
      <c r="C392" s="38" t="n"/>
      <c r="D392" s="38" t="n"/>
      <c r="E392" s="38" t="n"/>
      <c r="F392" s="38" t="n"/>
      <c r="G392" s="47" t="n"/>
      <c r="H392" s="38" t="n"/>
      <c r="I392" s="48" t="n"/>
      <c r="J392" s="47" t="n"/>
      <c r="K392" s="49">
        <f>IF(B392="","",IFERROR(INDEX('JOBS'!$D$5:$D$1504,MATCH(B392,'JOBS'!$A$5:$A$1504,0)),""))</f>
        <v/>
      </c>
      <c r="L392" s="49">
        <f>IF(B392="","",IFERROR(INDEX('JOBS'!$H$5:$H$1504,MATCH(B392,'JOBS'!$A$5:$A$1504,0)),""))</f>
        <v/>
      </c>
      <c r="M392" s="50">
        <f>IF(A392="","",IF(H392="Resolved",IF(J392="","",J392-A392),AsOf-A392))</f>
        <v/>
      </c>
      <c r="N392" s="51">
        <f>IF(A392="","",DATE(YEAR(A392),MONTH(A392),1))</f>
        <v/>
      </c>
    </row>
    <row r="393">
      <c r="A393" s="47" t="n"/>
      <c r="B393" s="38" t="n"/>
      <c r="C393" s="38" t="n"/>
      <c r="D393" s="38" t="n"/>
      <c r="E393" s="38" t="n"/>
      <c r="F393" s="38" t="n"/>
      <c r="G393" s="47" t="n"/>
      <c r="H393" s="38" t="n"/>
      <c r="I393" s="48" t="n"/>
      <c r="J393" s="47" t="n"/>
      <c r="K393" s="49">
        <f>IF(B393="","",IFERROR(INDEX('JOBS'!$D$5:$D$1504,MATCH(B393,'JOBS'!$A$5:$A$1504,0)),""))</f>
        <v/>
      </c>
      <c r="L393" s="49">
        <f>IF(B393="","",IFERROR(INDEX('JOBS'!$H$5:$H$1504,MATCH(B393,'JOBS'!$A$5:$A$1504,0)),""))</f>
        <v/>
      </c>
      <c r="M393" s="50">
        <f>IF(A393="","",IF(H393="Resolved",IF(J393="","",J393-A393),AsOf-A393))</f>
        <v/>
      </c>
      <c r="N393" s="51">
        <f>IF(A393="","",DATE(YEAR(A393),MONTH(A393),1))</f>
        <v/>
      </c>
    </row>
    <row r="394">
      <c r="A394" s="47" t="n"/>
      <c r="B394" s="38" t="n"/>
      <c r="C394" s="38" t="n"/>
      <c r="D394" s="38" t="n"/>
      <c r="E394" s="38" t="n"/>
      <c r="F394" s="38" t="n"/>
      <c r="G394" s="47" t="n"/>
      <c r="H394" s="38" t="n"/>
      <c r="I394" s="48" t="n"/>
      <c r="J394" s="47" t="n"/>
      <c r="K394" s="49">
        <f>IF(B394="","",IFERROR(INDEX('JOBS'!$D$5:$D$1504,MATCH(B394,'JOBS'!$A$5:$A$1504,0)),""))</f>
        <v/>
      </c>
      <c r="L394" s="49">
        <f>IF(B394="","",IFERROR(INDEX('JOBS'!$H$5:$H$1504,MATCH(B394,'JOBS'!$A$5:$A$1504,0)),""))</f>
        <v/>
      </c>
      <c r="M394" s="50">
        <f>IF(A394="","",IF(H394="Resolved",IF(J394="","",J394-A394),AsOf-A394))</f>
        <v/>
      </c>
      <c r="N394" s="51">
        <f>IF(A394="","",DATE(YEAR(A394),MONTH(A394),1))</f>
        <v/>
      </c>
    </row>
    <row r="395">
      <c r="A395" s="47" t="n"/>
      <c r="B395" s="38" t="n"/>
      <c r="C395" s="38" t="n"/>
      <c r="D395" s="38" t="n"/>
      <c r="E395" s="38" t="n"/>
      <c r="F395" s="38" t="n"/>
      <c r="G395" s="47" t="n"/>
      <c r="H395" s="38" t="n"/>
      <c r="I395" s="48" t="n"/>
      <c r="J395" s="47" t="n"/>
      <c r="K395" s="49">
        <f>IF(B395="","",IFERROR(INDEX('JOBS'!$D$5:$D$1504,MATCH(B395,'JOBS'!$A$5:$A$1504,0)),""))</f>
        <v/>
      </c>
      <c r="L395" s="49">
        <f>IF(B395="","",IFERROR(INDEX('JOBS'!$H$5:$H$1504,MATCH(B395,'JOBS'!$A$5:$A$1504,0)),""))</f>
        <v/>
      </c>
      <c r="M395" s="50">
        <f>IF(A395="","",IF(H395="Resolved",IF(J395="","",J395-A395),AsOf-A395))</f>
        <v/>
      </c>
      <c r="N395" s="51">
        <f>IF(A395="","",DATE(YEAR(A395),MONTH(A395),1))</f>
        <v/>
      </c>
    </row>
    <row r="396">
      <c r="A396" s="47" t="n"/>
      <c r="B396" s="38" t="n"/>
      <c r="C396" s="38" t="n"/>
      <c r="D396" s="38" t="n"/>
      <c r="E396" s="38" t="n"/>
      <c r="F396" s="38" t="n"/>
      <c r="G396" s="47" t="n"/>
      <c r="H396" s="38" t="n"/>
      <c r="I396" s="48" t="n"/>
      <c r="J396" s="47" t="n"/>
      <c r="K396" s="49">
        <f>IF(B396="","",IFERROR(INDEX('JOBS'!$D$5:$D$1504,MATCH(B396,'JOBS'!$A$5:$A$1504,0)),""))</f>
        <v/>
      </c>
      <c r="L396" s="49">
        <f>IF(B396="","",IFERROR(INDEX('JOBS'!$H$5:$H$1504,MATCH(B396,'JOBS'!$A$5:$A$1504,0)),""))</f>
        <v/>
      </c>
      <c r="M396" s="50">
        <f>IF(A396="","",IF(H396="Resolved",IF(J396="","",J396-A396),AsOf-A396))</f>
        <v/>
      </c>
      <c r="N396" s="51">
        <f>IF(A396="","",DATE(YEAR(A396),MONTH(A396),1))</f>
        <v/>
      </c>
    </row>
    <row r="397">
      <c r="A397" s="47" t="n"/>
      <c r="B397" s="38" t="n"/>
      <c r="C397" s="38" t="n"/>
      <c r="D397" s="38" t="n"/>
      <c r="E397" s="38" t="n"/>
      <c r="F397" s="38" t="n"/>
      <c r="G397" s="47" t="n"/>
      <c r="H397" s="38" t="n"/>
      <c r="I397" s="48" t="n"/>
      <c r="J397" s="47" t="n"/>
      <c r="K397" s="49">
        <f>IF(B397="","",IFERROR(INDEX('JOBS'!$D$5:$D$1504,MATCH(B397,'JOBS'!$A$5:$A$1504,0)),""))</f>
        <v/>
      </c>
      <c r="L397" s="49">
        <f>IF(B397="","",IFERROR(INDEX('JOBS'!$H$5:$H$1504,MATCH(B397,'JOBS'!$A$5:$A$1504,0)),""))</f>
        <v/>
      </c>
      <c r="M397" s="50">
        <f>IF(A397="","",IF(H397="Resolved",IF(J397="","",J397-A397),AsOf-A397))</f>
        <v/>
      </c>
      <c r="N397" s="51">
        <f>IF(A397="","",DATE(YEAR(A397),MONTH(A397),1))</f>
        <v/>
      </c>
    </row>
    <row r="398">
      <c r="A398" s="47" t="n"/>
      <c r="B398" s="38" t="n"/>
      <c r="C398" s="38" t="n"/>
      <c r="D398" s="38" t="n"/>
      <c r="E398" s="38" t="n"/>
      <c r="F398" s="38" t="n"/>
      <c r="G398" s="47" t="n"/>
      <c r="H398" s="38" t="n"/>
      <c r="I398" s="48" t="n"/>
      <c r="J398" s="47" t="n"/>
      <c r="K398" s="49">
        <f>IF(B398="","",IFERROR(INDEX('JOBS'!$D$5:$D$1504,MATCH(B398,'JOBS'!$A$5:$A$1504,0)),""))</f>
        <v/>
      </c>
      <c r="L398" s="49">
        <f>IF(B398="","",IFERROR(INDEX('JOBS'!$H$5:$H$1504,MATCH(B398,'JOBS'!$A$5:$A$1504,0)),""))</f>
        <v/>
      </c>
      <c r="M398" s="50">
        <f>IF(A398="","",IF(H398="Resolved",IF(J398="","",J398-A398),AsOf-A398))</f>
        <v/>
      </c>
      <c r="N398" s="51">
        <f>IF(A398="","",DATE(YEAR(A398),MONTH(A398),1))</f>
        <v/>
      </c>
    </row>
    <row r="399">
      <c r="A399" s="47" t="n"/>
      <c r="B399" s="38" t="n"/>
      <c r="C399" s="38" t="n"/>
      <c r="D399" s="38" t="n"/>
      <c r="E399" s="38" t="n"/>
      <c r="F399" s="38" t="n"/>
      <c r="G399" s="47" t="n"/>
      <c r="H399" s="38" t="n"/>
      <c r="I399" s="48" t="n"/>
      <c r="J399" s="47" t="n"/>
      <c r="K399" s="49">
        <f>IF(B399="","",IFERROR(INDEX('JOBS'!$D$5:$D$1504,MATCH(B399,'JOBS'!$A$5:$A$1504,0)),""))</f>
        <v/>
      </c>
      <c r="L399" s="49">
        <f>IF(B399="","",IFERROR(INDEX('JOBS'!$H$5:$H$1504,MATCH(B399,'JOBS'!$A$5:$A$1504,0)),""))</f>
        <v/>
      </c>
      <c r="M399" s="50">
        <f>IF(A399="","",IF(H399="Resolved",IF(J399="","",J399-A399),AsOf-A399))</f>
        <v/>
      </c>
      <c r="N399" s="51">
        <f>IF(A399="","",DATE(YEAR(A399),MONTH(A399),1))</f>
        <v/>
      </c>
    </row>
    <row r="400">
      <c r="A400" s="47" t="n"/>
      <c r="B400" s="38" t="n"/>
      <c r="C400" s="38" t="n"/>
      <c r="D400" s="38" t="n"/>
      <c r="E400" s="38" t="n"/>
      <c r="F400" s="38" t="n"/>
      <c r="G400" s="47" t="n"/>
      <c r="H400" s="38" t="n"/>
      <c r="I400" s="48" t="n"/>
      <c r="J400" s="47" t="n"/>
      <c r="K400" s="49">
        <f>IF(B400="","",IFERROR(INDEX('JOBS'!$D$5:$D$1504,MATCH(B400,'JOBS'!$A$5:$A$1504,0)),""))</f>
        <v/>
      </c>
      <c r="L400" s="49">
        <f>IF(B400="","",IFERROR(INDEX('JOBS'!$H$5:$H$1504,MATCH(B400,'JOBS'!$A$5:$A$1504,0)),""))</f>
        <v/>
      </c>
      <c r="M400" s="50">
        <f>IF(A400="","",IF(H400="Resolved",IF(J400="","",J400-A400),AsOf-A400))</f>
        <v/>
      </c>
      <c r="N400" s="51">
        <f>IF(A400="","",DATE(YEAR(A400),MONTH(A400),1))</f>
        <v/>
      </c>
    </row>
    <row r="401">
      <c r="A401" s="47" t="n"/>
      <c r="B401" s="38" t="n"/>
      <c r="C401" s="38" t="n"/>
      <c r="D401" s="38" t="n"/>
      <c r="E401" s="38" t="n"/>
      <c r="F401" s="38" t="n"/>
      <c r="G401" s="47" t="n"/>
      <c r="H401" s="38" t="n"/>
      <c r="I401" s="48" t="n"/>
      <c r="J401" s="47" t="n"/>
      <c r="K401" s="49">
        <f>IF(B401="","",IFERROR(INDEX('JOBS'!$D$5:$D$1504,MATCH(B401,'JOBS'!$A$5:$A$1504,0)),""))</f>
        <v/>
      </c>
      <c r="L401" s="49">
        <f>IF(B401="","",IFERROR(INDEX('JOBS'!$H$5:$H$1504,MATCH(B401,'JOBS'!$A$5:$A$1504,0)),""))</f>
        <v/>
      </c>
      <c r="M401" s="50">
        <f>IF(A401="","",IF(H401="Resolved",IF(J401="","",J401-A401),AsOf-A401))</f>
        <v/>
      </c>
      <c r="N401" s="51">
        <f>IF(A401="","",DATE(YEAR(A401),MONTH(A401),1))</f>
        <v/>
      </c>
    </row>
    <row r="402">
      <c r="A402" s="47" t="n"/>
      <c r="B402" s="38" t="n"/>
      <c r="C402" s="38" t="n"/>
      <c r="D402" s="38" t="n"/>
      <c r="E402" s="38" t="n"/>
      <c r="F402" s="38" t="n"/>
      <c r="G402" s="47" t="n"/>
      <c r="H402" s="38" t="n"/>
      <c r="I402" s="48" t="n"/>
      <c r="J402" s="47" t="n"/>
      <c r="K402" s="49">
        <f>IF(B402="","",IFERROR(INDEX('JOBS'!$D$5:$D$1504,MATCH(B402,'JOBS'!$A$5:$A$1504,0)),""))</f>
        <v/>
      </c>
      <c r="L402" s="49">
        <f>IF(B402="","",IFERROR(INDEX('JOBS'!$H$5:$H$1504,MATCH(B402,'JOBS'!$A$5:$A$1504,0)),""))</f>
        <v/>
      </c>
      <c r="M402" s="50">
        <f>IF(A402="","",IF(H402="Resolved",IF(J402="","",J402-A402),AsOf-A402))</f>
        <v/>
      </c>
      <c r="N402" s="51">
        <f>IF(A402="","",DATE(YEAR(A402),MONTH(A402),1))</f>
        <v/>
      </c>
    </row>
    <row r="403">
      <c r="A403" s="47" t="n"/>
      <c r="B403" s="38" t="n"/>
      <c r="C403" s="38" t="n"/>
      <c r="D403" s="38" t="n"/>
      <c r="E403" s="38" t="n"/>
      <c r="F403" s="38" t="n"/>
      <c r="G403" s="47" t="n"/>
      <c r="H403" s="38" t="n"/>
      <c r="I403" s="48" t="n"/>
      <c r="J403" s="47" t="n"/>
      <c r="K403" s="49">
        <f>IF(B403="","",IFERROR(INDEX('JOBS'!$D$5:$D$1504,MATCH(B403,'JOBS'!$A$5:$A$1504,0)),""))</f>
        <v/>
      </c>
      <c r="L403" s="49">
        <f>IF(B403="","",IFERROR(INDEX('JOBS'!$H$5:$H$1504,MATCH(B403,'JOBS'!$A$5:$A$1504,0)),""))</f>
        <v/>
      </c>
      <c r="M403" s="50">
        <f>IF(A403="","",IF(H403="Resolved",IF(J403="","",J403-A403),AsOf-A403))</f>
        <v/>
      </c>
      <c r="N403" s="51">
        <f>IF(A403="","",DATE(YEAR(A403),MONTH(A403),1))</f>
        <v/>
      </c>
    </row>
    <row r="404">
      <c r="A404" s="47" t="n"/>
      <c r="B404" s="38" t="n"/>
      <c r="C404" s="38" t="n"/>
      <c r="D404" s="38" t="n"/>
      <c r="E404" s="38" t="n"/>
      <c r="F404" s="38" t="n"/>
      <c r="G404" s="47" t="n"/>
      <c r="H404" s="38" t="n"/>
      <c r="I404" s="48" t="n"/>
      <c r="J404" s="47" t="n"/>
      <c r="K404" s="49">
        <f>IF(B404="","",IFERROR(INDEX('JOBS'!$D$5:$D$1504,MATCH(B404,'JOBS'!$A$5:$A$1504,0)),""))</f>
        <v/>
      </c>
      <c r="L404" s="49">
        <f>IF(B404="","",IFERROR(INDEX('JOBS'!$H$5:$H$1504,MATCH(B404,'JOBS'!$A$5:$A$1504,0)),""))</f>
        <v/>
      </c>
      <c r="M404" s="50">
        <f>IF(A404="","",IF(H404="Resolved",IF(J404="","",J404-A404),AsOf-A404))</f>
        <v/>
      </c>
      <c r="N404" s="51">
        <f>IF(A404="","",DATE(YEAR(A404),MONTH(A404),1))</f>
        <v/>
      </c>
    </row>
    <row r="405">
      <c r="A405" s="47" t="n"/>
      <c r="B405" s="38" t="n"/>
      <c r="C405" s="38" t="n"/>
      <c r="D405" s="38" t="n"/>
      <c r="E405" s="38" t="n"/>
      <c r="F405" s="38" t="n"/>
      <c r="G405" s="47" t="n"/>
      <c r="H405" s="38" t="n"/>
      <c r="I405" s="48" t="n"/>
      <c r="J405" s="47" t="n"/>
      <c r="K405" s="49">
        <f>IF(B405="","",IFERROR(INDEX('JOBS'!$D$5:$D$1504,MATCH(B405,'JOBS'!$A$5:$A$1504,0)),""))</f>
        <v/>
      </c>
      <c r="L405" s="49">
        <f>IF(B405="","",IFERROR(INDEX('JOBS'!$H$5:$H$1504,MATCH(B405,'JOBS'!$A$5:$A$1504,0)),""))</f>
        <v/>
      </c>
      <c r="M405" s="50">
        <f>IF(A405="","",IF(H405="Resolved",IF(J405="","",J405-A405),AsOf-A405))</f>
        <v/>
      </c>
      <c r="N405" s="51">
        <f>IF(A405="","",DATE(YEAR(A405),MONTH(A405),1))</f>
        <v/>
      </c>
    </row>
    <row r="406">
      <c r="A406" s="47" t="n"/>
      <c r="B406" s="38" t="n"/>
      <c r="C406" s="38" t="n"/>
      <c r="D406" s="38" t="n"/>
      <c r="E406" s="38" t="n"/>
      <c r="F406" s="38" t="n"/>
      <c r="G406" s="47" t="n"/>
      <c r="H406" s="38" t="n"/>
      <c r="I406" s="48" t="n"/>
      <c r="J406" s="47" t="n"/>
      <c r="K406" s="49">
        <f>IF(B406="","",IFERROR(INDEX('JOBS'!$D$5:$D$1504,MATCH(B406,'JOBS'!$A$5:$A$1504,0)),""))</f>
        <v/>
      </c>
      <c r="L406" s="49">
        <f>IF(B406="","",IFERROR(INDEX('JOBS'!$H$5:$H$1504,MATCH(B406,'JOBS'!$A$5:$A$1504,0)),""))</f>
        <v/>
      </c>
      <c r="M406" s="50">
        <f>IF(A406="","",IF(H406="Resolved",IF(J406="","",J406-A406),AsOf-A406))</f>
        <v/>
      </c>
      <c r="N406" s="51">
        <f>IF(A406="","",DATE(YEAR(A406),MONTH(A406),1))</f>
        <v/>
      </c>
    </row>
    <row r="407">
      <c r="A407" s="47" t="n"/>
      <c r="B407" s="38" t="n"/>
      <c r="C407" s="38" t="n"/>
      <c r="D407" s="38" t="n"/>
      <c r="E407" s="38" t="n"/>
      <c r="F407" s="38" t="n"/>
      <c r="G407" s="47" t="n"/>
      <c r="H407" s="38" t="n"/>
      <c r="I407" s="48" t="n"/>
      <c r="J407" s="47" t="n"/>
      <c r="K407" s="49">
        <f>IF(B407="","",IFERROR(INDEX('JOBS'!$D$5:$D$1504,MATCH(B407,'JOBS'!$A$5:$A$1504,0)),""))</f>
        <v/>
      </c>
      <c r="L407" s="49">
        <f>IF(B407="","",IFERROR(INDEX('JOBS'!$H$5:$H$1504,MATCH(B407,'JOBS'!$A$5:$A$1504,0)),""))</f>
        <v/>
      </c>
      <c r="M407" s="50">
        <f>IF(A407="","",IF(H407="Resolved",IF(J407="","",J407-A407),AsOf-A407))</f>
        <v/>
      </c>
      <c r="N407" s="51">
        <f>IF(A407="","",DATE(YEAR(A407),MONTH(A407),1))</f>
        <v/>
      </c>
    </row>
    <row r="408">
      <c r="A408" s="47" t="n"/>
      <c r="B408" s="38" t="n"/>
      <c r="C408" s="38" t="n"/>
      <c r="D408" s="38" t="n"/>
      <c r="E408" s="38" t="n"/>
      <c r="F408" s="38" t="n"/>
      <c r="G408" s="47" t="n"/>
      <c r="H408" s="38" t="n"/>
      <c r="I408" s="48" t="n"/>
      <c r="J408" s="47" t="n"/>
      <c r="K408" s="49">
        <f>IF(B408="","",IFERROR(INDEX('JOBS'!$D$5:$D$1504,MATCH(B408,'JOBS'!$A$5:$A$1504,0)),""))</f>
        <v/>
      </c>
      <c r="L408" s="49">
        <f>IF(B408="","",IFERROR(INDEX('JOBS'!$H$5:$H$1504,MATCH(B408,'JOBS'!$A$5:$A$1504,0)),""))</f>
        <v/>
      </c>
      <c r="M408" s="50">
        <f>IF(A408="","",IF(H408="Resolved",IF(J408="","",J408-A408),AsOf-A408))</f>
        <v/>
      </c>
      <c r="N408" s="51">
        <f>IF(A408="","",DATE(YEAR(A408),MONTH(A408),1))</f>
        <v/>
      </c>
    </row>
    <row r="409">
      <c r="A409" s="47" t="n"/>
      <c r="B409" s="38" t="n"/>
      <c r="C409" s="38" t="n"/>
      <c r="D409" s="38" t="n"/>
      <c r="E409" s="38" t="n"/>
      <c r="F409" s="38" t="n"/>
      <c r="G409" s="47" t="n"/>
      <c r="H409" s="38" t="n"/>
      <c r="I409" s="48" t="n"/>
      <c r="J409" s="47" t="n"/>
      <c r="K409" s="49">
        <f>IF(B409="","",IFERROR(INDEX('JOBS'!$D$5:$D$1504,MATCH(B409,'JOBS'!$A$5:$A$1504,0)),""))</f>
        <v/>
      </c>
      <c r="L409" s="49">
        <f>IF(B409="","",IFERROR(INDEX('JOBS'!$H$5:$H$1504,MATCH(B409,'JOBS'!$A$5:$A$1504,0)),""))</f>
        <v/>
      </c>
      <c r="M409" s="50">
        <f>IF(A409="","",IF(H409="Resolved",IF(J409="","",J409-A409),AsOf-A409))</f>
        <v/>
      </c>
      <c r="N409" s="51">
        <f>IF(A409="","",DATE(YEAR(A409),MONTH(A409),1))</f>
        <v/>
      </c>
    </row>
    <row r="410">
      <c r="A410" s="47" t="n"/>
      <c r="B410" s="38" t="n"/>
      <c r="C410" s="38" t="n"/>
      <c r="D410" s="38" t="n"/>
      <c r="E410" s="38" t="n"/>
      <c r="F410" s="38" t="n"/>
      <c r="G410" s="47" t="n"/>
      <c r="H410" s="38" t="n"/>
      <c r="I410" s="48" t="n"/>
      <c r="J410" s="47" t="n"/>
      <c r="K410" s="49">
        <f>IF(B410="","",IFERROR(INDEX('JOBS'!$D$5:$D$1504,MATCH(B410,'JOBS'!$A$5:$A$1504,0)),""))</f>
        <v/>
      </c>
      <c r="L410" s="49">
        <f>IF(B410="","",IFERROR(INDEX('JOBS'!$H$5:$H$1504,MATCH(B410,'JOBS'!$A$5:$A$1504,0)),""))</f>
        <v/>
      </c>
      <c r="M410" s="50">
        <f>IF(A410="","",IF(H410="Resolved",IF(J410="","",J410-A410),AsOf-A410))</f>
        <v/>
      </c>
      <c r="N410" s="51">
        <f>IF(A410="","",DATE(YEAR(A410),MONTH(A410),1))</f>
        <v/>
      </c>
    </row>
    <row r="411">
      <c r="A411" s="47" t="n"/>
      <c r="B411" s="38" t="n"/>
      <c r="C411" s="38" t="n"/>
      <c r="D411" s="38" t="n"/>
      <c r="E411" s="38" t="n"/>
      <c r="F411" s="38" t="n"/>
      <c r="G411" s="47" t="n"/>
      <c r="H411" s="38" t="n"/>
      <c r="I411" s="48" t="n"/>
      <c r="J411" s="47" t="n"/>
      <c r="K411" s="49">
        <f>IF(B411="","",IFERROR(INDEX('JOBS'!$D$5:$D$1504,MATCH(B411,'JOBS'!$A$5:$A$1504,0)),""))</f>
        <v/>
      </c>
      <c r="L411" s="49">
        <f>IF(B411="","",IFERROR(INDEX('JOBS'!$H$5:$H$1504,MATCH(B411,'JOBS'!$A$5:$A$1504,0)),""))</f>
        <v/>
      </c>
      <c r="M411" s="50">
        <f>IF(A411="","",IF(H411="Resolved",IF(J411="","",J411-A411),AsOf-A411))</f>
        <v/>
      </c>
      <c r="N411" s="51">
        <f>IF(A411="","",DATE(YEAR(A411),MONTH(A411),1))</f>
        <v/>
      </c>
    </row>
    <row r="412">
      <c r="A412" s="47" t="n"/>
      <c r="B412" s="38" t="n"/>
      <c r="C412" s="38" t="n"/>
      <c r="D412" s="38" t="n"/>
      <c r="E412" s="38" t="n"/>
      <c r="F412" s="38" t="n"/>
      <c r="G412" s="47" t="n"/>
      <c r="H412" s="38" t="n"/>
      <c r="I412" s="48" t="n"/>
      <c r="J412" s="47" t="n"/>
      <c r="K412" s="49">
        <f>IF(B412="","",IFERROR(INDEX('JOBS'!$D$5:$D$1504,MATCH(B412,'JOBS'!$A$5:$A$1504,0)),""))</f>
        <v/>
      </c>
      <c r="L412" s="49">
        <f>IF(B412="","",IFERROR(INDEX('JOBS'!$H$5:$H$1504,MATCH(B412,'JOBS'!$A$5:$A$1504,0)),""))</f>
        <v/>
      </c>
      <c r="M412" s="50">
        <f>IF(A412="","",IF(H412="Resolved",IF(J412="","",J412-A412),AsOf-A412))</f>
        <v/>
      </c>
      <c r="N412" s="51">
        <f>IF(A412="","",DATE(YEAR(A412),MONTH(A412),1))</f>
        <v/>
      </c>
    </row>
    <row r="413">
      <c r="A413" s="47" t="n"/>
      <c r="B413" s="38" t="n"/>
      <c r="C413" s="38" t="n"/>
      <c r="D413" s="38" t="n"/>
      <c r="E413" s="38" t="n"/>
      <c r="F413" s="38" t="n"/>
      <c r="G413" s="47" t="n"/>
      <c r="H413" s="38" t="n"/>
      <c r="I413" s="48" t="n"/>
      <c r="J413" s="47" t="n"/>
      <c r="K413" s="49">
        <f>IF(B413="","",IFERROR(INDEX('JOBS'!$D$5:$D$1504,MATCH(B413,'JOBS'!$A$5:$A$1504,0)),""))</f>
        <v/>
      </c>
      <c r="L413" s="49">
        <f>IF(B413="","",IFERROR(INDEX('JOBS'!$H$5:$H$1504,MATCH(B413,'JOBS'!$A$5:$A$1504,0)),""))</f>
        <v/>
      </c>
      <c r="M413" s="50">
        <f>IF(A413="","",IF(H413="Resolved",IF(J413="","",J413-A413),AsOf-A413))</f>
        <v/>
      </c>
      <c r="N413" s="51">
        <f>IF(A413="","",DATE(YEAR(A413),MONTH(A413),1))</f>
        <v/>
      </c>
    </row>
    <row r="414">
      <c r="A414" s="47" t="n"/>
      <c r="B414" s="38" t="n"/>
      <c r="C414" s="38" t="n"/>
      <c r="D414" s="38" t="n"/>
      <c r="E414" s="38" t="n"/>
      <c r="F414" s="38" t="n"/>
      <c r="G414" s="47" t="n"/>
      <c r="H414" s="38" t="n"/>
      <c r="I414" s="48" t="n"/>
      <c r="J414" s="47" t="n"/>
      <c r="K414" s="49">
        <f>IF(B414="","",IFERROR(INDEX('JOBS'!$D$5:$D$1504,MATCH(B414,'JOBS'!$A$5:$A$1504,0)),""))</f>
        <v/>
      </c>
      <c r="L414" s="49">
        <f>IF(B414="","",IFERROR(INDEX('JOBS'!$H$5:$H$1504,MATCH(B414,'JOBS'!$A$5:$A$1504,0)),""))</f>
        <v/>
      </c>
      <c r="M414" s="50">
        <f>IF(A414="","",IF(H414="Resolved",IF(J414="","",J414-A414),AsOf-A414))</f>
        <v/>
      </c>
      <c r="N414" s="51">
        <f>IF(A414="","",DATE(YEAR(A414),MONTH(A414),1))</f>
        <v/>
      </c>
    </row>
    <row r="415">
      <c r="A415" s="47" t="n"/>
      <c r="B415" s="38" t="n"/>
      <c r="C415" s="38" t="n"/>
      <c r="D415" s="38" t="n"/>
      <c r="E415" s="38" t="n"/>
      <c r="F415" s="38" t="n"/>
      <c r="G415" s="47" t="n"/>
      <c r="H415" s="38" t="n"/>
      <c r="I415" s="48" t="n"/>
      <c r="J415" s="47" t="n"/>
      <c r="K415" s="49">
        <f>IF(B415="","",IFERROR(INDEX('JOBS'!$D$5:$D$1504,MATCH(B415,'JOBS'!$A$5:$A$1504,0)),""))</f>
        <v/>
      </c>
      <c r="L415" s="49">
        <f>IF(B415="","",IFERROR(INDEX('JOBS'!$H$5:$H$1504,MATCH(B415,'JOBS'!$A$5:$A$1504,0)),""))</f>
        <v/>
      </c>
      <c r="M415" s="50">
        <f>IF(A415="","",IF(H415="Resolved",IF(J415="","",J415-A415),AsOf-A415))</f>
        <v/>
      </c>
      <c r="N415" s="51">
        <f>IF(A415="","",DATE(YEAR(A415),MONTH(A415),1))</f>
        <v/>
      </c>
    </row>
    <row r="416">
      <c r="A416" s="47" t="n"/>
      <c r="B416" s="38" t="n"/>
      <c r="C416" s="38" t="n"/>
      <c r="D416" s="38" t="n"/>
      <c r="E416" s="38" t="n"/>
      <c r="F416" s="38" t="n"/>
      <c r="G416" s="47" t="n"/>
      <c r="H416" s="38" t="n"/>
      <c r="I416" s="48" t="n"/>
      <c r="J416" s="47" t="n"/>
      <c r="K416" s="49">
        <f>IF(B416="","",IFERROR(INDEX('JOBS'!$D$5:$D$1504,MATCH(B416,'JOBS'!$A$5:$A$1504,0)),""))</f>
        <v/>
      </c>
      <c r="L416" s="49">
        <f>IF(B416="","",IFERROR(INDEX('JOBS'!$H$5:$H$1504,MATCH(B416,'JOBS'!$A$5:$A$1504,0)),""))</f>
        <v/>
      </c>
      <c r="M416" s="50">
        <f>IF(A416="","",IF(H416="Resolved",IF(J416="","",J416-A416),AsOf-A416))</f>
        <v/>
      </c>
      <c r="N416" s="51">
        <f>IF(A416="","",DATE(YEAR(A416),MONTH(A416),1))</f>
        <v/>
      </c>
    </row>
    <row r="417">
      <c r="A417" s="47" t="n"/>
      <c r="B417" s="38" t="n"/>
      <c r="C417" s="38" t="n"/>
      <c r="D417" s="38" t="n"/>
      <c r="E417" s="38" t="n"/>
      <c r="F417" s="38" t="n"/>
      <c r="G417" s="47" t="n"/>
      <c r="H417" s="38" t="n"/>
      <c r="I417" s="48" t="n"/>
      <c r="J417" s="47" t="n"/>
      <c r="K417" s="49">
        <f>IF(B417="","",IFERROR(INDEX('JOBS'!$D$5:$D$1504,MATCH(B417,'JOBS'!$A$5:$A$1504,0)),""))</f>
        <v/>
      </c>
      <c r="L417" s="49">
        <f>IF(B417="","",IFERROR(INDEX('JOBS'!$H$5:$H$1504,MATCH(B417,'JOBS'!$A$5:$A$1504,0)),""))</f>
        <v/>
      </c>
      <c r="M417" s="50">
        <f>IF(A417="","",IF(H417="Resolved",IF(J417="","",J417-A417),AsOf-A417))</f>
        <v/>
      </c>
      <c r="N417" s="51">
        <f>IF(A417="","",DATE(YEAR(A417),MONTH(A417),1))</f>
        <v/>
      </c>
    </row>
    <row r="418">
      <c r="A418" s="47" t="n"/>
      <c r="B418" s="38" t="n"/>
      <c r="C418" s="38" t="n"/>
      <c r="D418" s="38" t="n"/>
      <c r="E418" s="38" t="n"/>
      <c r="F418" s="38" t="n"/>
      <c r="G418" s="47" t="n"/>
      <c r="H418" s="38" t="n"/>
      <c r="I418" s="48" t="n"/>
      <c r="J418" s="47" t="n"/>
      <c r="K418" s="49">
        <f>IF(B418="","",IFERROR(INDEX('JOBS'!$D$5:$D$1504,MATCH(B418,'JOBS'!$A$5:$A$1504,0)),""))</f>
        <v/>
      </c>
      <c r="L418" s="49">
        <f>IF(B418="","",IFERROR(INDEX('JOBS'!$H$5:$H$1504,MATCH(B418,'JOBS'!$A$5:$A$1504,0)),""))</f>
        <v/>
      </c>
      <c r="M418" s="50">
        <f>IF(A418="","",IF(H418="Resolved",IF(J418="","",J418-A418),AsOf-A418))</f>
        <v/>
      </c>
      <c r="N418" s="51">
        <f>IF(A418="","",DATE(YEAR(A418),MONTH(A418),1))</f>
        <v/>
      </c>
    </row>
    <row r="419">
      <c r="A419" s="47" t="n"/>
      <c r="B419" s="38" t="n"/>
      <c r="C419" s="38" t="n"/>
      <c r="D419" s="38" t="n"/>
      <c r="E419" s="38" t="n"/>
      <c r="F419" s="38" t="n"/>
      <c r="G419" s="47" t="n"/>
      <c r="H419" s="38" t="n"/>
      <c r="I419" s="48" t="n"/>
      <c r="J419" s="47" t="n"/>
      <c r="K419" s="49">
        <f>IF(B419="","",IFERROR(INDEX('JOBS'!$D$5:$D$1504,MATCH(B419,'JOBS'!$A$5:$A$1504,0)),""))</f>
        <v/>
      </c>
      <c r="L419" s="49">
        <f>IF(B419="","",IFERROR(INDEX('JOBS'!$H$5:$H$1504,MATCH(B419,'JOBS'!$A$5:$A$1504,0)),""))</f>
        <v/>
      </c>
      <c r="M419" s="50">
        <f>IF(A419="","",IF(H419="Resolved",IF(J419="","",J419-A419),AsOf-A419))</f>
        <v/>
      </c>
      <c r="N419" s="51">
        <f>IF(A419="","",DATE(YEAR(A419),MONTH(A419),1))</f>
        <v/>
      </c>
    </row>
    <row r="420">
      <c r="A420" s="47" t="n"/>
      <c r="B420" s="38" t="n"/>
      <c r="C420" s="38" t="n"/>
      <c r="D420" s="38" t="n"/>
      <c r="E420" s="38" t="n"/>
      <c r="F420" s="38" t="n"/>
      <c r="G420" s="47" t="n"/>
      <c r="H420" s="38" t="n"/>
      <c r="I420" s="48" t="n"/>
      <c r="J420" s="47" t="n"/>
      <c r="K420" s="49">
        <f>IF(B420="","",IFERROR(INDEX('JOBS'!$D$5:$D$1504,MATCH(B420,'JOBS'!$A$5:$A$1504,0)),""))</f>
        <v/>
      </c>
      <c r="L420" s="49">
        <f>IF(B420="","",IFERROR(INDEX('JOBS'!$H$5:$H$1504,MATCH(B420,'JOBS'!$A$5:$A$1504,0)),""))</f>
        <v/>
      </c>
      <c r="M420" s="50">
        <f>IF(A420="","",IF(H420="Resolved",IF(J420="","",J420-A420),AsOf-A420))</f>
        <v/>
      </c>
      <c r="N420" s="51">
        <f>IF(A420="","",DATE(YEAR(A420),MONTH(A420),1))</f>
        <v/>
      </c>
    </row>
    <row r="421">
      <c r="A421" s="47" t="n"/>
      <c r="B421" s="38" t="n"/>
      <c r="C421" s="38" t="n"/>
      <c r="D421" s="38" t="n"/>
      <c r="E421" s="38" t="n"/>
      <c r="F421" s="38" t="n"/>
      <c r="G421" s="47" t="n"/>
      <c r="H421" s="38" t="n"/>
      <c r="I421" s="48" t="n"/>
      <c r="J421" s="47" t="n"/>
      <c r="K421" s="49">
        <f>IF(B421="","",IFERROR(INDEX('JOBS'!$D$5:$D$1504,MATCH(B421,'JOBS'!$A$5:$A$1504,0)),""))</f>
        <v/>
      </c>
      <c r="L421" s="49">
        <f>IF(B421="","",IFERROR(INDEX('JOBS'!$H$5:$H$1504,MATCH(B421,'JOBS'!$A$5:$A$1504,0)),""))</f>
        <v/>
      </c>
      <c r="M421" s="50">
        <f>IF(A421="","",IF(H421="Resolved",IF(J421="","",J421-A421),AsOf-A421))</f>
        <v/>
      </c>
      <c r="N421" s="51">
        <f>IF(A421="","",DATE(YEAR(A421),MONTH(A421),1))</f>
        <v/>
      </c>
    </row>
    <row r="422">
      <c r="A422" s="47" t="n"/>
      <c r="B422" s="38" t="n"/>
      <c r="C422" s="38" t="n"/>
      <c r="D422" s="38" t="n"/>
      <c r="E422" s="38" t="n"/>
      <c r="F422" s="38" t="n"/>
      <c r="G422" s="47" t="n"/>
      <c r="H422" s="38" t="n"/>
      <c r="I422" s="48" t="n"/>
      <c r="J422" s="47" t="n"/>
      <c r="K422" s="49">
        <f>IF(B422="","",IFERROR(INDEX('JOBS'!$D$5:$D$1504,MATCH(B422,'JOBS'!$A$5:$A$1504,0)),""))</f>
        <v/>
      </c>
      <c r="L422" s="49">
        <f>IF(B422="","",IFERROR(INDEX('JOBS'!$H$5:$H$1504,MATCH(B422,'JOBS'!$A$5:$A$1504,0)),""))</f>
        <v/>
      </c>
      <c r="M422" s="50">
        <f>IF(A422="","",IF(H422="Resolved",IF(J422="","",J422-A422),AsOf-A422))</f>
        <v/>
      </c>
      <c r="N422" s="51">
        <f>IF(A422="","",DATE(YEAR(A422),MONTH(A422),1))</f>
        <v/>
      </c>
    </row>
    <row r="423">
      <c r="A423" s="47" t="n"/>
      <c r="B423" s="38" t="n"/>
      <c r="C423" s="38" t="n"/>
      <c r="D423" s="38" t="n"/>
      <c r="E423" s="38" t="n"/>
      <c r="F423" s="38" t="n"/>
      <c r="G423" s="47" t="n"/>
      <c r="H423" s="38" t="n"/>
      <c r="I423" s="48" t="n"/>
      <c r="J423" s="47" t="n"/>
      <c r="K423" s="49">
        <f>IF(B423="","",IFERROR(INDEX('JOBS'!$D$5:$D$1504,MATCH(B423,'JOBS'!$A$5:$A$1504,0)),""))</f>
        <v/>
      </c>
      <c r="L423" s="49">
        <f>IF(B423="","",IFERROR(INDEX('JOBS'!$H$5:$H$1504,MATCH(B423,'JOBS'!$A$5:$A$1504,0)),""))</f>
        <v/>
      </c>
      <c r="M423" s="50">
        <f>IF(A423="","",IF(H423="Resolved",IF(J423="","",J423-A423),AsOf-A423))</f>
        <v/>
      </c>
      <c r="N423" s="51">
        <f>IF(A423="","",DATE(YEAR(A423),MONTH(A423),1))</f>
        <v/>
      </c>
    </row>
    <row r="424">
      <c r="A424" s="47" t="n"/>
      <c r="B424" s="38" t="n"/>
      <c r="C424" s="38" t="n"/>
      <c r="D424" s="38" t="n"/>
      <c r="E424" s="38" t="n"/>
      <c r="F424" s="38" t="n"/>
      <c r="G424" s="47" t="n"/>
      <c r="H424" s="38" t="n"/>
      <c r="I424" s="48" t="n"/>
      <c r="J424" s="47" t="n"/>
      <c r="K424" s="49">
        <f>IF(B424="","",IFERROR(INDEX('JOBS'!$D$5:$D$1504,MATCH(B424,'JOBS'!$A$5:$A$1504,0)),""))</f>
        <v/>
      </c>
      <c r="L424" s="49">
        <f>IF(B424="","",IFERROR(INDEX('JOBS'!$H$5:$H$1504,MATCH(B424,'JOBS'!$A$5:$A$1504,0)),""))</f>
        <v/>
      </c>
      <c r="M424" s="50">
        <f>IF(A424="","",IF(H424="Resolved",IF(J424="","",J424-A424),AsOf-A424))</f>
        <v/>
      </c>
      <c r="N424" s="51">
        <f>IF(A424="","",DATE(YEAR(A424),MONTH(A424),1))</f>
        <v/>
      </c>
    </row>
    <row r="425">
      <c r="A425" s="47" t="n"/>
      <c r="B425" s="38" t="n"/>
      <c r="C425" s="38" t="n"/>
      <c r="D425" s="38" t="n"/>
      <c r="E425" s="38" t="n"/>
      <c r="F425" s="38" t="n"/>
      <c r="G425" s="47" t="n"/>
      <c r="H425" s="38" t="n"/>
      <c r="I425" s="48" t="n"/>
      <c r="J425" s="47" t="n"/>
      <c r="K425" s="49">
        <f>IF(B425="","",IFERROR(INDEX('JOBS'!$D$5:$D$1504,MATCH(B425,'JOBS'!$A$5:$A$1504,0)),""))</f>
        <v/>
      </c>
      <c r="L425" s="49">
        <f>IF(B425="","",IFERROR(INDEX('JOBS'!$H$5:$H$1504,MATCH(B425,'JOBS'!$A$5:$A$1504,0)),""))</f>
        <v/>
      </c>
      <c r="M425" s="50">
        <f>IF(A425="","",IF(H425="Resolved",IF(J425="","",J425-A425),AsOf-A425))</f>
        <v/>
      </c>
      <c r="N425" s="51">
        <f>IF(A425="","",DATE(YEAR(A425),MONTH(A425),1))</f>
        <v/>
      </c>
    </row>
    <row r="426">
      <c r="A426" s="47" t="n"/>
      <c r="B426" s="38" t="n"/>
      <c r="C426" s="38" t="n"/>
      <c r="D426" s="38" t="n"/>
      <c r="E426" s="38" t="n"/>
      <c r="F426" s="38" t="n"/>
      <c r="G426" s="47" t="n"/>
      <c r="H426" s="38" t="n"/>
      <c r="I426" s="48" t="n"/>
      <c r="J426" s="47" t="n"/>
      <c r="K426" s="49">
        <f>IF(B426="","",IFERROR(INDEX('JOBS'!$D$5:$D$1504,MATCH(B426,'JOBS'!$A$5:$A$1504,0)),""))</f>
        <v/>
      </c>
      <c r="L426" s="49">
        <f>IF(B426="","",IFERROR(INDEX('JOBS'!$H$5:$H$1504,MATCH(B426,'JOBS'!$A$5:$A$1504,0)),""))</f>
        <v/>
      </c>
      <c r="M426" s="50">
        <f>IF(A426="","",IF(H426="Resolved",IF(J426="","",J426-A426),AsOf-A426))</f>
        <v/>
      </c>
      <c r="N426" s="51">
        <f>IF(A426="","",DATE(YEAR(A426),MONTH(A426),1))</f>
        <v/>
      </c>
    </row>
    <row r="427">
      <c r="A427" s="47" t="n"/>
      <c r="B427" s="38" t="n"/>
      <c r="C427" s="38" t="n"/>
      <c r="D427" s="38" t="n"/>
      <c r="E427" s="38" t="n"/>
      <c r="F427" s="38" t="n"/>
      <c r="G427" s="47" t="n"/>
      <c r="H427" s="38" t="n"/>
      <c r="I427" s="48" t="n"/>
      <c r="J427" s="47" t="n"/>
      <c r="K427" s="49">
        <f>IF(B427="","",IFERROR(INDEX('JOBS'!$D$5:$D$1504,MATCH(B427,'JOBS'!$A$5:$A$1504,0)),""))</f>
        <v/>
      </c>
      <c r="L427" s="49">
        <f>IF(B427="","",IFERROR(INDEX('JOBS'!$H$5:$H$1504,MATCH(B427,'JOBS'!$A$5:$A$1504,0)),""))</f>
        <v/>
      </c>
      <c r="M427" s="50">
        <f>IF(A427="","",IF(H427="Resolved",IF(J427="","",J427-A427),AsOf-A427))</f>
        <v/>
      </c>
      <c r="N427" s="51">
        <f>IF(A427="","",DATE(YEAR(A427),MONTH(A427),1))</f>
        <v/>
      </c>
    </row>
    <row r="428">
      <c r="A428" s="47" t="n"/>
      <c r="B428" s="38" t="n"/>
      <c r="C428" s="38" t="n"/>
      <c r="D428" s="38" t="n"/>
      <c r="E428" s="38" t="n"/>
      <c r="F428" s="38" t="n"/>
      <c r="G428" s="47" t="n"/>
      <c r="H428" s="38" t="n"/>
      <c r="I428" s="48" t="n"/>
      <c r="J428" s="47" t="n"/>
      <c r="K428" s="49">
        <f>IF(B428="","",IFERROR(INDEX('JOBS'!$D$5:$D$1504,MATCH(B428,'JOBS'!$A$5:$A$1504,0)),""))</f>
        <v/>
      </c>
      <c r="L428" s="49">
        <f>IF(B428="","",IFERROR(INDEX('JOBS'!$H$5:$H$1504,MATCH(B428,'JOBS'!$A$5:$A$1504,0)),""))</f>
        <v/>
      </c>
      <c r="M428" s="50">
        <f>IF(A428="","",IF(H428="Resolved",IF(J428="","",J428-A428),AsOf-A428))</f>
        <v/>
      </c>
      <c r="N428" s="51">
        <f>IF(A428="","",DATE(YEAR(A428),MONTH(A428),1))</f>
        <v/>
      </c>
    </row>
    <row r="429">
      <c r="A429" s="47" t="n"/>
      <c r="B429" s="38" t="n"/>
      <c r="C429" s="38" t="n"/>
      <c r="D429" s="38" t="n"/>
      <c r="E429" s="38" t="n"/>
      <c r="F429" s="38" t="n"/>
      <c r="G429" s="47" t="n"/>
      <c r="H429" s="38" t="n"/>
      <c r="I429" s="48" t="n"/>
      <c r="J429" s="47" t="n"/>
      <c r="K429" s="49">
        <f>IF(B429="","",IFERROR(INDEX('JOBS'!$D$5:$D$1504,MATCH(B429,'JOBS'!$A$5:$A$1504,0)),""))</f>
        <v/>
      </c>
      <c r="L429" s="49">
        <f>IF(B429="","",IFERROR(INDEX('JOBS'!$H$5:$H$1504,MATCH(B429,'JOBS'!$A$5:$A$1504,0)),""))</f>
        <v/>
      </c>
      <c r="M429" s="50">
        <f>IF(A429="","",IF(H429="Resolved",IF(J429="","",J429-A429),AsOf-A429))</f>
        <v/>
      </c>
      <c r="N429" s="51">
        <f>IF(A429="","",DATE(YEAR(A429),MONTH(A429),1))</f>
        <v/>
      </c>
    </row>
    <row r="430">
      <c r="A430" s="47" t="n"/>
      <c r="B430" s="38" t="n"/>
      <c r="C430" s="38" t="n"/>
      <c r="D430" s="38" t="n"/>
      <c r="E430" s="38" t="n"/>
      <c r="F430" s="38" t="n"/>
      <c r="G430" s="47" t="n"/>
      <c r="H430" s="38" t="n"/>
      <c r="I430" s="48" t="n"/>
      <c r="J430" s="47" t="n"/>
      <c r="K430" s="49">
        <f>IF(B430="","",IFERROR(INDEX('JOBS'!$D$5:$D$1504,MATCH(B430,'JOBS'!$A$5:$A$1504,0)),""))</f>
        <v/>
      </c>
      <c r="L430" s="49">
        <f>IF(B430="","",IFERROR(INDEX('JOBS'!$H$5:$H$1504,MATCH(B430,'JOBS'!$A$5:$A$1504,0)),""))</f>
        <v/>
      </c>
      <c r="M430" s="50">
        <f>IF(A430="","",IF(H430="Resolved",IF(J430="","",J430-A430),AsOf-A430))</f>
        <v/>
      </c>
      <c r="N430" s="51">
        <f>IF(A430="","",DATE(YEAR(A430),MONTH(A430),1))</f>
        <v/>
      </c>
    </row>
    <row r="431">
      <c r="A431" s="47" t="n"/>
      <c r="B431" s="38" t="n"/>
      <c r="C431" s="38" t="n"/>
      <c r="D431" s="38" t="n"/>
      <c r="E431" s="38" t="n"/>
      <c r="F431" s="38" t="n"/>
      <c r="G431" s="47" t="n"/>
      <c r="H431" s="38" t="n"/>
      <c r="I431" s="48" t="n"/>
      <c r="J431" s="47" t="n"/>
      <c r="K431" s="49">
        <f>IF(B431="","",IFERROR(INDEX('JOBS'!$D$5:$D$1504,MATCH(B431,'JOBS'!$A$5:$A$1504,0)),""))</f>
        <v/>
      </c>
      <c r="L431" s="49">
        <f>IF(B431="","",IFERROR(INDEX('JOBS'!$H$5:$H$1504,MATCH(B431,'JOBS'!$A$5:$A$1504,0)),""))</f>
        <v/>
      </c>
      <c r="M431" s="50">
        <f>IF(A431="","",IF(H431="Resolved",IF(J431="","",J431-A431),AsOf-A431))</f>
        <v/>
      </c>
      <c r="N431" s="51">
        <f>IF(A431="","",DATE(YEAR(A431),MONTH(A431),1))</f>
        <v/>
      </c>
    </row>
    <row r="432">
      <c r="A432" s="47" t="n"/>
      <c r="B432" s="38" t="n"/>
      <c r="C432" s="38" t="n"/>
      <c r="D432" s="38" t="n"/>
      <c r="E432" s="38" t="n"/>
      <c r="F432" s="38" t="n"/>
      <c r="G432" s="47" t="n"/>
      <c r="H432" s="38" t="n"/>
      <c r="I432" s="48" t="n"/>
      <c r="J432" s="47" t="n"/>
      <c r="K432" s="49">
        <f>IF(B432="","",IFERROR(INDEX('JOBS'!$D$5:$D$1504,MATCH(B432,'JOBS'!$A$5:$A$1504,0)),""))</f>
        <v/>
      </c>
      <c r="L432" s="49">
        <f>IF(B432="","",IFERROR(INDEX('JOBS'!$H$5:$H$1504,MATCH(B432,'JOBS'!$A$5:$A$1504,0)),""))</f>
        <v/>
      </c>
      <c r="M432" s="50">
        <f>IF(A432="","",IF(H432="Resolved",IF(J432="","",J432-A432),AsOf-A432))</f>
        <v/>
      </c>
      <c r="N432" s="51">
        <f>IF(A432="","",DATE(YEAR(A432),MONTH(A432),1))</f>
        <v/>
      </c>
    </row>
    <row r="433">
      <c r="A433" s="47" t="n"/>
      <c r="B433" s="38" t="n"/>
      <c r="C433" s="38" t="n"/>
      <c r="D433" s="38" t="n"/>
      <c r="E433" s="38" t="n"/>
      <c r="F433" s="38" t="n"/>
      <c r="G433" s="47" t="n"/>
      <c r="H433" s="38" t="n"/>
      <c r="I433" s="48" t="n"/>
      <c r="J433" s="47" t="n"/>
      <c r="K433" s="49">
        <f>IF(B433="","",IFERROR(INDEX('JOBS'!$D$5:$D$1504,MATCH(B433,'JOBS'!$A$5:$A$1504,0)),""))</f>
        <v/>
      </c>
      <c r="L433" s="49">
        <f>IF(B433="","",IFERROR(INDEX('JOBS'!$H$5:$H$1504,MATCH(B433,'JOBS'!$A$5:$A$1504,0)),""))</f>
        <v/>
      </c>
      <c r="M433" s="50">
        <f>IF(A433="","",IF(H433="Resolved",IF(J433="","",J433-A433),AsOf-A433))</f>
        <v/>
      </c>
      <c r="N433" s="51">
        <f>IF(A433="","",DATE(YEAR(A433),MONTH(A433),1))</f>
        <v/>
      </c>
    </row>
    <row r="434">
      <c r="A434" s="47" t="n"/>
      <c r="B434" s="38" t="n"/>
      <c r="C434" s="38" t="n"/>
      <c r="D434" s="38" t="n"/>
      <c r="E434" s="38" t="n"/>
      <c r="F434" s="38" t="n"/>
      <c r="G434" s="47" t="n"/>
      <c r="H434" s="38" t="n"/>
      <c r="I434" s="48" t="n"/>
      <c r="J434" s="47" t="n"/>
      <c r="K434" s="49">
        <f>IF(B434="","",IFERROR(INDEX('JOBS'!$D$5:$D$1504,MATCH(B434,'JOBS'!$A$5:$A$1504,0)),""))</f>
        <v/>
      </c>
      <c r="L434" s="49">
        <f>IF(B434="","",IFERROR(INDEX('JOBS'!$H$5:$H$1504,MATCH(B434,'JOBS'!$A$5:$A$1504,0)),""))</f>
        <v/>
      </c>
      <c r="M434" s="50">
        <f>IF(A434="","",IF(H434="Resolved",IF(J434="","",J434-A434),AsOf-A434))</f>
        <v/>
      </c>
      <c r="N434" s="51">
        <f>IF(A434="","",DATE(YEAR(A434),MONTH(A434),1))</f>
        <v/>
      </c>
    </row>
    <row r="435">
      <c r="A435" s="47" t="n"/>
      <c r="B435" s="38" t="n"/>
      <c r="C435" s="38" t="n"/>
      <c r="D435" s="38" t="n"/>
      <c r="E435" s="38" t="n"/>
      <c r="F435" s="38" t="n"/>
      <c r="G435" s="47" t="n"/>
      <c r="H435" s="38" t="n"/>
      <c r="I435" s="48" t="n"/>
      <c r="J435" s="47" t="n"/>
      <c r="K435" s="49">
        <f>IF(B435="","",IFERROR(INDEX('JOBS'!$D$5:$D$1504,MATCH(B435,'JOBS'!$A$5:$A$1504,0)),""))</f>
        <v/>
      </c>
      <c r="L435" s="49">
        <f>IF(B435="","",IFERROR(INDEX('JOBS'!$H$5:$H$1504,MATCH(B435,'JOBS'!$A$5:$A$1504,0)),""))</f>
        <v/>
      </c>
      <c r="M435" s="50">
        <f>IF(A435="","",IF(H435="Resolved",IF(J435="","",J435-A435),AsOf-A435))</f>
        <v/>
      </c>
      <c r="N435" s="51">
        <f>IF(A435="","",DATE(YEAR(A435),MONTH(A435),1))</f>
        <v/>
      </c>
    </row>
    <row r="436">
      <c r="A436" s="47" t="n"/>
      <c r="B436" s="38" t="n"/>
      <c r="C436" s="38" t="n"/>
      <c r="D436" s="38" t="n"/>
      <c r="E436" s="38" t="n"/>
      <c r="F436" s="38" t="n"/>
      <c r="G436" s="47" t="n"/>
      <c r="H436" s="38" t="n"/>
      <c r="I436" s="48" t="n"/>
      <c r="J436" s="47" t="n"/>
      <c r="K436" s="49">
        <f>IF(B436="","",IFERROR(INDEX('JOBS'!$D$5:$D$1504,MATCH(B436,'JOBS'!$A$5:$A$1504,0)),""))</f>
        <v/>
      </c>
      <c r="L436" s="49">
        <f>IF(B436="","",IFERROR(INDEX('JOBS'!$H$5:$H$1504,MATCH(B436,'JOBS'!$A$5:$A$1504,0)),""))</f>
        <v/>
      </c>
      <c r="M436" s="50">
        <f>IF(A436="","",IF(H436="Resolved",IF(J436="","",J436-A436),AsOf-A436))</f>
        <v/>
      </c>
      <c r="N436" s="51">
        <f>IF(A436="","",DATE(YEAR(A436),MONTH(A436),1))</f>
        <v/>
      </c>
    </row>
    <row r="437">
      <c r="A437" s="47" t="n"/>
      <c r="B437" s="38" t="n"/>
      <c r="C437" s="38" t="n"/>
      <c r="D437" s="38" t="n"/>
      <c r="E437" s="38" t="n"/>
      <c r="F437" s="38" t="n"/>
      <c r="G437" s="47" t="n"/>
      <c r="H437" s="38" t="n"/>
      <c r="I437" s="48" t="n"/>
      <c r="J437" s="47" t="n"/>
      <c r="K437" s="49">
        <f>IF(B437="","",IFERROR(INDEX('JOBS'!$D$5:$D$1504,MATCH(B437,'JOBS'!$A$5:$A$1504,0)),""))</f>
        <v/>
      </c>
      <c r="L437" s="49">
        <f>IF(B437="","",IFERROR(INDEX('JOBS'!$H$5:$H$1504,MATCH(B437,'JOBS'!$A$5:$A$1504,0)),""))</f>
        <v/>
      </c>
      <c r="M437" s="50">
        <f>IF(A437="","",IF(H437="Resolved",IF(J437="","",J437-A437),AsOf-A437))</f>
        <v/>
      </c>
      <c r="N437" s="51">
        <f>IF(A437="","",DATE(YEAR(A437),MONTH(A437),1))</f>
        <v/>
      </c>
    </row>
    <row r="438">
      <c r="A438" s="47" t="n"/>
      <c r="B438" s="38" t="n"/>
      <c r="C438" s="38" t="n"/>
      <c r="D438" s="38" t="n"/>
      <c r="E438" s="38" t="n"/>
      <c r="F438" s="38" t="n"/>
      <c r="G438" s="47" t="n"/>
      <c r="H438" s="38" t="n"/>
      <c r="I438" s="48" t="n"/>
      <c r="J438" s="47" t="n"/>
      <c r="K438" s="49">
        <f>IF(B438="","",IFERROR(INDEX('JOBS'!$D$5:$D$1504,MATCH(B438,'JOBS'!$A$5:$A$1504,0)),""))</f>
        <v/>
      </c>
      <c r="L438" s="49">
        <f>IF(B438="","",IFERROR(INDEX('JOBS'!$H$5:$H$1504,MATCH(B438,'JOBS'!$A$5:$A$1504,0)),""))</f>
        <v/>
      </c>
      <c r="M438" s="50">
        <f>IF(A438="","",IF(H438="Resolved",IF(J438="","",J438-A438),AsOf-A438))</f>
        <v/>
      </c>
      <c r="N438" s="51">
        <f>IF(A438="","",DATE(YEAR(A438),MONTH(A438),1))</f>
        <v/>
      </c>
    </row>
    <row r="439">
      <c r="A439" s="47" t="n"/>
      <c r="B439" s="38" t="n"/>
      <c r="C439" s="38" t="n"/>
      <c r="D439" s="38" t="n"/>
      <c r="E439" s="38" t="n"/>
      <c r="F439" s="38" t="n"/>
      <c r="G439" s="47" t="n"/>
      <c r="H439" s="38" t="n"/>
      <c r="I439" s="48" t="n"/>
      <c r="J439" s="47" t="n"/>
      <c r="K439" s="49">
        <f>IF(B439="","",IFERROR(INDEX('JOBS'!$D$5:$D$1504,MATCH(B439,'JOBS'!$A$5:$A$1504,0)),""))</f>
        <v/>
      </c>
      <c r="L439" s="49">
        <f>IF(B439="","",IFERROR(INDEX('JOBS'!$H$5:$H$1504,MATCH(B439,'JOBS'!$A$5:$A$1504,0)),""))</f>
        <v/>
      </c>
      <c r="M439" s="50">
        <f>IF(A439="","",IF(H439="Resolved",IF(J439="","",J439-A439),AsOf-A439))</f>
        <v/>
      </c>
      <c r="N439" s="51">
        <f>IF(A439="","",DATE(YEAR(A439),MONTH(A439),1))</f>
        <v/>
      </c>
    </row>
    <row r="440">
      <c r="A440" s="47" t="n"/>
      <c r="B440" s="38" t="n"/>
      <c r="C440" s="38" t="n"/>
      <c r="D440" s="38" t="n"/>
      <c r="E440" s="38" t="n"/>
      <c r="F440" s="38" t="n"/>
      <c r="G440" s="47" t="n"/>
      <c r="H440" s="38" t="n"/>
      <c r="I440" s="48" t="n"/>
      <c r="J440" s="47" t="n"/>
      <c r="K440" s="49">
        <f>IF(B440="","",IFERROR(INDEX('JOBS'!$D$5:$D$1504,MATCH(B440,'JOBS'!$A$5:$A$1504,0)),""))</f>
        <v/>
      </c>
      <c r="L440" s="49">
        <f>IF(B440="","",IFERROR(INDEX('JOBS'!$H$5:$H$1504,MATCH(B440,'JOBS'!$A$5:$A$1504,0)),""))</f>
        <v/>
      </c>
      <c r="M440" s="50">
        <f>IF(A440="","",IF(H440="Resolved",IF(J440="","",J440-A440),AsOf-A440))</f>
        <v/>
      </c>
      <c r="N440" s="51">
        <f>IF(A440="","",DATE(YEAR(A440),MONTH(A440),1))</f>
        <v/>
      </c>
    </row>
    <row r="441">
      <c r="A441" s="47" t="n"/>
      <c r="B441" s="38" t="n"/>
      <c r="C441" s="38" t="n"/>
      <c r="D441" s="38" t="n"/>
      <c r="E441" s="38" t="n"/>
      <c r="F441" s="38" t="n"/>
      <c r="G441" s="47" t="n"/>
      <c r="H441" s="38" t="n"/>
      <c r="I441" s="48" t="n"/>
      <c r="J441" s="47" t="n"/>
      <c r="K441" s="49">
        <f>IF(B441="","",IFERROR(INDEX('JOBS'!$D$5:$D$1504,MATCH(B441,'JOBS'!$A$5:$A$1504,0)),""))</f>
        <v/>
      </c>
      <c r="L441" s="49">
        <f>IF(B441="","",IFERROR(INDEX('JOBS'!$H$5:$H$1504,MATCH(B441,'JOBS'!$A$5:$A$1504,0)),""))</f>
        <v/>
      </c>
      <c r="M441" s="50">
        <f>IF(A441="","",IF(H441="Resolved",IF(J441="","",J441-A441),AsOf-A441))</f>
        <v/>
      </c>
      <c r="N441" s="51">
        <f>IF(A441="","",DATE(YEAR(A441),MONTH(A441),1))</f>
        <v/>
      </c>
    </row>
    <row r="442">
      <c r="A442" s="47" t="n"/>
      <c r="B442" s="38" t="n"/>
      <c r="C442" s="38" t="n"/>
      <c r="D442" s="38" t="n"/>
      <c r="E442" s="38" t="n"/>
      <c r="F442" s="38" t="n"/>
      <c r="G442" s="47" t="n"/>
      <c r="H442" s="38" t="n"/>
      <c r="I442" s="48" t="n"/>
      <c r="J442" s="47" t="n"/>
      <c r="K442" s="49">
        <f>IF(B442="","",IFERROR(INDEX('JOBS'!$D$5:$D$1504,MATCH(B442,'JOBS'!$A$5:$A$1504,0)),""))</f>
        <v/>
      </c>
      <c r="L442" s="49">
        <f>IF(B442="","",IFERROR(INDEX('JOBS'!$H$5:$H$1504,MATCH(B442,'JOBS'!$A$5:$A$1504,0)),""))</f>
        <v/>
      </c>
      <c r="M442" s="50">
        <f>IF(A442="","",IF(H442="Resolved",IF(J442="","",J442-A442),AsOf-A442))</f>
        <v/>
      </c>
      <c r="N442" s="51">
        <f>IF(A442="","",DATE(YEAR(A442),MONTH(A442),1))</f>
        <v/>
      </c>
    </row>
    <row r="443">
      <c r="A443" s="47" t="n"/>
      <c r="B443" s="38" t="n"/>
      <c r="C443" s="38" t="n"/>
      <c r="D443" s="38" t="n"/>
      <c r="E443" s="38" t="n"/>
      <c r="F443" s="38" t="n"/>
      <c r="G443" s="47" t="n"/>
      <c r="H443" s="38" t="n"/>
      <c r="I443" s="48" t="n"/>
      <c r="J443" s="47" t="n"/>
      <c r="K443" s="49">
        <f>IF(B443="","",IFERROR(INDEX('JOBS'!$D$5:$D$1504,MATCH(B443,'JOBS'!$A$5:$A$1504,0)),""))</f>
        <v/>
      </c>
      <c r="L443" s="49">
        <f>IF(B443="","",IFERROR(INDEX('JOBS'!$H$5:$H$1504,MATCH(B443,'JOBS'!$A$5:$A$1504,0)),""))</f>
        <v/>
      </c>
      <c r="M443" s="50">
        <f>IF(A443="","",IF(H443="Resolved",IF(J443="","",J443-A443),AsOf-A443))</f>
        <v/>
      </c>
      <c r="N443" s="51">
        <f>IF(A443="","",DATE(YEAR(A443),MONTH(A443),1))</f>
        <v/>
      </c>
    </row>
    <row r="444">
      <c r="A444" s="47" t="n"/>
      <c r="B444" s="38" t="n"/>
      <c r="C444" s="38" t="n"/>
      <c r="D444" s="38" t="n"/>
      <c r="E444" s="38" t="n"/>
      <c r="F444" s="38" t="n"/>
      <c r="G444" s="47" t="n"/>
      <c r="H444" s="38" t="n"/>
      <c r="I444" s="48" t="n"/>
      <c r="J444" s="47" t="n"/>
      <c r="K444" s="49">
        <f>IF(B444="","",IFERROR(INDEX('JOBS'!$D$5:$D$1504,MATCH(B444,'JOBS'!$A$5:$A$1504,0)),""))</f>
        <v/>
      </c>
      <c r="L444" s="49">
        <f>IF(B444="","",IFERROR(INDEX('JOBS'!$H$5:$H$1504,MATCH(B444,'JOBS'!$A$5:$A$1504,0)),""))</f>
        <v/>
      </c>
      <c r="M444" s="50">
        <f>IF(A444="","",IF(H444="Resolved",IF(J444="","",J444-A444),AsOf-A444))</f>
        <v/>
      </c>
      <c r="N444" s="51">
        <f>IF(A444="","",DATE(YEAR(A444),MONTH(A444),1))</f>
        <v/>
      </c>
    </row>
    <row r="445">
      <c r="A445" s="47" t="n"/>
      <c r="B445" s="38" t="n"/>
      <c r="C445" s="38" t="n"/>
      <c r="D445" s="38" t="n"/>
      <c r="E445" s="38" t="n"/>
      <c r="F445" s="38" t="n"/>
      <c r="G445" s="47" t="n"/>
      <c r="H445" s="38" t="n"/>
      <c r="I445" s="48" t="n"/>
      <c r="J445" s="47" t="n"/>
      <c r="K445" s="49">
        <f>IF(B445="","",IFERROR(INDEX('JOBS'!$D$5:$D$1504,MATCH(B445,'JOBS'!$A$5:$A$1504,0)),""))</f>
        <v/>
      </c>
      <c r="L445" s="49">
        <f>IF(B445="","",IFERROR(INDEX('JOBS'!$H$5:$H$1504,MATCH(B445,'JOBS'!$A$5:$A$1504,0)),""))</f>
        <v/>
      </c>
      <c r="M445" s="50">
        <f>IF(A445="","",IF(H445="Resolved",IF(J445="","",J445-A445),AsOf-A445))</f>
        <v/>
      </c>
      <c r="N445" s="51">
        <f>IF(A445="","",DATE(YEAR(A445),MONTH(A445),1))</f>
        <v/>
      </c>
    </row>
    <row r="446">
      <c r="A446" s="47" t="n"/>
      <c r="B446" s="38" t="n"/>
      <c r="C446" s="38" t="n"/>
      <c r="D446" s="38" t="n"/>
      <c r="E446" s="38" t="n"/>
      <c r="F446" s="38" t="n"/>
      <c r="G446" s="47" t="n"/>
      <c r="H446" s="38" t="n"/>
      <c r="I446" s="48" t="n"/>
      <c r="J446" s="47" t="n"/>
      <c r="K446" s="49">
        <f>IF(B446="","",IFERROR(INDEX('JOBS'!$D$5:$D$1504,MATCH(B446,'JOBS'!$A$5:$A$1504,0)),""))</f>
        <v/>
      </c>
      <c r="L446" s="49">
        <f>IF(B446="","",IFERROR(INDEX('JOBS'!$H$5:$H$1504,MATCH(B446,'JOBS'!$A$5:$A$1504,0)),""))</f>
        <v/>
      </c>
      <c r="M446" s="50">
        <f>IF(A446="","",IF(H446="Resolved",IF(J446="","",J446-A446),AsOf-A446))</f>
        <v/>
      </c>
      <c r="N446" s="51">
        <f>IF(A446="","",DATE(YEAR(A446),MONTH(A446),1))</f>
        <v/>
      </c>
    </row>
    <row r="447">
      <c r="A447" s="47" t="n"/>
      <c r="B447" s="38" t="n"/>
      <c r="C447" s="38" t="n"/>
      <c r="D447" s="38" t="n"/>
      <c r="E447" s="38" t="n"/>
      <c r="F447" s="38" t="n"/>
      <c r="G447" s="47" t="n"/>
      <c r="H447" s="38" t="n"/>
      <c r="I447" s="48" t="n"/>
      <c r="J447" s="47" t="n"/>
      <c r="K447" s="49">
        <f>IF(B447="","",IFERROR(INDEX('JOBS'!$D$5:$D$1504,MATCH(B447,'JOBS'!$A$5:$A$1504,0)),""))</f>
        <v/>
      </c>
      <c r="L447" s="49">
        <f>IF(B447="","",IFERROR(INDEX('JOBS'!$H$5:$H$1504,MATCH(B447,'JOBS'!$A$5:$A$1504,0)),""))</f>
        <v/>
      </c>
      <c r="M447" s="50">
        <f>IF(A447="","",IF(H447="Resolved",IF(J447="","",J447-A447),AsOf-A447))</f>
        <v/>
      </c>
      <c r="N447" s="51">
        <f>IF(A447="","",DATE(YEAR(A447),MONTH(A447),1))</f>
        <v/>
      </c>
    </row>
    <row r="448">
      <c r="A448" s="47" t="n"/>
      <c r="B448" s="38" t="n"/>
      <c r="C448" s="38" t="n"/>
      <c r="D448" s="38" t="n"/>
      <c r="E448" s="38" t="n"/>
      <c r="F448" s="38" t="n"/>
      <c r="G448" s="47" t="n"/>
      <c r="H448" s="38" t="n"/>
      <c r="I448" s="48" t="n"/>
      <c r="J448" s="47" t="n"/>
      <c r="K448" s="49">
        <f>IF(B448="","",IFERROR(INDEX('JOBS'!$D$5:$D$1504,MATCH(B448,'JOBS'!$A$5:$A$1504,0)),""))</f>
        <v/>
      </c>
      <c r="L448" s="49">
        <f>IF(B448="","",IFERROR(INDEX('JOBS'!$H$5:$H$1504,MATCH(B448,'JOBS'!$A$5:$A$1504,0)),""))</f>
        <v/>
      </c>
      <c r="M448" s="50">
        <f>IF(A448="","",IF(H448="Resolved",IF(J448="","",J448-A448),AsOf-A448))</f>
        <v/>
      </c>
      <c r="N448" s="51">
        <f>IF(A448="","",DATE(YEAR(A448),MONTH(A448),1))</f>
        <v/>
      </c>
    </row>
    <row r="449">
      <c r="A449" s="47" t="n"/>
      <c r="B449" s="38" t="n"/>
      <c r="C449" s="38" t="n"/>
      <c r="D449" s="38" t="n"/>
      <c r="E449" s="38" t="n"/>
      <c r="F449" s="38" t="n"/>
      <c r="G449" s="47" t="n"/>
      <c r="H449" s="38" t="n"/>
      <c r="I449" s="48" t="n"/>
      <c r="J449" s="47" t="n"/>
      <c r="K449" s="49">
        <f>IF(B449="","",IFERROR(INDEX('JOBS'!$D$5:$D$1504,MATCH(B449,'JOBS'!$A$5:$A$1504,0)),""))</f>
        <v/>
      </c>
      <c r="L449" s="49">
        <f>IF(B449="","",IFERROR(INDEX('JOBS'!$H$5:$H$1504,MATCH(B449,'JOBS'!$A$5:$A$1504,0)),""))</f>
        <v/>
      </c>
      <c r="M449" s="50">
        <f>IF(A449="","",IF(H449="Resolved",IF(J449="","",J449-A449),AsOf-A449))</f>
        <v/>
      </c>
      <c r="N449" s="51">
        <f>IF(A449="","",DATE(YEAR(A449),MONTH(A449),1))</f>
        <v/>
      </c>
    </row>
    <row r="450">
      <c r="A450" s="47" t="n"/>
      <c r="B450" s="38" t="n"/>
      <c r="C450" s="38" t="n"/>
      <c r="D450" s="38" t="n"/>
      <c r="E450" s="38" t="n"/>
      <c r="F450" s="38" t="n"/>
      <c r="G450" s="47" t="n"/>
      <c r="H450" s="38" t="n"/>
      <c r="I450" s="48" t="n"/>
      <c r="J450" s="47" t="n"/>
      <c r="K450" s="49">
        <f>IF(B450="","",IFERROR(INDEX('JOBS'!$D$5:$D$1504,MATCH(B450,'JOBS'!$A$5:$A$1504,0)),""))</f>
        <v/>
      </c>
      <c r="L450" s="49">
        <f>IF(B450="","",IFERROR(INDEX('JOBS'!$H$5:$H$1504,MATCH(B450,'JOBS'!$A$5:$A$1504,0)),""))</f>
        <v/>
      </c>
      <c r="M450" s="50">
        <f>IF(A450="","",IF(H450="Resolved",IF(J450="","",J450-A450),AsOf-A450))</f>
        <v/>
      </c>
      <c r="N450" s="51">
        <f>IF(A450="","",DATE(YEAR(A450),MONTH(A450),1))</f>
        <v/>
      </c>
    </row>
    <row r="451">
      <c r="A451" s="47" t="n"/>
      <c r="B451" s="38" t="n"/>
      <c r="C451" s="38" t="n"/>
      <c r="D451" s="38" t="n"/>
      <c r="E451" s="38" t="n"/>
      <c r="F451" s="38" t="n"/>
      <c r="G451" s="47" t="n"/>
      <c r="H451" s="38" t="n"/>
      <c r="I451" s="48" t="n"/>
      <c r="J451" s="47" t="n"/>
      <c r="K451" s="49">
        <f>IF(B451="","",IFERROR(INDEX('JOBS'!$D$5:$D$1504,MATCH(B451,'JOBS'!$A$5:$A$1504,0)),""))</f>
        <v/>
      </c>
      <c r="L451" s="49">
        <f>IF(B451="","",IFERROR(INDEX('JOBS'!$H$5:$H$1504,MATCH(B451,'JOBS'!$A$5:$A$1504,0)),""))</f>
        <v/>
      </c>
      <c r="M451" s="50">
        <f>IF(A451="","",IF(H451="Resolved",IF(J451="","",J451-A451),AsOf-A451))</f>
        <v/>
      </c>
      <c r="N451" s="51">
        <f>IF(A451="","",DATE(YEAR(A451),MONTH(A451),1))</f>
        <v/>
      </c>
    </row>
    <row r="452">
      <c r="A452" s="47" t="n"/>
      <c r="B452" s="38" t="n"/>
      <c r="C452" s="38" t="n"/>
      <c r="D452" s="38" t="n"/>
      <c r="E452" s="38" t="n"/>
      <c r="F452" s="38" t="n"/>
      <c r="G452" s="47" t="n"/>
      <c r="H452" s="38" t="n"/>
      <c r="I452" s="48" t="n"/>
      <c r="J452" s="47" t="n"/>
      <c r="K452" s="49">
        <f>IF(B452="","",IFERROR(INDEX('JOBS'!$D$5:$D$1504,MATCH(B452,'JOBS'!$A$5:$A$1504,0)),""))</f>
        <v/>
      </c>
      <c r="L452" s="49">
        <f>IF(B452="","",IFERROR(INDEX('JOBS'!$H$5:$H$1504,MATCH(B452,'JOBS'!$A$5:$A$1504,0)),""))</f>
        <v/>
      </c>
      <c r="M452" s="50">
        <f>IF(A452="","",IF(H452="Resolved",IF(J452="","",J452-A452),AsOf-A452))</f>
        <v/>
      </c>
      <c r="N452" s="51">
        <f>IF(A452="","",DATE(YEAR(A452),MONTH(A452),1))</f>
        <v/>
      </c>
    </row>
    <row r="453">
      <c r="A453" s="47" t="n"/>
      <c r="B453" s="38" t="n"/>
      <c r="C453" s="38" t="n"/>
      <c r="D453" s="38" t="n"/>
      <c r="E453" s="38" t="n"/>
      <c r="F453" s="38" t="n"/>
      <c r="G453" s="47" t="n"/>
      <c r="H453" s="38" t="n"/>
      <c r="I453" s="48" t="n"/>
      <c r="J453" s="47" t="n"/>
      <c r="K453" s="49">
        <f>IF(B453="","",IFERROR(INDEX('JOBS'!$D$5:$D$1504,MATCH(B453,'JOBS'!$A$5:$A$1504,0)),""))</f>
        <v/>
      </c>
      <c r="L453" s="49">
        <f>IF(B453="","",IFERROR(INDEX('JOBS'!$H$5:$H$1504,MATCH(B453,'JOBS'!$A$5:$A$1504,0)),""))</f>
        <v/>
      </c>
      <c r="M453" s="50">
        <f>IF(A453="","",IF(H453="Resolved",IF(J453="","",J453-A453),AsOf-A453))</f>
        <v/>
      </c>
      <c r="N453" s="51">
        <f>IF(A453="","",DATE(YEAR(A453),MONTH(A453),1))</f>
        <v/>
      </c>
    </row>
    <row r="454">
      <c r="A454" s="47" t="n"/>
      <c r="B454" s="38" t="n"/>
      <c r="C454" s="38" t="n"/>
      <c r="D454" s="38" t="n"/>
      <c r="E454" s="38" t="n"/>
      <c r="F454" s="38" t="n"/>
      <c r="G454" s="47" t="n"/>
      <c r="H454" s="38" t="n"/>
      <c r="I454" s="48" t="n"/>
      <c r="J454" s="47" t="n"/>
      <c r="K454" s="49">
        <f>IF(B454="","",IFERROR(INDEX('JOBS'!$D$5:$D$1504,MATCH(B454,'JOBS'!$A$5:$A$1504,0)),""))</f>
        <v/>
      </c>
      <c r="L454" s="49">
        <f>IF(B454="","",IFERROR(INDEX('JOBS'!$H$5:$H$1504,MATCH(B454,'JOBS'!$A$5:$A$1504,0)),""))</f>
        <v/>
      </c>
      <c r="M454" s="50">
        <f>IF(A454="","",IF(H454="Resolved",IF(J454="","",J454-A454),AsOf-A454))</f>
        <v/>
      </c>
      <c r="N454" s="51">
        <f>IF(A454="","",DATE(YEAR(A454),MONTH(A454),1))</f>
        <v/>
      </c>
    </row>
    <row r="455">
      <c r="A455" s="47" t="n"/>
      <c r="B455" s="38" t="n"/>
      <c r="C455" s="38" t="n"/>
      <c r="D455" s="38" t="n"/>
      <c r="E455" s="38" t="n"/>
      <c r="F455" s="38" t="n"/>
      <c r="G455" s="47" t="n"/>
      <c r="H455" s="38" t="n"/>
      <c r="I455" s="48" t="n"/>
      <c r="J455" s="47" t="n"/>
      <c r="K455" s="49">
        <f>IF(B455="","",IFERROR(INDEX('JOBS'!$D$5:$D$1504,MATCH(B455,'JOBS'!$A$5:$A$1504,0)),""))</f>
        <v/>
      </c>
      <c r="L455" s="49">
        <f>IF(B455="","",IFERROR(INDEX('JOBS'!$H$5:$H$1504,MATCH(B455,'JOBS'!$A$5:$A$1504,0)),""))</f>
        <v/>
      </c>
      <c r="M455" s="50">
        <f>IF(A455="","",IF(H455="Resolved",IF(J455="","",J455-A455),AsOf-A455))</f>
        <v/>
      </c>
      <c r="N455" s="51">
        <f>IF(A455="","",DATE(YEAR(A455),MONTH(A455),1))</f>
        <v/>
      </c>
    </row>
    <row r="456">
      <c r="A456" s="47" t="n"/>
      <c r="B456" s="38" t="n"/>
      <c r="C456" s="38" t="n"/>
      <c r="D456" s="38" t="n"/>
      <c r="E456" s="38" t="n"/>
      <c r="F456" s="38" t="n"/>
      <c r="G456" s="47" t="n"/>
      <c r="H456" s="38" t="n"/>
      <c r="I456" s="48" t="n"/>
      <c r="J456" s="47" t="n"/>
      <c r="K456" s="49">
        <f>IF(B456="","",IFERROR(INDEX('JOBS'!$D$5:$D$1504,MATCH(B456,'JOBS'!$A$5:$A$1504,0)),""))</f>
        <v/>
      </c>
      <c r="L456" s="49">
        <f>IF(B456="","",IFERROR(INDEX('JOBS'!$H$5:$H$1504,MATCH(B456,'JOBS'!$A$5:$A$1504,0)),""))</f>
        <v/>
      </c>
      <c r="M456" s="50">
        <f>IF(A456="","",IF(H456="Resolved",IF(J456="","",J456-A456),AsOf-A456))</f>
        <v/>
      </c>
      <c r="N456" s="51">
        <f>IF(A456="","",DATE(YEAR(A456),MONTH(A456),1))</f>
        <v/>
      </c>
    </row>
    <row r="457">
      <c r="A457" s="47" t="n"/>
      <c r="B457" s="38" t="n"/>
      <c r="C457" s="38" t="n"/>
      <c r="D457" s="38" t="n"/>
      <c r="E457" s="38" t="n"/>
      <c r="F457" s="38" t="n"/>
      <c r="G457" s="47" t="n"/>
      <c r="H457" s="38" t="n"/>
      <c r="I457" s="48" t="n"/>
      <c r="J457" s="47" t="n"/>
      <c r="K457" s="49">
        <f>IF(B457="","",IFERROR(INDEX('JOBS'!$D$5:$D$1504,MATCH(B457,'JOBS'!$A$5:$A$1504,0)),""))</f>
        <v/>
      </c>
      <c r="L457" s="49">
        <f>IF(B457="","",IFERROR(INDEX('JOBS'!$H$5:$H$1504,MATCH(B457,'JOBS'!$A$5:$A$1504,0)),""))</f>
        <v/>
      </c>
      <c r="M457" s="50">
        <f>IF(A457="","",IF(H457="Resolved",IF(J457="","",J457-A457),AsOf-A457))</f>
        <v/>
      </c>
      <c r="N457" s="51">
        <f>IF(A457="","",DATE(YEAR(A457),MONTH(A457),1))</f>
        <v/>
      </c>
    </row>
    <row r="458">
      <c r="A458" s="47" t="n"/>
      <c r="B458" s="38" t="n"/>
      <c r="C458" s="38" t="n"/>
      <c r="D458" s="38" t="n"/>
      <c r="E458" s="38" t="n"/>
      <c r="F458" s="38" t="n"/>
      <c r="G458" s="47" t="n"/>
      <c r="H458" s="38" t="n"/>
      <c r="I458" s="48" t="n"/>
      <c r="J458" s="47" t="n"/>
      <c r="K458" s="49">
        <f>IF(B458="","",IFERROR(INDEX('JOBS'!$D$5:$D$1504,MATCH(B458,'JOBS'!$A$5:$A$1504,0)),""))</f>
        <v/>
      </c>
      <c r="L458" s="49">
        <f>IF(B458="","",IFERROR(INDEX('JOBS'!$H$5:$H$1504,MATCH(B458,'JOBS'!$A$5:$A$1504,0)),""))</f>
        <v/>
      </c>
      <c r="M458" s="50">
        <f>IF(A458="","",IF(H458="Resolved",IF(J458="","",J458-A458),AsOf-A458))</f>
        <v/>
      </c>
      <c r="N458" s="51">
        <f>IF(A458="","",DATE(YEAR(A458),MONTH(A458),1))</f>
        <v/>
      </c>
    </row>
    <row r="459">
      <c r="A459" s="47" t="n"/>
      <c r="B459" s="38" t="n"/>
      <c r="C459" s="38" t="n"/>
      <c r="D459" s="38" t="n"/>
      <c r="E459" s="38" t="n"/>
      <c r="F459" s="38" t="n"/>
      <c r="G459" s="47" t="n"/>
      <c r="H459" s="38" t="n"/>
      <c r="I459" s="48" t="n"/>
      <c r="J459" s="47" t="n"/>
      <c r="K459" s="49">
        <f>IF(B459="","",IFERROR(INDEX('JOBS'!$D$5:$D$1504,MATCH(B459,'JOBS'!$A$5:$A$1504,0)),""))</f>
        <v/>
      </c>
      <c r="L459" s="49">
        <f>IF(B459="","",IFERROR(INDEX('JOBS'!$H$5:$H$1504,MATCH(B459,'JOBS'!$A$5:$A$1504,0)),""))</f>
        <v/>
      </c>
      <c r="M459" s="50">
        <f>IF(A459="","",IF(H459="Resolved",IF(J459="","",J459-A459),AsOf-A459))</f>
        <v/>
      </c>
      <c r="N459" s="51">
        <f>IF(A459="","",DATE(YEAR(A459),MONTH(A459),1))</f>
        <v/>
      </c>
    </row>
    <row r="460">
      <c r="A460" s="47" t="n"/>
      <c r="B460" s="38" t="n"/>
      <c r="C460" s="38" t="n"/>
      <c r="D460" s="38" t="n"/>
      <c r="E460" s="38" t="n"/>
      <c r="F460" s="38" t="n"/>
      <c r="G460" s="47" t="n"/>
      <c r="H460" s="38" t="n"/>
      <c r="I460" s="48" t="n"/>
      <c r="J460" s="47" t="n"/>
      <c r="K460" s="49">
        <f>IF(B460="","",IFERROR(INDEX('JOBS'!$D$5:$D$1504,MATCH(B460,'JOBS'!$A$5:$A$1504,0)),""))</f>
        <v/>
      </c>
      <c r="L460" s="49">
        <f>IF(B460="","",IFERROR(INDEX('JOBS'!$H$5:$H$1504,MATCH(B460,'JOBS'!$A$5:$A$1504,0)),""))</f>
        <v/>
      </c>
      <c r="M460" s="50">
        <f>IF(A460="","",IF(H460="Resolved",IF(J460="","",J460-A460),AsOf-A460))</f>
        <v/>
      </c>
      <c r="N460" s="51">
        <f>IF(A460="","",DATE(YEAR(A460),MONTH(A460),1))</f>
        <v/>
      </c>
    </row>
    <row r="461">
      <c r="A461" s="47" t="n"/>
      <c r="B461" s="38" t="n"/>
      <c r="C461" s="38" t="n"/>
      <c r="D461" s="38" t="n"/>
      <c r="E461" s="38" t="n"/>
      <c r="F461" s="38" t="n"/>
      <c r="G461" s="47" t="n"/>
      <c r="H461" s="38" t="n"/>
      <c r="I461" s="48" t="n"/>
      <c r="J461" s="47" t="n"/>
      <c r="K461" s="49">
        <f>IF(B461="","",IFERROR(INDEX('JOBS'!$D$5:$D$1504,MATCH(B461,'JOBS'!$A$5:$A$1504,0)),""))</f>
        <v/>
      </c>
      <c r="L461" s="49">
        <f>IF(B461="","",IFERROR(INDEX('JOBS'!$H$5:$H$1504,MATCH(B461,'JOBS'!$A$5:$A$1504,0)),""))</f>
        <v/>
      </c>
      <c r="M461" s="50">
        <f>IF(A461="","",IF(H461="Resolved",IF(J461="","",J461-A461),AsOf-A461))</f>
        <v/>
      </c>
      <c r="N461" s="51">
        <f>IF(A461="","",DATE(YEAR(A461),MONTH(A461),1))</f>
        <v/>
      </c>
    </row>
  </sheetData>
  <autoFilter ref="A4:P304"/>
  <mergeCells count="2">
    <mergeCell ref="A1:P1"/>
    <mergeCell ref="A2:P2"/>
  </mergeCells>
  <conditionalFormatting sqref="N5:N304">
    <cfRule type="expression" priority="1" dxfId="0">
      <formula>N5="Fail"</formula>
    </cfRule>
    <cfRule type="expression" priority="2" dxfId="3">
      <formula>N5="Pass"</formula>
    </cfRule>
  </conditionalFormatting>
  <conditionalFormatting sqref="O5:O304">
    <cfRule type="expression" priority="3" dxfId="0">
      <formula>O5="Rework open"</formula>
    </cfRule>
  </conditionalFormatting>
  <conditionalFormatting sqref="H312:H461">
    <cfRule type="expression" priority="4" dxfId="0">
      <formula>H312="Open"</formula>
    </cfRule>
    <cfRule type="expression" priority="5" dxfId="3">
      <formula>H312="Resolved"</formula>
    </cfRule>
  </conditionalFormatting>
  <dataValidations count="8">
    <dataValidation sqref="B5:B304" showDropDown="0" showInputMessage="0" showErrorMessage="0" allowBlank="1" type="list">
      <formula1>='JOBS'!$A$5:$A$1504</formula1>
    </dataValidation>
    <dataValidation sqref="C5:C304" showDropDown="0" showInputMessage="0" showErrorMessage="0" allowBlank="1" type="list">
      <formula1>='SETTINGS'!$AE$5:$AE$24</formula1>
    </dataValidation>
    <dataValidation sqref="H5:H304" showDropDown="0" showInputMessage="0" showErrorMessage="0" allowBlank="1" type="list">
      <formula1>='SETTINGS'!$AI$5:$AI$6</formula1>
    </dataValidation>
    <dataValidation sqref="J5:J304" showDropDown="0" showInputMessage="0" showErrorMessage="0" allowBlank="1" type="list">
      <formula1>='SETTINGS'!$AI$5:$AI$6</formula1>
    </dataValidation>
    <dataValidation sqref="B312:B461" showDropDown="0" showInputMessage="0" showErrorMessage="0" allowBlank="1" type="list">
      <formula1>='JOBS'!$A$5:$A$1504</formula1>
    </dataValidation>
    <dataValidation sqref="C312:C461" showDropDown="0" showInputMessage="0" showErrorMessage="0" allowBlank="1" type="list">
      <formula1>='SETTINGS'!$AF$5:$AF$24</formula1>
    </dataValidation>
    <dataValidation sqref="D312:D461" showDropDown="0" showInputMessage="0" showErrorMessage="0" allowBlank="1" type="list">
      <formula1>='SETTINGS'!$AG$5:$AG$24</formula1>
    </dataValidation>
    <dataValidation sqref="H312:H461" showDropDown="0" showInputMessage="0" showErrorMessage="0" allowBlank="1" type="list">
      <formula1>='SETTINGS'!$AH$5:$AH$7</formula1>
    </dataValidation>
  </dataValidations>
  <hyperlinks>
    <hyperlink ref="A3" location="'START HERE'!A1" display="← Start Here"/>
    <hyperlink ref="B3" location="'DASHBOARD'!A1" display="Dashboard →"/>
    <hyperlink ref="D3" location="'QUALITY CONTROL'!A311" display="Jump to Issue Log ↓"/>
  </hyperlinks>
  <printOptions horizontalCentered="1"/>
  <pageMargins left="0.4" right="0.4" top="1" bottom="1" header="0.5" footer="0.5"/>
  <pageSetup orientation="landscape" fitToHeight="0" fitToWidth="1"/>
</worksheet>
</file>

<file path=xl/worksheets/sheet21.xml><?xml version="1.0" encoding="utf-8"?>
<worksheet xmlns="http://schemas.openxmlformats.org/spreadsheetml/2006/main">
  <sheetPr>
    <tabColor rgb="002BB3A3"/>
    <outlinePr summaryBelow="1" summaryRight="1"/>
    <pageSetUpPr fitToPage="1"/>
  </sheetPr>
  <dimension ref="A1:F133"/>
  <sheetViews>
    <sheetView showGridLines="0" workbookViewId="0">
      <pane ySplit="4" topLeftCell="A5" activePane="bottomLeft" state="frozen"/>
      <selection pane="bottomLeft" activeCell="A1" sqref="A1"/>
    </sheetView>
  </sheetViews>
  <sheetFormatPr baseColWidth="8" defaultRowHeight="15"/>
  <cols>
    <col width="24" customWidth="1" min="1" max="1"/>
    <col width="52" customWidth="1" min="2" max="2"/>
    <col width="10" customWidth="1" min="3" max="3"/>
    <col width="3" customWidth="1" min="4" max="4"/>
    <col width="30" customWidth="1" min="5" max="5"/>
  </cols>
  <sheetData>
    <row r="1" ht="34" customHeight="1">
      <c r="A1" s="42" t="inlineStr">
        <is>
          <t>QUALITY-CONTROL CHECKLISTS</t>
        </is>
      </c>
      <c r="B1" s="1" t="n"/>
      <c r="C1" s="1" t="n"/>
      <c r="D1" s="1" t="n"/>
      <c r="E1" s="1" t="n"/>
      <c r="F1" s="1" t="n"/>
    </row>
    <row r="2" ht="30" customHeight="1">
      <c r="A2" s="43" t="inlineStr">
        <is>
          <t>Printable checklists for each service. Mark each item Yes / No / N/A. Enter the Yes count and total checked into the QUALITY CONTROL log. Edit tasks to match your service standards.</t>
        </is>
      </c>
    </row>
    <row r="3" ht="18" customHeight="1">
      <c r="A3" s="24" t="inlineStr">
        <is>
          <t>← Start Here</t>
        </is>
      </c>
      <c r="B3" s="24" t="inlineStr">
        <is>
          <t>Dashboard →</t>
        </is>
      </c>
    </row>
    <row r="5">
      <c r="A5" s="130" t="inlineStr">
        <is>
          <t>RESIDENTIAL STANDARD CHECKLIST</t>
        </is>
      </c>
      <c r="E5" s="131" t="inlineStr">
        <is>
          <t>JUMP TO</t>
        </is>
      </c>
    </row>
    <row r="6">
      <c r="A6" s="89" t="inlineStr">
        <is>
          <t>Job ID / Date / Cleaner:</t>
        </is>
      </c>
      <c r="B6" s="76" t="n"/>
      <c r="E6" s="24" t="inlineStr">
        <is>
          <t>Residential Standard</t>
        </is>
      </c>
    </row>
    <row r="7">
      <c r="A7" s="89" t="inlineStr">
        <is>
          <t>Kitchen</t>
        </is>
      </c>
      <c r="B7" s="59" t="inlineStr">
        <is>
          <t>Countertops and backsplash wiped</t>
        </is>
      </c>
      <c r="C7" s="132" t="n"/>
      <c r="E7" s="24" t="inlineStr">
        <is>
          <t>Deep Clean</t>
        </is>
      </c>
    </row>
    <row r="8">
      <c r="A8" s="89" t="inlineStr">
        <is>
          <t>Kitchen</t>
        </is>
      </c>
      <c r="B8" s="59" t="inlineStr">
        <is>
          <t>Sink and faucet cleaned and shined</t>
        </is>
      </c>
      <c r="C8" s="132" t="n"/>
      <c r="E8" s="24" t="inlineStr">
        <is>
          <t>Move-In/Move-Out</t>
        </is>
      </c>
    </row>
    <row r="9">
      <c r="A9" s="89" t="inlineStr">
        <is>
          <t>Kitchen</t>
        </is>
      </c>
      <c r="B9" s="59" t="inlineStr">
        <is>
          <t>Outside of appliances wiped</t>
        </is>
      </c>
      <c r="C9" s="132" t="n"/>
      <c r="E9" s="24" t="inlineStr">
        <is>
          <t>Airbnb Turnover</t>
        </is>
      </c>
    </row>
    <row r="10">
      <c r="A10" s="89" t="inlineStr">
        <is>
          <t>Kitchen</t>
        </is>
      </c>
      <c r="B10" s="59" t="inlineStr">
        <is>
          <t>Stovetop cleaned</t>
        </is>
      </c>
      <c r="C10" s="132" t="n"/>
      <c r="E10" s="24" t="inlineStr">
        <is>
          <t>Commercial</t>
        </is>
      </c>
    </row>
    <row r="11">
      <c r="A11" s="89" t="inlineStr">
        <is>
          <t>Kitchen</t>
        </is>
      </c>
      <c r="B11" s="59" t="inlineStr">
        <is>
          <t>Microwave inside and out</t>
        </is>
      </c>
      <c r="C11" s="132" t="n"/>
      <c r="E11" s="24" t="inlineStr">
        <is>
          <t>Final Inspection</t>
        </is>
      </c>
    </row>
    <row r="12">
      <c r="A12" s="89" t="inlineStr">
        <is>
          <t>Kitchen</t>
        </is>
      </c>
      <c r="B12" s="59" t="inlineStr">
        <is>
          <t>Cabinet fronts spot-cleaned</t>
        </is>
      </c>
      <c r="C12" s="132" t="n"/>
    </row>
    <row r="13">
      <c r="A13" s="89" t="inlineStr">
        <is>
          <t>Kitchen</t>
        </is>
      </c>
      <c r="B13" s="59" t="inlineStr">
        <is>
          <t>Floor vacuumed and mopped</t>
        </is>
      </c>
      <c r="C13" s="132" t="n"/>
    </row>
    <row r="14">
      <c r="A14" s="89" t="inlineStr">
        <is>
          <t>Kitchen</t>
        </is>
      </c>
      <c r="B14" s="59" t="inlineStr">
        <is>
          <t>Trash emptied and liner replaced</t>
        </is>
      </c>
      <c r="C14" s="132" t="n"/>
    </row>
    <row r="15">
      <c r="A15" s="89" t="inlineStr">
        <is>
          <t>Bathrooms</t>
        </is>
      </c>
      <c r="B15" s="59" t="inlineStr">
        <is>
          <t>Toilet cleaned inside, outside and base</t>
        </is>
      </c>
      <c r="C15" s="132" t="n"/>
    </row>
    <row r="16">
      <c r="A16" s="89" t="inlineStr">
        <is>
          <t>Bathrooms</t>
        </is>
      </c>
      <c r="B16" s="59" t="inlineStr">
        <is>
          <t>Shower/tub scrubbed</t>
        </is>
      </c>
      <c r="C16" s="132" t="n"/>
    </row>
    <row r="17">
      <c r="A17" s="89" t="inlineStr">
        <is>
          <t>Bathrooms</t>
        </is>
      </c>
      <c r="B17" s="59" t="inlineStr">
        <is>
          <t>Sink, counter and faucet cleaned</t>
        </is>
      </c>
      <c r="C17" s="132" t="n"/>
    </row>
    <row r="18">
      <c r="A18" s="89" t="inlineStr">
        <is>
          <t>Bathrooms</t>
        </is>
      </c>
      <c r="B18" s="59" t="inlineStr">
        <is>
          <t>Mirrors streak-free</t>
        </is>
      </c>
      <c r="C18" s="132" t="n"/>
    </row>
    <row r="19">
      <c r="A19" s="89" t="inlineStr">
        <is>
          <t>Bathrooms</t>
        </is>
      </c>
      <c r="B19" s="59" t="inlineStr">
        <is>
          <t>Floor cleaned</t>
        </is>
      </c>
      <c r="C19" s="132" t="n"/>
    </row>
    <row r="20">
      <c r="A20" s="89" t="inlineStr">
        <is>
          <t>Bathrooms</t>
        </is>
      </c>
      <c r="B20" s="59" t="inlineStr">
        <is>
          <t>Towels straightened / replaced if requested</t>
        </is>
      </c>
      <c r="C20" s="132" t="n"/>
    </row>
    <row r="21">
      <c r="A21" s="89" t="inlineStr">
        <is>
          <t>Living areas &amp; bedrooms</t>
        </is>
      </c>
      <c r="B21" s="59" t="inlineStr">
        <is>
          <t>Surfaces dusted (reachable)</t>
        </is>
      </c>
      <c r="C21" s="132" t="n"/>
    </row>
    <row r="22">
      <c r="A22" s="89" t="inlineStr">
        <is>
          <t>Living areas &amp; bedrooms</t>
        </is>
      </c>
      <c r="B22" s="59" t="inlineStr">
        <is>
          <t>Light switches and door handles wiped</t>
        </is>
      </c>
      <c r="C22" s="132" t="n"/>
    </row>
    <row r="23">
      <c r="A23" s="89" t="inlineStr">
        <is>
          <t>Living areas &amp; bedrooms</t>
        </is>
      </c>
      <c r="B23" s="59" t="inlineStr">
        <is>
          <t>Floors vacuumed / mopped</t>
        </is>
      </c>
      <c r="C23" s="132" t="n"/>
    </row>
    <row r="24">
      <c r="A24" s="89" t="inlineStr">
        <is>
          <t>Living areas &amp; bedrooms</t>
        </is>
      </c>
      <c r="B24" s="59" t="inlineStr">
        <is>
          <t>Beds made (linens changed if requested)</t>
        </is>
      </c>
      <c r="C24" s="132" t="n"/>
    </row>
    <row r="25">
      <c r="A25" s="89" t="inlineStr">
        <is>
          <t>Living areas &amp; bedrooms</t>
        </is>
      </c>
      <c r="B25" s="59" t="inlineStr">
        <is>
          <t>Mirrors and glass spot-cleaned</t>
        </is>
      </c>
      <c r="C25" s="132" t="n"/>
    </row>
    <row r="26">
      <c r="A26" s="89" t="inlineStr">
        <is>
          <t>Wrap-up</t>
        </is>
      </c>
      <c r="B26" s="59" t="inlineStr">
        <is>
          <t>Customer special requests completed</t>
        </is>
      </c>
      <c r="C26" s="132" t="n"/>
    </row>
    <row r="27">
      <c r="A27" s="89" t="inlineStr">
        <is>
          <t>Wrap-up</t>
        </is>
      </c>
      <c r="B27" s="59" t="inlineStr">
        <is>
          <t>Supplies and equipment removed</t>
        </is>
      </c>
      <c r="C27" s="132" t="n"/>
    </row>
    <row r="28">
      <c r="A28" s="89" t="inlineStr">
        <is>
          <t>Wrap-up</t>
        </is>
      </c>
      <c r="B28" s="59" t="inlineStr">
        <is>
          <t>Doors locked / alarm set as instructed</t>
        </is>
      </c>
      <c r="C28" s="132" t="n"/>
    </row>
    <row r="29">
      <c r="A29" s="110" t="inlineStr">
        <is>
          <t>Score</t>
        </is>
      </c>
      <c r="B29" s="110">
        <f>IF(COUNTIF(C7:C28,"Yes")+COUNTIF(C7:C28,"No")=0,"Mark items to see score",COUNTIF(C7:C28,"Yes")&amp;" of "&amp;(COUNTIF(C7:C28,"Yes")+COUNTIF(C7:C28,"No"))&amp;" passed")</f>
        <v/>
      </c>
      <c r="C29" s="124">
        <f>IFERROR(COUNTIF(C7:C28,"Yes")/(COUNTIF(C7:C28,"Yes")+COUNTIF(C7:C28,"No")),"")</f>
        <v/>
      </c>
    </row>
    <row r="32">
      <c r="A32" s="130" t="inlineStr">
        <is>
          <t>DEEP CLEAN CHECKLIST</t>
        </is>
      </c>
    </row>
    <row r="33">
      <c r="A33" s="89" t="inlineStr">
        <is>
          <t>Job ID / Date / Cleaner:</t>
        </is>
      </c>
      <c r="B33" s="76" t="n"/>
    </row>
    <row r="34">
      <c r="A34" s="89" t="inlineStr">
        <is>
          <t>Detail work</t>
        </is>
      </c>
      <c r="B34" s="59" t="inlineStr">
        <is>
          <t>Baseboards hand-wiped</t>
        </is>
      </c>
      <c r="C34" s="132" t="n"/>
    </row>
    <row r="35">
      <c r="A35" s="89" t="inlineStr">
        <is>
          <t>Detail work</t>
        </is>
      </c>
      <c r="B35" s="59" t="inlineStr">
        <is>
          <t>Door frames and doors wiped</t>
        </is>
      </c>
      <c r="C35" s="132" t="n"/>
    </row>
    <row r="36">
      <c r="A36" s="89" t="inlineStr">
        <is>
          <t>Detail work</t>
        </is>
      </c>
      <c r="B36" s="59" t="inlineStr">
        <is>
          <t>Light fixtures and ceiling fans dusted</t>
        </is>
      </c>
      <c r="C36" s="132" t="n"/>
    </row>
    <row r="37">
      <c r="A37" s="89" t="inlineStr">
        <is>
          <t>Detail work</t>
        </is>
      </c>
      <c r="B37" s="59" t="inlineStr">
        <is>
          <t>Window sills and tracks cleaned</t>
        </is>
      </c>
      <c r="C37" s="132" t="n"/>
    </row>
    <row r="38">
      <c r="A38" s="89" t="inlineStr">
        <is>
          <t>Detail work</t>
        </is>
      </c>
      <c r="B38" s="59" t="inlineStr">
        <is>
          <t>Vents and returns dusted</t>
        </is>
      </c>
      <c r="C38" s="132" t="n"/>
    </row>
    <row r="39">
      <c r="A39" s="89" t="inlineStr">
        <is>
          <t>Detail work</t>
        </is>
      </c>
      <c r="B39" s="59" t="inlineStr">
        <is>
          <t>Switch plates and outlets wiped</t>
        </is>
      </c>
      <c r="C39" s="132" t="n"/>
    </row>
    <row r="40">
      <c r="A40" s="89" t="inlineStr">
        <is>
          <t>Kitchen</t>
        </is>
      </c>
      <c r="B40" s="59" t="inlineStr">
        <is>
          <t>Cabinet fronts degreased</t>
        </is>
      </c>
      <c r="C40" s="132" t="n"/>
    </row>
    <row r="41">
      <c r="A41" s="89" t="inlineStr">
        <is>
          <t>Kitchen</t>
        </is>
      </c>
      <c r="B41" s="59" t="inlineStr">
        <is>
          <t>Backsplash grout scrubbed</t>
        </is>
      </c>
      <c r="C41" s="132" t="n"/>
    </row>
    <row r="42">
      <c r="A42" s="89" t="inlineStr">
        <is>
          <t>Kitchen</t>
        </is>
      </c>
      <c r="B42" s="59" t="inlineStr">
        <is>
          <t>Appliance exteriors detailed</t>
        </is>
      </c>
      <c r="C42" s="132" t="n"/>
    </row>
    <row r="43">
      <c r="A43" s="89" t="inlineStr">
        <is>
          <t>Kitchen</t>
        </is>
      </c>
      <c r="B43" s="59" t="inlineStr">
        <is>
          <t>Range hood wiped</t>
        </is>
      </c>
      <c r="C43" s="132" t="n"/>
    </row>
    <row r="44">
      <c r="A44" s="89" t="inlineStr">
        <is>
          <t>Kitchen</t>
        </is>
      </c>
      <c r="B44" s="59" t="inlineStr">
        <is>
          <t>Inside microwave detailed</t>
        </is>
      </c>
      <c r="C44" s="132" t="n"/>
    </row>
    <row r="45">
      <c r="A45" s="89" t="inlineStr">
        <is>
          <t>Kitchen</t>
        </is>
      </c>
      <c r="B45" s="59" t="inlineStr">
        <is>
          <t>Behind/under movable items cleaned</t>
        </is>
      </c>
      <c r="C45" s="132" t="n"/>
    </row>
    <row r="46">
      <c r="A46" s="89" t="inlineStr">
        <is>
          <t>Bathrooms</t>
        </is>
      </c>
      <c r="B46" s="59" t="inlineStr">
        <is>
          <t>Soap scum and hard-water buildup removed</t>
        </is>
      </c>
      <c r="C46" s="132" t="n"/>
    </row>
    <row r="47">
      <c r="A47" s="89" t="inlineStr">
        <is>
          <t>Bathrooms</t>
        </is>
      </c>
      <c r="B47" s="59" t="inlineStr">
        <is>
          <t>Grout scrubbed</t>
        </is>
      </c>
      <c r="C47" s="132" t="n"/>
    </row>
    <row r="48">
      <c r="A48" s="89" t="inlineStr">
        <is>
          <t>Bathrooms</t>
        </is>
      </c>
      <c r="B48" s="59" t="inlineStr">
        <is>
          <t>Fixtures descaled and polished</t>
        </is>
      </c>
      <c r="C48" s="132" t="n"/>
    </row>
    <row r="49">
      <c r="A49" s="89" t="inlineStr">
        <is>
          <t>Bathrooms</t>
        </is>
      </c>
      <c r="B49" s="59" t="inlineStr">
        <is>
          <t>Exhaust fan cover dusted</t>
        </is>
      </c>
      <c r="C49" s="132" t="n"/>
    </row>
    <row r="50">
      <c r="A50" s="89" t="inlineStr">
        <is>
          <t>Bathrooms</t>
        </is>
      </c>
      <c r="B50" s="59" t="inlineStr">
        <is>
          <t>Behind toilet cleaned</t>
        </is>
      </c>
      <c r="C50" s="132" t="n"/>
    </row>
    <row r="51">
      <c r="A51" s="89" t="inlineStr">
        <is>
          <t>Wrap-up</t>
        </is>
      </c>
      <c r="B51" s="59" t="inlineStr">
        <is>
          <t>Add-ons completed (oven, fridge, windows)</t>
        </is>
      </c>
      <c r="C51" s="132" t="n"/>
    </row>
    <row r="52">
      <c r="A52" s="89" t="inlineStr">
        <is>
          <t>Wrap-up</t>
        </is>
      </c>
      <c r="B52" s="59" t="inlineStr">
        <is>
          <t>Final walk-through with room-by-room check</t>
        </is>
      </c>
      <c r="C52" s="132" t="n"/>
    </row>
    <row r="53">
      <c r="A53" s="89" t="inlineStr">
        <is>
          <t>Wrap-up</t>
        </is>
      </c>
      <c r="B53" s="59" t="inlineStr">
        <is>
          <t>Before/after photos taken (with permission)</t>
        </is>
      </c>
      <c r="C53" s="132" t="n"/>
    </row>
    <row r="54">
      <c r="A54" s="110" t="inlineStr">
        <is>
          <t>Score</t>
        </is>
      </c>
      <c r="B54" s="110">
        <f>IF(COUNTIF(C34:C53,"Yes")+COUNTIF(C34:C53,"No")=0,"Mark items to see score",COUNTIF(C34:C53,"Yes")&amp;" of "&amp;(COUNTIF(C34:C53,"Yes")+COUNTIF(C34:C53,"No"))&amp;" passed")</f>
        <v/>
      </c>
      <c r="C54" s="124">
        <f>IFERROR(COUNTIF(C34:C53,"Yes")/(COUNTIF(C34:C53,"Yes")+COUNTIF(C34:C53,"No")),"")</f>
        <v/>
      </c>
    </row>
    <row r="57">
      <c r="A57" s="130" t="inlineStr">
        <is>
          <t>MOVE-IN/MOVE-OUT CHECKLIST</t>
        </is>
      </c>
    </row>
    <row r="58">
      <c r="A58" s="89" t="inlineStr">
        <is>
          <t>Job ID / Date / Cleaner:</t>
        </is>
      </c>
      <c r="B58" s="76" t="n"/>
    </row>
    <row r="59">
      <c r="A59" s="89" t="inlineStr">
        <is>
          <t>Every room</t>
        </is>
      </c>
      <c r="B59" s="59" t="inlineStr">
        <is>
          <t>Closets: shelves and rods wiped</t>
        </is>
      </c>
      <c r="C59" s="132" t="n"/>
    </row>
    <row r="60">
      <c r="A60" s="89" t="inlineStr">
        <is>
          <t>Every room</t>
        </is>
      </c>
      <c r="B60" s="59" t="inlineStr">
        <is>
          <t>Walls spot-cleaned</t>
        </is>
      </c>
      <c r="C60" s="132" t="n"/>
    </row>
    <row r="61">
      <c r="A61" s="89" t="inlineStr">
        <is>
          <t>Every room</t>
        </is>
      </c>
      <c r="B61" s="59" t="inlineStr">
        <is>
          <t>Baseboards and trim wiped</t>
        </is>
      </c>
      <c r="C61" s="132" t="n"/>
    </row>
    <row r="62">
      <c r="A62" s="89" t="inlineStr">
        <is>
          <t>Every room</t>
        </is>
      </c>
      <c r="B62" s="59" t="inlineStr">
        <is>
          <t>Windows sills/tracks cleaned</t>
        </is>
      </c>
      <c r="C62" s="132" t="n"/>
    </row>
    <row r="63">
      <c r="A63" s="89" t="inlineStr">
        <is>
          <t>Every room</t>
        </is>
      </c>
      <c r="B63" s="59" t="inlineStr">
        <is>
          <t>Floors vacuumed and mopped</t>
        </is>
      </c>
      <c r="C63" s="132" t="n"/>
    </row>
    <row r="64">
      <c r="A64" s="89" t="inlineStr">
        <is>
          <t>Every room</t>
        </is>
      </c>
      <c r="B64" s="59" t="inlineStr">
        <is>
          <t>Light fixtures wiped</t>
        </is>
      </c>
      <c r="C64" s="132" t="n"/>
    </row>
    <row r="65">
      <c r="A65" s="89" t="inlineStr">
        <is>
          <t>Kitchen</t>
        </is>
      </c>
      <c r="B65" s="59" t="inlineStr">
        <is>
          <t>Inside all cabinets and drawers</t>
        </is>
      </c>
      <c r="C65" s="132" t="n"/>
    </row>
    <row r="66">
      <c r="A66" s="89" t="inlineStr">
        <is>
          <t>Kitchen</t>
        </is>
      </c>
      <c r="B66" s="59" t="inlineStr">
        <is>
          <t>Inside oven</t>
        </is>
      </c>
      <c r="C66" s="132" t="n"/>
    </row>
    <row r="67">
      <c r="A67" s="89" t="inlineStr">
        <is>
          <t>Kitchen</t>
        </is>
      </c>
      <c r="B67" s="59" t="inlineStr">
        <is>
          <t>Inside refrigerator/freezer</t>
        </is>
      </c>
      <c r="C67" s="132" t="n"/>
    </row>
    <row r="68">
      <c r="A68" s="89" t="inlineStr">
        <is>
          <t>Kitchen</t>
        </is>
      </c>
      <c r="B68" s="59" t="inlineStr">
        <is>
          <t>Inside dishwasher wiped</t>
        </is>
      </c>
      <c r="C68" s="132" t="n"/>
    </row>
    <row r="69">
      <c r="A69" s="89" t="inlineStr">
        <is>
          <t>Kitchen</t>
        </is>
      </c>
      <c r="B69" s="59" t="inlineStr">
        <is>
          <t>Countertops and sink detailed</t>
        </is>
      </c>
      <c r="C69" s="132" t="n"/>
    </row>
    <row r="70">
      <c r="A70" s="89" t="inlineStr">
        <is>
          <t>Bathrooms</t>
        </is>
      </c>
      <c r="B70" s="59" t="inlineStr">
        <is>
          <t>Inside vanities and drawers</t>
        </is>
      </c>
      <c r="C70" s="132" t="n"/>
    </row>
    <row r="71">
      <c r="A71" s="89" t="inlineStr">
        <is>
          <t>Bathrooms</t>
        </is>
      </c>
      <c r="B71" s="59" t="inlineStr">
        <is>
          <t>Tub/shower detailed</t>
        </is>
      </c>
      <c r="C71" s="132" t="n"/>
    </row>
    <row r="72">
      <c r="A72" s="89" t="inlineStr">
        <is>
          <t>Bathrooms</t>
        </is>
      </c>
      <c r="B72" s="59" t="inlineStr">
        <is>
          <t>Toilet detailed including base</t>
        </is>
      </c>
      <c r="C72" s="132" t="n"/>
    </row>
    <row r="73">
      <c r="A73" s="89" t="inlineStr">
        <is>
          <t>Bathrooms</t>
        </is>
      </c>
      <c r="B73" s="59" t="inlineStr">
        <is>
          <t>Mirrors and fixtures polished</t>
        </is>
      </c>
      <c r="C73" s="132" t="n"/>
    </row>
    <row r="74">
      <c r="A74" s="89" t="inlineStr">
        <is>
          <t>Wrap-up</t>
        </is>
      </c>
      <c r="B74" s="59" t="inlineStr">
        <is>
          <t>All trash removed from property</t>
        </is>
      </c>
      <c r="C74" s="132" t="n"/>
    </row>
    <row r="75">
      <c r="A75" s="89" t="inlineStr">
        <is>
          <t>Wrap-up</t>
        </is>
      </c>
      <c r="B75" s="59" t="inlineStr">
        <is>
          <t>Photos of each room taken</t>
        </is>
      </c>
      <c r="C75" s="132" t="n"/>
    </row>
    <row r="76">
      <c r="A76" s="89" t="inlineStr">
        <is>
          <t>Wrap-up</t>
        </is>
      </c>
      <c r="B76" s="59" t="inlineStr">
        <is>
          <t>Keys/access returned as instructed</t>
        </is>
      </c>
      <c r="C76" s="132" t="n"/>
    </row>
    <row r="77">
      <c r="A77" s="110" t="inlineStr">
        <is>
          <t>Score</t>
        </is>
      </c>
      <c r="B77" s="110">
        <f>IF(COUNTIF(C59:C76,"Yes")+COUNTIF(C59:C76,"No")=0,"Mark items to see score",COUNTIF(C59:C76,"Yes")&amp;" of "&amp;(COUNTIF(C59:C76,"Yes")+COUNTIF(C59:C76,"No"))&amp;" passed")</f>
        <v/>
      </c>
      <c r="C77" s="124">
        <f>IFERROR(COUNTIF(C59:C76,"Yes")/(COUNTIF(C59:C76,"Yes")+COUNTIF(C59:C76,"No")),"")</f>
        <v/>
      </c>
    </row>
    <row r="80">
      <c r="A80" s="130" t="inlineStr">
        <is>
          <t>AIRBNB TURNOVER CHECKLIST</t>
        </is>
      </c>
    </row>
    <row r="81">
      <c r="A81" s="89" t="inlineStr">
        <is>
          <t>Job ID / Date / Cleaner:</t>
        </is>
      </c>
      <c r="B81" s="76" t="n"/>
    </row>
    <row r="82">
      <c r="A82" s="89" t="inlineStr">
        <is>
          <t>Reset</t>
        </is>
      </c>
      <c r="B82" s="59" t="inlineStr">
        <is>
          <t>Linens stripped and fresh set made</t>
        </is>
      </c>
      <c r="C82" s="132" t="n"/>
    </row>
    <row r="83">
      <c r="A83" s="89" t="inlineStr">
        <is>
          <t>Reset</t>
        </is>
      </c>
      <c r="B83" s="59" t="inlineStr">
        <is>
          <t>Towels replaced and staged</t>
        </is>
      </c>
      <c r="C83" s="132" t="n"/>
    </row>
    <row r="84">
      <c r="A84" s="89" t="inlineStr">
        <is>
          <t>Reset</t>
        </is>
      </c>
      <c r="B84" s="59" t="inlineStr">
        <is>
          <t>Dishes washed and put away</t>
        </is>
      </c>
      <c r="C84" s="132" t="n"/>
    </row>
    <row r="85">
      <c r="A85" s="89" t="inlineStr">
        <is>
          <t>Reset</t>
        </is>
      </c>
      <c r="B85" s="59" t="inlineStr">
        <is>
          <t>Trash removed from all rooms</t>
        </is>
      </c>
      <c r="C85" s="132" t="n"/>
    </row>
    <row r="86">
      <c r="A86" s="89" t="inlineStr">
        <is>
          <t>Reset</t>
        </is>
      </c>
      <c r="B86" s="59" t="inlineStr">
        <is>
          <t>Floors vacuumed and mopped</t>
        </is>
      </c>
      <c r="C86" s="132" t="n"/>
    </row>
    <row r="87">
      <c r="A87" s="89" t="inlineStr">
        <is>
          <t>Restock</t>
        </is>
      </c>
      <c r="B87" s="59" t="inlineStr">
        <is>
          <t>Toilet paper restocked</t>
        </is>
      </c>
      <c r="C87" s="132" t="n"/>
    </row>
    <row r="88">
      <c r="A88" s="89" t="inlineStr">
        <is>
          <t>Restock</t>
        </is>
      </c>
      <c r="B88" s="59" t="inlineStr">
        <is>
          <t>Soap / shampoo restocked</t>
        </is>
      </c>
      <c r="C88" s="132" t="n"/>
    </row>
    <row r="89">
      <c r="A89" s="89" t="inlineStr">
        <is>
          <t>Restock</t>
        </is>
      </c>
      <c r="B89" s="59" t="inlineStr">
        <is>
          <t>Coffee / kitchen basics restocked</t>
        </is>
      </c>
      <c r="C89" s="132" t="n"/>
    </row>
    <row r="90">
      <c r="A90" s="89" t="inlineStr">
        <is>
          <t>Restock</t>
        </is>
      </c>
      <c r="B90" s="59" t="inlineStr">
        <is>
          <t>Paper towels restocked</t>
        </is>
      </c>
      <c r="C90" s="132" t="n"/>
    </row>
    <row r="91">
      <c r="A91" s="89" t="inlineStr">
        <is>
          <t>Guest-ready check</t>
        </is>
      </c>
      <c r="B91" s="59" t="inlineStr">
        <is>
          <t>Thermostat set per host instructions</t>
        </is>
      </c>
      <c r="C91" s="132" t="n"/>
    </row>
    <row r="92">
      <c r="A92" s="89" t="inlineStr">
        <is>
          <t>Guest-ready check</t>
        </is>
      </c>
      <c r="B92" s="59" t="inlineStr">
        <is>
          <t>Lights and TV remote checked</t>
        </is>
      </c>
      <c r="C92" s="132" t="n"/>
    </row>
    <row r="93">
      <c r="A93" s="89" t="inlineStr">
        <is>
          <t>Guest-ready check</t>
        </is>
      </c>
      <c r="B93" s="59" t="inlineStr">
        <is>
          <t>Damage or missing items photographed and reported</t>
        </is>
      </c>
      <c r="C93" s="132" t="n"/>
    </row>
    <row r="94">
      <c r="A94" s="89" t="inlineStr">
        <is>
          <t>Guest-ready check</t>
        </is>
      </c>
      <c r="B94" s="59" t="inlineStr">
        <is>
          <t>Lost-and-found items logged</t>
        </is>
      </c>
      <c r="C94" s="132" t="n"/>
    </row>
    <row r="95">
      <c r="A95" s="89" t="inlineStr">
        <is>
          <t>Guest-ready check</t>
        </is>
      </c>
      <c r="B95" s="59" t="inlineStr">
        <is>
          <t>Welcome items staged as host requested</t>
        </is>
      </c>
      <c r="C95" s="132" t="n"/>
    </row>
    <row r="96">
      <c r="A96" s="89" t="inlineStr">
        <is>
          <t>Guest-ready check</t>
        </is>
      </c>
      <c r="B96" s="59" t="inlineStr">
        <is>
          <t>Door locked / code reset as instructed</t>
        </is>
      </c>
      <c r="C96" s="132" t="n"/>
    </row>
    <row r="97">
      <c r="A97" s="110" t="inlineStr">
        <is>
          <t>Score</t>
        </is>
      </c>
      <c r="B97" s="110">
        <f>IF(COUNTIF(C82:C96,"Yes")+COUNTIF(C82:C96,"No")=0,"Mark items to see score",COUNTIF(C82:C96,"Yes")&amp;" of "&amp;(COUNTIF(C82:C96,"Yes")+COUNTIF(C82:C96,"No"))&amp;" passed")</f>
        <v/>
      </c>
      <c r="C97" s="124">
        <f>IFERROR(COUNTIF(C82:C96,"Yes")/(COUNTIF(C82:C96,"Yes")+COUNTIF(C82:C96,"No")),"")</f>
        <v/>
      </c>
    </row>
    <row r="100">
      <c r="A100" s="130" t="inlineStr">
        <is>
          <t>COMMERCIAL CHECKLIST</t>
        </is>
      </c>
    </row>
    <row r="101">
      <c r="A101" s="89" t="inlineStr">
        <is>
          <t>Job ID / Date / Cleaner:</t>
        </is>
      </c>
      <c r="B101" s="76" t="n"/>
    </row>
    <row r="102">
      <c r="A102" s="89" t="inlineStr">
        <is>
          <t>Work areas</t>
        </is>
      </c>
      <c r="B102" s="59" t="inlineStr">
        <is>
          <t>Desks and surfaces wiped (clear areas only)</t>
        </is>
      </c>
      <c r="C102" s="132" t="n"/>
    </row>
    <row r="103">
      <c r="A103" s="89" t="inlineStr">
        <is>
          <t>Work areas</t>
        </is>
      </c>
      <c r="B103" s="59" t="inlineStr">
        <is>
          <t>Trash and recycling emptied</t>
        </is>
      </c>
      <c r="C103" s="132" t="n"/>
    </row>
    <row r="104">
      <c r="A104" s="89" t="inlineStr">
        <is>
          <t>Work areas</t>
        </is>
      </c>
      <c r="B104" s="59" t="inlineStr">
        <is>
          <t>High-touch points disinfected (as agreed)</t>
        </is>
      </c>
      <c r="C104" s="132" t="n"/>
    </row>
    <row r="105">
      <c r="A105" s="89" t="inlineStr">
        <is>
          <t>Work areas</t>
        </is>
      </c>
      <c r="B105" s="59" t="inlineStr">
        <is>
          <t>Floors vacuumed / mopped</t>
        </is>
      </c>
      <c r="C105" s="132" t="n"/>
    </row>
    <row r="106">
      <c r="A106" s="89" t="inlineStr">
        <is>
          <t>Work areas</t>
        </is>
      </c>
      <c r="B106" s="59" t="inlineStr">
        <is>
          <t>Glass doors and partitions spot-cleaned</t>
        </is>
      </c>
      <c r="C106" s="132" t="n"/>
    </row>
    <row r="107">
      <c r="A107" s="89" t="inlineStr">
        <is>
          <t>Restrooms</t>
        </is>
      </c>
      <c r="B107" s="59" t="inlineStr">
        <is>
          <t>Toilets and urinals cleaned</t>
        </is>
      </c>
      <c r="C107" s="132" t="n"/>
    </row>
    <row r="108">
      <c r="A108" s="89" t="inlineStr">
        <is>
          <t>Restrooms</t>
        </is>
      </c>
      <c r="B108" s="59" t="inlineStr">
        <is>
          <t>Sinks and counters cleaned</t>
        </is>
      </c>
      <c r="C108" s="132" t="n"/>
    </row>
    <row r="109">
      <c r="A109" s="89" t="inlineStr">
        <is>
          <t>Restrooms</t>
        </is>
      </c>
      <c r="B109" s="59" t="inlineStr">
        <is>
          <t>Mirrors cleaned</t>
        </is>
      </c>
      <c r="C109" s="132" t="n"/>
    </row>
    <row r="110">
      <c r="A110" s="89" t="inlineStr">
        <is>
          <t>Restrooms</t>
        </is>
      </c>
      <c r="B110" s="59" t="inlineStr">
        <is>
          <t>Dispensers restocked</t>
        </is>
      </c>
      <c r="C110" s="132" t="n"/>
    </row>
    <row r="111">
      <c r="A111" s="89" t="inlineStr">
        <is>
          <t>Restrooms</t>
        </is>
      </c>
      <c r="B111" s="59" t="inlineStr">
        <is>
          <t>Floors mopped</t>
        </is>
      </c>
      <c r="C111" s="132" t="n"/>
    </row>
    <row r="112">
      <c r="A112" s="89" t="inlineStr">
        <is>
          <t>Break room</t>
        </is>
      </c>
      <c r="B112" s="59" t="inlineStr">
        <is>
          <t>Counters and sink cleaned</t>
        </is>
      </c>
      <c r="C112" s="132" t="n"/>
    </row>
    <row r="113">
      <c r="A113" s="89" t="inlineStr">
        <is>
          <t>Break room</t>
        </is>
      </c>
      <c r="B113" s="59" t="inlineStr">
        <is>
          <t>Microwave wiped</t>
        </is>
      </c>
      <c r="C113" s="132" t="n"/>
    </row>
    <row r="114">
      <c r="A114" s="89" t="inlineStr">
        <is>
          <t>Break room</t>
        </is>
      </c>
      <c r="B114" s="59" t="inlineStr">
        <is>
          <t>Tables and chairs wiped</t>
        </is>
      </c>
      <c r="C114" s="132" t="n"/>
    </row>
    <row r="115">
      <c r="A115" s="89" t="inlineStr">
        <is>
          <t>Break room</t>
        </is>
      </c>
      <c r="B115" s="59" t="inlineStr">
        <is>
          <t>Floor cleaned</t>
        </is>
      </c>
      <c r="C115" s="132" t="n"/>
    </row>
    <row r="116">
      <c r="A116" s="89" t="inlineStr">
        <is>
          <t>Close-out</t>
        </is>
      </c>
      <c r="B116" s="59" t="inlineStr">
        <is>
          <t>Lights off / doors locked per client instructions</t>
        </is>
      </c>
      <c r="C116" s="132" t="n"/>
    </row>
    <row r="117">
      <c r="A117" s="89" t="inlineStr">
        <is>
          <t>Close-out</t>
        </is>
      </c>
      <c r="B117" s="59" t="inlineStr">
        <is>
          <t>Issues noted for client (maintenance, supply needs)</t>
        </is>
      </c>
      <c r="C117" s="132" t="n"/>
    </row>
    <row r="118">
      <c r="A118" s="110" t="inlineStr">
        <is>
          <t>Score</t>
        </is>
      </c>
      <c r="B118" s="110">
        <f>IF(COUNTIF(C102:C117,"Yes")+COUNTIF(C102:C117,"No")=0,"Mark items to see score",COUNTIF(C102:C117,"Yes")&amp;" of "&amp;(COUNTIF(C102:C117,"Yes")+COUNTIF(C102:C117,"No"))&amp;" passed")</f>
        <v/>
      </c>
      <c r="C118" s="124">
        <f>IFERROR(COUNTIF(C102:C117,"Yes")/(COUNTIF(C102:C117,"Yes")+COUNTIF(C102:C117,"No")),"")</f>
        <v/>
      </c>
    </row>
    <row r="121">
      <c r="A121" s="130" t="inlineStr">
        <is>
          <t>FINAL INSPECTION CHECKLIST</t>
        </is>
      </c>
    </row>
    <row r="122">
      <c r="A122" s="89" t="inlineStr">
        <is>
          <t>Job ID / Date / Cleaner:</t>
        </is>
      </c>
      <c r="B122" s="76" t="n"/>
    </row>
    <row r="123">
      <c r="A123" s="89" t="inlineStr">
        <is>
          <t>Overall</t>
        </is>
      </c>
      <c r="B123" s="59" t="inlineStr">
        <is>
          <t>Every room on the job sheet was completed</t>
        </is>
      </c>
      <c r="C123" s="132" t="n"/>
    </row>
    <row r="124">
      <c r="A124" s="89" t="inlineStr">
        <is>
          <t>Overall</t>
        </is>
      </c>
      <c r="B124" s="59" t="inlineStr">
        <is>
          <t>No streaks on mirrors or glass</t>
        </is>
      </c>
      <c r="C124" s="132" t="n"/>
    </row>
    <row r="125">
      <c r="A125" s="89" t="inlineStr">
        <is>
          <t>Overall</t>
        </is>
      </c>
      <c r="B125" s="59" t="inlineStr">
        <is>
          <t>No dust on reachable surfaces</t>
        </is>
      </c>
      <c r="C125" s="132" t="n"/>
    </row>
    <row r="126">
      <c r="A126" s="89" t="inlineStr">
        <is>
          <t>Overall</t>
        </is>
      </c>
      <c r="B126" s="59" t="inlineStr">
        <is>
          <t>Floors free of debris and streaks</t>
        </is>
      </c>
      <c r="C126" s="132" t="n"/>
    </row>
    <row r="127">
      <c r="A127" s="89" t="inlineStr">
        <is>
          <t>Overall</t>
        </is>
      </c>
      <c r="B127" s="59" t="inlineStr">
        <is>
          <t>Trash removed</t>
        </is>
      </c>
      <c r="C127" s="132" t="n"/>
    </row>
    <row r="128">
      <c r="A128" s="89" t="inlineStr">
        <is>
          <t>Overall</t>
        </is>
      </c>
      <c r="B128" s="59" t="inlineStr">
        <is>
          <t>Customer special requests completed</t>
        </is>
      </c>
      <c r="C128" s="132" t="n"/>
    </row>
    <row r="129">
      <c r="A129" s="89" t="inlineStr">
        <is>
          <t>Overall</t>
        </is>
      </c>
      <c r="B129" s="59" t="inlineStr">
        <is>
          <t>Nothing left behind (tools, cloths, supplies)</t>
        </is>
      </c>
      <c r="C129" s="132" t="n"/>
    </row>
    <row r="130">
      <c r="A130" s="89" t="inlineStr">
        <is>
          <t>Overall</t>
        </is>
      </c>
      <c r="B130" s="59" t="inlineStr">
        <is>
          <t>Property secured as instructed</t>
        </is>
      </c>
      <c r="C130" s="132" t="n"/>
    </row>
    <row r="131">
      <c r="A131" s="89" t="inlineStr">
        <is>
          <t>Overall</t>
        </is>
      </c>
      <c r="B131" s="59" t="inlineStr">
        <is>
          <t>Photos taken if required</t>
        </is>
      </c>
      <c r="C131" s="132" t="n"/>
    </row>
    <row r="132">
      <c r="A132" s="89" t="inlineStr">
        <is>
          <t>Overall</t>
        </is>
      </c>
      <c r="B132" s="59" t="inlineStr">
        <is>
          <t>Any damage or issue reported to office</t>
        </is>
      </c>
      <c r="C132" s="132" t="n"/>
    </row>
    <row r="133">
      <c r="A133" s="110" t="inlineStr">
        <is>
          <t>Score</t>
        </is>
      </c>
      <c r="B133" s="110">
        <f>IF(COUNTIF(C123:C132,"Yes")+COUNTIF(C123:C132,"No")=0,"Mark items to see score",COUNTIF(C123:C132,"Yes")&amp;" of "&amp;(COUNTIF(C123:C132,"Yes")+COUNTIF(C123:C132,"No"))&amp;" passed")</f>
        <v/>
      </c>
      <c r="C133" s="124">
        <f>IFERROR(COUNTIF(C123:C132,"Yes")/(COUNTIF(C123:C132,"Yes")+COUNTIF(C123:C132,"No")),"")</f>
        <v/>
      </c>
    </row>
  </sheetData>
  <mergeCells count="14">
    <mergeCell ref="A2:F2"/>
    <mergeCell ref="B6:C6"/>
    <mergeCell ref="A121:C121"/>
    <mergeCell ref="B33:C33"/>
    <mergeCell ref="A5:C5"/>
    <mergeCell ref="A80:C80"/>
    <mergeCell ref="A32:C32"/>
    <mergeCell ref="A1:F1"/>
    <mergeCell ref="B81:C81"/>
    <mergeCell ref="B101:C101"/>
    <mergeCell ref="A100:C100"/>
    <mergeCell ref="B122:C122"/>
    <mergeCell ref="A57:C57"/>
    <mergeCell ref="B58:C58"/>
  </mergeCells>
  <conditionalFormatting sqref="C7:C28">
    <cfRule type="expression" priority="1" dxfId="0">
      <formula>C7="No"</formula>
    </cfRule>
    <cfRule type="expression" priority="2" dxfId="3">
      <formula>C7="Yes"</formula>
    </cfRule>
  </conditionalFormatting>
  <conditionalFormatting sqref="C34:C53">
    <cfRule type="expression" priority="3" dxfId="0">
      <formula>C34="No"</formula>
    </cfRule>
    <cfRule type="expression" priority="4" dxfId="3">
      <formula>C34="Yes"</formula>
    </cfRule>
  </conditionalFormatting>
  <conditionalFormatting sqref="C59:C76">
    <cfRule type="expression" priority="5" dxfId="0">
      <formula>C59="No"</formula>
    </cfRule>
    <cfRule type="expression" priority="6" dxfId="3">
      <formula>C59="Yes"</formula>
    </cfRule>
  </conditionalFormatting>
  <conditionalFormatting sqref="C82:C96">
    <cfRule type="expression" priority="7" dxfId="0">
      <formula>C82="No"</formula>
    </cfRule>
    <cfRule type="expression" priority="8" dxfId="3">
      <formula>C82="Yes"</formula>
    </cfRule>
  </conditionalFormatting>
  <conditionalFormatting sqref="C102:C117">
    <cfRule type="expression" priority="9" dxfId="0">
      <formula>C102="No"</formula>
    </cfRule>
    <cfRule type="expression" priority="10" dxfId="3">
      <formula>C102="Yes"</formula>
    </cfRule>
  </conditionalFormatting>
  <conditionalFormatting sqref="C123:C132">
    <cfRule type="expression" priority="11" dxfId="0">
      <formula>C123="No"</formula>
    </cfRule>
    <cfRule type="expression" priority="12" dxfId="3">
      <formula>C123="Yes"</formula>
    </cfRule>
  </conditionalFormatting>
  <dataValidations count="1">
    <dataValidation sqref="C7 C8 C9 C10 C11 C12 C13 C14 C15 C16 C17 C18 C19 C20 C21 C22 C23 C24 C25 C26 C27 C28 C34 C35 C36 C37 C38 C39 C40 C41 C42 C43 C44 C45 C46 C47 C48 C49 C50 C51 C52 C53 C59 C60 C61 C62 C63 C64 C65 C66 C67 C68 C69 C70 C71 C72 C73 C74 C75 C76 C82 C83 C84 C85 C86 C87 C88 C89 C90 C91 C92 C93 C94 C95 C96 C102 C103 C104 C105 C106 C107 C108 C109 C110 C111 C112 C113 C114 C115 C116 C117 C123 C124 C125 C126 C127 C128 C129 C130 C131 C132" showDropDown="0" showInputMessage="0" showErrorMessage="0" allowBlank="1" type="list">
      <formula1>"Yes,No,N/A"</formula1>
    </dataValidation>
  </dataValidations>
  <hyperlinks>
    <hyperlink ref="A3" location="'START HERE'!A1" display="← Start Here"/>
    <hyperlink ref="B3" location="'DASHBOARD'!A1" display="Dashboard →"/>
    <hyperlink ref="E6" location="'QC CHECKLISTS'!A5" display="Residential Standard"/>
    <hyperlink ref="E7" location="'QC CHECKLISTS'!A32" display="Deep Clean"/>
    <hyperlink ref="E8" location="'QC CHECKLISTS'!A57" display="Move-In/Move-Out"/>
    <hyperlink ref="E9" location="'QC CHECKLISTS'!A80" display="Airbnb Turnover"/>
    <hyperlink ref="E10" location="'QC CHECKLISTS'!A100" display="Commercial"/>
    <hyperlink ref="E11" location="'QC CHECKLISTS'!A121" display="Final Inspection"/>
  </hyperlinks>
  <printOptions horizontalCentered="1"/>
  <pageMargins left="0.4" right="0.4" top="1" bottom="1" header="0.5" footer="0.5"/>
  <pageSetup orientation="landscape" fitToHeight="0" fitToWidth="1"/>
</worksheet>
</file>

<file path=xl/worksheets/sheet22.xml><?xml version="1.0" encoding="utf-8"?>
<worksheet xmlns="http://schemas.openxmlformats.org/spreadsheetml/2006/main">
  <sheetPr>
    <tabColor rgb="001E7F4F"/>
    <outlinePr summaryBelow="1" summaryRight="1"/>
    <pageSetUpPr fitToPage="1"/>
  </sheetPr>
  <dimension ref="A1:N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42" t="inlineStr">
        <is>
          <t>MONTHLY PERFORMANCE</t>
        </is>
      </c>
      <c r="B1" s="1" t="n"/>
      <c r="C1" s="1" t="n"/>
      <c r="D1" s="1" t="n"/>
      <c r="E1" s="1" t="n"/>
      <c r="F1" s="1" t="n"/>
      <c r="G1" s="1" t="n"/>
      <c r="H1" s="1" t="n"/>
      <c r="I1" s="1" t="n"/>
      <c r="J1" s="1" t="n"/>
      <c r="K1" s="1" t="n"/>
      <c r="L1" s="1" t="n"/>
      <c r="M1" s="1" t="n"/>
      <c r="N1" s="1" t="n"/>
    </row>
    <row r="2" ht="30" customHeight="1">
      <c r="A2" s="43" t="inlineStr">
        <is>
          <t>Twelve-month view of the reporting year (set in SETTINGS). Money figures are management estimates from your logs — not accounting or tax statements.</t>
        </is>
      </c>
    </row>
    <row r="3" ht="18" customHeight="1">
      <c r="A3" s="24" t="inlineStr">
        <is>
          <t>← Start Here</t>
        </is>
      </c>
      <c r="B3" s="24" t="inlineStr">
        <is>
          <t>Dashboard →</t>
        </is>
      </c>
    </row>
    <row r="4">
      <c r="A4" s="12">
        <f>"Year: "&amp;ReportYear</f>
        <v/>
      </c>
      <c r="B4" s="133">
        <f>DATE(ReportYear,1,1)</f>
        <v/>
      </c>
      <c r="C4" s="133">
        <f>DATE(ReportYear,2,1)</f>
        <v/>
      </c>
      <c r="D4" s="133">
        <f>DATE(ReportYear,3,1)</f>
        <v/>
      </c>
      <c r="E4" s="133">
        <f>DATE(ReportYear,4,1)</f>
        <v/>
      </c>
      <c r="F4" s="133">
        <f>DATE(ReportYear,5,1)</f>
        <v/>
      </c>
      <c r="G4" s="133">
        <f>DATE(ReportYear,6,1)</f>
        <v/>
      </c>
      <c r="H4" s="133">
        <f>DATE(ReportYear,7,1)</f>
        <v/>
      </c>
      <c r="I4" s="133">
        <f>DATE(ReportYear,8,1)</f>
        <v/>
      </c>
      <c r="J4" s="133">
        <f>DATE(ReportYear,9,1)</f>
        <v/>
      </c>
      <c r="K4" s="133">
        <f>DATE(ReportYear,10,1)</f>
        <v/>
      </c>
      <c r="L4" s="133">
        <f>DATE(ReportYear,11,1)</f>
        <v/>
      </c>
      <c r="M4" s="133">
        <f>DATE(ReportYear,12,1)</f>
        <v/>
      </c>
      <c r="N4" s="105" t="inlineStr">
        <is>
          <t>Year Total</t>
        </is>
      </c>
    </row>
    <row r="5">
      <c r="A5" s="5" t="inlineStr">
        <is>
          <t>SALES</t>
        </is>
      </c>
      <c r="B5" s="6" t="n"/>
      <c r="C5" s="6" t="n"/>
      <c r="D5" s="6" t="n"/>
      <c r="E5" s="6" t="n"/>
      <c r="F5" s="6" t="n"/>
      <c r="G5" s="6" t="n"/>
      <c r="H5" s="6" t="n"/>
      <c r="I5" s="6" t="n"/>
      <c r="J5" s="6" t="n"/>
      <c r="K5" s="6" t="n"/>
      <c r="L5" s="6" t="n"/>
      <c r="M5" s="6" t="n"/>
      <c r="N5" s="6" t="n"/>
    </row>
    <row r="6">
      <c r="A6" s="59" t="inlineStr">
        <is>
          <t>New leads</t>
        </is>
      </c>
      <c r="B6" s="134">
        <f>COUNTIFS('LEADS'!$T$5:$T$504,B$4)</f>
        <v/>
      </c>
      <c r="C6" s="134">
        <f>COUNTIFS('LEADS'!$T$5:$T$504,C$4)</f>
        <v/>
      </c>
      <c r="D6" s="134">
        <f>COUNTIFS('LEADS'!$T$5:$T$504,D$4)</f>
        <v/>
      </c>
      <c r="E6" s="134">
        <f>COUNTIFS('LEADS'!$T$5:$T$504,E$4)</f>
        <v/>
      </c>
      <c r="F6" s="134">
        <f>COUNTIFS('LEADS'!$T$5:$T$504,F$4)</f>
        <v/>
      </c>
      <c r="G6" s="134">
        <f>COUNTIFS('LEADS'!$T$5:$T$504,G$4)</f>
        <v/>
      </c>
      <c r="H6" s="134">
        <f>COUNTIFS('LEADS'!$T$5:$T$504,H$4)</f>
        <v/>
      </c>
      <c r="I6" s="134">
        <f>COUNTIFS('LEADS'!$T$5:$T$504,I$4)</f>
        <v/>
      </c>
      <c r="J6" s="134">
        <f>COUNTIFS('LEADS'!$T$5:$T$504,J$4)</f>
        <v/>
      </c>
      <c r="K6" s="134">
        <f>COUNTIFS('LEADS'!$T$5:$T$504,K$4)</f>
        <v/>
      </c>
      <c r="L6" s="134">
        <f>COUNTIFS('LEADS'!$T$5:$T$504,L$4)</f>
        <v/>
      </c>
      <c r="M6" s="134">
        <f>COUNTIFS('LEADS'!$T$5:$T$504,M$4)</f>
        <v/>
      </c>
      <c r="N6" s="122">
        <f>SUM(B6:M6)</f>
        <v/>
      </c>
    </row>
    <row r="7">
      <c r="A7" s="59" t="inlineStr">
        <is>
          <t>Quotes given (leads with a quote value)</t>
        </is>
      </c>
      <c r="B7" s="134">
        <f>COUNTIFS('LEADS'!$T$5:$T$504,B$4,'LEADS'!$I$5:$I$504,"&gt;0")</f>
        <v/>
      </c>
      <c r="C7" s="134">
        <f>COUNTIFS('LEADS'!$T$5:$T$504,C$4,'LEADS'!$I$5:$I$504,"&gt;0")</f>
        <v/>
      </c>
      <c r="D7" s="134">
        <f>COUNTIFS('LEADS'!$T$5:$T$504,D$4,'LEADS'!$I$5:$I$504,"&gt;0")</f>
        <v/>
      </c>
      <c r="E7" s="134">
        <f>COUNTIFS('LEADS'!$T$5:$T$504,E$4,'LEADS'!$I$5:$I$504,"&gt;0")</f>
        <v/>
      </c>
      <c r="F7" s="134">
        <f>COUNTIFS('LEADS'!$T$5:$T$504,F$4,'LEADS'!$I$5:$I$504,"&gt;0")</f>
        <v/>
      </c>
      <c r="G7" s="134">
        <f>COUNTIFS('LEADS'!$T$5:$T$504,G$4,'LEADS'!$I$5:$I$504,"&gt;0")</f>
        <v/>
      </c>
      <c r="H7" s="134">
        <f>COUNTIFS('LEADS'!$T$5:$T$504,H$4,'LEADS'!$I$5:$I$504,"&gt;0")</f>
        <v/>
      </c>
      <c r="I7" s="134">
        <f>COUNTIFS('LEADS'!$T$5:$T$504,I$4,'LEADS'!$I$5:$I$504,"&gt;0")</f>
        <v/>
      </c>
      <c r="J7" s="134">
        <f>COUNTIFS('LEADS'!$T$5:$T$504,J$4,'LEADS'!$I$5:$I$504,"&gt;0")</f>
        <v/>
      </c>
      <c r="K7" s="134">
        <f>COUNTIFS('LEADS'!$T$5:$T$504,K$4,'LEADS'!$I$5:$I$504,"&gt;0")</f>
        <v/>
      </c>
      <c r="L7" s="134">
        <f>COUNTIFS('LEADS'!$T$5:$T$504,L$4,'LEADS'!$I$5:$I$504,"&gt;0")</f>
        <v/>
      </c>
      <c r="M7" s="134">
        <f>COUNTIFS('LEADS'!$T$5:$T$504,M$4,'LEADS'!$I$5:$I$504,"&gt;0")</f>
        <v/>
      </c>
      <c r="N7" s="122">
        <f>SUM(B7:M7)</f>
        <v/>
      </c>
    </row>
    <row r="8">
      <c r="A8" s="59" t="inlineStr">
        <is>
          <t>Leads booked</t>
        </is>
      </c>
      <c r="B8" s="134">
        <f>COUNTIFS('LEADS'!$T$5:$T$504,B$4,'LEADS'!$O$5:$O$504,"Booked")</f>
        <v/>
      </c>
      <c r="C8" s="134">
        <f>COUNTIFS('LEADS'!$T$5:$T$504,C$4,'LEADS'!$O$5:$O$504,"Booked")</f>
        <v/>
      </c>
      <c r="D8" s="134">
        <f>COUNTIFS('LEADS'!$T$5:$T$504,D$4,'LEADS'!$O$5:$O$504,"Booked")</f>
        <v/>
      </c>
      <c r="E8" s="134">
        <f>COUNTIFS('LEADS'!$T$5:$T$504,E$4,'LEADS'!$O$5:$O$504,"Booked")</f>
        <v/>
      </c>
      <c r="F8" s="134">
        <f>COUNTIFS('LEADS'!$T$5:$T$504,F$4,'LEADS'!$O$5:$O$504,"Booked")</f>
        <v/>
      </c>
      <c r="G8" s="134">
        <f>COUNTIFS('LEADS'!$T$5:$T$504,G$4,'LEADS'!$O$5:$O$504,"Booked")</f>
        <v/>
      </c>
      <c r="H8" s="134">
        <f>COUNTIFS('LEADS'!$T$5:$T$504,H$4,'LEADS'!$O$5:$O$504,"Booked")</f>
        <v/>
      </c>
      <c r="I8" s="134">
        <f>COUNTIFS('LEADS'!$T$5:$T$504,I$4,'LEADS'!$O$5:$O$504,"Booked")</f>
        <v/>
      </c>
      <c r="J8" s="134">
        <f>COUNTIFS('LEADS'!$T$5:$T$504,J$4,'LEADS'!$O$5:$O$504,"Booked")</f>
        <v/>
      </c>
      <c r="K8" s="134">
        <f>COUNTIFS('LEADS'!$T$5:$T$504,K$4,'LEADS'!$O$5:$O$504,"Booked")</f>
        <v/>
      </c>
      <c r="L8" s="134">
        <f>COUNTIFS('LEADS'!$T$5:$T$504,L$4,'LEADS'!$O$5:$O$504,"Booked")</f>
        <v/>
      </c>
      <c r="M8" s="134">
        <f>COUNTIFS('LEADS'!$T$5:$T$504,M$4,'LEADS'!$O$5:$O$504,"Booked")</f>
        <v/>
      </c>
      <c r="N8" s="122">
        <f>SUM(B8:M8)</f>
        <v/>
      </c>
    </row>
    <row r="9">
      <c r="A9" s="59" t="inlineStr">
        <is>
          <t>Lead-to-booked rate</t>
        </is>
      </c>
      <c r="B9" s="91">
        <f>IF(B6=0,"",B8/B6)</f>
        <v/>
      </c>
      <c r="C9" s="91">
        <f>IF(C6=0,"",C8/C6)</f>
        <v/>
      </c>
      <c r="D9" s="91">
        <f>IF(D6=0,"",D8/D6)</f>
        <v/>
      </c>
      <c r="E9" s="91">
        <f>IF(E6=0,"",E8/E6)</f>
        <v/>
      </c>
      <c r="F9" s="91">
        <f>IF(F6=0,"",F8/F6)</f>
        <v/>
      </c>
      <c r="G9" s="91">
        <f>IF(G6=0,"",G8/G6)</f>
        <v/>
      </c>
      <c r="H9" s="91">
        <f>IF(H6=0,"",H8/H6)</f>
        <v/>
      </c>
      <c r="I9" s="91">
        <f>IF(I6=0,"",I8/I6)</f>
        <v/>
      </c>
      <c r="J9" s="91">
        <f>IF(J6=0,"",J8/J6)</f>
        <v/>
      </c>
      <c r="K9" s="91">
        <f>IF(K6=0,"",K8/K6)</f>
        <v/>
      </c>
      <c r="L9" s="91">
        <f>IF(L6=0,"",L8/L6)</f>
        <v/>
      </c>
      <c r="M9" s="91">
        <f>IF(M6=0,"",M8/M6)</f>
        <v/>
      </c>
      <c r="N9" s="124">
        <f>IF(N(N6)=0,"",N8/N6)</f>
        <v/>
      </c>
    </row>
    <row r="10">
      <c r="A10" s="59" t="inlineStr">
        <is>
          <t>Average quote</t>
        </is>
      </c>
      <c r="B10" s="135">
        <f>IFERROR(AVERAGEIFS('LEADS'!$I$5:$I$504,'LEADS'!$T$5:$T$504,B$4,'LEADS'!$I$5:$I$504,"&gt;0"),"")</f>
        <v/>
      </c>
      <c r="C10" s="135">
        <f>IFERROR(AVERAGEIFS('LEADS'!$I$5:$I$504,'LEADS'!$T$5:$T$504,C$4,'LEADS'!$I$5:$I$504,"&gt;0"),"")</f>
        <v/>
      </c>
      <c r="D10" s="135">
        <f>IFERROR(AVERAGEIFS('LEADS'!$I$5:$I$504,'LEADS'!$T$5:$T$504,D$4,'LEADS'!$I$5:$I$504,"&gt;0"),"")</f>
        <v/>
      </c>
      <c r="E10" s="135">
        <f>IFERROR(AVERAGEIFS('LEADS'!$I$5:$I$504,'LEADS'!$T$5:$T$504,E$4,'LEADS'!$I$5:$I$504,"&gt;0"),"")</f>
        <v/>
      </c>
      <c r="F10" s="135">
        <f>IFERROR(AVERAGEIFS('LEADS'!$I$5:$I$504,'LEADS'!$T$5:$T$504,F$4,'LEADS'!$I$5:$I$504,"&gt;0"),"")</f>
        <v/>
      </c>
      <c r="G10" s="135">
        <f>IFERROR(AVERAGEIFS('LEADS'!$I$5:$I$504,'LEADS'!$T$5:$T$504,G$4,'LEADS'!$I$5:$I$504,"&gt;0"),"")</f>
        <v/>
      </c>
      <c r="H10" s="135">
        <f>IFERROR(AVERAGEIFS('LEADS'!$I$5:$I$504,'LEADS'!$T$5:$T$504,H$4,'LEADS'!$I$5:$I$504,"&gt;0"),"")</f>
        <v/>
      </c>
      <c r="I10" s="135">
        <f>IFERROR(AVERAGEIFS('LEADS'!$I$5:$I$504,'LEADS'!$T$5:$T$504,I$4,'LEADS'!$I$5:$I$504,"&gt;0"),"")</f>
        <v/>
      </c>
      <c r="J10" s="135">
        <f>IFERROR(AVERAGEIFS('LEADS'!$I$5:$I$504,'LEADS'!$T$5:$T$504,J$4,'LEADS'!$I$5:$I$504,"&gt;0"),"")</f>
        <v/>
      </c>
      <c r="K10" s="135">
        <f>IFERROR(AVERAGEIFS('LEADS'!$I$5:$I$504,'LEADS'!$T$5:$T$504,K$4,'LEADS'!$I$5:$I$504,"&gt;0"),"")</f>
        <v/>
      </c>
      <c r="L10" s="135">
        <f>IFERROR(AVERAGEIFS('LEADS'!$I$5:$I$504,'LEADS'!$T$5:$T$504,L$4,'LEADS'!$I$5:$I$504,"&gt;0"),"")</f>
        <v/>
      </c>
      <c r="M10" s="135">
        <f>IFERROR(AVERAGEIFS('LEADS'!$I$5:$I$504,'LEADS'!$T$5:$T$504,M$4,'LEADS'!$I$5:$I$504,"&gt;0"),"")</f>
        <v/>
      </c>
      <c r="N10" s="123">
        <f>IFERROR(AVERAGEIFS('LEADS'!$I$5:$I$504,'LEADS'!$T$5:$T$504,"&gt;="&amp;B$4,'LEADS'!$T$5:$T$504,"&lt;="&amp;M$4,'LEADS'!$I$5:$I$504,"&gt;0"),"")</f>
        <v/>
      </c>
    </row>
    <row r="11">
      <c r="A11" s="5" t="inlineStr">
        <is>
          <t>OPERATIONS</t>
        </is>
      </c>
      <c r="B11" s="6" t="n"/>
      <c r="C11" s="6" t="n"/>
      <c r="D11" s="6" t="n"/>
      <c r="E11" s="6" t="n"/>
      <c r="F11" s="6" t="n"/>
      <c r="G11" s="6" t="n"/>
      <c r="H11" s="6" t="n"/>
      <c r="I11" s="6" t="n"/>
      <c r="J11" s="6" t="n"/>
      <c r="K11" s="6" t="n"/>
      <c r="L11" s="6" t="n"/>
      <c r="M11" s="6" t="n"/>
      <c r="N11" s="6" t="n"/>
    </row>
    <row r="12">
      <c r="A12" s="59" t="inlineStr">
        <is>
          <t>Jobs completed</t>
        </is>
      </c>
      <c r="B12" s="134">
        <f>COUNTIFS('JOBS'!$AH$5:$AH$1504,B$4,'JOBS'!$O$5:$O$1504,"Completed")</f>
        <v/>
      </c>
      <c r="C12" s="134">
        <f>COUNTIFS('JOBS'!$AH$5:$AH$1504,C$4,'JOBS'!$O$5:$O$1504,"Completed")</f>
        <v/>
      </c>
      <c r="D12" s="134">
        <f>COUNTIFS('JOBS'!$AH$5:$AH$1504,D$4,'JOBS'!$O$5:$O$1504,"Completed")</f>
        <v/>
      </c>
      <c r="E12" s="134">
        <f>COUNTIFS('JOBS'!$AH$5:$AH$1504,E$4,'JOBS'!$O$5:$O$1504,"Completed")</f>
        <v/>
      </c>
      <c r="F12" s="134">
        <f>COUNTIFS('JOBS'!$AH$5:$AH$1504,F$4,'JOBS'!$O$5:$O$1504,"Completed")</f>
        <v/>
      </c>
      <c r="G12" s="134">
        <f>COUNTIFS('JOBS'!$AH$5:$AH$1504,G$4,'JOBS'!$O$5:$O$1504,"Completed")</f>
        <v/>
      </c>
      <c r="H12" s="134">
        <f>COUNTIFS('JOBS'!$AH$5:$AH$1504,H$4,'JOBS'!$O$5:$O$1504,"Completed")</f>
        <v/>
      </c>
      <c r="I12" s="134">
        <f>COUNTIFS('JOBS'!$AH$5:$AH$1504,I$4,'JOBS'!$O$5:$O$1504,"Completed")</f>
        <v/>
      </c>
      <c r="J12" s="134">
        <f>COUNTIFS('JOBS'!$AH$5:$AH$1504,J$4,'JOBS'!$O$5:$O$1504,"Completed")</f>
        <v/>
      </c>
      <c r="K12" s="134">
        <f>COUNTIFS('JOBS'!$AH$5:$AH$1504,K$4,'JOBS'!$O$5:$O$1504,"Completed")</f>
        <v/>
      </c>
      <c r="L12" s="134">
        <f>COUNTIFS('JOBS'!$AH$5:$AH$1504,L$4,'JOBS'!$O$5:$O$1504,"Completed")</f>
        <v/>
      </c>
      <c r="M12" s="134">
        <f>COUNTIFS('JOBS'!$AH$5:$AH$1504,M$4,'JOBS'!$O$5:$O$1504,"Completed")</f>
        <v/>
      </c>
      <c r="N12" s="122">
        <f>SUM(B12:M12)</f>
        <v/>
      </c>
    </row>
    <row r="13">
      <c r="A13" s="59" t="inlineStr">
        <is>
          <t>Labor hours</t>
        </is>
      </c>
      <c r="B13" s="136">
        <f>SUMIFS('JOBS'!$R$5:$R$1504,'JOBS'!$AH$5:$AH$1504,B$4,'JOBS'!$O$5:$O$1504,"Completed")</f>
        <v/>
      </c>
      <c r="C13" s="136">
        <f>SUMIFS('JOBS'!$R$5:$R$1504,'JOBS'!$AH$5:$AH$1504,C$4,'JOBS'!$O$5:$O$1504,"Completed")</f>
        <v/>
      </c>
      <c r="D13" s="136">
        <f>SUMIFS('JOBS'!$R$5:$R$1504,'JOBS'!$AH$5:$AH$1504,D$4,'JOBS'!$O$5:$O$1504,"Completed")</f>
        <v/>
      </c>
      <c r="E13" s="136">
        <f>SUMIFS('JOBS'!$R$5:$R$1504,'JOBS'!$AH$5:$AH$1504,E$4,'JOBS'!$O$5:$O$1504,"Completed")</f>
        <v/>
      </c>
      <c r="F13" s="136">
        <f>SUMIFS('JOBS'!$R$5:$R$1504,'JOBS'!$AH$5:$AH$1504,F$4,'JOBS'!$O$5:$O$1504,"Completed")</f>
        <v/>
      </c>
      <c r="G13" s="136">
        <f>SUMIFS('JOBS'!$R$5:$R$1504,'JOBS'!$AH$5:$AH$1504,G$4,'JOBS'!$O$5:$O$1504,"Completed")</f>
        <v/>
      </c>
      <c r="H13" s="136">
        <f>SUMIFS('JOBS'!$R$5:$R$1504,'JOBS'!$AH$5:$AH$1504,H$4,'JOBS'!$O$5:$O$1504,"Completed")</f>
        <v/>
      </c>
      <c r="I13" s="136">
        <f>SUMIFS('JOBS'!$R$5:$R$1504,'JOBS'!$AH$5:$AH$1504,I$4,'JOBS'!$O$5:$O$1504,"Completed")</f>
        <v/>
      </c>
      <c r="J13" s="136">
        <f>SUMIFS('JOBS'!$R$5:$R$1504,'JOBS'!$AH$5:$AH$1504,J$4,'JOBS'!$O$5:$O$1504,"Completed")</f>
        <v/>
      </c>
      <c r="K13" s="136">
        <f>SUMIFS('JOBS'!$R$5:$R$1504,'JOBS'!$AH$5:$AH$1504,K$4,'JOBS'!$O$5:$O$1504,"Completed")</f>
        <v/>
      </c>
      <c r="L13" s="136">
        <f>SUMIFS('JOBS'!$R$5:$R$1504,'JOBS'!$AH$5:$AH$1504,L$4,'JOBS'!$O$5:$O$1504,"Completed")</f>
        <v/>
      </c>
      <c r="M13" s="136">
        <f>SUMIFS('JOBS'!$R$5:$R$1504,'JOBS'!$AH$5:$AH$1504,M$4,'JOBS'!$O$5:$O$1504,"Completed")</f>
        <v/>
      </c>
      <c r="N13" s="125">
        <f>SUM(B13:M13)</f>
        <v/>
      </c>
    </row>
    <row r="14">
      <c r="A14" s="59" t="inlineStr">
        <is>
          <t>New customers (first completed job)</t>
        </is>
      </c>
      <c r="B14" s="134">
        <f>COUNTIFS('CUSTOMERS'!$K$5:$K$404,"&gt;="&amp;B$4,'CUSTOMERS'!$K$5:$K$404,"&lt;="&amp;EOMONTH(B$4,0))</f>
        <v/>
      </c>
      <c r="C14" s="134">
        <f>COUNTIFS('CUSTOMERS'!$K$5:$K$404,"&gt;="&amp;C$4,'CUSTOMERS'!$K$5:$K$404,"&lt;="&amp;EOMONTH(C$4,0))</f>
        <v/>
      </c>
      <c r="D14" s="134">
        <f>COUNTIFS('CUSTOMERS'!$K$5:$K$404,"&gt;="&amp;D$4,'CUSTOMERS'!$K$5:$K$404,"&lt;="&amp;EOMONTH(D$4,0))</f>
        <v/>
      </c>
      <c r="E14" s="134">
        <f>COUNTIFS('CUSTOMERS'!$K$5:$K$404,"&gt;="&amp;E$4,'CUSTOMERS'!$K$5:$K$404,"&lt;="&amp;EOMONTH(E$4,0))</f>
        <v/>
      </c>
      <c r="F14" s="134">
        <f>COUNTIFS('CUSTOMERS'!$K$5:$K$404,"&gt;="&amp;F$4,'CUSTOMERS'!$K$5:$K$404,"&lt;="&amp;EOMONTH(F$4,0))</f>
        <v/>
      </c>
      <c r="G14" s="134">
        <f>COUNTIFS('CUSTOMERS'!$K$5:$K$404,"&gt;="&amp;G$4,'CUSTOMERS'!$K$5:$K$404,"&lt;="&amp;EOMONTH(G$4,0))</f>
        <v/>
      </c>
      <c r="H14" s="134">
        <f>COUNTIFS('CUSTOMERS'!$K$5:$K$404,"&gt;="&amp;H$4,'CUSTOMERS'!$K$5:$K$404,"&lt;="&amp;EOMONTH(H$4,0))</f>
        <v/>
      </c>
      <c r="I14" s="134">
        <f>COUNTIFS('CUSTOMERS'!$K$5:$K$404,"&gt;="&amp;I$4,'CUSTOMERS'!$K$5:$K$404,"&lt;="&amp;EOMONTH(I$4,0))</f>
        <v/>
      </c>
      <c r="J14" s="134">
        <f>COUNTIFS('CUSTOMERS'!$K$5:$K$404,"&gt;="&amp;J$4,'CUSTOMERS'!$K$5:$K$404,"&lt;="&amp;EOMONTH(J$4,0))</f>
        <v/>
      </c>
      <c r="K14" s="134">
        <f>COUNTIFS('CUSTOMERS'!$K$5:$K$404,"&gt;="&amp;K$4,'CUSTOMERS'!$K$5:$K$404,"&lt;="&amp;EOMONTH(K$4,0))</f>
        <v/>
      </c>
      <c r="L14" s="134">
        <f>COUNTIFS('CUSTOMERS'!$K$5:$K$404,"&gt;="&amp;L$4,'CUSTOMERS'!$K$5:$K$404,"&lt;="&amp;EOMONTH(L$4,0))</f>
        <v/>
      </c>
      <c r="M14" s="134">
        <f>COUNTIFS('CUSTOMERS'!$K$5:$K$404,"&gt;="&amp;M$4,'CUSTOMERS'!$K$5:$K$404,"&lt;="&amp;EOMONTH(M$4,0))</f>
        <v/>
      </c>
      <c r="N14" s="122">
        <f>SUM(B14:M14)</f>
        <v/>
      </c>
    </row>
    <row r="15">
      <c r="A15" s="59" t="inlineStr">
        <is>
          <t>Average QC score</t>
        </is>
      </c>
      <c r="B15" s="91">
        <f>IFERROR(AVERAGEIFS('QUALITY CONTROL'!$M$5:$M$304,'QUALITY CONTROL'!$P$5:$P$304,B$4),"")</f>
        <v/>
      </c>
      <c r="C15" s="91">
        <f>IFERROR(AVERAGEIFS('QUALITY CONTROL'!$M$5:$M$304,'QUALITY CONTROL'!$P$5:$P$304,C$4),"")</f>
        <v/>
      </c>
      <c r="D15" s="91">
        <f>IFERROR(AVERAGEIFS('QUALITY CONTROL'!$M$5:$M$304,'QUALITY CONTROL'!$P$5:$P$304,D$4),"")</f>
        <v/>
      </c>
      <c r="E15" s="91">
        <f>IFERROR(AVERAGEIFS('QUALITY CONTROL'!$M$5:$M$304,'QUALITY CONTROL'!$P$5:$P$304,E$4),"")</f>
        <v/>
      </c>
      <c r="F15" s="91">
        <f>IFERROR(AVERAGEIFS('QUALITY CONTROL'!$M$5:$M$304,'QUALITY CONTROL'!$P$5:$P$304,F$4),"")</f>
        <v/>
      </c>
      <c r="G15" s="91">
        <f>IFERROR(AVERAGEIFS('QUALITY CONTROL'!$M$5:$M$304,'QUALITY CONTROL'!$P$5:$P$304,G$4),"")</f>
        <v/>
      </c>
      <c r="H15" s="91">
        <f>IFERROR(AVERAGEIFS('QUALITY CONTROL'!$M$5:$M$304,'QUALITY CONTROL'!$P$5:$P$304,H$4),"")</f>
        <v/>
      </c>
      <c r="I15" s="91">
        <f>IFERROR(AVERAGEIFS('QUALITY CONTROL'!$M$5:$M$304,'QUALITY CONTROL'!$P$5:$P$304,I$4),"")</f>
        <v/>
      </c>
      <c r="J15" s="91">
        <f>IFERROR(AVERAGEIFS('QUALITY CONTROL'!$M$5:$M$304,'QUALITY CONTROL'!$P$5:$P$304,J$4),"")</f>
        <v/>
      </c>
      <c r="K15" s="91">
        <f>IFERROR(AVERAGEIFS('QUALITY CONTROL'!$M$5:$M$304,'QUALITY CONTROL'!$P$5:$P$304,K$4),"")</f>
        <v/>
      </c>
      <c r="L15" s="91">
        <f>IFERROR(AVERAGEIFS('QUALITY CONTROL'!$M$5:$M$304,'QUALITY CONTROL'!$P$5:$P$304,L$4),"")</f>
        <v/>
      </c>
      <c r="M15" s="91">
        <f>IFERROR(AVERAGEIFS('QUALITY CONTROL'!$M$5:$M$304,'QUALITY CONTROL'!$P$5:$P$304,M$4),"")</f>
        <v/>
      </c>
      <c r="N15" s="124">
        <f>IFERROR(AVERAGEIFS('QUALITY CONTROL'!$M$5:$M$304,'QUALITY CONTROL'!$P$5:$P$304,"&gt;="&amp;B$4,'QUALITY CONTROL'!$P$5:$P$304,"&lt;="&amp;M$4),"")</f>
        <v/>
      </c>
    </row>
    <row r="16">
      <c r="A16" s="59" t="inlineStr">
        <is>
          <t>Issues reported</t>
        </is>
      </c>
      <c r="B16" s="134">
        <f>COUNTIFS('QUALITY CONTROL'!$N$312:$N$461,B$4)</f>
        <v/>
      </c>
      <c r="C16" s="134">
        <f>COUNTIFS('QUALITY CONTROL'!$N$312:$N$461,C$4)</f>
        <v/>
      </c>
      <c r="D16" s="134">
        <f>COUNTIFS('QUALITY CONTROL'!$N$312:$N$461,D$4)</f>
        <v/>
      </c>
      <c r="E16" s="134">
        <f>COUNTIFS('QUALITY CONTROL'!$N$312:$N$461,E$4)</f>
        <v/>
      </c>
      <c r="F16" s="134">
        <f>COUNTIFS('QUALITY CONTROL'!$N$312:$N$461,F$4)</f>
        <v/>
      </c>
      <c r="G16" s="134">
        <f>COUNTIFS('QUALITY CONTROL'!$N$312:$N$461,G$4)</f>
        <v/>
      </c>
      <c r="H16" s="134">
        <f>COUNTIFS('QUALITY CONTROL'!$N$312:$N$461,H$4)</f>
        <v/>
      </c>
      <c r="I16" s="134">
        <f>COUNTIFS('QUALITY CONTROL'!$N$312:$N$461,I$4)</f>
        <v/>
      </c>
      <c r="J16" s="134">
        <f>COUNTIFS('QUALITY CONTROL'!$N$312:$N$461,J$4)</f>
        <v/>
      </c>
      <c r="K16" s="134">
        <f>COUNTIFS('QUALITY CONTROL'!$N$312:$N$461,K$4)</f>
        <v/>
      </c>
      <c r="L16" s="134">
        <f>COUNTIFS('QUALITY CONTROL'!$N$312:$N$461,L$4)</f>
        <v/>
      </c>
      <c r="M16" s="134">
        <f>COUNTIFS('QUALITY CONTROL'!$N$312:$N$461,M$4)</f>
        <v/>
      </c>
      <c r="N16" s="122">
        <f>SUM(B16:M16)</f>
        <v/>
      </c>
    </row>
    <row r="17">
      <c r="A17" s="59" t="inlineStr">
        <is>
          <t>Miles logged</t>
        </is>
      </c>
      <c r="B17" s="134">
        <f>SUMIFS('MILEAGE'!$J$5:$J$1504,'MILEAGE'!$L$5:$L$1504,B$4)</f>
        <v/>
      </c>
      <c r="C17" s="134">
        <f>SUMIFS('MILEAGE'!$J$5:$J$1504,'MILEAGE'!$L$5:$L$1504,C$4)</f>
        <v/>
      </c>
      <c r="D17" s="134">
        <f>SUMIFS('MILEAGE'!$J$5:$J$1504,'MILEAGE'!$L$5:$L$1504,D$4)</f>
        <v/>
      </c>
      <c r="E17" s="134">
        <f>SUMIFS('MILEAGE'!$J$5:$J$1504,'MILEAGE'!$L$5:$L$1504,E$4)</f>
        <v/>
      </c>
      <c r="F17" s="134">
        <f>SUMIFS('MILEAGE'!$J$5:$J$1504,'MILEAGE'!$L$5:$L$1504,F$4)</f>
        <v/>
      </c>
      <c r="G17" s="134">
        <f>SUMIFS('MILEAGE'!$J$5:$J$1504,'MILEAGE'!$L$5:$L$1504,G$4)</f>
        <v/>
      </c>
      <c r="H17" s="134">
        <f>SUMIFS('MILEAGE'!$J$5:$J$1504,'MILEAGE'!$L$5:$L$1504,H$4)</f>
        <v/>
      </c>
      <c r="I17" s="134">
        <f>SUMIFS('MILEAGE'!$J$5:$J$1504,'MILEAGE'!$L$5:$L$1504,I$4)</f>
        <v/>
      </c>
      <c r="J17" s="134">
        <f>SUMIFS('MILEAGE'!$J$5:$J$1504,'MILEAGE'!$L$5:$L$1504,J$4)</f>
        <v/>
      </c>
      <c r="K17" s="134">
        <f>SUMIFS('MILEAGE'!$J$5:$J$1504,'MILEAGE'!$L$5:$L$1504,K$4)</f>
        <v/>
      </c>
      <c r="L17" s="134">
        <f>SUMIFS('MILEAGE'!$J$5:$J$1504,'MILEAGE'!$L$5:$L$1504,L$4)</f>
        <v/>
      </c>
      <c r="M17" s="134">
        <f>SUMIFS('MILEAGE'!$J$5:$J$1504,'MILEAGE'!$L$5:$L$1504,M$4)</f>
        <v/>
      </c>
      <c r="N17" s="122">
        <f>SUM(B17:M17)</f>
        <v/>
      </c>
    </row>
    <row r="18">
      <c r="A18" s="5" t="inlineStr">
        <is>
          <t>MONEY  (estimates)</t>
        </is>
      </c>
      <c r="B18" s="6" t="n"/>
      <c r="C18" s="6" t="n"/>
      <c r="D18" s="6" t="n"/>
      <c r="E18" s="6" t="n"/>
      <c r="F18" s="6" t="n"/>
      <c r="G18" s="6" t="n"/>
      <c r="H18" s="6" t="n"/>
      <c r="I18" s="6" t="n"/>
      <c r="J18" s="6" t="n"/>
      <c r="K18" s="6" t="n"/>
      <c r="L18" s="6" t="n"/>
      <c r="M18" s="6" t="n"/>
      <c r="N18" s="6" t="n"/>
    </row>
    <row r="19">
      <c r="A19" s="59" t="inlineStr">
        <is>
          <t>Revenue (completed jobs, before tax)</t>
        </is>
      </c>
      <c r="B19" s="135">
        <f>SUMIFS('JOBS'!$L$5:$L$1504,'JOBS'!$AH$5:$AH$1504,B$4,'JOBS'!$O$5:$O$1504,"Completed")</f>
        <v/>
      </c>
      <c r="C19" s="135">
        <f>SUMIFS('JOBS'!$L$5:$L$1504,'JOBS'!$AH$5:$AH$1504,C$4,'JOBS'!$O$5:$O$1504,"Completed")</f>
        <v/>
      </c>
      <c r="D19" s="135">
        <f>SUMIFS('JOBS'!$L$5:$L$1504,'JOBS'!$AH$5:$AH$1504,D$4,'JOBS'!$O$5:$O$1504,"Completed")</f>
        <v/>
      </c>
      <c r="E19" s="135">
        <f>SUMIFS('JOBS'!$L$5:$L$1504,'JOBS'!$AH$5:$AH$1504,E$4,'JOBS'!$O$5:$O$1504,"Completed")</f>
        <v/>
      </c>
      <c r="F19" s="135">
        <f>SUMIFS('JOBS'!$L$5:$L$1504,'JOBS'!$AH$5:$AH$1504,F$4,'JOBS'!$O$5:$O$1504,"Completed")</f>
        <v/>
      </c>
      <c r="G19" s="135">
        <f>SUMIFS('JOBS'!$L$5:$L$1504,'JOBS'!$AH$5:$AH$1504,G$4,'JOBS'!$O$5:$O$1504,"Completed")</f>
        <v/>
      </c>
      <c r="H19" s="135">
        <f>SUMIFS('JOBS'!$L$5:$L$1504,'JOBS'!$AH$5:$AH$1504,H$4,'JOBS'!$O$5:$O$1504,"Completed")</f>
        <v/>
      </c>
      <c r="I19" s="135">
        <f>SUMIFS('JOBS'!$L$5:$L$1504,'JOBS'!$AH$5:$AH$1504,I$4,'JOBS'!$O$5:$O$1504,"Completed")</f>
        <v/>
      </c>
      <c r="J19" s="135">
        <f>SUMIFS('JOBS'!$L$5:$L$1504,'JOBS'!$AH$5:$AH$1504,J$4,'JOBS'!$O$5:$O$1504,"Completed")</f>
        <v/>
      </c>
      <c r="K19" s="135">
        <f>SUMIFS('JOBS'!$L$5:$L$1504,'JOBS'!$AH$5:$AH$1504,K$4,'JOBS'!$O$5:$O$1504,"Completed")</f>
        <v/>
      </c>
      <c r="L19" s="135">
        <f>SUMIFS('JOBS'!$L$5:$L$1504,'JOBS'!$AH$5:$AH$1504,L$4,'JOBS'!$O$5:$O$1504,"Completed")</f>
        <v/>
      </c>
      <c r="M19" s="135">
        <f>SUMIFS('JOBS'!$L$5:$L$1504,'JOBS'!$AH$5:$AH$1504,M$4,'JOBS'!$O$5:$O$1504,"Completed")</f>
        <v/>
      </c>
      <c r="N19" s="123">
        <f>SUM(B19:M19)</f>
        <v/>
      </c>
    </row>
    <row r="20">
      <c r="A20" s="59" t="inlineStr">
        <is>
          <t>Labor cost</t>
        </is>
      </c>
      <c r="B20" s="135">
        <f>SUMIFS('JOBS'!$X$5:$X$1504,'JOBS'!$AH$5:$AH$1504,B$4,'JOBS'!$O$5:$O$1504,"Completed")</f>
        <v/>
      </c>
      <c r="C20" s="135">
        <f>SUMIFS('JOBS'!$X$5:$X$1504,'JOBS'!$AH$5:$AH$1504,C$4,'JOBS'!$O$5:$O$1504,"Completed")</f>
        <v/>
      </c>
      <c r="D20" s="135">
        <f>SUMIFS('JOBS'!$X$5:$X$1504,'JOBS'!$AH$5:$AH$1504,D$4,'JOBS'!$O$5:$O$1504,"Completed")</f>
        <v/>
      </c>
      <c r="E20" s="135">
        <f>SUMIFS('JOBS'!$X$5:$X$1504,'JOBS'!$AH$5:$AH$1504,E$4,'JOBS'!$O$5:$O$1504,"Completed")</f>
        <v/>
      </c>
      <c r="F20" s="135">
        <f>SUMIFS('JOBS'!$X$5:$X$1504,'JOBS'!$AH$5:$AH$1504,F$4,'JOBS'!$O$5:$O$1504,"Completed")</f>
        <v/>
      </c>
      <c r="G20" s="135">
        <f>SUMIFS('JOBS'!$X$5:$X$1504,'JOBS'!$AH$5:$AH$1504,G$4,'JOBS'!$O$5:$O$1504,"Completed")</f>
        <v/>
      </c>
      <c r="H20" s="135">
        <f>SUMIFS('JOBS'!$X$5:$X$1504,'JOBS'!$AH$5:$AH$1504,H$4,'JOBS'!$O$5:$O$1504,"Completed")</f>
        <v/>
      </c>
      <c r="I20" s="135">
        <f>SUMIFS('JOBS'!$X$5:$X$1504,'JOBS'!$AH$5:$AH$1504,I$4,'JOBS'!$O$5:$O$1504,"Completed")</f>
        <v/>
      </c>
      <c r="J20" s="135">
        <f>SUMIFS('JOBS'!$X$5:$X$1504,'JOBS'!$AH$5:$AH$1504,J$4,'JOBS'!$O$5:$O$1504,"Completed")</f>
        <v/>
      </c>
      <c r="K20" s="135">
        <f>SUMIFS('JOBS'!$X$5:$X$1504,'JOBS'!$AH$5:$AH$1504,K$4,'JOBS'!$O$5:$O$1504,"Completed")</f>
        <v/>
      </c>
      <c r="L20" s="135">
        <f>SUMIFS('JOBS'!$X$5:$X$1504,'JOBS'!$AH$5:$AH$1504,L$4,'JOBS'!$O$5:$O$1504,"Completed")</f>
        <v/>
      </c>
      <c r="M20" s="135">
        <f>SUMIFS('JOBS'!$X$5:$X$1504,'JOBS'!$AH$5:$AH$1504,M$4,'JOBS'!$O$5:$O$1504,"Completed")</f>
        <v/>
      </c>
      <c r="N20" s="123">
        <f>SUM(B20:M20)</f>
        <v/>
      </c>
    </row>
    <row r="21">
      <c r="A21" s="59" t="inlineStr">
        <is>
          <t>Supplies (per-job estimate)</t>
        </is>
      </c>
      <c r="B21" s="135">
        <f>SUMIFS('JOBS'!$Y$5:$Y$1504,'JOBS'!$AH$5:$AH$1504,B$4,'JOBS'!$O$5:$O$1504,"Completed")</f>
        <v/>
      </c>
      <c r="C21" s="135">
        <f>SUMIFS('JOBS'!$Y$5:$Y$1504,'JOBS'!$AH$5:$AH$1504,C$4,'JOBS'!$O$5:$O$1504,"Completed")</f>
        <v/>
      </c>
      <c r="D21" s="135">
        <f>SUMIFS('JOBS'!$Y$5:$Y$1504,'JOBS'!$AH$5:$AH$1504,D$4,'JOBS'!$O$5:$O$1504,"Completed")</f>
        <v/>
      </c>
      <c r="E21" s="135">
        <f>SUMIFS('JOBS'!$Y$5:$Y$1504,'JOBS'!$AH$5:$AH$1504,E$4,'JOBS'!$O$5:$O$1504,"Completed")</f>
        <v/>
      </c>
      <c r="F21" s="135">
        <f>SUMIFS('JOBS'!$Y$5:$Y$1504,'JOBS'!$AH$5:$AH$1504,F$4,'JOBS'!$O$5:$O$1504,"Completed")</f>
        <v/>
      </c>
      <c r="G21" s="135">
        <f>SUMIFS('JOBS'!$Y$5:$Y$1504,'JOBS'!$AH$5:$AH$1504,G$4,'JOBS'!$O$5:$O$1504,"Completed")</f>
        <v/>
      </c>
      <c r="H21" s="135">
        <f>SUMIFS('JOBS'!$Y$5:$Y$1504,'JOBS'!$AH$5:$AH$1504,H$4,'JOBS'!$O$5:$O$1504,"Completed")</f>
        <v/>
      </c>
      <c r="I21" s="135">
        <f>SUMIFS('JOBS'!$Y$5:$Y$1504,'JOBS'!$AH$5:$AH$1504,I$4,'JOBS'!$O$5:$O$1504,"Completed")</f>
        <v/>
      </c>
      <c r="J21" s="135">
        <f>SUMIFS('JOBS'!$Y$5:$Y$1504,'JOBS'!$AH$5:$AH$1504,J$4,'JOBS'!$O$5:$O$1504,"Completed")</f>
        <v/>
      </c>
      <c r="K21" s="135">
        <f>SUMIFS('JOBS'!$Y$5:$Y$1504,'JOBS'!$AH$5:$AH$1504,K$4,'JOBS'!$O$5:$O$1504,"Completed")</f>
        <v/>
      </c>
      <c r="L21" s="135">
        <f>SUMIFS('JOBS'!$Y$5:$Y$1504,'JOBS'!$AH$5:$AH$1504,L$4,'JOBS'!$O$5:$O$1504,"Completed")</f>
        <v/>
      </c>
      <c r="M21" s="135">
        <f>SUMIFS('JOBS'!$Y$5:$Y$1504,'JOBS'!$AH$5:$AH$1504,M$4,'JOBS'!$O$5:$O$1504,"Completed")</f>
        <v/>
      </c>
      <c r="N21" s="123">
        <f>SUM(B21:M21)</f>
        <v/>
      </c>
    </row>
    <row r="22">
      <c r="A22" s="59" t="inlineStr">
        <is>
          <t>Vehicle cost (miles × your rate)</t>
        </is>
      </c>
      <c r="B22" s="135">
        <f>SUMIFS('JOBS'!$AA$5:$AA$1504,'JOBS'!$AH$5:$AH$1504,B$4,'JOBS'!$O$5:$O$1504,"Completed")</f>
        <v/>
      </c>
      <c r="C22" s="135">
        <f>SUMIFS('JOBS'!$AA$5:$AA$1504,'JOBS'!$AH$5:$AH$1504,C$4,'JOBS'!$O$5:$O$1504,"Completed")</f>
        <v/>
      </c>
      <c r="D22" s="135">
        <f>SUMIFS('JOBS'!$AA$5:$AA$1504,'JOBS'!$AH$5:$AH$1504,D$4,'JOBS'!$O$5:$O$1504,"Completed")</f>
        <v/>
      </c>
      <c r="E22" s="135">
        <f>SUMIFS('JOBS'!$AA$5:$AA$1504,'JOBS'!$AH$5:$AH$1504,E$4,'JOBS'!$O$5:$O$1504,"Completed")</f>
        <v/>
      </c>
      <c r="F22" s="135">
        <f>SUMIFS('JOBS'!$AA$5:$AA$1504,'JOBS'!$AH$5:$AH$1504,F$4,'JOBS'!$O$5:$O$1504,"Completed")</f>
        <v/>
      </c>
      <c r="G22" s="135">
        <f>SUMIFS('JOBS'!$AA$5:$AA$1504,'JOBS'!$AH$5:$AH$1504,G$4,'JOBS'!$O$5:$O$1504,"Completed")</f>
        <v/>
      </c>
      <c r="H22" s="135">
        <f>SUMIFS('JOBS'!$AA$5:$AA$1504,'JOBS'!$AH$5:$AH$1504,H$4,'JOBS'!$O$5:$O$1504,"Completed")</f>
        <v/>
      </c>
      <c r="I22" s="135">
        <f>SUMIFS('JOBS'!$AA$5:$AA$1504,'JOBS'!$AH$5:$AH$1504,I$4,'JOBS'!$O$5:$O$1504,"Completed")</f>
        <v/>
      </c>
      <c r="J22" s="135">
        <f>SUMIFS('JOBS'!$AA$5:$AA$1504,'JOBS'!$AH$5:$AH$1504,J$4,'JOBS'!$O$5:$O$1504,"Completed")</f>
        <v/>
      </c>
      <c r="K22" s="135">
        <f>SUMIFS('JOBS'!$AA$5:$AA$1504,'JOBS'!$AH$5:$AH$1504,K$4,'JOBS'!$O$5:$O$1504,"Completed")</f>
        <v/>
      </c>
      <c r="L22" s="135">
        <f>SUMIFS('JOBS'!$AA$5:$AA$1504,'JOBS'!$AH$5:$AH$1504,L$4,'JOBS'!$O$5:$O$1504,"Completed")</f>
        <v/>
      </c>
      <c r="M22" s="135">
        <f>SUMIFS('JOBS'!$AA$5:$AA$1504,'JOBS'!$AH$5:$AH$1504,M$4,'JOBS'!$O$5:$O$1504,"Completed")</f>
        <v/>
      </c>
      <c r="N22" s="123">
        <f>SUM(B22:M22)</f>
        <v/>
      </c>
    </row>
    <row r="23">
      <c r="A23" s="59" t="inlineStr">
        <is>
          <t>Payment fees</t>
        </is>
      </c>
      <c r="B23" s="135">
        <f>SUMIFS('JOBS'!$AB$5:$AB$1504,'JOBS'!$AH$5:$AH$1504,B$4,'JOBS'!$O$5:$O$1504,"Completed")</f>
        <v/>
      </c>
      <c r="C23" s="135">
        <f>SUMIFS('JOBS'!$AB$5:$AB$1504,'JOBS'!$AH$5:$AH$1504,C$4,'JOBS'!$O$5:$O$1504,"Completed")</f>
        <v/>
      </c>
      <c r="D23" s="135">
        <f>SUMIFS('JOBS'!$AB$5:$AB$1504,'JOBS'!$AH$5:$AH$1504,D$4,'JOBS'!$O$5:$O$1504,"Completed")</f>
        <v/>
      </c>
      <c r="E23" s="135">
        <f>SUMIFS('JOBS'!$AB$5:$AB$1504,'JOBS'!$AH$5:$AH$1504,E$4,'JOBS'!$O$5:$O$1504,"Completed")</f>
        <v/>
      </c>
      <c r="F23" s="135">
        <f>SUMIFS('JOBS'!$AB$5:$AB$1504,'JOBS'!$AH$5:$AH$1504,F$4,'JOBS'!$O$5:$O$1504,"Completed")</f>
        <v/>
      </c>
      <c r="G23" s="135">
        <f>SUMIFS('JOBS'!$AB$5:$AB$1504,'JOBS'!$AH$5:$AH$1504,G$4,'JOBS'!$O$5:$O$1504,"Completed")</f>
        <v/>
      </c>
      <c r="H23" s="135">
        <f>SUMIFS('JOBS'!$AB$5:$AB$1504,'JOBS'!$AH$5:$AH$1504,H$4,'JOBS'!$O$5:$O$1504,"Completed")</f>
        <v/>
      </c>
      <c r="I23" s="135">
        <f>SUMIFS('JOBS'!$AB$5:$AB$1504,'JOBS'!$AH$5:$AH$1504,I$4,'JOBS'!$O$5:$O$1504,"Completed")</f>
        <v/>
      </c>
      <c r="J23" s="135">
        <f>SUMIFS('JOBS'!$AB$5:$AB$1504,'JOBS'!$AH$5:$AH$1504,J$4,'JOBS'!$O$5:$O$1504,"Completed")</f>
        <v/>
      </c>
      <c r="K23" s="135">
        <f>SUMIFS('JOBS'!$AB$5:$AB$1504,'JOBS'!$AH$5:$AH$1504,K$4,'JOBS'!$O$5:$O$1504,"Completed")</f>
        <v/>
      </c>
      <c r="L23" s="135">
        <f>SUMIFS('JOBS'!$AB$5:$AB$1504,'JOBS'!$AH$5:$AH$1504,L$4,'JOBS'!$O$5:$O$1504,"Completed")</f>
        <v/>
      </c>
      <c r="M23" s="135">
        <f>SUMIFS('JOBS'!$AB$5:$AB$1504,'JOBS'!$AH$5:$AH$1504,M$4,'JOBS'!$O$5:$O$1504,"Completed")</f>
        <v/>
      </c>
      <c r="N23" s="123">
        <f>SUM(B23:M23)</f>
        <v/>
      </c>
    </row>
    <row r="24">
      <c r="A24" s="59" t="inlineStr">
        <is>
          <t>Job gross profit</t>
        </is>
      </c>
      <c r="B24" s="135">
        <f>B19-B20-B21-B22-B23</f>
        <v/>
      </c>
      <c r="C24" s="135">
        <f>C19-C20-C21-C22-C23</f>
        <v/>
      </c>
      <c r="D24" s="135">
        <f>D19-D20-D21-D22-D23</f>
        <v/>
      </c>
      <c r="E24" s="135">
        <f>E19-E20-E21-E22-E23</f>
        <v/>
      </c>
      <c r="F24" s="135">
        <f>F19-F20-F21-F22-F23</f>
        <v/>
      </c>
      <c r="G24" s="135">
        <f>G19-G20-G21-G22-G23</f>
        <v/>
      </c>
      <c r="H24" s="135">
        <f>H19-H20-H21-H22-H23</f>
        <v/>
      </c>
      <c r="I24" s="135">
        <f>I19-I20-I21-I22-I23</f>
        <v/>
      </c>
      <c r="J24" s="135">
        <f>J19-J20-J21-J22-J23</f>
        <v/>
      </c>
      <c r="K24" s="135">
        <f>K19-K20-K21-K22-K23</f>
        <v/>
      </c>
      <c r="L24" s="135">
        <f>L19-L20-L21-L22-L23</f>
        <v/>
      </c>
      <c r="M24" s="135">
        <f>M19-M20-M21-M22-M23</f>
        <v/>
      </c>
      <c r="N24" s="123">
        <f>SUM(B24:M24)</f>
        <v/>
      </c>
    </row>
    <row r="25">
      <c r="A25" s="59" t="inlineStr">
        <is>
          <t>Gross margin</t>
        </is>
      </c>
      <c r="B25" s="91">
        <f>IF(B19=0,"",B24/B19)</f>
        <v/>
      </c>
      <c r="C25" s="91">
        <f>IF(C19=0,"",C24/C19)</f>
        <v/>
      </c>
      <c r="D25" s="91">
        <f>IF(D19=0,"",D24/D19)</f>
        <v/>
      </c>
      <c r="E25" s="91">
        <f>IF(E19=0,"",E24/E19)</f>
        <v/>
      </c>
      <c r="F25" s="91">
        <f>IF(F19=0,"",F24/F19)</f>
        <v/>
      </c>
      <c r="G25" s="91">
        <f>IF(G19=0,"",G24/G19)</f>
        <v/>
      </c>
      <c r="H25" s="91">
        <f>IF(H19=0,"",H24/H19)</f>
        <v/>
      </c>
      <c r="I25" s="91">
        <f>IF(I19=0,"",I24/I19)</f>
        <v/>
      </c>
      <c r="J25" s="91">
        <f>IF(J19=0,"",J24/J19)</f>
        <v/>
      </c>
      <c r="K25" s="91">
        <f>IF(K19=0,"",K24/K19)</f>
        <v/>
      </c>
      <c r="L25" s="91">
        <f>IF(L19=0,"",L24/L19)</f>
        <v/>
      </c>
      <c r="M25" s="91">
        <f>IF(M19=0,"",M24/M19)</f>
        <v/>
      </c>
      <c r="N25" s="124">
        <f>IF(N(N19)=0,"",N24/N19)</f>
        <v/>
      </c>
    </row>
    <row r="26">
      <c r="A26" s="59" t="inlineStr">
        <is>
          <t>Overhead expenses (categories marked Overhead)</t>
        </is>
      </c>
      <c r="B26" s="135">
        <f>SUMIFS('EXPENSES'!$E$5:$E$1004,'EXPENSES'!$K$5:$K$1004,B$4,'EXPENSES'!$J$5:$J$1004,"Yes")</f>
        <v/>
      </c>
      <c r="C26" s="135">
        <f>SUMIFS('EXPENSES'!$E$5:$E$1004,'EXPENSES'!$K$5:$K$1004,C$4,'EXPENSES'!$J$5:$J$1004,"Yes")</f>
        <v/>
      </c>
      <c r="D26" s="135">
        <f>SUMIFS('EXPENSES'!$E$5:$E$1004,'EXPENSES'!$K$5:$K$1004,D$4,'EXPENSES'!$J$5:$J$1004,"Yes")</f>
        <v/>
      </c>
      <c r="E26" s="135">
        <f>SUMIFS('EXPENSES'!$E$5:$E$1004,'EXPENSES'!$K$5:$K$1004,E$4,'EXPENSES'!$J$5:$J$1004,"Yes")</f>
        <v/>
      </c>
      <c r="F26" s="135">
        <f>SUMIFS('EXPENSES'!$E$5:$E$1004,'EXPENSES'!$K$5:$K$1004,F$4,'EXPENSES'!$J$5:$J$1004,"Yes")</f>
        <v/>
      </c>
      <c r="G26" s="135">
        <f>SUMIFS('EXPENSES'!$E$5:$E$1004,'EXPENSES'!$K$5:$K$1004,G$4,'EXPENSES'!$J$5:$J$1004,"Yes")</f>
        <v/>
      </c>
      <c r="H26" s="135">
        <f>SUMIFS('EXPENSES'!$E$5:$E$1004,'EXPENSES'!$K$5:$K$1004,H$4,'EXPENSES'!$J$5:$J$1004,"Yes")</f>
        <v/>
      </c>
      <c r="I26" s="135">
        <f>SUMIFS('EXPENSES'!$E$5:$E$1004,'EXPENSES'!$K$5:$K$1004,I$4,'EXPENSES'!$J$5:$J$1004,"Yes")</f>
        <v/>
      </c>
      <c r="J26" s="135">
        <f>SUMIFS('EXPENSES'!$E$5:$E$1004,'EXPENSES'!$K$5:$K$1004,J$4,'EXPENSES'!$J$5:$J$1004,"Yes")</f>
        <v/>
      </c>
      <c r="K26" s="135">
        <f>SUMIFS('EXPENSES'!$E$5:$E$1004,'EXPENSES'!$K$5:$K$1004,K$4,'EXPENSES'!$J$5:$J$1004,"Yes")</f>
        <v/>
      </c>
      <c r="L26" s="135">
        <f>SUMIFS('EXPENSES'!$E$5:$E$1004,'EXPENSES'!$K$5:$K$1004,L$4,'EXPENSES'!$J$5:$J$1004,"Yes")</f>
        <v/>
      </c>
      <c r="M26" s="135">
        <f>SUMIFS('EXPENSES'!$E$5:$E$1004,'EXPENSES'!$K$5:$K$1004,M$4,'EXPENSES'!$J$5:$J$1004,"Yes")</f>
        <v/>
      </c>
      <c r="N26" s="123">
        <f>SUM(B26:M26)</f>
        <v/>
      </c>
    </row>
    <row r="27">
      <c r="A27" s="70" t="inlineStr">
        <is>
          <t>ESTIMATED OPERATING PROFIT</t>
        </is>
      </c>
      <c r="B27" s="137">
        <f>B24-B26</f>
        <v/>
      </c>
      <c r="C27" s="137">
        <f>C24-C26</f>
        <v/>
      </c>
      <c r="D27" s="137">
        <f>D24-D26</f>
        <v/>
      </c>
      <c r="E27" s="137">
        <f>E24-E26</f>
        <v/>
      </c>
      <c r="F27" s="137">
        <f>F24-F26</f>
        <v/>
      </c>
      <c r="G27" s="137">
        <f>G24-G26</f>
        <v/>
      </c>
      <c r="H27" s="137">
        <f>H24-H26</f>
        <v/>
      </c>
      <c r="I27" s="137">
        <f>I24-I26</f>
        <v/>
      </c>
      <c r="J27" s="137">
        <f>J24-J26</f>
        <v/>
      </c>
      <c r="K27" s="137">
        <f>K24-K26</f>
        <v/>
      </c>
      <c r="L27" s="137">
        <f>L24-L26</f>
        <v/>
      </c>
      <c r="M27" s="137">
        <f>M24-M26</f>
        <v/>
      </c>
      <c r="N27" s="123">
        <f>SUM(B27:M27)</f>
        <v/>
      </c>
    </row>
    <row r="28">
      <c r="A28" s="59" t="inlineStr">
        <is>
          <t>Operating margin</t>
        </is>
      </c>
      <c r="B28" s="91">
        <f>IF(B19=0,"",B27/B19)</f>
        <v/>
      </c>
      <c r="C28" s="91">
        <f>IF(C19=0,"",C27/C19)</f>
        <v/>
      </c>
      <c r="D28" s="91">
        <f>IF(D19=0,"",D27/D19)</f>
        <v/>
      </c>
      <c r="E28" s="91">
        <f>IF(E19=0,"",E27/E19)</f>
        <v/>
      </c>
      <c r="F28" s="91">
        <f>IF(F19=0,"",F27/F19)</f>
        <v/>
      </c>
      <c r="G28" s="91">
        <f>IF(G19=0,"",G27/G19)</f>
        <v/>
      </c>
      <c r="H28" s="91">
        <f>IF(H19=0,"",H27/H19)</f>
        <v/>
      </c>
      <c r="I28" s="91">
        <f>IF(I19=0,"",I27/I19)</f>
        <v/>
      </c>
      <c r="J28" s="91">
        <f>IF(J19=0,"",J27/J19)</f>
        <v/>
      </c>
      <c r="K28" s="91">
        <f>IF(K19=0,"",K27/K19)</f>
        <v/>
      </c>
      <c r="L28" s="91">
        <f>IF(L19=0,"",L27/L19)</f>
        <v/>
      </c>
      <c r="M28" s="91">
        <f>IF(M19=0,"",M27/M19)</f>
        <v/>
      </c>
      <c r="N28" s="124">
        <f>IF(N(N19)=0,"",N27/N19)</f>
        <v/>
      </c>
    </row>
    <row r="29">
      <c r="A29" s="59" t="inlineStr">
        <is>
          <t>Average job value</t>
        </is>
      </c>
      <c r="B29" s="135">
        <f>IF(B12=0,"",B19/B12)</f>
        <v/>
      </c>
      <c r="C29" s="135">
        <f>IF(C12=0,"",C19/C12)</f>
        <v/>
      </c>
      <c r="D29" s="135">
        <f>IF(D12=0,"",D19/D12)</f>
        <v/>
      </c>
      <c r="E29" s="135">
        <f>IF(E12=0,"",E19/E12)</f>
        <v/>
      </c>
      <c r="F29" s="135">
        <f>IF(F12=0,"",F19/F12)</f>
        <v/>
      </c>
      <c r="G29" s="135">
        <f>IF(G12=0,"",G19/G12)</f>
        <v/>
      </c>
      <c r="H29" s="135">
        <f>IF(H12=0,"",H19/H12)</f>
        <v/>
      </c>
      <c r="I29" s="135">
        <f>IF(I12=0,"",I19/I12)</f>
        <v/>
      </c>
      <c r="J29" s="135">
        <f>IF(J12=0,"",J19/J12)</f>
        <v/>
      </c>
      <c r="K29" s="135">
        <f>IF(K12=0,"",K19/K12)</f>
        <v/>
      </c>
      <c r="L29" s="135">
        <f>IF(L12=0,"",L19/L12)</f>
        <v/>
      </c>
      <c r="M29" s="135">
        <f>IF(M12=0,"",M19/M12)</f>
        <v/>
      </c>
      <c r="N29" s="123">
        <f>IF(N(N12)=0,"",N19/N12)</f>
        <v/>
      </c>
    </row>
    <row r="30">
      <c r="A30" s="59" t="inlineStr">
        <is>
          <t>Revenue per labor hour</t>
        </is>
      </c>
      <c r="B30" s="84">
        <f>IF(N(B13)=0,"",B19/B13)</f>
        <v/>
      </c>
      <c r="C30" s="84">
        <f>IF(N(C13)=0,"",C19/C13)</f>
        <v/>
      </c>
      <c r="D30" s="84">
        <f>IF(N(D13)=0,"",D19/D13)</f>
        <v/>
      </c>
      <c r="E30" s="84">
        <f>IF(N(E13)=0,"",E19/E13)</f>
        <v/>
      </c>
      <c r="F30" s="84">
        <f>IF(N(F13)=0,"",F19/F13)</f>
        <v/>
      </c>
      <c r="G30" s="84">
        <f>IF(N(G13)=0,"",G19/G13)</f>
        <v/>
      </c>
      <c r="H30" s="84">
        <f>IF(N(H13)=0,"",H19/H13)</f>
        <v/>
      </c>
      <c r="I30" s="84">
        <f>IF(N(I13)=0,"",I19/I13)</f>
        <v/>
      </c>
      <c r="J30" s="84">
        <f>IF(N(J13)=0,"",J19/J13)</f>
        <v/>
      </c>
      <c r="K30" s="84">
        <f>IF(N(K13)=0,"",K19/K13)</f>
        <v/>
      </c>
      <c r="L30" s="84">
        <f>IF(N(L13)=0,"",L19/L13)</f>
        <v/>
      </c>
      <c r="M30" s="84">
        <f>IF(N(M13)=0,"",M19/M13)</f>
        <v/>
      </c>
      <c r="N30" s="126">
        <f>IF(N(N13)=0,"",N19/N13)</f>
        <v/>
      </c>
    </row>
    <row r="31">
      <c r="A31" s="59" t="inlineStr">
        <is>
          <t>Payments collected (incl. tax)</t>
        </is>
      </c>
      <c r="B31" s="135">
        <f>SUMIFS('REVENUE'!$C$5:$C$1504,'REVENUE'!$K$5:$K$1504,B$4)</f>
        <v/>
      </c>
      <c r="C31" s="135">
        <f>SUMIFS('REVENUE'!$C$5:$C$1504,'REVENUE'!$K$5:$K$1504,C$4)</f>
        <v/>
      </c>
      <c r="D31" s="135">
        <f>SUMIFS('REVENUE'!$C$5:$C$1504,'REVENUE'!$K$5:$K$1504,D$4)</f>
        <v/>
      </c>
      <c r="E31" s="135">
        <f>SUMIFS('REVENUE'!$C$5:$C$1504,'REVENUE'!$K$5:$K$1504,E$4)</f>
        <v/>
      </c>
      <c r="F31" s="135">
        <f>SUMIFS('REVENUE'!$C$5:$C$1504,'REVENUE'!$K$5:$K$1504,F$4)</f>
        <v/>
      </c>
      <c r="G31" s="135">
        <f>SUMIFS('REVENUE'!$C$5:$C$1504,'REVENUE'!$K$5:$K$1504,G$4)</f>
        <v/>
      </c>
      <c r="H31" s="135">
        <f>SUMIFS('REVENUE'!$C$5:$C$1504,'REVENUE'!$K$5:$K$1504,H$4)</f>
        <v/>
      </c>
      <c r="I31" s="135">
        <f>SUMIFS('REVENUE'!$C$5:$C$1504,'REVENUE'!$K$5:$K$1504,I$4)</f>
        <v/>
      </c>
      <c r="J31" s="135">
        <f>SUMIFS('REVENUE'!$C$5:$C$1504,'REVENUE'!$K$5:$K$1504,J$4)</f>
        <v/>
      </c>
      <c r="K31" s="135">
        <f>SUMIFS('REVENUE'!$C$5:$C$1504,'REVENUE'!$K$5:$K$1504,K$4)</f>
        <v/>
      </c>
      <c r="L31" s="135">
        <f>SUMIFS('REVENUE'!$C$5:$C$1504,'REVENUE'!$K$5:$K$1504,L$4)</f>
        <v/>
      </c>
      <c r="M31" s="135">
        <f>SUMIFS('REVENUE'!$C$5:$C$1504,'REVENUE'!$K$5:$K$1504,M$4)</f>
        <v/>
      </c>
      <c r="N31" s="123">
        <f>SUM(B31:M31)</f>
        <v/>
      </c>
    </row>
    <row r="32">
      <c r="A32" s="59" t="inlineStr">
        <is>
          <t>All spending logged in EXPENSES</t>
        </is>
      </c>
      <c r="B32" s="135">
        <f>SUMIFS('EXPENSES'!$E$5:$E$1004,'EXPENSES'!$K$5:$K$1004,B$4)</f>
        <v/>
      </c>
      <c r="C32" s="135">
        <f>SUMIFS('EXPENSES'!$E$5:$E$1004,'EXPENSES'!$K$5:$K$1004,C$4)</f>
        <v/>
      </c>
      <c r="D32" s="135">
        <f>SUMIFS('EXPENSES'!$E$5:$E$1004,'EXPENSES'!$K$5:$K$1004,D$4)</f>
        <v/>
      </c>
      <c r="E32" s="135">
        <f>SUMIFS('EXPENSES'!$E$5:$E$1004,'EXPENSES'!$K$5:$K$1004,E$4)</f>
        <v/>
      </c>
      <c r="F32" s="135">
        <f>SUMIFS('EXPENSES'!$E$5:$E$1004,'EXPENSES'!$K$5:$K$1004,F$4)</f>
        <v/>
      </c>
      <c r="G32" s="135">
        <f>SUMIFS('EXPENSES'!$E$5:$E$1004,'EXPENSES'!$K$5:$K$1004,G$4)</f>
        <v/>
      </c>
      <c r="H32" s="135">
        <f>SUMIFS('EXPENSES'!$E$5:$E$1004,'EXPENSES'!$K$5:$K$1004,H$4)</f>
        <v/>
      </c>
      <c r="I32" s="135">
        <f>SUMIFS('EXPENSES'!$E$5:$E$1004,'EXPENSES'!$K$5:$K$1004,I$4)</f>
        <v/>
      </c>
      <c r="J32" s="135">
        <f>SUMIFS('EXPENSES'!$E$5:$E$1004,'EXPENSES'!$K$5:$K$1004,J$4)</f>
        <v/>
      </c>
      <c r="K32" s="135">
        <f>SUMIFS('EXPENSES'!$E$5:$E$1004,'EXPENSES'!$K$5:$K$1004,K$4)</f>
        <v/>
      </c>
      <c r="L32" s="135">
        <f>SUMIFS('EXPENSES'!$E$5:$E$1004,'EXPENSES'!$K$5:$K$1004,L$4)</f>
        <v/>
      </c>
      <c r="M32" s="135">
        <f>SUMIFS('EXPENSES'!$E$5:$E$1004,'EXPENSES'!$K$5:$K$1004,M$4)</f>
        <v/>
      </c>
      <c r="N32" s="123">
        <f>SUM(B32:M32)</f>
        <v/>
      </c>
    </row>
    <row r="33">
      <c r="A33" s="5" t="inlineStr">
        <is>
          <t>GROWTH</t>
        </is>
      </c>
      <c r="B33" s="6" t="n"/>
      <c r="C33" s="6" t="n"/>
      <c r="D33" s="6" t="n"/>
      <c r="E33" s="6" t="n"/>
      <c r="F33" s="6" t="n"/>
      <c r="G33" s="6" t="n"/>
      <c r="H33" s="6" t="n"/>
      <c r="I33" s="6" t="n"/>
      <c r="J33" s="6" t="n"/>
      <c r="K33" s="6" t="n"/>
      <c r="L33" s="6" t="n"/>
      <c r="M33" s="6" t="n"/>
      <c r="N33" s="6" t="n"/>
    </row>
    <row r="34">
      <c r="A34" s="59" t="inlineStr">
        <is>
          <t>Reviews received</t>
        </is>
      </c>
      <c r="B34" s="134">
        <f>COUNTIFS('REVIEWS'!$L$5:$L$504,B$4,'REVIEWS'!$E$5:$E$504,"Received")</f>
        <v/>
      </c>
      <c r="C34" s="134">
        <f>COUNTIFS('REVIEWS'!$L$5:$L$504,C$4,'REVIEWS'!$E$5:$E$504,"Received")</f>
        <v/>
      </c>
      <c r="D34" s="134">
        <f>COUNTIFS('REVIEWS'!$L$5:$L$504,D$4,'REVIEWS'!$E$5:$E$504,"Received")</f>
        <v/>
      </c>
      <c r="E34" s="134">
        <f>COUNTIFS('REVIEWS'!$L$5:$L$504,E$4,'REVIEWS'!$E$5:$E$504,"Received")</f>
        <v/>
      </c>
      <c r="F34" s="134">
        <f>COUNTIFS('REVIEWS'!$L$5:$L$504,F$4,'REVIEWS'!$E$5:$E$504,"Received")</f>
        <v/>
      </c>
      <c r="G34" s="134">
        <f>COUNTIFS('REVIEWS'!$L$5:$L$504,G$4,'REVIEWS'!$E$5:$E$504,"Received")</f>
        <v/>
      </c>
      <c r="H34" s="134">
        <f>COUNTIFS('REVIEWS'!$L$5:$L$504,H$4,'REVIEWS'!$E$5:$E$504,"Received")</f>
        <v/>
      </c>
      <c r="I34" s="134">
        <f>COUNTIFS('REVIEWS'!$L$5:$L$504,I$4,'REVIEWS'!$E$5:$E$504,"Received")</f>
        <v/>
      </c>
      <c r="J34" s="134">
        <f>COUNTIFS('REVIEWS'!$L$5:$L$504,J$4,'REVIEWS'!$E$5:$E$504,"Received")</f>
        <v/>
      </c>
      <c r="K34" s="134">
        <f>COUNTIFS('REVIEWS'!$L$5:$L$504,K$4,'REVIEWS'!$E$5:$E$504,"Received")</f>
        <v/>
      </c>
      <c r="L34" s="134">
        <f>COUNTIFS('REVIEWS'!$L$5:$L$504,L$4,'REVIEWS'!$E$5:$E$504,"Received")</f>
        <v/>
      </c>
      <c r="M34" s="134">
        <f>COUNTIFS('REVIEWS'!$L$5:$L$504,M$4,'REVIEWS'!$E$5:$E$504,"Received")</f>
        <v/>
      </c>
      <c r="N34" s="122">
        <f>SUM(B34:M34)</f>
        <v/>
      </c>
    </row>
    <row r="35">
      <c r="A35" s="59" t="inlineStr">
        <is>
          <t>Average rating</t>
        </is>
      </c>
      <c r="B35" s="138">
        <f>IFERROR(AVERAGEIFS('REVIEWS'!$G$5:$G$504,'REVIEWS'!$L$5:$L$504,B$4,'REVIEWS'!$E$5:$E$504,"Received"),"")</f>
        <v/>
      </c>
      <c r="C35" s="138">
        <f>IFERROR(AVERAGEIFS('REVIEWS'!$G$5:$G$504,'REVIEWS'!$L$5:$L$504,C$4,'REVIEWS'!$E$5:$E$504,"Received"),"")</f>
        <v/>
      </c>
      <c r="D35" s="138">
        <f>IFERROR(AVERAGEIFS('REVIEWS'!$G$5:$G$504,'REVIEWS'!$L$5:$L$504,D$4,'REVIEWS'!$E$5:$E$504,"Received"),"")</f>
        <v/>
      </c>
      <c r="E35" s="138">
        <f>IFERROR(AVERAGEIFS('REVIEWS'!$G$5:$G$504,'REVIEWS'!$L$5:$L$504,E$4,'REVIEWS'!$E$5:$E$504,"Received"),"")</f>
        <v/>
      </c>
      <c r="F35" s="138">
        <f>IFERROR(AVERAGEIFS('REVIEWS'!$G$5:$G$504,'REVIEWS'!$L$5:$L$504,F$4,'REVIEWS'!$E$5:$E$504,"Received"),"")</f>
        <v/>
      </c>
      <c r="G35" s="138">
        <f>IFERROR(AVERAGEIFS('REVIEWS'!$G$5:$G$504,'REVIEWS'!$L$5:$L$504,G$4,'REVIEWS'!$E$5:$E$504,"Received"),"")</f>
        <v/>
      </c>
      <c r="H35" s="138">
        <f>IFERROR(AVERAGEIFS('REVIEWS'!$G$5:$G$504,'REVIEWS'!$L$5:$L$504,H$4,'REVIEWS'!$E$5:$E$504,"Received"),"")</f>
        <v/>
      </c>
      <c r="I35" s="138">
        <f>IFERROR(AVERAGEIFS('REVIEWS'!$G$5:$G$504,'REVIEWS'!$L$5:$L$504,I$4,'REVIEWS'!$E$5:$E$504,"Received"),"")</f>
        <v/>
      </c>
      <c r="J35" s="138">
        <f>IFERROR(AVERAGEIFS('REVIEWS'!$G$5:$G$504,'REVIEWS'!$L$5:$L$504,J$4,'REVIEWS'!$E$5:$E$504,"Received"),"")</f>
        <v/>
      </c>
      <c r="K35" s="138">
        <f>IFERROR(AVERAGEIFS('REVIEWS'!$G$5:$G$504,'REVIEWS'!$L$5:$L$504,K$4,'REVIEWS'!$E$5:$E$504,"Received"),"")</f>
        <v/>
      </c>
      <c r="L35" s="138">
        <f>IFERROR(AVERAGEIFS('REVIEWS'!$G$5:$G$504,'REVIEWS'!$L$5:$L$504,L$4,'REVIEWS'!$E$5:$E$504,"Received"),"")</f>
        <v/>
      </c>
      <c r="M35" s="138">
        <f>IFERROR(AVERAGEIFS('REVIEWS'!$G$5:$G$504,'REVIEWS'!$L$5:$L$504,M$4,'REVIEWS'!$E$5:$E$504,"Received"),"")</f>
        <v/>
      </c>
      <c r="N35" s="139">
        <f>IFERROR(AVERAGEIFS('REVIEWS'!$G$5:$G$504,'REVIEWS'!$L$5:$L$504,"&gt;="&amp;B$4,'REVIEWS'!$L$5:$L$504,"&lt;="&amp;M$4,'REVIEWS'!$E$5:$E$504,"Received"),"")</f>
        <v/>
      </c>
    </row>
    <row r="36">
      <c r="A36" s="59" t="inlineStr">
        <is>
          <t>Referrals received</t>
        </is>
      </c>
      <c r="B36" s="134">
        <f>COUNTIFS('REFERRALS'!$J$5:$J$204,B$4)</f>
        <v/>
      </c>
      <c r="C36" s="134">
        <f>COUNTIFS('REFERRALS'!$J$5:$J$204,C$4)</f>
        <v/>
      </c>
      <c r="D36" s="134">
        <f>COUNTIFS('REFERRALS'!$J$5:$J$204,D$4)</f>
        <v/>
      </c>
      <c r="E36" s="134">
        <f>COUNTIFS('REFERRALS'!$J$5:$J$204,E$4)</f>
        <v/>
      </c>
      <c r="F36" s="134">
        <f>COUNTIFS('REFERRALS'!$J$5:$J$204,F$4)</f>
        <v/>
      </c>
      <c r="G36" s="134">
        <f>COUNTIFS('REFERRALS'!$J$5:$J$204,G$4)</f>
        <v/>
      </c>
      <c r="H36" s="134">
        <f>COUNTIFS('REFERRALS'!$J$5:$J$204,H$4)</f>
        <v/>
      </c>
      <c r="I36" s="134">
        <f>COUNTIFS('REFERRALS'!$J$5:$J$204,I$4)</f>
        <v/>
      </c>
      <c r="J36" s="134">
        <f>COUNTIFS('REFERRALS'!$J$5:$J$204,J$4)</f>
        <v/>
      </c>
      <c r="K36" s="134">
        <f>COUNTIFS('REFERRALS'!$J$5:$J$204,K$4)</f>
        <v/>
      </c>
      <c r="L36" s="134">
        <f>COUNTIFS('REFERRALS'!$J$5:$J$204,L$4)</f>
        <v/>
      </c>
      <c r="M36" s="134">
        <f>COUNTIFS('REFERRALS'!$J$5:$J$204,M$4)</f>
        <v/>
      </c>
      <c r="N36" s="122">
        <f>SUM(B36:M36)</f>
        <v/>
      </c>
    </row>
    <row r="37">
      <c r="A37" s="59" t="inlineStr">
        <is>
          <t>Referrals booked</t>
        </is>
      </c>
      <c r="B37" s="134">
        <f>COUNTIFS('REFERRALS'!$J$5:$J$204,B$4,'REFERRALS'!$E$5:$E$204,"Booked")</f>
        <v/>
      </c>
      <c r="C37" s="134">
        <f>COUNTIFS('REFERRALS'!$J$5:$J$204,C$4,'REFERRALS'!$E$5:$E$204,"Booked")</f>
        <v/>
      </c>
      <c r="D37" s="134">
        <f>COUNTIFS('REFERRALS'!$J$5:$J$204,D$4,'REFERRALS'!$E$5:$E$204,"Booked")</f>
        <v/>
      </c>
      <c r="E37" s="134">
        <f>COUNTIFS('REFERRALS'!$J$5:$J$204,E$4,'REFERRALS'!$E$5:$E$204,"Booked")</f>
        <v/>
      </c>
      <c r="F37" s="134">
        <f>COUNTIFS('REFERRALS'!$J$5:$J$204,F$4,'REFERRALS'!$E$5:$E$204,"Booked")</f>
        <v/>
      </c>
      <c r="G37" s="134">
        <f>COUNTIFS('REFERRALS'!$J$5:$J$204,G$4,'REFERRALS'!$E$5:$E$204,"Booked")</f>
        <v/>
      </c>
      <c r="H37" s="134">
        <f>COUNTIFS('REFERRALS'!$J$5:$J$204,H$4,'REFERRALS'!$E$5:$E$204,"Booked")</f>
        <v/>
      </c>
      <c r="I37" s="134">
        <f>COUNTIFS('REFERRALS'!$J$5:$J$204,I$4,'REFERRALS'!$E$5:$E$204,"Booked")</f>
        <v/>
      </c>
      <c r="J37" s="134">
        <f>COUNTIFS('REFERRALS'!$J$5:$J$204,J$4,'REFERRALS'!$E$5:$E$204,"Booked")</f>
        <v/>
      </c>
      <c r="K37" s="134">
        <f>COUNTIFS('REFERRALS'!$J$5:$J$204,K$4,'REFERRALS'!$E$5:$E$204,"Booked")</f>
        <v/>
      </c>
      <c r="L37" s="134">
        <f>COUNTIFS('REFERRALS'!$J$5:$J$204,L$4,'REFERRALS'!$E$5:$E$204,"Booked")</f>
        <v/>
      </c>
      <c r="M37" s="134">
        <f>COUNTIFS('REFERRALS'!$J$5:$J$204,M$4,'REFERRALS'!$E$5:$E$204,"Booked")</f>
        <v/>
      </c>
      <c r="N37" s="122">
        <f>SUM(B37:M37)</f>
        <v/>
      </c>
    </row>
    <row r="38" ht="30" customHeight="1">
      <c r="A38" s="140" t="inlineStr">
        <is>
          <t>How to read this: Job gross profit uses your per-job cost estimates. Overhead = EXPENSES in categories marked 'Counted as Overhead? = Yes' in SETTINGS (staff pay, job supplies, fuel and merchant fees are excluded there because they are already costed per job). Talk to a qualified accountant for tax or financial statements.</t>
        </is>
      </c>
    </row>
    <row r="39"/>
  </sheetData>
  <mergeCells count="3">
    <mergeCell ref="A38:N39"/>
    <mergeCell ref="A2:N2"/>
    <mergeCell ref="A1:N1"/>
  </mergeCells>
  <conditionalFormatting sqref="B27:N27">
    <cfRule type="expression" priority="1" dxfId="0">
      <formula>B27&lt;0</formula>
    </cfRule>
  </conditionalFormatting>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drawing xmlns:r="http://schemas.openxmlformats.org/officeDocument/2006/relationships" r:id="rId1"/>
</worksheet>
</file>

<file path=xl/worksheets/sheet23.xml><?xml version="1.0" encoding="utf-8"?>
<worksheet xmlns="http://schemas.openxmlformats.org/spreadsheetml/2006/main">
  <sheetPr>
    <tabColor rgb="007F8C8D"/>
    <outlinePr summaryBelow="1" summaryRight="1"/>
    <pageSetUpPr fitToPage="1"/>
  </sheetPr>
  <dimension ref="A1:AK33"/>
  <sheetViews>
    <sheetView showGridLines="0" workbookViewId="0">
      <pane ySplit="4" topLeftCell="A5" activePane="bottomLeft" state="frozen"/>
      <selection pane="bottomLeft" activeCell="A1" sqref="A1"/>
    </sheetView>
  </sheetViews>
  <sheetFormatPr baseColWidth="8" defaultRowHeight="15"/>
  <cols>
    <col width="46" customWidth="1" min="1" max="1"/>
    <col width="26" customWidth="1" min="2" max="2"/>
    <col width="60" customWidth="1" min="3" max="3"/>
    <col width="3" customWidth="1" min="4" max="4"/>
    <col width="3"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s>
  <sheetData>
    <row r="1" ht="34" customHeight="1">
      <c r="A1" s="42" t="inlineStr">
        <is>
          <t>SETTINGS</t>
        </is>
      </c>
      <c r="B1" s="1" t="n"/>
      <c r="C1" s="1" t="n"/>
      <c r="D1" s="1" t="n"/>
      <c r="E1" s="1" t="n"/>
      <c r="F1" s="1" t="n"/>
      <c r="G1" s="1" t="n"/>
      <c r="H1" s="1" t="n"/>
    </row>
    <row r="2" ht="30" customHeight="1">
      <c r="A2" s="43" t="inlineStr">
        <is>
          <t>Your business details, cost assumptions, targets and dropdown lists. Edit the WHITE cells. Lists marked LOCKED drive formulas — you can add to editable lists, but do not rename locked values.</t>
        </is>
      </c>
    </row>
    <row r="3" ht="18" customHeight="1">
      <c r="A3" s="24" t="inlineStr">
        <is>
          <t>← Start Here</t>
        </is>
      </c>
      <c r="B3" s="24" t="inlineStr">
        <is>
          <t>Dashboard →</t>
        </is>
      </c>
      <c r="F3" s="7" t="inlineStr">
        <is>
          <t>DROPDOWN LISTS  —  add items in the blank rows of editable lists.</t>
        </is>
      </c>
    </row>
    <row r="4" ht="32" customHeight="1">
      <c r="F4" s="141" t="inlineStr">
        <is>
          <t>Lead Sources</t>
        </is>
      </c>
      <c r="G4" s="142" t="inlineStr">
        <is>
          <t>Pipeline Stages  (LOCKED)</t>
        </is>
      </c>
      <c r="H4" s="141" t="inlineStr">
        <is>
          <t>Lost Reasons</t>
        </is>
      </c>
      <c r="I4" s="142" t="inlineStr">
        <is>
          <t>Job Statuses  (LOCKED)</t>
        </is>
      </c>
      <c r="J4" s="141" t="inlineStr">
        <is>
          <t>Payment Methods</t>
        </is>
      </c>
      <c r="K4" s="141" t="inlineStr">
        <is>
          <t>Fee Applies?</t>
        </is>
      </c>
      <c r="L4" s="141" t="inlineStr">
        <is>
          <t>Expense Categories</t>
        </is>
      </c>
      <c r="M4" s="141" t="inlineStr">
        <is>
          <t>Counted as Overhead?</t>
        </is>
      </c>
      <c r="N4" s="141" t="inlineStr">
        <is>
          <t>Customer Types</t>
        </is>
      </c>
      <c r="O4" s="142" t="inlineStr">
        <is>
          <t>Customer Statuses  (LOCKED)</t>
        </is>
      </c>
      <c r="P4" s="141" t="inlineStr">
        <is>
          <t>Contact Preferences</t>
        </is>
      </c>
      <c r="Q4" s="141" t="inlineStr">
        <is>
          <t>Property Types</t>
        </is>
      </c>
      <c r="R4" s="142" t="inlineStr">
        <is>
          <t>Plan Statuses  (LOCKED)</t>
        </is>
      </c>
      <c r="S4" s="142" t="inlineStr">
        <is>
          <t>Staff Statuses  (LOCKED)</t>
        </is>
      </c>
      <c r="T4" s="141" t="inlineStr">
        <is>
          <t>Staff Roles</t>
        </is>
      </c>
      <c r="U4" s="142" t="inlineStr">
        <is>
          <t>Priorities  (LOCKED)</t>
        </is>
      </c>
      <c r="V4" s="142" t="inlineStr">
        <is>
          <t>Task Statuses  (LOCKED)</t>
        </is>
      </c>
      <c r="W4" s="141" t="inlineStr">
        <is>
          <t>Supply Categories</t>
        </is>
      </c>
      <c r="X4" s="141" t="inlineStr">
        <is>
          <t>Follow-Up Types</t>
        </is>
      </c>
      <c r="Y4" s="142" t="inlineStr">
        <is>
          <t>Follow-Up Statuses  (LOCKED)</t>
        </is>
      </c>
      <c r="Z4" s="141" t="inlineStr">
        <is>
          <t>Channels</t>
        </is>
      </c>
      <c r="AA4" s="141" t="inlineStr">
        <is>
          <t>Review Platforms</t>
        </is>
      </c>
      <c r="AB4" s="142" t="inlineStr">
        <is>
          <t>Review Statuses  (LOCKED)</t>
        </is>
      </c>
      <c r="AC4" s="142" t="inlineStr">
        <is>
          <t>Referral Statuses  (LOCKED)</t>
        </is>
      </c>
      <c r="AD4" s="142" t="inlineStr">
        <is>
          <t>Reward Statuses  (LOCKED)</t>
        </is>
      </c>
      <c r="AE4" s="141" t="inlineStr">
        <is>
          <t>QC Checklists</t>
        </is>
      </c>
      <c r="AF4" s="141" t="inlineStr">
        <is>
          <t>Reported By</t>
        </is>
      </c>
      <c r="AG4" s="141" t="inlineStr">
        <is>
          <t>Issue Types</t>
        </is>
      </c>
      <c r="AH4" s="142" t="inlineStr">
        <is>
          <t>Issue Statuses  (LOCKED)</t>
        </is>
      </c>
      <c r="AI4" s="142" t="inlineStr">
        <is>
          <t>Yes / No  (LOCKED)</t>
        </is>
      </c>
      <c r="AJ4" s="142" t="inlineStr">
        <is>
          <t>Periods  (LOCKED)</t>
        </is>
      </c>
      <c r="AK4" s="141" t="inlineStr">
        <is>
          <t>AI Workflows</t>
        </is>
      </c>
    </row>
    <row r="5">
      <c r="A5" s="5" t="inlineStr">
        <is>
          <t>BUSINESS PROFILE</t>
        </is>
      </c>
      <c r="B5" s="6" t="n"/>
      <c r="C5" s="6" t="n"/>
      <c r="F5" s="143" t="inlineStr">
        <is>
          <t>Google Search</t>
        </is>
      </c>
      <c r="G5" s="144" t="inlineStr">
        <is>
          <t>New Lead</t>
        </is>
      </c>
      <c r="H5" s="143" t="inlineStr">
        <is>
          <t>Price</t>
        </is>
      </c>
      <c r="I5" s="144" t="inlineStr">
        <is>
          <t>Scheduled</t>
        </is>
      </c>
      <c r="J5" s="143" t="inlineStr">
        <is>
          <t>Cash</t>
        </is>
      </c>
      <c r="K5" s="143" t="inlineStr">
        <is>
          <t>No</t>
        </is>
      </c>
      <c r="L5" s="143" t="inlineStr">
        <is>
          <t>Advertising &amp; Marketing</t>
        </is>
      </c>
      <c r="M5" s="143" t="inlineStr">
        <is>
          <t>Yes</t>
        </is>
      </c>
      <c r="N5" s="143" t="inlineStr">
        <is>
          <t>Residential</t>
        </is>
      </c>
      <c r="O5" s="144" t="inlineStr">
        <is>
          <t>Active</t>
        </is>
      </c>
      <c r="P5" s="143" t="inlineStr">
        <is>
          <t>Text</t>
        </is>
      </c>
      <c r="Q5" s="143" t="inlineStr">
        <is>
          <t>House</t>
        </is>
      </c>
      <c r="R5" s="144" t="inlineStr">
        <is>
          <t>Active</t>
        </is>
      </c>
      <c r="S5" s="144" t="inlineStr">
        <is>
          <t>Active</t>
        </is>
      </c>
      <c r="T5" s="143" t="inlineStr">
        <is>
          <t>Owner</t>
        </is>
      </c>
      <c r="U5" s="144" t="inlineStr">
        <is>
          <t>High</t>
        </is>
      </c>
      <c r="V5" s="144" t="inlineStr">
        <is>
          <t>Not started</t>
        </is>
      </c>
      <c r="W5" s="143" t="inlineStr">
        <is>
          <t>Chemicals</t>
        </is>
      </c>
      <c r="X5" s="143" t="inlineStr">
        <is>
          <t>Lead</t>
        </is>
      </c>
      <c r="Y5" s="144" t="inlineStr">
        <is>
          <t>Open</t>
        </is>
      </c>
      <c r="Z5" s="143" t="inlineStr">
        <is>
          <t>Text</t>
        </is>
      </c>
      <c r="AA5" s="143" t="inlineStr">
        <is>
          <t>Google</t>
        </is>
      </c>
      <c r="AB5" s="144" t="inlineStr">
        <is>
          <t>Requested</t>
        </is>
      </c>
      <c r="AC5" s="144" t="inlineStr">
        <is>
          <t>Referred</t>
        </is>
      </c>
      <c r="AD5" s="144" t="inlineStr">
        <is>
          <t>Not due</t>
        </is>
      </c>
      <c r="AE5" s="143" t="inlineStr">
        <is>
          <t>Residential Standard</t>
        </is>
      </c>
      <c r="AF5" s="143" t="inlineStr">
        <is>
          <t>Customer</t>
        </is>
      </c>
      <c r="AG5" s="143" t="inlineStr">
        <is>
          <t>Missed area</t>
        </is>
      </c>
      <c r="AH5" s="144" t="inlineStr">
        <is>
          <t>Open</t>
        </is>
      </c>
      <c r="AI5" s="144" t="inlineStr">
        <is>
          <t>Yes</t>
        </is>
      </c>
      <c r="AJ5" s="144" t="inlineStr">
        <is>
          <t>Reporting month</t>
        </is>
      </c>
      <c r="AK5" s="143" t="inlineStr">
        <is>
          <t>01 New lead reply</t>
        </is>
      </c>
    </row>
    <row r="6">
      <c r="A6" s="59" t="inlineStr">
        <is>
          <t>Business name</t>
        </is>
      </c>
      <c r="B6" s="63" t="inlineStr">
        <is>
          <t>Sparkle &amp; Co. Cleaning (Demo)</t>
        </is>
      </c>
      <c r="C6" s="145" t="inlineStr">
        <is>
          <t>Shown on the dashboard. Fictional in the demo.</t>
        </is>
      </c>
      <c r="F6" s="143" t="inlineStr">
        <is>
          <t>Google Business Profile</t>
        </is>
      </c>
      <c r="G6" s="144" t="inlineStr">
        <is>
          <t>Contacted</t>
        </is>
      </c>
      <c r="H6" s="143" t="inlineStr">
        <is>
          <t>Chose another company</t>
        </is>
      </c>
      <c r="I6" s="144" t="inlineStr">
        <is>
          <t>Completed</t>
        </is>
      </c>
      <c r="J6" s="143" t="inlineStr">
        <is>
          <t>Check</t>
        </is>
      </c>
      <c r="K6" s="143" t="inlineStr">
        <is>
          <t>No</t>
        </is>
      </c>
      <c r="L6" s="143" t="inlineStr">
        <is>
          <t>Software &amp; Apps</t>
        </is>
      </c>
      <c r="M6" s="143" t="inlineStr">
        <is>
          <t>Yes</t>
        </is>
      </c>
      <c r="N6" s="143" t="inlineStr">
        <is>
          <t>Commercial</t>
        </is>
      </c>
      <c r="O6" s="144" t="inlineStr">
        <is>
          <t>Inactive</t>
        </is>
      </c>
      <c r="P6" s="143" t="inlineStr">
        <is>
          <t>Call</t>
        </is>
      </c>
      <c r="Q6" s="143" t="inlineStr">
        <is>
          <t>Apartment</t>
        </is>
      </c>
      <c r="R6" s="144" t="inlineStr">
        <is>
          <t>Paused</t>
        </is>
      </c>
      <c r="S6" s="144" t="inlineStr">
        <is>
          <t>Inactive</t>
        </is>
      </c>
      <c r="T6" s="143" t="inlineStr">
        <is>
          <t>Team Lead</t>
        </is>
      </c>
      <c r="U6" s="144" t="inlineStr">
        <is>
          <t>Medium</t>
        </is>
      </c>
      <c r="V6" s="144" t="inlineStr">
        <is>
          <t>In progress</t>
        </is>
      </c>
      <c r="W6" s="143" t="inlineStr">
        <is>
          <t>Tools</t>
        </is>
      </c>
      <c r="X6" s="143" t="inlineStr">
        <is>
          <t>Quote</t>
        </is>
      </c>
      <c r="Y6" s="144" t="inlineStr">
        <is>
          <t>Done</t>
        </is>
      </c>
      <c r="Z6" s="143" t="inlineStr">
        <is>
          <t>Call</t>
        </is>
      </c>
      <c r="AA6" s="143" t="inlineStr">
        <is>
          <t>Facebook</t>
        </is>
      </c>
      <c r="AB6" s="144" t="inlineStr">
        <is>
          <t>Reminder sent</t>
        </is>
      </c>
      <c r="AC6" s="144" t="inlineStr">
        <is>
          <t>Contacted</t>
        </is>
      </c>
      <c r="AD6" s="144" t="inlineStr">
        <is>
          <t>Owed</t>
        </is>
      </c>
      <c r="AE6" s="143" t="inlineStr">
        <is>
          <t>Deep Clean</t>
        </is>
      </c>
      <c r="AF6" s="143" t="inlineStr">
        <is>
          <t>Staff</t>
        </is>
      </c>
      <c r="AG6" s="143" t="inlineStr">
        <is>
          <t>Quality complaint</t>
        </is>
      </c>
      <c r="AH6" s="144" t="inlineStr">
        <is>
          <t>In progress</t>
        </is>
      </c>
      <c r="AI6" s="144" t="inlineStr">
        <is>
          <t>No</t>
        </is>
      </c>
      <c r="AJ6" s="144" t="inlineStr">
        <is>
          <t>Year to date</t>
        </is>
      </c>
      <c r="AK6" s="143" t="inlineStr">
        <is>
          <t>02 Quote draft</t>
        </is>
      </c>
    </row>
    <row r="7">
      <c r="A7" s="59" t="inlineStr">
        <is>
          <t>Owner / manager</t>
        </is>
      </c>
      <c r="B7" s="63" t="inlineStr">
        <is>
          <t>Jordan Rivera (fictional)</t>
        </is>
      </c>
      <c r="C7" s="145" t="inlineStr"/>
      <c r="F7" s="143" t="inlineStr">
        <is>
          <t>Facebook</t>
        </is>
      </c>
      <c r="G7" s="144" t="inlineStr">
        <is>
          <t>Quote Requested</t>
        </is>
      </c>
      <c r="H7" s="143" t="inlineStr">
        <is>
          <t>No response</t>
        </is>
      </c>
      <c r="I7" s="144" t="inlineStr">
        <is>
          <t>Cancelled</t>
        </is>
      </c>
      <c r="J7" s="143" t="inlineStr">
        <is>
          <t>Card</t>
        </is>
      </c>
      <c r="K7" s="143" t="inlineStr">
        <is>
          <t>Yes</t>
        </is>
      </c>
      <c r="L7" s="143" t="inlineStr">
        <is>
          <t>Insurance</t>
        </is>
      </c>
      <c r="M7" s="143" t="inlineStr">
        <is>
          <t>Yes</t>
        </is>
      </c>
      <c r="N7" s="143" t="inlineStr">
        <is>
          <t>Short-Term Rental Host</t>
        </is>
      </c>
      <c r="O7" s="144" t="inlineStr">
        <is>
          <t>Do not service</t>
        </is>
      </c>
      <c r="P7" s="143" t="inlineStr">
        <is>
          <t>Email</t>
        </is>
      </c>
      <c r="Q7" s="143" t="inlineStr">
        <is>
          <t>Condo</t>
        </is>
      </c>
      <c r="R7" s="144" t="inlineStr">
        <is>
          <t>Ended</t>
        </is>
      </c>
      <c r="T7" s="143" t="inlineStr">
        <is>
          <t>Cleaner</t>
        </is>
      </c>
      <c r="U7" s="144" t="inlineStr">
        <is>
          <t>Low</t>
        </is>
      </c>
      <c r="V7" s="144" t="inlineStr">
        <is>
          <t>Done</t>
        </is>
      </c>
      <c r="W7" s="143" t="inlineStr">
        <is>
          <t>Paper &amp; Liners</t>
        </is>
      </c>
      <c r="X7" s="143" t="inlineStr">
        <is>
          <t>Invoice</t>
        </is>
      </c>
      <c r="Y7" s="144" t="inlineStr">
        <is>
          <t>Skipped</t>
        </is>
      </c>
      <c r="Z7" s="143" t="inlineStr">
        <is>
          <t>Email</t>
        </is>
      </c>
      <c r="AA7" s="143" t="inlineStr">
        <is>
          <t>Yelp</t>
        </is>
      </c>
      <c r="AB7" s="144" t="inlineStr">
        <is>
          <t>Received</t>
        </is>
      </c>
      <c r="AC7" s="144" t="inlineStr">
        <is>
          <t>Quoted</t>
        </is>
      </c>
      <c r="AD7" s="144" t="inlineStr">
        <is>
          <t>Given</t>
        </is>
      </c>
      <c r="AE7" s="143" t="inlineStr">
        <is>
          <t>Move-In/Move-Out</t>
        </is>
      </c>
      <c r="AF7" s="143" t="inlineStr">
        <is>
          <t>Inspection</t>
        </is>
      </c>
      <c r="AG7" s="143" t="inlineStr">
        <is>
          <t>Damage report</t>
        </is>
      </c>
      <c r="AH7" s="144" t="inlineStr">
        <is>
          <t>Resolved</t>
        </is>
      </c>
      <c r="AJ7" s="144" t="inlineStr">
        <is>
          <t>All time</t>
        </is>
      </c>
      <c r="AK7" s="143" t="inlineStr">
        <is>
          <t>03 Quote follow-up</t>
        </is>
      </c>
    </row>
    <row r="8">
      <c r="A8" s="59" t="inlineStr">
        <is>
          <t>Business phone</t>
        </is>
      </c>
      <c r="B8" s="63" t="inlineStr">
        <is>
          <t>(555) 010-0100</t>
        </is>
      </c>
      <c r="C8" s="145" t="inlineStr">
        <is>
          <t>555-01xx numbers are reserved for fiction.</t>
        </is>
      </c>
      <c r="F8" s="143" t="inlineStr">
        <is>
          <t>Instagram</t>
        </is>
      </c>
      <c r="G8" s="144" t="inlineStr">
        <is>
          <t>Quote Sent</t>
        </is>
      </c>
      <c r="H8" s="143" t="inlineStr">
        <is>
          <t>Timing / availability</t>
        </is>
      </c>
      <c r="I8" s="144" t="inlineStr">
        <is>
          <t>Rescheduled</t>
        </is>
      </c>
      <c r="J8" s="143" t="inlineStr">
        <is>
          <t>Online Invoice</t>
        </is>
      </c>
      <c r="K8" s="143" t="inlineStr">
        <is>
          <t>Yes</t>
        </is>
      </c>
      <c r="L8" s="143" t="inlineStr">
        <is>
          <t>Phone &amp; Internet</t>
        </is>
      </c>
      <c r="M8" s="143" t="inlineStr">
        <is>
          <t>Yes</t>
        </is>
      </c>
      <c r="N8" s="143" t="inlineStr">
        <is>
          <t>Property Manager</t>
        </is>
      </c>
      <c r="P8" s="143" t="n"/>
      <c r="Q8" s="143" t="inlineStr">
        <is>
          <t>Townhome</t>
        </is>
      </c>
      <c r="T8" s="143" t="inlineStr">
        <is>
          <t>Inspector</t>
        </is>
      </c>
      <c r="W8" s="143" t="inlineStr">
        <is>
          <t>Laundry</t>
        </is>
      </c>
      <c r="X8" s="143" t="inlineStr">
        <is>
          <t>Review</t>
        </is>
      </c>
      <c r="Z8" s="143" t="inlineStr">
        <is>
          <t>In person</t>
        </is>
      </c>
      <c r="AA8" s="143" t="inlineStr">
        <is>
          <t>Nextdoor</t>
        </is>
      </c>
      <c r="AB8" s="144" t="inlineStr">
        <is>
          <t>Declined</t>
        </is>
      </c>
      <c r="AC8" s="144" t="inlineStr">
        <is>
          <t>Booked</t>
        </is>
      </c>
      <c r="AE8" s="143" t="inlineStr">
        <is>
          <t>Airbnb Turnover</t>
        </is>
      </c>
      <c r="AF8" s="143" t="n"/>
      <c r="AG8" s="143" t="inlineStr">
        <is>
          <t>Late / no-show</t>
        </is>
      </c>
      <c r="AK8" s="143" t="inlineStr">
        <is>
          <t>04 No-response follow-up</t>
        </is>
      </c>
    </row>
    <row r="9">
      <c r="A9" s="59" t="inlineStr">
        <is>
          <t>Business email</t>
        </is>
      </c>
      <c r="B9" s="63" t="inlineStr">
        <is>
          <t>hello@example.com</t>
        </is>
      </c>
      <c r="C9" s="145" t="inlineStr"/>
      <c r="F9" s="143" t="inlineStr">
        <is>
          <t>Nextdoor</t>
        </is>
      </c>
      <c r="G9" s="144" t="inlineStr">
        <is>
          <t>Follow-Up</t>
        </is>
      </c>
      <c r="H9" s="143" t="inlineStr">
        <is>
          <t>Outside service area</t>
        </is>
      </c>
      <c r="I9" s="144" t="inlineStr">
        <is>
          <t>No-Show</t>
        </is>
      </c>
      <c r="J9" s="143" t="inlineStr">
        <is>
          <t>Bank Transfer</t>
        </is>
      </c>
      <c r="K9" s="143" t="inlineStr">
        <is>
          <t>No</t>
        </is>
      </c>
      <c r="L9" s="143" t="inlineStr">
        <is>
          <t>Equipment</t>
        </is>
      </c>
      <c r="M9" s="143" t="inlineStr">
        <is>
          <t>Yes</t>
        </is>
      </c>
      <c r="N9" s="143" t="inlineStr">
        <is>
          <t>Other</t>
        </is>
      </c>
      <c r="P9" s="143" t="n"/>
      <c r="Q9" s="143" t="inlineStr">
        <is>
          <t>Office</t>
        </is>
      </c>
      <c r="T9" s="143" t="inlineStr">
        <is>
          <t>Office</t>
        </is>
      </c>
      <c r="W9" s="143" t="inlineStr">
        <is>
          <t>Protective Gear</t>
        </is>
      </c>
      <c r="X9" s="143" t="inlineStr">
        <is>
          <t>Referral</t>
        </is>
      </c>
      <c r="Z9" s="143" t="inlineStr">
        <is>
          <t>Social DM</t>
        </is>
      </c>
      <c r="AA9" s="143" t="inlineStr">
        <is>
          <t>Other</t>
        </is>
      </c>
      <c r="AB9" s="144" t="inlineStr">
        <is>
          <t>No response</t>
        </is>
      </c>
      <c r="AC9" s="144" t="inlineStr">
        <is>
          <t>Not booked</t>
        </is>
      </c>
      <c r="AE9" s="143" t="inlineStr">
        <is>
          <t>Commercial</t>
        </is>
      </c>
      <c r="AF9" s="143" t="n"/>
      <c r="AG9" s="143" t="inlineStr">
        <is>
          <t>Access problem</t>
        </is>
      </c>
      <c r="AK9" s="143" t="inlineStr">
        <is>
          <t>05 Appointment confirmation</t>
        </is>
      </c>
    </row>
    <row r="10">
      <c r="A10" s="59" t="inlineStr">
        <is>
          <t>Website / booking link</t>
        </is>
      </c>
      <c r="B10" s="63" t="inlineStr">
        <is>
          <t>www.example.com</t>
        </is>
      </c>
      <c r="C10" s="145" t="inlineStr">
        <is>
          <t>Used in your AI prompts and marketing kit.</t>
        </is>
      </c>
      <c r="F10" s="143" t="inlineStr">
        <is>
          <t>Referral</t>
        </is>
      </c>
      <c r="G10" s="144" t="inlineStr">
        <is>
          <t>Booked</t>
        </is>
      </c>
      <c r="H10" s="143" t="inlineStr">
        <is>
          <t>Not a fit</t>
        </is>
      </c>
      <c r="J10" s="143" t="inlineStr">
        <is>
          <t>Payment App</t>
        </is>
      </c>
      <c r="K10" s="143" t="inlineStr">
        <is>
          <t>No</t>
        </is>
      </c>
      <c r="L10" s="143" t="inlineStr">
        <is>
          <t>Uniforms</t>
        </is>
      </c>
      <c r="M10" s="143" t="inlineStr">
        <is>
          <t>Yes</t>
        </is>
      </c>
      <c r="N10" s="143" t="n"/>
      <c r="P10" s="143" t="n"/>
      <c r="Q10" s="143" t="inlineStr">
        <is>
          <t>Retail</t>
        </is>
      </c>
      <c r="T10" s="143" t="n"/>
      <c r="W10" s="143" t="inlineStr">
        <is>
          <t>Equipment</t>
        </is>
      </c>
      <c r="X10" s="143" t="inlineStr">
        <is>
          <t>Reactivation</t>
        </is>
      </c>
      <c r="Z10" s="143" t="n"/>
      <c r="AA10" s="143" t="n"/>
      <c r="AE10" s="143" t="inlineStr">
        <is>
          <t>Final Inspection</t>
        </is>
      </c>
      <c r="AF10" s="143" t="n"/>
      <c r="AG10" s="143" t="inlineStr">
        <is>
          <t>Billing question</t>
        </is>
      </c>
      <c r="AK10" s="143" t="inlineStr">
        <is>
          <t>06 Rescheduling message</t>
        </is>
      </c>
    </row>
    <row r="11">
      <c r="A11" s="59" t="inlineStr">
        <is>
          <t>Service area</t>
        </is>
      </c>
      <c r="B11" s="63" t="inlineStr">
        <is>
          <t>Sampletown &amp; nearby</t>
        </is>
      </c>
      <c r="C11" s="145" t="inlineStr"/>
      <c r="F11" s="143" t="inlineStr">
        <is>
          <t>Website Form</t>
        </is>
      </c>
      <c r="G11" s="144" t="inlineStr">
        <is>
          <t>Recurring Client</t>
        </is>
      </c>
      <c r="H11" s="143" t="inlineStr">
        <is>
          <t>Other</t>
        </is>
      </c>
      <c r="J11" s="143" t="inlineStr">
        <is>
          <t>Other</t>
        </is>
      </c>
      <c r="K11" s="143" t="inlineStr">
        <is>
          <t>No</t>
        </is>
      </c>
      <c r="L11" s="143" t="inlineStr">
        <is>
          <t>Office &amp; Admin</t>
        </is>
      </c>
      <c r="M11" s="143" t="inlineStr">
        <is>
          <t>Yes</t>
        </is>
      </c>
      <c r="N11" s="143" t="n"/>
      <c r="P11" s="143" t="n"/>
      <c r="Q11" s="143" t="inlineStr">
        <is>
          <t>Short-Term Rental</t>
        </is>
      </c>
      <c r="T11" s="143" t="n"/>
      <c r="W11" s="143" t="inlineStr">
        <is>
          <t>Other</t>
        </is>
      </c>
      <c r="X11" s="143" t="inlineStr">
        <is>
          <t>Complaint</t>
        </is>
      </c>
      <c r="Z11" s="143" t="n"/>
      <c r="AA11" s="143" t="n"/>
      <c r="AE11" s="143" t="n"/>
      <c r="AF11" s="143" t="n"/>
      <c r="AG11" s="143" t="inlineStr">
        <is>
          <t>Other</t>
        </is>
      </c>
      <c r="AK11" s="143" t="inlineStr">
        <is>
          <t>07 Review request</t>
        </is>
      </c>
    </row>
    <row r="12">
      <c r="A12" s="5" t="inlineStr">
        <is>
          <t>DATES</t>
        </is>
      </c>
      <c r="B12" s="6" t="n"/>
      <c r="C12" s="6" t="n"/>
      <c r="F12" s="143" t="inlineStr">
        <is>
          <t>Repeat Customer</t>
        </is>
      </c>
      <c r="G12" s="144" t="inlineStr">
        <is>
          <t>Lost/Declined</t>
        </is>
      </c>
      <c r="H12" s="143" t="n"/>
      <c r="J12" s="143" t="n"/>
      <c r="K12" s="143" t="n"/>
      <c r="L12" s="143" t="inlineStr">
        <is>
          <t>Professional Fees</t>
        </is>
      </c>
      <c r="M12" s="143" t="inlineStr">
        <is>
          <t>Yes</t>
        </is>
      </c>
      <c r="N12" s="143" t="n"/>
      <c r="P12" s="143" t="n"/>
      <c r="Q12" s="143" t="inlineStr">
        <is>
          <t>Medical/Dental</t>
        </is>
      </c>
      <c r="T12" s="143" t="n"/>
      <c r="W12" s="143" t="n"/>
      <c r="X12" s="143" t="inlineStr">
        <is>
          <t>Other</t>
        </is>
      </c>
      <c r="Z12" s="143" t="n"/>
      <c r="AA12" s="143" t="n"/>
      <c r="AE12" s="143" t="n"/>
      <c r="AF12" s="143" t="n"/>
      <c r="AG12" s="143" t="n"/>
      <c r="AK12" s="143" t="inlineStr">
        <is>
          <t>08 Review response</t>
        </is>
      </c>
    </row>
    <row r="13">
      <c r="A13" s="59" t="inlineStr">
        <is>
          <t>As-of date (leave blank = today)</t>
        </is>
      </c>
      <c r="B13" s="60" t="n">
        <v>46295</v>
      </c>
      <c r="C13" s="145" t="inlineStr">
        <is>
          <t>Leave BLANK in normal use. The demo fixes it so the sample data always looks current.</t>
        </is>
      </c>
      <c r="F13" s="143" t="inlineStr">
        <is>
          <t>Flyer / Door Hanger</t>
        </is>
      </c>
      <c r="H13" s="143" t="n"/>
      <c r="J13" s="143" t="n"/>
      <c r="K13" s="143" t="n"/>
      <c r="L13" s="143" t="inlineStr">
        <is>
          <t>Licenses &amp; Permits</t>
        </is>
      </c>
      <c r="M13" s="143" t="inlineStr">
        <is>
          <t>Yes</t>
        </is>
      </c>
      <c r="N13" s="143" t="n"/>
      <c r="P13" s="143" t="n"/>
      <c r="Q13" s="143" t="inlineStr">
        <is>
          <t>Other</t>
        </is>
      </c>
      <c r="T13" s="143" t="n"/>
      <c r="W13" s="143" t="n"/>
      <c r="X13" s="143" t="n"/>
      <c r="Z13" s="143" t="n"/>
      <c r="AA13" s="143" t="n"/>
      <c r="AE13" s="143" t="n"/>
      <c r="AF13" s="143" t="n"/>
      <c r="AG13" s="143" t="n"/>
      <c r="AK13" s="143" t="inlineStr">
        <is>
          <t>09 Referral request</t>
        </is>
      </c>
    </row>
    <row r="14">
      <c r="A14" s="59" t="inlineStr">
        <is>
          <t>Date the system uses (automatic)</t>
        </is>
      </c>
      <c r="B14" s="146">
        <f>IF(B13="",TODAY(),B13)</f>
        <v/>
      </c>
      <c r="C14" s="145" t="inlineStr">
        <is>
          <t>Automatic. Do not type here.</t>
        </is>
      </c>
      <c r="F14" s="143" t="inlineStr">
        <is>
          <t>Yard Sign / Vehicle</t>
        </is>
      </c>
      <c r="H14" s="143" t="n"/>
      <c r="J14" s="143" t="n"/>
      <c r="K14" s="143" t="n"/>
      <c r="L14" s="143" t="inlineStr">
        <is>
          <t>Training</t>
        </is>
      </c>
      <c r="M14" s="143" t="inlineStr">
        <is>
          <t>Yes</t>
        </is>
      </c>
      <c r="N14" s="143" t="n"/>
      <c r="P14" s="143" t="n"/>
      <c r="Q14" s="143" t="n"/>
      <c r="T14" s="143" t="n"/>
      <c r="W14" s="143" t="n"/>
      <c r="X14" s="143" t="n"/>
      <c r="Z14" s="143" t="n"/>
      <c r="AA14" s="143" t="n"/>
      <c r="AE14" s="143" t="n"/>
      <c r="AF14" s="143" t="n"/>
      <c r="AG14" s="143" t="n"/>
      <c r="AK14" s="143" t="inlineStr">
        <is>
          <t>10 Reactivation</t>
        </is>
      </c>
    </row>
    <row r="15">
      <c r="A15" s="59" t="inlineStr">
        <is>
          <t>Reporting month (blank = month of the date above)</t>
        </is>
      </c>
      <c r="B15" s="147" t="n">
        <v>46266</v>
      </c>
      <c r="C15" s="145" t="inlineStr">
        <is>
          <t>Type any date in the month you want to review.</t>
        </is>
      </c>
      <c r="F15" s="143" t="inlineStr">
        <is>
          <t>Other</t>
        </is>
      </c>
      <c r="H15" s="143" t="n"/>
      <c r="J15" s="143" t="n"/>
      <c r="K15" s="143" t="n"/>
      <c r="L15" s="143" t="inlineStr">
        <is>
          <t>Bank Fees</t>
        </is>
      </c>
      <c r="M15" s="143" t="inlineStr">
        <is>
          <t>Yes</t>
        </is>
      </c>
      <c r="N15" s="143" t="n"/>
      <c r="P15" s="143" t="n"/>
      <c r="Q15" s="143" t="n"/>
      <c r="T15" s="143" t="n"/>
      <c r="W15" s="143" t="n"/>
      <c r="X15" s="143" t="n"/>
      <c r="Z15" s="143" t="n"/>
      <c r="AA15" s="143" t="n"/>
      <c r="AE15" s="143" t="n"/>
      <c r="AF15" s="143" t="n"/>
      <c r="AG15" s="143" t="n"/>
      <c r="AK15" s="143" t="inlineStr">
        <is>
          <t>11 Google Business post</t>
        </is>
      </c>
    </row>
    <row r="16">
      <c r="A16" s="59" t="inlineStr">
        <is>
          <t>Reporting month used (automatic)</t>
        </is>
      </c>
      <c r="B16" s="148">
        <f>IF(B15="",DATE(YEAR(AsOf),MONTH(AsOf),1),DATE(YEAR(B15),MONTH(B15),1))</f>
        <v/>
      </c>
      <c r="C16" s="145" t="inlineStr">
        <is>
          <t>Automatic. Drives the dashboard and profitability views.</t>
        </is>
      </c>
      <c r="F16" s="143" t="n"/>
      <c r="H16" s="143" t="n"/>
      <c r="J16" s="143" t="n"/>
      <c r="K16" s="143" t="n"/>
      <c r="L16" s="143" t="inlineStr">
        <is>
          <t>Supplies (job use)</t>
        </is>
      </c>
      <c r="M16" s="143" t="inlineStr">
        <is>
          <t>No</t>
        </is>
      </c>
      <c r="N16" s="143" t="n"/>
      <c r="P16" s="143" t="n"/>
      <c r="Q16" s="143" t="n"/>
      <c r="T16" s="143" t="n"/>
      <c r="W16" s="143" t="n"/>
      <c r="X16" s="143" t="n"/>
      <c r="Z16" s="143" t="n"/>
      <c r="AA16" s="143" t="n"/>
      <c r="AE16" s="143" t="n"/>
      <c r="AF16" s="143" t="n"/>
      <c r="AG16" s="143" t="n"/>
      <c r="AK16" s="143" t="inlineStr">
        <is>
          <t>12 Facebook post</t>
        </is>
      </c>
    </row>
    <row r="17">
      <c r="A17" s="59" t="inlineStr">
        <is>
          <t>Reporting year (automatic)</t>
        </is>
      </c>
      <c r="B17" s="149">
        <f>YEAR(ReportMonth)</f>
        <v/>
      </c>
      <c r="C17" s="145" t="inlineStr">
        <is>
          <t>Automatic. Drives MONTHLY.</t>
        </is>
      </c>
      <c r="F17" s="143" t="n"/>
      <c r="H17" s="143" t="n"/>
      <c r="J17" s="143" t="n"/>
      <c r="K17" s="143" t="n"/>
      <c r="L17" s="143" t="inlineStr">
        <is>
          <t>Fuel &amp; Vehicle</t>
        </is>
      </c>
      <c r="M17" s="143" t="inlineStr">
        <is>
          <t>No</t>
        </is>
      </c>
      <c r="N17" s="143" t="n"/>
      <c r="P17" s="143" t="n"/>
      <c r="Q17" s="143" t="n"/>
      <c r="T17" s="143" t="n"/>
      <c r="W17" s="143" t="n"/>
      <c r="X17" s="143" t="n"/>
      <c r="Z17" s="143" t="n"/>
      <c r="AA17" s="143" t="n"/>
      <c r="AE17" s="143" t="n"/>
      <c r="AF17" s="143" t="n"/>
      <c r="AG17" s="143" t="n"/>
      <c r="AK17" s="143" t="inlineStr">
        <is>
          <t>13 Instagram caption</t>
        </is>
      </c>
    </row>
    <row r="18">
      <c r="A18" s="5" t="inlineStr">
        <is>
          <t>LABOR &amp; COST ASSUMPTIONS  (your estimates — edit freely)</t>
        </is>
      </c>
      <c r="B18" s="6" t="n"/>
      <c r="C18" s="6" t="n"/>
      <c r="F18" s="143" t="n"/>
      <c r="H18" s="143" t="n"/>
      <c r="J18" s="143" t="n"/>
      <c r="K18" s="143" t="n"/>
      <c r="L18" s="143" t="inlineStr">
        <is>
          <t>Staff Pay</t>
        </is>
      </c>
      <c r="M18" s="143" t="inlineStr">
        <is>
          <t>No</t>
        </is>
      </c>
      <c r="N18" s="143" t="n"/>
      <c r="P18" s="143" t="n"/>
      <c r="Q18" s="143" t="n"/>
      <c r="T18" s="143" t="n"/>
      <c r="W18" s="143" t="n"/>
      <c r="X18" s="143" t="n"/>
      <c r="Z18" s="143" t="n"/>
      <c r="AA18" s="143" t="n"/>
      <c r="AE18" s="143" t="n"/>
      <c r="AF18" s="143" t="n"/>
      <c r="AG18" s="143" t="n"/>
      <c r="AK18" s="143" t="inlineStr">
        <is>
          <t>14 FAQ answer</t>
        </is>
      </c>
    </row>
    <row r="19">
      <c r="A19" s="59" t="inlineStr">
        <is>
          <t>Default worker pay rate ($ per hour)</t>
        </is>
      </c>
      <c r="B19" s="72" t="n">
        <v>20</v>
      </c>
      <c r="C19" s="145" t="inlineStr">
        <is>
          <t>Used when a worker has no rate on STAFF &amp; TASKS.</t>
        </is>
      </c>
      <c r="F19" s="143" t="n"/>
      <c r="H19" s="143" t="n"/>
      <c r="J19" s="143" t="n"/>
      <c r="K19" s="143" t="n"/>
      <c r="L19" s="143" t="inlineStr">
        <is>
          <t>Merchant Fees</t>
        </is>
      </c>
      <c r="M19" s="143" t="inlineStr">
        <is>
          <t>No</t>
        </is>
      </c>
      <c r="N19" s="143" t="n"/>
      <c r="P19" s="143" t="n"/>
      <c r="Q19" s="143" t="n"/>
      <c r="T19" s="143" t="n"/>
      <c r="W19" s="143" t="n"/>
      <c r="X19" s="143" t="n"/>
      <c r="Z19" s="143" t="n"/>
      <c r="AA19" s="143" t="n"/>
      <c r="AE19" s="143" t="n"/>
      <c r="AF19" s="143" t="n"/>
      <c r="AG19" s="143" t="n"/>
      <c r="AK19" s="143" t="inlineStr">
        <is>
          <t>15 Commercial proposal</t>
        </is>
      </c>
    </row>
    <row r="20">
      <c r="A20" s="59" t="inlineStr">
        <is>
          <t>Extra labor cost % (your estimate)</t>
        </is>
      </c>
      <c r="B20" s="81" t="n">
        <v>0.12</v>
      </c>
      <c r="C20" s="145" t="inlineStr">
        <is>
          <t>Your own estimate of costs on top of wages (for example payroll costs or insurance). Confirm with your payroll provider or accountant.</t>
        </is>
      </c>
      <c r="F20" s="143" t="n"/>
      <c r="H20" s="143" t="n"/>
      <c r="J20" s="143" t="n"/>
      <c r="K20" s="143" t="n"/>
      <c r="L20" s="143" t="inlineStr">
        <is>
          <t>Other</t>
        </is>
      </c>
      <c r="M20" s="143" t="inlineStr">
        <is>
          <t>Yes</t>
        </is>
      </c>
      <c r="N20" s="143" t="n"/>
      <c r="P20" s="143" t="n"/>
      <c r="Q20" s="143" t="n"/>
      <c r="T20" s="143" t="n"/>
      <c r="W20" s="143" t="n"/>
      <c r="X20" s="143" t="n"/>
      <c r="Z20" s="143" t="n"/>
      <c r="AA20" s="143" t="n"/>
      <c r="AE20" s="143" t="n"/>
      <c r="AF20" s="143" t="n"/>
      <c r="AG20" s="143" t="n"/>
      <c r="AK20" s="143" t="inlineStr">
        <is>
          <t>16 Employee task sheet</t>
        </is>
      </c>
    </row>
    <row r="21">
      <c r="A21" s="59" t="inlineStr">
        <is>
          <t>Supplies cost per labor hour ($)</t>
        </is>
      </c>
      <c r="B21" s="72" t="n">
        <v>2.5</v>
      </c>
      <c r="C21" s="145" t="inlineStr">
        <is>
          <t>Average chemicals/consumables used per labor hour. Adjusted per service type on PRICING.</t>
        </is>
      </c>
      <c r="F21" s="143" t="n"/>
      <c r="H21" s="143" t="n"/>
      <c r="J21" s="143" t="n"/>
      <c r="K21" s="143" t="n"/>
      <c r="L21" s="143" t="n"/>
      <c r="M21" s="143" t="n"/>
      <c r="N21" s="143" t="n"/>
      <c r="P21" s="143" t="n"/>
      <c r="Q21" s="143" t="n"/>
      <c r="T21" s="143" t="n"/>
      <c r="W21" s="143" t="n"/>
      <c r="X21" s="143" t="n"/>
      <c r="Z21" s="143" t="n"/>
      <c r="AA21" s="143" t="n"/>
      <c r="AE21" s="143" t="n"/>
      <c r="AF21" s="143" t="n"/>
      <c r="AG21" s="143" t="n"/>
      <c r="AK21" s="143" t="inlineStr">
        <is>
          <t>17 Complaint response</t>
        </is>
      </c>
    </row>
    <row r="22">
      <c r="A22" s="59" t="inlineStr">
        <is>
          <t>Vehicle cost per mile ($)</t>
        </is>
      </c>
      <c r="B22" s="72" t="n">
        <v>0.7</v>
      </c>
      <c r="C22" s="145" t="inlineStr">
        <is>
          <t>Your own estimate of fuel + wear. Some owners use an official standard mileage rate; check the current rate for your country.</t>
        </is>
      </c>
      <c r="F22" s="143" t="n"/>
      <c r="H22" s="143" t="n"/>
      <c r="J22" s="143" t="n"/>
      <c r="K22" s="143" t="n"/>
      <c r="L22" s="143" t="n"/>
      <c r="M22" s="143" t="n"/>
      <c r="N22" s="143" t="n"/>
      <c r="P22" s="143" t="n"/>
      <c r="Q22" s="143" t="n"/>
      <c r="T22" s="143" t="n"/>
      <c r="W22" s="143" t="n"/>
      <c r="X22" s="143" t="n"/>
      <c r="Z22" s="143" t="n"/>
      <c r="AA22" s="143" t="n"/>
      <c r="AE22" s="143" t="n"/>
      <c r="AF22" s="143" t="n"/>
      <c r="AG22" s="143" t="n"/>
      <c r="AK22" s="143" t="inlineStr">
        <is>
          <t>18 Weekly marketing ideas</t>
        </is>
      </c>
    </row>
    <row r="23">
      <c r="A23" s="59" t="inlineStr">
        <is>
          <t>Default paid travel time per worker (minutes)</t>
        </is>
      </c>
      <c r="B23" s="66" t="n">
        <v>20</v>
      </c>
      <c r="C23" s="145" t="inlineStr">
        <is>
          <t>Pre-fills the QUOTE BUILDER.</t>
        </is>
      </c>
      <c r="F23" s="143" t="n"/>
      <c r="H23" s="143" t="n"/>
      <c r="J23" s="143" t="n"/>
      <c r="K23" s="143" t="n"/>
      <c r="L23" s="143" t="n"/>
      <c r="M23" s="143" t="n"/>
      <c r="N23" s="143" t="n"/>
      <c r="P23" s="143" t="n"/>
      <c r="Q23" s="143" t="n"/>
      <c r="T23" s="143" t="n"/>
      <c r="W23" s="143" t="n"/>
      <c r="X23" s="143" t="n"/>
      <c r="Z23" s="143" t="n"/>
      <c r="AA23" s="143" t="n"/>
      <c r="AE23" s="143" t="n"/>
      <c r="AF23" s="143" t="n"/>
      <c r="AG23" s="143" t="n"/>
      <c r="AK23" s="143" t="n"/>
    </row>
    <row r="24">
      <c r="A24" s="59" t="inlineStr">
        <is>
          <t>Card / online payment fee %</t>
        </is>
      </c>
      <c r="B24" s="81" t="n">
        <v>0.029</v>
      </c>
      <c r="C24" s="145" t="inlineStr">
        <is>
          <t>Applied to payments whose method is marked 'Yes' in the payment-method list.</t>
        </is>
      </c>
      <c r="F24" s="143" t="n"/>
      <c r="H24" s="143" t="n"/>
      <c r="J24" s="143" t="n"/>
      <c r="K24" s="143" t="n"/>
      <c r="L24" s="143" t="n"/>
      <c r="M24" s="143" t="n"/>
      <c r="N24" s="143" t="n"/>
      <c r="P24" s="143" t="n"/>
      <c r="Q24" s="143" t="n"/>
      <c r="T24" s="143" t="n"/>
      <c r="W24" s="143" t="n"/>
      <c r="X24" s="143" t="n"/>
      <c r="Z24" s="143" t="n"/>
      <c r="AA24" s="143" t="n"/>
      <c r="AE24" s="143" t="n"/>
      <c r="AF24" s="143" t="n"/>
      <c r="AG24" s="143" t="n"/>
      <c r="AK24" s="143" t="n"/>
    </row>
    <row r="25">
      <c r="A25" s="59" t="inlineStr">
        <is>
          <t>Default sales tax % (only if it applies to you)</t>
        </is>
      </c>
      <c r="B25" s="81" t="n">
        <v>0</v>
      </c>
      <c r="C25" s="145" t="inlineStr">
        <is>
          <t>Leave 0 unless you have confirmed sales tax applies to your services where you work.</t>
        </is>
      </c>
    </row>
    <row r="26">
      <c r="A26" s="59" t="inlineStr">
        <is>
          <t>Overhead share per labor hour ($, optional)</t>
        </is>
      </c>
      <c r="B26" s="72" t="n">
        <v>5</v>
      </c>
      <c r="C26" s="145" t="inlineStr">
        <is>
          <t>Used only by QUOTE BUILDER to estimate profit after overhead. Tip: monthly overhead ÷ monthly labor hours (both on MONTHLY).</t>
        </is>
      </c>
    </row>
    <row r="27">
      <c r="A27" s="5" t="inlineStr">
        <is>
          <t>TARGETS &amp; RULES</t>
        </is>
      </c>
      <c r="B27" s="6" t="n"/>
      <c r="C27" s="6" t="n"/>
    </row>
    <row r="28">
      <c r="A28" s="59" t="inlineStr">
        <is>
          <t>Target gross margin %</t>
        </is>
      </c>
      <c r="B28" s="81" t="n">
        <v>0.5</v>
      </c>
      <c r="C28" s="145" t="inlineStr">
        <is>
          <t>Jobs and quotes below this are flagged. Your choice, not an industry standard.</t>
        </is>
      </c>
    </row>
    <row r="29">
      <c r="A29" s="59" t="inlineStr">
        <is>
          <t>Minimum job price ($)</t>
        </is>
      </c>
      <c r="B29" s="72" t="n">
        <v>120</v>
      </c>
      <c r="C29" s="145" t="inlineStr">
        <is>
          <t>Quotes never go below this base price.</t>
        </is>
      </c>
    </row>
    <row r="30">
      <c r="A30" s="59" t="inlineStr">
        <is>
          <t>Follow-up 'due soon' window (days)</t>
        </is>
      </c>
      <c r="B30" s="66" t="n">
        <v>2</v>
      </c>
      <c r="C30" s="145" t="inlineStr"/>
    </row>
    <row r="31">
      <c r="A31" s="59" t="inlineStr">
        <is>
          <t>Suggest reactivation after (days since last job)</t>
        </is>
      </c>
      <c r="B31" s="66" t="n">
        <v>90</v>
      </c>
      <c r="C31" s="145" t="inlineStr"/>
    </row>
    <row r="32">
      <c r="A32" s="59" t="inlineStr">
        <is>
          <t>Quality-control passing score</t>
        </is>
      </c>
      <c r="B32" s="81" t="n">
        <v>0.9</v>
      </c>
      <c r="C32" s="145" t="inlineStr">
        <is>
          <t>Inspections scoring below this are marked Fail.</t>
        </is>
      </c>
    </row>
    <row r="33">
      <c r="A33" s="59" t="inlineStr">
        <is>
          <t>Flag review requests with no reply after (days)</t>
        </is>
      </c>
      <c r="B33" s="66" t="n">
        <v>7</v>
      </c>
      <c r="C33" s="145" t="inlineStr"/>
    </row>
  </sheetData>
  <mergeCells count="2">
    <mergeCell ref="A2:H2"/>
    <mergeCell ref="A1:H1"/>
  </mergeCell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2026-10-01T00:48:41Z</dcterms:created>
  <dcterms:modified xmlns:dcterms="http://purl.org/dc/terms/" xmlns:xsi="http://www.w3.org/2001/XMLSchema-instance" xsi:type="dcterms:W3CDTF">2026-10-01T00:48:54Z</dcterms:modified>
</cp:coreProperties>
</file>